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da87e0ac3e2b482d" Type="http://schemas.microsoft.com/office/2007/relationships/ui/extensibility" Target="customUI/customUI14.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166925"/>
  <mc:AlternateContent xmlns:mc="http://schemas.openxmlformats.org/markup-compatibility/2006">
    <mc:Choice Requires="x15">
      <x15ac:absPath xmlns:x15ac="http://schemas.microsoft.com/office/spreadsheetml/2010/11/ac" url="C:\Users\finge\PycharmProjects\EbfData\resources\scenarios\"/>
    </mc:Choice>
  </mc:AlternateContent>
  <xr:revisionPtr revIDLastSave="0" documentId="13_ncr:1_{5B7F01EF-00EA-4CA0-9791-1B2037EE765B}" xr6:coauthVersionLast="47" xr6:coauthVersionMax="47" xr10:uidLastSave="{00000000-0000-0000-0000-000000000000}"/>
  <bookViews>
    <workbookView xWindow="-120" yWindow="-120" windowWidth="51840" windowHeight="21120" xr2:uid="{25AE842E-62E8-4000-BF31-5E79EECDDD6C}"/>
  </bookViews>
  <sheets>
    <sheet name="SNAP" sheetId="2" r:id="rId1"/>
    <sheet name="AutoFilters" sheetId="3" state="hidden" r:id="rId2"/>
    <sheet name="Views" sheetId="4" state="hidden" r:id="rId3"/>
    <sheet name="Groupings" sheetId="5" state="hidden" r:id="rId4"/>
    <sheet name="UiSettings" sheetId="7" state="hidden" r:id="rId5"/>
    <sheet name="Sector Analysis" sheetId="6" state="hidden" r:id="rId6"/>
  </sheets>
  <externalReferences>
    <externalReference r:id="rId7"/>
  </externalReferences>
  <definedNames>
    <definedName name="_AutoFilterSpecs">INDEX(tblFilters[Spec Name],1,1):INDEX(tblFilters[Spec Name],COUNTA(tblFilters[Spec Name]))</definedName>
    <definedName name="_Bias">[1]!Choices_Bias</definedName>
    <definedName name="_xlnm._FilterDatabase" localSheetId="0" hidden="1">SNAP!#REF!</definedName>
    <definedName name="_GroupNames">INDEX(tblGroupNames[Name],1,1):INDEX(tblGroupNames[Name],COUNTA(tblGroupNames[Name]))</definedName>
    <definedName name="_SnapColumnNames">SnapshotTable[#Headers]</definedName>
    <definedName name="_TargetBias_ShortTerm">[1]!Choices_ShortTermOutlook</definedName>
    <definedName name="AllActivePositions" comment="Filters out any positions that are not active" localSheetId="1">AutoFilters!$C$4:$C$5</definedName>
    <definedName name="CASH_ON_HAND">SNAP!$CF$404</definedName>
    <definedName name="CC_TimeValuePctThreshhold">SNAP!$FK$2</definedName>
    <definedName name="CoveredCallExpirationAnalysis" localSheetId="1">AutoFilters!$C$7:$D$8</definedName>
    <definedName name="CrashDiscount">SNAP!$E$1</definedName>
    <definedName name="_xlnm.Criteria" localSheetId="0">SNAP!#REF!</definedName>
    <definedName name="DumpPct">SNAP!#REF!</definedName>
    <definedName name="EbfCriteriaOps">[1]!Choices_EbfCriteriaOp</definedName>
    <definedName name="ExpirationDaysLookAhead">SNAP!$AQ$2</definedName>
    <definedName name="LC_StopLoss_Pct">SNAP!$EB$5</definedName>
    <definedName name="LngOnly" localSheetId="1">AutoFilters!$C$11:$C$12</definedName>
    <definedName name="MacdCrossing" comment="DataList">[1]!Choices_MacdCrossing</definedName>
    <definedName name="MacdTrend" comment="DataList">[1]!Choices_MacdDirection</definedName>
    <definedName name="MinimumPremiumRequired" localSheetId="0">SNAP!$EX$2</definedName>
    <definedName name="MockToday">SNAP!$E$3</definedName>
    <definedName name="NextFridayOpex">SNAP!$E$5</definedName>
    <definedName name="NextMonthlyOpex">SNAP!$E$6</definedName>
    <definedName name="PATH_TO_OPTION_WBKS">"C:\Users\Lord &amp; Master\Desktop\Green Olive\Investing\option wbks\"</definedName>
    <definedName name="PositionDirection">[1]!Choices_PositionDirection</definedName>
    <definedName name="PUT_RESERVE_POA">SNAP!$CJ$405</definedName>
    <definedName name="PUT_RESERVE_POTENTIAL">SNAP!$CF$405</definedName>
    <definedName name="SaleSharesToConsiderPercentage" localSheetId="0">SNAP!$GD$1</definedName>
    <definedName name="SellingPriceToConsiderBasedOnTargetPercentage" localSheetId="0">SNAP!$GE$1</definedName>
    <definedName name="ShortCallPctEarnedThreshhold">SNAP!$FK$5</definedName>
    <definedName name="SP_MaxLoss_OptionPct">SNAP!$CY$2</definedName>
    <definedName name="SP_MaxLoss_StrikePct">SNAP!$CY$5</definedName>
    <definedName name="Stochastic_Kpct" comment="DataList">[1]!Choices_StochasticK_Pct</definedName>
    <definedName name="TrendDirection" comment="DataList">[1]!Choices_Trend</definedName>
    <definedName name="Volume" comment="DataList">[1]!Choices_Volume</definedName>
    <definedName name="XlAutoFilterOps">[1]!Choices_XlAutoFilterOp</definedName>
  </definedNames>
  <calcPr calcId="191029"/>
  <pivotCaches>
    <pivotCache cacheId="12"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L9" i="2" l="1"/>
  <c r="EL10" i="2"/>
  <c r="EL11" i="2"/>
  <c r="EL12" i="2"/>
  <c r="EL13" i="2"/>
  <c r="EL14" i="2"/>
  <c r="EL15" i="2"/>
  <c r="EL16" i="2"/>
  <c r="EL17" i="2"/>
  <c r="EL18" i="2"/>
  <c r="EL19" i="2"/>
  <c r="EL20" i="2"/>
  <c r="EL21" i="2"/>
  <c r="EL22" i="2"/>
  <c r="EL23" i="2"/>
  <c r="EL24" i="2"/>
  <c r="EL25" i="2"/>
  <c r="EL26" i="2"/>
  <c r="EL27" i="2"/>
  <c r="EL28" i="2"/>
  <c r="EL29" i="2"/>
  <c r="EL30" i="2"/>
  <c r="EL31" i="2"/>
  <c r="EL32" i="2"/>
  <c r="EL33" i="2"/>
  <c r="EL34" i="2"/>
  <c r="EL35" i="2"/>
  <c r="EL36" i="2"/>
  <c r="EL37" i="2"/>
  <c r="EL38" i="2"/>
  <c r="EL39" i="2"/>
  <c r="EL40" i="2"/>
  <c r="EL41" i="2"/>
  <c r="EL42" i="2"/>
  <c r="EL43" i="2"/>
  <c r="EL44" i="2"/>
  <c r="EL45" i="2"/>
  <c r="EL46" i="2"/>
  <c r="EL47" i="2"/>
  <c r="EL48" i="2"/>
  <c r="EL49" i="2"/>
  <c r="EL50" i="2"/>
  <c r="EL51" i="2"/>
  <c r="EL52" i="2"/>
  <c r="EL53" i="2"/>
  <c r="EL54" i="2"/>
  <c r="EL55" i="2"/>
  <c r="EL56" i="2"/>
  <c r="EL57" i="2"/>
  <c r="EL58" i="2"/>
  <c r="EL59" i="2"/>
  <c r="EL60" i="2"/>
  <c r="EL61" i="2"/>
  <c r="EL62" i="2"/>
  <c r="EL63" i="2"/>
  <c r="EL64" i="2"/>
  <c r="EL65" i="2"/>
  <c r="EL66" i="2"/>
  <c r="EL67" i="2"/>
  <c r="EL68" i="2"/>
  <c r="EL69" i="2"/>
  <c r="EL70" i="2"/>
  <c r="EL71" i="2"/>
  <c r="EL72" i="2"/>
  <c r="EL73" i="2"/>
  <c r="EL74" i="2"/>
  <c r="EL75" i="2"/>
  <c r="EL76" i="2"/>
  <c r="EL77" i="2"/>
  <c r="EL78" i="2"/>
  <c r="EL79" i="2"/>
  <c r="EL80" i="2"/>
  <c r="EL81" i="2"/>
  <c r="EL82" i="2"/>
  <c r="EL83" i="2"/>
  <c r="EL84" i="2"/>
  <c r="EL85" i="2"/>
  <c r="EL86" i="2"/>
  <c r="EL87" i="2"/>
  <c r="EL88" i="2"/>
  <c r="EL89" i="2"/>
  <c r="EL90" i="2"/>
  <c r="EL91" i="2"/>
  <c r="EL92" i="2"/>
  <c r="EL93" i="2"/>
  <c r="EL94" i="2"/>
  <c r="EL95" i="2"/>
  <c r="EL96" i="2"/>
  <c r="EL97" i="2"/>
  <c r="EL98" i="2"/>
  <c r="EL99" i="2"/>
  <c r="EL100" i="2"/>
  <c r="EL101" i="2"/>
  <c r="EL102" i="2"/>
  <c r="EL103" i="2"/>
  <c r="EL104" i="2"/>
  <c r="EL105" i="2"/>
  <c r="EL106" i="2"/>
  <c r="EL107" i="2"/>
  <c r="EL108" i="2"/>
  <c r="EL109" i="2"/>
  <c r="EL110" i="2"/>
  <c r="EL111" i="2"/>
  <c r="EL112" i="2"/>
  <c r="EL113" i="2"/>
  <c r="EL114" i="2"/>
  <c r="EL115" i="2"/>
  <c r="EL116" i="2"/>
  <c r="EL117" i="2"/>
  <c r="EL118" i="2"/>
  <c r="EL119" i="2"/>
  <c r="EL120" i="2"/>
  <c r="EL121" i="2"/>
  <c r="EL122" i="2"/>
  <c r="EL123" i="2"/>
  <c r="EL124" i="2"/>
  <c r="EL125" i="2"/>
  <c r="EL126" i="2"/>
  <c r="EL127" i="2"/>
  <c r="EL128" i="2"/>
  <c r="EL129" i="2"/>
  <c r="EL130" i="2"/>
  <c r="EL131" i="2"/>
  <c r="EL132" i="2"/>
  <c r="EL133" i="2"/>
  <c r="EL134" i="2"/>
  <c r="EL135" i="2"/>
  <c r="EL136" i="2"/>
  <c r="EL137" i="2"/>
  <c r="EL138" i="2"/>
  <c r="EL139" i="2"/>
  <c r="EL140" i="2"/>
  <c r="EL141" i="2"/>
  <c r="EL142" i="2"/>
  <c r="EL143" i="2"/>
  <c r="EL144" i="2"/>
  <c r="EL145" i="2"/>
  <c r="EL146" i="2"/>
  <c r="EL147" i="2"/>
  <c r="EL148" i="2"/>
  <c r="EL149" i="2"/>
  <c r="EL150" i="2"/>
  <c r="EL151" i="2"/>
  <c r="EL152" i="2"/>
  <c r="EL153" i="2"/>
  <c r="EL154" i="2"/>
  <c r="EL155" i="2"/>
  <c r="EL156" i="2"/>
  <c r="EL157" i="2"/>
  <c r="EL158" i="2"/>
  <c r="EL159" i="2"/>
  <c r="EL160" i="2"/>
  <c r="EL162" i="2"/>
  <c r="EL163" i="2"/>
  <c r="EL164" i="2"/>
  <c r="EL165" i="2"/>
  <c r="EL166" i="2"/>
  <c r="EL167" i="2"/>
  <c r="EL168" i="2"/>
  <c r="EL169" i="2"/>
  <c r="EL170" i="2"/>
  <c r="EL171" i="2"/>
  <c r="EL172" i="2"/>
  <c r="EL173" i="2"/>
  <c r="EL174" i="2"/>
  <c r="EL176" i="2"/>
  <c r="EL177" i="2"/>
  <c r="EL178" i="2"/>
  <c r="EL179" i="2"/>
  <c r="EL180" i="2"/>
  <c r="EL181" i="2"/>
  <c r="EL182" i="2"/>
  <c r="EL183" i="2"/>
  <c r="EL184" i="2"/>
  <c r="EL185" i="2"/>
  <c r="EL186" i="2"/>
  <c r="EL187" i="2"/>
  <c r="EL188" i="2"/>
  <c r="EL189" i="2"/>
  <c r="EL190" i="2"/>
  <c r="EL191" i="2"/>
  <c r="EL192" i="2"/>
  <c r="EL193" i="2"/>
  <c r="EL194" i="2"/>
  <c r="EL195" i="2"/>
  <c r="EL196" i="2"/>
  <c r="EL197" i="2"/>
  <c r="EL198" i="2"/>
  <c r="EL199" i="2"/>
  <c r="EL200" i="2"/>
  <c r="EL201" i="2"/>
  <c r="EL202" i="2"/>
  <c r="EL203" i="2"/>
  <c r="EL204" i="2"/>
  <c r="EL205" i="2"/>
  <c r="EL206" i="2"/>
  <c r="EL207" i="2"/>
  <c r="EL208" i="2"/>
  <c r="EL209" i="2"/>
  <c r="EL210" i="2"/>
  <c r="EL211" i="2"/>
  <c r="EL212" i="2"/>
  <c r="EL213" i="2"/>
  <c r="EL214" i="2"/>
  <c r="EL215" i="2"/>
  <c r="EL216" i="2"/>
  <c r="EL217" i="2"/>
  <c r="EL218" i="2"/>
  <c r="EL219" i="2"/>
  <c r="EL220" i="2"/>
  <c r="EL221" i="2"/>
  <c r="EL222" i="2"/>
  <c r="EL223" i="2"/>
  <c r="EL224" i="2"/>
  <c r="EL225" i="2"/>
  <c r="EL226" i="2"/>
  <c r="EL227" i="2"/>
  <c r="EL228" i="2"/>
  <c r="EL229" i="2"/>
  <c r="EL230" i="2"/>
  <c r="EL231" i="2"/>
  <c r="EL232" i="2"/>
  <c r="EL233" i="2"/>
  <c r="EL234" i="2"/>
  <c r="EL235" i="2"/>
  <c r="EL236" i="2"/>
  <c r="EL237" i="2"/>
  <c r="EL238" i="2"/>
  <c r="EL239" i="2"/>
  <c r="EL240" i="2"/>
  <c r="EL241" i="2"/>
  <c r="EL242" i="2"/>
  <c r="EL243" i="2"/>
  <c r="EL245" i="2"/>
  <c r="EL246" i="2"/>
  <c r="EL247" i="2"/>
  <c r="EL248" i="2"/>
  <c r="EL249" i="2"/>
  <c r="EL250" i="2"/>
  <c r="EL251" i="2"/>
  <c r="EL252" i="2"/>
  <c r="EL253" i="2"/>
  <c r="EL254" i="2"/>
  <c r="EL255" i="2"/>
  <c r="EL256" i="2"/>
  <c r="EL257" i="2"/>
  <c r="EL258" i="2"/>
  <c r="EL259" i="2"/>
  <c r="EL260" i="2"/>
  <c r="EL261" i="2"/>
  <c r="EL262" i="2"/>
  <c r="EL263" i="2"/>
  <c r="EL264" i="2"/>
  <c r="EL265" i="2"/>
  <c r="EL266" i="2"/>
  <c r="EL267" i="2"/>
  <c r="EL268" i="2"/>
  <c r="EL269" i="2"/>
  <c r="EL270" i="2"/>
  <c r="EL271" i="2"/>
  <c r="EL272" i="2"/>
  <c r="EL273" i="2"/>
  <c r="EL274" i="2"/>
  <c r="EL275" i="2"/>
  <c r="EL276" i="2"/>
  <c r="EL277" i="2"/>
  <c r="EL278" i="2"/>
  <c r="EL279" i="2"/>
  <c r="EL280" i="2"/>
  <c r="EL281" i="2"/>
  <c r="EL282" i="2"/>
  <c r="EL283" i="2"/>
  <c r="EL284" i="2"/>
  <c r="EL285" i="2"/>
  <c r="EL286" i="2"/>
  <c r="EL287" i="2"/>
  <c r="EL288" i="2"/>
  <c r="EL289" i="2"/>
  <c r="EL290" i="2"/>
  <c r="EL291" i="2"/>
  <c r="EL292" i="2"/>
  <c r="EL293" i="2"/>
  <c r="EL294" i="2"/>
  <c r="EL295" i="2"/>
  <c r="EL296" i="2"/>
  <c r="EL297" i="2"/>
  <c r="EL298" i="2"/>
  <c r="EL299" i="2"/>
  <c r="EL300" i="2"/>
  <c r="EL301" i="2"/>
  <c r="EL302" i="2"/>
  <c r="EL303" i="2"/>
  <c r="EL304" i="2"/>
  <c r="EL305" i="2"/>
  <c r="EL306" i="2"/>
  <c r="EL307" i="2"/>
  <c r="EL308" i="2"/>
  <c r="EL309" i="2"/>
  <c r="EL310" i="2"/>
  <c r="EL312" i="2"/>
  <c r="EL313" i="2"/>
  <c r="EL314" i="2"/>
  <c r="EL315" i="2"/>
  <c r="EL316" i="2"/>
  <c r="EL317" i="2"/>
  <c r="EL318" i="2"/>
  <c r="EL319" i="2"/>
  <c r="EL320" i="2"/>
  <c r="EL321" i="2"/>
  <c r="EL322" i="2"/>
  <c r="EL323" i="2"/>
  <c r="EL324" i="2"/>
  <c r="EL325" i="2"/>
  <c r="EL326" i="2"/>
  <c r="EL327" i="2"/>
  <c r="EL328" i="2"/>
  <c r="EL329" i="2"/>
  <c r="EL330" i="2"/>
  <c r="EL331" i="2"/>
  <c r="EL332" i="2"/>
  <c r="EL333" i="2"/>
  <c r="EL334" i="2"/>
  <c r="EL335" i="2"/>
  <c r="EL336" i="2"/>
  <c r="EL337" i="2"/>
  <c r="EL338" i="2"/>
  <c r="EL339" i="2"/>
  <c r="EL340" i="2"/>
  <c r="EL341" i="2"/>
  <c r="EL342" i="2"/>
  <c r="EL343" i="2"/>
  <c r="EL344" i="2"/>
  <c r="EL345" i="2"/>
  <c r="EL346" i="2"/>
  <c r="EL347" i="2"/>
  <c r="EL348" i="2"/>
  <c r="EL349" i="2"/>
  <c r="EL350" i="2"/>
  <c r="EL351" i="2"/>
  <c r="EL352" i="2"/>
  <c r="EL353" i="2"/>
  <c r="EL354" i="2"/>
  <c r="EL355" i="2"/>
  <c r="EL356" i="2"/>
  <c r="EL357" i="2"/>
  <c r="EL358" i="2"/>
  <c r="EL359" i="2"/>
  <c r="EL360" i="2"/>
  <c r="EL361" i="2"/>
  <c r="EL362" i="2"/>
  <c r="EL363" i="2"/>
  <c r="EL364" i="2"/>
  <c r="EL365" i="2"/>
  <c r="EL366" i="2"/>
  <c r="EL367" i="2"/>
  <c r="EL368" i="2"/>
  <c r="EL369" i="2"/>
  <c r="EL370" i="2"/>
  <c r="EL371" i="2"/>
  <c r="EL372" i="2"/>
  <c r="EL373" i="2"/>
  <c r="EL374" i="2"/>
  <c r="EL375" i="2"/>
  <c r="EL376" i="2"/>
  <c r="EL377" i="2"/>
  <c r="EL378" i="2"/>
  <c r="EL379" i="2"/>
  <c r="EL380" i="2"/>
  <c r="EL381" i="2"/>
  <c r="EL382" i="2"/>
  <c r="EL383" i="2"/>
  <c r="EL384" i="2"/>
  <c r="EL385" i="2"/>
  <c r="EL386" i="2"/>
  <c r="EL387" i="2"/>
  <c r="EL388" i="2"/>
  <c r="EL389" i="2"/>
  <c r="EL391" i="2"/>
  <c r="EL392" i="2"/>
  <c r="EL393" i="2"/>
  <c r="EL394" i="2"/>
  <c r="BR9" i="2"/>
  <c r="BR10" i="2"/>
  <c r="BR11" i="2"/>
  <c r="BR12" i="2"/>
  <c r="BR13" i="2"/>
  <c r="BR14" i="2"/>
  <c r="BR15" i="2"/>
  <c r="BR16" i="2"/>
  <c r="BR17" i="2"/>
  <c r="BR18" i="2"/>
  <c r="BR19" i="2"/>
  <c r="BR20" i="2"/>
  <c r="BR21" i="2"/>
  <c r="BR22" i="2"/>
  <c r="BR23" i="2"/>
  <c r="BR24" i="2"/>
  <c r="BR25" i="2"/>
  <c r="BR26" i="2"/>
  <c r="BR27" i="2"/>
  <c r="BR28" i="2"/>
  <c r="BR29" i="2"/>
  <c r="BR30" i="2"/>
  <c r="BR31" i="2"/>
  <c r="BR32" i="2"/>
  <c r="BR33" i="2"/>
  <c r="BR34" i="2"/>
  <c r="BR35" i="2"/>
  <c r="BR36" i="2"/>
  <c r="BR37" i="2"/>
  <c r="BR38" i="2"/>
  <c r="BR39" i="2"/>
  <c r="BR40" i="2"/>
  <c r="BR41" i="2"/>
  <c r="BR42" i="2"/>
  <c r="BR43" i="2"/>
  <c r="BR44" i="2"/>
  <c r="BR45" i="2"/>
  <c r="BR46" i="2"/>
  <c r="BR47" i="2"/>
  <c r="BR48" i="2"/>
  <c r="BR49" i="2"/>
  <c r="BR50" i="2"/>
  <c r="BR51" i="2"/>
  <c r="BR52" i="2"/>
  <c r="BR53" i="2"/>
  <c r="BR54" i="2"/>
  <c r="BR55" i="2"/>
  <c r="BR56" i="2"/>
  <c r="BR57" i="2"/>
  <c r="BR58" i="2"/>
  <c r="BR59" i="2"/>
  <c r="BR60" i="2"/>
  <c r="BR61" i="2"/>
  <c r="BR62" i="2"/>
  <c r="BR63" i="2"/>
  <c r="BR64" i="2"/>
  <c r="BR65" i="2"/>
  <c r="BR66" i="2"/>
  <c r="BR67" i="2"/>
  <c r="BR68" i="2"/>
  <c r="BR69" i="2"/>
  <c r="BR70" i="2"/>
  <c r="BR71" i="2"/>
  <c r="BR72" i="2"/>
  <c r="BR73" i="2"/>
  <c r="BR74" i="2"/>
  <c r="BR75" i="2"/>
  <c r="BR76" i="2"/>
  <c r="BR77" i="2"/>
  <c r="BR78" i="2"/>
  <c r="BR79" i="2"/>
  <c r="BR80" i="2"/>
  <c r="BR81" i="2"/>
  <c r="BR82" i="2"/>
  <c r="BR83" i="2"/>
  <c r="BR84" i="2"/>
  <c r="BR85" i="2"/>
  <c r="BR86" i="2"/>
  <c r="BR87" i="2"/>
  <c r="BR88" i="2"/>
  <c r="BR89" i="2"/>
  <c r="BR90" i="2"/>
  <c r="BR91" i="2"/>
  <c r="BR92" i="2"/>
  <c r="BR93" i="2"/>
  <c r="BR94" i="2"/>
  <c r="BR95" i="2"/>
  <c r="BR96" i="2"/>
  <c r="BR97" i="2"/>
  <c r="BR98" i="2"/>
  <c r="BR99" i="2"/>
  <c r="BR100" i="2"/>
  <c r="BR101" i="2"/>
  <c r="BR102" i="2"/>
  <c r="BR103" i="2"/>
  <c r="BR104" i="2"/>
  <c r="BR105" i="2"/>
  <c r="BR106" i="2"/>
  <c r="BR107" i="2"/>
  <c r="BR108" i="2"/>
  <c r="BR109" i="2"/>
  <c r="BR110" i="2"/>
  <c r="BR111" i="2"/>
  <c r="BR112" i="2"/>
  <c r="BR113" i="2"/>
  <c r="BR114" i="2"/>
  <c r="BR115" i="2"/>
  <c r="BR116" i="2"/>
  <c r="BR117" i="2"/>
  <c r="BR118" i="2"/>
  <c r="BR119" i="2"/>
  <c r="BR120" i="2"/>
  <c r="BR121" i="2"/>
  <c r="BR122" i="2"/>
  <c r="BR123" i="2"/>
  <c r="BR124" i="2"/>
  <c r="BR125" i="2"/>
  <c r="BR126" i="2"/>
  <c r="BR127" i="2"/>
  <c r="BR128" i="2"/>
  <c r="BR129" i="2"/>
  <c r="BR130" i="2"/>
  <c r="BR131" i="2"/>
  <c r="BR132" i="2"/>
  <c r="BR133" i="2"/>
  <c r="BR134" i="2"/>
  <c r="BR135" i="2"/>
  <c r="BR136" i="2"/>
  <c r="BR137" i="2"/>
  <c r="BR138" i="2"/>
  <c r="BR139" i="2"/>
  <c r="BR140" i="2"/>
  <c r="BR141" i="2"/>
  <c r="BR142" i="2"/>
  <c r="BR143" i="2"/>
  <c r="BR144" i="2"/>
  <c r="BR145" i="2"/>
  <c r="BR146" i="2"/>
  <c r="BR147" i="2"/>
  <c r="BR148" i="2"/>
  <c r="BR149" i="2"/>
  <c r="BR150" i="2"/>
  <c r="BR151" i="2"/>
  <c r="BR152" i="2"/>
  <c r="BR153" i="2"/>
  <c r="BR154" i="2"/>
  <c r="BR155" i="2"/>
  <c r="BR156" i="2"/>
  <c r="BR157" i="2"/>
  <c r="BR158" i="2"/>
  <c r="BR159" i="2"/>
  <c r="BR160" i="2"/>
  <c r="BR161" i="2"/>
  <c r="BR162" i="2"/>
  <c r="BR163" i="2"/>
  <c r="BR164" i="2"/>
  <c r="BR165" i="2"/>
  <c r="BR166" i="2"/>
  <c r="BR168" i="2"/>
  <c r="BR169" i="2"/>
  <c r="BR170" i="2"/>
  <c r="BR171" i="2"/>
  <c r="BR172" i="2"/>
  <c r="BR173" i="2"/>
  <c r="BR174" i="2"/>
  <c r="BR176" i="2"/>
  <c r="BR177" i="2"/>
  <c r="BR178" i="2"/>
  <c r="BR179" i="2"/>
  <c r="BR180" i="2"/>
  <c r="BR181" i="2"/>
  <c r="BR182" i="2"/>
  <c r="BR183" i="2"/>
  <c r="BR184" i="2"/>
  <c r="BR185" i="2"/>
  <c r="BR186" i="2"/>
  <c r="BR187" i="2"/>
  <c r="BR188" i="2"/>
  <c r="BR189" i="2"/>
  <c r="BR190" i="2"/>
  <c r="BR191" i="2"/>
  <c r="BR192" i="2"/>
  <c r="BR193" i="2"/>
  <c r="BR194" i="2"/>
  <c r="BR195" i="2"/>
  <c r="BR196" i="2"/>
  <c r="BR197" i="2"/>
  <c r="BR198" i="2"/>
  <c r="BR199" i="2"/>
  <c r="BR200" i="2"/>
  <c r="BR202" i="2"/>
  <c r="BR203" i="2"/>
  <c r="BR204" i="2"/>
  <c r="BR205" i="2"/>
  <c r="BR206" i="2"/>
  <c r="BR207" i="2"/>
  <c r="BR208" i="2"/>
  <c r="BR209" i="2"/>
  <c r="BR210" i="2"/>
  <c r="BR211" i="2"/>
  <c r="BR212" i="2"/>
  <c r="BR213" i="2"/>
  <c r="BR214" i="2"/>
  <c r="BR215" i="2"/>
  <c r="BR216" i="2"/>
  <c r="BR217" i="2"/>
  <c r="BR218" i="2"/>
  <c r="BR219" i="2"/>
  <c r="BR220" i="2"/>
  <c r="BR221" i="2"/>
  <c r="BR222" i="2"/>
  <c r="BR223" i="2"/>
  <c r="BR224" i="2"/>
  <c r="BR225" i="2"/>
  <c r="BR226" i="2"/>
  <c r="BR230" i="2"/>
  <c r="BR231" i="2"/>
  <c r="BR232" i="2"/>
  <c r="BR233" i="2"/>
  <c r="BR234" i="2"/>
  <c r="BR236" i="2"/>
  <c r="BR237" i="2"/>
  <c r="BR238" i="2"/>
  <c r="BR239" i="2"/>
  <c r="BR240" i="2"/>
  <c r="BR241" i="2"/>
  <c r="BR242" i="2"/>
  <c r="BR243" i="2"/>
  <c r="BR244" i="2"/>
  <c r="BR245" i="2"/>
  <c r="BR246" i="2"/>
  <c r="BR247" i="2"/>
  <c r="BR248" i="2"/>
  <c r="BR249" i="2"/>
  <c r="BR250" i="2"/>
  <c r="BR251" i="2"/>
  <c r="BR252" i="2"/>
  <c r="BR253" i="2"/>
  <c r="BR254" i="2"/>
  <c r="BR255" i="2"/>
  <c r="BR256" i="2"/>
  <c r="BR257" i="2"/>
  <c r="BR258" i="2"/>
  <c r="BR259" i="2"/>
  <c r="BR260" i="2"/>
  <c r="BR261" i="2"/>
  <c r="BR262" i="2"/>
  <c r="BR263" i="2"/>
  <c r="BR264" i="2"/>
  <c r="BR265" i="2"/>
  <c r="BR266" i="2"/>
  <c r="BR267" i="2"/>
  <c r="BR268" i="2"/>
  <c r="BR269" i="2"/>
  <c r="BR270" i="2"/>
  <c r="BR271" i="2"/>
  <c r="BR272" i="2"/>
  <c r="BR273" i="2"/>
  <c r="BR274" i="2"/>
  <c r="BR275" i="2"/>
  <c r="BR276" i="2"/>
  <c r="BR277" i="2"/>
  <c r="BR278" i="2"/>
  <c r="BR279" i="2"/>
  <c r="BR280" i="2"/>
  <c r="BR281" i="2"/>
  <c r="BR282" i="2"/>
  <c r="BR283" i="2"/>
  <c r="BR284" i="2"/>
  <c r="BR285" i="2"/>
  <c r="BR286" i="2"/>
  <c r="BR287" i="2"/>
  <c r="BR288" i="2"/>
  <c r="BR289" i="2"/>
  <c r="BR290" i="2"/>
  <c r="BR291" i="2"/>
  <c r="BR293" i="2"/>
  <c r="BR294" i="2"/>
  <c r="BR295" i="2"/>
  <c r="BR296" i="2"/>
  <c r="BR297" i="2"/>
  <c r="BR298" i="2"/>
  <c r="BR299" i="2"/>
  <c r="BR300" i="2"/>
  <c r="BR301" i="2"/>
  <c r="BR302" i="2"/>
  <c r="BR303" i="2"/>
  <c r="BR304" i="2"/>
  <c r="BR305" i="2"/>
  <c r="BR306" i="2"/>
  <c r="BR307" i="2"/>
  <c r="BR308" i="2"/>
  <c r="BR309" i="2"/>
  <c r="BR310" i="2"/>
  <c r="BR311" i="2"/>
  <c r="BR312" i="2"/>
  <c r="BR313" i="2"/>
  <c r="BR314" i="2"/>
  <c r="BR315" i="2"/>
  <c r="BR316" i="2"/>
  <c r="BR317" i="2"/>
  <c r="BR318" i="2"/>
  <c r="BR319" i="2"/>
  <c r="BR320" i="2"/>
  <c r="BR321" i="2"/>
  <c r="BR322" i="2"/>
  <c r="BR323" i="2"/>
  <c r="BR324" i="2"/>
  <c r="BR325" i="2"/>
  <c r="BR326" i="2"/>
  <c r="BR327" i="2"/>
  <c r="BR328" i="2"/>
  <c r="BR329" i="2"/>
  <c r="BR330" i="2"/>
  <c r="BR331" i="2"/>
  <c r="BR332" i="2"/>
  <c r="BR333" i="2"/>
  <c r="BR334" i="2"/>
  <c r="BR335" i="2"/>
  <c r="BR336" i="2"/>
  <c r="BR337" i="2"/>
  <c r="BR338" i="2"/>
  <c r="BR339" i="2"/>
  <c r="BR340" i="2"/>
  <c r="BR341" i="2"/>
  <c r="BR342" i="2"/>
  <c r="BR343" i="2"/>
  <c r="BR344" i="2"/>
  <c r="BR345" i="2"/>
  <c r="BR346" i="2"/>
  <c r="BR347" i="2"/>
  <c r="BR348" i="2"/>
  <c r="BR349" i="2"/>
  <c r="BR350" i="2"/>
  <c r="BR351" i="2"/>
  <c r="BR352" i="2"/>
  <c r="BR353" i="2"/>
  <c r="BR354" i="2"/>
  <c r="BR355" i="2"/>
  <c r="BR356" i="2"/>
  <c r="BR357" i="2"/>
  <c r="BR358" i="2"/>
  <c r="BR359" i="2"/>
  <c r="BR360" i="2"/>
  <c r="BR361" i="2"/>
  <c r="BR362" i="2"/>
  <c r="BR363" i="2"/>
  <c r="BR364" i="2"/>
  <c r="BR365" i="2"/>
  <c r="BR366" i="2"/>
  <c r="BR367" i="2"/>
  <c r="BR368" i="2"/>
  <c r="BR369" i="2"/>
  <c r="BR370" i="2"/>
  <c r="BR371" i="2"/>
  <c r="BR372" i="2"/>
  <c r="BR373" i="2"/>
  <c r="BR374" i="2"/>
  <c r="BR375" i="2"/>
  <c r="BR376" i="2"/>
  <c r="BR377" i="2"/>
  <c r="BR378" i="2"/>
  <c r="BR379" i="2"/>
  <c r="BR380" i="2"/>
  <c r="BR381" i="2"/>
  <c r="BR382" i="2"/>
  <c r="BR383" i="2"/>
  <c r="BR384" i="2"/>
  <c r="BR385" i="2"/>
  <c r="BR386" i="2"/>
  <c r="BR387" i="2"/>
  <c r="BR388" i="2"/>
  <c r="BR389" i="2"/>
  <c r="BR390" i="2"/>
  <c r="BR391" i="2"/>
  <c r="BR392" i="2"/>
  <c r="BR393" i="2"/>
  <c r="BR394" i="2"/>
  <c r="E3" i="2"/>
  <c r="E5" i="2" s="1"/>
  <c r="EK161" i="2" s="1"/>
  <c r="EL161" i="2" s="1"/>
  <c r="BT292" i="2" l="1"/>
  <c r="BU292" i="2"/>
  <c r="BU228" i="2"/>
  <c r="BT235" i="2"/>
  <c r="BT228" i="2"/>
  <c r="BU235" i="2"/>
  <c r="BT229" i="2"/>
  <c r="BT227" i="2"/>
  <c r="BU227" i="2"/>
  <c r="BU229" i="2"/>
  <c r="BT201" i="2"/>
  <c r="BU201" i="2"/>
  <c r="BT175" i="2"/>
  <c r="BU175" i="2"/>
  <c r="BU167" i="2"/>
  <c r="BT167" i="2"/>
  <c r="BQ175" i="2"/>
  <c r="BR175" i="2" s="1"/>
  <c r="BQ228" i="2"/>
  <c r="BR228" i="2" s="1"/>
  <c r="BQ167" i="2"/>
  <c r="BR167" i="2" s="1"/>
  <c r="EN390" i="2"/>
  <c r="EO390" i="2" s="1"/>
  <c r="EN311" i="2"/>
  <c r="EO311" i="2" s="1"/>
  <c r="EN244" i="2"/>
  <c r="EO244" i="2" s="1"/>
  <c r="EN175" i="2"/>
  <c r="EO175" i="2" s="1"/>
  <c r="EN161" i="2"/>
  <c r="EO161" i="2" s="1"/>
  <c r="E6" i="2"/>
  <c r="EK244" i="2"/>
  <c r="EL244" i="2" s="1"/>
  <c r="EK175" i="2"/>
  <c r="EL175" i="2" s="1"/>
  <c r="BW9" i="2"/>
  <c r="BY9" i="2" s="1"/>
  <c r="BW10" i="2"/>
  <c r="BY10" i="2" s="1"/>
  <c r="BW11" i="2"/>
  <c r="BY11" i="2" s="1"/>
  <c r="BW12" i="2"/>
  <c r="BY12" i="2" s="1"/>
  <c r="BW13" i="2"/>
  <c r="BY13" i="2" s="1"/>
  <c r="BW14" i="2"/>
  <c r="BY14" i="2" s="1"/>
  <c r="BW15" i="2"/>
  <c r="BY15" i="2" s="1"/>
  <c r="BW16" i="2"/>
  <c r="BY16" i="2" s="1"/>
  <c r="BW17" i="2"/>
  <c r="BY17" i="2" s="1"/>
  <c r="BW18" i="2"/>
  <c r="BY18" i="2" s="1"/>
  <c r="BW19" i="2"/>
  <c r="BY19" i="2" s="1"/>
  <c r="BW20" i="2"/>
  <c r="BY20" i="2" s="1"/>
  <c r="BW21" i="2"/>
  <c r="BY21" i="2" s="1"/>
  <c r="BW22" i="2"/>
  <c r="BY22" i="2" s="1"/>
  <c r="BW23" i="2"/>
  <c r="BY23" i="2" s="1"/>
  <c r="BW24" i="2"/>
  <c r="BY24" i="2" s="1"/>
  <c r="BW25" i="2"/>
  <c r="BY25" i="2" s="1"/>
  <c r="BW26" i="2"/>
  <c r="BY26" i="2" s="1"/>
  <c r="BW27" i="2"/>
  <c r="BY27" i="2" s="1"/>
  <c r="BW28" i="2"/>
  <c r="BY28" i="2" s="1"/>
  <c r="BW29" i="2"/>
  <c r="BY29" i="2" s="1"/>
  <c r="BW30" i="2"/>
  <c r="BY30" i="2" s="1"/>
  <c r="BW31" i="2"/>
  <c r="BY31" i="2" s="1"/>
  <c r="BW32" i="2"/>
  <c r="BY32" i="2" s="1"/>
  <c r="BW33" i="2"/>
  <c r="BY33" i="2" s="1"/>
  <c r="BW34" i="2"/>
  <c r="BY34" i="2" s="1"/>
  <c r="BW35" i="2"/>
  <c r="BY35" i="2" s="1"/>
  <c r="BW36" i="2"/>
  <c r="BY36" i="2" s="1"/>
  <c r="BW37" i="2"/>
  <c r="BY37" i="2" s="1"/>
  <c r="BW38" i="2"/>
  <c r="BY38" i="2" s="1"/>
  <c r="BW39" i="2"/>
  <c r="BY39" i="2" s="1"/>
  <c r="BW40" i="2"/>
  <c r="BY40" i="2" s="1"/>
  <c r="BW41" i="2"/>
  <c r="BY41" i="2" s="1"/>
  <c r="BW42" i="2"/>
  <c r="BY42" i="2" s="1"/>
  <c r="BW43" i="2"/>
  <c r="BY43" i="2" s="1"/>
  <c r="BW44" i="2"/>
  <c r="BY44" i="2" s="1"/>
  <c r="BW45" i="2"/>
  <c r="BY45" i="2" s="1"/>
  <c r="BW46" i="2"/>
  <c r="BY46" i="2" s="1"/>
  <c r="BW47" i="2"/>
  <c r="BY47" i="2" s="1"/>
  <c r="BW48" i="2"/>
  <c r="BY48" i="2" s="1"/>
  <c r="BW49" i="2"/>
  <c r="BY49" i="2" s="1"/>
  <c r="BW50" i="2"/>
  <c r="BY50" i="2" s="1"/>
  <c r="BW51" i="2"/>
  <c r="BY51" i="2" s="1"/>
  <c r="BW52" i="2"/>
  <c r="BY52" i="2" s="1"/>
  <c r="BW53" i="2"/>
  <c r="BY53" i="2" s="1"/>
  <c r="BW54" i="2"/>
  <c r="BY54" i="2" s="1"/>
  <c r="BW55" i="2"/>
  <c r="BY55" i="2" s="1"/>
  <c r="BW56" i="2"/>
  <c r="BY56" i="2" s="1"/>
  <c r="BW57" i="2"/>
  <c r="BY57" i="2" s="1"/>
  <c r="BW58" i="2"/>
  <c r="BY58" i="2" s="1"/>
  <c r="BW59" i="2"/>
  <c r="BY59" i="2" s="1"/>
  <c r="BW60" i="2"/>
  <c r="BY60" i="2" s="1"/>
  <c r="BW61" i="2"/>
  <c r="BY61" i="2" s="1"/>
  <c r="BW62" i="2"/>
  <c r="BY62" i="2" s="1"/>
  <c r="BW63" i="2"/>
  <c r="BY63" i="2" s="1"/>
  <c r="BW244" i="2"/>
  <c r="BY244" i="2" s="1"/>
  <c r="BW65" i="2"/>
  <c r="BY65" i="2" s="1"/>
  <c r="BW66" i="2"/>
  <c r="BY66" i="2" s="1"/>
  <c r="BW67" i="2"/>
  <c r="BY67" i="2" s="1"/>
  <c r="BW68" i="2"/>
  <c r="BY68" i="2" s="1"/>
  <c r="BW69" i="2"/>
  <c r="BY69" i="2" s="1"/>
  <c r="BW70" i="2"/>
  <c r="BY70" i="2" s="1"/>
  <c r="BW71" i="2"/>
  <c r="BY71" i="2" s="1"/>
  <c r="BW72" i="2"/>
  <c r="BY72" i="2" s="1"/>
  <c r="BW73" i="2"/>
  <c r="BY73" i="2" s="1"/>
  <c r="BW74" i="2"/>
  <c r="BY74" i="2" s="1"/>
  <c r="BW75" i="2"/>
  <c r="BY75" i="2" s="1"/>
  <c r="BW76" i="2"/>
  <c r="BY76" i="2" s="1"/>
  <c r="BW77" i="2"/>
  <c r="BY77" i="2" s="1"/>
  <c r="BW78" i="2"/>
  <c r="BY78" i="2" s="1"/>
  <c r="BW79" i="2"/>
  <c r="BY79" i="2" s="1"/>
  <c r="BW80" i="2"/>
  <c r="BY80" i="2" s="1"/>
  <c r="BW81" i="2"/>
  <c r="BY81" i="2" s="1"/>
  <c r="BW82" i="2"/>
  <c r="BY82" i="2" s="1"/>
  <c r="BW83" i="2"/>
  <c r="BY83" i="2" s="1"/>
  <c r="BW84" i="2"/>
  <c r="BY84" i="2" s="1"/>
  <c r="BW85" i="2"/>
  <c r="BY85" i="2" s="1"/>
  <c r="BW86" i="2"/>
  <c r="BY86" i="2" s="1"/>
  <c r="BW87" i="2"/>
  <c r="BY87" i="2" s="1"/>
  <c r="BW88" i="2"/>
  <c r="BY88" i="2" s="1"/>
  <c r="BW89" i="2"/>
  <c r="BY89" i="2" s="1"/>
  <c r="BW90" i="2"/>
  <c r="BY90" i="2" s="1"/>
  <c r="BW91" i="2"/>
  <c r="BY91" i="2" s="1"/>
  <c r="BW92" i="2"/>
  <c r="BY92" i="2" s="1"/>
  <c r="BW93" i="2"/>
  <c r="BY93" i="2" s="1"/>
  <c r="BW94" i="2"/>
  <c r="BY94" i="2" s="1"/>
  <c r="BW95" i="2"/>
  <c r="BY95" i="2" s="1"/>
  <c r="BW96" i="2"/>
  <c r="BY96" i="2" s="1"/>
  <c r="BW97" i="2"/>
  <c r="BY97" i="2" s="1"/>
  <c r="BW98" i="2"/>
  <c r="BY98" i="2" s="1"/>
  <c r="BW99" i="2"/>
  <c r="BY99" i="2" s="1"/>
  <c r="BW100" i="2"/>
  <c r="BY100" i="2" s="1"/>
  <c r="BW101" i="2"/>
  <c r="BY101" i="2" s="1"/>
  <c r="BW102" i="2"/>
  <c r="BY102" i="2" s="1"/>
  <c r="BW103" i="2"/>
  <c r="BY103" i="2" s="1"/>
  <c r="BW104" i="2"/>
  <c r="BY104" i="2" s="1"/>
  <c r="BW105" i="2"/>
  <c r="BY105" i="2" s="1"/>
  <c r="BW106" i="2"/>
  <c r="BY106" i="2" s="1"/>
  <c r="BW107" i="2"/>
  <c r="BY107" i="2" s="1"/>
  <c r="BW108" i="2"/>
  <c r="BY108" i="2" s="1"/>
  <c r="BW109" i="2"/>
  <c r="BY109" i="2" s="1"/>
  <c r="BW110" i="2"/>
  <c r="BY110" i="2" s="1"/>
  <c r="BW111" i="2"/>
  <c r="BY111" i="2" s="1"/>
  <c r="BW112" i="2"/>
  <c r="BY112" i="2" s="1"/>
  <c r="BW113" i="2"/>
  <c r="BY113" i="2" s="1"/>
  <c r="BW114" i="2"/>
  <c r="BY114" i="2" s="1"/>
  <c r="BW115" i="2"/>
  <c r="BY115" i="2" s="1"/>
  <c r="BW116" i="2"/>
  <c r="BY116" i="2" s="1"/>
  <c r="BW117" i="2"/>
  <c r="BY117" i="2" s="1"/>
  <c r="BW118" i="2"/>
  <c r="BY118" i="2" s="1"/>
  <c r="BW119" i="2"/>
  <c r="BY119" i="2" s="1"/>
  <c r="BW120" i="2"/>
  <c r="BY120" i="2" s="1"/>
  <c r="BW121" i="2"/>
  <c r="BY121" i="2" s="1"/>
  <c r="BW122" i="2"/>
  <c r="BY122" i="2" s="1"/>
  <c r="BW123" i="2"/>
  <c r="BY123" i="2" s="1"/>
  <c r="BW124" i="2"/>
  <c r="BY124" i="2" s="1"/>
  <c r="BW125" i="2"/>
  <c r="BY125" i="2" s="1"/>
  <c r="BW126" i="2"/>
  <c r="BY126" i="2" s="1"/>
  <c r="BW127" i="2"/>
  <c r="BY127" i="2" s="1"/>
  <c r="BW128" i="2"/>
  <c r="BY128" i="2" s="1"/>
  <c r="BW129" i="2"/>
  <c r="BY129" i="2" s="1"/>
  <c r="BW130" i="2"/>
  <c r="BY130" i="2" s="1"/>
  <c r="BW131" i="2"/>
  <c r="BY131" i="2" s="1"/>
  <c r="BW132" i="2"/>
  <c r="BY132" i="2" s="1"/>
  <c r="BW133" i="2"/>
  <c r="BY133" i="2" s="1"/>
  <c r="BW134" i="2"/>
  <c r="BY134" i="2" s="1"/>
  <c r="BW135" i="2"/>
  <c r="BY135" i="2" s="1"/>
  <c r="BW136" i="2"/>
  <c r="BY136" i="2" s="1"/>
  <c r="BW137" i="2"/>
  <c r="BY137" i="2" s="1"/>
  <c r="BW138" i="2"/>
  <c r="BY138" i="2" s="1"/>
  <c r="BW139" i="2"/>
  <c r="BY139" i="2" s="1"/>
  <c r="BW140" i="2"/>
  <c r="BY140" i="2" s="1"/>
  <c r="BW141" i="2"/>
  <c r="BY141" i="2" s="1"/>
  <c r="BW142" i="2"/>
  <c r="BY142" i="2" s="1"/>
  <c r="BW143" i="2"/>
  <c r="BY143" i="2" s="1"/>
  <c r="BW144" i="2"/>
  <c r="BY144" i="2" s="1"/>
  <c r="BW145" i="2"/>
  <c r="BY145" i="2" s="1"/>
  <c r="BW146" i="2"/>
  <c r="BY146" i="2" s="1"/>
  <c r="BW147" i="2"/>
  <c r="BY147" i="2" s="1"/>
  <c r="BW148" i="2"/>
  <c r="BY148" i="2" s="1"/>
  <c r="BW149" i="2"/>
  <c r="BY149" i="2" s="1"/>
  <c r="BW150" i="2"/>
  <c r="BY150" i="2" s="1"/>
  <c r="BW151" i="2"/>
  <c r="BY151" i="2" s="1"/>
  <c r="BW152" i="2"/>
  <c r="BY152" i="2" s="1"/>
  <c r="BW153" i="2"/>
  <c r="BY153" i="2" s="1"/>
  <c r="BW154" i="2"/>
  <c r="BY154" i="2" s="1"/>
  <c r="BW155" i="2"/>
  <c r="BY155" i="2" s="1"/>
  <c r="BW156" i="2"/>
  <c r="BY156" i="2" s="1"/>
  <c r="BW157" i="2"/>
  <c r="BY157" i="2" s="1"/>
  <c r="BW158" i="2"/>
  <c r="BY158" i="2" s="1"/>
  <c r="BW159" i="2"/>
  <c r="BY159" i="2" s="1"/>
  <c r="BW160" i="2"/>
  <c r="BY160" i="2" s="1"/>
  <c r="BW162" i="2"/>
  <c r="BY162" i="2" s="1"/>
  <c r="BW163" i="2"/>
  <c r="BY163" i="2" s="1"/>
  <c r="BW164" i="2"/>
  <c r="BY164" i="2" s="1"/>
  <c r="BW165" i="2"/>
  <c r="BY165" i="2" s="1"/>
  <c r="BW166" i="2"/>
  <c r="BY166" i="2" s="1"/>
  <c r="BW64" i="2"/>
  <c r="BY64" i="2" s="1"/>
  <c r="BW168" i="2"/>
  <c r="BY168" i="2" s="1"/>
  <c r="BW169" i="2"/>
  <c r="BY169" i="2" s="1"/>
  <c r="BW170" i="2"/>
  <c r="BY170" i="2" s="1"/>
  <c r="BW171" i="2"/>
  <c r="BY171" i="2" s="1"/>
  <c r="BW172" i="2"/>
  <c r="BY172" i="2" s="1"/>
  <c r="BW173" i="2"/>
  <c r="BY173" i="2" s="1"/>
  <c r="BW174" i="2"/>
  <c r="BY174" i="2" s="1"/>
  <c r="BW176" i="2"/>
  <c r="BY176" i="2" s="1"/>
  <c r="BW177" i="2"/>
  <c r="BY177" i="2" s="1"/>
  <c r="BW178" i="2"/>
  <c r="BY178" i="2" s="1"/>
  <c r="BW179" i="2"/>
  <c r="BY179" i="2" s="1"/>
  <c r="BW180" i="2"/>
  <c r="BY180" i="2" s="1"/>
  <c r="BW181" i="2"/>
  <c r="BY181" i="2" s="1"/>
  <c r="BW182" i="2"/>
  <c r="BY182" i="2" s="1"/>
  <c r="BW183" i="2"/>
  <c r="BY183" i="2" s="1"/>
  <c r="BW184" i="2"/>
  <c r="BY184" i="2" s="1"/>
  <c r="BW185" i="2"/>
  <c r="BY185" i="2" s="1"/>
  <c r="BW186" i="2"/>
  <c r="BY186" i="2" s="1"/>
  <c r="BW187" i="2"/>
  <c r="BY187" i="2" s="1"/>
  <c r="BW188" i="2"/>
  <c r="BY188" i="2" s="1"/>
  <c r="BW189" i="2"/>
  <c r="BY189" i="2" s="1"/>
  <c r="BW190" i="2"/>
  <c r="BY190" i="2" s="1"/>
  <c r="BW191" i="2"/>
  <c r="BY191" i="2" s="1"/>
  <c r="BW192" i="2"/>
  <c r="BY192" i="2" s="1"/>
  <c r="BW193" i="2"/>
  <c r="BY193" i="2" s="1"/>
  <c r="BW194" i="2"/>
  <c r="BY194" i="2" s="1"/>
  <c r="BW195" i="2"/>
  <c r="BY195" i="2" s="1"/>
  <c r="BW196" i="2"/>
  <c r="BY196" i="2" s="1"/>
  <c r="BW197" i="2"/>
  <c r="BY197" i="2" s="1"/>
  <c r="BW198" i="2"/>
  <c r="BY198" i="2" s="1"/>
  <c r="BW199" i="2"/>
  <c r="BY199" i="2" s="1"/>
  <c r="BW200" i="2"/>
  <c r="BY200" i="2" s="1"/>
  <c r="BW202" i="2"/>
  <c r="BY202" i="2" s="1"/>
  <c r="BW203" i="2"/>
  <c r="BY203" i="2" s="1"/>
  <c r="BW204" i="2"/>
  <c r="BY204" i="2" s="1"/>
  <c r="BW205" i="2"/>
  <c r="BY205" i="2" s="1"/>
  <c r="BW206" i="2"/>
  <c r="BY206" i="2" s="1"/>
  <c r="BW207" i="2"/>
  <c r="BY207" i="2" s="1"/>
  <c r="BW208" i="2"/>
  <c r="BY208" i="2" s="1"/>
  <c r="BW209" i="2"/>
  <c r="BY209" i="2" s="1"/>
  <c r="BW210" i="2"/>
  <c r="BY210" i="2" s="1"/>
  <c r="BW211" i="2"/>
  <c r="BY211" i="2" s="1"/>
  <c r="BW212" i="2"/>
  <c r="BY212" i="2" s="1"/>
  <c r="BW213" i="2"/>
  <c r="BY213" i="2" s="1"/>
  <c r="BW214" i="2"/>
  <c r="BY214" i="2" s="1"/>
  <c r="BW215" i="2"/>
  <c r="BY215" i="2" s="1"/>
  <c r="BW216" i="2"/>
  <c r="BY216" i="2" s="1"/>
  <c r="BW217" i="2"/>
  <c r="BY217" i="2" s="1"/>
  <c r="BW218" i="2"/>
  <c r="BY218" i="2" s="1"/>
  <c r="BW219" i="2"/>
  <c r="BY219" i="2" s="1"/>
  <c r="BW220" i="2"/>
  <c r="BY220" i="2" s="1"/>
  <c r="BW221" i="2"/>
  <c r="BY221" i="2" s="1"/>
  <c r="BW222" i="2"/>
  <c r="BY222" i="2" s="1"/>
  <c r="BW223" i="2"/>
  <c r="BY223" i="2" s="1"/>
  <c r="BW224" i="2"/>
  <c r="BY224" i="2" s="1"/>
  <c r="BW225" i="2"/>
  <c r="BY225" i="2" s="1"/>
  <c r="BW226" i="2"/>
  <c r="BY226" i="2" s="1"/>
  <c r="BW230" i="2"/>
  <c r="BY230" i="2" s="1"/>
  <c r="BW231" i="2"/>
  <c r="BY231" i="2" s="1"/>
  <c r="BW232" i="2"/>
  <c r="BY232" i="2" s="1"/>
  <c r="BW233" i="2"/>
  <c r="BY233" i="2" s="1"/>
  <c r="BW234" i="2"/>
  <c r="BY234" i="2" s="1"/>
  <c r="BW236" i="2"/>
  <c r="BY236" i="2" s="1"/>
  <c r="BW237" i="2"/>
  <c r="BY237" i="2" s="1"/>
  <c r="BW238" i="2"/>
  <c r="BY238" i="2" s="1"/>
  <c r="BW239" i="2"/>
  <c r="BY239" i="2" s="1"/>
  <c r="BW240" i="2"/>
  <c r="BY240" i="2" s="1"/>
  <c r="BW241" i="2"/>
  <c r="BY241" i="2" s="1"/>
  <c r="BW242" i="2"/>
  <c r="BY242" i="2" s="1"/>
  <c r="BW243" i="2"/>
  <c r="BY243" i="2" s="1"/>
  <c r="BW245" i="2"/>
  <c r="BY245" i="2" s="1"/>
  <c r="BW246" i="2"/>
  <c r="BY246" i="2" s="1"/>
  <c r="BW247" i="2"/>
  <c r="BY247" i="2" s="1"/>
  <c r="BW248" i="2"/>
  <c r="BY248" i="2" s="1"/>
  <c r="BW249" i="2"/>
  <c r="BY249" i="2" s="1"/>
  <c r="BW250" i="2"/>
  <c r="BY250" i="2" s="1"/>
  <c r="BW251" i="2"/>
  <c r="BY251" i="2" s="1"/>
  <c r="BW252" i="2"/>
  <c r="BY252" i="2" s="1"/>
  <c r="BW161" i="2"/>
  <c r="BY161" i="2" s="1"/>
  <c r="BW311" i="2"/>
  <c r="BY311" i="2" s="1"/>
  <c r="BW257" i="2"/>
  <c r="BY257" i="2" s="1"/>
  <c r="BW258" i="2"/>
  <c r="BY258" i="2" s="1"/>
  <c r="BW261" i="2"/>
  <c r="BY261" i="2" s="1"/>
  <c r="BW263" i="2"/>
  <c r="BY263" i="2" s="1"/>
  <c r="BW253" i="2"/>
  <c r="BY253" i="2" s="1"/>
  <c r="BW254" i="2"/>
  <c r="BY254" i="2" s="1"/>
  <c r="BW255" i="2"/>
  <c r="BY255" i="2" s="1"/>
  <c r="BW256" i="2"/>
  <c r="BY256" i="2" s="1"/>
  <c r="BW259" i="2"/>
  <c r="BY259" i="2" s="1"/>
  <c r="BW265" i="2"/>
  <c r="BY265" i="2" s="1"/>
  <c r="BW266" i="2"/>
  <c r="BY266" i="2" s="1"/>
  <c r="BW260" i="2"/>
  <c r="BY260" i="2" s="1"/>
  <c r="BW262" i="2"/>
  <c r="BY262" i="2" s="1"/>
  <c r="BW264" i="2"/>
  <c r="BY264" i="2" s="1"/>
  <c r="BW267" i="2"/>
  <c r="BY267" i="2" s="1"/>
  <c r="BW268" i="2"/>
  <c r="BY268" i="2" s="1"/>
  <c r="BW269" i="2"/>
  <c r="BY269" i="2" s="1"/>
  <c r="BW270" i="2"/>
  <c r="BY270" i="2" s="1"/>
  <c r="BW271" i="2"/>
  <c r="BY271" i="2" s="1"/>
  <c r="BW272" i="2"/>
  <c r="BY272" i="2" s="1"/>
  <c r="BW273" i="2"/>
  <c r="BY273" i="2" s="1"/>
  <c r="BW274" i="2"/>
  <c r="BY274" i="2" s="1"/>
  <c r="BW275" i="2"/>
  <c r="BY275" i="2" s="1"/>
  <c r="BW276" i="2"/>
  <c r="BY276" i="2" s="1"/>
  <c r="BW277" i="2"/>
  <c r="BY277" i="2" s="1"/>
  <c r="BW278" i="2"/>
  <c r="BY278" i="2" s="1"/>
  <c r="BW279" i="2"/>
  <c r="BY279" i="2" s="1"/>
  <c r="BW280" i="2"/>
  <c r="BY280" i="2" s="1"/>
  <c r="BW281" i="2"/>
  <c r="BY281" i="2" s="1"/>
  <c r="BW282" i="2"/>
  <c r="BY282" i="2" s="1"/>
  <c r="BW283" i="2"/>
  <c r="BY283" i="2" s="1"/>
  <c r="BW284" i="2"/>
  <c r="BY284" i="2" s="1"/>
  <c r="BW285" i="2"/>
  <c r="BY285" i="2" s="1"/>
  <c r="BW286" i="2"/>
  <c r="BY286" i="2" s="1"/>
  <c r="BW287" i="2"/>
  <c r="BY287" i="2" s="1"/>
  <c r="BW288" i="2"/>
  <c r="BY288" i="2" s="1"/>
  <c r="BW289" i="2"/>
  <c r="BY289" i="2" s="1"/>
  <c r="BW290" i="2"/>
  <c r="BY290" i="2" s="1"/>
  <c r="BW291" i="2"/>
  <c r="BY291" i="2" s="1"/>
  <c r="BW293" i="2"/>
  <c r="BY293" i="2" s="1"/>
  <c r="BW294" i="2"/>
  <c r="BY294" i="2" s="1"/>
  <c r="BW295" i="2"/>
  <c r="BY295" i="2" s="1"/>
  <c r="BW296" i="2"/>
  <c r="BY296" i="2" s="1"/>
  <c r="BW297" i="2"/>
  <c r="BY297" i="2" s="1"/>
  <c r="BW298" i="2"/>
  <c r="BY298" i="2" s="1"/>
  <c r="BW299" i="2"/>
  <c r="BY299" i="2" s="1"/>
  <c r="BW300" i="2"/>
  <c r="BY300" i="2" s="1"/>
  <c r="BW301" i="2"/>
  <c r="BY301" i="2" s="1"/>
  <c r="BW302" i="2"/>
  <c r="BY302" i="2" s="1"/>
  <c r="BW303" i="2"/>
  <c r="BY303" i="2" s="1"/>
  <c r="BW304" i="2"/>
  <c r="BY304" i="2" s="1"/>
  <c r="BW305" i="2"/>
  <c r="BY305" i="2" s="1"/>
  <c r="BW306" i="2"/>
  <c r="BY306" i="2" s="1"/>
  <c r="BW307" i="2"/>
  <c r="BY307" i="2" s="1"/>
  <c r="BW308" i="2"/>
  <c r="BY308" i="2" s="1"/>
  <c r="BW309" i="2"/>
  <c r="BY309" i="2" s="1"/>
  <c r="BW310" i="2"/>
  <c r="BY310" i="2" s="1"/>
  <c r="BW364" i="2"/>
  <c r="BY364" i="2" s="1"/>
  <c r="BW312" i="2"/>
  <c r="BY312" i="2" s="1"/>
  <c r="BW313" i="2"/>
  <c r="BY313" i="2" s="1"/>
  <c r="BW314" i="2"/>
  <c r="BY314" i="2" s="1"/>
  <c r="BW315" i="2"/>
  <c r="BY315" i="2" s="1"/>
  <c r="BW316" i="2"/>
  <c r="BY316" i="2" s="1"/>
  <c r="BW317" i="2"/>
  <c r="BY317" i="2" s="1"/>
  <c r="BW318" i="2"/>
  <c r="BY318" i="2" s="1"/>
  <c r="BW319" i="2"/>
  <c r="BY319" i="2" s="1"/>
  <c r="BW320" i="2"/>
  <c r="BY320" i="2" s="1"/>
  <c r="BW321" i="2"/>
  <c r="BY321" i="2" s="1"/>
  <c r="BW322" i="2"/>
  <c r="BY322" i="2" s="1"/>
  <c r="BW323" i="2"/>
  <c r="BY323" i="2" s="1"/>
  <c r="BW324" i="2"/>
  <c r="BY324" i="2" s="1"/>
  <c r="BW325" i="2"/>
  <c r="BY325" i="2" s="1"/>
  <c r="BW326" i="2"/>
  <c r="BY326" i="2" s="1"/>
  <c r="BW327" i="2"/>
  <c r="BY327" i="2" s="1"/>
  <c r="BW328" i="2"/>
  <c r="BY328" i="2" s="1"/>
  <c r="BW329" i="2"/>
  <c r="BY329" i="2" s="1"/>
  <c r="BW330" i="2"/>
  <c r="BY330" i="2" s="1"/>
  <c r="BW331" i="2"/>
  <c r="BY331" i="2" s="1"/>
  <c r="BW332" i="2"/>
  <c r="BY332" i="2" s="1"/>
  <c r="BW333" i="2"/>
  <c r="BY333" i="2" s="1"/>
  <c r="BW334" i="2"/>
  <c r="BY334" i="2" s="1"/>
  <c r="BW335" i="2"/>
  <c r="BY335" i="2" s="1"/>
  <c r="BW336" i="2"/>
  <c r="BY336" i="2" s="1"/>
  <c r="BW337" i="2"/>
  <c r="BY337" i="2" s="1"/>
  <c r="BW338" i="2"/>
  <c r="BY338" i="2" s="1"/>
  <c r="BW339" i="2"/>
  <c r="BY339" i="2" s="1"/>
  <c r="BW340" i="2"/>
  <c r="BY340" i="2" s="1"/>
  <c r="BW341" i="2"/>
  <c r="BY341" i="2" s="1"/>
  <c r="BW342" i="2"/>
  <c r="BY342" i="2" s="1"/>
  <c r="BW343" i="2"/>
  <c r="BY343" i="2" s="1"/>
  <c r="BW344" i="2"/>
  <c r="BY344" i="2" s="1"/>
  <c r="BW345" i="2"/>
  <c r="BY345" i="2" s="1"/>
  <c r="BW346" i="2"/>
  <c r="BY346" i="2" s="1"/>
  <c r="BW347" i="2"/>
  <c r="BY347" i="2" s="1"/>
  <c r="BW348" i="2"/>
  <c r="BY348" i="2" s="1"/>
  <c r="BW349" i="2"/>
  <c r="BY349" i="2" s="1"/>
  <c r="BW350" i="2"/>
  <c r="BY350" i="2" s="1"/>
  <c r="BW351" i="2"/>
  <c r="BY351" i="2" s="1"/>
  <c r="BW352" i="2"/>
  <c r="BY352" i="2" s="1"/>
  <c r="BW353" i="2"/>
  <c r="BY353" i="2" s="1"/>
  <c r="BW354" i="2"/>
  <c r="BY354" i="2" s="1"/>
  <c r="BW355" i="2"/>
  <c r="BY355" i="2" s="1"/>
  <c r="BW356" i="2"/>
  <c r="BY356" i="2" s="1"/>
  <c r="BW357" i="2"/>
  <c r="BY357" i="2" s="1"/>
  <c r="BW358" i="2"/>
  <c r="BY358" i="2" s="1"/>
  <c r="BW359" i="2"/>
  <c r="BY359" i="2" s="1"/>
  <c r="BW360" i="2"/>
  <c r="BY360" i="2" s="1"/>
  <c r="BW361" i="2"/>
  <c r="BY361" i="2" s="1"/>
  <c r="BW362" i="2"/>
  <c r="BY362" i="2" s="1"/>
  <c r="BW363" i="2"/>
  <c r="BY363" i="2" s="1"/>
  <c r="BW365" i="2"/>
  <c r="BY365" i="2" s="1"/>
  <c r="BW366" i="2"/>
  <c r="BY366" i="2" s="1"/>
  <c r="BW367" i="2"/>
  <c r="BY367" i="2" s="1"/>
  <c r="BW368" i="2"/>
  <c r="BY368" i="2" s="1"/>
  <c r="BW369" i="2"/>
  <c r="BY369" i="2" s="1"/>
  <c r="BW370" i="2"/>
  <c r="BY370" i="2" s="1"/>
  <c r="BW371" i="2"/>
  <c r="BY371" i="2" s="1"/>
  <c r="BW372" i="2"/>
  <c r="BY372" i="2" s="1"/>
  <c r="BW373" i="2"/>
  <c r="BY373" i="2" s="1"/>
  <c r="BW374" i="2"/>
  <c r="BY374" i="2" s="1"/>
  <c r="BW375" i="2"/>
  <c r="BY375" i="2" s="1"/>
  <c r="BW376" i="2"/>
  <c r="BY376" i="2" s="1"/>
  <c r="BW377" i="2"/>
  <c r="BY377" i="2" s="1"/>
  <c r="BW378" i="2"/>
  <c r="BY378" i="2" s="1"/>
  <c r="BW379" i="2"/>
  <c r="BY379" i="2" s="1"/>
  <c r="BW380" i="2"/>
  <c r="BY380" i="2" s="1"/>
  <c r="BW381" i="2"/>
  <c r="BY381" i="2" s="1"/>
  <c r="BW382" i="2"/>
  <c r="BY382" i="2" s="1"/>
  <c r="BW383" i="2"/>
  <c r="BY383" i="2" s="1"/>
  <c r="BW384" i="2"/>
  <c r="BY384" i="2" s="1"/>
  <c r="BW385" i="2"/>
  <c r="BY385" i="2" s="1"/>
  <c r="BW386" i="2"/>
  <c r="BY386" i="2" s="1"/>
  <c r="BW387" i="2"/>
  <c r="BY387" i="2" s="1"/>
  <c r="BW388" i="2"/>
  <c r="BY388" i="2" s="1"/>
  <c r="BW389" i="2"/>
  <c r="BY389" i="2" s="1"/>
  <c r="BW390" i="2"/>
  <c r="BY390" i="2" s="1"/>
  <c r="BW391" i="2"/>
  <c r="BY391" i="2" s="1"/>
  <c r="BW392" i="2"/>
  <c r="BY392" i="2" s="1"/>
  <c r="BW393" i="2"/>
  <c r="BY393" i="2" s="1"/>
  <c r="BW394" i="2"/>
  <c r="BY394" i="2" s="1"/>
  <c r="BW228" i="2" l="1"/>
  <c r="BY228" i="2" s="1"/>
  <c r="BW175" i="2"/>
  <c r="BY175" i="2" s="1"/>
  <c r="BW167" i="2"/>
  <c r="BY167" i="2" s="1"/>
  <c r="BQ235" i="2"/>
  <c r="BQ292" i="2"/>
  <c r="BQ227" i="2"/>
  <c r="BQ229" i="2"/>
  <c r="EK390" i="2"/>
  <c r="EL390" i="2" s="1"/>
  <c r="BQ201" i="2"/>
  <c r="EK311" i="2"/>
  <c r="EL311" i="2" s="1"/>
  <c r="CD386" i="2"/>
  <c r="CD198" i="2"/>
  <c r="CD370" i="2"/>
  <c r="CD182" i="2"/>
  <c r="CD354" i="2"/>
  <c r="CD152" i="2"/>
  <c r="CD338" i="2"/>
  <c r="CD136" i="2"/>
  <c r="CD322" i="2"/>
  <c r="CD120" i="2"/>
  <c r="CD306" i="2"/>
  <c r="CD104" i="2"/>
  <c r="CD290" i="2"/>
  <c r="CD88" i="2"/>
  <c r="CD274" i="2"/>
  <c r="CD72" i="2"/>
  <c r="CD56" i="2"/>
  <c r="CD40" i="2"/>
  <c r="CD39" i="2"/>
  <c r="CD250" i="2"/>
  <c r="CD24" i="2"/>
  <c r="CD234" i="2"/>
  <c r="CD23" i="2"/>
  <c r="CD385" i="2"/>
  <c r="CD369" i="2"/>
  <c r="CD353" i="2"/>
  <c r="CD337" i="2"/>
  <c r="CD321" i="2"/>
  <c r="CD305" i="2"/>
  <c r="CD289" i="2"/>
  <c r="CD273" i="2"/>
  <c r="CD259" i="2"/>
  <c r="CD249" i="2"/>
  <c r="CD233" i="2"/>
  <c r="CD218" i="2"/>
  <c r="CD197" i="2"/>
  <c r="CD181" i="2"/>
  <c r="CD166" i="2"/>
  <c r="CD151" i="2"/>
  <c r="CD135" i="2"/>
  <c r="CD119" i="2"/>
  <c r="CD103" i="2"/>
  <c r="CD87" i="2"/>
  <c r="CD71" i="2"/>
  <c r="CD55" i="2"/>
  <c r="CD384" i="2"/>
  <c r="CD368" i="2"/>
  <c r="CD352" i="2"/>
  <c r="CD336" i="2"/>
  <c r="CD320" i="2"/>
  <c r="CD304" i="2"/>
  <c r="CD288" i="2"/>
  <c r="CD272" i="2"/>
  <c r="CD256" i="2"/>
  <c r="CD311" i="2"/>
  <c r="CD248" i="2"/>
  <c r="CD232" i="2"/>
  <c r="CD217" i="2"/>
  <c r="CD212" i="2"/>
  <c r="CD196" i="2"/>
  <c r="CD180" i="2"/>
  <c r="CD167" i="2"/>
  <c r="CD150" i="2"/>
  <c r="CD134" i="2"/>
  <c r="CD118" i="2"/>
  <c r="CD102" i="2"/>
  <c r="CD86" i="2"/>
  <c r="CD70" i="2"/>
  <c r="CD54" i="2"/>
  <c r="CD38" i="2"/>
  <c r="CD22" i="2"/>
  <c r="CD383" i="2"/>
  <c r="CD367" i="2"/>
  <c r="CD351" i="2"/>
  <c r="CD335" i="2"/>
  <c r="CD319" i="2"/>
  <c r="CD303" i="2"/>
  <c r="CD287" i="2"/>
  <c r="CD271" i="2"/>
  <c r="CD255" i="2"/>
  <c r="CD247" i="2"/>
  <c r="CD231" i="2"/>
  <c r="CD216" i="2"/>
  <c r="CD211" i="2"/>
  <c r="CD195" i="2"/>
  <c r="CD179" i="2"/>
  <c r="CD165" i="2"/>
  <c r="CD149" i="2"/>
  <c r="CD133" i="2"/>
  <c r="CD117" i="2"/>
  <c r="CD101" i="2"/>
  <c r="CD85" i="2"/>
  <c r="CD69" i="2"/>
  <c r="CD53" i="2"/>
  <c r="CD37" i="2"/>
  <c r="CD21" i="2"/>
  <c r="CD244" i="2"/>
  <c r="CD382" i="2"/>
  <c r="CD366" i="2"/>
  <c r="CD350" i="2"/>
  <c r="CD334" i="2"/>
  <c r="CD318" i="2"/>
  <c r="CD302" i="2"/>
  <c r="CD286" i="2"/>
  <c r="CD270" i="2"/>
  <c r="CD254" i="2"/>
  <c r="CD246" i="2"/>
  <c r="CD230" i="2"/>
  <c r="CD215" i="2"/>
  <c r="CD210" i="2"/>
  <c r="CD194" i="2"/>
  <c r="CD178" i="2"/>
  <c r="CD164" i="2"/>
  <c r="CD148" i="2"/>
  <c r="CD132" i="2"/>
  <c r="CD116" i="2"/>
  <c r="CD100" i="2"/>
  <c r="CD84" i="2"/>
  <c r="CD68" i="2"/>
  <c r="CD52" i="2"/>
  <c r="CD36" i="2"/>
  <c r="CD20" i="2"/>
  <c r="CD381" i="2"/>
  <c r="CD365" i="2"/>
  <c r="CD349" i="2"/>
  <c r="CD333" i="2"/>
  <c r="CD317" i="2"/>
  <c r="CD301" i="2"/>
  <c r="CD285" i="2"/>
  <c r="CD269" i="2"/>
  <c r="CD253" i="2"/>
  <c r="CD245" i="2"/>
  <c r="CD214" i="2"/>
  <c r="CD209" i="2"/>
  <c r="CD193" i="2"/>
  <c r="CD177" i="2"/>
  <c r="CD163" i="2"/>
  <c r="CD147" i="2"/>
  <c r="CD131" i="2"/>
  <c r="CD115" i="2"/>
  <c r="CD99" i="2"/>
  <c r="CD83" i="2"/>
  <c r="CD67" i="2"/>
  <c r="CD51" i="2"/>
  <c r="CD35" i="2"/>
  <c r="CD19" i="2"/>
  <c r="CD380" i="2"/>
  <c r="CD364" i="2"/>
  <c r="CD348" i="2"/>
  <c r="CD332" i="2"/>
  <c r="CD316" i="2"/>
  <c r="CD300" i="2"/>
  <c r="CD284" i="2"/>
  <c r="CD268" i="2"/>
  <c r="CD258" i="2"/>
  <c r="CD213" i="2"/>
  <c r="CD208" i="2"/>
  <c r="CD192" i="2"/>
  <c r="CD176" i="2"/>
  <c r="CD162" i="2"/>
  <c r="CD146" i="2"/>
  <c r="CD130" i="2"/>
  <c r="CD114" i="2"/>
  <c r="CD98" i="2"/>
  <c r="CD82" i="2"/>
  <c r="CD66" i="2"/>
  <c r="CD50" i="2"/>
  <c r="CD34" i="2"/>
  <c r="CD18" i="2"/>
  <c r="CD379" i="2"/>
  <c r="CD363" i="2"/>
  <c r="CD347" i="2"/>
  <c r="CD331" i="2"/>
  <c r="CD315" i="2"/>
  <c r="CD299" i="2"/>
  <c r="CD283" i="2"/>
  <c r="CD267" i="2"/>
  <c r="CD257" i="2"/>
  <c r="CD243" i="2"/>
  <c r="CD207" i="2"/>
  <c r="CD191" i="2"/>
  <c r="CD228" i="2"/>
  <c r="CD145" i="2"/>
  <c r="CD129" i="2"/>
  <c r="CD113" i="2"/>
  <c r="CD97" i="2"/>
  <c r="CD81" i="2"/>
  <c r="CD65" i="2"/>
  <c r="CD49" i="2"/>
  <c r="CD33" i="2"/>
  <c r="CD17" i="2"/>
  <c r="CD261" i="2"/>
  <c r="CD394" i="2"/>
  <c r="CD378" i="2"/>
  <c r="CD362" i="2"/>
  <c r="CD346" i="2"/>
  <c r="CD330" i="2"/>
  <c r="CD314" i="2"/>
  <c r="CD298" i="2"/>
  <c r="CD282" i="2"/>
  <c r="CD161" i="2"/>
  <c r="CD242" i="2"/>
  <c r="CD226" i="2"/>
  <c r="CD206" i="2"/>
  <c r="CD190" i="2"/>
  <c r="CD174" i="2"/>
  <c r="CD160" i="2"/>
  <c r="CD144" i="2"/>
  <c r="CD128" i="2"/>
  <c r="CD112" i="2"/>
  <c r="CD96" i="2"/>
  <c r="CD80" i="2"/>
  <c r="CD175" i="2"/>
  <c r="CD48" i="2"/>
  <c r="CD32" i="2"/>
  <c r="CD16" i="2"/>
  <c r="CD393" i="2"/>
  <c r="CD377" i="2"/>
  <c r="CD361" i="2"/>
  <c r="CD345" i="2"/>
  <c r="CD329" i="2"/>
  <c r="CD313" i="2"/>
  <c r="CD297" i="2"/>
  <c r="CD281" i="2"/>
  <c r="CD266" i="2"/>
  <c r="CD241" i="2"/>
  <c r="CD225" i="2"/>
  <c r="CD205" i="2"/>
  <c r="CD189" i="2"/>
  <c r="CD173" i="2"/>
  <c r="CD159" i="2"/>
  <c r="CD143" i="2"/>
  <c r="CD127" i="2"/>
  <c r="CD111" i="2"/>
  <c r="CD95" i="2"/>
  <c r="CD79" i="2"/>
  <c r="CD63" i="2"/>
  <c r="CD47" i="2"/>
  <c r="CD31" i="2"/>
  <c r="CD15" i="2"/>
  <c r="CD392" i="2"/>
  <c r="CD376" i="2"/>
  <c r="CD360" i="2"/>
  <c r="CD344" i="2"/>
  <c r="CD328" i="2"/>
  <c r="CD312" i="2"/>
  <c r="CD296" i="2"/>
  <c r="CD280" i="2"/>
  <c r="CD265" i="2"/>
  <c r="CD252" i="2"/>
  <c r="CD240" i="2"/>
  <c r="CD224" i="2"/>
  <c r="CD204" i="2"/>
  <c r="CD188" i="2"/>
  <c r="CD172" i="2"/>
  <c r="CD158" i="2"/>
  <c r="CD142" i="2"/>
  <c r="CD126" i="2"/>
  <c r="CD110" i="2"/>
  <c r="CD94" i="2"/>
  <c r="CD78" i="2"/>
  <c r="CD62" i="2"/>
  <c r="CD46" i="2"/>
  <c r="CD30" i="2"/>
  <c r="CD14" i="2"/>
  <c r="CD391" i="2"/>
  <c r="CD375" i="2"/>
  <c r="CD359" i="2"/>
  <c r="CD343" i="2"/>
  <c r="CD327" i="2"/>
  <c r="CD308" i="2"/>
  <c r="CD295" i="2"/>
  <c r="CD279" i="2"/>
  <c r="CD264" i="2"/>
  <c r="CD239" i="2"/>
  <c r="CD223" i="2"/>
  <c r="CD203" i="2"/>
  <c r="CD187" i="2"/>
  <c r="CD171" i="2"/>
  <c r="CD157" i="2"/>
  <c r="CD141" i="2"/>
  <c r="CD125" i="2"/>
  <c r="CD109" i="2"/>
  <c r="CD93" i="2"/>
  <c r="CD77" i="2"/>
  <c r="CD61" i="2"/>
  <c r="CD45" i="2"/>
  <c r="CD29" i="2"/>
  <c r="CD13" i="2"/>
  <c r="CD390" i="2"/>
  <c r="CD374" i="2"/>
  <c r="CD358" i="2"/>
  <c r="CD342" i="2"/>
  <c r="CD326" i="2"/>
  <c r="CD310" i="2"/>
  <c r="CD294" i="2"/>
  <c r="CD278" i="2"/>
  <c r="CD262" i="2"/>
  <c r="CD238" i="2"/>
  <c r="CD222" i="2"/>
  <c r="CD202" i="2"/>
  <c r="CD186" i="2"/>
  <c r="CD170" i="2"/>
  <c r="CD156" i="2"/>
  <c r="CD140" i="2"/>
  <c r="CD124" i="2"/>
  <c r="CD108" i="2"/>
  <c r="CD92" i="2"/>
  <c r="CD76" i="2"/>
  <c r="CD60" i="2"/>
  <c r="CD44" i="2"/>
  <c r="CD28" i="2"/>
  <c r="CD12" i="2"/>
  <c r="CD389" i="2"/>
  <c r="CD373" i="2"/>
  <c r="CD357" i="2"/>
  <c r="CD341" i="2"/>
  <c r="CD325" i="2"/>
  <c r="CD309" i="2"/>
  <c r="CD293" i="2"/>
  <c r="CD277" i="2"/>
  <c r="CD237" i="2"/>
  <c r="CD221" i="2"/>
  <c r="CD64" i="2"/>
  <c r="CD185" i="2"/>
  <c r="CD169" i="2"/>
  <c r="CD155" i="2"/>
  <c r="CD139" i="2"/>
  <c r="CD123" i="2"/>
  <c r="CD107" i="2"/>
  <c r="CD91" i="2"/>
  <c r="CD75" i="2"/>
  <c r="CD59" i="2"/>
  <c r="CD43" i="2"/>
  <c r="CD27" i="2"/>
  <c r="CD11" i="2"/>
  <c r="CD388" i="2"/>
  <c r="CD372" i="2"/>
  <c r="CD356" i="2"/>
  <c r="CD340" i="2"/>
  <c r="CD324" i="2"/>
  <c r="CD276" i="2"/>
  <c r="CD260" i="2"/>
  <c r="CD236" i="2"/>
  <c r="CD220" i="2"/>
  <c r="CD200" i="2"/>
  <c r="CD184" i="2"/>
  <c r="CD168" i="2"/>
  <c r="CD154" i="2"/>
  <c r="CD138" i="2"/>
  <c r="CD122" i="2"/>
  <c r="CD106" i="2"/>
  <c r="CD90" i="2"/>
  <c r="CD74" i="2"/>
  <c r="CD58" i="2"/>
  <c r="CD42" i="2"/>
  <c r="CD26" i="2"/>
  <c r="CD10" i="2"/>
  <c r="CD387" i="2"/>
  <c r="CD371" i="2"/>
  <c r="CD355" i="2"/>
  <c r="CD339" i="2"/>
  <c r="CD323" i="2"/>
  <c r="CD307" i="2"/>
  <c r="CD291" i="2"/>
  <c r="CD275" i="2"/>
  <c r="CD263" i="2"/>
  <c r="CD251" i="2"/>
  <c r="CD219" i="2"/>
  <c r="CD199" i="2"/>
  <c r="CD183" i="2"/>
  <c r="CD153" i="2"/>
  <c r="CD137" i="2"/>
  <c r="CD121" i="2"/>
  <c r="CD105" i="2"/>
  <c r="CD89" i="2"/>
  <c r="CD73" i="2"/>
  <c r="CD57" i="2"/>
  <c r="CD41" i="2"/>
  <c r="CD25" i="2"/>
  <c r="CD9" i="2"/>
  <c r="CC368" i="2"/>
  <c r="CC367" i="2"/>
  <c r="CC352" i="2"/>
  <c r="BX243" i="2"/>
  <c r="CC351" i="2"/>
  <c r="CB392" i="2"/>
  <c r="CB280" i="2"/>
  <c r="CB279" i="2"/>
  <c r="CC311" i="2"/>
  <c r="CB264" i="2"/>
  <c r="CC196" i="2"/>
  <c r="CC195" i="2"/>
  <c r="CC180" i="2"/>
  <c r="CC179" i="2"/>
  <c r="CB110" i="2"/>
  <c r="CC70" i="2"/>
  <c r="CB109" i="2"/>
  <c r="CC69" i="2"/>
  <c r="CB94" i="2"/>
  <c r="CC54" i="2"/>
  <c r="CB93" i="2"/>
  <c r="CC53" i="2"/>
  <c r="CB391" i="2"/>
  <c r="CB204" i="2"/>
  <c r="CB78" i="2"/>
  <c r="CC336" i="2"/>
  <c r="CC175" i="2"/>
  <c r="CC38" i="2"/>
  <c r="CB376" i="2"/>
  <c r="CB203" i="2"/>
  <c r="CB77" i="2"/>
  <c r="CC335" i="2"/>
  <c r="CC165" i="2"/>
  <c r="CC37" i="2"/>
  <c r="CB375" i="2"/>
  <c r="CB188" i="2"/>
  <c r="CB62" i="2"/>
  <c r="CC320" i="2"/>
  <c r="CC248" i="2"/>
  <c r="CC150" i="2"/>
  <c r="CC22" i="2"/>
  <c r="CB360" i="2"/>
  <c r="CB187" i="2"/>
  <c r="CB61" i="2"/>
  <c r="CC319" i="2"/>
  <c r="CC247" i="2"/>
  <c r="CC149" i="2"/>
  <c r="CC21" i="2"/>
  <c r="CB359" i="2"/>
  <c r="CB172" i="2"/>
  <c r="CB46" i="2"/>
  <c r="CC304" i="2"/>
  <c r="CC232" i="2"/>
  <c r="CC134" i="2"/>
  <c r="CB265" i="2"/>
  <c r="CB344" i="2"/>
  <c r="CB171" i="2"/>
  <c r="CB45" i="2"/>
  <c r="CC303" i="2"/>
  <c r="CC231" i="2"/>
  <c r="CC133" i="2"/>
  <c r="CB343" i="2"/>
  <c r="CB161" i="2"/>
  <c r="CB158" i="2"/>
  <c r="CB30" i="2"/>
  <c r="CC288" i="2"/>
  <c r="CC217" i="2"/>
  <c r="CC118" i="2"/>
  <c r="CB328" i="2"/>
  <c r="CB157" i="2"/>
  <c r="CB29" i="2"/>
  <c r="CC287" i="2"/>
  <c r="CC216" i="2"/>
  <c r="CC117" i="2"/>
  <c r="CB327" i="2"/>
  <c r="CB240" i="2"/>
  <c r="CB142" i="2"/>
  <c r="CB14" i="2"/>
  <c r="CC272" i="2"/>
  <c r="CC102" i="2"/>
  <c r="CB312" i="2"/>
  <c r="CB239" i="2"/>
  <c r="CB141" i="2"/>
  <c r="CB13" i="2"/>
  <c r="CC271" i="2"/>
  <c r="CC101" i="2"/>
  <c r="CB296" i="2"/>
  <c r="CB224" i="2"/>
  <c r="CB126" i="2"/>
  <c r="CC384" i="2"/>
  <c r="CC256" i="2"/>
  <c r="CC212" i="2"/>
  <c r="CC86" i="2"/>
  <c r="CB295" i="2"/>
  <c r="CB223" i="2"/>
  <c r="CB125" i="2"/>
  <c r="CC383" i="2"/>
  <c r="CC255" i="2"/>
  <c r="CC211" i="2"/>
  <c r="CC85" i="2"/>
  <c r="BX17" i="2"/>
  <c r="CB390" i="2"/>
  <c r="CB374" i="2"/>
  <c r="CB358" i="2"/>
  <c r="CB342" i="2"/>
  <c r="CB326" i="2"/>
  <c r="CB310" i="2"/>
  <c r="CB294" i="2"/>
  <c r="CB278" i="2"/>
  <c r="CB262" i="2"/>
  <c r="CB252" i="2"/>
  <c r="CB238" i="2"/>
  <c r="CB222" i="2"/>
  <c r="CB202" i="2"/>
  <c r="CB186" i="2"/>
  <c r="CB170" i="2"/>
  <c r="CB156" i="2"/>
  <c r="CB140" i="2"/>
  <c r="CB124" i="2"/>
  <c r="CB108" i="2"/>
  <c r="CB92" i="2"/>
  <c r="CB76" i="2"/>
  <c r="CB60" i="2"/>
  <c r="CB44" i="2"/>
  <c r="CB28" i="2"/>
  <c r="CB12" i="2"/>
  <c r="CC382" i="2"/>
  <c r="CC366" i="2"/>
  <c r="CC350" i="2"/>
  <c r="CC334" i="2"/>
  <c r="CC318" i="2"/>
  <c r="CC302" i="2"/>
  <c r="CC286" i="2"/>
  <c r="CC270" i="2"/>
  <c r="CC254" i="2"/>
  <c r="CC246" i="2"/>
  <c r="CC230" i="2"/>
  <c r="CC215" i="2"/>
  <c r="CC210" i="2"/>
  <c r="CC194" i="2"/>
  <c r="CC178" i="2"/>
  <c r="CC164" i="2"/>
  <c r="CC148" i="2"/>
  <c r="CC132" i="2"/>
  <c r="CC116" i="2"/>
  <c r="CC100" i="2"/>
  <c r="CC84" i="2"/>
  <c r="CC68" i="2"/>
  <c r="CC52" i="2"/>
  <c r="CC36" i="2"/>
  <c r="CC20" i="2"/>
  <c r="BX33" i="2"/>
  <c r="CB389" i="2"/>
  <c r="CB373" i="2"/>
  <c r="CB357" i="2"/>
  <c r="CB341" i="2"/>
  <c r="CB325" i="2"/>
  <c r="CB309" i="2"/>
  <c r="CB293" i="2"/>
  <c r="CB277" i="2"/>
  <c r="CB237" i="2"/>
  <c r="CB221" i="2"/>
  <c r="CB185" i="2"/>
  <c r="CB169" i="2"/>
  <c r="CB155" i="2"/>
  <c r="CB139" i="2"/>
  <c r="CB123" i="2"/>
  <c r="CB107" i="2"/>
  <c r="CB91" i="2"/>
  <c r="CB75" i="2"/>
  <c r="CB59" i="2"/>
  <c r="CB43" i="2"/>
  <c r="CB27" i="2"/>
  <c r="CB11" i="2"/>
  <c r="CC381" i="2"/>
  <c r="CC365" i="2"/>
  <c r="CC349" i="2"/>
  <c r="CC333" i="2"/>
  <c r="CC317" i="2"/>
  <c r="CC301" i="2"/>
  <c r="CC285" i="2"/>
  <c r="CC269" i="2"/>
  <c r="CC253" i="2"/>
  <c r="CC245" i="2"/>
  <c r="CC214" i="2"/>
  <c r="CC209" i="2"/>
  <c r="CC193" i="2"/>
  <c r="CC177" i="2"/>
  <c r="CC163" i="2"/>
  <c r="CC147" i="2"/>
  <c r="CC131" i="2"/>
  <c r="CC115" i="2"/>
  <c r="CC99" i="2"/>
  <c r="CC83" i="2"/>
  <c r="CC67" i="2"/>
  <c r="CC51" i="2"/>
  <c r="CC35" i="2"/>
  <c r="CC19" i="2"/>
  <c r="BX49" i="2"/>
  <c r="CB388" i="2"/>
  <c r="CB372" i="2"/>
  <c r="CB356" i="2"/>
  <c r="CB340" i="2"/>
  <c r="CB324" i="2"/>
  <c r="CB276" i="2"/>
  <c r="CB260" i="2"/>
  <c r="CB236" i="2"/>
  <c r="CB220" i="2"/>
  <c r="CB200" i="2"/>
  <c r="CB184" i="2"/>
  <c r="CB168" i="2"/>
  <c r="CB154" i="2"/>
  <c r="CB138" i="2"/>
  <c r="CB122" i="2"/>
  <c r="CB106" i="2"/>
  <c r="CB90" i="2"/>
  <c r="CB74" i="2"/>
  <c r="CB58" i="2"/>
  <c r="CB42" i="2"/>
  <c r="CB26" i="2"/>
  <c r="CB10" i="2"/>
  <c r="CC380" i="2"/>
  <c r="CC364" i="2"/>
  <c r="CC348" i="2"/>
  <c r="CC332" i="2"/>
  <c r="CC316" i="2"/>
  <c r="CC300" i="2"/>
  <c r="CC284" i="2"/>
  <c r="CC268" i="2"/>
  <c r="CC213" i="2"/>
  <c r="CC208" i="2"/>
  <c r="CC192" i="2"/>
  <c r="CC176" i="2"/>
  <c r="CC162" i="2"/>
  <c r="CC146" i="2"/>
  <c r="CC130" i="2"/>
  <c r="CC114" i="2"/>
  <c r="CC98" i="2"/>
  <c r="CC82" i="2"/>
  <c r="CC66" i="2"/>
  <c r="CC50" i="2"/>
  <c r="CC34" i="2"/>
  <c r="CC18" i="2"/>
  <c r="CB308" i="2"/>
  <c r="BX65" i="2"/>
  <c r="BX258" i="2"/>
  <c r="CB387" i="2"/>
  <c r="CB371" i="2"/>
  <c r="CB355" i="2"/>
  <c r="CB339" i="2"/>
  <c r="CB323" i="2"/>
  <c r="CB307" i="2"/>
  <c r="CB291" i="2"/>
  <c r="CB275" i="2"/>
  <c r="CB263" i="2"/>
  <c r="CB251" i="2"/>
  <c r="CB219" i="2"/>
  <c r="CB199" i="2"/>
  <c r="CB183" i="2"/>
  <c r="CB153" i="2"/>
  <c r="CB137" i="2"/>
  <c r="CB121" i="2"/>
  <c r="CB105" i="2"/>
  <c r="CB89" i="2"/>
  <c r="CB73" i="2"/>
  <c r="CB57" i="2"/>
  <c r="CB41" i="2"/>
  <c r="CB25" i="2"/>
  <c r="CB9" i="2"/>
  <c r="CC379" i="2"/>
  <c r="CC363" i="2"/>
  <c r="CC347" i="2"/>
  <c r="CC331" i="2"/>
  <c r="CC315" i="2"/>
  <c r="CC299" i="2"/>
  <c r="CC283" i="2"/>
  <c r="CC267" i="2"/>
  <c r="CC258" i="2"/>
  <c r="CC243" i="2"/>
  <c r="CC207" i="2"/>
  <c r="CC191" i="2"/>
  <c r="CC244" i="2"/>
  <c r="CC145" i="2"/>
  <c r="CC129" i="2"/>
  <c r="CC113" i="2"/>
  <c r="CC97" i="2"/>
  <c r="CC81" i="2"/>
  <c r="CC65" i="2"/>
  <c r="CC49" i="2"/>
  <c r="CC33" i="2"/>
  <c r="CC17" i="2"/>
  <c r="BX81" i="2"/>
  <c r="BX267" i="2"/>
  <c r="CB386" i="2"/>
  <c r="CB370" i="2"/>
  <c r="CB354" i="2"/>
  <c r="CB338" i="2"/>
  <c r="CB322" i="2"/>
  <c r="CB306" i="2"/>
  <c r="CB290" i="2"/>
  <c r="CB274" i="2"/>
  <c r="CB261" i="2"/>
  <c r="CB250" i="2"/>
  <c r="CB234" i="2"/>
  <c r="CB198" i="2"/>
  <c r="CB182" i="2"/>
  <c r="CB167" i="2"/>
  <c r="CB152" i="2"/>
  <c r="CB136" i="2"/>
  <c r="CB120" i="2"/>
  <c r="CB104" i="2"/>
  <c r="CB88" i="2"/>
  <c r="CB72" i="2"/>
  <c r="CB56" i="2"/>
  <c r="CB40" i="2"/>
  <c r="CB24" i="2"/>
  <c r="CC394" i="2"/>
  <c r="CC378" i="2"/>
  <c r="CC362" i="2"/>
  <c r="CC346" i="2"/>
  <c r="CC330" i="2"/>
  <c r="CC314" i="2"/>
  <c r="CC298" i="2"/>
  <c r="CC282" i="2"/>
  <c r="CC257" i="2"/>
  <c r="CC228" i="2"/>
  <c r="CC242" i="2"/>
  <c r="CC226" i="2"/>
  <c r="CC206" i="2"/>
  <c r="CC190" i="2"/>
  <c r="CC174" i="2"/>
  <c r="CC160" i="2"/>
  <c r="CC144" i="2"/>
  <c r="CC128" i="2"/>
  <c r="CC112" i="2"/>
  <c r="CC96" i="2"/>
  <c r="CC80" i="2"/>
  <c r="CC64" i="2"/>
  <c r="CC48" i="2"/>
  <c r="CC32" i="2"/>
  <c r="CC16" i="2"/>
  <c r="BX97" i="2"/>
  <c r="BX283" i="2"/>
  <c r="CB385" i="2"/>
  <c r="CB369" i="2"/>
  <c r="CB353" i="2"/>
  <c r="CB337" i="2"/>
  <c r="CB321" i="2"/>
  <c r="CB305" i="2"/>
  <c r="CB289" i="2"/>
  <c r="CB273" i="2"/>
  <c r="CB259" i="2"/>
  <c r="CB249" i="2"/>
  <c r="CB233" i="2"/>
  <c r="CB218" i="2"/>
  <c r="CB197" i="2"/>
  <c r="CB181" i="2"/>
  <c r="CB166" i="2"/>
  <c r="CB151" i="2"/>
  <c r="CB135" i="2"/>
  <c r="CB119" i="2"/>
  <c r="CB103" i="2"/>
  <c r="CB87" i="2"/>
  <c r="CB71" i="2"/>
  <c r="CB55" i="2"/>
  <c r="CB39" i="2"/>
  <c r="CB23" i="2"/>
  <c r="CC393" i="2"/>
  <c r="CC377" i="2"/>
  <c r="CC361" i="2"/>
  <c r="CC345" i="2"/>
  <c r="CC329" i="2"/>
  <c r="CC313" i="2"/>
  <c r="CC297" i="2"/>
  <c r="CC281" i="2"/>
  <c r="CC266" i="2"/>
  <c r="CC241" i="2"/>
  <c r="CC225" i="2"/>
  <c r="CC205" i="2"/>
  <c r="CC189" i="2"/>
  <c r="CC173" i="2"/>
  <c r="CC159" i="2"/>
  <c r="CC143" i="2"/>
  <c r="CC127" i="2"/>
  <c r="CC111" i="2"/>
  <c r="CC95" i="2"/>
  <c r="CC79" i="2"/>
  <c r="CC63" i="2"/>
  <c r="CC47" i="2"/>
  <c r="CC31" i="2"/>
  <c r="CC15" i="2"/>
  <c r="BX113" i="2"/>
  <c r="BX299" i="2"/>
  <c r="CB384" i="2"/>
  <c r="CB368" i="2"/>
  <c r="CB352" i="2"/>
  <c r="CB336" i="2"/>
  <c r="CB320" i="2"/>
  <c r="CB304" i="2"/>
  <c r="CB288" i="2"/>
  <c r="CB272" i="2"/>
  <c r="CB256" i="2"/>
  <c r="CB311" i="2"/>
  <c r="CB248" i="2"/>
  <c r="CB232" i="2"/>
  <c r="CB217" i="2"/>
  <c r="CB212" i="2"/>
  <c r="CB196" i="2"/>
  <c r="CB180" i="2"/>
  <c r="CB175" i="2"/>
  <c r="CB150" i="2"/>
  <c r="CB134" i="2"/>
  <c r="CB118" i="2"/>
  <c r="CB102" i="2"/>
  <c r="CB86" i="2"/>
  <c r="CB70" i="2"/>
  <c r="CB54" i="2"/>
  <c r="CB38" i="2"/>
  <c r="CB22" i="2"/>
  <c r="CC392" i="2"/>
  <c r="CC376" i="2"/>
  <c r="CC360" i="2"/>
  <c r="CC344" i="2"/>
  <c r="CC328" i="2"/>
  <c r="CC312" i="2"/>
  <c r="CC296" i="2"/>
  <c r="CC280" i="2"/>
  <c r="CC265" i="2"/>
  <c r="CC161" i="2"/>
  <c r="CC240" i="2"/>
  <c r="CC224" i="2"/>
  <c r="CC204" i="2"/>
  <c r="CC188" i="2"/>
  <c r="CC172" i="2"/>
  <c r="CC158" i="2"/>
  <c r="CC142" i="2"/>
  <c r="CC126" i="2"/>
  <c r="CC110" i="2"/>
  <c r="CC94" i="2"/>
  <c r="CC78" i="2"/>
  <c r="CC62" i="2"/>
  <c r="CC46" i="2"/>
  <c r="CC30" i="2"/>
  <c r="CC14" i="2"/>
  <c r="BX129" i="2"/>
  <c r="BX315" i="2"/>
  <c r="CB383" i="2"/>
  <c r="CB367" i="2"/>
  <c r="CB351" i="2"/>
  <c r="CB335" i="2"/>
  <c r="CB319" i="2"/>
  <c r="CB303" i="2"/>
  <c r="CB287" i="2"/>
  <c r="CB271" i="2"/>
  <c r="CB255" i="2"/>
  <c r="CB247" i="2"/>
  <c r="CB231" i="2"/>
  <c r="CB216" i="2"/>
  <c r="CB211" i="2"/>
  <c r="CB195" i="2"/>
  <c r="CB179" i="2"/>
  <c r="CB165" i="2"/>
  <c r="CB149" i="2"/>
  <c r="CB133" i="2"/>
  <c r="CB117" i="2"/>
  <c r="CB101" i="2"/>
  <c r="CB85" i="2"/>
  <c r="CB69" i="2"/>
  <c r="CB53" i="2"/>
  <c r="CB37" i="2"/>
  <c r="CB21" i="2"/>
  <c r="CC391" i="2"/>
  <c r="CC375" i="2"/>
  <c r="CC359" i="2"/>
  <c r="CC343" i="2"/>
  <c r="CC327" i="2"/>
  <c r="CC308" i="2"/>
  <c r="CC295" i="2"/>
  <c r="CC279" i="2"/>
  <c r="CC264" i="2"/>
  <c r="CC239" i="2"/>
  <c r="CC223" i="2"/>
  <c r="CC203" i="2"/>
  <c r="CC187" i="2"/>
  <c r="CC171" i="2"/>
  <c r="CC157" i="2"/>
  <c r="CC141" i="2"/>
  <c r="CC125" i="2"/>
  <c r="CC109" i="2"/>
  <c r="CC93" i="2"/>
  <c r="CC77" i="2"/>
  <c r="CC61" i="2"/>
  <c r="CC45" i="2"/>
  <c r="CC29" i="2"/>
  <c r="CC13" i="2"/>
  <c r="BX145" i="2"/>
  <c r="BX331" i="2"/>
  <c r="CB382" i="2"/>
  <c r="CB366" i="2"/>
  <c r="CB350" i="2"/>
  <c r="CB334" i="2"/>
  <c r="CB318" i="2"/>
  <c r="CB302" i="2"/>
  <c r="CB286" i="2"/>
  <c r="CB270" i="2"/>
  <c r="CB254" i="2"/>
  <c r="CB246" i="2"/>
  <c r="CB230" i="2"/>
  <c r="CB215" i="2"/>
  <c r="CB210" i="2"/>
  <c r="CB194" i="2"/>
  <c r="CB178" i="2"/>
  <c r="CB164" i="2"/>
  <c r="CB148" i="2"/>
  <c r="CB132" i="2"/>
  <c r="CB116" i="2"/>
  <c r="CB100" i="2"/>
  <c r="CB84" i="2"/>
  <c r="CB68" i="2"/>
  <c r="CB52" i="2"/>
  <c r="CB36" i="2"/>
  <c r="CB20" i="2"/>
  <c r="CC390" i="2"/>
  <c r="CC374" i="2"/>
  <c r="CC358" i="2"/>
  <c r="CC342" i="2"/>
  <c r="CC326" i="2"/>
  <c r="CC310" i="2"/>
  <c r="CC294" i="2"/>
  <c r="CC278" i="2"/>
  <c r="CC262" i="2"/>
  <c r="CC252" i="2"/>
  <c r="CC238" i="2"/>
  <c r="CC222" i="2"/>
  <c r="CC202" i="2"/>
  <c r="CC186" i="2"/>
  <c r="CC170" i="2"/>
  <c r="CC156" i="2"/>
  <c r="CC140" i="2"/>
  <c r="CC124" i="2"/>
  <c r="CC108" i="2"/>
  <c r="CC92" i="2"/>
  <c r="CC76" i="2"/>
  <c r="CC60" i="2"/>
  <c r="CC44" i="2"/>
  <c r="CC28" i="2"/>
  <c r="CC12" i="2"/>
  <c r="BX347" i="2"/>
  <c r="CB381" i="2"/>
  <c r="CB365" i="2"/>
  <c r="CB349" i="2"/>
  <c r="CB333" i="2"/>
  <c r="CB317" i="2"/>
  <c r="CB301" i="2"/>
  <c r="CB285" i="2"/>
  <c r="CB269" i="2"/>
  <c r="CB253" i="2"/>
  <c r="CB245" i="2"/>
  <c r="CB214" i="2"/>
  <c r="CB209" i="2"/>
  <c r="CB193" i="2"/>
  <c r="CB177" i="2"/>
  <c r="CB163" i="2"/>
  <c r="CB147" i="2"/>
  <c r="CB131" i="2"/>
  <c r="CB115" i="2"/>
  <c r="CB99" i="2"/>
  <c r="CB83" i="2"/>
  <c r="CB67" i="2"/>
  <c r="CB51" i="2"/>
  <c r="CB35" i="2"/>
  <c r="CB19" i="2"/>
  <c r="CC389" i="2"/>
  <c r="CC373" i="2"/>
  <c r="CC357" i="2"/>
  <c r="CC341" i="2"/>
  <c r="CC325" i="2"/>
  <c r="CC309" i="2"/>
  <c r="CC293" i="2"/>
  <c r="CC277" i="2"/>
  <c r="CC237" i="2"/>
  <c r="CC221" i="2"/>
  <c r="CC185" i="2"/>
  <c r="CC169" i="2"/>
  <c r="CC155" i="2"/>
  <c r="CC139" i="2"/>
  <c r="CC123" i="2"/>
  <c r="CC107" i="2"/>
  <c r="CC91" i="2"/>
  <c r="CC75" i="2"/>
  <c r="CC59" i="2"/>
  <c r="CC43" i="2"/>
  <c r="CC27" i="2"/>
  <c r="CC11" i="2"/>
  <c r="BX191" i="2"/>
  <c r="BX363" i="2"/>
  <c r="CB380" i="2"/>
  <c r="CB364" i="2"/>
  <c r="CB348" i="2"/>
  <c r="CB332" i="2"/>
  <c r="CB316" i="2"/>
  <c r="CB300" i="2"/>
  <c r="CB284" i="2"/>
  <c r="CB268" i="2"/>
  <c r="CB213" i="2"/>
  <c r="CB208" i="2"/>
  <c r="CB192" i="2"/>
  <c r="CB176" i="2"/>
  <c r="CB162" i="2"/>
  <c r="CB146" i="2"/>
  <c r="CB130" i="2"/>
  <c r="CB114" i="2"/>
  <c r="CB98" i="2"/>
  <c r="CB82" i="2"/>
  <c r="CB66" i="2"/>
  <c r="CB50" i="2"/>
  <c r="CB34" i="2"/>
  <c r="CB18" i="2"/>
  <c r="CC388" i="2"/>
  <c r="CC372" i="2"/>
  <c r="CC356" i="2"/>
  <c r="CC340" i="2"/>
  <c r="CC324" i="2"/>
  <c r="CC276" i="2"/>
  <c r="CC260" i="2"/>
  <c r="CC236" i="2"/>
  <c r="CC220" i="2"/>
  <c r="CC200" i="2"/>
  <c r="CC184" i="2"/>
  <c r="CC168" i="2"/>
  <c r="CC154" i="2"/>
  <c r="CC138" i="2"/>
  <c r="CC122" i="2"/>
  <c r="CC106" i="2"/>
  <c r="CC90" i="2"/>
  <c r="CC74" i="2"/>
  <c r="CC58" i="2"/>
  <c r="CC42" i="2"/>
  <c r="CC26" i="2"/>
  <c r="CC10" i="2"/>
  <c r="BX207" i="2"/>
  <c r="BX379" i="2"/>
  <c r="CB379" i="2"/>
  <c r="CB363" i="2"/>
  <c r="CB347" i="2"/>
  <c r="CB331" i="2"/>
  <c r="CB315" i="2"/>
  <c r="CB299" i="2"/>
  <c r="CB283" i="2"/>
  <c r="CB267" i="2"/>
  <c r="CB258" i="2"/>
  <c r="CB243" i="2"/>
  <c r="CB207" i="2"/>
  <c r="CB191" i="2"/>
  <c r="CB244" i="2"/>
  <c r="CB145" i="2"/>
  <c r="CB129" i="2"/>
  <c r="CB113" i="2"/>
  <c r="CB97" i="2"/>
  <c r="CB81" i="2"/>
  <c r="CB65" i="2"/>
  <c r="CB49" i="2"/>
  <c r="CB33" i="2"/>
  <c r="CB17" i="2"/>
  <c r="CC387" i="2"/>
  <c r="CC371" i="2"/>
  <c r="CC355" i="2"/>
  <c r="CC339" i="2"/>
  <c r="CC323" i="2"/>
  <c r="CC307" i="2"/>
  <c r="CC291" i="2"/>
  <c r="CC275" i="2"/>
  <c r="CC263" i="2"/>
  <c r="CC251" i="2"/>
  <c r="CC219" i="2"/>
  <c r="CC199" i="2"/>
  <c r="CC183" i="2"/>
  <c r="CC153" i="2"/>
  <c r="CC137" i="2"/>
  <c r="CC121" i="2"/>
  <c r="CC105" i="2"/>
  <c r="CC89" i="2"/>
  <c r="CC73" i="2"/>
  <c r="CC57" i="2"/>
  <c r="CC41" i="2"/>
  <c r="CC25" i="2"/>
  <c r="CC9" i="2"/>
  <c r="CB394" i="2"/>
  <c r="CB378" i="2"/>
  <c r="CB362" i="2"/>
  <c r="CB346" i="2"/>
  <c r="CB330" i="2"/>
  <c r="CB314" i="2"/>
  <c r="CB298" i="2"/>
  <c r="CB282" i="2"/>
  <c r="CB257" i="2"/>
  <c r="CB228" i="2"/>
  <c r="CB242" i="2"/>
  <c r="CB226" i="2"/>
  <c r="CB206" i="2"/>
  <c r="CB190" i="2"/>
  <c r="CB174" i="2"/>
  <c r="CB160" i="2"/>
  <c r="CB144" i="2"/>
  <c r="CB128" i="2"/>
  <c r="CB112" i="2"/>
  <c r="CB96" i="2"/>
  <c r="CB80" i="2"/>
  <c r="CB64" i="2"/>
  <c r="CB48" i="2"/>
  <c r="CB32" i="2"/>
  <c r="CB16" i="2"/>
  <c r="CC386" i="2"/>
  <c r="CC370" i="2"/>
  <c r="CC354" i="2"/>
  <c r="CC338" i="2"/>
  <c r="CC322" i="2"/>
  <c r="CC306" i="2"/>
  <c r="CC290" i="2"/>
  <c r="CC274" i="2"/>
  <c r="CC261" i="2"/>
  <c r="CC250" i="2"/>
  <c r="CC234" i="2"/>
  <c r="CC198" i="2"/>
  <c r="CC182" i="2"/>
  <c r="CC167" i="2"/>
  <c r="CC152" i="2"/>
  <c r="CC136" i="2"/>
  <c r="CC120" i="2"/>
  <c r="CC104" i="2"/>
  <c r="CC88" i="2"/>
  <c r="CC72" i="2"/>
  <c r="CC56" i="2"/>
  <c r="CC40" i="2"/>
  <c r="CC24" i="2"/>
  <c r="CB393" i="2"/>
  <c r="CB377" i="2"/>
  <c r="CB361" i="2"/>
  <c r="CB345" i="2"/>
  <c r="CB329" i="2"/>
  <c r="CB313" i="2"/>
  <c r="CB297" i="2"/>
  <c r="CB281" i="2"/>
  <c r="CB266" i="2"/>
  <c r="CB241" i="2"/>
  <c r="CB225" i="2"/>
  <c r="CB205" i="2"/>
  <c r="CB189" i="2"/>
  <c r="CB173" i="2"/>
  <c r="CB159" i="2"/>
  <c r="CB143" i="2"/>
  <c r="CB127" i="2"/>
  <c r="CB111" i="2"/>
  <c r="CB95" i="2"/>
  <c r="CB79" i="2"/>
  <c r="CB63" i="2"/>
  <c r="CB47" i="2"/>
  <c r="CB31" i="2"/>
  <c r="CB15" i="2"/>
  <c r="CC385" i="2"/>
  <c r="CC369" i="2"/>
  <c r="CC353" i="2"/>
  <c r="CC337" i="2"/>
  <c r="CC321" i="2"/>
  <c r="CC305" i="2"/>
  <c r="CC289" i="2"/>
  <c r="CC273" i="2"/>
  <c r="CC259" i="2"/>
  <c r="CC249" i="2"/>
  <c r="CC233" i="2"/>
  <c r="CC218" i="2"/>
  <c r="CC197" i="2"/>
  <c r="CC181" i="2"/>
  <c r="CC166" i="2"/>
  <c r="CC151" i="2"/>
  <c r="CC135" i="2"/>
  <c r="CC119" i="2"/>
  <c r="CC103" i="2"/>
  <c r="CC87" i="2"/>
  <c r="CC71" i="2"/>
  <c r="CC55" i="2"/>
  <c r="CC39" i="2"/>
  <c r="CC23" i="2"/>
  <c r="BX18" i="2"/>
  <c r="BX34" i="2"/>
  <c r="BX50" i="2"/>
  <c r="BX66" i="2"/>
  <c r="BX82" i="2"/>
  <c r="BX98" i="2"/>
  <c r="BX114" i="2"/>
  <c r="BX130" i="2"/>
  <c r="BX146" i="2"/>
  <c r="BX162" i="2"/>
  <c r="BX176" i="2"/>
  <c r="BX192" i="2"/>
  <c r="BX208" i="2"/>
  <c r="BX213" i="2"/>
  <c r="BX268" i="2"/>
  <c r="BX284" i="2"/>
  <c r="BX300" i="2"/>
  <c r="BX316" i="2"/>
  <c r="BX332" i="2"/>
  <c r="BX348" i="2"/>
  <c r="BX364" i="2"/>
  <c r="BX380" i="2"/>
  <c r="BX19" i="2"/>
  <c r="BX35" i="2"/>
  <c r="BX51" i="2"/>
  <c r="BX67" i="2"/>
  <c r="BX83" i="2"/>
  <c r="BX99" i="2"/>
  <c r="BX115" i="2"/>
  <c r="BX131" i="2"/>
  <c r="BX147" i="2"/>
  <c r="BX163" i="2"/>
  <c r="BX177" i="2"/>
  <c r="BX193" i="2"/>
  <c r="BX209" i="2"/>
  <c r="BX214" i="2"/>
  <c r="BX245" i="2"/>
  <c r="BX253" i="2"/>
  <c r="BX269" i="2"/>
  <c r="BX285" i="2"/>
  <c r="BX301" i="2"/>
  <c r="BX317" i="2"/>
  <c r="BX333" i="2"/>
  <c r="BX349" i="2"/>
  <c r="BX365" i="2"/>
  <c r="BX381" i="2"/>
  <c r="BX20" i="2"/>
  <c r="BX36" i="2"/>
  <c r="BX52" i="2"/>
  <c r="BX68" i="2"/>
  <c r="BX84" i="2"/>
  <c r="BX100" i="2"/>
  <c r="BX116" i="2"/>
  <c r="BX132" i="2"/>
  <c r="BX148" i="2"/>
  <c r="BX164" i="2"/>
  <c r="BX178" i="2"/>
  <c r="BX194" i="2"/>
  <c r="BX210" i="2"/>
  <c r="BX215" i="2"/>
  <c r="BX230" i="2"/>
  <c r="BX246" i="2"/>
  <c r="BX254" i="2"/>
  <c r="BX270" i="2"/>
  <c r="BX286" i="2"/>
  <c r="BX302" i="2"/>
  <c r="BX318" i="2"/>
  <c r="BX334" i="2"/>
  <c r="BX350" i="2"/>
  <c r="BX366" i="2"/>
  <c r="BX382" i="2"/>
  <c r="BX21" i="2"/>
  <c r="BX37" i="2"/>
  <c r="BX53" i="2"/>
  <c r="BX69" i="2"/>
  <c r="BX85" i="2"/>
  <c r="BX101" i="2"/>
  <c r="BX117" i="2"/>
  <c r="BX133" i="2"/>
  <c r="BX149" i="2"/>
  <c r="BX165" i="2"/>
  <c r="BX179" i="2"/>
  <c r="BX195" i="2"/>
  <c r="BX211" i="2"/>
  <c r="BX216" i="2"/>
  <c r="BX231" i="2"/>
  <c r="BX247" i="2"/>
  <c r="BX255" i="2"/>
  <c r="BX271" i="2"/>
  <c r="BX287" i="2"/>
  <c r="BX303" i="2"/>
  <c r="BX319" i="2"/>
  <c r="BX335" i="2"/>
  <c r="BX351" i="2"/>
  <c r="BX367" i="2"/>
  <c r="BX383" i="2"/>
  <c r="BX22" i="2"/>
  <c r="BX38" i="2"/>
  <c r="BX54" i="2"/>
  <c r="BX70" i="2"/>
  <c r="BX86" i="2"/>
  <c r="BX102" i="2"/>
  <c r="BX118" i="2"/>
  <c r="BX134" i="2"/>
  <c r="BX150" i="2"/>
  <c r="BX175" i="2"/>
  <c r="BX180" i="2"/>
  <c r="BX196" i="2"/>
  <c r="BX212" i="2"/>
  <c r="BX217" i="2"/>
  <c r="BX232" i="2"/>
  <c r="BX248" i="2"/>
  <c r="BX311" i="2"/>
  <c r="BX256" i="2"/>
  <c r="BX272" i="2"/>
  <c r="BX288" i="2"/>
  <c r="BX304" i="2"/>
  <c r="BX320" i="2"/>
  <c r="BX336" i="2"/>
  <c r="BX352" i="2"/>
  <c r="BX368" i="2"/>
  <c r="BX384" i="2"/>
  <c r="BX23" i="2"/>
  <c r="BX39" i="2"/>
  <c r="BX55" i="2"/>
  <c r="BX71" i="2"/>
  <c r="BX87" i="2"/>
  <c r="BX103" i="2"/>
  <c r="BX119" i="2"/>
  <c r="BX135" i="2"/>
  <c r="BX151" i="2"/>
  <c r="BX166" i="2"/>
  <c r="BX181" i="2"/>
  <c r="BX197" i="2"/>
  <c r="BX218" i="2"/>
  <c r="BX233" i="2"/>
  <c r="BX249" i="2"/>
  <c r="BX259" i="2"/>
  <c r="BX273" i="2"/>
  <c r="BX289" i="2"/>
  <c r="BX305" i="2"/>
  <c r="BX321" i="2"/>
  <c r="BX337" i="2"/>
  <c r="BX353" i="2"/>
  <c r="BX369" i="2"/>
  <c r="BX385" i="2"/>
  <c r="BX24" i="2"/>
  <c r="BX40" i="2"/>
  <c r="BX56" i="2"/>
  <c r="BX72" i="2"/>
  <c r="BX88" i="2"/>
  <c r="BX104" i="2"/>
  <c r="BX120" i="2"/>
  <c r="BX136" i="2"/>
  <c r="BX152" i="2"/>
  <c r="BX167" i="2"/>
  <c r="CS167" i="2" s="1"/>
  <c r="BX182" i="2"/>
  <c r="BX198" i="2"/>
  <c r="BX234" i="2"/>
  <c r="BX250" i="2"/>
  <c r="BX261" i="2"/>
  <c r="BX274" i="2"/>
  <c r="BX290" i="2"/>
  <c r="BX306" i="2"/>
  <c r="BX322" i="2"/>
  <c r="BX338" i="2"/>
  <c r="BX354" i="2"/>
  <c r="BX370" i="2"/>
  <c r="BX386" i="2"/>
  <c r="BX9" i="2"/>
  <c r="BX25" i="2"/>
  <c r="BX41" i="2"/>
  <c r="BX57" i="2"/>
  <c r="BX73" i="2"/>
  <c r="BX89" i="2"/>
  <c r="BX105" i="2"/>
  <c r="BX121" i="2"/>
  <c r="BX137" i="2"/>
  <c r="BX153" i="2"/>
  <c r="BX183" i="2"/>
  <c r="BX199" i="2"/>
  <c r="BX219" i="2"/>
  <c r="BX251" i="2"/>
  <c r="BX263" i="2"/>
  <c r="BX275" i="2"/>
  <c r="BX291" i="2"/>
  <c r="BX307" i="2"/>
  <c r="BX323" i="2"/>
  <c r="BX339" i="2"/>
  <c r="BX355" i="2"/>
  <c r="BX371" i="2"/>
  <c r="BX387" i="2"/>
  <c r="BX10" i="2"/>
  <c r="BX26" i="2"/>
  <c r="BX42" i="2"/>
  <c r="BX58" i="2"/>
  <c r="BX74" i="2"/>
  <c r="BX90" i="2"/>
  <c r="BX106" i="2"/>
  <c r="BX122" i="2"/>
  <c r="BX138" i="2"/>
  <c r="BX154" i="2"/>
  <c r="BX168" i="2"/>
  <c r="BX184" i="2"/>
  <c r="BX200" i="2"/>
  <c r="BX220" i="2"/>
  <c r="BX236" i="2"/>
  <c r="BX260" i="2"/>
  <c r="BX276" i="2"/>
  <c r="BX324" i="2"/>
  <c r="BX340" i="2"/>
  <c r="BX356" i="2"/>
  <c r="BX372" i="2"/>
  <c r="BX388" i="2"/>
  <c r="BX11" i="2"/>
  <c r="BX27" i="2"/>
  <c r="BX43" i="2"/>
  <c r="BX59" i="2"/>
  <c r="BX75" i="2"/>
  <c r="BX91" i="2"/>
  <c r="BX107" i="2"/>
  <c r="BX123" i="2"/>
  <c r="BX139" i="2"/>
  <c r="BX155" i="2"/>
  <c r="BX169" i="2"/>
  <c r="BX185" i="2"/>
  <c r="BX221" i="2"/>
  <c r="BX237" i="2"/>
  <c r="BX277" i="2"/>
  <c r="BX293" i="2"/>
  <c r="BX309" i="2"/>
  <c r="BX325" i="2"/>
  <c r="BX341" i="2"/>
  <c r="BX357" i="2"/>
  <c r="BX373" i="2"/>
  <c r="BX389" i="2"/>
  <c r="BX244" i="2"/>
  <c r="BX12" i="2"/>
  <c r="BX28" i="2"/>
  <c r="BX44" i="2"/>
  <c r="BX60" i="2"/>
  <c r="BX76" i="2"/>
  <c r="BX92" i="2"/>
  <c r="BX108" i="2"/>
  <c r="BX124" i="2"/>
  <c r="BX140" i="2"/>
  <c r="BX156" i="2"/>
  <c r="BX170" i="2"/>
  <c r="BX186" i="2"/>
  <c r="BX202" i="2"/>
  <c r="BX222" i="2"/>
  <c r="BX238" i="2"/>
  <c r="BX252" i="2"/>
  <c r="BX262" i="2"/>
  <c r="BX278" i="2"/>
  <c r="BX294" i="2"/>
  <c r="BX310" i="2"/>
  <c r="BX326" i="2"/>
  <c r="BX342" i="2"/>
  <c r="BX358" i="2"/>
  <c r="BX374" i="2"/>
  <c r="BX390" i="2"/>
  <c r="BX13" i="2"/>
  <c r="BX29" i="2"/>
  <c r="BX45" i="2"/>
  <c r="BX61" i="2"/>
  <c r="BX77" i="2"/>
  <c r="BX93" i="2"/>
  <c r="BX109" i="2"/>
  <c r="BX125" i="2"/>
  <c r="BX141" i="2"/>
  <c r="BX157" i="2"/>
  <c r="BX171" i="2"/>
  <c r="BX187" i="2"/>
  <c r="BX203" i="2"/>
  <c r="BX223" i="2"/>
  <c r="BX239" i="2"/>
  <c r="BX264" i="2"/>
  <c r="BX279" i="2"/>
  <c r="BX295" i="2"/>
  <c r="BX308" i="2"/>
  <c r="BX327" i="2"/>
  <c r="BX343" i="2"/>
  <c r="BX359" i="2"/>
  <c r="BX375" i="2"/>
  <c r="BX391" i="2"/>
  <c r="BX14" i="2"/>
  <c r="BX30" i="2"/>
  <c r="BX46" i="2"/>
  <c r="BX62" i="2"/>
  <c r="BX78" i="2"/>
  <c r="BX94" i="2"/>
  <c r="BX110" i="2"/>
  <c r="BX126" i="2"/>
  <c r="BX142" i="2"/>
  <c r="BX158" i="2"/>
  <c r="BX172" i="2"/>
  <c r="BX188" i="2"/>
  <c r="BX204" i="2"/>
  <c r="BX224" i="2"/>
  <c r="BX240" i="2"/>
  <c r="BX161" i="2"/>
  <c r="BX265" i="2"/>
  <c r="BX280" i="2"/>
  <c r="BX296" i="2"/>
  <c r="BX312" i="2"/>
  <c r="BX328" i="2"/>
  <c r="BX344" i="2"/>
  <c r="BX360" i="2"/>
  <c r="BX376" i="2"/>
  <c r="BX392" i="2"/>
  <c r="BX15" i="2"/>
  <c r="BX31" i="2"/>
  <c r="BX47" i="2"/>
  <c r="BX63" i="2"/>
  <c r="BX79" i="2"/>
  <c r="BX95" i="2"/>
  <c r="BX111" i="2"/>
  <c r="BX127" i="2"/>
  <c r="BX143" i="2"/>
  <c r="BX159" i="2"/>
  <c r="BX173" i="2"/>
  <c r="BX189" i="2"/>
  <c r="BX205" i="2"/>
  <c r="BX225" i="2"/>
  <c r="BX241" i="2"/>
  <c r="BX266" i="2"/>
  <c r="BX281" i="2"/>
  <c r="BX297" i="2"/>
  <c r="BX313" i="2"/>
  <c r="BX329" i="2"/>
  <c r="BX345" i="2"/>
  <c r="BX361" i="2"/>
  <c r="BX377" i="2"/>
  <c r="BX393" i="2"/>
  <c r="BX16" i="2"/>
  <c r="BX32" i="2"/>
  <c r="BX48" i="2"/>
  <c r="BX64" i="2"/>
  <c r="CT64" i="2" s="1" a="1"/>
  <c r="BX80" i="2"/>
  <c r="BX96" i="2"/>
  <c r="BX112" i="2"/>
  <c r="BX128" i="2"/>
  <c r="BX144" i="2"/>
  <c r="BX160" i="2"/>
  <c r="BX174" i="2"/>
  <c r="BX190" i="2"/>
  <c r="BX206" i="2"/>
  <c r="BX226" i="2"/>
  <c r="BX242" i="2"/>
  <c r="BX228" i="2"/>
  <c r="CP228" i="2" s="1"/>
  <c r="BX257" i="2"/>
  <c r="BX282" i="2"/>
  <c r="BX298" i="2"/>
  <c r="BX314" i="2"/>
  <c r="BX330" i="2"/>
  <c r="BX346" i="2"/>
  <c r="BX362" i="2"/>
  <c r="BX378" i="2"/>
  <c r="BX394" i="2"/>
  <c r="BR201" i="2" l="1"/>
  <c r="BR229" i="2"/>
  <c r="BW229" i="2" s="1"/>
  <c r="BR227" i="2"/>
  <c r="BW227" i="2" s="1"/>
  <c r="BR292" i="2"/>
  <c r="BW292" i="2" s="1"/>
  <c r="BR235" i="2"/>
  <c r="BW235" i="2" s="1"/>
  <c r="CP167" i="2"/>
  <c r="CT167" i="2" a="1"/>
  <c r="CS228" i="2"/>
  <c r="CP80" i="2"/>
  <c r="CS80" i="2"/>
  <c r="CP375" i="2"/>
  <c r="CS375" i="2"/>
  <c r="CP394" i="2"/>
  <c r="CS394" i="2"/>
  <c r="CP361" i="2"/>
  <c r="CS361" i="2"/>
  <c r="CS189" i="2"/>
  <c r="CP189" i="2"/>
  <c r="CP328" i="2"/>
  <c r="CS328" i="2"/>
  <c r="CP158" i="2"/>
  <c r="CS158" i="2"/>
  <c r="CP295" i="2"/>
  <c r="CS295" i="2"/>
  <c r="CS125" i="2"/>
  <c r="CP125" i="2"/>
  <c r="CP262" i="2"/>
  <c r="CS262" i="2"/>
  <c r="CS92" i="2"/>
  <c r="CP92" i="2"/>
  <c r="CS75" i="2"/>
  <c r="CP75" i="2"/>
  <c r="CS42" i="2"/>
  <c r="CP42" i="2"/>
  <c r="CS9" i="2"/>
  <c r="CP9" i="2"/>
  <c r="CS353" i="2"/>
  <c r="CP353" i="2"/>
  <c r="CP181" i="2"/>
  <c r="CS181" i="2"/>
  <c r="CS304" i="2"/>
  <c r="CP304" i="2"/>
  <c r="CP134" i="2"/>
  <c r="CS134" i="2"/>
  <c r="CS255" i="2"/>
  <c r="CP255" i="2"/>
  <c r="CP85" i="2"/>
  <c r="CS85" i="2"/>
  <c r="CP36" i="2"/>
  <c r="CS36" i="2"/>
  <c r="CS214" i="2"/>
  <c r="CP214" i="2"/>
  <c r="CP364" i="2"/>
  <c r="CS364" i="2"/>
  <c r="CP192" i="2"/>
  <c r="CS192" i="2"/>
  <c r="CP207" i="2"/>
  <c r="CS207" i="2"/>
  <c r="CP299" i="2"/>
  <c r="CS299" i="2"/>
  <c r="CP17" i="2"/>
  <c r="CS17" i="2"/>
  <c r="CP173" i="2"/>
  <c r="CS173" i="2"/>
  <c r="CP312" i="2"/>
  <c r="CS312" i="2"/>
  <c r="CP142" i="2"/>
  <c r="CS142" i="2"/>
  <c r="CP279" i="2"/>
  <c r="CS279" i="2"/>
  <c r="CS109" i="2"/>
  <c r="CP109" i="2"/>
  <c r="CS76" i="2"/>
  <c r="CP76" i="2"/>
  <c r="CS59" i="2"/>
  <c r="CP59" i="2"/>
  <c r="CS26" i="2"/>
  <c r="CP26" i="2"/>
  <c r="CP219" i="2"/>
  <c r="CS219" i="2"/>
  <c r="CS386" i="2"/>
  <c r="CP386" i="2"/>
  <c r="CS337" i="2"/>
  <c r="CP337" i="2"/>
  <c r="CP166" i="2"/>
  <c r="CS166" i="2"/>
  <c r="CS288" i="2"/>
  <c r="CP288" i="2"/>
  <c r="CP118" i="2"/>
  <c r="CS118" i="2"/>
  <c r="CP69" i="2"/>
  <c r="CS69" i="2"/>
  <c r="CS246" i="2"/>
  <c r="CP246" i="2"/>
  <c r="CP20" i="2"/>
  <c r="CS20" i="2"/>
  <c r="CP348" i="2"/>
  <c r="CS348" i="2"/>
  <c r="CP176" i="2"/>
  <c r="CS176" i="2"/>
  <c r="CP113" i="2"/>
  <c r="CS113" i="2"/>
  <c r="CP159" i="2"/>
  <c r="CS159" i="2"/>
  <c r="CP126" i="2"/>
  <c r="CS126" i="2"/>
  <c r="CP264" i="2"/>
  <c r="CS264" i="2"/>
  <c r="CS93" i="2"/>
  <c r="CP93" i="2"/>
  <c r="CS60" i="2"/>
  <c r="CP60" i="2"/>
  <c r="CS43" i="2"/>
  <c r="CP43" i="2"/>
  <c r="CP236" i="2"/>
  <c r="CS236" i="2"/>
  <c r="CS10" i="2"/>
  <c r="CP10" i="2"/>
  <c r="CS370" i="2"/>
  <c r="CP370" i="2"/>
  <c r="CP198" i="2"/>
  <c r="CS198" i="2"/>
  <c r="CS321" i="2"/>
  <c r="CP321" i="2"/>
  <c r="CP151" i="2"/>
  <c r="CS151" i="2"/>
  <c r="CS272" i="2"/>
  <c r="CP272" i="2"/>
  <c r="CP102" i="2"/>
  <c r="CS102" i="2"/>
  <c r="CP53" i="2"/>
  <c r="CS53" i="2"/>
  <c r="CS230" i="2"/>
  <c r="CP230" i="2"/>
  <c r="CP381" i="2"/>
  <c r="CS381" i="2"/>
  <c r="CP209" i="2"/>
  <c r="CS209" i="2"/>
  <c r="CP332" i="2"/>
  <c r="CS332" i="2"/>
  <c r="CP162" i="2"/>
  <c r="CS162" i="2"/>
  <c r="CP174" i="2"/>
  <c r="CS174" i="2"/>
  <c r="CS77" i="2"/>
  <c r="CP77" i="2"/>
  <c r="CS44" i="2"/>
  <c r="CP44" i="2"/>
  <c r="CS27" i="2"/>
  <c r="CP27" i="2"/>
  <c r="CP220" i="2"/>
  <c r="CS220" i="2"/>
  <c r="CS387" i="2"/>
  <c r="CP387" i="2"/>
  <c r="CS354" i="2"/>
  <c r="CP354" i="2"/>
  <c r="CP182" i="2"/>
  <c r="CS182" i="2"/>
  <c r="CS305" i="2"/>
  <c r="CP305" i="2"/>
  <c r="CP135" i="2"/>
  <c r="CS135" i="2"/>
  <c r="CS256" i="2"/>
  <c r="CP256" i="2"/>
  <c r="CP86" i="2"/>
  <c r="CS86" i="2"/>
  <c r="CP37" i="2"/>
  <c r="CS37" i="2"/>
  <c r="CP215" i="2"/>
  <c r="CS215" i="2"/>
  <c r="CP365" i="2"/>
  <c r="CS365" i="2"/>
  <c r="CP193" i="2"/>
  <c r="CS193" i="2"/>
  <c r="CP316" i="2"/>
  <c r="CS316" i="2"/>
  <c r="CP146" i="2"/>
  <c r="CS146" i="2"/>
  <c r="CP315" i="2"/>
  <c r="CS315" i="2"/>
  <c r="CP33" i="2"/>
  <c r="CS33" i="2"/>
  <c r="CP243" i="2"/>
  <c r="CS243" i="2"/>
  <c r="CP378" i="2"/>
  <c r="CS378" i="2"/>
  <c r="CP362" i="2"/>
  <c r="CS362" i="2"/>
  <c r="CP110" i="2"/>
  <c r="CS110" i="2"/>
  <c r="CP330" i="2"/>
  <c r="CS330" i="2"/>
  <c r="CP160" i="2"/>
  <c r="CS160" i="2"/>
  <c r="CP297" i="2"/>
  <c r="CS297" i="2"/>
  <c r="CP127" i="2"/>
  <c r="CS127" i="2"/>
  <c r="CP265" i="2"/>
  <c r="CS265" i="2"/>
  <c r="CP94" i="2"/>
  <c r="CS94" i="2"/>
  <c r="CS61" i="2"/>
  <c r="CP61" i="2"/>
  <c r="CP252" i="2"/>
  <c r="CS252" i="2"/>
  <c r="CS28" i="2"/>
  <c r="CP28" i="2"/>
  <c r="CP237" i="2"/>
  <c r="CS237" i="2"/>
  <c r="CS11" i="2"/>
  <c r="CP11" i="2"/>
  <c r="CS371" i="2"/>
  <c r="CP371" i="2"/>
  <c r="CP199" i="2"/>
  <c r="CS199" i="2"/>
  <c r="CS338" i="2"/>
  <c r="CP338" i="2"/>
  <c r="CS289" i="2"/>
  <c r="CP289" i="2"/>
  <c r="CP119" i="2"/>
  <c r="CS119" i="2"/>
  <c r="CP70" i="2"/>
  <c r="CS70" i="2"/>
  <c r="CS247" i="2"/>
  <c r="CP247" i="2"/>
  <c r="CP21" i="2"/>
  <c r="CS21" i="2"/>
  <c r="CP349" i="2"/>
  <c r="CS349" i="2"/>
  <c r="CP177" i="2"/>
  <c r="CS177" i="2"/>
  <c r="CP300" i="2"/>
  <c r="CS300" i="2"/>
  <c r="CP130" i="2"/>
  <c r="CS130" i="2"/>
  <c r="CP129" i="2"/>
  <c r="CS129" i="2"/>
  <c r="CS206" i="2"/>
  <c r="CP206" i="2"/>
  <c r="CP329" i="2"/>
  <c r="CS329" i="2"/>
  <c r="CP280" i="2"/>
  <c r="CS280" i="2"/>
  <c r="CP144" i="2"/>
  <c r="CS144" i="2"/>
  <c r="CP281" i="2"/>
  <c r="CS281" i="2"/>
  <c r="CP111" i="2"/>
  <c r="CS111" i="2"/>
  <c r="CP78" i="2"/>
  <c r="CS78" i="2"/>
  <c r="CS45" i="2"/>
  <c r="CP45" i="2"/>
  <c r="CP238" i="2"/>
  <c r="CS238" i="2"/>
  <c r="CS12" i="2"/>
  <c r="CP12" i="2"/>
  <c r="CP221" i="2"/>
  <c r="CS221" i="2"/>
  <c r="CS388" i="2"/>
  <c r="CP388" i="2"/>
  <c r="CS355" i="2"/>
  <c r="CP355" i="2"/>
  <c r="CP183" i="2"/>
  <c r="CS183" i="2"/>
  <c r="CS322" i="2"/>
  <c r="CP322" i="2"/>
  <c r="CP152" i="2"/>
  <c r="CS152" i="2"/>
  <c r="CS273" i="2"/>
  <c r="CP273" i="2"/>
  <c r="CP103" i="2"/>
  <c r="CS103" i="2"/>
  <c r="CS311" i="2"/>
  <c r="CP311" i="2"/>
  <c r="CP54" i="2"/>
  <c r="CS54" i="2"/>
  <c r="CS231" i="2"/>
  <c r="CP231" i="2"/>
  <c r="CP382" i="2"/>
  <c r="CS382" i="2"/>
  <c r="CP210" i="2"/>
  <c r="CS210" i="2"/>
  <c r="CP333" i="2"/>
  <c r="CS333" i="2"/>
  <c r="CP163" i="2"/>
  <c r="CS163" i="2"/>
  <c r="CP284" i="2"/>
  <c r="CS284" i="2"/>
  <c r="CP114" i="2"/>
  <c r="CS114" i="2"/>
  <c r="CP296" i="2"/>
  <c r="CS296" i="2"/>
  <c r="CP313" i="2"/>
  <c r="CS313" i="2"/>
  <c r="CP298" i="2"/>
  <c r="CS298" i="2"/>
  <c r="CP128" i="2"/>
  <c r="CS128" i="2"/>
  <c r="CP266" i="2"/>
  <c r="CS266" i="2"/>
  <c r="CP95" i="2"/>
  <c r="CS95" i="2"/>
  <c r="CP62" i="2"/>
  <c r="CS62" i="2"/>
  <c r="CS29" i="2"/>
  <c r="CP29" i="2"/>
  <c r="CP222" i="2"/>
  <c r="CS222" i="2"/>
  <c r="CP244" i="2"/>
  <c r="CS244" i="2"/>
  <c r="CS372" i="2"/>
  <c r="CP372" i="2"/>
  <c r="CP200" i="2"/>
  <c r="CS200" i="2"/>
  <c r="CS339" i="2"/>
  <c r="CP339" i="2"/>
  <c r="CS306" i="2"/>
  <c r="CP306" i="2"/>
  <c r="CP136" i="2"/>
  <c r="CS136" i="2"/>
  <c r="CS259" i="2"/>
  <c r="CP259" i="2"/>
  <c r="CP87" i="2"/>
  <c r="CS87" i="2"/>
  <c r="CP38" i="2"/>
  <c r="CS38" i="2"/>
  <c r="CP216" i="2"/>
  <c r="CS216" i="2"/>
  <c r="CP366" i="2"/>
  <c r="CS366" i="2"/>
  <c r="CP194" i="2"/>
  <c r="CS194" i="2"/>
  <c r="CP317" i="2"/>
  <c r="CS317" i="2"/>
  <c r="CP147" i="2"/>
  <c r="CS147" i="2"/>
  <c r="CP268" i="2"/>
  <c r="CS268" i="2"/>
  <c r="CP98" i="2"/>
  <c r="CS98" i="2"/>
  <c r="CP331" i="2"/>
  <c r="CS331" i="2"/>
  <c r="CP49" i="2"/>
  <c r="CS49" i="2"/>
  <c r="CP345" i="2"/>
  <c r="CS345" i="2"/>
  <c r="CP190" i="2"/>
  <c r="CS190" i="2"/>
  <c r="CP346" i="2"/>
  <c r="CS346" i="2"/>
  <c r="CP143" i="2"/>
  <c r="CS143" i="2"/>
  <c r="CP314" i="2"/>
  <c r="CS314" i="2"/>
  <c r="CP282" i="2"/>
  <c r="CS282" i="2"/>
  <c r="CP112" i="2"/>
  <c r="CS112" i="2"/>
  <c r="CP79" i="2"/>
  <c r="CS79" i="2"/>
  <c r="CP46" i="2"/>
  <c r="CS46" i="2"/>
  <c r="CP239" i="2"/>
  <c r="CS239" i="2"/>
  <c r="CS13" i="2"/>
  <c r="CP13" i="2"/>
  <c r="CP389" i="2"/>
  <c r="CS389" i="2"/>
  <c r="CS356" i="2"/>
  <c r="CP356" i="2"/>
  <c r="CP184" i="2"/>
  <c r="CS184" i="2"/>
  <c r="CS323" i="2"/>
  <c r="CP323" i="2"/>
  <c r="CS153" i="2"/>
  <c r="CP153" i="2"/>
  <c r="CS290" i="2"/>
  <c r="CP290" i="2"/>
  <c r="CP120" i="2"/>
  <c r="CS120" i="2"/>
  <c r="CP71" i="2"/>
  <c r="CS71" i="2"/>
  <c r="CS248" i="2"/>
  <c r="CP248" i="2"/>
  <c r="CP22" i="2"/>
  <c r="CS22" i="2"/>
  <c r="CP350" i="2"/>
  <c r="CS350" i="2"/>
  <c r="CP178" i="2"/>
  <c r="CS178" i="2"/>
  <c r="CP301" i="2"/>
  <c r="CS301" i="2"/>
  <c r="CP131" i="2"/>
  <c r="CS131" i="2"/>
  <c r="CP82" i="2"/>
  <c r="CS82" i="2"/>
  <c r="CP145" i="2"/>
  <c r="CS145" i="2"/>
  <c r="CP258" i="2"/>
  <c r="CS258" i="2"/>
  <c r="CP96" i="2"/>
  <c r="CS96" i="2"/>
  <c r="CP63" i="2"/>
  <c r="CS63" i="2"/>
  <c r="CP161" i="2"/>
  <c r="CS161" i="2"/>
  <c r="CP30" i="2"/>
  <c r="CS30" i="2"/>
  <c r="CP223" i="2"/>
  <c r="CS223" i="2"/>
  <c r="CP390" i="2"/>
  <c r="CS390" i="2"/>
  <c r="CP373" i="2"/>
  <c r="CS373" i="2"/>
  <c r="CS340" i="2"/>
  <c r="CP340" i="2"/>
  <c r="CS168" i="2"/>
  <c r="CP168" i="2"/>
  <c r="CS307" i="2"/>
  <c r="CP307" i="2"/>
  <c r="CS137" i="2"/>
  <c r="CP137" i="2"/>
  <c r="CS274" i="2"/>
  <c r="CP274" i="2"/>
  <c r="CP104" i="2"/>
  <c r="CS104" i="2"/>
  <c r="CP55" i="2"/>
  <c r="CS55" i="2"/>
  <c r="CS232" i="2"/>
  <c r="CP232" i="2"/>
  <c r="CP383" i="2"/>
  <c r="CS383" i="2"/>
  <c r="CP211" i="2"/>
  <c r="CS211" i="2"/>
  <c r="CP334" i="2"/>
  <c r="CS334" i="2"/>
  <c r="CP164" i="2"/>
  <c r="CS164" i="2"/>
  <c r="CP285" i="2"/>
  <c r="CS285" i="2"/>
  <c r="CP115" i="2"/>
  <c r="CS115" i="2"/>
  <c r="CP66" i="2"/>
  <c r="CS66" i="2"/>
  <c r="CP65" i="2"/>
  <c r="CS65" i="2"/>
  <c r="CP47" i="2"/>
  <c r="CS47" i="2"/>
  <c r="CP240" i="2"/>
  <c r="CS240" i="2"/>
  <c r="CP14" i="2"/>
  <c r="CS14" i="2"/>
  <c r="CP374" i="2"/>
  <c r="CS374" i="2"/>
  <c r="CS202" i="2"/>
  <c r="CP202" i="2"/>
  <c r="CP357" i="2"/>
  <c r="CS357" i="2"/>
  <c r="CS185" i="2"/>
  <c r="CP185" i="2"/>
  <c r="CS324" i="2"/>
  <c r="CP324" i="2"/>
  <c r="CS154" i="2"/>
  <c r="CP154" i="2"/>
  <c r="CS291" i="2"/>
  <c r="CP291" i="2"/>
  <c r="CS121" i="2"/>
  <c r="CP121" i="2"/>
  <c r="CS261" i="2"/>
  <c r="CP261" i="2"/>
  <c r="CP88" i="2"/>
  <c r="CS88" i="2"/>
  <c r="CP39" i="2"/>
  <c r="CS39" i="2"/>
  <c r="CP217" i="2"/>
  <c r="CS217" i="2"/>
  <c r="CP367" i="2"/>
  <c r="CS367" i="2"/>
  <c r="CP195" i="2"/>
  <c r="CS195" i="2"/>
  <c r="CP318" i="2"/>
  <c r="CS318" i="2"/>
  <c r="CP148" i="2"/>
  <c r="CS148" i="2"/>
  <c r="CP269" i="2"/>
  <c r="CS269" i="2"/>
  <c r="CP99" i="2"/>
  <c r="CS99" i="2"/>
  <c r="CP50" i="2"/>
  <c r="CS50" i="2"/>
  <c r="CP347" i="2"/>
  <c r="CS347" i="2"/>
  <c r="CP224" i="2"/>
  <c r="CS224" i="2"/>
  <c r="CP391" i="2"/>
  <c r="CS391" i="2"/>
  <c r="CP358" i="2"/>
  <c r="CS358" i="2"/>
  <c r="CS186" i="2"/>
  <c r="CP186" i="2"/>
  <c r="CP341" i="2"/>
  <c r="CS341" i="2"/>
  <c r="CS169" i="2"/>
  <c r="CP169" i="2"/>
  <c r="CS138" i="2"/>
  <c r="CP138" i="2"/>
  <c r="CS275" i="2"/>
  <c r="CP275" i="2"/>
  <c r="CS105" i="2"/>
  <c r="CP105" i="2"/>
  <c r="CP72" i="2"/>
  <c r="CS72" i="2"/>
  <c r="CP249" i="2"/>
  <c r="CS249" i="2"/>
  <c r="CP23" i="2"/>
  <c r="CS23" i="2"/>
  <c r="CP351" i="2"/>
  <c r="CS351" i="2"/>
  <c r="CP179" i="2"/>
  <c r="CS179" i="2"/>
  <c r="CP302" i="2"/>
  <c r="CS302" i="2"/>
  <c r="CP132" i="2"/>
  <c r="CS132" i="2"/>
  <c r="CP253" i="2"/>
  <c r="CS253" i="2"/>
  <c r="CP83" i="2"/>
  <c r="CS83" i="2"/>
  <c r="CP34" i="2"/>
  <c r="CS34" i="2"/>
  <c r="CP267" i="2"/>
  <c r="CS267" i="2"/>
  <c r="CP48" i="2"/>
  <c r="CS48" i="2"/>
  <c r="CS203" i="2"/>
  <c r="CP203" i="2"/>
  <c r="CP342" i="2"/>
  <c r="CS342" i="2"/>
  <c r="CS170" i="2"/>
  <c r="CP170" i="2"/>
  <c r="CP325" i="2"/>
  <c r="CS325" i="2"/>
  <c r="CS155" i="2"/>
  <c r="CP155" i="2"/>
  <c r="CS122" i="2"/>
  <c r="CP122" i="2"/>
  <c r="CS263" i="2"/>
  <c r="CP263" i="2"/>
  <c r="CS89" i="2"/>
  <c r="CP89" i="2"/>
  <c r="CP56" i="2"/>
  <c r="CS56" i="2"/>
  <c r="CP233" i="2"/>
  <c r="CS233" i="2"/>
  <c r="CS384" i="2"/>
  <c r="CP384" i="2"/>
  <c r="CP212" i="2"/>
  <c r="CS212" i="2"/>
  <c r="CP335" i="2"/>
  <c r="CS335" i="2"/>
  <c r="CP165" i="2"/>
  <c r="CS165" i="2"/>
  <c r="CP286" i="2"/>
  <c r="CS286" i="2"/>
  <c r="CP116" i="2"/>
  <c r="CS116" i="2"/>
  <c r="CP67" i="2"/>
  <c r="CS67" i="2"/>
  <c r="CP18" i="2"/>
  <c r="CS18" i="2"/>
  <c r="CP81" i="2"/>
  <c r="CS81" i="2"/>
  <c r="CP32" i="2"/>
  <c r="CS32" i="2"/>
  <c r="CP225" i="2"/>
  <c r="CS225" i="2"/>
  <c r="CP392" i="2"/>
  <c r="CS392" i="2"/>
  <c r="CP359" i="2"/>
  <c r="CS359" i="2"/>
  <c r="CS187" i="2"/>
  <c r="CP187" i="2"/>
  <c r="CP326" i="2"/>
  <c r="CS326" i="2"/>
  <c r="CS156" i="2"/>
  <c r="CP156" i="2"/>
  <c r="CP309" i="2"/>
  <c r="CS309" i="2"/>
  <c r="CS139" i="2"/>
  <c r="CP139" i="2"/>
  <c r="CS276" i="2"/>
  <c r="CP276" i="2"/>
  <c r="CS106" i="2"/>
  <c r="CP106" i="2"/>
  <c r="CS73" i="2"/>
  <c r="CP73" i="2"/>
  <c r="CP40" i="2"/>
  <c r="CS40" i="2"/>
  <c r="CP218" i="2"/>
  <c r="CS218" i="2"/>
  <c r="CS368" i="2"/>
  <c r="CP368" i="2"/>
  <c r="CP196" i="2"/>
  <c r="CS196" i="2"/>
  <c r="CP319" i="2"/>
  <c r="CS319" i="2"/>
  <c r="CP149" i="2"/>
  <c r="CS149" i="2"/>
  <c r="CP270" i="2"/>
  <c r="CS270" i="2"/>
  <c r="CP100" i="2"/>
  <c r="CS100" i="2"/>
  <c r="CP51" i="2"/>
  <c r="CS51" i="2"/>
  <c r="CP363" i="2"/>
  <c r="CS363" i="2"/>
  <c r="CP241" i="2"/>
  <c r="CS241" i="2"/>
  <c r="CP16" i="2"/>
  <c r="CS16" i="2"/>
  <c r="CP376" i="2"/>
  <c r="CS376" i="2"/>
  <c r="CS204" i="2"/>
  <c r="CP204" i="2"/>
  <c r="CP343" i="2"/>
  <c r="CS343" i="2"/>
  <c r="CS171" i="2"/>
  <c r="CP171" i="2"/>
  <c r="CP310" i="2"/>
  <c r="CS310" i="2"/>
  <c r="CS140" i="2"/>
  <c r="CP140" i="2"/>
  <c r="CP293" i="2"/>
  <c r="CS293" i="2"/>
  <c r="CS123" i="2"/>
  <c r="CP123" i="2"/>
  <c r="CP260" i="2"/>
  <c r="CS260" i="2"/>
  <c r="CS90" i="2"/>
  <c r="CP90" i="2"/>
  <c r="CS57" i="2"/>
  <c r="CP57" i="2"/>
  <c r="CP250" i="2"/>
  <c r="CS250" i="2"/>
  <c r="CP24" i="2"/>
  <c r="CS24" i="2"/>
  <c r="CS352" i="2"/>
  <c r="CP352" i="2"/>
  <c r="CP180" i="2"/>
  <c r="CS180" i="2"/>
  <c r="CP303" i="2"/>
  <c r="CS303" i="2"/>
  <c r="CP133" i="2"/>
  <c r="CS133" i="2"/>
  <c r="CP254" i="2"/>
  <c r="CS254" i="2"/>
  <c r="CP84" i="2"/>
  <c r="CS84" i="2"/>
  <c r="CP35" i="2"/>
  <c r="CS35" i="2"/>
  <c r="CS213" i="2"/>
  <c r="CP213" i="2"/>
  <c r="CP191" i="2"/>
  <c r="CS191" i="2"/>
  <c r="CP283" i="2"/>
  <c r="CS283" i="2"/>
  <c r="CP393" i="2"/>
  <c r="CS393" i="2"/>
  <c r="CP360" i="2"/>
  <c r="CS360" i="2"/>
  <c r="CS188" i="2"/>
  <c r="CP188" i="2"/>
  <c r="CP327" i="2"/>
  <c r="CS327" i="2"/>
  <c r="CS157" i="2"/>
  <c r="CP157" i="2"/>
  <c r="CP294" i="2"/>
  <c r="CS294" i="2"/>
  <c r="CS124" i="2"/>
  <c r="CP124" i="2"/>
  <c r="CP277" i="2"/>
  <c r="CS277" i="2"/>
  <c r="CS107" i="2"/>
  <c r="CP107" i="2"/>
  <c r="CS74" i="2"/>
  <c r="CP74" i="2"/>
  <c r="CS41" i="2"/>
  <c r="CP41" i="2"/>
  <c r="CP234" i="2"/>
  <c r="CS234" i="2"/>
  <c r="CS385" i="2"/>
  <c r="CP385" i="2"/>
  <c r="CS336" i="2"/>
  <c r="CP336" i="2"/>
  <c r="CP287" i="2"/>
  <c r="CS287" i="2"/>
  <c r="CP117" i="2"/>
  <c r="CS117" i="2"/>
  <c r="CP68" i="2"/>
  <c r="CS68" i="2"/>
  <c r="CS245" i="2"/>
  <c r="CP245" i="2"/>
  <c r="CP19" i="2"/>
  <c r="CS19" i="2"/>
  <c r="CP97" i="2"/>
  <c r="CS97" i="2"/>
  <c r="CP257" i="2"/>
  <c r="CS257" i="2"/>
  <c r="CP31" i="2"/>
  <c r="CS31" i="2"/>
  <c r="CP15" i="2"/>
  <c r="CS15" i="2"/>
  <c r="CP242" i="2"/>
  <c r="CS242" i="2"/>
  <c r="CS226" i="2"/>
  <c r="CP226" i="2"/>
  <c r="CP377" i="2"/>
  <c r="CS377" i="2"/>
  <c r="CS205" i="2"/>
  <c r="CP205" i="2"/>
  <c r="CP344" i="2"/>
  <c r="CS344" i="2"/>
  <c r="CS172" i="2"/>
  <c r="CP172" i="2"/>
  <c r="CP308" i="2"/>
  <c r="CS308" i="2"/>
  <c r="CS141" i="2"/>
  <c r="CP141" i="2"/>
  <c r="CP278" i="2"/>
  <c r="CS278" i="2"/>
  <c r="CS108" i="2"/>
  <c r="CP108" i="2"/>
  <c r="CS91" i="2"/>
  <c r="CP91" i="2"/>
  <c r="CS58" i="2"/>
  <c r="CP58" i="2"/>
  <c r="CP251" i="2"/>
  <c r="CS251" i="2"/>
  <c r="CS25" i="2"/>
  <c r="CP25" i="2"/>
  <c r="CS369" i="2"/>
  <c r="CP369" i="2"/>
  <c r="CP197" i="2"/>
  <c r="CS197" i="2"/>
  <c r="CS320" i="2"/>
  <c r="CP320" i="2"/>
  <c r="CP150" i="2"/>
  <c r="CS150" i="2"/>
  <c r="CP271" i="2"/>
  <c r="CS271" i="2"/>
  <c r="CP101" i="2"/>
  <c r="CS101" i="2"/>
  <c r="CP52" i="2"/>
  <c r="CS52" i="2"/>
  <c r="CP380" i="2"/>
  <c r="CS380" i="2"/>
  <c r="CP208" i="2"/>
  <c r="CS208" i="2"/>
  <c r="CP379" i="2"/>
  <c r="CS379" i="2"/>
  <c r="CX173" i="2"/>
  <c r="CT173" i="2" a="1"/>
  <c r="CT173" i="2" s="1"/>
  <c r="CT329" i="2" a="1"/>
  <c r="CT329" i="2" s="1"/>
  <c r="CX329" i="2"/>
  <c r="CT296" i="2" a="1"/>
  <c r="CT296" i="2" s="1"/>
  <c r="CX296" i="2"/>
  <c r="CT280" i="2" a="1"/>
  <c r="CT280" i="2" s="1"/>
  <c r="CX280" i="2"/>
  <c r="CX96" i="2"/>
  <c r="CT96" i="2" a="1"/>
  <c r="CT96" i="2" s="1"/>
  <c r="CX63" i="2"/>
  <c r="CT63" i="2" a="1"/>
  <c r="CT63" i="2" s="1"/>
  <c r="CX161" i="2"/>
  <c r="CT161" i="2" a="1"/>
  <c r="CT161" i="2" s="1"/>
  <c r="CX30" i="2"/>
  <c r="CT30" i="2" a="1"/>
  <c r="CT30" i="2" s="1"/>
  <c r="CX223" i="2"/>
  <c r="CT223" i="2" a="1"/>
  <c r="CT223" i="2" s="1"/>
  <c r="CT390" i="2" a="1"/>
  <c r="CT390" i="2" s="1"/>
  <c r="CX390" i="2"/>
  <c r="CX373" i="2"/>
  <c r="CT373" i="2" a="1"/>
  <c r="CT373" i="2" s="1"/>
  <c r="CX340" i="2"/>
  <c r="CT340" i="2" a="1"/>
  <c r="CT340" i="2" s="1"/>
  <c r="CX168" i="2"/>
  <c r="CT168" i="2" a="1"/>
  <c r="CT168" i="2" s="1"/>
  <c r="CX307" i="2"/>
  <c r="CT307" i="2" a="1"/>
  <c r="CT307" i="2" s="1"/>
  <c r="CX137" i="2"/>
  <c r="CT137" i="2" a="1"/>
  <c r="CT137" i="2" s="1"/>
  <c r="CT274" i="2" a="1"/>
  <c r="CT274" i="2" s="1"/>
  <c r="CX274" i="2"/>
  <c r="CT104" i="2" a="1"/>
  <c r="CT104" i="2" s="1"/>
  <c r="CX104" i="2"/>
  <c r="CT55" i="2" a="1"/>
  <c r="CT55" i="2" s="1"/>
  <c r="CX55" i="2"/>
  <c r="CT232" i="2" a="1"/>
  <c r="CT232" i="2" s="1"/>
  <c r="CX232" i="2"/>
  <c r="CT383" i="2" a="1"/>
  <c r="CT383" i="2" s="1"/>
  <c r="CX383" i="2"/>
  <c r="CT211" i="2" a="1"/>
  <c r="CT211" i="2" s="1"/>
  <c r="CX211" i="2"/>
  <c r="CT334" i="2" a="1"/>
  <c r="CT334" i="2" s="1"/>
  <c r="CX334" i="2"/>
  <c r="CT164" i="2" a="1"/>
  <c r="CT164" i="2" s="1"/>
  <c r="CX164" i="2"/>
  <c r="CT285" i="2" a="1"/>
  <c r="CT285" i="2" s="1"/>
  <c r="CX285" i="2"/>
  <c r="CT115" i="2" a="1"/>
  <c r="CT115" i="2" s="1"/>
  <c r="CX115" i="2"/>
  <c r="CT66" i="2" a="1"/>
  <c r="CT66" i="2" s="1"/>
  <c r="CX66" i="2"/>
  <c r="CT65" i="2" a="1"/>
  <c r="CT65" i="2" s="1"/>
  <c r="CX65" i="2"/>
  <c r="CX14" i="2"/>
  <c r="CT14" i="2" a="1"/>
  <c r="CT14" i="2" s="1"/>
  <c r="CT374" i="2" a="1"/>
  <c r="CT374" i="2" s="1"/>
  <c r="CX374" i="2"/>
  <c r="CX202" i="2"/>
  <c r="CT202" i="2" a="1"/>
  <c r="CT202" i="2" s="1"/>
  <c r="CX357" i="2"/>
  <c r="CT357" i="2" a="1"/>
  <c r="CT357" i="2" s="1"/>
  <c r="CX185" i="2"/>
  <c r="CT185" i="2" a="1"/>
  <c r="CT185" i="2" s="1"/>
  <c r="CX324" i="2"/>
  <c r="CT324" i="2" a="1"/>
  <c r="CT324" i="2" s="1"/>
  <c r="CX154" i="2"/>
  <c r="CT154" i="2" a="1"/>
  <c r="CT154" i="2" s="1"/>
  <c r="CX291" i="2"/>
  <c r="CT291" i="2" a="1"/>
  <c r="CT291" i="2" s="1"/>
  <c r="CX121" i="2"/>
  <c r="CT121" i="2" a="1"/>
  <c r="CT121" i="2" s="1"/>
  <c r="CT261" i="2" a="1"/>
  <c r="CT261" i="2" s="1"/>
  <c r="CX261" i="2"/>
  <c r="CT88" i="2" a="1"/>
  <c r="CT88" i="2" s="1"/>
  <c r="CX88" i="2"/>
  <c r="CT39" i="2" a="1"/>
  <c r="CT39" i="2" s="1"/>
  <c r="CX39" i="2"/>
  <c r="CT217" i="2" a="1"/>
  <c r="CT217" i="2" s="1"/>
  <c r="CX217" i="2"/>
  <c r="CT367" i="2" a="1"/>
  <c r="CT367" i="2" s="1"/>
  <c r="CX367" i="2"/>
  <c r="CT195" i="2" a="1"/>
  <c r="CT195" i="2" s="1"/>
  <c r="CX195" i="2"/>
  <c r="CT318" i="2" a="1"/>
  <c r="CT318" i="2" s="1"/>
  <c r="CX318" i="2"/>
  <c r="CT148" i="2" a="1"/>
  <c r="CT148" i="2" s="1"/>
  <c r="CX148" i="2"/>
  <c r="CT269" i="2" a="1"/>
  <c r="CT269" i="2" s="1"/>
  <c r="CX269" i="2"/>
  <c r="CT99" i="2" a="1"/>
  <c r="CT99" i="2" s="1"/>
  <c r="CX99" i="2"/>
  <c r="CT50" i="2" a="1"/>
  <c r="CT50" i="2" s="1"/>
  <c r="CX50" i="2"/>
  <c r="CT347" i="2" a="1"/>
  <c r="CT347" i="2" s="1"/>
  <c r="CX347" i="2"/>
  <c r="CX186" i="2"/>
  <c r="CT186" i="2" a="1"/>
  <c r="CT186" i="2" s="1"/>
  <c r="CX341" i="2"/>
  <c r="CT341" i="2" a="1"/>
  <c r="CT341" i="2" s="1"/>
  <c r="CX169" i="2"/>
  <c r="CT169" i="2" a="1"/>
  <c r="CT169" i="2" s="1"/>
  <c r="CX138" i="2"/>
  <c r="CT138" i="2" a="1"/>
  <c r="CT138" i="2" s="1"/>
  <c r="CX275" i="2"/>
  <c r="CT275" i="2" a="1"/>
  <c r="CT275" i="2" s="1"/>
  <c r="CX105" i="2"/>
  <c r="CT105" i="2" a="1"/>
  <c r="CT105" i="2" s="1"/>
  <c r="CT72" i="2" a="1"/>
  <c r="CT72" i="2" s="1"/>
  <c r="CX72" i="2"/>
  <c r="CT249" i="2" a="1"/>
  <c r="CT249" i="2" s="1"/>
  <c r="CX249" i="2"/>
  <c r="CT23" i="2" a="1"/>
  <c r="CT23" i="2" s="1"/>
  <c r="CX23" i="2"/>
  <c r="CT351" i="2" a="1"/>
  <c r="CT351" i="2" s="1"/>
  <c r="CX351" i="2"/>
  <c r="CT179" i="2" a="1"/>
  <c r="CT179" i="2" s="1"/>
  <c r="CX179" i="2"/>
  <c r="CT302" i="2" a="1"/>
  <c r="CT302" i="2" s="1"/>
  <c r="CX302" i="2"/>
  <c r="CT132" i="2" a="1"/>
  <c r="CT132" i="2" s="1"/>
  <c r="CX132" i="2"/>
  <c r="CT253" i="2" a="1"/>
  <c r="CT253" i="2" s="1"/>
  <c r="CX253" i="2"/>
  <c r="CT83" i="2" a="1"/>
  <c r="CT83" i="2" s="1"/>
  <c r="CX83" i="2"/>
  <c r="CT34" i="2" a="1"/>
  <c r="CT34" i="2" s="1"/>
  <c r="CX34" i="2"/>
  <c r="CT267" i="2" a="1"/>
  <c r="CT267" i="2" s="1"/>
  <c r="CX267" i="2"/>
  <c r="CT375" i="2" a="1"/>
  <c r="CT375" i="2" s="1"/>
  <c r="CX375" i="2"/>
  <c r="CX325" i="2"/>
  <c r="CT325" i="2" a="1"/>
  <c r="CT325" i="2" s="1"/>
  <c r="CX155" i="2"/>
  <c r="CT155" i="2" a="1"/>
  <c r="CT155" i="2" s="1"/>
  <c r="CX122" i="2"/>
  <c r="CT122" i="2" a="1"/>
  <c r="CT122" i="2" s="1"/>
  <c r="CX263" i="2"/>
  <c r="CT263" i="2" a="1"/>
  <c r="CT263" i="2" s="1"/>
  <c r="CX89" i="2"/>
  <c r="CT89" i="2" a="1"/>
  <c r="CT89" i="2" s="1"/>
  <c r="CT56" i="2" a="1"/>
  <c r="CT56" i="2" s="1"/>
  <c r="CX56" i="2"/>
  <c r="CT233" i="2" a="1"/>
  <c r="CT233" i="2" s="1"/>
  <c r="CX233" i="2"/>
  <c r="CT384" i="2" a="1"/>
  <c r="CT384" i="2" s="1"/>
  <c r="CX384" i="2"/>
  <c r="CT212" i="2" a="1"/>
  <c r="CT212" i="2" s="1"/>
  <c r="CX212" i="2"/>
  <c r="CT335" i="2" a="1"/>
  <c r="CT335" i="2" s="1"/>
  <c r="CX335" i="2"/>
  <c r="CT165" i="2" a="1"/>
  <c r="CT165" i="2" s="1"/>
  <c r="CX165" i="2"/>
  <c r="CT286" i="2" a="1"/>
  <c r="CT286" i="2" s="1"/>
  <c r="CX286" i="2"/>
  <c r="CT116" i="2" a="1"/>
  <c r="CT116" i="2" s="1"/>
  <c r="CX116" i="2"/>
  <c r="CT67" i="2" a="1"/>
  <c r="CT67" i="2" s="1"/>
  <c r="CX67" i="2"/>
  <c r="CT18" i="2" a="1"/>
  <c r="CT18" i="2" s="1"/>
  <c r="CX18" i="2"/>
  <c r="CT81" i="2" a="1"/>
  <c r="CT81" i="2" s="1"/>
  <c r="CX81" i="2"/>
  <c r="CL64" i="2"/>
  <c r="CT358" i="2" a="1"/>
  <c r="CT358" i="2" s="1"/>
  <c r="CX358" i="2"/>
  <c r="CX225" i="2"/>
  <c r="CT225" i="2" a="1"/>
  <c r="CT225" i="2" s="1"/>
  <c r="CT326" i="2" a="1"/>
  <c r="CT326" i="2" s="1"/>
  <c r="CX326" i="2"/>
  <c r="CX309" i="2"/>
  <c r="CT309" i="2" a="1"/>
  <c r="CT309" i="2" s="1"/>
  <c r="CX276" i="2"/>
  <c r="CT276" i="2" a="1"/>
  <c r="CT276" i="2" s="1"/>
  <c r="CX106" i="2"/>
  <c r="CT106" i="2" a="1"/>
  <c r="CT106" i="2" s="1"/>
  <c r="CX73" i="2"/>
  <c r="CT73" i="2" a="1"/>
  <c r="CT73" i="2" s="1"/>
  <c r="CT40" i="2" a="1"/>
  <c r="CT40" i="2" s="1"/>
  <c r="CX40" i="2"/>
  <c r="CT218" i="2" a="1"/>
  <c r="CT218" i="2" s="1"/>
  <c r="CX218" i="2"/>
  <c r="CT368" i="2" a="1"/>
  <c r="CT368" i="2" s="1"/>
  <c r="CX368" i="2"/>
  <c r="CT196" i="2" a="1"/>
  <c r="CT196" i="2" s="1"/>
  <c r="CX196" i="2"/>
  <c r="CT319" i="2" a="1"/>
  <c r="CT319" i="2" s="1"/>
  <c r="CX319" i="2"/>
  <c r="CT149" i="2" a="1"/>
  <c r="CT149" i="2" s="1"/>
  <c r="CX149" i="2"/>
  <c r="CT270" i="2" a="1"/>
  <c r="CT270" i="2" s="1"/>
  <c r="CX270" i="2"/>
  <c r="CT100" i="2" a="1"/>
  <c r="CT100" i="2" s="1"/>
  <c r="CX100" i="2"/>
  <c r="CT51" i="2" a="1"/>
  <c r="CT51" i="2" s="1"/>
  <c r="CX51" i="2"/>
  <c r="CT363" i="2" a="1"/>
  <c r="CT363" i="2" s="1"/>
  <c r="CX363" i="2"/>
  <c r="CX80" i="2"/>
  <c r="CT80" i="2" a="1"/>
  <c r="CT80" i="2" s="1"/>
  <c r="CX31" i="2"/>
  <c r="CT31" i="2" a="1"/>
  <c r="CT31" i="2" s="1"/>
  <c r="CT48" i="2" a="1"/>
  <c r="CT48" i="2" s="1"/>
  <c r="CX48" i="2"/>
  <c r="CX203" i="2"/>
  <c r="CT203" i="2" a="1"/>
  <c r="CT203" i="2" s="1"/>
  <c r="CT392" i="2" a="1"/>
  <c r="CT392" i="2" s="1"/>
  <c r="CX392" i="2"/>
  <c r="CX140" i="2"/>
  <c r="CT140" i="2" a="1"/>
  <c r="CT140" i="2" s="1"/>
  <c r="CX260" i="2"/>
  <c r="CT260" i="2" a="1"/>
  <c r="CT260" i="2" s="1"/>
  <c r="CX90" i="2"/>
  <c r="CT90" i="2" a="1"/>
  <c r="CT90" i="2" s="1"/>
  <c r="CX57" i="2"/>
  <c r="CT57" i="2" a="1"/>
  <c r="CT57" i="2" s="1"/>
  <c r="CT250" i="2" a="1"/>
  <c r="CT250" i="2" s="1"/>
  <c r="CX250" i="2"/>
  <c r="CT24" i="2" a="1"/>
  <c r="CT24" i="2" s="1"/>
  <c r="CX24" i="2"/>
  <c r="CT352" i="2" a="1"/>
  <c r="CT352" i="2" s="1"/>
  <c r="CX352" i="2"/>
  <c r="CT180" i="2" a="1"/>
  <c r="CT180" i="2" s="1"/>
  <c r="CX180" i="2"/>
  <c r="CT303" i="2" a="1"/>
  <c r="CT303" i="2" s="1"/>
  <c r="CX303" i="2"/>
  <c r="CT133" i="2" a="1"/>
  <c r="CT133" i="2" s="1"/>
  <c r="CX133" i="2"/>
  <c r="CT254" i="2" a="1"/>
  <c r="CT254" i="2" s="1"/>
  <c r="CX254" i="2"/>
  <c r="CT84" i="2" a="1"/>
  <c r="CT84" i="2" s="1"/>
  <c r="CX84" i="2"/>
  <c r="CT35" i="2" a="1"/>
  <c r="CT35" i="2" s="1"/>
  <c r="CX35" i="2"/>
  <c r="CX213" i="2"/>
  <c r="CT213" i="2" a="1"/>
  <c r="CT213" i="2" s="1"/>
  <c r="CT191" i="2" a="1"/>
  <c r="CT191" i="2" s="1"/>
  <c r="CX191" i="2"/>
  <c r="CT283" i="2" a="1"/>
  <c r="CT283" i="2" s="1"/>
  <c r="CX283" i="2"/>
  <c r="CT257" i="2" a="1"/>
  <c r="CT257" i="2" s="1"/>
  <c r="CX257" i="2"/>
  <c r="CT391" i="2" a="1"/>
  <c r="CT391" i="2" s="1"/>
  <c r="CX391" i="2"/>
  <c r="CX15" i="2"/>
  <c r="CT15" i="2" a="1"/>
  <c r="CT15" i="2" s="1"/>
  <c r="CX170" i="2"/>
  <c r="CT170" i="2" a="1"/>
  <c r="CT170" i="2" s="1"/>
  <c r="CT32" i="2" a="1"/>
  <c r="CT32" i="2" s="1"/>
  <c r="CX32" i="2"/>
  <c r="CT359" i="2" a="1"/>
  <c r="CT359" i="2" s="1"/>
  <c r="CX359" i="2"/>
  <c r="CX139" i="2"/>
  <c r="CT139" i="2" a="1"/>
  <c r="CT139" i="2" s="1"/>
  <c r="CX242" i="2"/>
  <c r="CT242" i="2" a="1"/>
  <c r="CT242" i="2" s="1"/>
  <c r="CT376" i="2" a="1"/>
  <c r="CT376" i="2" s="1"/>
  <c r="CX376" i="2"/>
  <c r="CT343" i="2" a="1"/>
  <c r="CT343" i="2" s="1"/>
  <c r="CX343" i="2"/>
  <c r="CT310" i="2" a="1"/>
  <c r="CT310" i="2" s="1"/>
  <c r="CX310" i="2"/>
  <c r="CX123" i="2"/>
  <c r="CT123" i="2" a="1"/>
  <c r="CT123" i="2" s="1"/>
  <c r="CT393" i="2" a="1"/>
  <c r="CT393" i="2" s="1"/>
  <c r="CX393" i="2"/>
  <c r="CX188" i="2"/>
  <c r="CT188" i="2" a="1"/>
  <c r="CT188" i="2" s="1"/>
  <c r="CX157" i="2"/>
  <c r="CT157" i="2" a="1"/>
  <c r="CT157" i="2" s="1"/>
  <c r="CX124" i="2"/>
  <c r="CT124" i="2" a="1"/>
  <c r="CT124" i="2" s="1"/>
  <c r="CX107" i="2"/>
  <c r="CT107" i="2" a="1"/>
  <c r="CT107" i="2" s="1"/>
  <c r="CX74" i="2"/>
  <c r="CT74" i="2" a="1"/>
  <c r="CT74" i="2" s="1"/>
  <c r="CX41" i="2"/>
  <c r="CT41" i="2" a="1"/>
  <c r="CT41" i="2" s="1"/>
  <c r="CT234" i="2" a="1"/>
  <c r="CT234" i="2" s="1"/>
  <c r="CX234" i="2"/>
  <c r="CT385" i="2" a="1"/>
  <c r="CT385" i="2" s="1"/>
  <c r="CX385" i="2"/>
  <c r="CT336" i="2" a="1"/>
  <c r="CT336" i="2" s="1"/>
  <c r="CX336" i="2"/>
  <c r="CT287" i="2" a="1"/>
  <c r="CT287" i="2" s="1"/>
  <c r="CX287" i="2"/>
  <c r="CT117" i="2" a="1"/>
  <c r="CT117" i="2" s="1"/>
  <c r="CX117" i="2"/>
  <c r="CT68" i="2" a="1"/>
  <c r="CT68" i="2" s="1"/>
  <c r="CX68" i="2"/>
  <c r="CX245" i="2"/>
  <c r="CT245" i="2" a="1"/>
  <c r="CT245" i="2" s="1"/>
  <c r="CT19" i="2" a="1"/>
  <c r="CT19" i="2" s="1"/>
  <c r="CX19" i="2"/>
  <c r="CT97" i="2" a="1"/>
  <c r="CT97" i="2" s="1"/>
  <c r="CX97" i="2"/>
  <c r="CX47" i="2"/>
  <c r="CT47" i="2" a="1"/>
  <c r="CT47" i="2" s="1"/>
  <c r="CX224" i="2"/>
  <c r="CT224" i="2" a="1"/>
  <c r="CT224" i="2" s="1"/>
  <c r="CX241" i="2"/>
  <c r="CT241" i="2" a="1"/>
  <c r="CT241" i="2" s="1"/>
  <c r="CT342" i="2" a="1"/>
  <c r="CT342" i="2" s="1"/>
  <c r="CX342" i="2"/>
  <c r="CL228" i="2"/>
  <c r="CX187" i="2"/>
  <c r="CT187" i="2" a="1"/>
  <c r="CT187" i="2" s="1"/>
  <c r="CX156" i="2"/>
  <c r="CT156" i="2" a="1"/>
  <c r="CT156" i="2" s="1"/>
  <c r="CX16" i="2"/>
  <c r="CT16" i="2" a="1"/>
  <c r="CT16" i="2" s="1"/>
  <c r="CX204" i="2"/>
  <c r="CT204" i="2" a="1"/>
  <c r="CT204" i="2" s="1"/>
  <c r="CX171" i="2"/>
  <c r="CT171" i="2" a="1"/>
  <c r="CT171" i="2" s="1"/>
  <c r="CX293" i="2"/>
  <c r="CT293" i="2" a="1"/>
  <c r="CT293" i="2" s="1"/>
  <c r="CX226" i="2"/>
  <c r="CT226" i="2" a="1"/>
  <c r="CT226" i="2" s="1"/>
  <c r="CT360" i="2" a="1"/>
  <c r="CT360" i="2" s="1"/>
  <c r="CX360" i="2"/>
  <c r="CT327" i="2" a="1"/>
  <c r="CT327" i="2" s="1"/>
  <c r="CX327" i="2"/>
  <c r="CT294" i="2" a="1"/>
  <c r="CT294" i="2" s="1"/>
  <c r="CX294" i="2"/>
  <c r="CX277" i="2"/>
  <c r="CT277" i="2" a="1"/>
  <c r="CT277" i="2" s="1"/>
  <c r="CT377" i="2" a="1"/>
  <c r="CT377" i="2" s="1"/>
  <c r="CX377" i="2"/>
  <c r="CX205" i="2"/>
  <c r="CT205" i="2" a="1"/>
  <c r="CT205" i="2" s="1"/>
  <c r="CT344" i="2" a="1"/>
  <c r="CT344" i="2" s="1"/>
  <c r="CX344" i="2"/>
  <c r="CX172" i="2"/>
  <c r="CT172" i="2" a="1"/>
  <c r="CT172" i="2" s="1"/>
  <c r="CT308" i="2" a="1"/>
  <c r="CT308" i="2" s="1"/>
  <c r="CX308" i="2"/>
  <c r="CX141" i="2"/>
  <c r="CT141" i="2" a="1"/>
  <c r="CT141" i="2" s="1"/>
  <c r="CT278" i="2" a="1"/>
  <c r="CT278" i="2" s="1"/>
  <c r="CX278" i="2"/>
  <c r="CX108" i="2"/>
  <c r="CT108" i="2" a="1"/>
  <c r="CT108" i="2" s="1"/>
  <c r="CX91" i="2"/>
  <c r="CT91" i="2" a="1"/>
  <c r="CT91" i="2" s="1"/>
  <c r="CX58" i="2"/>
  <c r="CT58" i="2" a="1"/>
  <c r="CT58" i="2" s="1"/>
  <c r="CX251" i="2"/>
  <c r="CT251" i="2" a="1"/>
  <c r="CT251" i="2" s="1"/>
  <c r="CX25" i="2"/>
  <c r="CT25" i="2" a="1"/>
  <c r="CT25" i="2" s="1"/>
  <c r="CT369" i="2" a="1"/>
  <c r="CT369" i="2" s="1"/>
  <c r="CX369" i="2"/>
  <c r="CT197" i="2" a="1"/>
  <c r="CT197" i="2" s="1"/>
  <c r="CX197" i="2"/>
  <c r="CT320" i="2" a="1"/>
  <c r="CT320" i="2" s="1"/>
  <c r="CX320" i="2"/>
  <c r="CT150" i="2" a="1"/>
  <c r="CT150" i="2" s="1"/>
  <c r="CX150" i="2"/>
  <c r="CT271" i="2" a="1"/>
  <c r="CT271" i="2" s="1"/>
  <c r="CX271" i="2"/>
  <c r="CT101" i="2" a="1"/>
  <c r="CT101" i="2" s="1"/>
  <c r="CX101" i="2"/>
  <c r="CT52" i="2" a="1"/>
  <c r="CT52" i="2" s="1"/>
  <c r="CX52" i="2"/>
  <c r="CT380" i="2" a="1"/>
  <c r="CT380" i="2" s="1"/>
  <c r="CX380" i="2"/>
  <c r="CT208" i="2" a="1"/>
  <c r="CT208" i="2" s="1"/>
  <c r="CX208" i="2"/>
  <c r="CT379" i="2" a="1"/>
  <c r="CT379" i="2" s="1"/>
  <c r="CX379" i="2"/>
  <c r="CX240" i="2"/>
  <c r="CT240" i="2" a="1"/>
  <c r="CT240" i="2" s="1"/>
  <c r="CT394" i="2" a="1"/>
  <c r="CT394" i="2" s="1"/>
  <c r="CX394" i="2"/>
  <c r="CT361" i="2" a="1"/>
  <c r="CT361" i="2" s="1"/>
  <c r="CX361" i="2"/>
  <c r="CX189" i="2"/>
  <c r="CT189" i="2" a="1"/>
  <c r="CT189" i="2" s="1"/>
  <c r="CT328" i="2" a="1"/>
  <c r="CT328" i="2" s="1"/>
  <c r="CX328" i="2"/>
  <c r="CX158" i="2"/>
  <c r="CT158" i="2" a="1"/>
  <c r="CT158" i="2" s="1"/>
  <c r="CT295" i="2" a="1"/>
  <c r="CT295" i="2" s="1"/>
  <c r="CX295" i="2"/>
  <c r="CX125" i="2"/>
  <c r="CT125" i="2" a="1"/>
  <c r="CT125" i="2" s="1"/>
  <c r="CT262" i="2" a="1"/>
  <c r="CT262" i="2" s="1"/>
  <c r="CX262" i="2"/>
  <c r="CX92" i="2"/>
  <c r="CT92" i="2" a="1"/>
  <c r="CT92" i="2" s="1"/>
  <c r="CX75" i="2"/>
  <c r="CT75" i="2" a="1"/>
  <c r="CT75" i="2" s="1"/>
  <c r="CX42" i="2"/>
  <c r="CT42" i="2" a="1"/>
  <c r="CT42" i="2" s="1"/>
  <c r="CX9" i="2"/>
  <c r="CT9" i="2" a="1"/>
  <c r="CT9" i="2" s="1"/>
  <c r="CT353" i="2" a="1"/>
  <c r="CT353" i="2" s="1"/>
  <c r="CX353" i="2"/>
  <c r="CT181" i="2" a="1"/>
  <c r="CT181" i="2" s="1"/>
  <c r="CX181" i="2"/>
  <c r="CT304" i="2" a="1"/>
  <c r="CT304" i="2" s="1"/>
  <c r="CX304" i="2"/>
  <c r="CT134" i="2" a="1"/>
  <c r="CT134" i="2" s="1"/>
  <c r="CX134" i="2"/>
  <c r="CT255" i="2" a="1"/>
  <c r="CT255" i="2" s="1"/>
  <c r="CX255" i="2"/>
  <c r="CT85" i="2" a="1"/>
  <c r="CT85" i="2" s="1"/>
  <c r="CX85" i="2"/>
  <c r="CT36" i="2" a="1"/>
  <c r="CT36" i="2" s="1"/>
  <c r="CX36" i="2"/>
  <c r="CX214" i="2"/>
  <c r="CT214" i="2" a="1"/>
  <c r="CT214" i="2" s="1"/>
  <c r="CT364" i="2" a="1"/>
  <c r="CT364" i="2" s="1"/>
  <c r="CX364" i="2"/>
  <c r="CT192" i="2" a="1"/>
  <c r="CT192" i="2" s="1"/>
  <c r="CX192" i="2"/>
  <c r="CX207" i="2"/>
  <c r="CT207" i="2" a="1"/>
  <c r="CT207" i="2" s="1"/>
  <c r="CT299" i="2" a="1"/>
  <c r="CT299" i="2" s="1"/>
  <c r="CX299" i="2"/>
  <c r="CT17" i="2" a="1"/>
  <c r="CT17" i="2" s="1"/>
  <c r="CX17" i="2"/>
  <c r="CT312" i="2" a="1"/>
  <c r="CT312" i="2" s="1"/>
  <c r="CX312" i="2"/>
  <c r="CT279" i="2" a="1"/>
  <c r="CT279" i="2" s="1"/>
  <c r="CX279" i="2"/>
  <c r="CX109" i="2"/>
  <c r="CT109" i="2" a="1"/>
  <c r="CT109" i="2" s="1"/>
  <c r="CX76" i="2"/>
  <c r="CT76" i="2" a="1"/>
  <c r="CT76" i="2" s="1"/>
  <c r="CX59" i="2"/>
  <c r="CT59" i="2" a="1"/>
  <c r="CT59" i="2" s="1"/>
  <c r="CX26" i="2"/>
  <c r="CT26" i="2" a="1"/>
  <c r="CT26" i="2" s="1"/>
  <c r="CX219" i="2"/>
  <c r="CT219" i="2" a="1"/>
  <c r="CT219" i="2" s="1"/>
  <c r="CT386" i="2" a="1"/>
  <c r="CT386" i="2" s="1"/>
  <c r="CX386" i="2"/>
  <c r="CT337" i="2" a="1"/>
  <c r="CT337" i="2" s="1"/>
  <c r="CX337" i="2"/>
  <c r="CT166" i="2" a="1"/>
  <c r="CT166" i="2" s="1"/>
  <c r="CX166" i="2"/>
  <c r="CT288" i="2" a="1"/>
  <c r="CT288" i="2" s="1"/>
  <c r="CX288" i="2"/>
  <c r="CT118" i="2" a="1"/>
  <c r="CT118" i="2" s="1"/>
  <c r="CX118" i="2"/>
  <c r="CT69" i="2" a="1"/>
  <c r="CT69" i="2" s="1"/>
  <c r="CX69" i="2"/>
  <c r="CX246" i="2"/>
  <c r="CT246" i="2" a="1"/>
  <c r="CT246" i="2" s="1"/>
  <c r="CT20" i="2" a="1"/>
  <c r="CT20" i="2" s="1"/>
  <c r="CX20" i="2"/>
  <c r="CT348" i="2" a="1"/>
  <c r="CT348" i="2" s="1"/>
  <c r="CX348" i="2"/>
  <c r="CT176" i="2" a="1"/>
  <c r="CT176" i="2" s="1"/>
  <c r="CX176" i="2"/>
  <c r="CT113" i="2" a="1"/>
  <c r="CT113" i="2" s="1"/>
  <c r="CX113" i="2"/>
  <c r="CT362" i="2" a="1"/>
  <c r="CT362" i="2" s="1"/>
  <c r="CX362" i="2"/>
  <c r="CX93" i="2"/>
  <c r="CT93" i="2" a="1"/>
  <c r="CT93" i="2" s="1"/>
  <c r="CX60" i="2"/>
  <c r="CT60" i="2" a="1"/>
  <c r="CT60" i="2" s="1"/>
  <c r="CX43" i="2"/>
  <c r="CT43" i="2" a="1"/>
  <c r="CT43" i="2" s="1"/>
  <c r="CX236" i="2"/>
  <c r="CT236" i="2" a="1"/>
  <c r="CT236" i="2" s="1"/>
  <c r="CX10" i="2"/>
  <c r="CT10" i="2" a="1"/>
  <c r="CT10" i="2" s="1"/>
  <c r="CT370" i="2" a="1"/>
  <c r="CT370" i="2" s="1"/>
  <c r="CX370" i="2"/>
  <c r="CT198" i="2" a="1"/>
  <c r="CT198" i="2" s="1"/>
  <c r="CX198" i="2"/>
  <c r="CT321" i="2" a="1"/>
  <c r="CT321" i="2" s="1"/>
  <c r="CX321" i="2"/>
  <c r="CT151" i="2" a="1"/>
  <c r="CT151" i="2" s="1"/>
  <c r="CX151" i="2"/>
  <c r="CT272" i="2" a="1"/>
  <c r="CT272" i="2" s="1"/>
  <c r="CX272" i="2"/>
  <c r="CT102" i="2" a="1"/>
  <c r="CT102" i="2" s="1"/>
  <c r="CX102" i="2"/>
  <c r="CT53" i="2" a="1"/>
  <c r="CT53" i="2" s="1"/>
  <c r="CX53" i="2"/>
  <c r="CX230" i="2"/>
  <c r="CT230" i="2" a="1"/>
  <c r="CT230" i="2" s="1"/>
  <c r="CT381" i="2" a="1"/>
  <c r="CT381" i="2" s="1"/>
  <c r="CX381" i="2"/>
  <c r="CT209" i="2" a="1"/>
  <c r="CT209" i="2" s="1"/>
  <c r="CX209" i="2"/>
  <c r="CT332" i="2" a="1"/>
  <c r="CT332" i="2" s="1"/>
  <c r="CX332" i="2"/>
  <c r="CT162" i="2" a="1"/>
  <c r="CT162" i="2" s="1"/>
  <c r="CX162" i="2"/>
  <c r="CX110" i="2"/>
  <c r="CT110" i="2" a="1"/>
  <c r="CT110" i="2" s="1"/>
  <c r="CX44" i="2"/>
  <c r="CT44" i="2" a="1"/>
  <c r="CT44" i="2" s="1"/>
  <c r="CX27" i="2"/>
  <c r="CT27" i="2" a="1"/>
  <c r="CT27" i="2" s="1"/>
  <c r="CX220" i="2"/>
  <c r="CT220" i="2" a="1"/>
  <c r="CT220" i="2" s="1"/>
  <c r="CX387" i="2"/>
  <c r="CT387" i="2" a="1"/>
  <c r="CT387" i="2" s="1"/>
  <c r="CT354" i="2" a="1"/>
  <c r="CT354" i="2" s="1"/>
  <c r="CX354" i="2"/>
  <c r="CT182" i="2" a="1"/>
  <c r="CT182" i="2" s="1"/>
  <c r="CX182" i="2"/>
  <c r="CT305" i="2" a="1"/>
  <c r="CT305" i="2" s="1"/>
  <c r="CX305" i="2"/>
  <c r="CT135" i="2" a="1"/>
  <c r="CT135" i="2" s="1"/>
  <c r="CX135" i="2"/>
  <c r="CT256" i="2" a="1"/>
  <c r="CT256" i="2" s="1"/>
  <c r="CX256" i="2"/>
  <c r="CT86" i="2" a="1"/>
  <c r="CT86" i="2" s="1"/>
  <c r="CX86" i="2"/>
  <c r="CT37" i="2" a="1"/>
  <c r="CT37" i="2" s="1"/>
  <c r="CX37" i="2"/>
  <c r="CT215" i="2" a="1"/>
  <c r="CT215" i="2" s="1"/>
  <c r="CX215" i="2"/>
  <c r="CT365" i="2" a="1"/>
  <c r="CT365" i="2" s="1"/>
  <c r="CX365" i="2"/>
  <c r="CT193" i="2" a="1"/>
  <c r="CT193" i="2" s="1"/>
  <c r="CX193" i="2"/>
  <c r="CT316" i="2" a="1"/>
  <c r="CT316" i="2" s="1"/>
  <c r="CX316" i="2"/>
  <c r="CT146" i="2" a="1"/>
  <c r="CT146" i="2" s="1"/>
  <c r="CX146" i="2"/>
  <c r="CT315" i="2" a="1"/>
  <c r="CT315" i="2" s="1"/>
  <c r="CX315" i="2"/>
  <c r="CT33" i="2" a="1"/>
  <c r="CT33" i="2" s="1"/>
  <c r="CX33" i="2"/>
  <c r="CX243" i="2"/>
  <c r="CT243" i="2" a="1"/>
  <c r="CT243" i="2" s="1"/>
  <c r="CT265" i="2" a="1"/>
  <c r="CT265" i="2" s="1"/>
  <c r="CX265" i="2"/>
  <c r="CX252" i="2"/>
  <c r="CT252" i="2" a="1"/>
  <c r="CT252" i="2" s="1"/>
  <c r="CX237" i="2"/>
  <c r="CT237" i="2" a="1"/>
  <c r="CT237" i="2" s="1"/>
  <c r="CX371" i="2"/>
  <c r="CT371" i="2" a="1"/>
  <c r="CT371" i="2" s="1"/>
  <c r="CX199" i="2"/>
  <c r="CT199" i="2" a="1"/>
  <c r="CT199" i="2" s="1"/>
  <c r="CT338" i="2" a="1"/>
  <c r="CT338" i="2" s="1"/>
  <c r="CX338" i="2"/>
  <c r="CL167" i="2"/>
  <c r="CT289" i="2" a="1"/>
  <c r="CT289" i="2" s="1"/>
  <c r="CX289" i="2"/>
  <c r="CT119" i="2" a="1"/>
  <c r="CT119" i="2" s="1"/>
  <c r="CX119" i="2"/>
  <c r="CT70" i="2" a="1"/>
  <c r="CT70" i="2" s="1"/>
  <c r="CX70" i="2"/>
  <c r="CX247" i="2"/>
  <c r="CT247" i="2" a="1"/>
  <c r="CT247" i="2" s="1"/>
  <c r="CT21" i="2" a="1"/>
  <c r="CT21" i="2" s="1"/>
  <c r="CX21" i="2"/>
  <c r="CT349" i="2" a="1"/>
  <c r="CT349" i="2" s="1"/>
  <c r="CX349" i="2"/>
  <c r="CT177" i="2" a="1"/>
  <c r="CT177" i="2" s="1"/>
  <c r="CX177" i="2"/>
  <c r="CT300" i="2" a="1"/>
  <c r="CT300" i="2" s="1"/>
  <c r="CX300" i="2"/>
  <c r="CT130" i="2" a="1"/>
  <c r="CT130" i="2" s="1"/>
  <c r="CX130" i="2"/>
  <c r="CT129" i="2" a="1"/>
  <c r="CT129" i="2" s="1"/>
  <c r="CX129" i="2"/>
  <c r="CT378" i="2" a="1"/>
  <c r="CT378" i="2" s="1"/>
  <c r="CX378" i="2"/>
  <c r="CX142" i="2"/>
  <c r="CT142" i="2" a="1"/>
  <c r="CT142" i="2" s="1"/>
  <c r="CT346" i="2" a="1"/>
  <c r="CT346" i="2" s="1"/>
  <c r="CX346" i="2"/>
  <c r="CX127" i="2"/>
  <c r="CT127" i="2" a="1"/>
  <c r="CT127" i="2" s="1"/>
  <c r="CT144" i="2" a="1"/>
  <c r="CT144" i="2" s="1"/>
  <c r="CX144" i="2"/>
  <c r="CX238" i="2"/>
  <c r="CT238" i="2" a="1"/>
  <c r="CT238" i="2" s="1"/>
  <c r="CX388" i="2"/>
  <c r="CT388" i="2" a="1"/>
  <c r="CT388" i="2" s="1"/>
  <c r="CX355" i="2"/>
  <c r="CT355" i="2" a="1"/>
  <c r="CT355" i="2" s="1"/>
  <c r="CT322" i="2" a="1"/>
  <c r="CT322" i="2" s="1"/>
  <c r="CX322" i="2"/>
  <c r="CT152" i="2" a="1"/>
  <c r="CT152" i="2" s="1"/>
  <c r="CX152" i="2"/>
  <c r="CT273" i="2" a="1"/>
  <c r="CT273" i="2" s="1"/>
  <c r="CX273" i="2"/>
  <c r="CT103" i="2" a="1"/>
  <c r="CT103" i="2" s="1"/>
  <c r="CX103" i="2"/>
  <c r="CX311" i="2"/>
  <c r="CT311" i="2" a="1"/>
  <c r="CT311" i="2" s="1"/>
  <c r="CT54" i="2" a="1"/>
  <c r="CT54" i="2" s="1"/>
  <c r="CX54" i="2"/>
  <c r="CX231" i="2"/>
  <c r="CT231" i="2" a="1"/>
  <c r="CT231" i="2" s="1"/>
  <c r="CT382" i="2" a="1"/>
  <c r="CT382" i="2" s="1"/>
  <c r="CX382" i="2"/>
  <c r="CT210" i="2" a="1"/>
  <c r="CT210" i="2" s="1"/>
  <c r="CX210" i="2"/>
  <c r="CT333" i="2" a="1"/>
  <c r="CT333" i="2" s="1"/>
  <c r="CX333" i="2"/>
  <c r="CT163" i="2" a="1"/>
  <c r="CT163" i="2" s="1"/>
  <c r="CX163" i="2"/>
  <c r="CT284" i="2" a="1"/>
  <c r="CT284" i="2" s="1"/>
  <c r="CX284" i="2"/>
  <c r="CT114" i="2" a="1"/>
  <c r="CT114" i="2" s="1"/>
  <c r="CX114" i="2"/>
  <c r="CX206" i="2"/>
  <c r="CT206" i="2" a="1"/>
  <c r="CT206" i="2" s="1"/>
  <c r="CX159" i="2"/>
  <c r="CT159" i="2" a="1"/>
  <c r="CT159" i="2" s="1"/>
  <c r="CT264" i="2" a="1"/>
  <c r="CT264" i="2" s="1"/>
  <c r="CX264" i="2"/>
  <c r="CT313" i="2" a="1"/>
  <c r="CT313" i="2" s="1"/>
  <c r="CX313" i="2"/>
  <c r="CX77" i="2"/>
  <c r="CT77" i="2" a="1"/>
  <c r="CT77" i="2" s="1"/>
  <c r="CT160" i="2" a="1"/>
  <c r="CT160" i="2" s="1"/>
  <c r="CX160" i="2"/>
  <c r="CX11" i="2"/>
  <c r="CT11" i="2" a="1"/>
  <c r="CT11" i="2" s="1"/>
  <c r="CT281" i="2" a="1"/>
  <c r="CT281" i="2" s="1"/>
  <c r="CX281" i="2"/>
  <c r="CX78" i="2"/>
  <c r="CT78" i="2" a="1"/>
  <c r="CT78" i="2" s="1"/>
  <c r="CX45" i="2"/>
  <c r="CT45" i="2" a="1"/>
  <c r="CT45" i="2" s="1"/>
  <c r="CX221" i="2"/>
  <c r="CT221" i="2" a="1"/>
  <c r="CT221" i="2" s="1"/>
  <c r="CX95" i="2"/>
  <c r="CT95" i="2" a="1"/>
  <c r="CT95" i="2" s="1"/>
  <c r="CT244" i="2" a="1"/>
  <c r="CT244" i="2" s="1"/>
  <c r="CX244" i="2"/>
  <c r="CX372" i="2"/>
  <c r="CT372" i="2" a="1"/>
  <c r="CT372" i="2" s="1"/>
  <c r="CX200" i="2"/>
  <c r="CT200" i="2" a="1"/>
  <c r="CT200" i="2" s="1"/>
  <c r="CX339" i="2"/>
  <c r="CT339" i="2" a="1"/>
  <c r="CT339" i="2" s="1"/>
  <c r="CT306" i="2" a="1"/>
  <c r="CT306" i="2" s="1"/>
  <c r="CX306" i="2"/>
  <c r="CT136" i="2" a="1"/>
  <c r="CT136" i="2" s="1"/>
  <c r="CX136" i="2"/>
  <c r="CT259" i="2" a="1"/>
  <c r="CT259" i="2" s="1"/>
  <c r="CX259" i="2"/>
  <c r="CT87" i="2" a="1"/>
  <c r="CT87" i="2" s="1"/>
  <c r="CX87" i="2"/>
  <c r="CT38" i="2" a="1"/>
  <c r="CT38" i="2" s="1"/>
  <c r="CX38" i="2"/>
  <c r="CT216" i="2" a="1"/>
  <c r="CT216" i="2" s="1"/>
  <c r="CX216" i="2"/>
  <c r="CT366" i="2" a="1"/>
  <c r="CT366" i="2" s="1"/>
  <c r="CX366" i="2"/>
  <c r="CT194" i="2" a="1"/>
  <c r="CT194" i="2" s="1"/>
  <c r="CX194" i="2"/>
  <c r="CT317" i="2" a="1"/>
  <c r="CT317" i="2" s="1"/>
  <c r="CX317" i="2"/>
  <c r="CT147" i="2" a="1"/>
  <c r="CT147" i="2" s="1"/>
  <c r="CX147" i="2"/>
  <c r="CT268" i="2" a="1"/>
  <c r="CT268" i="2" s="1"/>
  <c r="CX268" i="2"/>
  <c r="CT98" i="2" a="1"/>
  <c r="CT98" i="2" s="1"/>
  <c r="CX98" i="2"/>
  <c r="CT331" i="2" a="1"/>
  <c r="CT331" i="2" s="1"/>
  <c r="CX331" i="2"/>
  <c r="CT49" i="2" a="1"/>
  <c r="CT49" i="2" s="1"/>
  <c r="CX49" i="2"/>
  <c r="CT345" i="2" a="1"/>
  <c r="CT345" i="2" s="1"/>
  <c r="CX345" i="2"/>
  <c r="CX190" i="2"/>
  <c r="CT190" i="2" a="1"/>
  <c r="CT190" i="2" s="1"/>
  <c r="CX126" i="2"/>
  <c r="CT126" i="2" a="1"/>
  <c r="CT126" i="2" s="1"/>
  <c r="CX174" i="2"/>
  <c r="CT174" i="2" a="1"/>
  <c r="CT174" i="2" s="1"/>
  <c r="CX143" i="2"/>
  <c r="CT143" i="2" a="1"/>
  <c r="CT143" i="2" s="1"/>
  <c r="CT330" i="2" a="1"/>
  <c r="CT330" i="2" s="1"/>
  <c r="CX330" i="2"/>
  <c r="CT297" i="2" a="1"/>
  <c r="CT297" i="2" s="1"/>
  <c r="CX297" i="2"/>
  <c r="CX94" i="2"/>
  <c r="CT94" i="2" a="1"/>
  <c r="CT94" i="2" s="1"/>
  <c r="CX61" i="2"/>
  <c r="CT61" i="2" a="1"/>
  <c r="CT61" i="2" s="1"/>
  <c r="CX28" i="2"/>
  <c r="CT28" i="2" a="1"/>
  <c r="CT28" i="2" s="1"/>
  <c r="CT314" i="2" a="1"/>
  <c r="CT314" i="2" s="1"/>
  <c r="CX314" i="2"/>
  <c r="CX111" i="2"/>
  <c r="CT111" i="2" a="1"/>
  <c r="CT111" i="2" s="1"/>
  <c r="CX12" i="2"/>
  <c r="CT12" i="2" a="1"/>
  <c r="CT12" i="2" s="1"/>
  <c r="CX183" i="2"/>
  <c r="CT183" i="2" a="1"/>
  <c r="CT183" i="2" s="1"/>
  <c r="CT298" i="2" a="1"/>
  <c r="CT298" i="2" s="1"/>
  <c r="CX298" i="2"/>
  <c r="CX128" i="2"/>
  <c r="CT128" i="2" a="1"/>
  <c r="CT128" i="2" s="1"/>
  <c r="CT266" i="2" a="1"/>
  <c r="CT266" i="2" s="1"/>
  <c r="CX266" i="2"/>
  <c r="CX62" i="2"/>
  <c r="CT62" i="2" a="1"/>
  <c r="CT62" i="2" s="1"/>
  <c r="CX29" i="2"/>
  <c r="CT29" i="2" a="1"/>
  <c r="CT29" i="2" s="1"/>
  <c r="CX222" i="2"/>
  <c r="CT222" i="2" a="1"/>
  <c r="CT222" i="2" s="1"/>
  <c r="CT282" i="2" a="1"/>
  <c r="CT282" i="2" s="1"/>
  <c r="CX282" i="2"/>
  <c r="CX112" i="2"/>
  <c r="CT112" i="2" a="1"/>
  <c r="CT112" i="2" s="1"/>
  <c r="CX79" i="2"/>
  <c r="CT79" i="2" a="1"/>
  <c r="CT79" i="2" s="1"/>
  <c r="CX46" i="2"/>
  <c r="CT46" i="2" a="1"/>
  <c r="CT46" i="2" s="1"/>
  <c r="CX239" i="2"/>
  <c r="CT239" i="2" a="1"/>
  <c r="CT239" i="2" s="1"/>
  <c r="CX13" i="2"/>
  <c r="CT13" i="2" a="1"/>
  <c r="CT13" i="2" s="1"/>
  <c r="CX389" i="2"/>
  <c r="CT389" i="2" a="1"/>
  <c r="CT389" i="2" s="1"/>
  <c r="CX356" i="2"/>
  <c r="CT356" i="2" a="1"/>
  <c r="CT356" i="2" s="1"/>
  <c r="CX184" i="2"/>
  <c r="CT184" i="2" a="1"/>
  <c r="CT184" i="2" s="1"/>
  <c r="CX323" i="2"/>
  <c r="CT323" i="2" a="1"/>
  <c r="CT323" i="2" s="1"/>
  <c r="CX153" i="2"/>
  <c r="CT153" i="2" a="1"/>
  <c r="CT153" i="2" s="1"/>
  <c r="CT290" i="2" a="1"/>
  <c r="CT290" i="2" s="1"/>
  <c r="CX290" i="2"/>
  <c r="CT120" i="2" a="1"/>
  <c r="CT120" i="2" s="1"/>
  <c r="CX120" i="2"/>
  <c r="CT71" i="2" a="1"/>
  <c r="CT71" i="2" s="1"/>
  <c r="CX71" i="2"/>
  <c r="CT248" i="2" a="1"/>
  <c r="CT248" i="2" s="1"/>
  <c r="CX248" i="2"/>
  <c r="CT22" i="2" a="1"/>
  <c r="CT22" i="2" s="1"/>
  <c r="CX22" i="2"/>
  <c r="CT350" i="2" a="1"/>
  <c r="CT350" i="2" s="1"/>
  <c r="CX350" i="2"/>
  <c r="CT178" i="2" a="1"/>
  <c r="CT178" i="2" s="1"/>
  <c r="CX178" i="2"/>
  <c r="CT301" i="2" a="1"/>
  <c r="CT301" i="2" s="1"/>
  <c r="CX301" i="2"/>
  <c r="CT131" i="2" a="1"/>
  <c r="CT131" i="2" s="1"/>
  <c r="CX131" i="2"/>
  <c r="CT82" i="2" a="1"/>
  <c r="CT82" i="2" s="1"/>
  <c r="CX82" i="2"/>
  <c r="CT145" i="2" a="1"/>
  <c r="CT145" i="2" s="1"/>
  <c r="CX145" i="2"/>
  <c r="CT258" i="2" a="1"/>
  <c r="CT258" i="2" s="1"/>
  <c r="CX258" i="2"/>
  <c r="CT64" i="2"/>
  <c r="CT167" i="2"/>
  <c r="DX266" i="2"/>
  <c r="CP175" i="2"/>
  <c r="CS175" i="2"/>
  <c r="CT175" i="2" a="1"/>
  <c r="CT228" i="2" a="1"/>
  <c r="CP64" i="2"/>
  <c r="CS64" i="2"/>
  <c r="BW201" i="2" l="1"/>
  <c r="BY235" i="2"/>
  <c r="BX235" i="2"/>
  <c r="CB235" i="2"/>
  <c r="CD235" i="2"/>
  <c r="CC235" i="2"/>
  <c r="BY292" i="2"/>
  <c r="CC292" i="2"/>
  <c r="CB292" i="2"/>
  <c r="BX292" i="2"/>
  <c r="CD292" i="2"/>
  <c r="BY227" i="2"/>
  <c r="CB227" i="2"/>
  <c r="CD227" i="2"/>
  <c r="CC227" i="2"/>
  <c r="BX227" i="2"/>
  <c r="BY229" i="2"/>
  <c r="CB229" i="2"/>
  <c r="BX229" i="2"/>
  <c r="CC229" i="2"/>
  <c r="CD229" i="2"/>
  <c r="BY201" i="2"/>
  <c r="CB201" i="2"/>
  <c r="CD201" i="2"/>
  <c r="CC201" i="2"/>
  <c r="BX201" i="2"/>
  <c r="CT175" i="2"/>
  <c r="CT228" i="2"/>
  <c r="E175" i="2"/>
  <c r="R175" i="2"/>
  <c r="X175" i="2" s="1"/>
  <c r="S175" i="2"/>
  <c r="T175" i="2" s="1"/>
  <c r="U175" i="2" s="1"/>
  <c r="AE175" i="2"/>
  <c r="AF175" i="2" s="1"/>
  <c r="AG175" i="2"/>
  <c r="AK175" i="2"/>
  <c r="AL175" i="2"/>
  <c r="AM175" i="2"/>
  <c r="AN175" i="2"/>
  <c r="AO175" i="2"/>
  <c r="AY175" i="2"/>
  <c r="AZ175" i="2"/>
  <c r="BC175" i="2"/>
  <c r="BJ175" i="2"/>
  <c r="BK175" i="2" s="1"/>
  <c r="CL175" i="2" s="1"/>
  <c r="BO175" i="2"/>
  <c r="DA175" i="2"/>
  <c r="DB175" i="2" s="1"/>
  <c r="CA175" i="2"/>
  <c r="CH175" i="2"/>
  <c r="CF175" i="2"/>
  <c r="CY175" i="2"/>
  <c r="CZ175" i="2" s="1"/>
  <c r="DE175" i="2"/>
  <c r="DF175" i="2"/>
  <c r="DG175" i="2" s="1"/>
  <c r="DP175" i="2"/>
  <c r="DX175" i="2"/>
  <c r="EE175" i="2"/>
  <c r="EF175" i="2" s="1"/>
  <c r="EJ175" i="2"/>
  <c r="EQ175" i="2"/>
  <c r="ER175" i="2" s="1"/>
  <c r="FJ175" i="2" s="1"/>
  <c r="ET175" i="2"/>
  <c r="EU175" i="2" s="1"/>
  <c r="EW175" i="2"/>
  <c r="FS175" i="2"/>
  <c r="FT175" i="2" s="1"/>
  <c r="FY175" i="2"/>
  <c r="GB175" i="2"/>
  <c r="GC175" i="2"/>
  <c r="GD175" i="2"/>
  <c r="GG175" i="2"/>
  <c r="GI175" i="2" s="1"/>
  <c r="GH175" i="2"/>
  <c r="GL175" i="2"/>
  <c r="GM175" i="2" s="1"/>
  <c r="GP175" i="2"/>
  <c r="GQ175" i="2" s="1"/>
  <c r="GN175" i="2"/>
  <c r="GR175" i="2"/>
  <c r="CS201" i="2" l="1"/>
  <c r="CT201" i="2" a="1"/>
  <c r="CT201" i="2" s="1"/>
  <c r="CP201" i="2"/>
  <c r="CL201" i="2"/>
  <c r="CP292" i="2"/>
  <c r="CL292" i="2"/>
  <c r="CS292" i="2"/>
  <c r="CT292" i="2" a="1"/>
  <c r="CT292" i="2" s="1"/>
  <c r="CP229" i="2"/>
  <c r="CL229" i="2"/>
  <c r="CS229" i="2"/>
  <c r="CT229" i="2" a="1"/>
  <c r="CT229" i="2" s="1"/>
  <c r="CT235" i="2" a="1"/>
  <c r="CT235" i="2" s="1"/>
  <c r="CP235" i="2"/>
  <c r="CS235" i="2"/>
  <c r="CL235" i="2"/>
  <c r="CP227" i="2"/>
  <c r="CS227" i="2"/>
  <c r="CL227" i="2"/>
  <c r="CT227" i="2" a="1"/>
  <c r="CT227" i="2" s="1"/>
  <c r="FF175" i="2" a="1"/>
  <c r="FF175" i="2" s="1"/>
  <c r="BP175" i="2"/>
  <c r="AU175" i="2"/>
  <c r="FL175" i="2"/>
  <c r="FM175" i="2"/>
  <c r="FN175" i="2" s="1"/>
  <c r="GS175" i="2"/>
  <c r="GO175" i="2"/>
  <c r="CW175" i="2"/>
  <c r="EV175" i="2"/>
  <c r="FZ175" i="2" s="1"/>
  <c r="GA175" i="2" s="1"/>
  <c r="DO175" i="2"/>
  <c r="EH175" i="2" s="1"/>
  <c r="DU175" i="2"/>
  <c r="EI175" i="2" s="1"/>
  <c r="Y175" i="2"/>
  <c r="AB175" i="2" s="1"/>
  <c r="BM175" i="2"/>
  <c r="BN175" i="2" s="1"/>
  <c r="DH175" i="2"/>
  <c r="AA175" i="2"/>
  <c r="CG175" i="2"/>
  <c r="CI175" i="2" s="1"/>
  <c r="FP175" i="2" l="1"/>
  <c r="FG175" i="2"/>
  <c r="FH175" i="2" s="1"/>
  <c r="DY175" i="2"/>
  <c r="DZ175" i="2" s="1"/>
  <c r="EA175" i="2" s="1"/>
  <c r="GU175" i="2"/>
  <c r="GT175" i="2"/>
  <c r="FO175" i="2"/>
  <c r="CR175" i="2"/>
  <c r="CX175" i="2" s="1"/>
  <c r="EC175" i="2"/>
  <c r="Z175" i="2"/>
  <c r="DQ175" i="2"/>
  <c r="DR175" i="2" s="1"/>
  <c r="DS175" i="2"/>
  <c r="EG175" i="2"/>
  <c r="DV175" i="2"/>
  <c r="DW175" i="2" s="1"/>
  <c r="CE175" i="2"/>
  <c r="CM175" i="2"/>
  <c r="CK175" i="2"/>
  <c r="GV175" i="2"/>
  <c r="FC175" i="2"/>
  <c r="FE175" i="2"/>
  <c r="FK175" i="2" l="1"/>
  <c r="FU175" i="2"/>
  <c r="FV175" i="2" s="1"/>
  <c r="EX175" i="2"/>
  <c r="EY175" i="2" s="1"/>
  <c r="GJ175" i="2" l="1"/>
  <c r="FQ175" i="2"/>
  <c r="FW175" i="2" l="1"/>
  <c r="FX175" i="2" s="1" a="1"/>
  <c r="FR175" i="2" a="1"/>
  <c r="FR175" i="2" l="1"/>
  <c r="FX175" i="2"/>
  <c r="B395" i="2"/>
  <c r="P395" i="2"/>
  <c r="Q395" i="2"/>
  <c r="DK395" i="2"/>
  <c r="EM395" i="2"/>
  <c r="E227" i="2" l="1"/>
  <c r="R227" i="2"/>
  <c r="X227" i="2" s="1"/>
  <c r="S227" i="2"/>
  <c r="T227" i="2" s="1"/>
  <c r="U227" i="2" s="1"/>
  <c r="AE227" i="2"/>
  <c r="AF227" i="2" s="1"/>
  <c r="AG227" i="2"/>
  <c r="AK227" i="2"/>
  <c r="AL227" i="2"/>
  <c r="AM227" i="2"/>
  <c r="AN227" i="2"/>
  <c r="AO227" i="2"/>
  <c r="AY227" i="2"/>
  <c r="AZ227" i="2"/>
  <c r="BC227" i="2"/>
  <c r="BJ227" i="2"/>
  <c r="BK227" i="2" s="1"/>
  <c r="BO227" i="2"/>
  <c r="CA227" i="2"/>
  <c r="CF227" i="2"/>
  <c r="CY227" i="2"/>
  <c r="DE227" i="2"/>
  <c r="DF227" i="2"/>
  <c r="DP227" i="2"/>
  <c r="DX227" i="2"/>
  <c r="EE227" i="2"/>
  <c r="EF227" i="2" s="1"/>
  <c r="EJ227" i="2"/>
  <c r="EQ227" i="2"/>
  <c r="ER227" i="2" s="1"/>
  <c r="ET227" i="2"/>
  <c r="EU227" i="2" s="1"/>
  <c r="EW227" i="2"/>
  <c r="FS227" i="2"/>
  <c r="FT227" i="2" s="1"/>
  <c r="FY227" i="2"/>
  <c r="FZ227" i="2" s="1"/>
  <c r="GB227" i="2"/>
  <c r="GC227" i="2"/>
  <c r="GD227" i="2"/>
  <c r="GG227" i="2"/>
  <c r="GI227" i="2" s="1"/>
  <c r="GL227" i="2"/>
  <c r="GM227" i="2" s="1"/>
  <c r="GP227" i="2"/>
  <c r="GQ227" i="2" s="1"/>
  <c r="GR227" i="2"/>
  <c r="GS227" i="2" s="1"/>
  <c r="GN227" i="2"/>
  <c r="FF227" i="2" l="1" a="1"/>
  <c r="FF227" i="2" s="1"/>
  <c r="FJ227" i="2"/>
  <c r="BP227" i="2"/>
  <c r="AU227" i="2"/>
  <c r="FM227" i="2"/>
  <c r="FN227" i="2" s="1"/>
  <c r="FL227" i="2"/>
  <c r="FQ227" i="2"/>
  <c r="FW227" i="2" s="1"/>
  <c r="FX227" i="2" s="1" a="1"/>
  <c r="FX227" i="2" s="1"/>
  <c r="GH227" i="2"/>
  <c r="CZ227" i="2"/>
  <c r="CR227" i="2"/>
  <c r="CX227" i="2" s="1"/>
  <c r="GO227" i="2"/>
  <c r="GU227" i="2" s="1"/>
  <c r="GA227" i="2"/>
  <c r="CW227" i="2"/>
  <c r="Y227" i="2"/>
  <c r="AB227" i="2" s="1"/>
  <c r="EV227" i="2"/>
  <c r="DG227" i="2"/>
  <c r="DH227" i="2" s="1"/>
  <c r="BM227" i="2"/>
  <c r="BN227" i="2" s="1"/>
  <c r="DU227" i="2"/>
  <c r="DO227" i="2"/>
  <c r="AA227" i="2"/>
  <c r="CH227" i="2"/>
  <c r="CG227" i="2"/>
  <c r="CI227" i="2" s="1"/>
  <c r="EY227" i="2"/>
  <c r="DA227" i="2"/>
  <c r="DB227" i="2" s="1"/>
  <c r="EX227" i="2"/>
  <c r="FP227" i="2" l="1"/>
  <c r="FO227" i="2"/>
  <c r="GJ227" i="2" s="1"/>
  <c r="FG227" i="2"/>
  <c r="FH227" i="2"/>
  <c r="FK227" i="2" s="1"/>
  <c r="FE227" i="2"/>
  <c r="FC227" i="2"/>
  <c r="FR227" i="2" a="1"/>
  <c r="FR227" i="2" s="1"/>
  <c r="GT227" i="2"/>
  <c r="Z227" i="2"/>
  <c r="FU227" i="2"/>
  <c r="FV227" i="2" s="1"/>
  <c r="DY227" i="2"/>
  <c r="DZ227" i="2" s="1"/>
  <c r="EA227" i="2" s="1"/>
  <c r="DS227" i="2"/>
  <c r="EC227" i="2"/>
  <c r="EH227" i="2"/>
  <c r="DQ227" i="2"/>
  <c r="DR227" i="2" s="1"/>
  <c r="EI227" i="2"/>
  <c r="DV227" i="2"/>
  <c r="DW227" i="2" s="1"/>
  <c r="EG227" i="2"/>
  <c r="CE227" i="2"/>
  <c r="CM227" i="2"/>
  <c r="CK227" i="2"/>
  <c r="GV227" i="2"/>
  <c r="E266" i="2" l="1"/>
  <c r="K3" i="7"/>
  <c r="B18" i="5"/>
  <c r="J2" i="5"/>
  <c r="J1" i="5"/>
  <c r="C12" i="3"/>
  <c r="D8" i="3"/>
  <c r="C8" i="3"/>
  <c r="C5" i="3"/>
  <c r="CF404" i="2"/>
  <c r="CG397" i="2" s="1"/>
  <c r="GR394" i="2"/>
  <c r="GS394" i="2" s="1"/>
  <c r="GP394" i="2"/>
  <c r="GQ394" i="2" s="1"/>
  <c r="DU394" i="2" s="1"/>
  <c r="GN394" i="2"/>
  <c r="GO394" i="2" s="1"/>
  <c r="GL394" i="2"/>
  <c r="GM394" i="2" s="1"/>
  <c r="GG394" i="2"/>
  <c r="GI394" i="2" s="1"/>
  <c r="GD394" i="2"/>
  <c r="GC394" i="2"/>
  <c r="GB394" i="2"/>
  <c r="FY394" i="2"/>
  <c r="GA394" i="2" s="1"/>
  <c r="FS394" i="2"/>
  <c r="FT394" i="2" s="1"/>
  <c r="EW394" i="2"/>
  <c r="ET394" i="2"/>
  <c r="EU394" i="2" s="1"/>
  <c r="EQ394" i="2"/>
  <c r="ER394" i="2" s="1"/>
  <c r="EJ394" i="2"/>
  <c r="EE394" i="2"/>
  <c r="EF394" i="2" s="1"/>
  <c r="DX394" i="2"/>
  <c r="DP394" i="2"/>
  <c r="DF394" i="2"/>
  <c r="DH394" i="2" s="1"/>
  <c r="DE394" i="2"/>
  <c r="CY394" i="2"/>
  <c r="CZ394" i="2" s="1"/>
  <c r="CF394" i="2"/>
  <c r="CH394" i="2"/>
  <c r="CA394" i="2"/>
  <c r="CR394" i="2"/>
  <c r="BO394" i="2"/>
  <c r="BJ394" i="2"/>
  <c r="BK394" i="2" s="1"/>
  <c r="CL394" i="2" s="1"/>
  <c r="BC394" i="2"/>
  <c r="AZ394" i="2"/>
  <c r="AY394" i="2"/>
  <c r="AO394" i="2"/>
  <c r="AN394" i="2"/>
  <c r="AM394" i="2"/>
  <c r="AL394" i="2"/>
  <c r="AK394" i="2"/>
  <c r="AG394" i="2"/>
  <c r="AE394" i="2"/>
  <c r="AF394" i="2" s="1"/>
  <c r="S394" i="2"/>
  <c r="T394" i="2" s="1"/>
  <c r="U394" i="2" s="1"/>
  <c r="R394" i="2"/>
  <c r="X394" i="2" s="1"/>
  <c r="E394" i="2"/>
  <c r="GR229" i="2"/>
  <c r="GS229" i="2" s="1"/>
  <c r="GP229" i="2"/>
  <c r="GQ229" i="2" s="1"/>
  <c r="GL229" i="2"/>
  <c r="GM229" i="2" s="1"/>
  <c r="GH229" i="2"/>
  <c r="GG229" i="2"/>
  <c r="GI229" i="2" s="1"/>
  <c r="GD229" i="2"/>
  <c r="GC229" i="2"/>
  <c r="GB229" i="2"/>
  <c r="FY229" i="2"/>
  <c r="GA229" i="2" s="1"/>
  <c r="FS229" i="2"/>
  <c r="FT229" i="2" s="1"/>
  <c r="EW229" i="2"/>
  <c r="ET229" i="2"/>
  <c r="EU229" i="2" s="1"/>
  <c r="EQ229" i="2"/>
  <c r="ER229" i="2" s="1"/>
  <c r="EJ229" i="2"/>
  <c r="EE229" i="2"/>
  <c r="EF229" i="2" s="1"/>
  <c r="DX229" i="2"/>
  <c r="DP229" i="2"/>
  <c r="DF229" i="2"/>
  <c r="DE229" i="2"/>
  <c r="CY229" i="2"/>
  <c r="CF229" i="2"/>
  <c r="CH229" i="2"/>
  <c r="CA229" i="2"/>
  <c r="BO229" i="2"/>
  <c r="BJ229" i="2"/>
  <c r="BK229" i="2" s="1"/>
  <c r="BC229" i="2"/>
  <c r="AZ229" i="2"/>
  <c r="AY229" i="2"/>
  <c r="AO229" i="2"/>
  <c r="AN229" i="2"/>
  <c r="AM229" i="2"/>
  <c r="AL229" i="2"/>
  <c r="AK229" i="2"/>
  <c r="AG229" i="2"/>
  <c r="AE229" i="2"/>
  <c r="AF229" i="2" s="1"/>
  <c r="U229" i="2"/>
  <c r="S229" i="2"/>
  <c r="T229" i="2" s="1"/>
  <c r="R229" i="2"/>
  <c r="X229" i="2" s="1"/>
  <c r="E229" i="2"/>
  <c r="GR393" i="2"/>
  <c r="GS393" i="2" s="1"/>
  <c r="GP393" i="2"/>
  <c r="GQ393" i="2" s="1"/>
  <c r="GN393" i="2"/>
  <c r="GO393" i="2" s="1"/>
  <c r="GL393" i="2"/>
  <c r="GM393" i="2" s="1"/>
  <c r="GG393" i="2"/>
  <c r="GI393" i="2" s="1"/>
  <c r="GD393" i="2"/>
  <c r="GC393" i="2"/>
  <c r="GB393" i="2"/>
  <c r="FY393" i="2"/>
  <c r="GA393" i="2" s="1"/>
  <c r="FS393" i="2"/>
  <c r="FT393" i="2" s="1"/>
  <c r="EW393" i="2"/>
  <c r="ET393" i="2"/>
  <c r="EU393" i="2" s="1"/>
  <c r="EQ393" i="2"/>
  <c r="ER393" i="2" s="1"/>
  <c r="EJ393" i="2"/>
  <c r="EE393" i="2"/>
  <c r="EF393" i="2" s="1"/>
  <c r="DX393" i="2"/>
  <c r="DP393" i="2"/>
  <c r="DF393" i="2"/>
  <c r="DH393" i="2" s="1"/>
  <c r="DE393" i="2"/>
  <c r="CY393" i="2"/>
  <c r="CZ393" i="2" s="1"/>
  <c r="CF393" i="2"/>
  <c r="CH393" i="2"/>
  <c r="CA393" i="2"/>
  <c r="CR393" i="2"/>
  <c r="BO393" i="2"/>
  <c r="BJ393" i="2"/>
  <c r="BK393" i="2" s="1"/>
  <c r="CL393" i="2" s="1"/>
  <c r="BC393" i="2"/>
  <c r="AZ393" i="2"/>
  <c r="AY393" i="2"/>
  <c r="AO393" i="2"/>
  <c r="AN393" i="2"/>
  <c r="AM393" i="2"/>
  <c r="AL393" i="2"/>
  <c r="AK393" i="2"/>
  <c r="AG393" i="2"/>
  <c r="AE393" i="2"/>
  <c r="AF393" i="2" s="1"/>
  <c r="S393" i="2"/>
  <c r="T393" i="2" s="1"/>
  <c r="U393" i="2" s="1"/>
  <c r="R393" i="2"/>
  <c r="X393" i="2" s="1"/>
  <c r="E393" i="2"/>
  <c r="GR391" i="2"/>
  <c r="GS391" i="2" s="1"/>
  <c r="GP391" i="2"/>
  <c r="GQ391" i="2" s="1"/>
  <c r="GN391" i="2"/>
  <c r="GO391" i="2" s="1"/>
  <c r="GL391" i="2"/>
  <c r="GM391" i="2" s="1"/>
  <c r="GG391" i="2"/>
  <c r="GI391" i="2" s="1"/>
  <c r="GD391" i="2"/>
  <c r="GC391" i="2"/>
  <c r="GB391" i="2"/>
  <c r="FY391" i="2"/>
  <c r="GA391" i="2" s="1"/>
  <c r="FS391" i="2"/>
  <c r="FT391" i="2" s="1"/>
  <c r="EW391" i="2"/>
  <c r="ET391" i="2"/>
  <c r="EU391" i="2" s="1"/>
  <c r="EQ391" i="2"/>
  <c r="ER391" i="2" s="1"/>
  <c r="EJ391" i="2"/>
  <c r="EE391" i="2"/>
  <c r="EF391" i="2" s="1"/>
  <c r="DX391" i="2"/>
  <c r="DP391" i="2"/>
  <c r="DF391" i="2"/>
  <c r="DH391" i="2" s="1"/>
  <c r="DE391" i="2"/>
  <c r="CY391" i="2"/>
  <c r="CZ391" i="2" s="1"/>
  <c r="CF391" i="2"/>
  <c r="CH391" i="2"/>
  <c r="CA391" i="2"/>
  <c r="CR391" i="2"/>
  <c r="BO391" i="2"/>
  <c r="BJ391" i="2"/>
  <c r="BK391" i="2" s="1"/>
  <c r="CL391" i="2" s="1"/>
  <c r="BC391" i="2"/>
  <c r="AZ391" i="2"/>
  <c r="AY391" i="2"/>
  <c r="AO391" i="2"/>
  <c r="AN391" i="2"/>
  <c r="AM391" i="2"/>
  <c r="AL391" i="2"/>
  <c r="AK391" i="2"/>
  <c r="AG391" i="2"/>
  <c r="AE391" i="2"/>
  <c r="AF391" i="2" s="1"/>
  <c r="S391" i="2"/>
  <c r="T391" i="2" s="1"/>
  <c r="U391" i="2" s="1"/>
  <c r="R391" i="2"/>
  <c r="GH391" i="2" s="1"/>
  <c r="E391" i="2"/>
  <c r="GR389" i="2"/>
  <c r="GS389" i="2" s="1"/>
  <c r="GP389" i="2"/>
  <c r="GQ389" i="2" s="1"/>
  <c r="GN389" i="2"/>
  <c r="GO389" i="2" s="1"/>
  <c r="GL389" i="2"/>
  <c r="GM389" i="2" s="1"/>
  <c r="GG389" i="2"/>
  <c r="GI389" i="2" s="1"/>
  <c r="GD389" i="2"/>
  <c r="GC389" i="2"/>
  <c r="GB389" i="2"/>
  <c r="FY389" i="2"/>
  <c r="GA389" i="2" s="1"/>
  <c r="FS389" i="2"/>
  <c r="FT389" i="2" s="1"/>
  <c r="EW389" i="2"/>
  <c r="ET389" i="2"/>
  <c r="EU389" i="2" s="1"/>
  <c r="EQ389" i="2"/>
  <c r="ER389" i="2" s="1"/>
  <c r="EJ389" i="2"/>
  <c r="EE389" i="2"/>
  <c r="EF389" i="2" s="1"/>
  <c r="DX389" i="2"/>
  <c r="DP389" i="2"/>
  <c r="DF389" i="2"/>
  <c r="DH389" i="2" s="1"/>
  <c r="DE389" i="2"/>
  <c r="CY389" i="2"/>
  <c r="CZ389" i="2" s="1"/>
  <c r="CF389" i="2"/>
  <c r="CH389" i="2"/>
  <c r="CA389" i="2"/>
  <c r="CR389" i="2"/>
  <c r="BO389" i="2"/>
  <c r="BJ389" i="2"/>
  <c r="BK389" i="2" s="1"/>
  <c r="CL389" i="2" s="1"/>
  <c r="BC389" i="2"/>
  <c r="AZ389" i="2"/>
  <c r="AY389" i="2"/>
  <c r="AO389" i="2"/>
  <c r="AN389" i="2"/>
  <c r="AM389" i="2"/>
  <c r="AL389" i="2"/>
  <c r="AK389" i="2"/>
  <c r="AG389" i="2"/>
  <c r="AE389" i="2"/>
  <c r="AF389" i="2" s="1"/>
  <c r="S389" i="2"/>
  <c r="T389" i="2" s="1"/>
  <c r="U389" i="2" s="1"/>
  <c r="R389" i="2"/>
  <c r="GH389" i="2" s="1"/>
  <c r="E389" i="2"/>
  <c r="GR388" i="2"/>
  <c r="GS388" i="2" s="1"/>
  <c r="GP388" i="2"/>
  <c r="GQ388" i="2" s="1"/>
  <c r="GN388" i="2"/>
  <c r="GO388" i="2" s="1"/>
  <c r="GL388" i="2"/>
  <c r="GM388" i="2" s="1"/>
  <c r="GG388" i="2"/>
  <c r="GI388" i="2" s="1"/>
  <c r="GD388" i="2"/>
  <c r="GC388" i="2"/>
  <c r="GB388" i="2"/>
  <c r="FY388" i="2"/>
  <c r="GA388" i="2" s="1"/>
  <c r="FS388" i="2"/>
  <c r="FT388" i="2" s="1"/>
  <c r="EW388" i="2"/>
  <c r="ET388" i="2"/>
  <c r="EU388" i="2" s="1"/>
  <c r="EQ388" i="2"/>
  <c r="ER388" i="2" s="1"/>
  <c r="EJ388" i="2"/>
  <c r="EE388" i="2"/>
  <c r="EF388" i="2" s="1"/>
  <c r="DX388" i="2"/>
  <c r="DP388" i="2"/>
  <c r="DF388" i="2"/>
  <c r="DH388" i="2" s="1"/>
  <c r="DE388" i="2"/>
  <c r="CY388" i="2"/>
  <c r="CZ388" i="2" s="1"/>
  <c r="CF388" i="2"/>
  <c r="CH388" i="2"/>
  <c r="CA388" i="2"/>
  <c r="CR388" i="2"/>
  <c r="BO388" i="2"/>
  <c r="BJ388" i="2"/>
  <c r="BK388" i="2" s="1"/>
  <c r="CL388" i="2" s="1"/>
  <c r="BC388" i="2"/>
  <c r="AZ388" i="2"/>
  <c r="AY388" i="2"/>
  <c r="AO388" i="2"/>
  <c r="AN388" i="2"/>
  <c r="AM388" i="2"/>
  <c r="AL388" i="2"/>
  <c r="AK388" i="2"/>
  <c r="AG388" i="2"/>
  <c r="AE388" i="2"/>
  <c r="AF388" i="2" s="1"/>
  <c r="S388" i="2"/>
  <c r="T388" i="2" s="1"/>
  <c r="U388" i="2" s="1"/>
  <c r="R388" i="2"/>
  <c r="GH388" i="2" s="1"/>
  <c r="E388" i="2"/>
  <c r="GR387" i="2"/>
  <c r="GS387" i="2" s="1"/>
  <c r="GP387" i="2"/>
  <c r="GQ387" i="2" s="1"/>
  <c r="GN387" i="2"/>
  <c r="GO387" i="2" s="1"/>
  <c r="GL387" i="2"/>
  <c r="GM387" i="2" s="1"/>
  <c r="GG387" i="2"/>
  <c r="GI387" i="2" s="1"/>
  <c r="GD387" i="2"/>
  <c r="GC387" i="2"/>
  <c r="GB387" i="2"/>
  <c r="FY387" i="2"/>
  <c r="GA387" i="2" s="1"/>
  <c r="FS387" i="2"/>
  <c r="FT387" i="2" s="1"/>
  <c r="EW387" i="2"/>
  <c r="ET387" i="2"/>
  <c r="EU387" i="2" s="1"/>
  <c r="EQ387" i="2"/>
  <c r="ER387" i="2" s="1"/>
  <c r="EJ387" i="2"/>
  <c r="EE387" i="2"/>
  <c r="EF387" i="2" s="1"/>
  <c r="DX387" i="2"/>
  <c r="DP387" i="2"/>
  <c r="DF387" i="2"/>
  <c r="DH387" i="2" s="1"/>
  <c r="DE387" i="2"/>
  <c r="CY387" i="2"/>
  <c r="CZ387" i="2" s="1"/>
  <c r="CF387" i="2"/>
  <c r="CH387" i="2"/>
  <c r="CA387" i="2"/>
  <c r="BO387" i="2"/>
  <c r="BJ387" i="2"/>
  <c r="BK387" i="2" s="1"/>
  <c r="CL387" i="2" s="1"/>
  <c r="BC387" i="2"/>
  <c r="AZ387" i="2"/>
  <c r="AY387" i="2"/>
  <c r="AO387" i="2"/>
  <c r="AN387" i="2"/>
  <c r="AM387" i="2"/>
  <c r="AL387" i="2"/>
  <c r="AK387" i="2"/>
  <c r="AG387" i="2"/>
  <c r="AE387" i="2"/>
  <c r="AF387" i="2" s="1"/>
  <c r="S387" i="2"/>
  <c r="T387" i="2" s="1"/>
  <c r="U387" i="2" s="1"/>
  <c r="R387" i="2"/>
  <c r="GH387" i="2" s="1"/>
  <c r="E387" i="2"/>
  <c r="GR385" i="2"/>
  <c r="GS385" i="2" s="1"/>
  <c r="GP385" i="2"/>
  <c r="GQ385" i="2" s="1"/>
  <c r="GN385" i="2"/>
  <c r="GO385" i="2" s="1"/>
  <c r="GL385" i="2"/>
  <c r="GM385" i="2" s="1"/>
  <c r="GH385" i="2"/>
  <c r="GG385" i="2"/>
  <c r="GI385" i="2" s="1"/>
  <c r="GD385" i="2"/>
  <c r="GC385" i="2"/>
  <c r="GB385" i="2"/>
  <c r="FY385" i="2"/>
  <c r="GA385" i="2" s="1"/>
  <c r="FS385" i="2"/>
  <c r="FT385" i="2" s="1"/>
  <c r="EW385" i="2"/>
  <c r="ET385" i="2"/>
  <c r="EU385" i="2" s="1"/>
  <c r="EQ385" i="2"/>
  <c r="ER385" i="2" s="1"/>
  <c r="EJ385" i="2"/>
  <c r="EE385" i="2"/>
  <c r="EF385" i="2" s="1"/>
  <c r="DX385" i="2"/>
  <c r="DP385" i="2"/>
  <c r="DF385" i="2"/>
  <c r="DH385" i="2" s="1"/>
  <c r="DE385" i="2"/>
  <c r="CY385" i="2"/>
  <c r="CZ385" i="2" s="1"/>
  <c r="CF385" i="2"/>
  <c r="CH385" i="2"/>
  <c r="CA385" i="2"/>
  <c r="CR385" i="2"/>
  <c r="BO385" i="2"/>
  <c r="BJ385" i="2"/>
  <c r="BK385" i="2" s="1"/>
  <c r="CL385" i="2" s="1"/>
  <c r="BC385" i="2"/>
  <c r="AZ385" i="2"/>
  <c r="AY385" i="2"/>
  <c r="AO385" i="2"/>
  <c r="AN385" i="2"/>
  <c r="AM385" i="2"/>
  <c r="AL385" i="2"/>
  <c r="AK385" i="2"/>
  <c r="AG385" i="2"/>
  <c r="AE385" i="2"/>
  <c r="AF385" i="2" s="1"/>
  <c r="U385" i="2"/>
  <c r="S385" i="2"/>
  <c r="T385" i="2" s="1"/>
  <c r="R385" i="2"/>
  <c r="Y385" i="2" s="1"/>
  <c r="E385" i="2"/>
  <c r="GR384" i="2"/>
  <c r="GS384" i="2" s="1"/>
  <c r="GP384" i="2"/>
  <c r="GQ384" i="2" s="1"/>
  <c r="GN384" i="2"/>
  <c r="GO384" i="2" s="1"/>
  <c r="GL384" i="2"/>
  <c r="GM384" i="2" s="1"/>
  <c r="GH384" i="2"/>
  <c r="GG384" i="2"/>
  <c r="GI384" i="2" s="1"/>
  <c r="GD384" i="2"/>
  <c r="GC384" i="2"/>
  <c r="GB384" i="2"/>
  <c r="FY384" i="2"/>
  <c r="GA384" i="2" s="1"/>
  <c r="FS384" i="2"/>
  <c r="FT384" i="2" s="1"/>
  <c r="EW384" i="2"/>
  <c r="ET384" i="2"/>
  <c r="EU384" i="2" s="1"/>
  <c r="EQ384" i="2"/>
  <c r="ER384" i="2" s="1"/>
  <c r="EJ384" i="2"/>
  <c r="EE384" i="2"/>
  <c r="EF384" i="2" s="1"/>
  <c r="DX384" i="2"/>
  <c r="DP384" i="2"/>
  <c r="DF384" i="2"/>
  <c r="DH384" i="2" s="1"/>
  <c r="DE384" i="2"/>
  <c r="CY384" i="2"/>
  <c r="CZ384" i="2" s="1"/>
  <c r="CF384" i="2"/>
  <c r="CH384" i="2"/>
  <c r="CA384" i="2"/>
  <c r="CR384" i="2"/>
  <c r="BO384" i="2"/>
  <c r="BJ384" i="2"/>
  <c r="BK384" i="2" s="1"/>
  <c r="CL384" i="2" s="1"/>
  <c r="BC384" i="2"/>
  <c r="AZ384" i="2"/>
  <c r="AY384" i="2"/>
  <c r="AO384" i="2"/>
  <c r="AN384" i="2"/>
  <c r="AM384" i="2"/>
  <c r="AL384" i="2"/>
  <c r="AK384" i="2"/>
  <c r="AG384" i="2"/>
  <c r="AE384" i="2"/>
  <c r="AF384" i="2" s="1"/>
  <c r="U384" i="2"/>
  <c r="S384" i="2"/>
  <c r="T384" i="2" s="1"/>
  <c r="R384" i="2"/>
  <c r="Y384" i="2" s="1"/>
  <c r="E384" i="2"/>
  <c r="GR383" i="2"/>
  <c r="GS383" i="2" s="1"/>
  <c r="GP383" i="2"/>
  <c r="GQ383" i="2" s="1"/>
  <c r="GN383" i="2"/>
  <c r="GO383" i="2" s="1"/>
  <c r="GL383" i="2"/>
  <c r="GM383" i="2" s="1"/>
  <c r="GH383" i="2"/>
  <c r="GG383" i="2"/>
  <c r="GI383" i="2" s="1"/>
  <c r="GD383" i="2"/>
  <c r="GC383" i="2"/>
  <c r="GB383" i="2"/>
  <c r="FY383" i="2"/>
  <c r="FZ383" i="2" s="1"/>
  <c r="FS383" i="2"/>
  <c r="FT383" i="2" s="1"/>
  <c r="EW383" i="2"/>
  <c r="ET383" i="2"/>
  <c r="EU383" i="2" s="1"/>
  <c r="EQ383" i="2"/>
  <c r="ER383" i="2" s="1"/>
  <c r="EJ383" i="2"/>
  <c r="DX383" i="2"/>
  <c r="DP383" i="2"/>
  <c r="DF383" i="2"/>
  <c r="DH383" i="2" s="1"/>
  <c r="DE383" i="2"/>
  <c r="CY383" i="2"/>
  <c r="CZ383" i="2" s="1"/>
  <c r="CF383" i="2"/>
  <c r="CH383" i="2"/>
  <c r="CA383" i="2"/>
  <c r="BO383" i="2"/>
  <c r="BJ383" i="2"/>
  <c r="BK383" i="2" s="1"/>
  <c r="CL383" i="2" s="1"/>
  <c r="BC383" i="2"/>
  <c r="AZ383" i="2"/>
  <c r="AY383" i="2"/>
  <c r="AO383" i="2"/>
  <c r="AN383" i="2"/>
  <c r="AM383" i="2"/>
  <c r="AL383" i="2"/>
  <c r="AK383" i="2"/>
  <c r="AG383" i="2"/>
  <c r="AE383" i="2"/>
  <c r="AF383" i="2" s="1"/>
  <c r="U383" i="2"/>
  <c r="S383" i="2"/>
  <c r="T383" i="2" s="1"/>
  <c r="R383" i="2"/>
  <c r="X383" i="2" s="1"/>
  <c r="AA383" i="2" s="1"/>
  <c r="E383" i="2"/>
  <c r="GR382" i="2"/>
  <c r="GS382" i="2" s="1"/>
  <c r="GP382" i="2"/>
  <c r="GQ382" i="2" s="1"/>
  <c r="DU382" i="2" s="1"/>
  <c r="GN382" i="2"/>
  <c r="GO382" i="2" s="1"/>
  <c r="GL382" i="2"/>
  <c r="GM382" i="2" s="1"/>
  <c r="GH382" i="2"/>
  <c r="GG382" i="2"/>
  <c r="GI382" i="2" s="1"/>
  <c r="GD382" i="2"/>
  <c r="GC382" i="2"/>
  <c r="GB382" i="2"/>
  <c r="FY382" i="2"/>
  <c r="GA382" i="2" s="1"/>
  <c r="FS382" i="2"/>
  <c r="FT382" i="2" s="1"/>
  <c r="EW382" i="2"/>
  <c r="ET382" i="2"/>
  <c r="EU382" i="2" s="1"/>
  <c r="EQ382" i="2"/>
  <c r="ER382" i="2" s="1"/>
  <c r="EJ382" i="2"/>
  <c r="EE382" i="2"/>
  <c r="EF382" i="2" s="1"/>
  <c r="DX382" i="2"/>
  <c r="DP382" i="2"/>
  <c r="DF382" i="2"/>
  <c r="DG382" i="2" s="1"/>
  <c r="DE382" i="2"/>
  <c r="CY382" i="2"/>
  <c r="CZ382" i="2" s="1"/>
  <c r="CF382" i="2"/>
  <c r="CH382" i="2"/>
  <c r="CA382" i="2"/>
  <c r="CR382" i="2"/>
  <c r="BO382" i="2"/>
  <c r="BJ382" i="2"/>
  <c r="BM382" i="2" s="1"/>
  <c r="BN382" i="2" s="1"/>
  <c r="BC382" i="2"/>
  <c r="AO382" i="2"/>
  <c r="AN382" i="2"/>
  <c r="AM382" i="2"/>
  <c r="AL382" i="2"/>
  <c r="AK382" i="2"/>
  <c r="AG382" i="2"/>
  <c r="AE382" i="2"/>
  <c r="AF382" i="2" s="1"/>
  <c r="U382" i="2"/>
  <c r="S382" i="2"/>
  <c r="R382" i="2"/>
  <c r="X382" i="2" s="1"/>
  <c r="AA382" i="2" s="1"/>
  <c r="E382" i="2"/>
  <c r="GR381" i="2"/>
  <c r="GS381" i="2" s="1"/>
  <c r="GP381" i="2"/>
  <c r="GQ381" i="2" s="1"/>
  <c r="GN381" i="2"/>
  <c r="GO381" i="2" s="1"/>
  <c r="GL381" i="2"/>
  <c r="GM381" i="2" s="1"/>
  <c r="GH381" i="2"/>
  <c r="GG381" i="2"/>
  <c r="GI381" i="2" s="1"/>
  <c r="GD381" i="2"/>
  <c r="GC381" i="2"/>
  <c r="GB381" i="2"/>
  <c r="FY381" i="2"/>
  <c r="FS381" i="2"/>
  <c r="FT381" i="2" s="1"/>
  <c r="EW381" i="2"/>
  <c r="ET381" i="2"/>
  <c r="EU381" i="2" s="1"/>
  <c r="EQ381" i="2"/>
  <c r="ER381" i="2" s="1"/>
  <c r="EJ381" i="2"/>
  <c r="EE381" i="2"/>
  <c r="EF381" i="2" s="1"/>
  <c r="DX381" i="2"/>
  <c r="DP381" i="2"/>
  <c r="DF381" i="2"/>
  <c r="DH381" i="2" s="1"/>
  <c r="DE381" i="2"/>
  <c r="CY381" i="2"/>
  <c r="CZ381" i="2" s="1"/>
  <c r="CF381" i="2"/>
  <c r="CA381" i="2"/>
  <c r="CW381" i="2"/>
  <c r="BO381" i="2"/>
  <c r="BJ381" i="2"/>
  <c r="BM381" i="2" s="1"/>
  <c r="BN381" i="2" s="1"/>
  <c r="BC381" i="2"/>
  <c r="AZ381" i="2"/>
  <c r="AY381" i="2"/>
  <c r="AO381" i="2"/>
  <c r="AN381" i="2"/>
  <c r="AM381" i="2"/>
  <c r="AL381" i="2"/>
  <c r="AK381" i="2"/>
  <c r="AG381" i="2"/>
  <c r="AE381" i="2"/>
  <c r="AF381" i="2" s="1"/>
  <c r="U381" i="2"/>
  <c r="S381" i="2"/>
  <c r="T381" i="2" s="1"/>
  <c r="R381" i="2"/>
  <c r="Y381" i="2" s="1"/>
  <c r="AB381" i="2" s="1"/>
  <c r="E381" i="2"/>
  <c r="GR380" i="2"/>
  <c r="GS380" i="2" s="1"/>
  <c r="GP380" i="2"/>
  <c r="GQ380" i="2" s="1"/>
  <c r="GN380" i="2"/>
  <c r="GO380" i="2" s="1"/>
  <c r="GL380" i="2"/>
  <c r="GM380" i="2" s="1"/>
  <c r="GH380" i="2"/>
  <c r="GG380" i="2"/>
  <c r="GI380" i="2" s="1"/>
  <c r="GD380" i="2"/>
  <c r="GC380" i="2"/>
  <c r="GB380" i="2"/>
  <c r="FY380" i="2"/>
  <c r="GA380" i="2" s="1"/>
  <c r="FS380" i="2"/>
  <c r="FT380" i="2" s="1"/>
  <c r="EW380" i="2"/>
  <c r="ET380" i="2"/>
  <c r="EU380" i="2" s="1"/>
  <c r="EQ380" i="2"/>
  <c r="ER380" i="2" s="1"/>
  <c r="EJ380" i="2"/>
  <c r="EE380" i="2"/>
  <c r="EF380" i="2" s="1"/>
  <c r="DX380" i="2"/>
  <c r="DP380" i="2"/>
  <c r="DF380" i="2"/>
  <c r="DG380" i="2" s="1"/>
  <c r="DE380" i="2"/>
  <c r="CY380" i="2"/>
  <c r="CZ380" i="2" s="1"/>
  <c r="CF380" i="2"/>
  <c r="CA380" i="2"/>
  <c r="CW380" i="2"/>
  <c r="BO380" i="2"/>
  <c r="BJ380" i="2"/>
  <c r="BM380" i="2" s="1"/>
  <c r="BN380" i="2" s="1"/>
  <c r="BC380" i="2"/>
  <c r="AZ380" i="2"/>
  <c r="AY380" i="2"/>
  <c r="AO380" i="2"/>
  <c r="AN380" i="2"/>
  <c r="AM380" i="2"/>
  <c r="AL380" i="2"/>
  <c r="AK380" i="2"/>
  <c r="AG380" i="2"/>
  <c r="AE380" i="2"/>
  <c r="AF380" i="2" s="1"/>
  <c r="U380" i="2"/>
  <c r="S380" i="2"/>
  <c r="R380" i="2"/>
  <c r="Y380" i="2" s="1"/>
  <c r="AB380" i="2" s="1"/>
  <c r="E380" i="2"/>
  <c r="GR379" i="2"/>
  <c r="GS379" i="2" s="1"/>
  <c r="GP379" i="2"/>
  <c r="GQ379" i="2" s="1"/>
  <c r="DU379" i="2" s="1"/>
  <c r="GN379" i="2"/>
  <c r="GO379" i="2" s="1"/>
  <c r="GL379" i="2"/>
  <c r="GM379" i="2" s="1"/>
  <c r="GH379" i="2"/>
  <c r="GG379" i="2"/>
  <c r="GI379" i="2" s="1"/>
  <c r="GD379" i="2"/>
  <c r="GC379" i="2"/>
  <c r="GB379" i="2"/>
  <c r="FY379" i="2"/>
  <c r="FZ379" i="2" s="1"/>
  <c r="FS379" i="2"/>
  <c r="FT379" i="2" s="1"/>
  <c r="EW379" i="2"/>
  <c r="ET379" i="2"/>
  <c r="EU379" i="2" s="1"/>
  <c r="EQ379" i="2"/>
  <c r="ER379" i="2" s="1"/>
  <c r="EJ379" i="2"/>
  <c r="EE379" i="2"/>
  <c r="EF379" i="2" s="1"/>
  <c r="DX379" i="2"/>
  <c r="DP379" i="2"/>
  <c r="DF379" i="2"/>
  <c r="DH379" i="2" s="1"/>
  <c r="DE379" i="2"/>
  <c r="CY379" i="2"/>
  <c r="CZ379" i="2" s="1"/>
  <c r="CF379" i="2"/>
  <c r="CH379" i="2"/>
  <c r="CA379" i="2"/>
  <c r="BO379" i="2"/>
  <c r="BJ379" i="2"/>
  <c r="BM379" i="2" s="1"/>
  <c r="BN379" i="2" s="1"/>
  <c r="BC379" i="2"/>
  <c r="AZ379" i="2"/>
  <c r="AY379" i="2"/>
  <c r="AO379" i="2"/>
  <c r="AN379" i="2"/>
  <c r="AM379" i="2"/>
  <c r="AL379" i="2"/>
  <c r="AK379" i="2"/>
  <c r="AG379" i="2"/>
  <c r="AE379" i="2"/>
  <c r="AF379" i="2" s="1"/>
  <c r="U379" i="2"/>
  <c r="S379" i="2"/>
  <c r="T379" i="2" s="1"/>
  <c r="R379" i="2"/>
  <c r="Y379" i="2" s="1"/>
  <c r="E379" i="2"/>
  <c r="GR378" i="2"/>
  <c r="GS378" i="2" s="1"/>
  <c r="GP378" i="2"/>
  <c r="GQ378" i="2" s="1"/>
  <c r="DU378" i="2" s="1"/>
  <c r="EI378" i="2" s="1"/>
  <c r="GN378" i="2"/>
  <c r="GO378" i="2" s="1"/>
  <c r="GL378" i="2"/>
  <c r="GM378" i="2" s="1"/>
  <c r="GH378" i="2"/>
  <c r="GG378" i="2"/>
  <c r="GI378" i="2" s="1"/>
  <c r="GD378" i="2"/>
  <c r="GC378" i="2"/>
  <c r="GB378" i="2"/>
  <c r="FY378" i="2"/>
  <c r="FZ378" i="2" s="1"/>
  <c r="FS378" i="2"/>
  <c r="FT378" i="2" s="1"/>
  <c r="EW378" i="2"/>
  <c r="ET378" i="2"/>
  <c r="EU378" i="2" s="1"/>
  <c r="EQ378" i="2"/>
  <c r="ER378" i="2" s="1"/>
  <c r="EJ378" i="2"/>
  <c r="EE378" i="2"/>
  <c r="EF378" i="2" s="1"/>
  <c r="DX378" i="2"/>
  <c r="DP378" i="2"/>
  <c r="DF378" i="2"/>
  <c r="DG378" i="2" s="1"/>
  <c r="DE378" i="2"/>
  <c r="CY378" i="2"/>
  <c r="CZ378" i="2" s="1"/>
  <c r="CF378" i="2"/>
  <c r="CH378" i="2"/>
  <c r="CA378" i="2"/>
  <c r="BO378" i="2"/>
  <c r="BJ378" i="2"/>
  <c r="BK378" i="2" s="1"/>
  <c r="CL378" i="2" s="1"/>
  <c r="BC378" i="2"/>
  <c r="AZ378" i="2"/>
  <c r="AY378" i="2"/>
  <c r="AO378" i="2"/>
  <c r="AN378" i="2"/>
  <c r="AM378" i="2"/>
  <c r="AL378" i="2"/>
  <c r="AK378" i="2"/>
  <c r="AG378" i="2"/>
  <c r="AE378" i="2"/>
  <c r="AF378" i="2" s="1"/>
  <c r="U378" i="2"/>
  <c r="S378" i="2"/>
  <c r="T378" i="2" s="1"/>
  <c r="R378" i="2"/>
  <c r="Y378" i="2" s="1"/>
  <c r="AB378" i="2" s="1"/>
  <c r="E378" i="2"/>
  <c r="GR377" i="2"/>
  <c r="GS377" i="2" s="1"/>
  <c r="GP377" i="2"/>
  <c r="GQ377" i="2" s="1"/>
  <c r="DU377" i="2" s="1"/>
  <c r="EI377" i="2" s="1"/>
  <c r="GN377" i="2"/>
  <c r="GO377" i="2" s="1"/>
  <c r="GL377" i="2"/>
  <c r="GM377" i="2" s="1"/>
  <c r="GH377" i="2"/>
  <c r="GG377" i="2"/>
  <c r="GI377" i="2" s="1"/>
  <c r="GD377" i="2"/>
  <c r="GC377" i="2"/>
  <c r="GB377" i="2"/>
  <c r="FY377" i="2"/>
  <c r="FZ377" i="2" s="1"/>
  <c r="FS377" i="2"/>
  <c r="FT377" i="2" s="1"/>
  <c r="EW377" i="2"/>
  <c r="ET377" i="2"/>
  <c r="EU377" i="2" s="1"/>
  <c r="EQ377" i="2"/>
  <c r="ER377" i="2" s="1"/>
  <c r="EJ377" i="2"/>
  <c r="EE377" i="2"/>
  <c r="EF377" i="2" s="1"/>
  <c r="DX377" i="2"/>
  <c r="DP377" i="2"/>
  <c r="DF377" i="2"/>
  <c r="DG377" i="2" s="1"/>
  <c r="DE377" i="2"/>
  <c r="CY377" i="2"/>
  <c r="CZ377" i="2" s="1"/>
  <c r="CF377" i="2"/>
  <c r="CH377" i="2"/>
  <c r="CA377" i="2"/>
  <c r="BO377" i="2"/>
  <c r="BJ377" i="2"/>
  <c r="BK377" i="2" s="1"/>
  <c r="CL377" i="2" s="1"/>
  <c r="BC377" i="2"/>
  <c r="AZ377" i="2"/>
  <c r="AY377" i="2"/>
  <c r="AO377" i="2"/>
  <c r="AN377" i="2"/>
  <c r="AM377" i="2"/>
  <c r="AL377" i="2"/>
  <c r="AK377" i="2"/>
  <c r="AG377" i="2"/>
  <c r="AE377" i="2"/>
  <c r="AF377" i="2" s="1"/>
  <c r="U377" i="2"/>
  <c r="S377" i="2"/>
  <c r="T377" i="2" s="1"/>
  <c r="R377" i="2"/>
  <c r="Y377" i="2" s="1"/>
  <c r="AB377" i="2" s="1"/>
  <c r="E377" i="2"/>
  <c r="GR376" i="2"/>
  <c r="GS376" i="2" s="1"/>
  <c r="GP376" i="2"/>
  <c r="GQ376" i="2" s="1"/>
  <c r="GN376" i="2"/>
  <c r="GO376" i="2" s="1"/>
  <c r="GL376" i="2"/>
  <c r="GM376" i="2" s="1"/>
  <c r="GH376" i="2"/>
  <c r="GG376" i="2"/>
  <c r="GI376" i="2" s="1"/>
  <c r="GD376" i="2"/>
  <c r="GC376" i="2"/>
  <c r="GB376" i="2"/>
  <c r="FY376" i="2"/>
  <c r="FZ376" i="2" s="1"/>
  <c r="FS376" i="2"/>
  <c r="FT376" i="2" s="1"/>
  <c r="EW376" i="2"/>
  <c r="ET376" i="2"/>
  <c r="EU376" i="2" s="1"/>
  <c r="EQ376" i="2"/>
  <c r="ER376" i="2" s="1"/>
  <c r="EJ376" i="2"/>
  <c r="EE376" i="2"/>
  <c r="EF376" i="2" s="1"/>
  <c r="DX376" i="2"/>
  <c r="DP376" i="2"/>
  <c r="DF376" i="2"/>
  <c r="DG376" i="2" s="1"/>
  <c r="DE376" i="2"/>
  <c r="CY376" i="2"/>
  <c r="CZ376" i="2" s="1"/>
  <c r="CF376" i="2"/>
  <c r="CH376" i="2"/>
  <c r="CA376" i="2"/>
  <c r="BO376" i="2"/>
  <c r="BJ376" i="2"/>
  <c r="BK376" i="2" s="1"/>
  <c r="CL376" i="2" s="1"/>
  <c r="BC376" i="2"/>
  <c r="AZ376" i="2"/>
  <c r="AY376" i="2"/>
  <c r="AO376" i="2"/>
  <c r="AN376" i="2"/>
  <c r="AM376" i="2"/>
  <c r="AL376" i="2"/>
  <c r="AK376" i="2"/>
  <c r="AG376" i="2"/>
  <c r="AE376" i="2"/>
  <c r="AF376" i="2" s="1"/>
  <c r="U376" i="2"/>
  <c r="S376" i="2"/>
  <c r="T376" i="2" s="1"/>
  <c r="R376" i="2"/>
  <c r="Y376" i="2" s="1"/>
  <c r="AB376" i="2" s="1"/>
  <c r="E376" i="2"/>
  <c r="GR375" i="2"/>
  <c r="GS375" i="2" s="1"/>
  <c r="GP375" i="2"/>
  <c r="GQ375" i="2" s="1"/>
  <c r="DU375" i="2" s="1"/>
  <c r="EI375" i="2" s="1"/>
  <c r="GN375" i="2"/>
  <c r="GO375" i="2" s="1"/>
  <c r="GL375" i="2"/>
  <c r="GM375" i="2" s="1"/>
  <c r="GH375" i="2"/>
  <c r="GG375" i="2"/>
  <c r="GI375" i="2" s="1"/>
  <c r="GD375" i="2"/>
  <c r="GC375" i="2"/>
  <c r="GB375" i="2"/>
  <c r="FY375" i="2"/>
  <c r="FZ375" i="2" s="1"/>
  <c r="FS375" i="2"/>
  <c r="FT375" i="2" s="1"/>
  <c r="EW375" i="2"/>
  <c r="ET375" i="2"/>
  <c r="EU375" i="2" s="1"/>
  <c r="EQ375" i="2"/>
  <c r="ER375" i="2" s="1"/>
  <c r="EJ375" i="2"/>
  <c r="EE375" i="2"/>
  <c r="EF375" i="2" s="1"/>
  <c r="DX375" i="2"/>
  <c r="DP375" i="2"/>
  <c r="DF375" i="2"/>
  <c r="DG375" i="2" s="1"/>
  <c r="DE375" i="2"/>
  <c r="CY375" i="2"/>
  <c r="CZ375" i="2" s="1"/>
  <c r="CF375" i="2"/>
  <c r="CA375" i="2"/>
  <c r="BO375" i="2"/>
  <c r="BJ375" i="2"/>
  <c r="BM375" i="2" s="1"/>
  <c r="BN375" i="2" s="1"/>
  <c r="BC375" i="2"/>
  <c r="AZ375" i="2"/>
  <c r="AY375" i="2"/>
  <c r="AO375" i="2"/>
  <c r="AN375" i="2"/>
  <c r="AM375" i="2"/>
  <c r="AL375" i="2"/>
  <c r="AK375" i="2"/>
  <c r="AG375" i="2"/>
  <c r="AE375" i="2"/>
  <c r="AF375" i="2" s="1"/>
  <c r="U375" i="2"/>
  <c r="S375" i="2"/>
  <c r="T375" i="2" s="1"/>
  <c r="R375" i="2"/>
  <c r="Y375" i="2" s="1"/>
  <c r="AB375" i="2" s="1"/>
  <c r="E375" i="2"/>
  <c r="GR374" i="2"/>
  <c r="GS374" i="2" s="1"/>
  <c r="GP374" i="2"/>
  <c r="GQ374" i="2" s="1"/>
  <c r="DU374" i="2" s="1"/>
  <c r="EI374" i="2" s="1"/>
  <c r="GN374" i="2"/>
  <c r="GO374" i="2" s="1"/>
  <c r="GL374" i="2"/>
  <c r="GM374" i="2" s="1"/>
  <c r="GH374" i="2"/>
  <c r="GG374" i="2"/>
  <c r="GI374" i="2" s="1"/>
  <c r="GD374" i="2"/>
  <c r="GC374" i="2"/>
  <c r="GB374" i="2"/>
  <c r="FY374" i="2"/>
  <c r="FZ374" i="2" s="1"/>
  <c r="FS374" i="2"/>
  <c r="FT374" i="2" s="1"/>
  <c r="EW374" i="2"/>
  <c r="ET374" i="2"/>
  <c r="EU374" i="2" s="1"/>
  <c r="EQ374" i="2"/>
  <c r="ER374" i="2" s="1"/>
  <c r="EJ374" i="2"/>
  <c r="EE374" i="2"/>
  <c r="EF374" i="2" s="1"/>
  <c r="DX374" i="2"/>
  <c r="DP374" i="2"/>
  <c r="DF374" i="2"/>
  <c r="DG374" i="2" s="1"/>
  <c r="DE374" i="2"/>
  <c r="CY374" i="2"/>
  <c r="CZ374" i="2" s="1"/>
  <c r="CF374" i="2"/>
  <c r="CH374" i="2"/>
  <c r="CA374" i="2"/>
  <c r="BO374" i="2"/>
  <c r="BJ374" i="2"/>
  <c r="BM374" i="2" s="1"/>
  <c r="BN374" i="2" s="1"/>
  <c r="BC374" i="2"/>
  <c r="AZ374" i="2"/>
  <c r="AY374" i="2"/>
  <c r="AO374" i="2"/>
  <c r="AN374" i="2"/>
  <c r="AM374" i="2"/>
  <c r="AL374" i="2"/>
  <c r="AK374" i="2"/>
  <c r="AG374" i="2"/>
  <c r="AE374" i="2"/>
  <c r="AF374" i="2" s="1"/>
  <c r="U374" i="2"/>
  <c r="S374" i="2"/>
  <c r="T374" i="2" s="1"/>
  <c r="R374" i="2"/>
  <c r="E374" i="2"/>
  <c r="GR373" i="2"/>
  <c r="GS373" i="2" s="1"/>
  <c r="GP373" i="2"/>
  <c r="GQ373" i="2" s="1"/>
  <c r="DO373" i="2" s="1"/>
  <c r="EH373" i="2" s="1"/>
  <c r="GN373" i="2"/>
  <c r="GO373" i="2" s="1"/>
  <c r="GL373" i="2"/>
  <c r="GM373" i="2" s="1"/>
  <c r="GH373" i="2"/>
  <c r="GG373" i="2"/>
  <c r="GI373" i="2" s="1"/>
  <c r="GD373" i="2"/>
  <c r="GC373" i="2"/>
  <c r="GB373" i="2"/>
  <c r="FY373" i="2"/>
  <c r="FZ373" i="2" s="1"/>
  <c r="FS373" i="2"/>
  <c r="FT373" i="2" s="1"/>
  <c r="EW373" i="2"/>
  <c r="ET373" i="2"/>
  <c r="EU373" i="2" s="1"/>
  <c r="EQ373" i="2"/>
  <c r="ER373" i="2" s="1"/>
  <c r="EJ373" i="2"/>
  <c r="EE373" i="2"/>
  <c r="EF373" i="2" s="1"/>
  <c r="DX373" i="2"/>
  <c r="DP373" i="2"/>
  <c r="DF373" i="2"/>
  <c r="DH373" i="2" s="1"/>
  <c r="DE373" i="2"/>
  <c r="CY373" i="2"/>
  <c r="CZ373" i="2" s="1"/>
  <c r="CF373" i="2"/>
  <c r="CH373" i="2"/>
  <c r="CA373" i="2"/>
  <c r="DA373" i="2"/>
  <c r="DB373" i="2" s="1"/>
  <c r="BO373" i="2"/>
  <c r="BJ373" i="2"/>
  <c r="BC373" i="2"/>
  <c r="AZ373" i="2"/>
  <c r="AY373" i="2"/>
  <c r="AO373" i="2"/>
  <c r="AN373" i="2"/>
  <c r="AM373" i="2"/>
  <c r="AL373" i="2"/>
  <c r="AK373" i="2"/>
  <c r="AG373" i="2"/>
  <c r="AE373" i="2"/>
  <c r="AF373" i="2" s="1"/>
  <c r="U373" i="2"/>
  <c r="S373" i="2"/>
  <c r="R373" i="2"/>
  <c r="X373" i="2" s="1"/>
  <c r="E373" i="2"/>
  <c r="GR372" i="2"/>
  <c r="GS372" i="2" s="1"/>
  <c r="GP372" i="2"/>
  <c r="GQ372" i="2" s="1"/>
  <c r="GN372" i="2"/>
  <c r="GO372" i="2" s="1"/>
  <c r="GL372" i="2"/>
  <c r="GM372" i="2" s="1"/>
  <c r="GH372" i="2"/>
  <c r="GG372" i="2"/>
  <c r="GI372" i="2" s="1"/>
  <c r="GD372" i="2"/>
  <c r="GC372" i="2"/>
  <c r="GB372" i="2"/>
  <c r="FY372" i="2"/>
  <c r="GA372" i="2" s="1"/>
  <c r="FS372" i="2"/>
  <c r="FT372" i="2" s="1"/>
  <c r="EW372" i="2"/>
  <c r="ET372" i="2"/>
  <c r="EU372" i="2" s="1"/>
  <c r="EQ372" i="2"/>
  <c r="ER372" i="2" s="1"/>
  <c r="EJ372" i="2"/>
  <c r="EE372" i="2"/>
  <c r="EF372" i="2" s="1"/>
  <c r="DX372" i="2"/>
  <c r="DP372" i="2"/>
  <c r="DF372" i="2"/>
  <c r="DH372" i="2" s="1"/>
  <c r="DE372" i="2"/>
  <c r="CY372" i="2"/>
  <c r="CZ372" i="2" s="1"/>
  <c r="CF372" i="2"/>
  <c r="CH372" i="2"/>
  <c r="CA372" i="2"/>
  <c r="CR372" i="2"/>
  <c r="BO372" i="2"/>
  <c r="BJ372" i="2"/>
  <c r="BK372" i="2" s="1"/>
  <c r="CL372" i="2" s="1"/>
  <c r="BC372" i="2"/>
  <c r="AZ372" i="2"/>
  <c r="AY372" i="2"/>
  <c r="AO372" i="2"/>
  <c r="AN372" i="2"/>
  <c r="AM372" i="2"/>
  <c r="AL372" i="2"/>
  <c r="AK372" i="2"/>
  <c r="AG372" i="2"/>
  <c r="AE372" i="2"/>
  <c r="AF372" i="2" s="1"/>
  <c r="U372" i="2"/>
  <c r="S372" i="2"/>
  <c r="T372" i="2" s="1"/>
  <c r="R372" i="2"/>
  <c r="X372" i="2" s="1"/>
  <c r="AA372" i="2" s="1"/>
  <c r="E372" i="2"/>
  <c r="GR371" i="2"/>
  <c r="GS371" i="2" s="1"/>
  <c r="GP371" i="2"/>
  <c r="GQ371" i="2" s="1"/>
  <c r="DU371" i="2" s="1"/>
  <c r="GN371" i="2"/>
  <c r="GO371" i="2" s="1"/>
  <c r="GL371" i="2"/>
  <c r="GM371" i="2" s="1"/>
  <c r="GH371" i="2"/>
  <c r="GG371" i="2"/>
  <c r="GI371" i="2" s="1"/>
  <c r="GD371" i="2"/>
  <c r="GC371" i="2"/>
  <c r="GB371" i="2"/>
  <c r="FY371" i="2"/>
  <c r="GA371" i="2" s="1"/>
  <c r="FS371" i="2"/>
  <c r="FT371" i="2" s="1"/>
  <c r="EW371" i="2"/>
  <c r="ET371" i="2"/>
  <c r="EU371" i="2" s="1"/>
  <c r="EQ371" i="2"/>
  <c r="ER371" i="2" s="1"/>
  <c r="EJ371" i="2"/>
  <c r="EE371" i="2"/>
  <c r="EF371" i="2" s="1"/>
  <c r="DX371" i="2"/>
  <c r="DP371" i="2"/>
  <c r="DF371" i="2"/>
  <c r="DH371" i="2" s="1"/>
  <c r="DE371" i="2"/>
  <c r="CY371" i="2"/>
  <c r="CZ371" i="2" s="1"/>
  <c r="CF371" i="2"/>
  <c r="CH371" i="2"/>
  <c r="CA371" i="2"/>
  <c r="BO371" i="2"/>
  <c r="BJ371" i="2"/>
  <c r="BK371" i="2" s="1"/>
  <c r="CL371" i="2" s="1"/>
  <c r="BC371" i="2"/>
  <c r="AZ371" i="2"/>
  <c r="AY371" i="2"/>
  <c r="AO371" i="2"/>
  <c r="AN371" i="2"/>
  <c r="AM371" i="2"/>
  <c r="AL371" i="2"/>
  <c r="AK371" i="2"/>
  <c r="AG371" i="2"/>
  <c r="AE371" i="2"/>
  <c r="AF371" i="2" s="1"/>
  <c r="U371" i="2"/>
  <c r="S371" i="2"/>
  <c r="T371" i="2" s="1"/>
  <c r="R371" i="2"/>
  <c r="X371" i="2" s="1"/>
  <c r="E371" i="2"/>
  <c r="GR370" i="2"/>
  <c r="GS370" i="2" s="1"/>
  <c r="GP370" i="2"/>
  <c r="GQ370" i="2" s="1"/>
  <c r="GN370" i="2"/>
  <c r="GO370" i="2" s="1"/>
  <c r="GL370" i="2"/>
  <c r="GM370" i="2" s="1"/>
  <c r="GH370" i="2"/>
  <c r="GG370" i="2"/>
  <c r="GI370" i="2" s="1"/>
  <c r="GD370" i="2"/>
  <c r="GC370" i="2"/>
  <c r="GB370" i="2"/>
  <c r="FY370" i="2"/>
  <c r="FZ370" i="2" s="1"/>
  <c r="FS370" i="2"/>
  <c r="FT370" i="2" s="1"/>
  <c r="EW370" i="2"/>
  <c r="ET370" i="2"/>
  <c r="EU370" i="2" s="1"/>
  <c r="EQ370" i="2"/>
  <c r="ER370" i="2" s="1"/>
  <c r="EJ370" i="2"/>
  <c r="EE370" i="2"/>
  <c r="EF370" i="2" s="1"/>
  <c r="DX370" i="2"/>
  <c r="DP370" i="2"/>
  <c r="DF370" i="2"/>
  <c r="DG370" i="2" s="1"/>
  <c r="DE370" i="2"/>
  <c r="CY370" i="2"/>
  <c r="CZ370" i="2" s="1"/>
  <c r="CF370" i="2"/>
  <c r="CA370" i="2"/>
  <c r="DA370" i="2"/>
  <c r="DB370" i="2" s="1"/>
  <c r="BO370" i="2"/>
  <c r="BJ370" i="2"/>
  <c r="BM370" i="2" s="1"/>
  <c r="BN370" i="2" s="1"/>
  <c r="BC370" i="2"/>
  <c r="AZ370" i="2"/>
  <c r="AY370" i="2"/>
  <c r="AO370" i="2"/>
  <c r="AN370" i="2"/>
  <c r="AM370" i="2"/>
  <c r="AL370" i="2"/>
  <c r="AK370" i="2"/>
  <c r="AG370" i="2"/>
  <c r="AE370" i="2"/>
  <c r="AF370" i="2" s="1"/>
  <c r="U370" i="2"/>
  <c r="S370" i="2"/>
  <c r="R370" i="2"/>
  <c r="X370" i="2" s="1"/>
  <c r="E370" i="2"/>
  <c r="GR369" i="2"/>
  <c r="GS369" i="2" s="1"/>
  <c r="GP369" i="2"/>
  <c r="GQ369" i="2" s="1"/>
  <c r="GN369" i="2"/>
  <c r="GO369" i="2" s="1"/>
  <c r="GL369" i="2"/>
  <c r="GM369" i="2" s="1"/>
  <c r="GH369" i="2"/>
  <c r="GG369" i="2"/>
  <c r="GI369" i="2" s="1"/>
  <c r="GD369" i="2"/>
  <c r="GC369" i="2"/>
  <c r="GB369" i="2"/>
  <c r="FY369" i="2"/>
  <c r="FZ369" i="2" s="1"/>
  <c r="FS369" i="2"/>
  <c r="FT369" i="2" s="1"/>
  <c r="EW369" i="2"/>
  <c r="ET369" i="2"/>
  <c r="EU369" i="2" s="1"/>
  <c r="EQ369" i="2"/>
  <c r="ER369" i="2" s="1"/>
  <c r="EJ369" i="2"/>
  <c r="EE369" i="2"/>
  <c r="EF369" i="2" s="1"/>
  <c r="DX369" i="2"/>
  <c r="DP369" i="2"/>
  <c r="DF369" i="2"/>
  <c r="DG369" i="2" s="1"/>
  <c r="DE369" i="2"/>
  <c r="CY369" i="2"/>
  <c r="CZ369" i="2" s="1"/>
  <c r="CF369" i="2"/>
  <c r="CA369" i="2"/>
  <c r="DA369" i="2"/>
  <c r="DB369" i="2" s="1"/>
  <c r="BO369" i="2"/>
  <c r="BJ369" i="2"/>
  <c r="BM369" i="2" s="1"/>
  <c r="BN369" i="2" s="1"/>
  <c r="BC369" i="2"/>
  <c r="AZ369" i="2"/>
  <c r="AY369" i="2"/>
  <c r="AO369" i="2"/>
  <c r="AN369" i="2"/>
  <c r="AM369" i="2"/>
  <c r="AL369" i="2"/>
  <c r="AK369" i="2"/>
  <c r="AG369" i="2"/>
  <c r="AE369" i="2"/>
  <c r="AF369" i="2" s="1"/>
  <c r="U369" i="2"/>
  <c r="S369" i="2"/>
  <c r="T369" i="2" s="1"/>
  <c r="R369" i="2"/>
  <c r="X369" i="2" s="1"/>
  <c r="E369" i="2"/>
  <c r="GR368" i="2"/>
  <c r="GS368" i="2" s="1"/>
  <c r="GP368" i="2"/>
  <c r="GQ368" i="2" s="1"/>
  <c r="GN368" i="2"/>
  <c r="GO368" i="2" s="1"/>
  <c r="GL368" i="2"/>
  <c r="GM368" i="2" s="1"/>
  <c r="GH368" i="2"/>
  <c r="GG368" i="2"/>
  <c r="GI368" i="2" s="1"/>
  <c r="GD368" i="2"/>
  <c r="GC368" i="2"/>
  <c r="GB368" i="2"/>
  <c r="FY368" i="2"/>
  <c r="FZ368" i="2" s="1"/>
  <c r="FS368" i="2"/>
  <c r="FT368" i="2" s="1"/>
  <c r="EW368" i="2"/>
  <c r="ET368" i="2"/>
  <c r="EU368" i="2" s="1"/>
  <c r="EQ368" i="2"/>
  <c r="ER368" i="2" s="1"/>
  <c r="EJ368" i="2"/>
  <c r="EE368" i="2"/>
  <c r="EF368" i="2" s="1"/>
  <c r="DX368" i="2"/>
  <c r="DP368" i="2"/>
  <c r="DF368" i="2"/>
  <c r="DG368" i="2" s="1"/>
  <c r="DE368" i="2"/>
  <c r="CY368" i="2"/>
  <c r="CZ368" i="2" s="1"/>
  <c r="CF368" i="2"/>
  <c r="CH368" i="2"/>
  <c r="CA368" i="2"/>
  <c r="DA368" i="2"/>
  <c r="DB368" i="2" s="1"/>
  <c r="BO368" i="2"/>
  <c r="BJ368" i="2"/>
  <c r="BM368" i="2" s="1"/>
  <c r="BN368" i="2" s="1"/>
  <c r="BC368" i="2"/>
  <c r="AZ368" i="2"/>
  <c r="AY368" i="2"/>
  <c r="AO368" i="2"/>
  <c r="AN368" i="2"/>
  <c r="AM368" i="2"/>
  <c r="AL368" i="2"/>
  <c r="AK368" i="2"/>
  <c r="AG368" i="2"/>
  <c r="AE368" i="2"/>
  <c r="AF368" i="2" s="1"/>
  <c r="U368" i="2"/>
  <c r="S368" i="2"/>
  <c r="R368" i="2"/>
  <c r="Y368" i="2" s="1"/>
  <c r="AB368" i="2" s="1"/>
  <c r="E368" i="2"/>
  <c r="GR367" i="2"/>
  <c r="GS367" i="2" s="1"/>
  <c r="GP367" i="2"/>
  <c r="GQ367" i="2" s="1"/>
  <c r="GN367" i="2"/>
  <c r="GO367" i="2" s="1"/>
  <c r="GL367" i="2"/>
  <c r="GM367" i="2" s="1"/>
  <c r="GH367" i="2"/>
  <c r="GG367" i="2"/>
  <c r="GI367" i="2" s="1"/>
  <c r="GD367" i="2"/>
  <c r="GC367" i="2"/>
  <c r="GB367" i="2"/>
  <c r="FY367" i="2"/>
  <c r="FZ367" i="2" s="1"/>
  <c r="FS367" i="2"/>
  <c r="FT367" i="2" s="1"/>
  <c r="EW367" i="2"/>
  <c r="ET367" i="2"/>
  <c r="EU367" i="2" s="1"/>
  <c r="EQ367" i="2"/>
  <c r="ER367" i="2" s="1"/>
  <c r="EJ367" i="2"/>
  <c r="EE367" i="2"/>
  <c r="EF367" i="2" s="1"/>
  <c r="DX367" i="2"/>
  <c r="DP367" i="2"/>
  <c r="DF367" i="2"/>
  <c r="DG367" i="2" s="1"/>
  <c r="DE367" i="2"/>
  <c r="CY367" i="2"/>
  <c r="CZ367" i="2" s="1"/>
  <c r="CF367" i="2"/>
  <c r="CH367" i="2"/>
  <c r="CA367" i="2"/>
  <c r="DA367" i="2"/>
  <c r="DB367" i="2" s="1"/>
  <c r="BO367" i="2"/>
  <c r="BJ367" i="2"/>
  <c r="BM367" i="2" s="1"/>
  <c r="BN367" i="2" s="1"/>
  <c r="BC367" i="2"/>
  <c r="AZ367" i="2"/>
  <c r="AY367" i="2"/>
  <c r="AO367" i="2"/>
  <c r="AN367" i="2"/>
  <c r="AM367" i="2"/>
  <c r="AL367" i="2"/>
  <c r="AK367" i="2"/>
  <c r="AG367" i="2"/>
  <c r="AE367" i="2"/>
  <c r="AF367" i="2" s="1"/>
  <c r="U367" i="2"/>
  <c r="S367" i="2"/>
  <c r="R367" i="2"/>
  <c r="Y367" i="2" s="1"/>
  <c r="AB367" i="2" s="1"/>
  <c r="E367" i="2"/>
  <c r="GR366" i="2"/>
  <c r="GS366" i="2" s="1"/>
  <c r="GP366" i="2"/>
  <c r="GQ366" i="2" s="1"/>
  <c r="GN366" i="2"/>
  <c r="GO366" i="2" s="1"/>
  <c r="GL366" i="2"/>
  <c r="GM366" i="2" s="1"/>
  <c r="GH366" i="2"/>
  <c r="GG366" i="2"/>
  <c r="GI366" i="2" s="1"/>
  <c r="GD366" i="2"/>
  <c r="GC366" i="2"/>
  <c r="GB366" i="2"/>
  <c r="FY366" i="2"/>
  <c r="FZ366" i="2" s="1"/>
  <c r="FS366" i="2"/>
  <c r="FT366" i="2" s="1"/>
  <c r="EW366" i="2"/>
  <c r="ET366" i="2"/>
  <c r="EU366" i="2" s="1"/>
  <c r="EQ366" i="2"/>
  <c r="ER366" i="2" s="1"/>
  <c r="EJ366" i="2"/>
  <c r="EE366" i="2"/>
  <c r="EF366" i="2" s="1"/>
  <c r="DX366" i="2"/>
  <c r="DP366" i="2"/>
  <c r="DF366" i="2"/>
  <c r="DG366" i="2" s="1"/>
  <c r="DE366" i="2"/>
  <c r="CY366" i="2"/>
  <c r="CZ366" i="2" s="1"/>
  <c r="CF366" i="2"/>
  <c r="CH366" i="2"/>
  <c r="CA366" i="2"/>
  <c r="DA366" i="2"/>
  <c r="DB366" i="2" s="1"/>
  <c r="BO366" i="2"/>
  <c r="BJ366" i="2"/>
  <c r="BM366" i="2" s="1"/>
  <c r="BN366" i="2" s="1"/>
  <c r="BC366" i="2"/>
  <c r="AZ366" i="2"/>
  <c r="AY366" i="2"/>
  <c r="AO366" i="2"/>
  <c r="AN366" i="2"/>
  <c r="AM366" i="2"/>
  <c r="AL366" i="2"/>
  <c r="AK366" i="2"/>
  <c r="AG366" i="2"/>
  <c r="AE366" i="2"/>
  <c r="AF366" i="2" s="1"/>
  <c r="U366" i="2"/>
  <c r="S366" i="2"/>
  <c r="T366" i="2" s="1"/>
  <c r="R366" i="2"/>
  <c r="X366" i="2" s="1"/>
  <c r="AA366" i="2" s="1"/>
  <c r="E366" i="2"/>
  <c r="GR365" i="2"/>
  <c r="GS365" i="2" s="1"/>
  <c r="GP365" i="2"/>
  <c r="GQ365" i="2" s="1"/>
  <c r="DO365" i="2" s="1"/>
  <c r="GN365" i="2"/>
  <c r="GO365" i="2" s="1"/>
  <c r="GL365" i="2"/>
  <c r="GM365" i="2" s="1"/>
  <c r="GH365" i="2"/>
  <c r="GG365" i="2"/>
  <c r="GI365" i="2" s="1"/>
  <c r="GD365" i="2"/>
  <c r="GC365" i="2"/>
  <c r="GB365" i="2"/>
  <c r="FY365" i="2"/>
  <c r="FZ365" i="2" s="1"/>
  <c r="FS365" i="2"/>
  <c r="FT365" i="2" s="1"/>
  <c r="EW365" i="2"/>
  <c r="ET365" i="2"/>
  <c r="EU365" i="2" s="1"/>
  <c r="EQ365" i="2"/>
  <c r="ER365" i="2" s="1"/>
  <c r="EJ365" i="2"/>
  <c r="EE365" i="2"/>
  <c r="EF365" i="2" s="1"/>
  <c r="DX365" i="2"/>
  <c r="DP365" i="2"/>
  <c r="DF365" i="2"/>
  <c r="DG365" i="2" s="1"/>
  <c r="DE365" i="2"/>
  <c r="CY365" i="2"/>
  <c r="CZ365" i="2" s="1"/>
  <c r="CF365" i="2"/>
  <c r="CH365" i="2"/>
  <c r="CA365" i="2"/>
  <c r="CW365" i="2"/>
  <c r="BO365" i="2"/>
  <c r="BJ365" i="2"/>
  <c r="BM365" i="2" s="1"/>
  <c r="BN365" i="2" s="1"/>
  <c r="BC365" i="2"/>
  <c r="AZ365" i="2"/>
  <c r="AY365" i="2"/>
  <c r="AO365" i="2"/>
  <c r="AN365" i="2"/>
  <c r="AM365" i="2"/>
  <c r="AL365" i="2"/>
  <c r="AK365" i="2"/>
  <c r="AG365" i="2"/>
  <c r="AE365" i="2"/>
  <c r="AF365" i="2" s="1"/>
  <c r="U365" i="2"/>
  <c r="S365" i="2"/>
  <c r="R365" i="2"/>
  <c r="Y365" i="2" s="1"/>
  <c r="E365" i="2"/>
  <c r="GR386" i="2"/>
  <c r="GS386" i="2" s="1"/>
  <c r="GP386" i="2"/>
  <c r="GQ386" i="2" s="1"/>
  <c r="DO386" i="2" s="1"/>
  <c r="DS386" i="2" s="1"/>
  <c r="GN386" i="2"/>
  <c r="GO386" i="2" s="1"/>
  <c r="GL386" i="2"/>
  <c r="GM386" i="2" s="1"/>
  <c r="GG386" i="2"/>
  <c r="GI386" i="2" s="1"/>
  <c r="GD386" i="2"/>
  <c r="GC386" i="2"/>
  <c r="GB386" i="2"/>
  <c r="FY386" i="2"/>
  <c r="GA386" i="2" s="1"/>
  <c r="FS386" i="2"/>
  <c r="FT386" i="2" s="1"/>
  <c r="EW386" i="2"/>
  <c r="ET386" i="2"/>
  <c r="EU386" i="2" s="1"/>
  <c r="EQ386" i="2"/>
  <c r="ER386" i="2" s="1"/>
  <c r="EJ386" i="2"/>
  <c r="EE386" i="2"/>
  <c r="EF386" i="2" s="1"/>
  <c r="DX386" i="2"/>
  <c r="DP386" i="2"/>
  <c r="DF386" i="2"/>
  <c r="DG386" i="2" s="1"/>
  <c r="DE386" i="2"/>
  <c r="CY386" i="2"/>
  <c r="CZ386" i="2" s="1"/>
  <c r="CF386" i="2"/>
  <c r="CA386" i="2"/>
  <c r="CR386" i="2"/>
  <c r="BO386" i="2"/>
  <c r="BJ386" i="2"/>
  <c r="BM386" i="2" s="1"/>
  <c r="BN386" i="2" s="1"/>
  <c r="BC386" i="2"/>
  <c r="AZ386" i="2"/>
  <c r="AY386" i="2"/>
  <c r="AO386" i="2"/>
  <c r="AN386" i="2"/>
  <c r="AM386" i="2"/>
  <c r="AL386" i="2"/>
  <c r="AK386" i="2"/>
  <c r="AG386" i="2"/>
  <c r="AE386" i="2"/>
  <c r="AF386" i="2" s="1"/>
  <c r="S386" i="2"/>
  <c r="T386" i="2" s="1"/>
  <c r="U386" i="2" s="1"/>
  <c r="R386" i="2"/>
  <c r="GH386" i="2" s="1"/>
  <c r="E386" i="2"/>
  <c r="GR363" i="2"/>
  <c r="GS363" i="2" s="1"/>
  <c r="GP363" i="2"/>
  <c r="GQ363" i="2" s="1"/>
  <c r="GN363" i="2"/>
  <c r="GO363" i="2" s="1"/>
  <c r="GL363" i="2"/>
  <c r="GM363" i="2" s="1"/>
  <c r="GH363" i="2"/>
  <c r="GG363" i="2"/>
  <c r="GI363" i="2" s="1"/>
  <c r="GD363" i="2"/>
  <c r="GC363" i="2"/>
  <c r="GB363" i="2"/>
  <c r="FY363" i="2"/>
  <c r="GA363" i="2" s="1"/>
  <c r="FS363" i="2"/>
  <c r="FT363" i="2" s="1"/>
  <c r="EW363" i="2"/>
  <c r="ET363" i="2"/>
  <c r="EU363" i="2" s="1"/>
  <c r="EQ363" i="2"/>
  <c r="ER363" i="2" s="1"/>
  <c r="EJ363" i="2"/>
  <c r="EE363" i="2"/>
  <c r="EF363" i="2" s="1"/>
  <c r="DX363" i="2"/>
  <c r="DP363" i="2"/>
  <c r="DF363" i="2"/>
  <c r="DE363" i="2"/>
  <c r="CY363" i="2"/>
  <c r="CZ363" i="2" s="1"/>
  <c r="CF363" i="2"/>
  <c r="CA363" i="2"/>
  <c r="DA363" i="2"/>
  <c r="DB363" i="2" s="1"/>
  <c r="BO363" i="2"/>
  <c r="BJ363" i="2"/>
  <c r="BC363" i="2"/>
  <c r="AZ363" i="2"/>
  <c r="AY363" i="2"/>
  <c r="AO363" i="2"/>
  <c r="AN363" i="2"/>
  <c r="AM363" i="2"/>
  <c r="AL363" i="2"/>
  <c r="AK363" i="2"/>
  <c r="AG363" i="2"/>
  <c r="AE363" i="2"/>
  <c r="AF363" i="2" s="1"/>
  <c r="U363" i="2"/>
  <c r="S363" i="2"/>
  <c r="T363" i="2" s="1"/>
  <c r="R363" i="2"/>
  <c r="Y363" i="2" s="1"/>
  <c r="AB363" i="2" s="1"/>
  <c r="E363" i="2"/>
  <c r="GR362" i="2"/>
  <c r="GS362" i="2" s="1"/>
  <c r="GP362" i="2"/>
  <c r="GQ362" i="2" s="1"/>
  <c r="DO362" i="2" s="1"/>
  <c r="GN362" i="2"/>
  <c r="GO362" i="2" s="1"/>
  <c r="GL362" i="2"/>
  <c r="GM362" i="2" s="1"/>
  <c r="GH362" i="2"/>
  <c r="GG362" i="2"/>
  <c r="GI362" i="2" s="1"/>
  <c r="GD362" i="2"/>
  <c r="GC362" i="2"/>
  <c r="GB362" i="2"/>
  <c r="FY362" i="2"/>
  <c r="FZ362" i="2" s="1"/>
  <c r="FS362" i="2"/>
  <c r="FT362" i="2" s="1"/>
  <c r="EW362" i="2"/>
  <c r="ET362" i="2"/>
  <c r="EU362" i="2" s="1"/>
  <c r="EQ362" i="2"/>
  <c r="ER362" i="2" s="1"/>
  <c r="EJ362" i="2"/>
  <c r="EE362" i="2"/>
  <c r="EF362" i="2" s="1"/>
  <c r="DX362" i="2"/>
  <c r="DP362" i="2"/>
  <c r="DF362" i="2"/>
  <c r="DE362" i="2"/>
  <c r="CY362" i="2"/>
  <c r="CZ362" i="2" s="1"/>
  <c r="CF362" i="2"/>
  <c r="CH362" i="2"/>
  <c r="CA362" i="2"/>
  <c r="DA362" i="2"/>
  <c r="DB362" i="2" s="1"/>
  <c r="BO362" i="2"/>
  <c r="BJ362" i="2"/>
  <c r="BM362" i="2" s="1"/>
  <c r="BN362" i="2" s="1"/>
  <c r="BC362" i="2"/>
  <c r="AZ362" i="2"/>
  <c r="AY362" i="2"/>
  <c r="AO362" i="2"/>
  <c r="AN362" i="2"/>
  <c r="AM362" i="2"/>
  <c r="AL362" i="2"/>
  <c r="AK362" i="2"/>
  <c r="AG362" i="2"/>
  <c r="AE362" i="2"/>
  <c r="AF362" i="2" s="1"/>
  <c r="U362" i="2"/>
  <c r="S362" i="2"/>
  <c r="T362" i="2" s="1"/>
  <c r="R362" i="2"/>
  <c r="X362" i="2" s="1"/>
  <c r="AA362" i="2" s="1"/>
  <c r="E362" i="2"/>
  <c r="GR361" i="2"/>
  <c r="GS361" i="2" s="1"/>
  <c r="GP361" i="2"/>
  <c r="GQ361" i="2" s="1"/>
  <c r="GN361" i="2"/>
  <c r="GO361" i="2" s="1"/>
  <c r="GL361" i="2"/>
  <c r="GM361" i="2" s="1"/>
  <c r="GH361" i="2"/>
  <c r="GG361" i="2"/>
  <c r="GI361" i="2" s="1"/>
  <c r="GD361" i="2"/>
  <c r="GC361" i="2"/>
  <c r="GB361" i="2"/>
  <c r="FY361" i="2"/>
  <c r="GA361" i="2" s="1"/>
  <c r="FS361" i="2"/>
  <c r="FT361" i="2" s="1"/>
  <c r="EW361" i="2"/>
  <c r="ET361" i="2"/>
  <c r="EU361" i="2" s="1"/>
  <c r="EQ361" i="2"/>
  <c r="ER361" i="2" s="1"/>
  <c r="EJ361" i="2"/>
  <c r="EE361" i="2"/>
  <c r="EF361" i="2" s="1"/>
  <c r="DX361" i="2"/>
  <c r="DP361" i="2"/>
  <c r="DF361" i="2"/>
  <c r="DH361" i="2" s="1"/>
  <c r="DE361" i="2"/>
  <c r="CY361" i="2"/>
  <c r="CZ361" i="2" s="1"/>
  <c r="CF361" i="2"/>
  <c r="CH361" i="2"/>
  <c r="CA361" i="2"/>
  <c r="DA361" i="2"/>
  <c r="DB361" i="2" s="1"/>
  <c r="BO361" i="2"/>
  <c r="BJ361" i="2"/>
  <c r="BM361" i="2" s="1"/>
  <c r="BN361" i="2" s="1"/>
  <c r="BC361" i="2"/>
  <c r="AZ361" i="2"/>
  <c r="AY361" i="2"/>
  <c r="AO361" i="2"/>
  <c r="AN361" i="2"/>
  <c r="AM361" i="2"/>
  <c r="AL361" i="2"/>
  <c r="AK361" i="2"/>
  <c r="AG361" i="2"/>
  <c r="AE361" i="2"/>
  <c r="AF361" i="2" s="1"/>
  <c r="U361" i="2"/>
  <c r="S361" i="2"/>
  <c r="R361" i="2"/>
  <c r="Y361" i="2" s="1"/>
  <c r="AB361" i="2" s="1"/>
  <c r="E361" i="2"/>
  <c r="GR360" i="2"/>
  <c r="GS360" i="2" s="1"/>
  <c r="GP360" i="2"/>
  <c r="GQ360" i="2" s="1"/>
  <c r="DO360" i="2" s="1"/>
  <c r="GN360" i="2"/>
  <c r="GO360" i="2" s="1"/>
  <c r="GL360" i="2"/>
  <c r="GM360" i="2" s="1"/>
  <c r="GH360" i="2"/>
  <c r="GG360" i="2"/>
  <c r="GI360" i="2" s="1"/>
  <c r="GD360" i="2"/>
  <c r="GC360" i="2"/>
  <c r="GB360" i="2"/>
  <c r="FY360" i="2"/>
  <c r="FS360" i="2"/>
  <c r="FT360" i="2" s="1"/>
  <c r="EW360" i="2"/>
  <c r="ET360" i="2"/>
  <c r="EU360" i="2" s="1"/>
  <c r="EQ360" i="2"/>
  <c r="ER360" i="2" s="1"/>
  <c r="EJ360" i="2"/>
  <c r="EE360" i="2"/>
  <c r="EF360" i="2" s="1"/>
  <c r="DX360" i="2"/>
  <c r="DP360" i="2"/>
  <c r="DF360" i="2"/>
  <c r="DH360" i="2" s="1"/>
  <c r="DE360" i="2"/>
  <c r="CY360" i="2"/>
  <c r="CZ360" i="2" s="1"/>
  <c r="CF360" i="2"/>
  <c r="CH360" i="2"/>
  <c r="CA360" i="2"/>
  <c r="DA360" i="2"/>
  <c r="DB360" i="2" s="1"/>
  <c r="BO360" i="2"/>
  <c r="BJ360" i="2"/>
  <c r="BM360" i="2" s="1"/>
  <c r="BN360" i="2" s="1"/>
  <c r="BC360" i="2"/>
  <c r="AZ360" i="2"/>
  <c r="AY360" i="2"/>
  <c r="AO360" i="2"/>
  <c r="AN360" i="2"/>
  <c r="AM360" i="2"/>
  <c r="AL360" i="2"/>
  <c r="AK360" i="2"/>
  <c r="AG360" i="2"/>
  <c r="AE360" i="2"/>
  <c r="AF360" i="2" s="1"/>
  <c r="U360" i="2"/>
  <c r="S360" i="2"/>
  <c r="T360" i="2" s="1"/>
  <c r="R360" i="2"/>
  <c r="Y360" i="2" s="1"/>
  <c r="AB360" i="2" s="1"/>
  <c r="E360" i="2"/>
  <c r="GR359" i="2"/>
  <c r="GS359" i="2" s="1"/>
  <c r="GP359" i="2"/>
  <c r="GQ359" i="2" s="1"/>
  <c r="DO359" i="2" s="1"/>
  <c r="GN359" i="2"/>
  <c r="GO359" i="2" s="1"/>
  <c r="GL359" i="2"/>
  <c r="GM359" i="2" s="1"/>
  <c r="GH359" i="2"/>
  <c r="GG359" i="2"/>
  <c r="GI359" i="2" s="1"/>
  <c r="GD359" i="2"/>
  <c r="GC359" i="2"/>
  <c r="GB359" i="2"/>
  <c r="FY359" i="2"/>
  <c r="FS359" i="2"/>
  <c r="FT359" i="2" s="1"/>
  <c r="EW359" i="2"/>
  <c r="ET359" i="2"/>
  <c r="EU359" i="2" s="1"/>
  <c r="EQ359" i="2"/>
  <c r="ER359" i="2" s="1"/>
  <c r="EJ359" i="2"/>
  <c r="EE359" i="2"/>
  <c r="EF359" i="2" s="1"/>
  <c r="DX359" i="2"/>
  <c r="DP359" i="2"/>
  <c r="DF359" i="2"/>
  <c r="DH359" i="2" s="1"/>
  <c r="DE359" i="2"/>
  <c r="CY359" i="2"/>
  <c r="CZ359" i="2" s="1"/>
  <c r="CF359" i="2"/>
  <c r="CH359" i="2"/>
  <c r="CA359" i="2"/>
  <c r="BO359" i="2"/>
  <c r="BJ359" i="2"/>
  <c r="BM359" i="2" s="1"/>
  <c r="BN359" i="2" s="1"/>
  <c r="BC359" i="2"/>
  <c r="AZ359" i="2"/>
  <c r="AY359" i="2"/>
  <c r="AO359" i="2"/>
  <c r="AN359" i="2"/>
  <c r="AM359" i="2"/>
  <c r="AL359" i="2"/>
  <c r="AK359" i="2"/>
  <c r="AG359" i="2"/>
  <c r="AE359" i="2"/>
  <c r="AF359" i="2" s="1"/>
  <c r="U359" i="2"/>
  <c r="S359" i="2"/>
  <c r="R359" i="2"/>
  <c r="Y359" i="2" s="1"/>
  <c r="AB359" i="2" s="1"/>
  <c r="E359" i="2"/>
  <c r="GR358" i="2"/>
  <c r="GS358" i="2" s="1"/>
  <c r="GP358" i="2"/>
  <c r="GQ358" i="2" s="1"/>
  <c r="GN358" i="2"/>
  <c r="GO358" i="2" s="1"/>
  <c r="GL358" i="2"/>
  <c r="GM358" i="2" s="1"/>
  <c r="GH358" i="2"/>
  <c r="GG358" i="2"/>
  <c r="GI358" i="2" s="1"/>
  <c r="GD358" i="2"/>
  <c r="GC358" i="2"/>
  <c r="GB358" i="2"/>
  <c r="FY358" i="2"/>
  <c r="GA358" i="2" s="1"/>
  <c r="FS358" i="2"/>
  <c r="FT358" i="2" s="1"/>
  <c r="EW358" i="2"/>
  <c r="ET358" i="2"/>
  <c r="EU358" i="2" s="1"/>
  <c r="EQ358" i="2"/>
  <c r="ER358" i="2" s="1"/>
  <c r="EJ358" i="2"/>
  <c r="EE358" i="2"/>
  <c r="EF358" i="2" s="1"/>
  <c r="DX358" i="2"/>
  <c r="DP358" i="2"/>
  <c r="DF358" i="2"/>
  <c r="DE358" i="2"/>
  <c r="CY358" i="2"/>
  <c r="CZ358" i="2" s="1"/>
  <c r="CF358" i="2"/>
  <c r="CH358" i="2"/>
  <c r="CA358" i="2"/>
  <c r="BO358" i="2"/>
  <c r="BJ358" i="2"/>
  <c r="BM358" i="2" s="1"/>
  <c r="BN358" i="2" s="1"/>
  <c r="BC358" i="2"/>
  <c r="AZ358" i="2"/>
  <c r="AY358" i="2"/>
  <c r="AO358" i="2"/>
  <c r="AN358" i="2"/>
  <c r="AM358" i="2"/>
  <c r="AL358" i="2"/>
  <c r="AK358" i="2"/>
  <c r="AG358" i="2"/>
  <c r="AE358" i="2"/>
  <c r="AF358" i="2" s="1"/>
  <c r="U358" i="2"/>
  <c r="S358" i="2"/>
  <c r="R358" i="2"/>
  <c r="Y358" i="2" s="1"/>
  <c r="AB358" i="2" s="1"/>
  <c r="E358" i="2"/>
  <c r="GR357" i="2"/>
  <c r="GS357" i="2" s="1"/>
  <c r="GP357" i="2"/>
  <c r="GQ357" i="2" s="1"/>
  <c r="GN357" i="2"/>
  <c r="GO357" i="2" s="1"/>
  <c r="GL357" i="2"/>
  <c r="GM357" i="2" s="1"/>
  <c r="GH357" i="2"/>
  <c r="GG357" i="2"/>
  <c r="GI357" i="2" s="1"/>
  <c r="GD357" i="2"/>
  <c r="GC357" i="2"/>
  <c r="GB357" i="2"/>
  <c r="FY357" i="2"/>
  <c r="GA357" i="2" s="1"/>
  <c r="FS357" i="2"/>
  <c r="FT357" i="2" s="1"/>
  <c r="EW357" i="2"/>
  <c r="ET357" i="2"/>
  <c r="EU357" i="2" s="1"/>
  <c r="EQ357" i="2"/>
  <c r="ER357" i="2" s="1"/>
  <c r="EJ357" i="2"/>
  <c r="EE357" i="2"/>
  <c r="EF357" i="2" s="1"/>
  <c r="DX357" i="2"/>
  <c r="DP357" i="2"/>
  <c r="DF357" i="2"/>
  <c r="DE357" i="2"/>
  <c r="CY357" i="2"/>
  <c r="CZ357" i="2" s="1"/>
  <c r="CF357" i="2"/>
  <c r="CH357" i="2"/>
  <c r="CA357" i="2"/>
  <c r="DA357" i="2"/>
  <c r="DB357" i="2" s="1"/>
  <c r="BO357" i="2"/>
  <c r="BJ357" i="2"/>
  <c r="BM357" i="2" s="1"/>
  <c r="BN357" i="2" s="1"/>
  <c r="BC357" i="2"/>
  <c r="AZ357" i="2"/>
  <c r="AY357" i="2"/>
  <c r="AO357" i="2"/>
  <c r="AN357" i="2"/>
  <c r="AM357" i="2"/>
  <c r="AL357" i="2"/>
  <c r="AK357" i="2"/>
  <c r="AG357" i="2"/>
  <c r="AE357" i="2"/>
  <c r="AF357" i="2" s="1"/>
  <c r="U357" i="2"/>
  <c r="S357" i="2"/>
  <c r="T357" i="2" s="1"/>
  <c r="R357" i="2"/>
  <c r="Y357" i="2" s="1"/>
  <c r="AB357" i="2" s="1"/>
  <c r="E357" i="2"/>
  <c r="GR355" i="2"/>
  <c r="GS355" i="2" s="1"/>
  <c r="GP355" i="2"/>
  <c r="GQ355" i="2" s="1"/>
  <c r="DO355" i="2" s="1"/>
  <c r="GN355" i="2"/>
  <c r="GO355" i="2" s="1"/>
  <c r="GL355" i="2"/>
  <c r="GM355" i="2" s="1"/>
  <c r="GH355" i="2"/>
  <c r="GG355" i="2"/>
  <c r="GI355" i="2" s="1"/>
  <c r="GD355" i="2"/>
  <c r="GC355" i="2"/>
  <c r="GB355" i="2"/>
  <c r="FY355" i="2"/>
  <c r="GA355" i="2" s="1"/>
  <c r="FS355" i="2"/>
  <c r="FT355" i="2" s="1"/>
  <c r="EW355" i="2"/>
  <c r="ET355" i="2"/>
  <c r="EU355" i="2" s="1"/>
  <c r="EQ355" i="2"/>
  <c r="ER355" i="2" s="1"/>
  <c r="EJ355" i="2"/>
  <c r="EE355" i="2"/>
  <c r="EF355" i="2" s="1"/>
  <c r="DX355" i="2"/>
  <c r="DP355" i="2"/>
  <c r="DF355" i="2"/>
  <c r="DE355" i="2"/>
  <c r="CY355" i="2"/>
  <c r="CZ355" i="2" s="1"/>
  <c r="CF355" i="2"/>
  <c r="CH355" i="2"/>
  <c r="CA355" i="2"/>
  <c r="DA355" i="2"/>
  <c r="DB355" i="2" s="1"/>
  <c r="BO355" i="2"/>
  <c r="BJ355" i="2"/>
  <c r="BC355" i="2"/>
  <c r="AZ355" i="2"/>
  <c r="AY355" i="2"/>
  <c r="AO355" i="2"/>
  <c r="AN355" i="2"/>
  <c r="AM355" i="2"/>
  <c r="AL355" i="2"/>
  <c r="AK355" i="2"/>
  <c r="AG355" i="2"/>
  <c r="AE355" i="2"/>
  <c r="AF355" i="2" s="1"/>
  <c r="U355" i="2"/>
  <c r="S355" i="2"/>
  <c r="R355" i="2"/>
  <c r="X355" i="2" s="1"/>
  <c r="E355" i="2"/>
  <c r="GR354" i="2"/>
  <c r="GS354" i="2" s="1"/>
  <c r="GP354" i="2"/>
  <c r="GQ354" i="2" s="1"/>
  <c r="DO354" i="2" s="1"/>
  <c r="EH354" i="2" s="1"/>
  <c r="GN354" i="2"/>
  <c r="GO354" i="2" s="1"/>
  <c r="GL354" i="2"/>
  <c r="GM354" i="2" s="1"/>
  <c r="GH354" i="2"/>
  <c r="GG354" i="2"/>
  <c r="GI354" i="2" s="1"/>
  <c r="GD354" i="2"/>
  <c r="GC354" i="2"/>
  <c r="GB354" i="2"/>
  <c r="FY354" i="2"/>
  <c r="GA354" i="2" s="1"/>
  <c r="FS354" i="2"/>
  <c r="FT354" i="2" s="1"/>
  <c r="EW354" i="2"/>
  <c r="ET354" i="2"/>
  <c r="EU354" i="2" s="1"/>
  <c r="EQ354" i="2"/>
  <c r="ER354" i="2" s="1"/>
  <c r="EJ354" i="2"/>
  <c r="EE354" i="2"/>
  <c r="EF354" i="2" s="1"/>
  <c r="DX354" i="2"/>
  <c r="DP354" i="2"/>
  <c r="DF354" i="2"/>
  <c r="DH354" i="2" s="1"/>
  <c r="DE354" i="2"/>
  <c r="CY354" i="2"/>
  <c r="CZ354" i="2" s="1"/>
  <c r="CF354" i="2"/>
  <c r="CH354" i="2"/>
  <c r="CA354" i="2"/>
  <c r="BO354" i="2"/>
  <c r="BJ354" i="2"/>
  <c r="BC354" i="2"/>
  <c r="AZ354" i="2"/>
  <c r="AY354" i="2"/>
  <c r="AO354" i="2"/>
  <c r="AN354" i="2"/>
  <c r="AM354" i="2"/>
  <c r="AL354" i="2"/>
  <c r="AK354" i="2"/>
  <c r="AG354" i="2"/>
  <c r="AE354" i="2"/>
  <c r="AF354" i="2" s="1"/>
  <c r="U354" i="2"/>
  <c r="S354" i="2"/>
  <c r="T354" i="2" s="1"/>
  <c r="R354" i="2"/>
  <c r="Y354" i="2" s="1"/>
  <c r="E354" i="2"/>
  <c r="GR353" i="2"/>
  <c r="GS353" i="2" s="1"/>
  <c r="GP353" i="2"/>
  <c r="GQ353" i="2" s="1"/>
  <c r="DO353" i="2" s="1"/>
  <c r="EH353" i="2" s="1"/>
  <c r="GN353" i="2"/>
  <c r="GO353" i="2" s="1"/>
  <c r="GL353" i="2"/>
  <c r="GM353" i="2" s="1"/>
  <c r="GH353" i="2"/>
  <c r="GG353" i="2"/>
  <c r="GI353" i="2" s="1"/>
  <c r="GD353" i="2"/>
  <c r="GC353" i="2"/>
  <c r="GB353" i="2"/>
  <c r="FY353" i="2"/>
  <c r="FZ353" i="2" s="1"/>
  <c r="FS353" i="2"/>
  <c r="FT353" i="2" s="1"/>
  <c r="EW353" i="2"/>
  <c r="ET353" i="2"/>
  <c r="EU353" i="2" s="1"/>
  <c r="EQ353" i="2"/>
  <c r="ER353" i="2" s="1"/>
  <c r="EJ353" i="2"/>
  <c r="EE353" i="2"/>
  <c r="EF353" i="2" s="1"/>
  <c r="DX353" i="2"/>
  <c r="DP353" i="2"/>
  <c r="DF353" i="2"/>
  <c r="DH353" i="2" s="1"/>
  <c r="DE353" i="2"/>
  <c r="CY353" i="2"/>
  <c r="CZ353" i="2" s="1"/>
  <c r="CF353" i="2"/>
  <c r="CH353" i="2"/>
  <c r="CA353" i="2"/>
  <c r="BO353" i="2"/>
  <c r="BJ353" i="2"/>
  <c r="BM353" i="2" s="1"/>
  <c r="BN353" i="2" s="1"/>
  <c r="BC353" i="2"/>
  <c r="AZ353" i="2"/>
  <c r="AY353" i="2"/>
  <c r="AO353" i="2"/>
  <c r="AN353" i="2"/>
  <c r="AM353" i="2"/>
  <c r="AL353" i="2"/>
  <c r="AK353" i="2"/>
  <c r="AG353" i="2"/>
  <c r="AE353" i="2"/>
  <c r="AF353" i="2" s="1"/>
  <c r="U353" i="2"/>
  <c r="S353" i="2"/>
  <c r="R353" i="2"/>
  <c r="Y353" i="2" s="1"/>
  <c r="E353" i="2"/>
  <c r="GR352" i="2"/>
  <c r="GS352" i="2" s="1"/>
  <c r="GP352" i="2"/>
  <c r="GQ352" i="2" s="1"/>
  <c r="GN352" i="2"/>
  <c r="GO352" i="2" s="1"/>
  <c r="GL352" i="2"/>
  <c r="GM352" i="2" s="1"/>
  <c r="GH352" i="2"/>
  <c r="GG352" i="2"/>
  <c r="GI352" i="2" s="1"/>
  <c r="GD352" i="2"/>
  <c r="GC352" i="2"/>
  <c r="GB352" i="2"/>
  <c r="FY352" i="2"/>
  <c r="GA352" i="2" s="1"/>
  <c r="FS352" i="2"/>
  <c r="FT352" i="2" s="1"/>
  <c r="EW352" i="2"/>
  <c r="ET352" i="2"/>
  <c r="EU352" i="2" s="1"/>
  <c r="EQ352" i="2"/>
  <c r="ER352" i="2" s="1"/>
  <c r="EJ352" i="2"/>
  <c r="EE352" i="2"/>
  <c r="EF352" i="2" s="1"/>
  <c r="DX352" i="2"/>
  <c r="DP352" i="2"/>
  <c r="DF352" i="2"/>
  <c r="DG352" i="2" s="1"/>
  <c r="DE352" i="2"/>
  <c r="CY352" i="2"/>
  <c r="CZ352" i="2" s="1"/>
  <c r="CF352" i="2"/>
  <c r="CH352" i="2"/>
  <c r="CA352" i="2"/>
  <c r="CW352" i="2"/>
  <c r="BO352" i="2"/>
  <c r="BJ352" i="2"/>
  <c r="BM352" i="2" s="1"/>
  <c r="BN352" i="2" s="1"/>
  <c r="BC352" i="2"/>
  <c r="AZ352" i="2"/>
  <c r="AY352" i="2"/>
  <c r="AO352" i="2"/>
  <c r="AN352" i="2"/>
  <c r="AM352" i="2"/>
  <c r="AL352" i="2"/>
  <c r="AK352" i="2"/>
  <c r="AG352" i="2"/>
  <c r="AE352" i="2"/>
  <c r="AF352" i="2" s="1"/>
  <c r="U352" i="2"/>
  <c r="S352" i="2"/>
  <c r="R352" i="2"/>
  <c r="E352" i="2"/>
  <c r="GR351" i="2"/>
  <c r="GS351" i="2" s="1"/>
  <c r="GP351" i="2"/>
  <c r="GQ351" i="2" s="1"/>
  <c r="GN351" i="2"/>
  <c r="GO351" i="2" s="1"/>
  <c r="GL351" i="2"/>
  <c r="GM351" i="2" s="1"/>
  <c r="GH351" i="2"/>
  <c r="GG351" i="2"/>
  <c r="GI351" i="2" s="1"/>
  <c r="GD351" i="2"/>
  <c r="GC351" i="2"/>
  <c r="GB351" i="2"/>
  <c r="FY351" i="2"/>
  <c r="GA351" i="2" s="1"/>
  <c r="FS351" i="2"/>
  <c r="FT351" i="2" s="1"/>
  <c r="EW351" i="2"/>
  <c r="ET351" i="2"/>
  <c r="EU351" i="2" s="1"/>
  <c r="EQ351" i="2"/>
  <c r="ER351" i="2" s="1"/>
  <c r="EJ351" i="2"/>
  <c r="EE351" i="2"/>
  <c r="EF351" i="2" s="1"/>
  <c r="DX351" i="2"/>
  <c r="DP351" i="2"/>
  <c r="DF351" i="2"/>
  <c r="DG351" i="2" s="1"/>
  <c r="DE351" i="2"/>
  <c r="CY351" i="2"/>
  <c r="CZ351" i="2" s="1"/>
  <c r="CF351" i="2"/>
  <c r="CA351" i="2"/>
  <c r="CW351" i="2"/>
  <c r="BO351" i="2"/>
  <c r="BJ351" i="2"/>
  <c r="BM351" i="2" s="1"/>
  <c r="BN351" i="2" s="1"/>
  <c r="BC351" i="2"/>
  <c r="AZ351" i="2"/>
  <c r="AY351" i="2"/>
  <c r="AO351" i="2"/>
  <c r="AN351" i="2"/>
  <c r="AM351" i="2"/>
  <c r="AL351" i="2"/>
  <c r="AK351" i="2"/>
  <c r="AG351" i="2"/>
  <c r="AE351" i="2"/>
  <c r="AF351" i="2" s="1"/>
  <c r="U351" i="2"/>
  <c r="S351" i="2"/>
  <c r="R351" i="2"/>
  <c r="Y351" i="2" s="1"/>
  <c r="E351" i="2"/>
  <c r="GR350" i="2"/>
  <c r="GS350" i="2" s="1"/>
  <c r="GP350" i="2"/>
  <c r="GQ350" i="2" s="1"/>
  <c r="DO350" i="2" s="1"/>
  <c r="GN350" i="2"/>
  <c r="GO350" i="2" s="1"/>
  <c r="GL350" i="2"/>
  <c r="GM350" i="2" s="1"/>
  <c r="GH350" i="2"/>
  <c r="GG350" i="2"/>
  <c r="GI350" i="2" s="1"/>
  <c r="GD350" i="2"/>
  <c r="GC350" i="2"/>
  <c r="GB350" i="2"/>
  <c r="FY350" i="2"/>
  <c r="GA350" i="2" s="1"/>
  <c r="FS350" i="2"/>
  <c r="FT350" i="2" s="1"/>
  <c r="EW350" i="2"/>
  <c r="ET350" i="2"/>
  <c r="EU350" i="2" s="1"/>
  <c r="EQ350" i="2"/>
  <c r="ER350" i="2" s="1"/>
  <c r="EJ350" i="2"/>
  <c r="EE350" i="2"/>
  <c r="EF350" i="2" s="1"/>
  <c r="DX350" i="2"/>
  <c r="DP350" i="2"/>
  <c r="DF350" i="2"/>
  <c r="DG350" i="2" s="1"/>
  <c r="DE350" i="2"/>
  <c r="CY350" i="2"/>
  <c r="CZ350" i="2" s="1"/>
  <c r="CF350" i="2"/>
  <c r="CH350" i="2"/>
  <c r="CA350" i="2"/>
  <c r="CW350" i="2"/>
  <c r="BO350" i="2"/>
  <c r="BJ350" i="2"/>
  <c r="BM350" i="2" s="1"/>
  <c r="BN350" i="2" s="1"/>
  <c r="BC350" i="2"/>
  <c r="AZ350" i="2"/>
  <c r="AY350" i="2"/>
  <c r="AO350" i="2"/>
  <c r="AN350" i="2"/>
  <c r="AM350" i="2"/>
  <c r="AL350" i="2"/>
  <c r="AK350" i="2"/>
  <c r="AG350" i="2"/>
  <c r="AE350" i="2"/>
  <c r="AF350" i="2" s="1"/>
  <c r="U350" i="2"/>
  <c r="S350" i="2"/>
  <c r="R350" i="2"/>
  <c r="Y350" i="2" s="1"/>
  <c r="AB350" i="2" s="1"/>
  <c r="E350" i="2"/>
  <c r="GR349" i="2"/>
  <c r="GS349" i="2" s="1"/>
  <c r="GP349" i="2"/>
  <c r="GQ349" i="2" s="1"/>
  <c r="GN349" i="2"/>
  <c r="GO349" i="2" s="1"/>
  <c r="GL349" i="2"/>
  <c r="GM349" i="2" s="1"/>
  <c r="GH349" i="2"/>
  <c r="GG349" i="2"/>
  <c r="GI349" i="2" s="1"/>
  <c r="GD349" i="2"/>
  <c r="GC349" i="2"/>
  <c r="GB349" i="2"/>
  <c r="FY349" i="2"/>
  <c r="GA349" i="2" s="1"/>
  <c r="FS349" i="2"/>
  <c r="FT349" i="2" s="1"/>
  <c r="EW349" i="2"/>
  <c r="ET349" i="2"/>
  <c r="EU349" i="2" s="1"/>
  <c r="EQ349" i="2"/>
  <c r="ER349" i="2" s="1"/>
  <c r="EJ349" i="2"/>
  <c r="EE349" i="2"/>
  <c r="EF349" i="2" s="1"/>
  <c r="DX349" i="2"/>
  <c r="DP349" i="2"/>
  <c r="DF349" i="2"/>
  <c r="DG349" i="2" s="1"/>
  <c r="DE349" i="2"/>
  <c r="CY349" i="2"/>
  <c r="CZ349" i="2" s="1"/>
  <c r="CF349" i="2"/>
  <c r="CH349" i="2"/>
  <c r="CA349" i="2"/>
  <c r="CW349" i="2"/>
  <c r="BO349" i="2"/>
  <c r="BJ349" i="2"/>
  <c r="BM349" i="2" s="1"/>
  <c r="BN349" i="2" s="1"/>
  <c r="BC349" i="2"/>
  <c r="AZ349" i="2"/>
  <c r="AY349" i="2"/>
  <c r="AO349" i="2"/>
  <c r="AN349" i="2"/>
  <c r="AM349" i="2"/>
  <c r="AL349" i="2"/>
  <c r="AK349" i="2"/>
  <c r="AG349" i="2"/>
  <c r="AE349" i="2"/>
  <c r="AF349" i="2" s="1"/>
  <c r="U349" i="2"/>
  <c r="S349" i="2"/>
  <c r="R349" i="2"/>
  <c r="Y349" i="2" s="1"/>
  <c r="AB349" i="2" s="1"/>
  <c r="E349" i="2"/>
  <c r="GR348" i="2"/>
  <c r="GS348" i="2" s="1"/>
  <c r="GP348" i="2"/>
  <c r="GQ348" i="2" s="1"/>
  <c r="GN348" i="2"/>
  <c r="GO348" i="2" s="1"/>
  <c r="GL348" i="2"/>
  <c r="GM348" i="2" s="1"/>
  <c r="GH348" i="2"/>
  <c r="GG348" i="2"/>
  <c r="GI348" i="2" s="1"/>
  <c r="GD348" i="2"/>
  <c r="GC348" i="2"/>
  <c r="GB348" i="2"/>
  <c r="FY348" i="2"/>
  <c r="FS348" i="2"/>
  <c r="FT348" i="2" s="1"/>
  <c r="EW348" i="2"/>
  <c r="ET348" i="2"/>
  <c r="EU348" i="2" s="1"/>
  <c r="EQ348" i="2"/>
  <c r="ER348" i="2" s="1"/>
  <c r="EJ348" i="2"/>
  <c r="EE348" i="2"/>
  <c r="EF348" i="2" s="1"/>
  <c r="DX348" i="2"/>
  <c r="DP348" i="2"/>
  <c r="DF348" i="2"/>
  <c r="DE348" i="2"/>
  <c r="CY348" i="2"/>
  <c r="CZ348" i="2" s="1"/>
  <c r="CF348" i="2"/>
  <c r="CA348" i="2"/>
  <c r="BO348" i="2"/>
  <c r="BJ348" i="2"/>
  <c r="BK348" i="2" s="1"/>
  <c r="CL348" i="2" s="1"/>
  <c r="BC348" i="2"/>
  <c r="AZ348" i="2"/>
  <c r="AY348" i="2"/>
  <c r="AO348" i="2"/>
  <c r="AN348" i="2"/>
  <c r="AM348" i="2"/>
  <c r="AL348" i="2"/>
  <c r="AK348" i="2"/>
  <c r="AG348" i="2"/>
  <c r="AE348" i="2"/>
  <c r="AF348" i="2" s="1"/>
  <c r="U348" i="2"/>
  <c r="S348" i="2"/>
  <c r="T348" i="2" s="1"/>
  <c r="R348" i="2"/>
  <c r="X348" i="2" s="1"/>
  <c r="E348" i="2"/>
  <c r="GR347" i="2"/>
  <c r="GS347" i="2" s="1"/>
  <c r="GP347" i="2"/>
  <c r="GQ347" i="2" s="1"/>
  <c r="GN347" i="2"/>
  <c r="GO347" i="2" s="1"/>
  <c r="GL347" i="2"/>
  <c r="GM347" i="2" s="1"/>
  <c r="GH347" i="2"/>
  <c r="GG347" i="2"/>
  <c r="GI347" i="2" s="1"/>
  <c r="GD347" i="2"/>
  <c r="GC347" i="2"/>
  <c r="GB347" i="2"/>
  <c r="FY347" i="2"/>
  <c r="FZ347" i="2" s="1"/>
  <c r="FS347" i="2"/>
  <c r="FT347" i="2" s="1"/>
  <c r="EW347" i="2"/>
  <c r="ET347" i="2"/>
  <c r="EU347" i="2" s="1"/>
  <c r="EQ347" i="2"/>
  <c r="ER347" i="2" s="1"/>
  <c r="EJ347" i="2"/>
  <c r="EE347" i="2"/>
  <c r="EF347" i="2" s="1"/>
  <c r="DX347" i="2"/>
  <c r="DP347" i="2"/>
  <c r="DF347" i="2"/>
  <c r="DH347" i="2" s="1"/>
  <c r="DE347" i="2"/>
  <c r="CY347" i="2"/>
  <c r="CZ347" i="2" s="1"/>
  <c r="CF347" i="2"/>
  <c r="CA347" i="2"/>
  <c r="BO347" i="2"/>
  <c r="BJ347" i="2"/>
  <c r="BK347" i="2" s="1"/>
  <c r="CL347" i="2" s="1"/>
  <c r="BC347" i="2"/>
  <c r="AZ347" i="2"/>
  <c r="AY347" i="2"/>
  <c r="AO347" i="2"/>
  <c r="AN347" i="2"/>
  <c r="AM347" i="2"/>
  <c r="AL347" i="2"/>
  <c r="AK347" i="2"/>
  <c r="AG347" i="2"/>
  <c r="AE347" i="2"/>
  <c r="AF347" i="2" s="1"/>
  <c r="U347" i="2"/>
  <c r="S347" i="2"/>
  <c r="T347" i="2" s="1"/>
  <c r="R347" i="2"/>
  <c r="Y347" i="2" s="1"/>
  <c r="AB347" i="2" s="1"/>
  <c r="E347" i="2"/>
  <c r="GR346" i="2"/>
  <c r="GS346" i="2" s="1"/>
  <c r="GP346" i="2"/>
  <c r="GQ346" i="2" s="1"/>
  <c r="DO346" i="2" s="1"/>
  <c r="GN346" i="2"/>
  <c r="GO346" i="2" s="1"/>
  <c r="GL346" i="2"/>
  <c r="GM346" i="2" s="1"/>
  <c r="GH346" i="2"/>
  <c r="GG346" i="2"/>
  <c r="GI346" i="2" s="1"/>
  <c r="GD346" i="2"/>
  <c r="GC346" i="2"/>
  <c r="GB346" i="2"/>
  <c r="FY346" i="2"/>
  <c r="FZ346" i="2" s="1"/>
  <c r="FS346" i="2"/>
  <c r="FT346" i="2" s="1"/>
  <c r="EW346" i="2"/>
  <c r="ET346" i="2"/>
  <c r="EU346" i="2" s="1"/>
  <c r="EQ346" i="2"/>
  <c r="ER346" i="2" s="1"/>
  <c r="EJ346" i="2"/>
  <c r="EE346" i="2"/>
  <c r="EF346" i="2" s="1"/>
  <c r="DX346" i="2"/>
  <c r="DP346" i="2"/>
  <c r="DF346" i="2"/>
  <c r="DH346" i="2" s="1"/>
  <c r="DE346" i="2"/>
  <c r="CY346" i="2"/>
  <c r="CZ346" i="2" s="1"/>
  <c r="CF346" i="2"/>
  <c r="CH346" i="2"/>
  <c r="CA346" i="2"/>
  <c r="BO346" i="2"/>
  <c r="BJ346" i="2"/>
  <c r="BC346" i="2"/>
  <c r="AZ346" i="2"/>
  <c r="AY346" i="2"/>
  <c r="AO346" i="2"/>
  <c r="AN346" i="2"/>
  <c r="AM346" i="2"/>
  <c r="AL346" i="2"/>
  <c r="AK346" i="2"/>
  <c r="AG346" i="2"/>
  <c r="AE346" i="2"/>
  <c r="AF346" i="2" s="1"/>
  <c r="U346" i="2"/>
  <c r="S346" i="2"/>
  <c r="T346" i="2" s="1"/>
  <c r="R346" i="2"/>
  <c r="Y346" i="2" s="1"/>
  <c r="AB346" i="2" s="1"/>
  <c r="E346" i="2"/>
  <c r="GR345" i="2"/>
  <c r="GS345" i="2" s="1"/>
  <c r="GP345" i="2"/>
  <c r="GQ345" i="2" s="1"/>
  <c r="GN345" i="2"/>
  <c r="GO345" i="2" s="1"/>
  <c r="GL345" i="2"/>
  <c r="GM345" i="2" s="1"/>
  <c r="GH345" i="2"/>
  <c r="GG345" i="2"/>
  <c r="GI345" i="2" s="1"/>
  <c r="GD345" i="2"/>
  <c r="GC345" i="2"/>
  <c r="GB345" i="2"/>
  <c r="FY345" i="2"/>
  <c r="FS345" i="2"/>
  <c r="FT345" i="2" s="1"/>
  <c r="EW345" i="2"/>
  <c r="ET345" i="2"/>
  <c r="EU345" i="2" s="1"/>
  <c r="EQ345" i="2"/>
  <c r="ER345" i="2" s="1"/>
  <c r="EJ345" i="2"/>
  <c r="EE345" i="2"/>
  <c r="EF345" i="2" s="1"/>
  <c r="DX345" i="2"/>
  <c r="DP345" i="2"/>
  <c r="DF345" i="2"/>
  <c r="DG345" i="2" s="1"/>
  <c r="DE345" i="2"/>
  <c r="CY345" i="2"/>
  <c r="CZ345" i="2" s="1"/>
  <c r="CF345" i="2"/>
  <c r="CA345" i="2"/>
  <c r="BO345" i="2"/>
  <c r="BJ345" i="2"/>
  <c r="BM345" i="2" s="1"/>
  <c r="BN345" i="2" s="1"/>
  <c r="BC345" i="2"/>
  <c r="AZ345" i="2"/>
  <c r="AY345" i="2"/>
  <c r="AO345" i="2"/>
  <c r="AN345" i="2"/>
  <c r="AM345" i="2"/>
  <c r="AL345" i="2"/>
  <c r="AK345" i="2"/>
  <c r="AG345" i="2"/>
  <c r="AE345" i="2"/>
  <c r="AF345" i="2" s="1"/>
  <c r="U345" i="2"/>
  <c r="S345" i="2"/>
  <c r="T345" i="2" s="1"/>
  <c r="R345" i="2"/>
  <c r="Y345" i="2" s="1"/>
  <c r="AB345" i="2" s="1"/>
  <c r="E345" i="2"/>
  <c r="GR344" i="2"/>
  <c r="GS344" i="2" s="1"/>
  <c r="GP344" i="2"/>
  <c r="GQ344" i="2" s="1"/>
  <c r="GN344" i="2"/>
  <c r="GO344" i="2" s="1"/>
  <c r="GL344" i="2"/>
  <c r="GM344" i="2" s="1"/>
  <c r="GH344" i="2"/>
  <c r="GG344" i="2"/>
  <c r="GI344" i="2" s="1"/>
  <c r="GD344" i="2"/>
  <c r="GC344" i="2"/>
  <c r="GB344" i="2"/>
  <c r="FY344" i="2"/>
  <c r="FS344" i="2"/>
  <c r="FT344" i="2" s="1"/>
  <c r="EW344" i="2"/>
  <c r="ET344" i="2"/>
  <c r="EU344" i="2" s="1"/>
  <c r="EQ344" i="2"/>
  <c r="ER344" i="2" s="1"/>
  <c r="EJ344" i="2"/>
  <c r="EE344" i="2"/>
  <c r="EF344" i="2" s="1"/>
  <c r="DX344" i="2"/>
  <c r="DP344" i="2"/>
  <c r="DF344" i="2"/>
  <c r="DH344" i="2" s="1"/>
  <c r="DE344" i="2"/>
  <c r="CY344" i="2"/>
  <c r="CZ344" i="2" s="1"/>
  <c r="CF344" i="2"/>
  <c r="CH344" i="2"/>
  <c r="CA344" i="2"/>
  <c r="BO344" i="2"/>
  <c r="BJ344" i="2"/>
  <c r="BK344" i="2" s="1"/>
  <c r="CL344" i="2" s="1"/>
  <c r="BC344" i="2"/>
  <c r="AZ344" i="2"/>
  <c r="AY344" i="2"/>
  <c r="AO344" i="2"/>
  <c r="AN344" i="2"/>
  <c r="AM344" i="2"/>
  <c r="AL344" i="2"/>
  <c r="AK344" i="2"/>
  <c r="AG344" i="2"/>
  <c r="AE344" i="2"/>
  <c r="AF344" i="2" s="1"/>
  <c r="U344" i="2"/>
  <c r="S344" i="2"/>
  <c r="T344" i="2" s="1"/>
  <c r="R344" i="2"/>
  <c r="Y344" i="2" s="1"/>
  <c r="AB344" i="2" s="1"/>
  <c r="E344" i="2"/>
  <c r="GR343" i="2"/>
  <c r="GS343" i="2" s="1"/>
  <c r="GP343" i="2"/>
  <c r="GQ343" i="2" s="1"/>
  <c r="GN343" i="2"/>
  <c r="GO343" i="2" s="1"/>
  <c r="GL343" i="2"/>
  <c r="GM343" i="2" s="1"/>
  <c r="GH343" i="2"/>
  <c r="GG343" i="2"/>
  <c r="GI343" i="2" s="1"/>
  <c r="GD343" i="2"/>
  <c r="GC343" i="2"/>
  <c r="GB343" i="2"/>
  <c r="FY343" i="2"/>
  <c r="FS343" i="2"/>
  <c r="FT343" i="2" s="1"/>
  <c r="EW343" i="2"/>
  <c r="ET343" i="2"/>
  <c r="EU343" i="2" s="1"/>
  <c r="EQ343" i="2"/>
  <c r="ER343" i="2" s="1"/>
  <c r="EJ343" i="2"/>
  <c r="EE343" i="2"/>
  <c r="EF343" i="2" s="1"/>
  <c r="DX343" i="2"/>
  <c r="DP343" i="2"/>
  <c r="DF343" i="2"/>
  <c r="DH343" i="2" s="1"/>
  <c r="DE343" i="2"/>
  <c r="CY343" i="2"/>
  <c r="CZ343" i="2" s="1"/>
  <c r="CF343" i="2"/>
  <c r="CH343" i="2"/>
  <c r="CA343" i="2"/>
  <c r="BO343" i="2"/>
  <c r="BJ343" i="2"/>
  <c r="BK343" i="2" s="1"/>
  <c r="CL343" i="2" s="1"/>
  <c r="BC343" i="2"/>
  <c r="AZ343" i="2"/>
  <c r="AY343" i="2"/>
  <c r="AO343" i="2"/>
  <c r="AN343" i="2"/>
  <c r="AM343" i="2"/>
  <c r="AL343" i="2"/>
  <c r="AK343" i="2"/>
  <c r="AG343" i="2"/>
  <c r="AE343" i="2"/>
  <c r="AF343" i="2" s="1"/>
  <c r="U343" i="2"/>
  <c r="S343" i="2"/>
  <c r="T343" i="2" s="1"/>
  <c r="R343" i="2"/>
  <c r="Y343" i="2" s="1"/>
  <c r="AB343" i="2" s="1"/>
  <c r="E343" i="2"/>
  <c r="GR342" i="2"/>
  <c r="GS342" i="2" s="1"/>
  <c r="GP342" i="2"/>
  <c r="GQ342" i="2" s="1"/>
  <c r="DU342" i="2" s="1"/>
  <c r="GN342" i="2"/>
  <c r="GO342" i="2" s="1"/>
  <c r="GL342" i="2"/>
  <c r="GM342" i="2" s="1"/>
  <c r="GH342" i="2"/>
  <c r="GG342" i="2"/>
  <c r="GI342" i="2" s="1"/>
  <c r="GD342" i="2"/>
  <c r="GC342" i="2"/>
  <c r="GB342" i="2"/>
  <c r="FY342" i="2"/>
  <c r="FS342" i="2"/>
  <c r="FT342" i="2" s="1"/>
  <c r="EW342" i="2"/>
  <c r="ET342" i="2"/>
  <c r="EU342" i="2" s="1"/>
  <c r="EQ342" i="2"/>
  <c r="ER342" i="2" s="1"/>
  <c r="EJ342" i="2"/>
  <c r="EE342" i="2"/>
  <c r="EF342" i="2" s="1"/>
  <c r="DX342" i="2"/>
  <c r="DP342" i="2"/>
  <c r="DF342" i="2"/>
  <c r="DH342" i="2" s="1"/>
  <c r="DE342" i="2"/>
  <c r="CY342" i="2"/>
  <c r="CZ342" i="2" s="1"/>
  <c r="CF342" i="2"/>
  <c r="CH342" i="2"/>
  <c r="CA342" i="2"/>
  <c r="BO342" i="2"/>
  <c r="BJ342" i="2"/>
  <c r="BK342" i="2" s="1"/>
  <c r="CL342" i="2" s="1"/>
  <c r="BC342" i="2"/>
  <c r="AZ342" i="2"/>
  <c r="AY342" i="2"/>
  <c r="AO342" i="2"/>
  <c r="AN342" i="2"/>
  <c r="AM342" i="2"/>
  <c r="AL342" i="2"/>
  <c r="AK342" i="2"/>
  <c r="AG342" i="2"/>
  <c r="AE342" i="2"/>
  <c r="AF342" i="2" s="1"/>
  <c r="U342" i="2"/>
  <c r="S342" i="2"/>
  <c r="T342" i="2" s="1"/>
  <c r="R342" i="2"/>
  <c r="Y342" i="2" s="1"/>
  <c r="AB342" i="2" s="1"/>
  <c r="E342" i="2"/>
  <c r="GR341" i="2"/>
  <c r="GS341" i="2" s="1"/>
  <c r="GP341" i="2"/>
  <c r="GQ341" i="2" s="1"/>
  <c r="GN341" i="2"/>
  <c r="GO341" i="2" s="1"/>
  <c r="GL341" i="2"/>
  <c r="GM341" i="2" s="1"/>
  <c r="GH341" i="2"/>
  <c r="GG341" i="2"/>
  <c r="GI341" i="2" s="1"/>
  <c r="GD341" i="2"/>
  <c r="GC341" i="2"/>
  <c r="GB341" i="2"/>
  <c r="FY341" i="2"/>
  <c r="FS341" i="2"/>
  <c r="FT341" i="2" s="1"/>
  <c r="EW341" i="2"/>
  <c r="ET341" i="2"/>
  <c r="EU341" i="2" s="1"/>
  <c r="EQ341" i="2"/>
  <c r="ER341" i="2" s="1"/>
  <c r="EJ341" i="2"/>
  <c r="EE341" i="2"/>
  <c r="EF341" i="2" s="1"/>
  <c r="DX341" i="2"/>
  <c r="DP341" i="2"/>
  <c r="DF341" i="2"/>
  <c r="DH341" i="2" s="1"/>
  <c r="DE341" i="2"/>
  <c r="CY341" i="2"/>
  <c r="CZ341" i="2" s="1"/>
  <c r="CF341" i="2"/>
  <c r="CH341" i="2"/>
  <c r="CA341" i="2"/>
  <c r="BO341" i="2"/>
  <c r="BJ341" i="2"/>
  <c r="BK341" i="2" s="1"/>
  <c r="CL341" i="2" s="1"/>
  <c r="BC341" i="2"/>
  <c r="AZ341" i="2"/>
  <c r="AY341" i="2"/>
  <c r="AO341" i="2"/>
  <c r="AN341" i="2"/>
  <c r="AM341" i="2"/>
  <c r="AL341" i="2"/>
  <c r="AK341" i="2"/>
  <c r="AG341" i="2"/>
  <c r="AE341" i="2"/>
  <c r="AF341" i="2" s="1"/>
  <c r="U341" i="2"/>
  <c r="S341" i="2"/>
  <c r="T341" i="2" s="1"/>
  <c r="R341" i="2"/>
  <c r="Y341" i="2" s="1"/>
  <c r="AB341" i="2" s="1"/>
  <c r="E341" i="2"/>
  <c r="GR340" i="2"/>
  <c r="GS340" i="2" s="1"/>
  <c r="GP340" i="2"/>
  <c r="GQ340" i="2" s="1"/>
  <c r="GN340" i="2"/>
  <c r="GO340" i="2" s="1"/>
  <c r="GL340" i="2"/>
  <c r="GM340" i="2" s="1"/>
  <c r="GH340" i="2"/>
  <c r="GG340" i="2"/>
  <c r="GI340" i="2" s="1"/>
  <c r="GD340" i="2"/>
  <c r="GC340" i="2"/>
  <c r="GB340" i="2"/>
  <c r="FY340" i="2"/>
  <c r="FS340" i="2"/>
  <c r="FT340" i="2" s="1"/>
  <c r="EW340" i="2"/>
  <c r="ET340" i="2"/>
  <c r="EU340" i="2" s="1"/>
  <c r="EQ340" i="2"/>
  <c r="ER340" i="2" s="1"/>
  <c r="EJ340" i="2"/>
  <c r="EE340" i="2"/>
  <c r="EF340" i="2" s="1"/>
  <c r="DX340" i="2"/>
  <c r="DP340" i="2"/>
  <c r="DF340" i="2"/>
  <c r="DH340" i="2" s="1"/>
  <c r="DE340" i="2"/>
  <c r="CY340" i="2"/>
  <c r="CZ340" i="2" s="1"/>
  <c r="CF340" i="2"/>
  <c r="CH340" i="2"/>
  <c r="CA340" i="2"/>
  <c r="BO340" i="2"/>
  <c r="BJ340" i="2"/>
  <c r="BC340" i="2"/>
  <c r="AZ340" i="2"/>
  <c r="AY340" i="2"/>
  <c r="AO340" i="2"/>
  <c r="AN340" i="2"/>
  <c r="AM340" i="2"/>
  <c r="AL340" i="2"/>
  <c r="AK340" i="2"/>
  <c r="AG340" i="2"/>
  <c r="AE340" i="2"/>
  <c r="AF340" i="2" s="1"/>
  <c r="U340" i="2"/>
  <c r="S340" i="2"/>
  <c r="T340" i="2" s="1"/>
  <c r="R340" i="2"/>
  <c r="Y340" i="2" s="1"/>
  <c r="AB340" i="2" s="1"/>
  <c r="E340" i="2"/>
  <c r="GR339" i="2"/>
  <c r="GS339" i="2" s="1"/>
  <c r="GP339" i="2"/>
  <c r="GQ339" i="2" s="1"/>
  <c r="DU339" i="2" s="1"/>
  <c r="GN339" i="2"/>
  <c r="GO339" i="2" s="1"/>
  <c r="GL339" i="2"/>
  <c r="GM339" i="2" s="1"/>
  <c r="GH339" i="2"/>
  <c r="GG339" i="2"/>
  <c r="GI339" i="2" s="1"/>
  <c r="GD339" i="2"/>
  <c r="GC339" i="2"/>
  <c r="GB339" i="2"/>
  <c r="FY339" i="2"/>
  <c r="FS339" i="2"/>
  <c r="FT339" i="2" s="1"/>
  <c r="EW339" i="2"/>
  <c r="ET339" i="2"/>
  <c r="EU339" i="2" s="1"/>
  <c r="EQ339" i="2"/>
  <c r="ER339" i="2" s="1"/>
  <c r="EJ339" i="2"/>
  <c r="EE339" i="2"/>
  <c r="EF339" i="2" s="1"/>
  <c r="DX339" i="2"/>
  <c r="DP339" i="2"/>
  <c r="DF339" i="2"/>
  <c r="DH339" i="2" s="1"/>
  <c r="DE339" i="2"/>
  <c r="CY339" i="2"/>
  <c r="CZ339" i="2" s="1"/>
  <c r="CF339" i="2"/>
  <c r="CH339" i="2"/>
  <c r="CA339" i="2"/>
  <c r="BO339" i="2"/>
  <c r="BJ339" i="2"/>
  <c r="BC339" i="2"/>
  <c r="AZ339" i="2"/>
  <c r="AY339" i="2"/>
  <c r="AO339" i="2"/>
  <c r="AN339" i="2"/>
  <c r="AM339" i="2"/>
  <c r="AL339" i="2"/>
  <c r="AK339" i="2"/>
  <c r="AG339" i="2"/>
  <c r="AE339" i="2"/>
  <c r="AF339" i="2" s="1"/>
  <c r="U339" i="2"/>
  <c r="S339" i="2"/>
  <c r="T339" i="2" s="1"/>
  <c r="R339" i="2"/>
  <c r="Y339" i="2" s="1"/>
  <c r="AB339" i="2" s="1"/>
  <c r="E339" i="2"/>
  <c r="GR338" i="2"/>
  <c r="GS338" i="2" s="1"/>
  <c r="GP338" i="2"/>
  <c r="GQ338" i="2" s="1"/>
  <c r="GN338" i="2"/>
  <c r="GO338" i="2" s="1"/>
  <c r="GL338" i="2"/>
  <c r="GM338" i="2" s="1"/>
  <c r="GH338" i="2"/>
  <c r="GG338" i="2"/>
  <c r="GI338" i="2" s="1"/>
  <c r="GD338" i="2"/>
  <c r="GC338" i="2"/>
  <c r="GB338" i="2"/>
  <c r="FY338" i="2"/>
  <c r="FS338" i="2"/>
  <c r="FT338" i="2" s="1"/>
  <c r="EW338" i="2"/>
  <c r="ET338" i="2"/>
  <c r="EU338" i="2" s="1"/>
  <c r="EQ338" i="2"/>
  <c r="ER338" i="2" s="1"/>
  <c r="EJ338" i="2"/>
  <c r="EE338" i="2"/>
  <c r="EF338" i="2" s="1"/>
  <c r="DX338" i="2"/>
  <c r="DP338" i="2"/>
  <c r="DF338" i="2"/>
  <c r="DH338" i="2" s="1"/>
  <c r="DE338" i="2"/>
  <c r="CY338" i="2"/>
  <c r="CZ338" i="2" s="1"/>
  <c r="CF338" i="2"/>
  <c r="CH338" i="2"/>
  <c r="CA338" i="2"/>
  <c r="BO338" i="2"/>
  <c r="BJ338" i="2"/>
  <c r="BK338" i="2" s="1"/>
  <c r="CL338" i="2" s="1"/>
  <c r="BC338" i="2"/>
  <c r="AZ338" i="2"/>
  <c r="AY338" i="2"/>
  <c r="AO338" i="2"/>
  <c r="AN338" i="2"/>
  <c r="AM338" i="2"/>
  <c r="AL338" i="2"/>
  <c r="AK338" i="2"/>
  <c r="AG338" i="2"/>
  <c r="AE338" i="2"/>
  <c r="AF338" i="2" s="1"/>
  <c r="U338" i="2"/>
  <c r="S338" i="2"/>
  <c r="T338" i="2" s="1"/>
  <c r="R338" i="2"/>
  <c r="E338" i="2"/>
  <c r="GR337" i="2"/>
  <c r="GS337" i="2" s="1"/>
  <c r="GP337" i="2"/>
  <c r="GQ337" i="2" s="1"/>
  <c r="GN337" i="2"/>
  <c r="GO337" i="2" s="1"/>
  <c r="GL337" i="2"/>
  <c r="GM337" i="2" s="1"/>
  <c r="GH337" i="2"/>
  <c r="GG337" i="2"/>
  <c r="GI337" i="2" s="1"/>
  <c r="GD337" i="2"/>
  <c r="GC337" i="2"/>
  <c r="GB337" i="2"/>
  <c r="FY337" i="2"/>
  <c r="FS337" i="2"/>
  <c r="FT337" i="2" s="1"/>
  <c r="EW337" i="2"/>
  <c r="ET337" i="2"/>
  <c r="EU337" i="2" s="1"/>
  <c r="EQ337" i="2"/>
  <c r="ER337" i="2" s="1"/>
  <c r="EJ337" i="2"/>
  <c r="EE337" i="2"/>
  <c r="EF337" i="2" s="1"/>
  <c r="DX337" i="2"/>
  <c r="DP337" i="2"/>
  <c r="DF337" i="2"/>
  <c r="DH337" i="2" s="1"/>
  <c r="DE337" i="2"/>
  <c r="CY337" i="2"/>
  <c r="CZ337" i="2" s="1"/>
  <c r="CF337" i="2"/>
  <c r="CH337" i="2"/>
  <c r="CA337" i="2"/>
  <c r="BO337" i="2"/>
  <c r="BJ337" i="2"/>
  <c r="BK337" i="2" s="1"/>
  <c r="CL337" i="2" s="1"/>
  <c r="BC337" i="2"/>
  <c r="AZ337" i="2"/>
  <c r="AY337" i="2"/>
  <c r="AO337" i="2"/>
  <c r="AN337" i="2"/>
  <c r="AM337" i="2"/>
  <c r="AL337" i="2"/>
  <c r="AK337" i="2"/>
  <c r="AG337" i="2"/>
  <c r="AE337" i="2"/>
  <c r="AF337" i="2" s="1"/>
  <c r="U337" i="2"/>
  <c r="S337" i="2"/>
  <c r="T337" i="2" s="1"/>
  <c r="R337" i="2"/>
  <c r="Y337" i="2" s="1"/>
  <c r="AB337" i="2" s="1"/>
  <c r="E337" i="2"/>
  <c r="GR336" i="2"/>
  <c r="GS336" i="2" s="1"/>
  <c r="GP336" i="2"/>
  <c r="GQ336" i="2" s="1"/>
  <c r="GN336" i="2"/>
  <c r="GO336" i="2" s="1"/>
  <c r="GL336" i="2"/>
  <c r="GM336" i="2" s="1"/>
  <c r="GH336" i="2"/>
  <c r="GG336" i="2"/>
  <c r="GD336" i="2"/>
  <c r="GC336" i="2"/>
  <c r="GB336" i="2"/>
  <c r="FY336" i="2"/>
  <c r="FS336" i="2"/>
  <c r="FT336" i="2" s="1"/>
  <c r="EW336" i="2"/>
  <c r="ET336" i="2"/>
  <c r="EU336" i="2" s="1"/>
  <c r="EQ336" i="2"/>
  <c r="ER336" i="2" s="1"/>
  <c r="EJ336" i="2"/>
  <c r="EE336" i="2"/>
  <c r="EF336" i="2" s="1"/>
  <c r="DX336" i="2"/>
  <c r="DP336" i="2"/>
  <c r="DF336" i="2"/>
  <c r="DH336" i="2" s="1"/>
  <c r="DE336" i="2"/>
  <c r="CY336" i="2"/>
  <c r="CZ336" i="2" s="1"/>
  <c r="CF336" i="2"/>
  <c r="CH336" i="2"/>
  <c r="CA336" i="2"/>
  <c r="BO336" i="2"/>
  <c r="BJ336" i="2"/>
  <c r="BC336" i="2"/>
  <c r="AZ336" i="2"/>
  <c r="AY336" i="2"/>
  <c r="AO336" i="2"/>
  <c r="AN336" i="2"/>
  <c r="AM336" i="2"/>
  <c r="AL336" i="2"/>
  <c r="AK336" i="2"/>
  <c r="AG336" i="2"/>
  <c r="AE336" i="2"/>
  <c r="AF336" i="2" s="1"/>
  <c r="U336" i="2"/>
  <c r="S336" i="2"/>
  <c r="T336" i="2" s="1"/>
  <c r="R336" i="2"/>
  <c r="E336" i="2"/>
  <c r="GR335" i="2"/>
  <c r="GS335" i="2" s="1"/>
  <c r="GP335" i="2"/>
  <c r="GQ335" i="2" s="1"/>
  <c r="GN335" i="2"/>
  <c r="GO335" i="2" s="1"/>
  <c r="GL335" i="2"/>
  <c r="GM335" i="2" s="1"/>
  <c r="GH335" i="2"/>
  <c r="GG335" i="2"/>
  <c r="GI335" i="2" s="1"/>
  <c r="GD335" i="2"/>
  <c r="GC335" i="2"/>
  <c r="GB335" i="2"/>
  <c r="FY335" i="2"/>
  <c r="FZ335" i="2" s="1"/>
  <c r="FS335" i="2"/>
  <c r="FT335" i="2" s="1"/>
  <c r="EW335" i="2"/>
  <c r="ET335" i="2"/>
  <c r="EU335" i="2" s="1"/>
  <c r="EQ335" i="2"/>
  <c r="ER335" i="2" s="1"/>
  <c r="EJ335" i="2"/>
  <c r="EE335" i="2"/>
  <c r="EF335" i="2" s="1"/>
  <c r="DX335" i="2"/>
  <c r="DP335" i="2"/>
  <c r="DF335" i="2"/>
  <c r="DH335" i="2" s="1"/>
  <c r="DE335" i="2"/>
  <c r="CY335" i="2"/>
  <c r="CZ335" i="2" s="1"/>
  <c r="CF335" i="2"/>
  <c r="CH335" i="2"/>
  <c r="CA335" i="2"/>
  <c r="BO335" i="2"/>
  <c r="BJ335" i="2"/>
  <c r="BK335" i="2" s="1"/>
  <c r="CL335" i="2" s="1"/>
  <c r="BC335" i="2"/>
  <c r="AZ335" i="2"/>
  <c r="AY335" i="2"/>
  <c r="AO335" i="2"/>
  <c r="AN335" i="2"/>
  <c r="AM335" i="2"/>
  <c r="AL335" i="2"/>
  <c r="AK335" i="2"/>
  <c r="AG335" i="2"/>
  <c r="AE335" i="2"/>
  <c r="AF335" i="2" s="1"/>
  <c r="U335" i="2"/>
  <c r="S335" i="2"/>
  <c r="T335" i="2" s="1"/>
  <c r="R335" i="2"/>
  <c r="Y335" i="2" s="1"/>
  <c r="AB335" i="2" s="1"/>
  <c r="E335" i="2"/>
  <c r="GR334" i="2"/>
  <c r="GS334" i="2" s="1"/>
  <c r="GP334" i="2"/>
  <c r="GQ334" i="2" s="1"/>
  <c r="GN334" i="2"/>
  <c r="GO334" i="2" s="1"/>
  <c r="GL334" i="2"/>
  <c r="GM334" i="2" s="1"/>
  <c r="GH334" i="2"/>
  <c r="GG334" i="2"/>
  <c r="GI334" i="2" s="1"/>
  <c r="GD334" i="2"/>
  <c r="GC334" i="2"/>
  <c r="GB334" i="2"/>
  <c r="FY334" i="2"/>
  <c r="FZ334" i="2" s="1"/>
  <c r="FS334" i="2"/>
  <c r="FT334" i="2" s="1"/>
  <c r="EW334" i="2"/>
  <c r="ET334" i="2"/>
  <c r="EU334" i="2" s="1"/>
  <c r="EQ334" i="2"/>
  <c r="ER334" i="2" s="1"/>
  <c r="EJ334" i="2"/>
  <c r="EE334" i="2"/>
  <c r="EF334" i="2" s="1"/>
  <c r="DX334" i="2"/>
  <c r="DP334" i="2"/>
  <c r="DF334" i="2"/>
  <c r="DE334" i="2"/>
  <c r="CY334" i="2"/>
  <c r="CZ334" i="2" s="1"/>
  <c r="CF334" i="2"/>
  <c r="CH334" i="2"/>
  <c r="CA334" i="2"/>
  <c r="BO334" i="2"/>
  <c r="BJ334" i="2"/>
  <c r="BK334" i="2" s="1"/>
  <c r="CL334" i="2" s="1"/>
  <c r="BC334" i="2"/>
  <c r="AZ334" i="2"/>
  <c r="AY334" i="2"/>
  <c r="AO334" i="2"/>
  <c r="AN334" i="2"/>
  <c r="AM334" i="2"/>
  <c r="AL334" i="2"/>
  <c r="AK334" i="2"/>
  <c r="AG334" i="2"/>
  <c r="AE334" i="2"/>
  <c r="AF334" i="2" s="1"/>
  <c r="U334" i="2"/>
  <c r="S334" i="2"/>
  <c r="T334" i="2" s="1"/>
  <c r="R334" i="2"/>
  <c r="Y334" i="2" s="1"/>
  <c r="AB334" i="2" s="1"/>
  <c r="E334" i="2"/>
  <c r="GR333" i="2"/>
  <c r="GS333" i="2" s="1"/>
  <c r="GP333" i="2"/>
  <c r="GQ333" i="2" s="1"/>
  <c r="GN333" i="2"/>
  <c r="GO333" i="2" s="1"/>
  <c r="GL333" i="2"/>
  <c r="GM333" i="2" s="1"/>
  <c r="GH333" i="2"/>
  <c r="GG333" i="2"/>
  <c r="GI333" i="2" s="1"/>
  <c r="GD333" i="2"/>
  <c r="GC333" i="2"/>
  <c r="GB333" i="2"/>
  <c r="FY333" i="2"/>
  <c r="GA333" i="2" s="1"/>
  <c r="FS333" i="2"/>
  <c r="FT333" i="2" s="1"/>
  <c r="EW333" i="2"/>
  <c r="ET333" i="2"/>
  <c r="EU333" i="2" s="1"/>
  <c r="EQ333" i="2"/>
  <c r="ER333" i="2" s="1"/>
  <c r="EJ333" i="2"/>
  <c r="EE333" i="2"/>
  <c r="EF333" i="2" s="1"/>
  <c r="DX333" i="2"/>
  <c r="DP333" i="2"/>
  <c r="DF333" i="2"/>
  <c r="DE333" i="2"/>
  <c r="CY333" i="2"/>
  <c r="CZ333" i="2" s="1"/>
  <c r="CF333" i="2"/>
  <c r="CA333" i="2"/>
  <c r="CR333" i="2"/>
  <c r="BO333" i="2"/>
  <c r="BJ333" i="2"/>
  <c r="BK333" i="2" s="1"/>
  <c r="CL333" i="2" s="1"/>
  <c r="BC333" i="2"/>
  <c r="AZ333" i="2"/>
  <c r="AY333" i="2"/>
  <c r="AO333" i="2"/>
  <c r="AN333" i="2"/>
  <c r="AM333" i="2"/>
  <c r="AL333" i="2"/>
  <c r="AK333" i="2"/>
  <c r="AG333" i="2"/>
  <c r="AE333" i="2"/>
  <c r="AF333" i="2" s="1"/>
  <c r="U333" i="2"/>
  <c r="S333" i="2"/>
  <c r="T333" i="2" s="1"/>
  <c r="R333" i="2"/>
  <c r="Y333" i="2" s="1"/>
  <c r="AB333" i="2" s="1"/>
  <c r="E333" i="2"/>
  <c r="GR332" i="2"/>
  <c r="GS332" i="2" s="1"/>
  <c r="GP332" i="2"/>
  <c r="GQ332" i="2" s="1"/>
  <c r="GN332" i="2"/>
  <c r="GO332" i="2" s="1"/>
  <c r="GL332" i="2"/>
  <c r="GM332" i="2" s="1"/>
  <c r="GH332" i="2"/>
  <c r="GG332" i="2"/>
  <c r="GI332" i="2" s="1"/>
  <c r="GD332" i="2"/>
  <c r="GC332" i="2"/>
  <c r="GB332" i="2"/>
  <c r="FY332" i="2"/>
  <c r="GA332" i="2" s="1"/>
  <c r="FS332" i="2"/>
  <c r="FT332" i="2" s="1"/>
  <c r="EW332" i="2"/>
  <c r="ET332" i="2"/>
  <c r="EU332" i="2" s="1"/>
  <c r="EQ332" i="2"/>
  <c r="ER332" i="2" s="1"/>
  <c r="EJ332" i="2"/>
  <c r="EE332" i="2"/>
  <c r="EF332" i="2" s="1"/>
  <c r="DX332" i="2"/>
  <c r="DP332" i="2"/>
  <c r="DF332" i="2"/>
  <c r="DH332" i="2" s="1"/>
  <c r="DE332" i="2"/>
  <c r="CY332" i="2"/>
  <c r="CZ332" i="2" s="1"/>
  <c r="CF332" i="2"/>
  <c r="CH332" i="2"/>
  <c r="CA332" i="2"/>
  <c r="BO332" i="2"/>
  <c r="BJ332" i="2"/>
  <c r="BK332" i="2" s="1"/>
  <c r="CL332" i="2" s="1"/>
  <c r="BC332" i="2"/>
  <c r="AZ332" i="2"/>
  <c r="AY332" i="2"/>
  <c r="AO332" i="2"/>
  <c r="AN332" i="2"/>
  <c r="AM332" i="2"/>
  <c r="AL332" i="2"/>
  <c r="AK332" i="2"/>
  <c r="AG332" i="2"/>
  <c r="AE332" i="2"/>
  <c r="AF332" i="2" s="1"/>
  <c r="U332" i="2"/>
  <c r="S332" i="2"/>
  <c r="T332" i="2" s="1"/>
  <c r="R332" i="2"/>
  <c r="Y332" i="2" s="1"/>
  <c r="AB332" i="2" s="1"/>
  <c r="E332" i="2"/>
  <c r="GR331" i="2"/>
  <c r="GS331" i="2" s="1"/>
  <c r="GP331" i="2"/>
  <c r="GQ331" i="2" s="1"/>
  <c r="GN331" i="2"/>
  <c r="GO331" i="2" s="1"/>
  <c r="GL331" i="2"/>
  <c r="GM331" i="2" s="1"/>
  <c r="GH331" i="2"/>
  <c r="GG331" i="2"/>
  <c r="GI331" i="2" s="1"/>
  <c r="GD331" i="2"/>
  <c r="GC331" i="2"/>
  <c r="GB331" i="2"/>
  <c r="FY331" i="2"/>
  <c r="GA331" i="2" s="1"/>
  <c r="FS331" i="2"/>
  <c r="FT331" i="2" s="1"/>
  <c r="EW331" i="2"/>
  <c r="ET331" i="2"/>
  <c r="EU331" i="2" s="1"/>
  <c r="EQ331" i="2"/>
  <c r="ER331" i="2" s="1"/>
  <c r="EJ331" i="2"/>
  <c r="EE331" i="2"/>
  <c r="EF331" i="2" s="1"/>
  <c r="DX331" i="2"/>
  <c r="DP331" i="2"/>
  <c r="DF331" i="2"/>
  <c r="DH331" i="2" s="1"/>
  <c r="DE331" i="2"/>
  <c r="CY331" i="2"/>
  <c r="CZ331" i="2" s="1"/>
  <c r="CF331" i="2"/>
  <c r="CH331" i="2"/>
  <c r="CA331" i="2"/>
  <c r="CR331" i="2"/>
  <c r="BO331" i="2"/>
  <c r="BJ331" i="2"/>
  <c r="BK331" i="2" s="1"/>
  <c r="CL331" i="2" s="1"/>
  <c r="BC331" i="2"/>
  <c r="AZ331" i="2"/>
  <c r="AY331" i="2"/>
  <c r="AO331" i="2"/>
  <c r="AN331" i="2"/>
  <c r="AM331" i="2"/>
  <c r="AL331" i="2"/>
  <c r="AK331" i="2"/>
  <c r="AG331" i="2"/>
  <c r="AE331" i="2"/>
  <c r="AF331" i="2" s="1"/>
  <c r="U331" i="2"/>
  <c r="S331" i="2"/>
  <c r="T331" i="2" s="1"/>
  <c r="R331" i="2"/>
  <c r="Y331" i="2" s="1"/>
  <c r="AB331" i="2" s="1"/>
  <c r="E331" i="2"/>
  <c r="GR330" i="2"/>
  <c r="GS330" i="2" s="1"/>
  <c r="GP330" i="2"/>
  <c r="GQ330" i="2" s="1"/>
  <c r="GN330" i="2"/>
  <c r="GO330" i="2" s="1"/>
  <c r="GL330" i="2"/>
  <c r="GM330" i="2" s="1"/>
  <c r="GH330" i="2"/>
  <c r="GG330" i="2"/>
  <c r="GI330" i="2" s="1"/>
  <c r="GD330" i="2"/>
  <c r="GC330" i="2"/>
  <c r="GB330" i="2"/>
  <c r="FY330" i="2"/>
  <c r="FS330" i="2"/>
  <c r="FT330" i="2" s="1"/>
  <c r="EW330" i="2"/>
  <c r="ET330" i="2"/>
  <c r="EU330" i="2" s="1"/>
  <c r="EQ330" i="2"/>
  <c r="ER330" i="2" s="1"/>
  <c r="EJ330" i="2"/>
  <c r="EE330" i="2"/>
  <c r="EF330" i="2" s="1"/>
  <c r="DX330" i="2"/>
  <c r="DP330" i="2"/>
  <c r="DF330" i="2"/>
  <c r="DH330" i="2" s="1"/>
  <c r="DE330" i="2"/>
  <c r="CY330" i="2"/>
  <c r="CZ330" i="2" s="1"/>
  <c r="CF330" i="2"/>
  <c r="CH330" i="2"/>
  <c r="CA330" i="2"/>
  <c r="CR330" i="2"/>
  <c r="BO330" i="2"/>
  <c r="BJ330" i="2"/>
  <c r="BM330" i="2" s="1"/>
  <c r="BN330" i="2" s="1"/>
  <c r="BC330" i="2"/>
  <c r="AZ330" i="2"/>
  <c r="AY330" i="2"/>
  <c r="AO330" i="2"/>
  <c r="AN330" i="2"/>
  <c r="AM330" i="2"/>
  <c r="AL330" i="2"/>
  <c r="AK330" i="2"/>
  <c r="AG330" i="2"/>
  <c r="AE330" i="2"/>
  <c r="AF330" i="2" s="1"/>
  <c r="U330" i="2"/>
  <c r="S330" i="2"/>
  <c r="T330" i="2" s="1"/>
  <c r="R330" i="2"/>
  <c r="Y330" i="2" s="1"/>
  <c r="AB330" i="2" s="1"/>
  <c r="E330" i="2"/>
  <c r="GR329" i="2"/>
  <c r="GS329" i="2" s="1"/>
  <c r="GP329" i="2"/>
  <c r="GQ329" i="2" s="1"/>
  <c r="GN329" i="2"/>
  <c r="GO329" i="2" s="1"/>
  <c r="GL329" i="2"/>
  <c r="GM329" i="2" s="1"/>
  <c r="GH329" i="2"/>
  <c r="GG329" i="2"/>
  <c r="GI329" i="2" s="1"/>
  <c r="GD329" i="2"/>
  <c r="GC329" i="2"/>
  <c r="GB329" i="2"/>
  <c r="FY329" i="2"/>
  <c r="GA329" i="2" s="1"/>
  <c r="FS329" i="2"/>
  <c r="FT329" i="2" s="1"/>
  <c r="EW329" i="2"/>
  <c r="ET329" i="2"/>
  <c r="EU329" i="2" s="1"/>
  <c r="EQ329" i="2"/>
  <c r="ER329" i="2" s="1"/>
  <c r="EJ329" i="2"/>
  <c r="EE329" i="2"/>
  <c r="EF329" i="2" s="1"/>
  <c r="DX329" i="2"/>
  <c r="DP329" i="2"/>
  <c r="DF329" i="2"/>
  <c r="DE329" i="2"/>
  <c r="CY329" i="2"/>
  <c r="CZ329" i="2" s="1"/>
  <c r="CF329" i="2"/>
  <c r="CH329" i="2"/>
  <c r="CA329" i="2"/>
  <c r="BO329" i="2"/>
  <c r="BJ329" i="2"/>
  <c r="BK329" i="2" s="1"/>
  <c r="CL329" i="2" s="1"/>
  <c r="BC329" i="2"/>
  <c r="AZ329" i="2"/>
  <c r="AY329" i="2"/>
  <c r="AO329" i="2"/>
  <c r="AN329" i="2"/>
  <c r="AM329" i="2"/>
  <c r="AL329" i="2"/>
  <c r="AK329" i="2"/>
  <c r="AG329" i="2"/>
  <c r="AE329" i="2"/>
  <c r="AF329" i="2" s="1"/>
  <c r="U329" i="2"/>
  <c r="S329" i="2"/>
  <c r="T329" i="2" s="1"/>
  <c r="R329" i="2"/>
  <c r="Y329" i="2" s="1"/>
  <c r="AB329" i="2" s="1"/>
  <c r="E329" i="2"/>
  <c r="GR328" i="2"/>
  <c r="GS328" i="2" s="1"/>
  <c r="GP328" i="2"/>
  <c r="GQ328" i="2" s="1"/>
  <c r="GN328" i="2"/>
  <c r="GO328" i="2" s="1"/>
  <c r="GL328" i="2"/>
  <c r="GM328" i="2" s="1"/>
  <c r="GH328" i="2"/>
  <c r="GG328" i="2"/>
  <c r="GI328" i="2" s="1"/>
  <c r="GD328" i="2"/>
  <c r="GC328" i="2"/>
  <c r="GB328" i="2"/>
  <c r="FY328" i="2"/>
  <c r="FZ328" i="2" s="1"/>
  <c r="FS328" i="2"/>
  <c r="FT328" i="2" s="1"/>
  <c r="EW328" i="2"/>
  <c r="ET328" i="2"/>
  <c r="EU328" i="2" s="1"/>
  <c r="EQ328" i="2"/>
  <c r="ER328" i="2" s="1"/>
  <c r="EJ328" i="2"/>
  <c r="EE328" i="2"/>
  <c r="EF328" i="2" s="1"/>
  <c r="DX328" i="2"/>
  <c r="DP328" i="2"/>
  <c r="DF328" i="2"/>
  <c r="DE328" i="2"/>
  <c r="CY328" i="2"/>
  <c r="CZ328" i="2" s="1"/>
  <c r="CF328" i="2"/>
  <c r="CH328" i="2"/>
  <c r="CA328" i="2"/>
  <c r="CR328" i="2"/>
  <c r="BO328" i="2"/>
  <c r="BJ328" i="2"/>
  <c r="BC328" i="2"/>
  <c r="AZ328" i="2"/>
  <c r="AY328" i="2"/>
  <c r="AO328" i="2"/>
  <c r="AN328" i="2"/>
  <c r="AM328" i="2"/>
  <c r="AL328" i="2"/>
  <c r="AK328" i="2"/>
  <c r="AG328" i="2"/>
  <c r="AE328" i="2"/>
  <c r="AF328" i="2" s="1"/>
  <c r="U328" i="2"/>
  <c r="S328" i="2"/>
  <c r="T328" i="2" s="1"/>
  <c r="R328" i="2"/>
  <c r="Y328" i="2" s="1"/>
  <c r="AB328" i="2" s="1"/>
  <c r="E328" i="2"/>
  <c r="GR327" i="2"/>
  <c r="GS327" i="2" s="1"/>
  <c r="GP327" i="2"/>
  <c r="GQ327" i="2" s="1"/>
  <c r="GN327" i="2"/>
  <c r="GO327" i="2" s="1"/>
  <c r="GL327" i="2"/>
  <c r="GM327" i="2" s="1"/>
  <c r="GH327" i="2"/>
  <c r="GG327" i="2"/>
  <c r="GI327" i="2" s="1"/>
  <c r="GD327" i="2"/>
  <c r="GC327" i="2"/>
  <c r="GB327" i="2"/>
  <c r="FY327" i="2"/>
  <c r="FS327" i="2"/>
  <c r="FT327" i="2" s="1"/>
  <c r="EW327" i="2"/>
  <c r="ET327" i="2"/>
  <c r="EU327" i="2" s="1"/>
  <c r="EQ327" i="2"/>
  <c r="ER327" i="2" s="1"/>
  <c r="EJ327" i="2"/>
  <c r="EE327" i="2"/>
  <c r="EF327" i="2" s="1"/>
  <c r="DX327" i="2"/>
  <c r="DP327" i="2"/>
  <c r="DF327" i="2"/>
  <c r="DG327" i="2" s="1"/>
  <c r="DE327" i="2"/>
  <c r="CY327" i="2"/>
  <c r="CZ327" i="2" s="1"/>
  <c r="CF327" i="2"/>
  <c r="CA327" i="2"/>
  <c r="CW327" i="2"/>
  <c r="BO327" i="2"/>
  <c r="BJ327" i="2"/>
  <c r="BC327" i="2"/>
  <c r="AZ327" i="2"/>
  <c r="AY327" i="2"/>
  <c r="AO327" i="2"/>
  <c r="AN327" i="2"/>
  <c r="AM327" i="2"/>
  <c r="AL327" i="2"/>
  <c r="AK327" i="2"/>
  <c r="AG327" i="2"/>
  <c r="AE327" i="2"/>
  <c r="AF327" i="2" s="1"/>
  <c r="U327" i="2"/>
  <c r="S327" i="2"/>
  <c r="T327" i="2" s="1"/>
  <c r="R327" i="2"/>
  <c r="Y327" i="2" s="1"/>
  <c r="AB327" i="2" s="1"/>
  <c r="E327" i="2"/>
  <c r="GR326" i="2"/>
  <c r="GS326" i="2" s="1"/>
  <c r="GP326" i="2"/>
  <c r="GQ326" i="2" s="1"/>
  <c r="GN326" i="2"/>
  <c r="GO326" i="2" s="1"/>
  <c r="GL326" i="2"/>
  <c r="GM326" i="2" s="1"/>
  <c r="GH326" i="2"/>
  <c r="GG326" i="2"/>
  <c r="GI326" i="2" s="1"/>
  <c r="GD326" i="2"/>
  <c r="GC326" i="2"/>
  <c r="GB326" i="2"/>
  <c r="FY326" i="2"/>
  <c r="GA326" i="2" s="1"/>
  <c r="FS326" i="2"/>
  <c r="FT326" i="2" s="1"/>
  <c r="EW326" i="2"/>
  <c r="ET326" i="2"/>
  <c r="EU326" i="2" s="1"/>
  <c r="EQ326" i="2"/>
  <c r="ER326" i="2" s="1"/>
  <c r="EJ326" i="2"/>
  <c r="EE326" i="2"/>
  <c r="EF326" i="2" s="1"/>
  <c r="DX326" i="2"/>
  <c r="DP326" i="2"/>
  <c r="DF326" i="2"/>
  <c r="DG326" i="2" s="1"/>
  <c r="DE326" i="2"/>
  <c r="CY326" i="2"/>
  <c r="CZ326" i="2" s="1"/>
  <c r="CF326" i="2"/>
  <c r="CA326" i="2"/>
  <c r="CR326" i="2"/>
  <c r="BO326" i="2"/>
  <c r="BJ326" i="2"/>
  <c r="BM326" i="2" s="1"/>
  <c r="BN326" i="2" s="1"/>
  <c r="BC326" i="2"/>
  <c r="AZ326" i="2"/>
  <c r="AY326" i="2"/>
  <c r="AO326" i="2"/>
  <c r="AN326" i="2"/>
  <c r="AM326" i="2"/>
  <c r="AL326" i="2"/>
  <c r="AK326" i="2"/>
  <c r="AG326" i="2"/>
  <c r="AE326" i="2"/>
  <c r="AF326" i="2" s="1"/>
  <c r="U326" i="2"/>
  <c r="S326" i="2"/>
  <c r="T326" i="2" s="1"/>
  <c r="R326" i="2"/>
  <c r="X326" i="2" s="1"/>
  <c r="AA326" i="2" s="1"/>
  <c r="E326" i="2"/>
  <c r="GR325" i="2"/>
  <c r="GS325" i="2" s="1"/>
  <c r="GP325" i="2"/>
  <c r="GQ325" i="2" s="1"/>
  <c r="DO325" i="2" s="1"/>
  <c r="GN325" i="2"/>
  <c r="GO325" i="2" s="1"/>
  <c r="GL325" i="2"/>
  <c r="GM325" i="2" s="1"/>
  <c r="GH325" i="2"/>
  <c r="GG325" i="2"/>
  <c r="GI325" i="2" s="1"/>
  <c r="GD325" i="2"/>
  <c r="GC325" i="2"/>
  <c r="GB325" i="2"/>
  <c r="FY325" i="2"/>
  <c r="GA325" i="2" s="1"/>
  <c r="FS325" i="2"/>
  <c r="FT325" i="2" s="1"/>
  <c r="EW325" i="2"/>
  <c r="ET325" i="2"/>
  <c r="EU325" i="2" s="1"/>
  <c r="EQ325" i="2"/>
  <c r="ER325" i="2" s="1"/>
  <c r="EJ325" i="2"/>
  <c r="EE325" i="2"/>
  <c r="EF325" i="2" s="1"/>
  <c r="DX325" i="2"/>
  <c r="DP325" i="2"/>
  <c r="DF325" i="2"/>
  <c r="DH325" i="2" s="1"/>
  <c r="DE325" i="2"/>
  <c r="CY325" i="2"/>
  <c r="CZ325" i="2" s="1"/>
  <c r="CF325" i="2"/>
  <c r="CA325" i="2"/>
  <c r="DA325" i="2"/>
  <c r="DB325" i="2" s="1"/>
  <c r="BO325" i="2"/>
  <c r="BJ325" i="2"/>
  <c r="BM325" i="2" s="1"/>
  <c r="BN325" i="2" s="1"/>
  <c r="BC325" i="2"/>
  <c r="AZ325" i="2"/>
  <c r="AY325" i="2"/>
  <c r="AO325" i="2"/>
  <c r="AN325" i="2"/>
  <c r="AM325" i="2"/>
  <c r="AL325" i="2"/>
  <c r="AK325" i="2"/>
  <c r="AG325" i="2"/>
  <c r="AE325" i="2"/>
  <c r="AF325" i="2" s="1"/>
  <c r="U325" i="2"/>
  <c r="S325" i="2"/>
  <c r="T325" i="2" s="1"/>
  <c r="R325" i="2"/>
  <c r="X325" i="2" s="1"/>
  <c r="AA325" i="2" s="1"/>
  <c r="E325" i="2"/>
  <c r="GR324" i="2"/>
  <c r="GS324" i="2" s="1"/>
  <c r="GP324" i="2"/>
  <c r="GQ324" i="2" s="1"/>
  <c r="DU324" i="2" s="1"/>
  <c r="EI324" i="2" s="1"/>
  <c r="GN324" i="2"/>
  <c r="GO324" i="2" s="1"/>
  <c r="GL324" i="2"/>
  <c r="GM324" i="2" s="1"/>
  <c r="GH324" i="2"/>
  <c r="GG324" i="2"/>
  <c r="GI324" i="2" s="1"/>
  <c r="GD324" i="2"/>
  <c r="GC324" i="2"/>
  <c r="GB324" i="2"/>
  <c r="FY324" i="2"/>
  <c r="GA324" i="2" s="1"/>
  <c r="FS324" i="2"/>
  <c r="FT324" i="2" s="1"/>
  <c r="EW324" i="2"/>
  <c r="ET324" i="2"/>
  <c r="EU324" i="2" s="1"/>
  <c r="EQ324" i="2"/>
  <c r="ER324" i="2" s="1"/>
  <c r="EJ324" i="2"/>
  <c r="EE324" i="2"/>
  <c r="EF324" i="2" s="1"/>
  <c r="DX324" i="2"/>
  <c r="DP324" i="2"/>
  <c r="DF324" i="2"/>
  <c r="DE324" i="2"/>
  <c r="CY324" i="2"/>
  <c r="CZ324" i="2" s="1"/>
  <c r="CF324" i="2"/>
  <c r="CH324" i="2"/>
  <c r="CA324" i="2"/>
  <c r="DA324" i="2"/>
  <c r="DB324" i="2" s="1"/>
  <c r="BO324" i="2"/>
  <c r="BJ324" i="2"/>
  <c r="BM324" i="2" s="1"/>
  <c r="BN324" i="2" s="1"/>
  <c r="BC324" i="2"/>
  <c r="AZ324" i="2"/>
  <c r="AY324" i="2"/>
  <c r="AO324" i="2"/>
  <c r="AN324" i="2"/>
  <c r="AM324" i="2"/>
  <c r="AL324" i="2"/>
  <c r="AK324" i="2"/>
  <c r="AG324" i="2"/>
  <c r="AE324" i="2"/>
  <c r="AF324" i="2" s="1"/>
  <c r="U324" i="2"/>
  <c r="S324" i="2"/>
  <c r="T324" i="2" s="1"/>
  <c r="R324" i="2"/>
  <c r="Y324" i="2" s="1"/>
  <c r="AB324" i="2" s="1"/>
  <c r="E324" i="2"/>
  <c r="GR323" i="2"/>
  <c r="GS323" i="2" s="1"/>
  <c r="GP323" i="2"/>
  <c r="GQ323" i="2" s="1"/>
  <c r="GN323" i="2"/>
  <c r="GO323" i="2" s="1"/>
  <c r="GL323" i="2"/>
  <c r="GM323" i="2" s="1"/>
  <c r="GH323" i="2"/>
  <c r="GG323" i="2"/>
  <c r="GI323" i="2" s="1"/>
  <c r="GD323" i="2"/>
  <c r="GC323" i="2"/>
  <c r="GB323" i="2"/>
  <c r="FY323" i="2"/>
  <c r="FZ323" i="2" s="1"/>
  <c r="FS323" i="2"/>
  <c r="FT323" i="2" s="1"/>
  <c r="EW323" i="2"/>
  <c r="ET323" i="2"/>
  <c r="EU323" i="2" s="1"/>
  <c r="EQ323" i="2"/>
  <c r="ER323" i="2" s="1"/>
  <c r="EJ323" i="2"/>
  <c r="EE323" i="2"/>
  <c r="EF323" i="2" s="1"/>
  <c r="DX323" i="2"/>
  <c r="DP323" i="2"/>
  <c r="DF323" i="2"/>
  <c r="DG323" i="2" s="1"/>
  <c r="DE323" i="2"/>
  <c r="CY323" i="2"/>
  <c r="CZ323" i="2" s="1"/>
  <c r="CF323" i="2"/>
  <c r="CH323" i="2"/>
  <c r="CA323" i="2"/>
  <c r="DA323" i="2"/>
  <c r="DB323" i="2" s="1"/>
  <c r="BO323" i="2"/>
  <c r="BJ323" i="2"/>
  <c r="BM323" i="2" s="1"/>
  <c r="BN323" i="2" s="1"/>
  <c r="BC323" i="2"/>
  <c r="AZ323" i="2"/>
  <c r="AY323" i="2"/>
  <c r="AO323" i="2"/>
  <c r="AN323" i="2"/>
  <c r="AM323" i="2"/>
  <c r="AL323" i="2"/>
  <c r="AK323" i="2"/>
  <c r="AG323" i="2"/>
  <c r="AE323" i="2"/>
  <c r="AF323" i="2" s="1"/>
  <c r="U323" i="2"/>
  <c r="S323" i="2"/>
  <c r="T323" i="2" s="1"/>
  <c r="R323" i="2"/>
  <c r="E323" i="2"/>
  <c r="GR322" i="2"/>
  <c r="GS322" i="2" s="1"/>
  <c r="GP322" i="2"/>
  <c r="GQ322" i="2" s="1"/>
  <c r="DU322" i="2" s="1"/>
  <c r="EI322" i="2" s="1"/>
  <c r="GN322" i="2"/>
  <c r="GO322" i="2" s="1"/>
  <c r="GL322" i="2"/>
  <c r="GM322" i="2" s="1"/>
  <c r="GH322" i="2"/>
  <c r="GG322" i="2"/>
  <c r="GI322" i="2" s="1"/>
  <c r="GD322" i="2"/>
  <c r="GC322" i="2"/>
  <c r="GB322" i="2"/>
  <c r="FY322" i="2"/>
  <c r="GA322" i="2" s="1"/>
  <c r="FS322" i="2"/>
  <c r="FT322" i="2" s="1"/>
  <c r="EW322" i="2"/>
  <c r="ET322" i="2"/>
  <c r="EU322" i="2" s="1"/>
  <c r="EQ322" i="2"/>
  <c r="ER322" i="2" s="1"/>
  <c r="EJ322" i="2"/>
  <c r="EE322" i="2"/>
  <c r="EF322" i="2" s="1"/>
  <c r="DX322" i="2"/>
  <c r="DP322" i="2"/>
  <c r="DF322" i="2"/>
  <c r="DH322" i="2" s="1"/>
  <c r="DE322" i="2"/>
  <c r="CY322" i="2"/>
  <c r="CZ322" i="2" s="1"/>
  <c r="CF322" i="2"/>
  <c r="CH322" i="2"/>
  <c r="CA322" i="2"/>
  <c r="DA322" i="2"/>
  <c r="DB322" i="2" s="1"/>
  <c r="BO322" i="2"/>
  <c r="BJ322" i="2"/>
  <c r="BM322" i="2" s="1"/>
  <c r="BN322" i="2" s="1"/>
  <c r="BC322" i="2"/>
  <c r="AZ322" i="2"/>
  <c r="AY322" i="2"/>
  <c r="AO322" i="2"/>
  <c r="AN322" i="2"/>
  <c r="AM322" i="2"/>
  <c r="AL322" i="2"/>
  <c r="AK322" i="2"/>
  <c r="AG322" i="2"/>
  <c r="AE322" i="2"/>
  <c r="AF322" i="2" s="1"/>
  <c r="U322" i="2"/>
  <c r="S322" i="2"/>
  <c r="T322" i="2" s="1"/>
  <c r="R322" i="2"/>
  <c r="X322" i="2" s="1"/>
  <c r="E322" i="2"/>
  <c r="GR321" i="2"/>
  <c r="GS321" i="2" s="1"/>
  <c r="GP321" i="2"/>
  <c r="GQ321" i="2" s="1"/>
  <c r="DO321" i="2" s="1"/>
  <c r="DS321" i="2" s="1"/>
  <c r="GN321" i="2"/>
  <c r="GO321" i="2" s="1"/>
  <c r="GL321" i="2"/>
  <c r="GM321" i="2" s="1"/>
  <c r="GH321" i="2"/>
  <c r="GG321" i="2"/>
  <c r="GI321" i="2" s="1"/>
  <c r="GD321" i="2"/>
  <c r="GC321" i="2"/>
  <c r="GB321" i="2"/>
  <c r="FY321" i="2"/>
  <c r="FZ321" i="2" s="1"/>
  <c r="FS321" i="2"/>
  <c r="FT321" i="2" s="1"/>
  <c r="EW321" i="2"/>
  <c r="ET321" i="2"/>
  <c r="EU321" i="2" s="1"/>
  <c r="EQ321" i="2"/>
  <c r="ER321" i="2" s="1"/>
  <c r="EJ321" i="2"/>
  <c r="EE321" i="2"/>
  <c r="EF321" i="2" s="1"/>
  <c r="DX321" i="2"/>
  <c r="DP321" i="2"/>
  <c r="DF321" i="2"/>
  <c r="DE321" i="2"/>
  <c r="CY321" i="2"/>
  <c r="CZ321" i="2" s="1"/>
  <c r="CF321" i="2"/>
  <c r="CA321" i="2"/>
  <c r="BO321" i="2"/>
  <c r="BJ321" i="2"/>
  <c r="BM321" i="2" s="1"/>
  <c r="BN321" i="2" s="1"/>
  <c r="BC321" i="2"/>
  <c r="AZ321" i="2"/>
  <c r="AY321" i="2"/>
  <c r="AO321" i="2"/>
  <c r="AN321" i="2"/>
  <c r="AM321" i="2"/>
  <c r="AL321" i="2"/>
  <c r="AK321" i="2"/>
  <c r="AG321" i="2"/>
  <c r="AE321" i="2"/>
  <c r="AF321" i="2" s="1"/>
  <c r="U321" i="2"/>
  <c r="S321" i="2"/>
  <c r="T321" i="2" s="1"/>
  <c r="R321" i="2"/>
  <c r="E321" i="2"/>
  <c r="GR320" i="2"/>
  <c r="GS320" i="2" s="1"/>
  <c r="GP320" i="2"/>
  <c r="GQ320" i="2" s="1"/>
  <c r="DO320" i="2" s="1"/>
  <c r="GN320" i="2"/>
  <c r="GO320" i="2" s="1"/>
  <c r="GL320" i="2"/>
  <c r="GM320" i="2" s="1"/>
  <c r="GH320" i="2"/>
  <c r="GG320" i="2"/>
  <c r="GI320" i="2" s="1"/>
  <c r="GD320" i="2"/>
  <c r="GC320" i="2"/>
  <c r="GB320" i="2"/>
  <c r="FY320" i="2"/>
  <c r="GA320" i="2" s="1"/>
  <c r="FS320" i="2"/>
  <c r="FT320" i="2" s="1"/>
  <c r="EW320" i="2"/>
  <c r="ET320" i="2"/>
  <c r="EU320" i="2" s="1"/>
  <c r="EQ320" i="2"/>
  <c r="ER320" i="2" s="1"/>
  <c r="EJ320" i="2"/>
  <c r="EE320" i="2"/>
  <c r="EF320" i="2" s="1"/>
  <c r="DX320" i="2"/>
  <c r="DP320" i="2"/>
  <c r="DF320" i="2"/>
  <c r="DH320" i="2" s="1"/>
  <c r="DE320" i="2"/>
  <c r="CY320" i="2"/>
  <c r="CZ320" i="2" s="1"/>
  <c r="CF320" i="2"/>
  <c r="CA320" i="2"/>
  <c r="BO320" i="2"/>
  <c r="BJ320" i="2"/>
  <c r="BM320" i="2" s="1"/>
  <c r="BN320" i="2" s="1"/>
  <c r="BC320" i="2"/>
  <c r="AZ320" i="2"/>
  <c r="AY320" i="2"/>
  <c r="AO320" i="2"/>
  <c r="AN320" i="2"/>
  <c r="AM320" i="2"/>
  <c r="AL320" i="2"/>
  <c r="AK320" i="2"/>
  <c r="AG320" i="2"/>
  <c r="AE320" i="2"/>
  <c r="AF320" i="2" s="1"/>
  <c r="U320" i="2"/>
  <c r="S320" i="2"/>
  <c r="T320" i="2" s="1"/>
  <c r="R320" i="2"/>
  <c r="X320" i="2" s="1"/>
  <c r="E320" i="2"/>
  <c r="GR319" i="2"/>
  <c r="GS319" i="2" s="1"/>
  <c r="GP319" i="2"/>
  <c r="GQ319" i="2" s="1"/>
  <c r="DO319" i="2" s="1"/>
  <c r="DS319" i="2" s="1"/>
  <c r="GN319" i="2"/>
  <c r="GO319" i="2" s="1"/>
  <c r="GL319" i="2"/>
  <c r="GM319" i="2" s="1"/>
  <c r="GH319" i="2"/>
  <c r="GG319" i="2"/>
  <c r="GI319" i="2" s="1"/>
  <c r="GD319" i="2"/>
  <c r="GC319" i="2"/>
  <c r="GB319" i="2"/>
  <c r="FY319" i="2"/>
  <c r="GA319" i="2" s="1"/>
  <c r="FS319" i="2"/>
  <c r="FT319" i="2" s="1"/>
  <c r="EW319" i="2"/>
  <c r="ET319" i="2"/>
  <c r="EU319" i="2" s="1"/>
  <c r="EQ319" i="2"/>
  <c r="ER319" i="2" s="1"/>
  <c r="EJ319" i="2"/>
  <c r="EE319" i="2"/>
  <c r="EF319" i="2" s="1"/>
  <c r="DX319" i="2"/>
  <c r="DP319" i="2"/>
  <c r="DF319" i="2"/>
  <c r="DH319" i="2" s="1"/>
  <c r="DE319" i="2"/>
  <c r="CY319" i="2"/>
  <c r="CZ319" i="2" s="1"/>
  <c r="CF319" i="2"/>
  <c r="CA319" i="2"/>
  <c r="BO319" i="2"/>
  <c r="BJ319" i="2"/>
  <c r="BM319" i="2" s="1"/>
  <c r="BN319" i="2" s="1"/>
  <c r="BC319" i="2"/>
  <c r="AZ319" i="2"/>
  <c r="AY319" i="2"/>
  <c r="AO319" i="2"/>
  <c r="AN319" i="2"/>
  <c r="AM319" i="2"/>
  <c r="AL319" i="2"/>
  <c r="AK319" i="2"/>
  <c r="AG319" i="2"/>
  <c r="AE319" i="2"/>
  <c r="AF319" i="2" s="1"/>
  <c r="U319" i="2"/>
  <c r="S319" i="2"/>
  <c r="T319" i="2" s="1"/>
  <c r="R319" i="2"/>
  <c r="X319" i="2" s="1"/>
  <c r="E319" i="2"/>
  <c r="GR318" i="2"/>
  <c r="GS318" i="2" s="1"/>
  <c r="GP318" i="2"/>
  <c r="GQ318" i="2" s="1"/>
  <c r="DO318" i="2" s="1"/>
  <c r="DS318" i="2" s="1"/>
  <c r="GN318" i="2"/>
  <c r="GO318" i="2" s="1"/>
  <c r="GL318" i="2"/>
  <c r="GM318" i="2" s="1"/>
  <c r="GH318" i="2"/>
  <c r="GG318" i="2"/>
  <c r="GI318" i="2" s="1"/>
  <c r="GD318" i="2"/>
  <c r="GC318" i="2"/>
  <c r="GB318" i="2"/>
  <c r="FY318" i="2"/>
  <c r="GA318" i="2" s="1"/>
  <c r="FS318" i="2"/>
  <c r="FT318" i="2" s="1"/>
  <c r="EW318" i="2"/>
  <c r="ET318" i="2"/>
  <c r="EU318" i="2" s="1"/>
  <c r="EQ318" i="2"/>
  <c r="ER318" i="2" s="1"/>
  <c r="EJ318" i="2"/>
  <c r="EE318" i="2"/>
  <c r="EF318" i="2" s="1"/>
  <c r="DX318" i="2"/>
  <c r="DP318" i="2"/>
  <c r="DF318" i="2"/>
  <c r="DH318" i="2" s="1"/>
  <c r="DE318" i="2"/>
  <c r="CY318" i="2"/>
  <c r="CZ318" i="2" s="1"/>
  <c r="CF318" i="2"/>
  <c r="CA318" i="2"/>
  <c r="BO318" i="2"/>
  <c r="BJ318" i="2"/>
  <c r="BM318" i="2" s="1"/>
  <c r="BN318" i="2" s="1"/>
  <c r="BC318" i="2"/>
  <c r="AZ318" i="2"/>
  <c r="AY318" i="2"/>
  <c r="AO318" i="2"/>
  <c r="AN318" i="2"/>
  <c r="AM318" i="2"/>
  <c r="AL318" i="2"/>
  <c r="AK318" i="2"/>
  <c r="AG318" i="2"/>
  <c r="AE318" i="2"/>
  <c r="AF318" i="2" s="1"/>
  <c r="U318" i="2"/>
  <c r="S318" i="2"/>
  <c r="T318" i="2" s="1"/>
  <c r="R318" i="2"/>
  <c r="E318" i="2"/>
  <c r="GR317" i="2"/>
  <c r="GS317" i="2" s="1"/>
  <c r="GP317" i="2"/>
  <c r="GQ317" i="2" s="1"/>
  <c r="DO317" i="2" s="1"/>
  <c r="DS317" i="2" s="1"/>
  <c r="GN317" i="2"/>
  <c r="GO317" i="2" s="1"/>
  <c r="GL317" i="2"/>
  <c r="GM317" i="2" s="1"/>
  <c r="GH317" i="2"/>
  <c r="GG317" i="2"/>
  <c r="GI317" i="2" s="1"/>
  <c r="GD317" i="2"/>
  <c r="GC317" i="2"/>
  <c r="GB317" i="2"/>
  <c r="FY317" i="2"/>
  <c r="GA317" i="2" s="1"/>
  <c r="FS317" i="2"/>
  <c r="FT317" i="2" s="1"/>
  <c r="EW317" i="2"/>
  <c r="ET317" i="2"/>
  <c r="EU317" i="2" s="1"/>
  <c r="EQ317" i="2"/>
  <c r="ER317" i="2" s="1"/>
  <c r="EJ317" i="2"/>
  <c r="EE317" i="2"/>
  <c r="EF317" i="2" s="1"/>
  <c r="DX317" i="2"/>
  <c r="DP317" i="2"/>
  <c r="DF317" i="2"/>
  <c r="DH317" i="2" s="1"/>
  <c r="DE317" i="2"/>
  <c r="CY317" i="2"/>
  <c r="CZ317" i="2" s="1"/>
  <c r="CF317" i="2"/>
  <c r="CA317" i="2"/>
  <c r="BO317" i="2"/>
  <c r="BJ317" i="2"/>
  <c r="BM317" i="2" s="1"/>
  <c r="BN317" i="2" s="1"/>
  <c r="BC317" i="2"/>
  <c r="AZ317" i="2"/>
  <c r="AY317" i="2"/>
  <c r="AO317" i="2"/>
  <c r="AN317" i="2"/>
  <c r="AM317" i="2"/>
  <c r="AL317" i="2"/>
  <c r="AK317" i="2"/>
  <c r="AG317" i="2"/>
  <c r="AE317" i="2"/>
  <c r="AF317" i="2" s="1"/>
  <c r="U317" i="2"/>
  <c r="S317" i="2"/>
  <c r="T317" i="2" s="1"/>
  <c r="R317" i="2"/>
  <c r="X317" i="2" s="1"/>
  <c r="E317" i="2"/>
  <c r="GR316" i="2"/>
  <c r="GS316" i="2" s="1"/>
  <c r="GP316" i="2"/>
  <c r="GQ316" i="2" s="1"/>
  <c r="DO316" i="2" s="1"/>
  <c r="GN316" i="2"/>
  <c r="GO316" i="2" s="1"/>
  <c r="GL316" i="2"/>
  <c r="GM316" i="2" s="1"/>
  <c r="GH316" i="2"/>
  <c r="GG316" i="2"/>
  <c r="GI316" i="2" s="1"/>
  <c r="GD316" i="2"/>
  <c r="GC316" i="2"/>
  <c r="GB316" i="2"/>
  <c r="FY316" i="2"/>
  <c r="GA316" i="2" s="1"/>
  <c r="FS316" i="2"/>
  <c r="FT316" i="2" s="1"/>
  <c r="EW316" i="2"/>
  <c r="ET316" i="2"/>
  <c r="EU316" i="2" s="1"/>
  <c r="EQ316" i="2"/>
  <c r="ER316" i="2" s="1"/>
  <c r="EJ316" i="2"/>
  <c r="EE316" i="2"/>
  <c r="EF316" i="2" s="1"/>
  <c r="DX316" i="2"/>
  <c r="DP316" i="2"/>
  <c r="DF316" i="2"/>
  <c r="DH316" i="2" s="1"/>
  <c r="DE316" i="2"/>
  <c r="CY316" i="2"/>
  <c r="CZ316" i="2" s="1"/>
  <c r="CF316" i="2"/>
  <c r="CA316" i="2"/>
  <c r="BO316" i="2"/>
  <c r="BJ316" i="2"/>
  <c r="BM316" i="2" s="1"/>
  <c r="BN316" i="2" s="1"/>
  <c r="BC316" i="2"/>
  <c r="AZ316" i="2"/>
  <c r="AY316" i="2"/>
  <c r="AO316" i="2"/>
  <c r="AN316" i="2"/>
  <c r="AM316" i="2"/>
  <c r="AL316" i="2"/>
  <c r="AK316" i="2"/>
  <c r="AG316" i="2"/>
  <c r="AE316" i="2"/>
  <c r="AF316" i="2" s="1"/>
  <c r="U316" i="2"/>
  <c r="S316" i="2"/>
  <c r="T316" i="2" s="1"/>
  <c r="R316" i="2"/>
  <c r="E316" i="2"/>
  <c r="GR315" i="2"/>
  <c r="GS315" i="2" s="1"/>
  <c r="GP315" i="2"/>
  <c r="GQ315" i="2" s="1"/>
  <c r="DO315" i="2" s="1"/>
  <c r="DS315" i="2" s="1"/>
  <c r="GN315" i="2"/>
  <c r="GO315" i="2" s="1"/>
  <c r="GL315" i="2"/>
  <c r="GM315" i="2" s="1"/>
  <c r="GH315" i="2"/>
  <c r="GG315" i="2"/>
  <c r="GI315" i="2" s="1"/>
  <c r="GD315" i="2"/>
  <c r="GC315" i="2"/>
  <c r="GB315" i="2"/>
  <c r="FY315" i="2"/>
  <c r="GA315" i="2" s="1"/>
  <c r="FS315" i="2"/>
  <c r="FT315" i="2" s="1"/>
  <c r="EW315" i="2"/>
  <c r="ET315" i="2"/>
  <c r="EU315" i="2" s="1"/>
  <c r="EQ315" i="2"/>
  <c r="ER315" i="2" s="1"/>
  <c r="EJ315" i="2"/>
  <c r="EE315" i="2"/>
  <c r="EF315" i="2" s="1"/>
  <c r="DX315" i="2"/>
  <c r="DP315" i="2"/>
  <c r="DF315" i="2"/>
  <c r="DE315" i="2"/>
  <c r="CY315" i="2"/>
  <c r="CZ315" i="2" s="1"/>
  <c r="CF315" i="2"/>
  <c r="CA315" i="2"/>
  <c r="BO315" i="2"/>
  <c r="BJ315" i="2"/>
  <c r="BC315" i="2"/>
  <c r="AZ315" i="2"/>
  <c r="AY315" i="2"/>
  <c r="AO315" i="2"/>
  <c r="AN315" i="2"/>
  <c r="AM315" i="2"/>
  <c r="AL315" i="2"/>
  <c r="AK315" i="2"/>
  <c r="AG315" i="2"/>
  <c r="AE315" i="2"/>
  <c r="AF315" i="2" s="1"/>
  <c r="U315" i="2"/>
  <c r="S315" i="2"/>
  <c r="T315" i="2" s="1"/>
  <c r="R315" i="2"/>
  <c r="X315" i="2" s="1"/>
  <c r="E315" i="2"/>
  <c r="GR314" i="2"/>
  <c r="GS314" i="2" s="1"/>
  <c r="GP314" i="2"/>
  <c r="GQ314" i="2" s="1"/>
  <c r="DO314" i="2" s="1"/>
  <c r="DY314" i="2" s="1"/>
  <c r="DZ314" i="2" s="1"/>
  <c r="EA314" i="2" s="1"/>
  <c r="GN314" i="2"/>
  <c r="GO314" i="2" s="1"/>
  <c r="GL314" i="2"/>
  <c r="GM314" i="2" s="1"/>
  <c r="GH314" i="2"/>
  <c r="GG314" i="2"/>
  <c r="GI314" i="2" s="1"/>
  <c r="GD314" i="2"/>
  <c r="GC314" i="2"/>
  <c r="GB314" i="2"/>
  <c r="FY314" i="2"/>
  <c r="GA314" i="2" s="1"/>
  <c r="FS314" i="2"/>
  <c r="FT314" i="2" s="1"/>
  <c r="EW314" i="2"/>
  <c r="ET314" i="2"/>
  <c r="EU314" i="2" s="1"/>
  <c r="EQ314" i="2"/>
  <c r="ER314" i="2" s="1"/>
  <c r="EJ314" i="2"/>
  <c r="EE314" i="2"/>
  <c r="EF314" i="2" s="1"/>
  <c r="DX314" i="2"/>
  <c r="DP314" i="2"/>
  <c r="DF314" i="2"/>
  <c r="DH314" i="2" s="1"/>
  <c r="DE314" i="2"/>
  <c r="CY314" i="2"/>
  <c r="CZ314" i="2" s="1"/>
  <c r="CF314" i="2"/>
  <c r="CA314" i="2"/>
  <c r="BO314" i="2"/>
  <c r="BJ314" i="2"/>
  <c r="BC314" i="2"/>
  <c r="AZ314" i="2"/>
  <c r="AY314" i="2"/>
  <c r="AO314" i="2"/>
  <c r="AN314" i="2"/>
  <c r="AM314" i="2"/>
  <c r="AL314" i="2"/>
  <c r="AK314" i="2"/>
  <c r="AG314" i="2"/>
  <c r="AE314" i="2"/>
  <c r="AF314" i="2" s="1"/>
  <c r="U314" i="2"/>
  <c r="S314" i="2"/>
  <c r="T314" i="2" s="1"/>
  <c r="R314" i="2"/>
  <c r="E314" i="2"/>
  <c r="GR312" i="2"/>
  <c r="GS312" i="2" s="1"/>
  <c r="GP312" i="2"/>
  <c r="GQ312" i="2" s="1"/>
  <c r="DO312" i="2" s="1"/>
  <c r="GN312" i="2"/>
  <c r="GO312" i="2" s="1"/>
  <c r="GL312" i="2"/>
  <c r="GM312" i="2" s="1"/>
  <c r="GH312" i="2"/>
  <c r="GG312" i="2"/>
  <c r="GI312" i="2" s="1"/>
  <c r="GD312" i="2"/>
  <c r="GC312" i="2"/>
  <c r="GB312" i="2"/>
  <c r="FY312" i="2"/>
  <c r="FS312" i="2"/>
  <c r="FT312" i="2" s="1"/>
  <c r="EW312" i="2"/>
  <c r="ET312" i="2"/>
  <c r="EU312" i="2" s="1"/>
  <c r="EQ312" i="2"/>
  <c r="ER312" i="2" s="1"/>
  <c r="EJ312" i="2"/>
  <c r="EE312" i="2"/>
  <c r="EF312" i="2" s="1"/>
  <c r="DX312" i="2"/>
  <c r="DP312" i="2"/>
  <c r="DF312" i="2"/>
  <c r="DH312" i="2" s="1"/>
  <c r="DE312" i="2"/>
  <c r="CY312" i="2"/>
  <c r="CZ312" i="2" s="1"/>
  <c r="CF312" i="2"/>
  <c r="CH312" i="2"/>
  <c r="CA312" i="2"/>
  <c r="CR312" i="2"/>
  <c r="BO312" i="2"/>
  <c r="BJ312" i="2"/>
  <c r="BK312" i="2" s="1"/>
  <c r="CL312" i="2" s="1"/>
  <c r="BC312" i="2"/>
  <c r="AO312" i="2"/>
  <c r="AN312" i="2"/>
  <c r="AM312" i="2"/>
  <c r="AL312" i="2"/>
  <c r="AK312" i="2"/>
  <c r="AG312" i="2"/>
  <c r="AE312" i="2"/>
  <c r="AF312" i="2" s="1"/>
  <c r="U312" i="2"/>
  <c r="S312" i="2"/>
  <c r="R312" i="2"/>
  <c r="E312" i="2"/>
  <c r="GR364" i="2"/>
  <c r="GS364" i="2" s="1"/>
  <c r="GP364" i="2"/>
  <c r="GQ364" i="2" s="1"/>
  <c r="DO364" i="2" s="1"/>
  <c r="GN364" i="2"/>
  <c r="GO364" i="2" s="1"/>
  <c r="GL364" i="2"/>
  <c r="GM364" i="2" s="1"/>
  <c r="GG364" i="2"/>
  <c r="GI364" i="2" s="1"/>
  <c r="GD364" i="2"/>
  <c r="GC364" i="2"/>
  <c r="GB364" i="2"/>
  <c r="FY364" i="2"/>
  <c r="GA364" i="2" s="1"/>
  <c r="FS364" i="2"/>
  <c r="FT364" i="2" s="1"/>
  <c r="EW364" i="2"/>
  <c r="ET364" i="2"/>
  <c r="EU364" i="2" s="1"/>
  <c r="EQ364" i="2"/>
  <c r="ER364" i="2" s="1"/>
  <c r="EJ364" i="2"/>
  <c r="EE364" i="2"/>
  <c r="EF364" i="2" s="1"/>
  <c r="DX364" i="2"/>
  <c r="DP364" i="2"/>
  <c r="DF364" i="2"/>
  <c r="DE364" i="2"/>
  <c r="CY364" i="2"/>
  <c r="CZ364" i="2" s="1"/>
  <c r="CF364" i="2"/>
  <c r="CH364" i="2"/>
  <c r="CA364" i="2"/>
  <c r="CW364" i="2"/>
  <c r="BO364" i="2"/>
  <c r="BJ364" i="2"/>
  <c r="BK364" i="2" s="1"/>
  <c r="CL364" i="2" s="1"/>
  <c r="BC364" i="2"/>
  <c r="AZ364" i="2"/>
  <c r="AY364" i="2"/>
  <c r="AO364" i="2"/>
  <c r="AN364" i="2"/>
  <c r="AM364" i="2"/>
  <c r="AL364" i="2"/>
  <c r="AK364" i="2"/>
  <c r="AG364" i="2"/>
  <c r="AE364" i="2"/>
  <c r="AF364" i="2" s="1"/>
  <c r="S364" i="2"/>
  <c r="R364" i="2"/>
  <c r="GH364" i="2" s="1"/>
  <c r="E364" i="2"/>
  <c r="GR310" i="2"/>
  <c r="GS310" i="2" s="1"/>
  <c r="GP310" i="2"/>
  <c r="GQ310" i="2" s="1"/>
  <c r="DU310" i="2" s="1"/>
  <c r="GN310" i="2"/>
  <c r="GO310" i="2" s="1"/>
  <c r="GL310" i="2"/>
  <c r="GM310" i="2" s="1"/>
  <c r="GH310" i="2"/>
  <c r="GG310" i="2"/>
  <c r="GI310" i="2" s="1"/>
  <c r="GD310" i="2"/>
  <c r="GC310" i="2"/>
  <c r="GB310" i="2"/>
  <c r="FY310" i="2"/>
  <c r="GA310" i="2" s="1"/>
  <c r="FS310" i="2"/>
  <c r="FT310" i="2" s="1"/>
  <c r="EW310" i="2"/>
  <c r="ET310" i="2"/>
  <c r="EU310" i="2" s="1"/>
  <c r="EQ310" i="2"/>
  <c r="ER310" i="2" s="1"/>
  <c r="EJ310" i="2"/>
  <c r="EE310" i="2"/>
  <c r="EF310" i="2" s="1"/>
  <c r="DX310" i="2"/>
  <c r="DP310" i="2"/>
  <c r="DF310" i="2"/>
  <c r="DH310" i="2" s="1"/>
  <c r="DE310" i="2"/>
  <c r="CY310" i="2"/>
  <c r="CZ310" i="2" s="1"/>
  <c r="CF310" i="2"/>
  <c r="CH310" i="2"/>
  <c r="CA310" i="2"/>
  <c r="CR310" i="2"/>
  <c r="BO310" i="2"/>
  <c r="BJ310" i="2"/>
  <c r="BK310" i="2" s="1"/>
  <c r="CL310" i="2" s="1"/>
  <c r="BC310" i="2"/>
  <c r="AZ310" i="2"/>
  <c r="AY310" i="2"/>
  <c r="AO310" i="2"/>
  <c r="AN310" i="2"/>
  <c r="AM310" i="2"/>
  <c r="AL310" i="2"/>
  <c r="AK310" i="2"/>
  <c r="AG310" i="2"/>
  <c r="AE310" i="2"/>
  <c r="AF310" i="2" s="1"/>
  <c r="U310" i="2"/>
  <c r="S310" i="2"/>
  <c r="T310" i="2" s="1"/>
  <c r="R310" i="2"/>
  <c r="Y310" i="2" s="1"/>
  <c r="AB310" i="2" s="1"/>
  <c r="E310" i="2"/>
  <c r="GR309" i="2"/>
  <c r="GS309" i="2" s="1"/>
  <c r="GP309" i="2"/>
  <c r="GQ309" i="2" s="1"/>
  <c r="DU309" i="2" s="1"/>
  <c r="EI309" i="2" s="1"/>
  <c r="GN309" i="2"/>
  <c r="GO309" i="2" s="1"/>
  <c r="GL309" i="2"/>
  <c r="GM309" i="2" s="1"/>
  <c r="GH309" i="2"/>
  <c r="GG309" i="2"/>
  <c r="GI309" i="2" s="1"/>
  <c r="GD309" i="2"/>
  <c r="GC309" i="2"/>
  <c r="GB309" i="2"/>
  <c r="FY309" i="2"/>
  <c r="GA309" i="2" s="1"/>
  <c r="FS309" i="2"/>
  <c r="FT309" i="2" s="1"/>
  <c r="EW309" i="2"/>
  <c r="ET309" i="2"/>
  <c r="EU309" i="2" s="1"/>
  <c r="EQ309" i="2"/>
  <c r="ER309" i="2" s="1"/>
  <c r="EJ309" i="2"/>
  <c r="EE309" i="2"/>
  <c r="EF309" i="2" s="1"/>
  <c r="DX309" i="2"/>
  <c r="DP309" i="2"/>
  <c r="DF309" i="2"/>
  <c r="DH309" i="2" s="1"/>
  <c r="DE309" i="2"/>
  <c r="CY309" i="2"/>
  <c r="CZ309" i="2" s="1"/>
  <c r="CF309" i="2"/>
  <c r="CH309" i="2"/>
  <c r="CA309" i="2"/>
  <c r="BO309" i="2"/>
  <c r="BJ309" i="2"/>
  <c r="BM309" i="2" s="1"/>
  <c r="BN309" i="2" s="1"/>
  <c r="BC309" i="2"/>
  <c r="AZ309" i="2"/>
  <c r="AY309" i="2"/>
  <c r="AO309" i="2"/>
  <c r="AN309" i="2"/>
  <c r="AM309" i="2"/>
  <c r="AL309" i="2"/>
  <c r="AK309" i="2"/>
  <c r="AG309" i="2"/>
  <c r="AE309" i="2"/>
  <c r="AF309" i="2" s="1"/>
  <c r="U309" i="2"/>
  <c r="S309" i="2"/>
  <c r="T309" i="2" s="1"/>
  <c r="R309" i="2"/>
  <c r="Y309" i="2" s="1"/>
  <c r="AB309" i="2" s="1"/>
  <c r="E309" i="2"/>
  <c r="GR264" i="2"/>
  <c r="GS264" i="2" s="1"/>
  <c r="GP264" i="2"/>
  <c r="GQ264" i="2" s="1"/>
  <c r="GN264" i="2"/>
  <c r="GO264" i="2" s="1"/>
  <c r="GL264" i="2"/>
  <c r="GM264" i="2" s="1"/>
  <c r="GG264" i="2"/>
  <c r="GI264" i="2" s="1"/>
  <c r="GD264" i="2"/>
  <c r="GC264" i="2"/>
  <c r="GB264" i="2"/>
  <c r="FY264" i="2"/>
  <c r="GA264" i="2" s="1"/>
  <c r="FS264" i="2"/>
  <c r="FT264" i="2" s="1"/>
  <c r="EW264" i="2"/>
  <c r="ET264" i="2"/>
  <c r="EU264" i="2" s="1"/>
  <c r="EQ264" i="2"/>
  <c r="ER264" i="2" s="1"/>
  <c r="EJ264" i="2"/>
  <c r="EE264" i="2"/>
  <c r="EF264" i="2" s="1"/>
  <c r="DX264" i="2"/>
  <c r="DP264" i="2"/>
  <c r="DF264" i="2"/>
  <c r="DH264" i="2" s="1"/>
  <c r="DE264" i="2"/>
  <c r="CY264" i="2"/>
  <c r="CZ264" i="2" s="1"/>
  <c r="CF264" i="2"/>
  <c r="CH264" i="2"/>
  <c r="CA264" i="2"/>
  <c r="CR264" i="2"/>
  <c r="BO264" i="2"/>
  <c r="BJ264" i="2"/>
  <c r="BK264" i="2" s="1"/>
  <c r="CL264" i="2" s="1"/>
  <c r="BC264" i="2"/>
  <c r="AZ264" i="2"/>
  <c r="AY264" i="2"/>
  <c r="AO264" i="2"/>
  <c r="AN264" i="2"/>
  <c r="AM264" i="2"/>
  <c r="AL264" i="2"/>
  <c r="AK264" i="2"/>
  <c r="AG264" i="2"/>
  <c r="AE264" i="2"/>
  <c r="AF264" i="2" s="1"/>
  <c r="S264" i="2"/>
  <c r="T264" i="2" s="1"/>
  <c r="U264" i="2" s="1"/>
  <c r="R264" i="2"/>
  <c r="Y264" i="2" s="1"/>
  <c r="AB264" i="2" s="1"/>
  <c r="E264" i="2"/>
  <c r="GR307" i="2"/>
  <c r="GS307" i="2" s="1"/>
  <c r="GP307" i="2"/>
  <c r="GQ307" i="2" s="1"/>
  <c r="GN307" i="2"/>
  <c r="GO307" i="2" s="1"/>
  <c r="GL307" i="2"/>
  <c r="GM307" i="2" s="1"/>
  <c r="GH307" i="2"/>
  <c r="GG307" i="2"/>
  <c r="GI307" i="2" s="1"/>
  <c r="GD307" i="2"/>
  <c r="GC307" i="2"/>
  <c r="GB307" i="2"/>
  <c r="FY307" i="2"/>
  <c r="FS307" i="2"/>
  <c r="FT307" i="2" s="1"/>
  <c r="EW307" i="2"/>
  <c r="ET307" i="2"/>
  <c r="EU307" i="2" s="1"/>
  <c r="EQ307" i="2"/>
  <c r="ER307" i="2" s="1"/>
  <c r="EJ307" i="2"/>
  <c r="EE307" i="2"/>
  <c r="EF307" i="2" s="1"/>
  <c r="DX307" i="2"/>
  <c r="DP307" i="2"/>
  <c r="DF307" i="2"/>
  <c r="DH307" i="2" s="1"/>
  <c r="DE307" i="2"/>
  <c r="CY307" i="2"/>
  <c r="CZ307" i="2" s="1"/>
  <c r="CF307" i="2"/>
  <c r="CH307" i="2"/>
  <c r="CA307" i="2"/>
  <c r="BO307" i="2"/>
  <c r="BJ307" i="2"/>
  <c r="BM307" i="2" s="1"/>
  <c r="BN307" i="2" s="1"/>
  <c r="BC307" i="2"/>
  <c r="AZ307" i="2"/>
  <c r="AY307" i="2"/>
  <c r="AO307" i="2"/>
  <c r="AN307" i="2"/>
  <c r="AM307" i="2"/>
  <c r="AL307" i="2"/>
  <c r="AK307" i="2"/>
  <c r="AG307" i="2"/>
  <c r="AE307" i="2"/>
  <c r="AF307" i="2" s="1"/>
  <c r="U307" i="2"/>
  <c r="S307" i="2"/>
  <c r="T307" i="2" s="1"/>
  <c r="R307" i="2"/>
  <c r="Y307" i="2" s="1"/>
  <c r="AB307" i="2" s="1"/>
  <c r="E307" i="2"/>
  <c r="GR306" i="2"/>
  <c r="GS306" i="2" s="1"/>
  <c r="GP306" i="2"/>
  <c r="GQ306" i="2" s="1"/>
  <c r="GN306" i="2"/>
  <c r="GO306" i="2" s="1"/>
  <c r="GL306" i="2"/>
  <c r="GM306" i="2" s="1"/>
  <c r="GH306" i="2"/>
  <c r="GG306" i="2"/>
  <c r="GI306" i="2" s="1"/>
  <c r="GD306" i="2"/>
  <c r="GC306" i="2"/>
  <c r="GB306" i="2"/>
  <c r="FY306" i="2"/>
  <c r="FS306" i="2"/>
  <c r="FT306" i="2" s="1"/>
  <c r="EW306" i="2"/>
  <c r="ET306" i="2"/>
  <c r="EU306" i="2" s="1"/>
  <c r="EQ306" i="2"/>
  <c r="ER306" i="2" s="1"/>
  <c r="EJ306" i="2"/>
  <c r="EE306" i="2"/>
  <c r="EF306" i="2" s="1"/>
  <c r="DX306" i="2"/>
  <c r="DP306" i="2"/>
  <c r="DF306" i="2"/>
  <c r="DH306" i="2" s="1"/>
  <c r="DE306" i="2"/>
  <c r="CY306" i="2"/>
  <c r="CZ306" i="2" s="1"/>
  <c r="CF306" i="2"/>
  <c r="CH306" i="2"/>
  <c r="CA306" i="2"/>
  <c r="BO306" i="2"/>
  <c r="BJ306" i="2"/>
  <c r="BM306" i="2" s="1"/>
  <c r="BN306" i="2" s="1"/>
  <c r="BC306" i="2"/>
  <c r="AZ306" i="2"/>
  <c r="AY306" i="2"/>
  <c r="AO306" i="2"/>
  <c r="AN306" i="2"/>
  <c r="AM306" i="2"/>
  <c r="AL306" i="2"/>
  <c r="AK306" i="2"/>
  <c r="AG306" i="2"/>
  <c r="AE306" i="2"/>
  <c r="AF306" i="2" s="1"/>
  <c r="U306" i="2"/>
  <c r="S306" i="2"/>
  <c r="T306" i="2" s="1"/>
  <c r="R306" i="2"/>
  <c r="Y306" i="2" s="1"/>
  <c r="AB306" i="2" s="1"/>
  <c r="E306" i="2"/>
  <c r="GR305" i="2"/>
  <c r="GS305" i="2" s="1"/>
  <c r="GP305" i="2"/>
  <c r="GQ305" i="2" s="1"/>
  <c r="DU305" i="2" s="1"/>
  <c r="GN305" i="2"/>
  <c r="GO305" i="2" s="1"/>
  <c r="GL305" i="2"/>
  <c r="GM305" i="2" s="1"/>
  <c r="GH305" i="2"/>
  <c r="GG305" i="2"/>
  <c r="GI305" i="2" s="1"/>
  <c r="GD305" i="2"/>
  <c r="GC305" i="2"/>
  <c r="GB305" i="2"/>
  <c r="FY305" i="2"/>
  <c r="FS305" i="2"/>
  <c r="FT305" i="2" s="1"/>
  <c r="EW305" i="2"/>
  <c r="ET305" i="2"/>
  <c r="EU305" i="2" s="1"/>
  <c r="EQ305" i="2"/>
  <c r="ER305" i="2" s="1"/>
  <c r="EJ305" i="2"/>
  <c r="EE305" i="2"/>
  <c r="EF305" i="2" s="1"/>
  <c r="DX305" i="2"/>
  <c r="DP305" i="2"/>
  <c r="DF305" i="2"/>
  <c r="DH305" i="2" s="1"/>
  <c r="DE305" i="2"/>
  <c r="CY305" i="2"/>
  <c r="CZ305" i="2" s="1"/>
  <c r="CF305" i="2"/>
  <c r="CH305" i="2"/>
  <c r="CA305" i="2"/>
  <c r="BO305" i="2"/>
  <c r="BJ305" i="2"/>
  <c r="BC305" i="2"/>
  <c r="AZ305" i="2"/>
  <c r="AY305" i="2"/>
  <c r="AO305" i="2"/>
  <c r="AN305" i="2"/>
  <c r="AM305" i="2"/>
  <c r="AL305" i="2"/>
  <c r="AK305" i="2"/>
  <c r="AG305" i="2"/>
  <c r="AE305" i="2"/>
  <c r="AF305" i="2" s="1"/>
  <c r="U305" i="2"/>
  <c r="S305" i="2"/>
  <c r="T305" i="2" s="1"/>
  <c r="R305" i="2"/>
  <c r="Y305" i="2" s="1"/>
  <c r="AB305" i="2" s="1"/>
  <c r="E305" i="2"/>
  <c r="GR304" i="2"/>
  <c r="GS304" i="2" s="1"/>
  <c r="GP304" i="2"/>
  <c r="GQ304" i="2" s="1"/>
  <c r="GN304" i="2"/>
  <c r="GO304" i="2" s="1"/>
  <c r="GL304" i="2"/>
  <c r="GM304" i="2" s="1"/>
  <c r="GH304" i="2"/>
  <c r="GG304" i="2"/>
  <c r="GI304" i="2" s="1"/>
  <c r="GD304" i="2"/>
  <c r="GC304" i="2"/>
  <c r="GB304" i="2"/>
  <c r="FY304" i="2"/>
  <c r="FS304" i="2"/>
  <c r="FT304" i="2" s="1"/>
  <c r="EW304" i="2"/>
  <c r="ET304" i="2"/>
  <c r="EU304" i="2" s="1"/>
  <c r="EQ304" i="2"/>
  <c r="ER304" i="2" s="1"/>
  <c r="EJ304" i="2"/>
  <c r="EE304" i="2"/>
  <c r="EF304" i="2" s="1"/>
  <c r="DX304" i="2"/>
  <c r="DP304" i="2"/>
  <c r="DF304" i="2"/>
  <c r="DH304" i="2" s="1"/>
  <c r="DE304" i="2"/>
  <c r="CY304" i="2"/>
  <c r="CZ304" i="2" s="1"/>
  <c r="CF304" i="2"/>
  <c r="CH304" i="2"/>
  <c r="CA304" i="2"/>
  <c r="BO304" i="2"/>
  <c r="BJ304" i="2"/>
  <c r="BM304" i="2" s="1"/>
  <c r="BN304" i="2" s="1"/>
  <c r="BC304" i="2"/>
  <c r="AZ304" i="2"/>
  <c r="AY304" i="2"/>
  <c r="AO304" i="2"/>
  <c r="AN304" i="2"/>
  <c r="AM304" i="2"/>
  <c r="AL304" i="2"/>
  <c r="AK304" i="2"/>
  <c r="AG304" i="2"/>
  <c r="AE304" i="2"/>
  <c r="AF304" i="2" s="1"/>
  <c r="U304" i="2"/>
  <c r="S304" i="2"/>
  <c r="T304" i="2" s="1"/>
  <c r="R304" i="2"/>
  <c r="Y304" i="2" s="1"/>
  <c r="AB304" i="2" s="1"/>
  <c r="E304" i="2"/>
  <c r="GR303" i="2"/>
  <c r="GS303" i="2" s="1"/>
  <c r="GP303" i="2"/>
  <c r="GQ303" i="2" s="1"/>
  <c r="GN303" i="2"/>
  <c r="GO303" i="2" s="1"/>
  <c r="GL303" i="2"/>
  <c r="GM303" i="2" s="1"/>
  <c r="GH303" i="2"/>
  <c r="GG303" i="2"/>
  <c r="GI303" i="2" s="1"/>
  <c r="GD303" i="2"/>
  <c r="GC303" i="2"/>
  <c r="GB303" i="2"/>
  <c r="FY303" i="2"/>
  <c r="FS303" i="2"/>
  <c r="FT303" i="2" s="1"/>
  <c r="EW303" i="2"/>
  <c r="ET303" i="2"/>
  <c r="EU303" i="2" s="1"/>
  <c r="EQ303" i="2"/>
  <c r="ER303" i="2" s="1"/>
  <c r="EJ303" i="2"/>
  <c r="EE303" i="2"/>
  <c r="EF303" i="2" s="1"/>
  <c r="DX303" i="2"/>
  <c r="DP303" i="2"/>
  <c r="DF303" i="2"/>
  <c r="DE303" i="2"/>
  <c r="CY303" i="2"/>
  <c r="CZ303" i="2" s="1"/>
  <c r="CF303" i="2"/>
  <c r="CH303" i="2"/>
  <c r="CA303" i="2"/>
  <c r="BO303" i="2"/>
  <c r="BJ303" i="2"/>
  <c r="BC303" i="2"/>
  <c r="AZ303" i="2"/>
  <c r="AY303" i="2"/>
  <c r="AO303" i="2"/>
  <c r="AN303" i="2"/>
  <c r="AM303" i="2"/>
  <c r="AL303" i="2"/>
  <c r="AK303" i="2"/>
  <c r="AG303" i="2"/>
  <c r="AE303" i="2"/>
  <c r="AF303" i="2" s="1"/>
  <c r="U303" i="2"/>
  <c r="S303" i="2"/>
  <c r="T303" i="2" s="1"/>
  <c r="R303" i="2"/>
  <c r="Y303" i="2" s="1"/>
  <c r="AB303" i="2" s="1"/>
  <c r="E303" i="2"/>
  <c r="GR302" i="2"/>
  <c r="GS302" i="2" s="1"/>
  <c r="GP302" i="2"/>
  <c r="GQ302" i="2" s="1"/>
  <c r="DU302" i="2" s="1"/>
  <c r="GN302" i="2"/>
  <c r="GO302" i="2" s="1"/>
  <c r="GL302" i="2"/>
  <c r="GM302" i="2" s="1"/>
  <c r="GH302" i="2"/>
  <c r="GG302" i="2"/>
  <c r="GI302" i="2" s="1"/>
  <c r="GD302" i="2"/>
  <c r="GC302" i="2"/>
  <c r="GB302" i="2"/>
  <c r="FY302" i="2"/>
  <c r="GA302" i="2" s="1"/>
  <c r="FS302" i="2"/>
  <c r="FT302" i="2" s="1"/>
  <c r="EW302" i="2"/>
  <c r="ET302" i="2"/>
  <c r="EU302" i="2" s="1"/>
  <c r="EQ302" i="2"/>
  <c r="ER302" i="2" s="1"/>
  <c r="EJ302" i="2"/>
  <c r="EE302" i="2"/>
  <c r="EF302" i="2" s="1"/>
  <c r="DX302" i="2"/>
  <c r="DP302" i="2"/>
  <c r="DF302" i="2"/>
  <c r="DE302" i="2"/>
  <c r="CY302" i="2"/>
  <c r="CZ302" i="2" s="1"/>
  <c r="CF302" i="2"/>
  <c r="CH302" i="2"/>
  <c r="CA302" i="2"/>
  <c r="BO302" i="2"/>
  <c r="BJ302" i="2"/>
  <c r="BK302" i="2" s="1"/>
  <c r="CL302" i="2" s="1"/>
  <c r="BC302" i="2"/>
  <c r="AZ302" i="2"/>
  <c r="AY302" i="2"/>
  <c r="AO302" i="2"/>
  <c r="AN302" i="2"/>
  <c r="AM302" i="2"/>
  <c r="AL302" i="2"/>
  <c r="AK302" i="2"/>
  <c r="AG302" i="2"/>
  <c r="AE302" i="2"/>
  <c r="AF302" i="2" s="1"/>
  <c r="U302" i="2"/>
  <c r="S302" i="2"/>
  <c r="T302" i="2" s="1"/>
  <c r="R302" i="2"/>
  <c r="E302" i="2"/>
  <c r="GR301" i="2"/>
  <c r="GS301" i="2" s="1"/>
  <c r="GP301" i="2"/>
  <c r="GQ301" i="2" s="1"/>
  <c r="GN301" i="2"/>
  <c r="GO301" i="2" s="1"/>
  <c r="GL301" i="2"/>
  <c r="GM301" i="2" s="1"/>
  <c r="GH301" i="2"/>
  <c r="GG301" i="2"/>
  <c r="GI301" i="2" s="1"/>
  <c r="GD301" i="2"/>
  <c r="GC301" i="2"/>
  <c r="GB301" i="2"/>
  <c r="FY301" i="2"/>
  <c r="GA301" i="2" s="1"/>
  <c r="FS301" i="2"/>
  <c r="FT301" i="2" s="1"/>
  <c r="EW301" i="2"/>
  <c r="ET301" i="2"/>
  <c r="EU301" i="2" s="1"/>
  <c r="EQ301" i="2"/>
  <c r="ER301" i="2" s="1"/>
  <c r="EJ301" i="2"/>
  <c r="EE301" i="2"/>
  <c r="EF301" i="2" s="1"/>
  <c r="DX301" i="2"/>
  <c r="DP301" i="2"/>
  <c r="DF301" i="2"/>
  <c r="DE301" i="2"/>
  <c r="CY301" i="2"/>
  <c r="CZ301" i="2" s="1"/>
  <c r="CF301" i="2"/>
  <c r="CH301" i="2"/>
  <c r="CA301" i="2"/>
  <c r="CR301" i="2"/>
  <c r="BO301" i="2"/>
  <c r="BJ301" i="2"/>
  <c r="BM301" i="2" s="1"/>
  <c r="BN301" i="2" s="1"/>
  <c r="BC301" i="2"/>
  <c r="AZ301" i="2"/>
  <c r="AY301" i="2"/>
  <c r="AO301" i="2"/>
  <c r="AN301" i="2"/>
  <c r="AM301" i="2"/>
  <c r="AL301" i="2"/>
  <c r="AK301" i="2"/>
  <c r="AG301" i="2"/>
  <c r="AE301" i="2"/>
  <c r="AF301" i="2" s="1"/>
  <c r="U301" i="2"/>
  <c r="S301" i="2"/>
  <c r="T301" i="2" s="1"/>
  <c r="R301" i="2"/>
  <c r="Y301" i="2" s="1"/>
  <c r="AB301" i="2" s="1"/>
  <c r="E301" i="2"/>
  <c r="GR300" i="2"/>
  <c r="GS300" i="2" s="1"/>
  <c r="GP300" i="2"/>
  <c r="GQ300" i="2" s="1"/>
  <c r="DU300" i="2" s="1"/>
  <c r="GN300" i="2"/>
  <c r="GO300" i="2" s="1"/>
  <c r="GL300" i="2"/>
  <c r="GM300" i="2" s="1"/>
  <c r="GH300" i="2"/>
  <c r="GG300" i="2"/>
  <c r="GI300" i="2" s="1"/>
  <c r="GD300" i="2"/>
  <c r="GC300" i="2"/>
  <c r="GB300" i="2"/>
  <c r="FY300" i="2"/>
  <c r="FS300" i="2"/>
  <c r="FT300" i="2" s="1"/>
  <c r="EW300" i="2"/>
  <c r="ET300" i="2"/>
  <c r="EU300" i="2" s="1"/>
  <c r="EQ300" i="2"/>
  <c r="ER300" i="2" s="1"/>
  <c r="EJ300" i="2"/>
  <c r="EE300" i="2"/>
  <c r="EF300" i="2" s="1"/>
  <c r="DX300" i="2"/>
  <c r="DP300" i="2"/>
  <c r="DF300" i="2"/>
  <c r="DE300" i="2"/>
  <c r="CY300" i="2"/>
  <c r="CZ300" i="2" s="1"/>
  <c r="CF300" i="2"/>
  <c r="CH300" i="2"/>
  <c r="CA300" i="2"/>
  <c r="CR300" i="2"/>
  <c r="BO300" i="2"/>
  <c r="BJ300" i="2"/>
  <c r="BK300" i="2" s="1"/>
  <c r="CL300" i="2" s="1"/>
  <c r="BC300" i="2"/>
  <c r="AZ300" i="2"/>
  <c r="AY300" i="2"/>
  <c r="AO300" i="2"/>
  <c r="AN300" i="2"/>
  <c r="AM300" i="2"/>
  <c r="AL300" i="2"/>
  <c r="AK300" i="2"/>
  <c r="AG300" i="2"/>
  <c r="AE300" i="2"/>
  <c r="AF300" i="2" s="1"/>
  <c r="U300" i="2"/>
  <c r="S300" i="2"/>
  <c r="T300" i="2" s="1"/>
  <c r="R300" i="2"/>
  <c r="E300" i="2"/>
  <c r="GR299" i="2"/>
  <c r="GS299" i="2" s="1"/>
  <c r="GP299" i="2"/>
  <c r="GQ299" i="2" s="1"/>
  <c r="GN299" i="2"/>
  <c r="GO299" i="2" s="1"/>
  <c r="GL299" i="2"/>
  <c r="GM299" i="2" s="1"/>
  <c r="GH299" i="2"/>
  <c r="GG299" i="2"/>
  <c r="GI299" i="2" s="1"/>
  <c r="GD299" i="2"/>
  <c r="GC299" i="2"/>
  <c r="GB299" i="2"/>
  <c r="FY299" i="2"/>
  <c r="FZ299" i="2" s="1"/>
  <c r="FS299" i="2"/>
  <c r="FT299" i="2" s="1"/>
  <c r="EW299" i="2"/>
  <c r="ET299" i="2"/>
  <c r="EU299" i="2" s="1"/>
  <c r="EQ299" i="2"/>
  <c r="ER299" i="2" s="1"/>
  <c r="EJ299" i="2"/>
  <c r="EE299" i="2"/>
  <c r="EF299" i="2" s="1"/>
  <c r="DX299" i="2"/>
  <c r="DP299" i="2"/>
  <c r="DF299" i="2"/>
  <c r="DE299" i="2"/>
  <c r="CY299" i="2"/>
  <c r="CZ299" i="2" s="1"/>
  <c r="CF299" i="2"/>
  <c r="CH299" i="2"/>
  <c r="CA299" i="2"/>
  <c r="BO299" i="2"/>
  <c r="BJ299" i="2"/>
  <c r="BM299" i="2" s="1"/>
  <c r="BN299" i="2" s="1"/>
  <c r="BC299" i="2"/>
  <c r="AZ299" i="2"/>
  <c r="AY299" i="2"/>
  <c r="AO299" i="2"/>
  <c r="AN299" i="2"/>
  <c r="AM299" i="2"/>
  <c r="AL299" i="2"/>
  <c r="AK299" i="2"/>
  <c r="AG299" i="2"/>
  <c r="AE299" i="2"/>
  <c r="AF299" i="2" s="1"/>
  <c r="U299" i="2"/>
  <c r="S299" i="2"/>
  <c r="T299" i="2" s="1"/>
  <c r="R299" i="2"/>
  <c r="Y299" i="2" s="1"/>
  <c r="AB299" i="2" s="1"/>
  <c r="E299" i="2"/>
  <c r="GR298" i="2"/>
  <c r="GS298" i="2" s="1"/>
  <c r="GP298" i="2"/>
  <c r="GQ298" i="2" s="1"/>
  <c r="DU298" i="2" s="1"/>
  <c r="GN298" i="2"/>
  <c r="GO298" i="2" s="1"/>
  <c r="GL298" i="2"/>
  <c r="GM298" i="2" s="1"/>
  <c r="GH298" i="2"/>
  <c r="GG298" i="2"/>
  <c r="GI298" i="2" s="1"/>
  <c r="GD298" i="2"/>
  <c r="GC298" i="2"/>
  <c r="GB298" i="2"/>
  <c r="FY298" i="2"/>
  <c r="FS298" i="2"/>
  <c r="FT298" i="2" s="1"/>
  <c r="EW298" i="2"/>
  <c r="ET298" i="2"/>
  <c r="EU298" i="2" s="1"/>
  <c r="EQ298" i="2"/>
  <c r="ER298" i="2" s="1"/>
  <c r="EJ298" i="2"/>
  <c r="EE298" i="2"/>
  <c r="EF298" i="2" s="1"/>
  <c r="DX298" i="2"/>
  <c r="DP298" i="2"/>
  <c r="DF298" i="2"/>
  <c r="DH298" i="2" s="1"/>
  <c r="DE298" i="2"/>
  <c r="CY298" i="2"/>
  <c r="CZ298" i="2" s="1"/>
  <c r="CF298" i="2"/>
  <c r="CH298" i="2"/>
  <c r="CA298" i="2"/>
  <c r="BO298" i="2"/>
  <c r="BJ298" i="2"/>
  <c r="BC298" i="2"/>
  <c r="AZ298" i="2"/>
  <c r="AY298" i="2"/>
  <c r="AO298" i="2"/>
  <c r="AN298" i="2"/>
  <c r="AM298" i="2"/>
  <c r="AL298" i="2"/>
  <c r="AK298" i="2"/>
  <c r="AG298" i="2"/>
  <c r="AE298" i="2"/>
  <c r="AF298" i="2" s="1"/>
  <c r="U298" i="2"/>
  <c r="S298" i="2"/>
  <c r="T298" i="2" s="1"/>
  <c r="R298" i="2"/>
  <c r="E298" i="2"/>
  <c r="GR297" i="2"/>
  <c r="GS297" i="2" s="1"/>
  <c r="GP297" i="2"/>
  <c r="GQ297" i="2" s="1"/>
  <c r="DU297" i="2" s="1"/>
  <c r="GN297" i="2"/>
  <c r="GO297" i="2" s="1"/>
  <c r="GL297" i="2"/>
  <c r="GM297" i="2" s="1"/>
  <c r="GH297" i="2"/>
  <c r="GG297" i="2"/>
  <c r="GI297" i="2" s="1"/>
  <c r="GD297" i="2"/>
  <c r="GC297" i="2"/>
  <c r="GB297" i="2"/>
  <c r="FY297" i="2"/>
  <c r="FZ297" i="2" s="1"/>
  <c r="FS297" i="2"/>
  <c r="FT297" i="2" s="1"/>
  <c r="EW297" i="2"/>
  <c r="ET297" i="2"/>
  <c r="EU297" i="2" s="1"/>
  <c r="EQ297" i="2"/>
  <c r="ER297" i="2" s="1"/>
  <c r="EJ297" i="2"/>
  <c r="EE297" i="2"/>
  <c r="EF297" i="2" s="1"/>
  <c r="DX297" i="2"/>
  <c r="DP297" i="2"/>
  <c r="DF297" i="2"/>
  <c r="DH297" i="2" s="1"/>
  <c r="DE297" i="2"/>
  <c r="CY297" i="2"/>
  <c r="CZ297" i="2" s="1"/>
  <c r="CF297" i="2"/>
  <c r="CH297" i="2"/>
  <c r="CA297" i="2"/>
  <c r="BO297" i="2"/>
  <c r="BJ297" i="2"/>
  <c r="BM297" i="2" s="1"/>
  <c r="BN297" i="2" s="1"/>
  <c r="BC297" i="2"/>
  <c r="AZ297" i="2"/>
  <c r="AY297" i="2"/>
  <c r="AO297" i="2"/>
  <c r="AN297" i="2"/>
  <c r="AM297" i="2"/>
  <c r="AL297" i="2"/>
  <c r="AK297" i="2"/>
  <c r="AG297" i="2"/>
  <c r="AE297" i="2"/>
  <c r="AF297" i="2" s="1"/>
  <c r="U297" i="2"/>
  <c r="S297" i="2"/>
  <c r="T297" i="2" s="1"/>
  <c r="R297" i="2"/>
  <c r="E297" i="2"/>
  <c r="GR296" i="2"/>
  <c r="GS296" i="2" s="1"/>
  <c r="GP296" i="2"/>
  <c r="GQ296" i="2" s="1"/>
  <c r="GN296" i="2"/>
  <c r="GO296" i="2" s="1"/>
  <c r="GL296" i="2"/>
  <c r="GM296" i="2" s="1"/>
  <c r="GH296" i="2"/>
  <c r="GG296" i="2"/>
  <c r="GI296" i="2" s="1"/>
  <c r="GD296" i="2"/>
  <c r="GC296" i="2"/>
  <c r="GB296" i="2"/>
  <c r="FY296" i="2"/>
  <c r="FZ296" i="2" s="1"/>
  <c r="FS296" i="2"/>
  <c r="FT296" i="2" s="1"/>
  <c r="EW296" i="2"/>
  <c r="ET296" i="2"/>
  <c r="EU296" i="2" s="1"/>
  <c r="EQ296" i="2"/>
  <c r="ER296" i="2" s="1"/>
  <c r="EJ296" i="2"/>
  <c r="EE296" i="2"/>
  <c r="EF296" i="2" s="1"/>
  <c r="DX296" i="2"/>
  <c r="DP296" i="2"/>
  <c r="DF296" i="2"/>
  <c r="DG296" i="2" s="1"/>
  <c r="DE296" i="2"/>
  <c r="CY296" i="2"/>
  <c r="CZ296" i="2" s="1"/>
  <c r="CF296" i="2"/>
  <c r="CH296" i="2"/>
  <c r="CA296" i="2"/>
  <c r="BO296" i="2"/>
  <c r="BJ296" i="2"/>
  <c r="BM296" i="2" s="1"/>
  <c r="BN296" i="2" s="1"/>
  <c r="BC296" i="2"/>
  <c r="AZ296" i="2"/>
  <c r="AY296" i="2"/>
  <c r="AO296" i="2"/>
  <c r="AN296" i="2"/>
  <c r="AM296" i="2"/>
  <c r="AL296" i="2"/>
  <c r="AK296" i="2"/>
  <c r="AG296" i="2"/>
  <c r="AE296" i="2"/>
  <c r="AF296" i="2" s="1"/>
  <c r="U296" i="2"/>
  <c r="S296" i="2"/>
  <c r="T296" i="2" s="1"/>
  <c r="R296" i="2"/>
  <c r="X296" i="2" s="1"/>
  <c r="E296" i="2"/>
  <c r="GR294" i="2"/>
  <c r="GS294" i="2" s="1"/>
  <c r="GP294" i="2"/>
  <c r="GQ294" i="2" s="1"/>
  <c r="DU294" i="2" s="1"/>
  <c r="GN294" i="2"/>
  <c r="GO294" i="2" s="1"/>
  <c r="GL294" i="2"/>
  <c r="GM294" i="2" s="1"/>
  <c r="GH294" i="2"/>
  <c r="GG294" i="2"/>
  <c r="GI294" i="2" s="1"/>
  <c r="GD294" i="2"/>
  <c r="GC294" i="2"/>
  <c r="GB294" i="2"/>
  <c r="FY294" i="2"/>
  <c r="GA294" i="2" s="1"/>
  <c r="FS294" i="2"/>
  <c r="FT294" i="2" s="1"/>
  <c r="EW294" i="2"/>
  <c r="ET294" i="2"/>
  <c r="EU294" i="2" s="1"/>
  <c r="EQ294" i="2"/>
  <c r="ER294" i="2" s="1"/>
  <c r="EJ294" i="2"/>
  <c r="EE294" i="2"/>
  <c r="EF294" i="2" s="1"/>
  <c r="DX294" i="2"/>
  <c r="DP294" i="2"/>
  <c r="DF294" i="2"/>
  <c r="DH294" i="2" s="1"/>
  <c r="DE294" i="2"/>
  <c r="CY294" i="2"/>
  <c r="CZ294" i="2" s="1"/>
  <c r="CF294" i="2"/>
  <c r="CH294" i="2"/>
  <c r="CA294" i="2"/>
  <c r="CW294" i="2"/>
  <c r="BO294" i="2"/>
  <c r="BJ294" i="2"/>
  <c r="BK294" i="2" s="1"/>
  <c r="CL294" i="2" s="1"/>
  <c r="BC294" i="2"/>
  <c r="AZ294" i="2"/>
  <c r="AY294" i="2"/>
  <c r="AO294" i="2"/>
  <c r="AN294" i="2"/>
  <c r="AM294" i="2"/>
  <c r="AL294" i="2"/>
  <c r="AK294" i="2"/>
  <c r="AG294" i="2"/>
  <c r="AE294" i="2"/>
  <c r="AF294" i="2" s="1"/>
  <c r="U294" i="2"/>
  <c r="S294" i="2"/>
  <c r="T294" i="2" s="1"/>
  <c r="R294" i="2"/>
  <c r="E294" i="2"/>
  <c r="GR293" i="2"/>
  <c r="GS293" i="2" s="1"/>
  <c r="GP293" i="2"/>
  <c r="GQ293" i="2" s="1"/>
  <c r="DU293" i="2" s="1"/>
  <c r="GN293" i="2"/>
  <c r="GO293" i="2" s="1"/>
  <c r="GL293" i="2"/>
  <c r="GM293" i="2" s="1"/>
  <c r="GH293" i="2"/>
  <c r="GG293" i="2"/>
  <c r="GI293" i="2" s="1"/>
  <c r="GD293" i="2"/>
  <c r="GC293" i="2"/>
  <c r="GB293" i="2"/>
  <c r="FY293" i="2"/>
  <c r="GA293" i="2" s="1"/>
  <c r="FS293" i="2"/>
  <c r="FT293" i="2" s="1"/>
  <c r="EW293" i="2"/>
  <c r="ET293" i="2"/>
  <c r="EU293" i="2" s="1"/>
  <c r="EQ293" i="2"/>
  <c r="ER293" i="2" s="1"/>
  <c r="EJ293" i="2"/>
  <c r="EE293" i="2"/>
  <c r="EF293" i="2" s="1"/>
  <c r="DX293" i="2"/>
  <c r="DP293" i="2"/>
  <c r="DF293" i="2"/>
  <c r="DH293" i="2" s="1"/>
  <c r="DE293" i="2"/>
  <c r="CY293" i="2"/>
  <c r="CZ293" i="2" s="1"/>
  <c r="CF293" i="2"/>
  <c r="CH293" i="2"/>
  <c r="CA293" i="2"/>
  <c r="CW293" i="2"/>
  <c r="BO293" i="2"/>
  <c r="BJ293" i="2"/>
  <c r="BM293" i="2" s="1"/>
  <c r="BN293" i="2" s="1"/>
  <c r="BC293" i="2"/>
  <c r="AZ293" i="2"/>
  <c r="AY293" i="2"/>
  <c r="AO293" i="2"/>
  <c r="AN293" i="2"/>
  <c r="AM293" i="2"/>
  <c r="AL293" i="2"/>
  <c r="AK293" i="2"/>
  <c r="AG293" i="2"/>
  <c r="AE293" i="2"/>
  <c r="AF293" i="2" s="1"/>
  <c r="U293" i="2"/>
  <c r="S293" i="2"/>
  <c r="R293" i="2"/>
  <c r="E293" i="2"/>
  <c r="GN266" i="2"/>
  <c r="GO266" i="2" s="1"/>
  <c r="GL266" i="2"/>
  <c r="GM266" i="2" s="1"/>
  <c r="GH266" i="2"/>
  <c r="GG266" i="2"/>
  <c r="GI266" i="2" s="1"/>
  <c r="GD266" i="2"/>
  <c r="GC266" i="2"/>
  <c r="GB266" i="2"/>
  <c r="FY266" i="2"/>
  <c r="GA266" i="2" s="1"/>
  <c r="FS266" i="2"/>
  <c r="FT266" i="2" s="1"/>
  <c r="EW266" i="2"/>
  <c r="ET266" i="2"/>
  <c r="EU266" i="2" s="1"/>
  <c r="EQ266" i="2"/>
  <c r="ER266" i="2" s="1"/>
  <c r="EJ266" i="2"/>
  <c r="DP266" i="2"/>
  <c r="DF266" i="2"/>
  <c r="DG266" i="2" s="1"/>
  <c r="DE266" i="2"/>
  <c r="CY266" i="2"/>
  <c r="CZ266" i="2" s="1"/>
  <c r="CF266" i="2"/>
  <c r="CH266" i="2"/>
  <c r="CA266" i="2"/>
  <c r="BO266" i="2"/>
  <c r="BJ266" i="2"/>
  <c r="BM266" i="2" s="1"/>
  <c r="BN266" i="2" s="1"/>
  <c r="BC266" i="2"/>
  <c r="AZ266" i="2"/>
  <c r="AY266" i="2"/>
  <c r="AO266" i="2"/>
  <c r="AN266" i="2"/>
  <c r="AM266" i="2"/>
  <c r="AL266" i="2"/>
  <c r="AK266" i="2"/>
  <c r="AG266" i="2"/>
  <c r="AE266" i="2"/>
  <c r="AF266" i="2" s="1"/>
  <c r="U266" i="2"/>
  <c r="S266" i="2"/>
  <c r="R266" i="2"/>
  <c r="GR291" i="2"/>
  <c r="GS291" i="2" s="1"/>
  <c r="GP291" i="2"/>
  <c r="GQ291" i="2" s="1"/>
  <c r="DU291" i="2" s="1"/>
  <c r="GN291" i="2"/>
  <c r="GO291" i="2" s="1"/>
  <c r="GL291" i="2"/>
  <c r="GM291" i="2" s="1"/>
  <c r="GH291" i="2"/>
  <c r="GG291" i="2"/>
  <c r="GI291" i="2" s="1"/>
  <c r="GD291" i="2"/>
  <c r="GC291" i="2"/>
  <c r="GB291" i="2"/>
  <c r="FY291" i="2"/>
  <c r="FS291" i="2"/>
  <c r="FT291" i="2" s="1"/>
  <c r="EW291" i="2"/>
  <c r="ET291" i="2"/>
  <c r="EU291" i="2" s="1"/>
  <c r="EQ291" i="2"/>
  <c r="ER291" i="2" s="1"/>
  <c r="EJ291" i="2"/>
  <c r="EE291" i="2"/>
  <c r="EF291" i="2" s="1"/>
  <c r="DX291" i="2"/>
  <c r="DP291" i="2"/>
  <c r="DF291" i="2"/>
  <c r="DH291" i="2" s="1"/>
  <c r="DE291" i="2"/>
  <c r="CY291" i="2"/>
  <c r="CZ291" i="2" s="1"/>
  <c r="CF291" i="2"/>
  <c r="CH291" i="2"/>
  <c r="CA291" i="2"/>
  <c r="CW291" i="2"/>
  <c r="BO291" i="2"/>
  <c r="BJ291" i="2"/>
  <c r="BK291" i="2" s="1"/>
  <c r="CL291" i="2" s="1"/>
  <c r="BC291" i="2"/>
  <c r="AZ291" i="2"/>
  <c r="AY291" i="2"/>
  <c r="AO291" i="2"/>
  <c r="AN291" i="2"/>
  <c r="AM291" i="2"/>
  <c r="AL291" i="2"/>
  <c r="AK291" i="2"/>
  <c r="AG291" i="2"/>
  <c r="AE291" i="2"/>
  <c r="AF291" i="2" s="1"/>
  <c r="U291" i="2"/>
  <c r="S291" i="2"/>
  <c r="R291" i="2"/>
  <c r="X291" i="2" s="1"/>
  <c r="AA291" i="2" s="1"/>
  <c r="E291" i="2"/>
  <c r="GR290" i="2"/>
  <c r="GS290" i="2" s="1"/>
  <c r="GP290" i="2"/>
  <c r="GQ290" i="2" s="1"/>
  <c r="DU290" i="2" s="1"/>
  <c r="GN290" i="2"/>
  <c r="GO290" i="2" s="1"/>
  <c r="GL290" i="2"/>
  <c r="GM290" i="2" s="1"/>
  <c r="GH290" i="2"/>
  <c r="GG290" i="2"/>
  <c r="GI290" i="2" s="1"/>
  <c r="GD290" i="2"/>
  <c r="GC290" i="2"/>
  <c r="GB290" i="2"/>
  <c r="FY290" i="2"/>
  <c r="FS290" i="2"/>
  <c r="FT290" i="2" s="1"/>
  <c r="EW290" i="2"/>
  <c r="ET290" i="2"/>
  <c r="EU290" i="2" s="1"/>
  <c r="EQ290" i="2"/>
  <c r="ER290" i="2" s="1"/>
  <c r="EJ290" i="2"/>
  <c r="EE290" i="2"/>
  <c r="EF290" i="2" s="1"/>
  <c r="DX290" i="2"/>
  <c r="DP290" i="2"/>
  <c r="DF290" i="2"/>
  <c r="DH290" i="2" s="1"/>
  <c r="DE290" i="2"/>
  <c r="CY290" i="2"/>
  <c r="CZ290" i="2" s="1"/>
  <c r="CF290" i="2"/>
  <c r="CH290" i="2"/>
  <c r="CA290" i="2"/>
  <c r="CW290" i="2"/>
  <c r="BO290" i="2"/>
  <c r="BJ290" i="2"/>
  <c r="BC290" i="2"/>
  <c r="AZ290" i="2"/>
  <c r="AY290" i="2"/>
  <c r="AO290" i="2"/>
  <c r="AN290" i="2"/>
  <c r="AM290" i="2"/>
  <c r="AL290" i="2"/>
  <c r="AK290" i="2"/>
  <c r="AG290" i="2"/>
  <c r="AE290" i="2"/>
  <c r="AF290" i="2" s="1"/>
  <c r="U290" i="2"/>
  <c r="S290" i="2"/>
  <c r="R290" i="2"/>
  <c r="X290" i="2" s="1"/>
  <c r="AA290" i="2" s="1"/>
  <c r="E290" i="2"/>
  <c r="GR289" i="2"/>
  <c r="GS289" i="2" s="1"/>
  <c r="GP289" i="2"/>
  <c r="GQ289" i="2" s="1"/>
  <c r="DU289" i="2" s="1"/>
  <c r="GN289" i="2"/>
  <c r="GO289" i="2" s="1"/>
  <c r="GL289" i="2"/>
  <c r="GM289" i="2" s="1"/>
  <c r="GH289" i="2"/>
  <c r="GG289" i="2"/>
  <c r="GI289" i="2" s="1"/>
  <c r="GD289" i="2"/>
  <c r="GC289" i="2"/>
  <c r="GB289" i="2"/>
  <c r="FY289" i="2"/>
  <c r="FS289" i="2"/>
  <c r="FT289" i="2" s="1"/>
  <c r="EW289" i="2"/>
  <c r="ET289" i="2"/>
  <c r="EU289" i="2" s="1"/>
  <c r="EQ289" i="2"/>
  <c r="ER289" i="2" s="1"/>
  <c r="EJ289" i="2"/>
  <c r="EE289" i="2"/>
  <c r="EF289" i="2" s="1"/>
  <c r="DX289" i="2"/>
  <c r="DP289" i="2"/>
  <c r="DF289" i="2"/>
  <c r="DH289" i="2" s="1"/>
  <c r="DE289" i="2"/>
  <c r="CY289" i="2"/>
  <c r="CZ289" i="2" s="1"/>
  <c r="CF289" i="2"/>
  <c r="CH289" i="2"/>
  <c r="CA289" i="2"/>
  <c r="BO289" i="2"/>
  <c r="BJ289" i="2"/>
  <c r="BK289" i="2" s="1"/>
  <c r="CL289" i="2" s="1"/>
  <c r="BC289" i="2"/>
  <c r="AZ289" i="2"/>
  <c r="AY289" i="2"/>
  <c r="AO289" i="2"/>
  <c r="AN289" i="2"/>
  <c r="AM289" i="2"/>
  <c r="AL289" i="2"/>
  <c r="AK289" i="2"/>
  <c r="AG289" i="2"/>
  <c r="AE289" i="2"/>
  <c r="AF289" i="2" s="1"/>
  <c r="U289" i="2"/>
  <c r="S289" i="2"/>
  <c r="T289" i="2" s="1"/>
  <c r="R289" i="2"/>
  <c r="Y289" i="2" s="1"/>
  <c r="AB289" i="2" s="1"/>
  <c r="E289" i="2"/>
  <c r="GR288" i="2"/>
  <c r="GS288" i="2" s="1"/>
  <c r="GP288" i="2"/>
  <c r="GQ288" i="2" s="1"/>
  <c r="GN288" i="2"/>
  <c r="GO288" i="2" s="1"/>
  <c r="GL288" i="2"/>
  <c r="GM288" i="2" s="1"/>
  <c r="GH288" i="2"/>
  <c r="GG288" i="2"/>
  <c r="GI288" i="2" s="1"/>
  <c r="GD288" i="2"/>
  <c r="GC288" i="2"/>
  <c r="GB288" i="2"/>
  <c r="FY288" i="2"/>
  <c r="FZ288" i="2" s="1"/>
  <c r="FS288" i="2"/>
  <c r="FT288" i="2" s="1"/>
  <c r="EW288" i="2"/>
  <c r="ET288" i="2"/>
  <c r="EU288" i="2" s="1"/>
  <c r="EQ288" i="2"/>
  <c r="ER288" i="2" s="1"/>
  <c r="EJ288" i="2"/>
  <c r="EE288" i="2"/>
  <c r="EF288" i="2" s="1"/>
  <c r="DX288" i="2"/>
  <c r="DP288" i="2"/>
  <c r="DF288" i="2"/>
  <c r="DG288" i="2" s="1"/>
  <c r="DE288" i="2"/>
  <c r="CY288" i="2"/>
  <c r="CZ288" i="2" s="1"/>
  <c r="CF288" i="2"/>
  <c r="CH288" i="2"/>
  <c r="CA288" i="2"/>
  <c r="BO288" i="2"/>
  <c r="BJ288" i="2"/>
  <c r="BK288" i="2" s="1"/>
  <c r="CL288" i="2" s="1"/>
  <c r="BC288" i="2"/>
  <c r="AZ288" i="2"/>
  <c r="AY288" i="2"/>
  <c r="AO288" i="2"/>
  <c r="AN288" i="2"/>
  <c r="AM288" i="2"/>
  <c r="AL288" i="2"/>
  <c r="AK288" i="2"/>
  <c r="AG288" i="2"/>
  <c r="AE288" i="2"/>
  <c r="AF288" i="2" s="1"/>
  <c r="U288" i="2"/>
  <c r="S288" i="2"/>
  <c r="R288" i="2"/>
  <c r="Y288" i="2" s="1"/>
  <c r="AB288" i="2" s="1"/>
  <c r="E288" i="2"/>
  <c r="GR287" i="2"/>
  <c r="GS287" i="2" s="1"/>
  <c r="GP287" i="2"/>
  <c r="GQ287" i="2" s="1"/>
  <c r="DU287" i="2" s="1"/>
  <c r="GN287" i="2"/>
  <c r="GO287" i="2" s="1"/>
  <c r="GL287" i="2"/>
  <c r="GM287" i="2" s="1"/>
  <c r="GH287" i="2"/>
  <c r="GG287" i="2"/>
  <c r="GI287" i="2" s="1"/>
  <c r="GD287" i="2"/>
  <c r="GC287" i="2"/>
  <c r="GB287" i="2"/>
  <c r="FY287" i="2"/>
  <c r="FZ287" i="2" s="1"/>
  <c r="FS287" i="2"/>
  <c r="FT287" i="2" s="1"/>
  <c r="EW287" i="2"/>
  <c r="ET287" i="2"/>
  <c r="EU287" i="2" s="1"/>
  <c r="EQ287" i="2"/>
  <c r="ER287" i="2" s="1"/>
  <c r="EJ287" i="2"/>
  <c r="EE287" i="2"/>
  <c r="EF287" i="2" s="1"/>
  <c r="DX287" i="2"/>
  <c r="DP287" i="2"/>
  <c r="DF287" i="2"/>
  <c r="DH287" i="2" s="1"/>
  <c r="DE287" i="2"/>
  <c r="CY287" i="2"/>
  <c r="CZ287" i="2" s="1"/>
  <c r="CF287" i="2"/>
  <c r="CH287" i="2"/>
  <c r="CA287" i="2"/>
  <c r="CR287" i="2"/>
  <c r="BO287" i="2"/>
  <c r="BJ287" i="2"/>
  <c r="BM287" i="2" s="1"/>
  <c r="BN287" i="2" s="1"/>
  <c r="BC287" i="2"/>
  <c r="AZ287" i="2"/>
  <c r="AY287" i="2"/>
  <c r="AO287" i="2"/>
  <c r="AN287" i="2"/>
  <c r="AM287" i="2"/>
  <c r="AL287" i="2"/>
  <c r="AK287" i="2"/>
  <c r="AG287" i="2"/>
  <c r="AE287" i="2"/>
  <c r="AF287" i="2" s="1"/>
  <c r="U287" i="2"/>
  <c r="S287" i="2"/>
  <c r="R287" i="2"/>
  <c r="E287" i="2"/>
  <c r="GR286" i="2"/>
  <c r="GS286" i="2" s="1"/>
  <c r="GP286" i="2"/>
  <c r="GQ286" i="2" s="1"/>
  <c r="GN286" i="2"/>
  <c r="GO286" i="2" s="1"/>
  <c r="GL286" i="2"/>
  <c r="GM286" i="2" s="1"/>
  <c r="GH286" i="2"/>
  <c r="GG286" i="2"/>
  <c r="GI286" i="2" s="1"/>
  <c r="GD286" i="2"/>
  <c r="GC286" i="2"/>
  <c r="GB286" i="2"/>
  <c r="FY286" i="2"/>
  <c r="GA286" i="2" s="1"/>
  <c r="FS286" i="2"/>
  <c r="FT286" i="2" s="1"/>
  <c r="EW286" i="2"/>
  <c r="ET286" i="2"/>
  <c r="EU286" i="2" s="1"/>
  <c r="EQ286" i="2"/>
  <c r="ER286" i="2" s="1"/>
  <c r="EJ286" i="2"/>
  <c r="EE286" i="2"/>
  <c r="EF286" i="2" s="1"/>
  <c r="DX286" i="2"/>
  <c r="DP286" i="2"/>
  <c r="DF286" i="2"/>
  <c r="DH286" i="2" s="1"/>
  <c r="DE286" i="2"/>
  <c r="CY286" i="2"/>
  <c r="CZ286" i="2" s="1"/>
  <c r="CF286" i="2"/>
  <c r="CH286" i="2"/>
  <c r="CA286" i="2"/>
  <c r="CW286" i="2"/>
  <c r="BO286" i="2"/>
  <c r="BJ286" i="2"/>
  <c r="BM286" i="2" s="1"/>
  <c r="BN286" i="2" s="1"/>
  <c r="BC286" i="2"/>
  <c r="AZ286" i="2"/>
  <c r="AY286" i="2"/>
  <c r="AO286" i="2"/>
  <c r="AN286" i="2"/>
  <c r="AM286" i="2"/>
  <c r="AL286" i="2"/>
  <c r="AK286" i="2"/>
  <c r="AG286" i="2"/>
  <c r="AE286" i="2"/>
  <c r="AF286" i="2" s="1"/>
  <c r="U286" i="2"/>
  <c r="S286" i="2"/>
  <c r="R286" i="2"/>
  <c r="E286" i="2"/>
  <c r="GR285" i="2"/>
  <c r="GS285" i="2" s="1"/>
  <c r="GP285" i="2"/>
  <c r="GQ285" i="2" s="1"/>
  <c r="GN285" i="2"/>
  <c r="GO285" i="2" s="1"/>
  <c r="GL285" i="2"/>
  <c r="GM285" i="2" s="1"/>
  <c r="GH285" i="2"/>
  <c r="GG285" i="2"/>
  <c r="GI285" i="2" s="1"/>
  <c r="GD285" i="2"/>
  <c r="GC285" i="2"/>
  <c r="GB285" i="2"/>
  <c r="FY285" i="2"/>
  <c r="GA285" i="2" s="1"/>
  <c r="FS285" i="2"/>
  <c r="FT285" i="2" s="1"/>
  <c r="EW285" i="2"/>
  <c r="ET285" i="2"/>
  <c r="EU285" i="2" s="1"/>
  <c r="EQ285" i="2"/>
  <c r="ER285" i="2" s="1"/>
  <c r="EJ285" i="2"/>
  <c r="EE285" i="2"/>
  <c r="EF285" i="2" s="1"/>
  <c r="DX285" i="2"/>
  <c r="DP285" i="2"/>
  <c r="DF285" i="2"/>
  <c r="DE285" i="2"/>
  <c r="CY285" i="2"/>
  <c r="CZ285" i="2" s="1"/>
  <c r="CF285" i="2"/>
  <c r="CH285" i="2"/>
  <c r="CA285" i="2"/>
  <c r="CW285" i="2"/>
  <c r="BO285" i="2"/>
  <c r="BJ285" i="2"/>
  <c r="BM285" i="2" s="1"/>
  <c r="BN285" i="2" s="1"/>
  <c r="BC285" i="2"/>
  <c r="AZ285" i="2"/>
  <c r="AY285" i="2"/>
  <c r="AO285" i="2"/>
  <c r="AN285" i="2"/>
  <c r="AM285" i="2"/>
  <c r="AL285" i="2"/>
  <c r="AK285" i="2"/>
  <c r="AG285" i="2"/>
  <c r="AE285" i="2"/>
  <c r="AF285" i="2" s="1"/>
  <c r="U285" i="2"/>
  <c r="S285" i="2"/>
  <c r="R285" i="2"/>
  <c r="E285" i="2"/>
  <c r="GR284" i="2"/>
  <c r="GS284" i="2" s="1"/>
  <c r="GP284" i="2"/>
  <c r="GQ284" i="2" s="1"/>
  <c r="GN284" i="2"/>
  <c r="GO284" i="2" s="1"/>
  <c r="GL284" i="2"/>
  <c r="GM284" i="2" s="1"/>
  <c r="GH284" i="2"/>
  <c r="GG284" i="2"/>
  <c r="GI284" i="2" s="1"/>
  <c r="GD284" i="2"/>
  <c r="GC284" i="2"/>
  <c r="GB284" i="2"/>
  <c r="FY284" i="2"/>
  <c r="GA284" i="2" s="1"/>
  <c r="FS284" i="2"/>
  <c r="FT284" i="2" s="1"/>
  <c r="EW284" i="2"/>
  <c r="ET284" i="2"/>
  <c r="EU284" i="2" s="1"/>
  <c r="EQ284" i="2"/>
  <c r="ER284" i="2" s="1"/>
  <c r="EJ284" i="2"/>
  <c r="EE284" i="2"/>
  <c r="EF284" i="2" s="1"/>
  <c r="DX284" i="2"/>
  <c r="DP284" i="2"/>
  <c r="DF284" i="2"/>
  <c r="DH284" i="2" s="1"/>
  <c r="DE284" i="2"/>
  <c r="CY284" i="2"/>
  <c r="CZ284" i="2" s="1"/>
  <c r="CF284" i="2"/>
  <c r="CH284" i="2"/>
  <c r="CA284" i="2"/>
  <c r="CW284" i="2"/>
  <c r="BO284" i="2"/>
  <c r="BJ284" i="2"/>
  <c r="BM284" i="2" s="1"/>
  <c r="BN284" i="2" s="1"/>
  <c r="BC284" i="2"/>
  <c r="AZ284" i="2"/>
  <c r="AY284" i="2"/>
  <c r="AO284" i="2"/>
  <c r="AN284" i="2"/>
  <c r="AM284" i="2"/>
  <c r="AL284" i="2"/>
  <c r="AK284" i="2"/>
  <c r="AG284" i="2"/>
  <c r="AE284" i="2"/>
  <c r="AF284" i="2" s="1"/>
  <c r="U284" i="2"/>
  <c r="S284" i="2"/>
  <c r="R284" i="2"/>
  <c r="E284" i="2"/>
  <c r="GR283" i="2"/>
  <c r="GS283" i="2" s="1"/>
  <c r="GP283" i="2"/>
  <c r="GQ283" i="2" s="1"/>
  <c r="GN283" i="2"/>
  <c r="GO283" i="2" s="1"/>
  <c r="GL283" i="2"/>
  <c r="GM283" i="2" s="1"/>
  <c r="GH283" i="2"/>
  <c r="GG283" i="2"/>
  <c r="GI283" i="2" s="1"/>
  <c r="GD283" i="2"/>
  <c r="GC283" i="2"/>
  <c r="GB283" i="2"/>
  <c r="FY283" i="2"/>
  <c r="GA283" i="2" s="1"/>
  <c r="FS283" i="2"/>
  <c r="FT283" i="2" s="1"/>
  <c r="EW283" i="2"/>
  <c r="ET283" i="2"/>
  <c r="EU283" i="2" s="1"/>
  <c r="EQ283" i="2"/>
  <c r="ER283" i="2" s="1"/>
  <c r="EJ283" i="2"/>
  <c r="EE283" i="2"/>
  <c r="EF283" i="2" s="1"/>
  <c r="DX283" i="2"/>
  <c r="DP283" i="2"/>
  <c r="DF283" i="2"/>
  <c r="DH283" i="2" s="1"/>
  <c r="DE283" i="2"/>
  <c r="CY283" i="2"/>
  <c r="CZ283" i="2" s="1"/>
  <c r="CF283" i="2"/>
  <c r="CH283" i="2"/>
  <c r="CA283" i="2"/>
  <c r="CW283" i="2"/>
  <c r="BO283" i="2"/>
  <c r="BJ283" i="2"/>
  <c r="BM283" i="2" s="1"/>
  <c r="BN283" i="2" s="1"/>
  <c r="BC283" i="2"/>
  <c r="AZ283" i="2"/>
  <c r="AY283" i="2"/>
  <c r="AO283" i="2"/>
  <c r="AN283" i="2"/>
  <c r="AM283" i="2"/>
  <c r="AL283" i="2"/>
  <c r="AK283" i="2"/>
  <c r="AG283" i="2"/>
  <c r="AE283" i="2"/>
  <c r="AF283" i="2" s="1"/>
  <c r="U283" i="2"/>
  <c r="S283" i="2"/>
  <c r="R283" i="2"/>
  <c r="E283" i="2"/>
  <c r="GR282" i="2"/>
  <c r="GS282" i="2" s="1"/>
  <c r="GP282" i="2"/>
  <c r="GQ282" i="2" s="1"/>
  <c r="GN282" i="2"/>
  <c r="GO282" i="2" s="1"/>
  <c r="GL282" i="2"/>
  <c r="GM282" i="2" s="1"/>
  <c r="GH282" i="2"/>
  <c r="GG282" i="2"/>
  <c r="GI282" i="2" s="1"/>
  <c r="GD282" i="2"/>
  <c r="GC282" i="2"/>
  <c r="GB282" i="2"/>
  <c r="FY282" i="2"/>
  <c r="GA282" i="2" s="1"/>
  <c r="FS282" i="2"/>
  <c r="FT282" i="2" s="1"/>
  <c r="EW282" i="2"/>
  <c r="ET282" i="2"/>
  <c r="EU282" i="2" s="1"/>
  <c r="EQ282" i="2"/>
  <c r="ER282" i="2" s="1"/>
  <c r="EJ282" i="2"/>
  <c r="EE282" i="2"/>
  <c r="EF282" i="2" s="1"/>
  <c r="DX282" i="2"/>
  <c r="DP282" i="2"/>
  <c r="DF282" i="2"/>
  <c r="DH282" i="2" s="1"/>
  <c r="DE282" i="2"/>
  <c r="CY282" i="2"/>
  <c r="CZ282" i="2" s="1"/>
  <c r="CF282" i="2"/>
  <c r="CH282" i="2"/>
  <c r="CA282" i="2"/>
  <c r="CW282" i="2"/>
  <c r="BO282" i="2"/>
  <c r="BJ282" i="2"/>
  <c r="BM282" i="2" s="1"/>
  <c r="BN282" i="2" s="1"/>
  <c r="BC282" i="2"/>
  <c r="AZ282" i="2"/>
  <c r="AY282" i="2"/>
  <c r="AO282" i="2"/>
  <c r="AN282" i="2"/>
  <c r="AM282" i="2"/>
  <c r="AL282" i="2"/>
  <c r="AK282" i="2"/>
  <c r="AG282" i="2"/>
  <c r="AE282" i="2"/>
  <c r="AF282" i="2" s="1"/>
  <c r="U282" i="2"/>
  <c r="S282" i="2"/>
  <c r="R282" i="2"/>
  <c r="E282" i="2"/>
  <c r="GR281" i="2"/>
  <c r="GS281" i="2" s="1"/>
  <c r="GP281" i="2"/>
  <c r="GQ281" i="2" s="1"/>
  <c r="GN281" i="2"/>
  <c r="GO281" i="2" s="1"/>
  <c r="GL281" i="2"/>
  <c r="GM281" i="2" s="1"/>
  <c r="GH281" i="2"/>
  <c r="GG281" i="2"/>
  <c r="GI281" i="2" s="1"/>
  <c r="GD281" i="2"/>
  <c r="GC281" i="2"/>
  <c r="GB281" i="2"/>
  <c r="FY281" i="2"/>
  <c r="GA281" i="2" s="1"/>
  <c r="FS281" i="2"/>
  <c r="FT281" i="2" s="1"/>
  <c r="EW281" i="2"/>
  <c r="ET281" i="2"/>
  <c r="EU281" i="2" s="1"/>
  <c r="EQ281" i="2"/>
  <c r="ER281" i="2" s="1"/>
  <c r="EJ281" i="2"/>
  <c r="EE281" i="2"/>
  <c r="EF281" i="2" s="1"/>
  <c r="DX281" i="2"/>
  <c r="DP281" i="2"/>
  <c r="DF281" i="2"/>
  <c r="DH281" i="2" s="1"/>
  <c r="DE281" i="2"/>
  <c r="CY281" i="2"/>
  <c r="CZ281" i="2" s="1"/>
  <c r="CF281" i="2"/>
  <c r="CH281" i="2"/>
  <c r="CA281" i="2"/>
  <c r="CW281" i="2"/>
  <c r="BO281" i="2"/>
  <c r="BJ281" i="2"/>
  <c r="BM281" i="2" s="1"/>
  <c r="BN281" i="2" s="1"/>
  <c r="BC281" i="2"/>
  <c r="AZ281" i="2"/>
  <c r="AY281" i="2"/>
  <c r="AO281" i="2"/>
  <c r="AN281" i="2"/>
  <c r="AM281" i="2"/>
  <c r="AL281" i="2"/>
  <c r="AK281" i="2"/>
  <c r="AG281" i="2"/>
  <c r="AE281" i="2"/>
  <c r="AF281" i="2" s="1"/>
  <c r="U281" i="2"/>
  <c r="S281" i="2"/>
  <c r="R281" i="2"/>
  <c r="E281" i="2"/>
  <c r="GR280" i="2"/>
  <c r="GS280" i="2" s="1"/>
  <c r="GP280" i="2"/>
  <c r="GQ280" i="2" s="1"/>
  <c r="GN280" i="2"/>
  <c r="GO280" i="2" s="1"/>
  <c r="GL280" i="2"/>
  <c r="GM280" i="2" s="1"/>
  <c r="GH280" i="2"/>
  <c r="GG280" i="2"/>
  <c r="GI280" i="2" s="1"/>
  <c r="GD280" i="2"/>
  <c r="GC280" i="2"/>
  <c r="GB280" i="2"/>
  <c r="FY280" i="2"/>
  <c r="GA280" i="2" s="1"/>
  <c r="FS280" i="2"/>
  <c r="FT280" i="2" s="1"/>
  <c r="EW280" i="2"/>
  <c r="ET280" i="2"/>
  <c r="EU280" i="2" s="1"/>
  <c r="EQ280" i="2"/>
  <c r="ER280" i="2" s="1"/>
  <c r="EJ280" i="2"/>
  <c r="EE280" i="2"/>
  <c r="EF280" i="2" s="1"/>
  <c r="DX280" i="2"/>
  <c r="DP280" i="2"/>
  <c r="DF280" i="2"/>
  <c r="DH280" i="2" s="1"/>
  <c r="DE280" i="2"/>
  <c r="CY280" i="2"/>
  <c r="CZ280" i="2" s="1"/>
  <c r="CF280" i="2"/>
  <c r="CH280" i="2"/>
  <c r="CA280" i="2"/>
  <c r="CW280" i="2"/>
  <c r="BO280" i="2"/>
  <c r="BJ280" i="2"/>
  <c r="BM280" i="2" s="1"/>
  <c r="BN280" i="2" s="1"/>
  <c r="BC280" i="2"/>
  <c r="AZ280" i="2"/>
  <c r="AY280" i="2"/>
  <c r="AO280" i="2"/>
  <c r="AN280" i="2"/>
  <c r="AM280" i="2"/>
  <c r="AL280" i="2"/>
  <c r="AK280" i="2"/>
  <c r="AG280" i="2"/>
  <c r="AE280" i="2"/>
  <c r="AF280" i="2" s="1"/>
  <c r="U280" i="2"/>
  <c r="S280" i="2"/>
  <c r="T280" i="2" s="1"/>
  <c r="R280" i="2"/>
  <c r="E280" i="2"/>
  <c r="GR279" i="2"/>
  <c r="GS279" i="2" s="1"/>
  <c r="GP279" i="2"/>
  <c r="GQ279" i="2" s="1"/>
  <c r="DU279" i="2" s="1"/>
  <c r="GN279" i="2"/>
  <c r="GO279" i="2" s="1"/>
  <c r="GL279" i="2"/>
  <c r="GM279" i="2" s="1"/>
  <c r="GH279" i="2"/>
  <c r="GG279" i="2"/>
  <c r="GI279" i="2" s="1"/>
  <c r="GD279" i="2"/>
  <c r="GC279" i="2"/>
  <c r="GB279" i="2"/>
  <c r="FY279" i="2"/>
  <c r="FS279" i="2"/>
  <c r="FT279" i="2" s="1"/>
  <c r="EW279" i="2"/>
  <c r="ET279" i="2"/>
  <c r="EU279" i="2" s="1"/>
  <c r="EQ279" i="2"/>
  <c r="ER279" i="2" s="1"/>
  <c r="EJ279" i="2"/>
  <c r="EE279" i="2"/>
  <c r="EF279" i="2" s="1"/>
  <c r="DX279" i="2"/>
  <c r="DP279" i="2"/>
  <c r="DF279" i="2"/>
  <c r="DH279" i="2" s="1"/>
  <c r="DE279" i="2"/>
  <c r="CY279" i="2"/>
  <c r="CZ279" i="2" s="1"/>
  <c r="CF279" i="2"/>
  <c r="CH279" i="2"/>
  <c r="CA279" i="2"/>
  <c r="CW279" i="2"/>
  <c r="BO279" i="2"/>
  <c r="BJ279" i="2"/>
  <c r="BM279" i="2" s="1"/>
  <c r="BN279" i="2" s="1"/>
  <c r="BC279" i="2"/>
  <c r="AZ279" i="2"/>
  <c r="AY279" i="2"/>
  <c r="AO279" i="2"/>
  <c r="AN279" i="2"/>
  <c r="AM279" i="2"/>
  <c r="AL279" i="2"/>
  <c r="AK279" i="2"/>
  <c r="AG279" i="2"/>
  <c r="AE279" i="2"/>
  <c r="AF279" i="2" s="1"/>
  <c r="U279" i="2"/>
  <c r="S279" i="2"/>
  <c r="T279" i="2" s="1"/>
  <c r="R279" i="2"/>
  <c r="E279" i="2"/>
  <c r="GR278" i="2"/>
  <c r="GS278" i="2" s="1"/>
  <c r="GP278" i="2"/>
  <c r="GQ278" i="2" s="1"/>
  <c r="DU278" i="2" s="1"/>
  <c r="GN278" i="2"/>
  <c r="GO278" i="2" s="1"/>
  <c r="GL278" i="2"/>
  <c r="GM278" i="2" s="1"/>
  <c r="GH278" i="2"/>
  <c r="GG278" i="2"/>
  <c r="GI278" i="2" s="1"/>
  <c r="GD278" i="2"/>
  <c r="GC278" i="2"/>
  <c r="GB278" i="2"/>
  <c r="FY278" i="2"/>
  <c r="FS278" i="2"/>
  <c r="FT278" i="2" s="1"/>
  <c r="EW278" i="2"/>
  <c r="ET278" i="2"/>
  <c r="EU278" i="2" s="1"/>
  <c r="EQ278" i="2"/>
  <c r="ER278" i="2" s="1"/>
  <c r="EJ278" i="2"/>
  <c r="EE278" i="2"/>
  <c r="EF278" i="2" s="1"/>
  <c r="DX278" i="2"/>
  <c r="DP278" i="2"/>
  <c r="DF278" i="2"/>
  <c r="DH278" i="2" s="1"/>
  <c r="DE278" i="2"/>
  <c r="CY278" i="2"/>
  <c r="CZ278" i="2" s="1"/>
  <c r="CF278" i="2"/>
  <c r="CH278" i="2"/>
  <c r="CA278" i="2"/>
  <c r="CW278" i="2"/>
  <c r="BO278" i="2"/>
  <c r="BJ278" i="2"/>
  <c r="BM278" i="2" s="1"/>
  <c r="BN278" i="2" s="1"/>
  <c r="BC278" i="2"/>
  <c r="AZ278" i="2"/>
  <c r="AY278" i="2"/>
  <c r="AO278" i="2"/>
  <c r="AN278" i="2"/>
  <c r="AM278" i="2"/>
  <c r="AL278" i="2"/>
  <c r="AK278" i="2"/>
  <c r="AG278" i="2"/>
  <c r="AE278" i="2"/>
  <c r="AF278" i="2" s="1"/>
  <c r="U278" i="2"/>
  <c r="S278" i="2"/>
  <c r="T278" i="2" s="1"/>
  <c r="R278" i="2"/>
  <c r="E278" i="2"/>
  <c r="GR277" i="2"/>
  <c r="GS277" i="2" s="1"/>
  <c r="GP277" i="2"/>
  <c r="GQ277" i="2" s="1"/>
  <c r="GN277" i="2"/>
  <c r="GO277" i="2" s="1"/>
  <c r="GL277" i="2"/>
  <c r="GM277" i="2" s="1"/>
  <c r="GH277" i="2"/>
  <c r="GG277" i="2"/>
  <c r="GI277" i="2" s="1"/>
  <c r="GD277" i="2"/>
  <c r="GC277" i="2"/>
  <c r="GB277" i="2"/>
  <c r="FY277" i="2"/>
  <c r="FS277" i="2"/>
  <c r="FT277" i="2" s="1"/>
  <c r="EW277" i="2"/>
  <c r="ET277" i="2"/>
  <c r="EU277" i="2" s="1"/>
  <c r="EQ277" i="2"/>
  <c r="ER277" i="2" s="1"/>
  <c r="EJ277" i="2"/>
  <c r="EE277" i="2"/>
  <c r="EF277" i="2" s="1"/>
  <c r="DX277" i="2"/>
  <c r="DP277" i="2"/>
  <c r="DF277" i="2"/>
  <c r="DH277" i="2" s="1"/>
  <c r="DE277" i="2"/>
  <c r="CY277" i="2"/>
  <c r="CZ277" i="2" s="1"/>
  <c r="CF277" i="2"/>
  <c r="CH277" i="2"/>
  <c r="CA277" i="2"/>
  <c r="CW277" i="2"/>
  <c r="BO277" i="2"/>
  <c r="BJ277" i="2"/>
  <c r="BM277" i="2" s="1"/>
  <c r="BN277" i="2" s="1"/>
  <c r="BC277" i="2"/>
  <c r="AZ277" i="2"/>
  <c r="AY277" i="2"/>
  <c r="AO277" i="2"/>
  <c r="AN277" i="2"/>
  <c r="AM277" i="2"/>
  <c r="AL277" i="2"/>
  <c r="AK277" i="2"/>
  <c r="AG277" i="2"/>
  <c r="AE277" i="2"/>
  <c r="AF277" i="2" s="1"/>
  <c r="U277" i="2"/>
  <c r="S277" i="2"/>
  <c r="T277" i="2" s="1"/>
  <c r="R277" i="2"/>
  <c r="E277" i="2"/>
  <c r="GR276" i="2"/>
  <c r="GS276" i="2" s="1"/>
  <c r="GP276" i="2"/>
  <c r="GQ276" i="2" s="1"/>
  <c r="GN276" i="2"/>
  <c r="GO276" i="2" s="1"/>
  <c r="GL276" i="2"/>
  <c r="GM276" i="2" s="1"/>
  <c r="GH276" i="2"/>
  <c r="GG276" i="2"/>
  <c r="GI276" i="2" s="1"/>
  <c r="GD276" i="2"/>
  <c r="GC276" i="2"/>
  <c r="GB276" i="2"/>
  <c r="FY276" i="2"/>
  <c r="GA276" i="2" s="1"/>
  <c r="FS276" i="2"/>
  <c r="FT276" i="2" s="1"/>
  <c r="EW276" i="2"/>
  <c r="ET276" i="2"/>
  <c r="EU276" i="2" s="1"/>
  <c r="EQ276" i="2"/>
  <c r="ER276" i="2" s="1"/>
  <c r="EJ276" i="2"/>
  <c r="EE276" i="2"/>
  <c r="EF276" i="2" s="1"/>
  <c r="DX276" i="2"/>
  <c r="DP276" i="2"/>
  <c r="DF276" i="2"/>
  <c r="DE276" i="2"/>
  <c r="CY276" i="2"/>
  <c r="CZ276" i="2" s="1"/>
  <c r="CF276" i="2"/>
  <c r="CH276" i="2"/>
  <c r="CA276" i="2"/>
  <c r="CW276" i="2"/>
  <c r="BO276" i="2"/>
  <c r="BJ276" i="2"/>
  <c r="BM276" i="2" s="1"/>
  <c r="BN276" i="2" s="1"/>
  <c r="BC276" i="2"/>
  <c r="AZ276" i="2"/>
  <c r="AY276" i="2"/>
  <c r="AO276" i="2"/>
  <c r="AN276" i="2"/>
  <c r="AM276" i="2"/>
  <c r="AL276" i="2"/>
  <c r="AK276" i="2"/>
  <c r="AG276" i="2"/>
  <c r="AE276" i="2"/>
  <c r="AF276" i="2" s="1"/>
  <c r="U276" i="2"/>
  <c r="S276" i="2"/>
  <c r="T276" i="2" s="1"/>
  <c r="R276" i="2"/>
  <c r="E276" i="2"/>
  <c r="GR275" i="2"/>
  <c r="GS275" i="2" s="1"/>
  <c r="GP275" i="2"/>
  <c r="GQ275" i="2" s="1"/>
  <c r="DO275" i="2" s="1"/>
  <c r="GN275" i="2"/>
  <c r="GO275" i="2" s="1"/>
  <c r="GL275" i="2"/>
  <c r="GM275" i="2" s="1"/>
  <c r="GH275" i="2"/>
  <c r="GG275" i="2"/>
  <c r="GI275" i="2" s="1"/>
  <c r="GD275" i="2"/>
  <c r="GC275" i="2"/>
  <c r="GB275" i="2"/>
  <c r="FY275" i="2"/>
  <c r="GA275" i="2" s="1"/>
  <c r="FS275" i="2"/>
  <c r="FT275" i="2" s="1"/>
  <c r="EW275" i="2"/>
  <c r="ET275" i="2"/>
  <c r="EU275" i="2" s="1"/>
  <c r="EQ275" i="2"/>
  <c r="ER275" i="2" s="1"/>
  <c r="EJ275" i="2"/>
  <c r="EE275" i="2"/>
  <c r="EF275" i="2" s="1"/>
  <c r="DX275" i="2"/>
  <c r="DP275" i="2"/>
  <c r="DF275" i="2"/>
  <c r="DH275" i="2" s="1"/>
  <c r="DE275" i="2"/>
  <c r="CY275" i="2"/>
  <c r="CZ275" i="2" s="1"/>
  <c r="CF275" i="2"/>
  <c r="CH275" i="2"/>
  <c r="CA275" i="2"/>
  <c r="CW275" i="2"/>
  <c r="BO275" i="2"/>
  <c r="BJ275" i="2"/>
  <c r="BC275" i="2"/>
  <c r="AZ275" i="2"/>
  <c r="AY275" i="2"/>
  <c r="AO275" i="2"/>
  <c r="AN275" i="2"/>
  <c r="AM275" i="2"/>
  <c r="AL275" i="2"/>
  <c r="AK275" i="2"/>
  <c r="AG275" i="2"/>
  <c r="AE275" i="2"/>
  <c r="AF275" i="2" s="1"/>
  <c r="U275" i="2"/>
  <c r="S275" i="2"/>
  <c r="T275" i="2" s="1"/>
  <c r="R275" i="2"/>
  <c r="E275" i="2"/>
  <c r="GR274" i="2"/>
  <c r="GS274" i="2" s="1"/>
  <c r="GP274" i="2"/>
  <c r="GQ274" i="2" s="1"/>
  <c r="GN274" i="2"/>
  <c r="GO274" i="2" s="1"/>
  <c r="GL274" i="2"/>
  <c r="GM274" i="2" s="1"/>
  <c r="GH274" i="2"/>
  <c r="GG274" i="2"/>
  <c r="GI274" i="2" s="1"/>
  <c r="GD274" i="2"/>
  <c r="GC274" i="2"/>
  <c r="GB274" i="2"/>
  <c r="FY274" i="2"/>
  <c r="FS274" i="2"/>
  <c r="FT274" i="2" s="1"/>
  <c r="EW274" i="2"/>
  <c r="ET274" i="2"/>
  <c r="EU274" i="2" s="1"/>
  <c r="EQ274" i="2"/>
  <c r="ER274" i="2" s="1"/>
  <c r="EJ274" i="2"/>
  <c r="EE274" i="2"/>
  <c r="EF274" i="2" s="1"/>
  <c r="DX274" i="2"/>
  <c r="DP274" i="2"/>
  <c r="DF274" i="2"/>
  <c r="DH274" i="2" s="1"/>
  <c r="DE274" i="2"/>
  <c r="CY274" i="2"/>
  <c r="CZ274" i="2" s="1"/>
  <c r="CF274" i="2"/>
  <c r="CH274" i="2"/>
  <c r="CA274" i="2"/>
  <c r="BO274" i="2"/>
  <c r="BJ274" i="2"/>
  <c r="BM274" i="2" s="1"/>
  <c r="BN274" i="2" s="1"/>
  <c r="BC274" i="2"/>
  <c r="AZ274" i="2"/>
  <c r="AY274" i="2"/>
  <c r="AO274" i="2"/>
  <c r="AN274" i="2"/>
  <c r="AM274" i="2"/>
  <c r="AL274" i="2"/>
  <c r="AK274" i="2"/>
  <c r="AG274" i="2"/>
  <c r="AE274" i="2"/>
  <c r="AF274" i="2" s="1"/>
  <c r="U274" i="2"/>
  <c r="S274" i="2"/>
  <c r="R274" i="2"/>
  <c r="Y274" i="2" s="1"/>
  <c r="AB274" i="2" s="1"/>
  <c r="E274" i="2"/>
  <c r="GR273" i="2"/>
  <c r="GS273" i="2" s="1"/>
  <c r="GP273" i="2"/>
  <c r="GQ273" i="2" s="1"/>
  <c r="GN273" i="2"/>
  <c r="GO273" i="2" s="1"/>
  <c r="GL273" i="2"/>
  <c r="GM273" i="2" s="1"/>
  <c r="GH273" i="2"/>
  <c r="GG273" i="2"/>
  <c r="GI273" i="2" s="1"/>
  <c r="GD273" i="2"/>
  <c r="GC273" i="2"/>
  <c r="GB273" i="2"/>
  <c r="FY273" i="2"/>
  <c r="FS273" i="2"/>
  <c r="FT273" i="2" s="1"/>
  <c r="EW273" i="2"/>
  <c r="ET273" i="2"/>
  <c r="EU273" i="2" s="1"/>
  <c r="EQ273" i="2"/>
  <c r="ER273" i="2" s="1"/>
  <c r="EJ273" i="2"/>
  <c r="EE273" i="2"/>
  <c r="EF273" i="2" s="1"/>
  <c r="DX273" i="2"/>
  <c r="DP273" i="2"/>
  <c r="DF273" i="2"/>
  <c r="DH273" i="2" s="1"/>
  <c r="DE273" i="2"/>
  <c r="CY273" i="2"/>
  <c r="CZ273" i="2" s="1"/>
  <c r="CF273" i="2"/>
  <c r="CH273" i="2"/>
  <c r="CA273" i="2"/>
  <c r="BO273" i="2"/>
  <c r="BJ273" i="2"/>
  <c r="BM273" i="2" s="1"/>
  <c r="BN273" i="2" s="1"/>
  <c r="AZ273" i="2"/>
  <c r="AY273" i="2"/>
  <c r="AO273" i="2"/>
  <c r="AN273" i="2"/>
  <c r="AM273" i="2"/>
  <c r="AL273" i="2"/>
  <c r="AK273" i="2"/>
  <c r="AG273" i="2"/>
  <c r="AE273" i="2"/>
  <c r="AF273" i="2" s="1"/>
  <c r="U273" i="2"/>
  <c r="S273" i="2"/>
  <c r="T273" i="2" s="1"/>
  <c r="R273" i="2"/>
  <c r="X273" i="2" s="1"/>
  <c r="E273" i="2"/>
  <c r="GR272" i="2"/>
  <c r="GS272" i="2" s="1"/>
  <c r="GP272" i="2"/>
  <c r="GQ272" i="2" s="1"/>
  <c r="GN272" i="2"/>
  <c r="GO272" i="2" s="1"/>
  <c r="GL272" i="2"/>
  <c r="GM272" i="2" s="1"/>
  <c r="GH272" i="2"/>
  <c r="GG272" i="2"/>
  <c r="GI272" i="2" s="1"/>
  <c r="GD272" i="2"/>
  <c r="GC272" i="2"/>
  <c r="GB272" i="2"/>
  <c r="FY272" i="2"/>
  <c r="GA272" i="2" s="1"/>
  <c r="FS272" i="2"/>
  <c r="FT272" i="2" s="1"/>
  <c r="EW272" i="2"/>
  <c r="ET272" i="2"/>
  <c r="EU272" i="2" s="1"/>
  <c r="EQ272" i="2"/>
  <c r="ER272" i="2" s="1"/>
  <c r="EJ272" i="2"/>
  <c r="EE272" i="2"/>
  <c r="EF272" i="2" s="1"/>
  <c r="DX272" i="2"/>
  <c r="DP272" i="2"/>
  <c r="DF272" i="2"/>
  <c r="DH272" i="2" s="1"/>
  <c r="DE272" i="2"/>
  <c r="CY272" i="2"/>
  <c r="CZ272" i="2" s="1"/>
  <c r="CF272" i="2"/>
  <c r="CH272" i="2"/>
  <c r="CA272" i="2"/>
  <c r="BO272" i="2"/>
  <c r="BJ272" i="2"/>
  <c r="BM272" i="2" s="1"/>
  <c r="BN272" i="2" s="1"/>
  <c r="BC272" i="2"/>
  <c r="AZ272" i="2"/>
  <c r="AY272" i="2"/>
  <c r="AO272" i="2"/>
  <c r="AN272" i="2"/>
  <c r="AM272" i="2"/>
  <c r="AL272" i="2"/>
  <c r="AK272" i="2"/>
  <c r="AG272" i="2"/>
  <c r="AE272" i="2"/>
  <c r="AF272" i="2" s="1"/>
  <c r="U272" i="2"/>
  <c r="S272" i="2"/>
  <c r="T272" i="2" s="1"/>
  <c r="R272" i="2"/>
  <c r="Y272" i="2" s="1"/>
  <c r="AB272" i="2" s="1"/>
  <c r="E272" i="2"/>
  <c r="GR271" i="2"/>
  <c r="GS271" i="2" s="1"/>
  <c r="GP271" i="2"/>
  <c r="GQ271" i="2" s="1"/>
  <c r="GN271" i="2"/>
  <c r="GO271" i="2" s="1"/>
  <c r="GL271" i="2"/>
  <c r="GM271" i="2" s="1"/>
  <c r="GH271" i="2"/>
  <c r="GG271" i="2"/>
  <c r="GI271" i="2" s="1"/>
  <c r="GD271" i="2"/>
  <c r="GC271" i="2"/>
  <c r="GB271" i="2"/>
  <c r="FY271" i="2"/>
  <c r="FS271" i="2"/>
  <c r="FT271" i="2" s="1"/>
  <c r="EW271" i="2"/>
  <c r="ET271" i="2"/>
  <c r="EU271" i="2" s="1"/>
  <c r="EQ271" i="2"/>
  <c r="ER271" i="2" s="1"/>
  <c r="EJ271" i="2"/>
  <c r="EE271" i="2"/>
  <c r="EF271" i="2" s="1"/>
  <c r="DX271" i="2"/>
  <c r="DP271" i="2"/>
  <c r="DF271" i="2"/>
  <c r="DH271" i="2" s="1"/>
  <c r="DE271" i="2"/>
  <c r="CY271" i="2"/>
  <c r="CZ271" i="2" s="1"/>
  <c r="CF271" i="2"/>
  <c r="CH271" i="2"/>
  <c r="CA271" i="2"/>
  <c r="BO271" i="2"/>
  <c r="BJ271" i="2"/>
  <c r="BC271" i="2"/>
  <c r="AZ271" i="2"/>
  <c r="AY271" i="2"/>
  <c r="AO271" i="2"/>
  <c r="AN271" i="2"/>
  <c r="AM271" i="2"/>
  <c r="AL271" i="2"/>
  <c r="AK271" i="2"/>
  <c r="AG271" i="2"/>
  <c r="AE271" i="2"/>
  <c r="AF271" i="2" s="1"/>
  <c r="U271" i="2"/>
  <c r="S271" i="2"/>
  <c r="T271" i="2" s="1"/>
  <c r="R271" i="2"/>
  <c r="Y271" i="2" s="1"/>
  <c r="AB271" i="2" s="1"/>
  <c r="E271" i="2"/>
  <c r="GR270" i="2"/>
  <c r="GS270" i="2" s="1"/>
  <c r="GP270" i="2"/>
  <c r="GQ270" i="2" s="1"/>
  <c r="GN270" i="2"/>
  <c r="GO270" i="2" s="1"/>
  <c r="GL270" i="2"/>
  <c r="GM270" i="2" s="1"/>
  <c r="GH270" i="2"/>
  <c r="GG270" i="2"/>
  <c r="GI270" i="2" s="1"/>
  <c r="GD270" i="2"/>
  <c r="GC270" i="2"/>
  <c r="GB270" i="2"/>
  <c r="FY270" i="2"/>
  <c r="FS270" i="2"/>
  <c r="FT270" i="2" s="1"/>
  <c r="EW270" i="2"/>
  <c r="ET270" i="2"/>
  <c r="EU270" i="2" s="1"/>
  <c r="EQ270" i="2"/>
  <c r="ER270" i="2" s="1"/>
  <c r="EJ270" i="2"/>
  <c r="EE270" i="2"/>
  <c r="EF270" i="2" s="1"/>
  <c r="DX270" i="2"/>
  <c r="DP270" i="2"/>
  <c r="DF270" i="2"/>
  <c r="DH270" i="2" s="1"/>
  <c r="DE270" i="2"/>
  <c r="CY270" i="2"/>
  <c r="CZ270" i="2" s="1"/>
  <c r="CF270" i="2"/>
  <c r="CH270" i="2"/>
  <c r="CA270" i="2"/>
  <c r="BO270" i="2"/>
  <c r="BJ270" i="2"/>
  <c r="BM270" i="2" s="1"/>
  <c r="BN270" i="2" s="1"/>
  <c r="BC270" i="2"/>
  <c r="AZ270" i="2"/>
  <c r="AY270" i="2"/>
  <c r="AO270" i="2"/>
  <c r="AN270" i="2"/>
  <c r="AM270" i="2"/>
  <c r="AL270" i="2"/>
  <c r="AK270" i="2"/>
  <c r="AG270" i="2"/>
  <c r="AE270" i="2"/>
  <c r="AF270" i="2" s="1"/>
  <c r="U270" i="2"/>
  <c r="S270" i="2"/>
  <c r="T270" i="2" s="1"/>
  <c r="R270" i="2"/>
  <c r="Y270" i="2" s="1"/>
  <c r="AB270" i="2" s="1"/>
  <c r="E270" i="2"/>
  <c r="GR269" i="2"/>
  <c r="GS269" i="2" s="1"/>
  <c r="GP269" i="2"/>
  <c r="GQ269" i="2" s="1"/>
  <c r="GN269" i="2"/>
  <c r="GO269" i="2" s="1"/>
  <c r="GL269" i="2"/>
  <c r="GM269" i="2" s="1"/>
  <c r="GH269" i="2"/>
  <c r="GG269" i="2"/>
  <c r="GI269" i="2" s="1"/>
  <c r="GD269" i="2"/>
  <c r="GC269" i="2"/>
  <c r="GB269" i="2"/>
  <c r="FY269" i="2"/>
  <c r="FS269" i="2"/>
  <c r="FT269" i="2" s="1"/>
  <c r="EW269" i="2"/>
  <c r="ET269" i="2"/>
  <c r="EU269" i="2" s="1"/>
  <c r="EQ269" i="2"/>
  <c r="ER269" i="2" s="1"/>
  <c r="EJ269" i="2"/>
  <c r="EE269" i="2"/>
  <c r="EF269" i="2" s="1"/>
  <c r="DX269" i="2"/>
  <c r="DP269" i="2"/>
  <c r="DF269" i="2"/>
  <c r="DH269" i="2" s="1"/>
  <c r="DE269" i="2"/>
  <c r="CY269" i="2"/>
  <c r="CZ269" i="2" s="1"/>
  <c r="CF269" i="2"/>
  <c r="CH269" i="2"/>
  <c r="CA269" i="2"/>
  <c r="BO269" i="2"/>
  <c r="BJ269" i="2"/>
  <c r="BM269" i="2" s="1"/>
  <c r="BN269" i="2" s="1"/>
  <c r="BC269" i="2"/>
  <c r="AZ269" i="2"/>
  <c r="AY269" i="2"/>
  <c r="AO269" i="2"/>
  <c r="AN269" i="2"/>
  <c r="AM269" i="2"/>
  <c r="AL269" i="2"/>
  <c r="AK269" i="2"/>
  <c r="AG269" i="2"/>
  <c r="AE269" i="2"/>
  <c r="AF269" i="2" s="1"/>
  <c r="U269" i="2"/>
  <c r="S269" i="2"/>
  <c r="T269" i="2" s="1"/>
  <c r="R269" i="2"/>
  <c r="Y269" i="2" s="1"/>
  <c r="AB269" i="2" s="1"/>
  <c r="E269" i="2"/>
  <c r="GR268" i="2"/>
  <c r="GS268" i="2" s="1"/>
  <c r="GP268" i="2"/>
  <c r="GQ268" i="2" s="1"/>
  <c r="DO268" i="2" s="1"/>
  <c r="DQ268" i="2" s="1"/>
  <c r="DR268" i="2" s="1"/>
  <c r="GN268" i="2"/>
  <c r="GO268" i="2" s="1"/>
  <c r="GL268" i="2"/>
  <c r="GM268" i="2" s="1"/>
  <c r="GH268" i="2"/>
  <c r="GG268" i="2"/>
  <c r="GI268" i="2" s="1"/>
  <c r="GD268" i="2"/>
  <c r="GC268" i="2"/>
  <c r="GB268" i="2"/>
  <c r="FY268" i="2"/>
  <c r="FS268" i="2"/>
  <c r="FT268" i="2" s="1"/>
  <c r="EW268" i="2"/>
  <c r="ET268" i="2"/>
  <c r="EU268" i="2" s="1"/>
  <c r="EQ268" i="2"/>
  <c r="ER268" i="2" s="1"/>
  <c r="EJ268" i="2"/>
  <c r="EE268" i="2"/>
  <c r="EF268" i="2" s="1"/>
  <c r="DX268" i="2"/>
  <c r="DP268" i="2"/>
  <c r="DF268" i="2"/>
  <c r="DH268" i="2" s="1"/>
  <c r="DE268" i="2"/>
  <c r="CY268" i="2"/>
  <c r="CZ268" i="2" s="1"/>
  <c r="CF268" i="2"/>
  <c r="CH268" i="2"/>
  <c r="CA268" i="2"/>
  <c r="BO268" i="2"/>
  <c r="BJ268" i="2"/>
  <c r="BM268" i="2" s="1"/>
  <c r="BN268" i="2" s="1"/>
  <c r="BC268" i="2"/>
  <c r="AZ268" i="2"/>
  <c r="AY268" i="2"/>
  <c r="AO268" i="2"/>
  <c r="AN268" i="2"/>
  <c r="AM268" i="2"/>
  <c r="AL268" i="2"/>
  <c r="AK268" i="2"/>
  <c r="AG268" i="2"/>
  <c r="AE268" i="2"/>
  <c r="AF268" i="2" s="1"/>
  <c r="U268" i="2"/>
  <c r="S268" i="2"/>
  <c r="T268" i="2" s="1"/>
  <c r="R268" i="2"/>
  <c r="Y268" i="2" s="1"/>
  <c r="AB268" i="2" s="1"/>
  <c r="E268" i="2"/>
  <c r="GR235" i="2"/>
  <c r="GS235" i="2" s="1"/>
  <c r="GP235" i="2"/>
  <c r="GQ235" i="2" s="1"/>
  <c r="DO235" i="2" s="1"/>
  <c r="DS235" i="2" s="1"/>
  <c r="GL235" i="2"/>
  <c r="GM235" i="2" s="1"/>
  <c r="GG235" i="2"/>
  <c r="GI235" i="2" s="1"/>
  <c r="GD235" i="2"/>
  <c r="GC235" i="2"/>
  <c r="GB235" i="2"/>
  <c r="FY235" i="2"/>
  <c r="FZ235" i="2" s="1"/>
  <c r="FS235" i="2"/>
  <c r="FT235" i="2" s="1"/>
  <c r="EW235" i="2"/>
  <c r="ET235" i="2"/>
  <c r="EU235" i="2" s="1"/>
  <c r="EQ235" i="2"/>
  <c r="ER235" i="2" s="1"/>
  <c r="EJ235" i="2"/>
  <c r="EE235" i="2"/>
  <c r="EF235" i="2" s="1"/>
  <c r="DX235" i="2"/>
  <c r="DP235" i="2"/>
  <c r="DF235" i="2"/>
  <c r="DE235" i="2"/>
  <c r="CY235" i="2"/>
  <c r="CF235" i="2"/>
  <c r="CH235" i="2"/>
  <c r="CA235" i="2"/>
  <c r="BO235" i="2"/>
  <c r="BJ235" i="2"/>
  <c r="BM235" i="2" s="1"/>
  <c r="BN235" i="2" s="1"/>
  <c r="BC235" i="2"/>
  <c r="AZ235" i="2"/>
  <c r="AY235" i="2"/>
  <c r="AO235" i="2"/>
  <c r="AN235" i="2"/>
  <c r="AM235" i="2"/>
  <c r="AL235" i="2"/>
  <c r="AK235" i="2"/>
  <c r="AG235" i="2"/>
  <c r="AE235" i="2"/>
  <c r="AF235" i="2" s="1"/>
  <c r="S235" i="2"/>
  <c r="T235" i="2" s="1"/>
  <c r="U235" i="2" s="1"/>
  <c r="R235" i="2"/>
  <c r="Y235" i="2" s="1"/>
  <c r="AB235" i="2" s="1"/>
  <c r="E235" i="2"/>
  <c r="GP244" i="2"/>
  <c r="GQ244" i="2" s="1"/>
  <c r="DO244" i="2" s="1"/>
  <c r="GL244" i="2"/>
  <c r="GM244" i="2" s="1"/>
  <c r="GG244" i="2"/>
  <c r="GI244" i="2" s="1"/>
  <c r="GD244" i="2"/>
  <c r="GC244" i="2"/>
  <c r="GB244" i="2"/>
  <c r="FY244" i="2"/>
  <c r="FS244" i="2"/>
  <c r="FT244" i="2" s="1"/>
  <c r="EW244" i="2"/>
  <c r="ET244" i="2"/>
  <c r="EU244" i="2" s="1"/>
  <c r="EQ244" i="2"/>
  <c r="ER244" i="2" s="1"/>
  <c r="FJ244" i="2" s="1"/>
  <c r="EJ244" i="2"/>
  <c r="EE244" i="2"/>
  <c r="EF244" i="2" s="1"/>
  <c r="DX244" i="2"/>
  <c r="DP244" i="2"/>
  <c r="DF244" i="2"/>
  <c r="DE244" i="2"/>
  <c r="CY244" i="2"/>
  <c r="CF244" i="2"/>
  <c r="CA244" i="2"/>
  <c r="BO244" i="2"/>
  <c r="BJ244" i="2"/>
  <c r="BM244" i="2" s="1"/>
  <c r="BN244" i="2" s="1"/>
  <c r="BC244" i="2"/>
  <c r="AZ244" i="2"/>
  <c r="AY244" i="2"/>
  <c r="AO244" i="2"/>
  <c r="AN244" i="2"/>
  <c r="AM244" i="2"/>
  <c r="AL244" i="2"/>
  <c r="AK244" i="2"/>
  <c r="AG244" i="2"/>
  <c r="AE244" i="2"/>
  <c r="AF244" i="2" s="1"/>
  <c r="S244" i="2"/>
  <c r="T244" i="2" s="1"/>
  <c r="U244" i="2" s="1"/>
  <c r="R244" i="2"/>
  <c r="Y244" i="2" s="1"/>
  <c r="AB244" i="2" s="1"/>
  <c r="E244" i="2"/>
  <c r="GR262" i="2"/>
  <c r="GS262" i="2" s="1"/>
  <c r="GP262" i="2"/>
  <c r="GQ262" i="2" s="1"/>
  <c r="DU262" i="2" s="1"/>
  <c r="GN262" i="2"/>
  <c r="GO262" i="2" s="1"/>
  <c r="GL262" i="2"/>
  <c r="GM262" i="2" s="1"/>
  <c r="GH262" i="2"/>
  <c r="GG262" i="2"/>
  <c r="GI262" i="2" s="1"/>
  <c r="GD262" i="2"/>
  <c r="GC262" i="2"/>
  <c r="GB262" i="2"/>
  <c r="FY262" i="2"/>
  <c r="GA262" i="2" s="1"/>
  <c r="FS262" i="2"/>
  <c r="FT262" i="2" s="1"/>
  <c r="EW262" i="2"/>
  <c r="ET262" i="2"/>
  <c r="EU262" i="2" s="1"/>
  <c r="EQ262" i="2"/>
  <c r="ER262" i="2" s="1"/>
  <c r="EJ262" i="2"/>
  <c r="EE262" i="2"/>
  <c r="EF262" i="2" s="1"/>
  <c r="DX262" i="2"/>
  <c r="DP262" i="2"/>
  <c r="DF262" i="2"/>
  <c r="DG262" i="2" s="1"/>
  <c r="DE262" i="2"/>
  <c r="CY262" i="2"/>
  <c r="CZ262" i="2" s="1"/>
  <c r="CF262" i="2"/>
  <c r="CA262" i="2"/>
  <c r="DA262" i="2"/>
  <c r="DB262" i="2" s="1"/>
  <c r="BO262" i="2"/>
  <c r="BJ262" i="2"/>
  <c r="BM262" i="2" s="1"/>
  <c r="BN262" i="2" s="1"/>
  <c r="BC262" i="2"/>
  <c r="AZ262" i="2"/>
  <c r="AY262" i="2"/>
  <c r="AO262" i="2"/>
  <c r="AN262" i="2"/>
  <c r="AM262" i="2"/>
  <c r="AL262" i="2"/>
  <c r="AK262" i="2"/>
  <c r="AG262" i="2"/>
  <c r="AE262" i="2"/>
  <c r="AF262" i="2" s="1"/>
  <c r="U262" i="2"/>
  <c r="S262" i="2"/>
  <c r="T262" i="2" s="1"/>
  <c r="R262" i="2"/>
  <c r="Y262" i="2" s="1"/>
  <c r="AB262" i="2" s="1"/>
  <c r="E262" i="2"/>
  <c r="GR263" i="2"/>
  <c r="GS263" i="2" s="1"/>
  <c r="GN263" i="2"/>
  <c r="GO263" i="2" s="1"/>
  <c r="GL263" i="2"/>
  <c r="GM263" i="2" s="1"/>
  <c r="GH263" i="2"/>
  <c r="GG263" i="2"/>
  <c r="GI263" i="2" s="1"/>
  <c r="GD263" i="2"/>
  <c r="GC263" i="2"/>
  <c r="GB263" i="2"/>
  <c r="FY263" i="2"/>
  <c r="FZ263" i="2" s="1"/>
  <c r="FS263" i="2"/>
  <c r="FT263" i="2" s="1"/>
  <c r="EW263" i="2"/>
  <c r="ET263" i="2"/>
  <c r="EU263" i="2" s="1"/>
  <c r="EQ263" i="2"/>
  <c r="ER263" i="2" s="1"/>
  <c r="EJ263" i="2"/>
  <c r="EE263" i="2"/>
  <c r="EF263" i="2" s="1"/>
  <c r="DX263" i="2"/>
  <c r="DP263" i="2"/>
  <c r="DF263" i="2"/>
  <c r="DH263" i="2" s="1"/>
  <c r="DE263" i="2"/>
  <c r="CY263" i="2"/>
  <c r="CZ263" i="2" s="1"/>
  <c r="CF263" i="2"/>
  <c r="CA263" i="2"/>
  <c r="BO263" i="2"/>
  <c r="BJ263" i="2"/>
  <c r="BM263" i="2" s="1"/>
  <c r="BN263" i="2" s="1"/>
  <c r="BC263" i="2"/>
  <c r="AZ263" i="2"/>
  <c r="AY263" i="2"/>
  <c r="AO263" i="2"/>
  <c r="AN263" i="2"/>
  <c r="AM263" i="2"/>
  <c r="AL263" i="2"/>
  <c r="AK263" i="2"/>
  <c r="AG263" i="2"/>
  <c r="AE263" i="2"/>
  <c r="AF263" i="2" s="1"/>
  <c r="U263" i="2"/>
  <c r="S263" i="2"/>
  <c r="T263" i="2" s="1"/>
  <c r="R263" i="2"/>
  <c r="Y263" i="2" s="1"/>
  <c r="AB263" i="2" s="1"/>
  <c r="E263" i="2"/>
  <c r="GR260" i="2"/>
  <c r="GS260" i="2" s="1"/>
  <c r="GP260" i="2"/>
  <c r="GQ260" i="2" s="1"/>
  <c r="GN260" i="2"/>
  <c r="GO260" i="2" s="1"/>
  <c r="GL260" i="2"/>
  <c r="GM260" i="2" s="1"/>
  <c r="GH260" i="2"/>
  <c r="GG260" i="2"/>
  <c r="GI260" i="2" s="1"/>
  <c r="GD260" i="2"/>
  <c r="GC260" i="2"/>
  <c r="GB260" i="2"/>
  <c r="FY260" i="2"/>
  <c r="FS260" i="2"/>
  <c r="FT260" i="2" s="1"/>
  <c r="EW260" i="2"/>
  <c r="ET260" i="2"/>
  <c r="EU260" i="2" s="1"/>
  <c r="EQ260" i="2"/>
  <c r="ER260" i="2" s="1"/>
  <c r="EJ260" i="2"/>
  <c r="DX260" i="2"/>
  <c r="DP260" i="2"/>
  <c r="DF260" i="2"/>
  <c r="DH260" i="2" s="1"/>
  <c r="DE260" i="2"/>
  <c r="CY260" i="2"/>
  <c r="CZ260" i="2" s="1"/>
  <c r="CF260" i="2"/>
  <c r="CA260" i="2"/>
  <c r="BO260" i="2"/>
  <c r="BJ260" i="2"/>
  <c r="BM260" i="2" s="1"/>
  <c r="BN260" i="2" s="1"/>
  <c r="BC260" i="2"/>
  <c r="AZ260" i="2"/>
  <c r="AY260" i="2"/>
  <c r="AO260" i="2"/>
  <c r="AN260" i="2"/>
  <c r="AM260" i="2"/>
  <c r="AL260" i="2"/>
  <c r="AK260" i="2"/>
  <c r="AG260" i="2"/>
  <c r="AE260" i="2"/>
  <c r="AF260" i="2" s="1"/>
  <c r="U260" i="2"/>
  <c r="S260" i="2"/>
  <c r="T260" i="2" s="1"/>
  <c r="R260" i="2"/>
  <c r="Y260" i="2" s="1"/>
  <c r="AB260" i="2" s="1"/>
  <c r="E260" i="2"/>
  <c r="GR259" i="2"/>
  <c r="GS259" i="2" s="1"/>
  <c r="GP259" i="2"/>
  <c r="GQ259" i="2" s="1"/>
  <c r="DO259" i="2" s="1"/>
  <c r="DQ259" i="2" s="1"/>
  <c r="DR259" i="2" s="1"/>
  <c r="GN259" i="2"/>
  <c r="GO259" i="2" s="1"/>
  <c r="GL259" i="2"/>
  <c r="GM259" i="2" s="1"/>
  <c r="GG259" i="2"/>
  <c r="GI259" i="2" s="1"/>
  <c r="GD259" i="2"/>
  <c r="GC259" i="2"/>
  <c r="GB259" i="2"/>
  <c r="FY259" i="2"/>
  <c r="FS259" i="2"/>
  <c r="FT259" i="2" s="1"/>
  <c r="EW259" i="2"/>
  <c r="ET259" i="2"/>
  <c r="EU259" i="2" s="1"/>
  <c r="EQ259" i="2"/>
  <c r="ER259" i="2" s="1"/>
  <c r="EJ259" i="2"/>
  <c r="EE259" i="2"/>
  <c r="EF259" i="2" s="1"/>
  <c r="DX259" i="2"/>
  <c r="DP259" i="2"/>
  <c r="DF259" i="2"/>
  <c r="DH259" i="2" s="1"/>
  <c r="DE259" i="2"/>
  <c r="CY259" i="2"/>
  <c r="CZ259" i="2" s="1"/>
  <c r="CF259" i="2"/>
  <c r="CH259" i="2"/>
  <c r="CA259" i="2"/>
  <c r="BO259" i="2"/>
  <c r="BJ259" i="2"/>
  <c r="BM259" i="2" s="1"/>
  <c r="BN259" i="2" s="1"/>
  <c r="BC259" i="2"/>
  <c r="AZ259" i="2"/>
  <c r="AY259" i="2"/>
  <c r="AO259" i="2"/>
  <c r="AN259" i="2"/>
  <c r="AM259" i="2"/>
  <c r="AL259" i="2"/>
  <c r="AK259" i="2"/>
  <c r="AG259" i="2"/>
  <c r="AE259" i="2"/>
  <c r="AF259" i="2" s="1"/>
  <c r="S259" i="2"/>
  <c r="T259" i="2" s="1"/>
  <c r="U259" i="2" s="1"/>
  <c r="R259" i="2"/>
  <c r="E259" i="2"/>
  <c r="GN258" i="2"/>
  <c r="GO258" i="2" s="1"/>
  <c r="GL258" i="2"/>
  <c r="GM258" i="2" s="1"/>
  <c r="GH258" i="2"/>
  <c r="GG258" i="2"/>
  <c r="GI258" i="2" s="1"/>
  <c r="GD258" i="2"/>
  <c r="GC258" i="2"/>
  <c r="GB258" i="2"/>
  <c r="FY258" i="2"/>
  <c r="FS258" i="2"/>
  <c r="FT258" i="2" s="1"/>
  <c r="EW258" i="2"/>
  <c r="ET258" i="2"/>
  <c r="EU258" i="2" s="1"/>
  <c r="EQ258" i="2"/>
  <c r="ER258" i="2" s="1"/>
  <c r="EJ258" i="2"/>
  <c r="EE258" i="2"/>
  <c r="EF258" i="2" s="1"/>
  <c r="DX258" i="2"/>
  <c r="DP258" i="2"/>
  <c r="DF258" i="2"/>
  <c r="DH258" i="2" s="1"/>
  <c r="DE258" i="2"/>
  <c r="CY258" i="2"/>
  <c r="CZ258" i="2" s="1"/>
  <c r="CF258" i="2"/>
  <c r="CH258" i="2"/>
  <c r="CA258" i="2"/>
  <c r="BO258" i="2"/>
  <c r="BJ258" i="2"/>
  <c r="BM258" i="2" s="1"/>
  <c r="BN258" i="2" s="1"/>
  <c r="BC258" i="2"/>
  <c r="AZ258" i="2"/>
  <c r="AY258" i="2"/>
  <c r="AO258" i="2"/>
  <c r="AN258" i="2"/>
  <c r="AM258" i="2"/>
  <c r="AL258" i="2"/>
  <c r="AK258" i="2"/>
  <c r="AG258" i="2"/>
  <c r="AE258" i="2"/>
  <c r="AF258" i="2" s="1"/>
  <c r="U258" i="2"/>
  <c r="S258" i="2"/>
  <c r="T258" i="2" s="1"/>
  <c r="R258" i="2"/>
  <c r="E258" i="2"/>
  <c r="GP311" i="2"/>
  <c r="GQ311" i="2" s="1"/>
  <c r="GL311" i="2"/>
  <c r="GM311" i="2" s="1"/>
  <c r="GG311" i="2"/>
  <c r="GI311" i="2" s="1"/>
  <c r="GD311" i="2"/>
  <c r="GC311" i="2"/>
  <c r="GB311" i="2"/>
  <c r="FY311" i="2"/>
  <c r="FS311" i="2"/>
  <c r="FT311" i="2" s="1"/>
  <c r="EW311" i="2"/>
  <c r="ET311" i="2"/>
  <c r="EU311" i="2" s="1"/>
  <c r="EQ311" i="2"/>
  <c r="ER311" i="2" s="1"/>
  <c r="FJ311" i="2" s="1"/>
  <c r="EJ311" i="2"/>
  <c r="EE311" i="2"/>
  <c r="EF311" i="2" s="1"/>
  <c r="DX311" i="2"/>
  <c r="DP311" i="2"/>
  <c r="DF311" i="2"/>
  <c r="DE311" i="2"/>
  <c r="CY311" i="2"/>
  <c r="CF311" i="2"/>
  <c r="CH311" i="2"/>
  <c r="CA311" i="2"/>
  <c r="BO311" i="2"/>
  <c r="BJ311" i="2"/>
  <c r="BK311" i="2" s="1"/>
  <c r="CL311" i="2" s="1"/>
  <c r="BC311" i="2"/>
  <c r="AZ311" i="2"/>
  <c r="AY311" i="2"/>
  <c r="AO311" i="2"/>
  <c r="AN311" i="2"/>
  <c r="AM311" i="2"/>
  <c r="AL311" i="2"/>
  <c r="AK311" i="2"/>
  <c r="AG311" i="2"/>
  <c r="AE311" i="2"/>
  <c r="AF311" i="2" s="1"/>
  <c r="S311" i="2"/>
  <c r="T311" i="2" s="1"/>
  <c r="U311" i="2" s="1"/>
  <c r="R311" i="2"/>
  <c r="Y311" i="2" s="1"/>
  <c r="AB311" i="2" s="1"/>
  <c r="E311" i="2"/>
  <c r="GR256" i="2"/>
  <c r="GS256" i="2" s="1"/>
  <c r="GP256" i="2"/>
  <c r="GQ256" i="2" s="1"/>
  <c r="GN256" i="2"/>
  <c r="GO256" i="2" s="1"/>
  <c r="GL256" i="2"/>
  <c r="GM256" i="2" s="1"/>
  <c r="GH256" i="2"/>
  <c r="GG256" i="2"/>
  <c r="GI256" i="2" s="1"/>
  <c r="GD256" i="2"/>
  <c r="GC256" i="2"/>
  <c r="GB256" i="2"/>
  <c r="FY256" i="2"/>
  <c r="GA256" i="2" s="1"/>
  <c r="FS256" i="2"/>
  <c r="FT256" i="2" s="1"/>
  <c r="EW256" i="2"/>
  <c r="ET256" i="2"/>
  <c r="EU256" i="2" s="1"/>
  <c r="EQ256" i="2"/>
  <c r="ER256" i="2" s="1"/>
  <c r="EJ256" i="2"/>
  <c r="EE256" i="2"/>
  <c r="EF256" i="2" s="1"/>
  <c r="DX256" i="2"/>
  <c r="DP256" i="2"/>
  <c r="DF256" i="2"/>
  <c r="DH256" i="2" s="1"/>
  <c r="DE256" i="2"/>
  <c r="CY256" i="2"/>
  <c r="CZ256" i="2" s="1"/>
  <c r="CF256" i="2"/>
  <c r="CH256" i="2"/>
  <c r="CA256" i="2"/>
  <c r="CR256" i="2"/>
  <c r="BO256" i="2"/>
  <c r="BJ256" i="2"/>
  <c r="BK256" i="2" s="1"/>
  <c r="CL256" i="2" s="1"/>
  <c r="BC256" i="2"/>
  <c r="AZ256" i="2"/>
  <c r="AY256" i="2"/>
  <c r="AO256" i="2"/>
  <c r="AN256" i="2"/>
  <c r="AM256" i="2"/>
  <c r="AL256" i="2"/>
  <c r="AK256" i="2"/>
  <c r="AG256" i="2"/>
  <c r="AE256" i="2"/>
  <c r="AF256" i="2" s="1"/>
  <c r="U256" i="2"/>
  <c r="S256" i="2"/>
  <c r="T256" i="2" s="1"/>
  <c r="R256" i="2"/>
  <c r="Y256" i="2" s="1"/>
  <c r="AB256" i="2" s="1"/>
  <c r="E256" i="2"/>
  <c r="GR255" i="2"/>
  <c r="GS255" i="2" s="1"/>
  <c r="GP255" i="2"/>
  <c r="GQ255" i="2" s="1"/>
  <c r="GN255" i="2"/>
  <c r="GO255" i="2" s="1"/>
  <c r="GL255" i="2"/>
  <c r="GM255" i="2" s="1"/>
  <c r="GH255" i="2"/>
  <c r="GG255" i="2"/>
  <c r="GI255" i="2" s="1"/>
  <c r="GD255" i="2"/>
  <c r="GC255" i="2"/>
  <c r="GB255" i="2"/>
  <c r="FY255" i="2"/>
  <c r="FS255" i="2"/>
  <c r="FT255" i="2" s="1"/>
  <c r="EW255" i="2"/>
  <c r="ET255" i="2"/>
  <c r="EU255" i="2" s="1"/>
  <c r="EQ255" i="2"/>
  <c r="ER255" i="2" s="1"/>
  <c r="EJ255" i="2"/>
  <c r="EE255" i="2"/>
  <c r="EF255" i="2" s="1"/>
  <c r="DX255" i="2"/>
  <c r="DP255" i="2"/>
  <c r="DF255" i="2"/>
  <c r="DH255" i="2" s="1"/>
  <c r="DE255" i="2"/>
  <c r="CY255" i="2"/>
  <c r="CZ255" i="2" s="1"/>
  <c r="CF255" i="2"/>
  <c r="CH255" i="2"/>
  <c r="CA255" i="2"/>
  <c r="CR255" i="2"/>
  <c r="BO255" i="2"/>
  <c r="BJ255" i="2"/>
  <c r="BK255" i="2" s="1"/>
  <c r="CL255" i="2" s="1"/>
  <c r="BC255" i="2"/>
  <c r="AZ255" i="2"/>
  <c r="AY255" i="2"/>
  <c r="AO255" i="2"/>
  <c r="AN255" i="2"/>
  <c r="AM255" i="2"/>
  <c r="AL255" i="2"/>
  <c r="AK255" i="2"/>
  <c r="AG255" i="2"/>
  <c r="AE255" i="2"/>
  <c r="AF255" i="2" s="1"/>
  <c r="U255" i="2"/>
  <c r="S255" i="2"/>
  <c r="T255" i="2" s="1"/>
  <c r="R255" i="2"/>
  <c r="Y255" i="2" s="1"/>
  <c r="AB255" i="2" s="1"/>
  <c r="E255" i="2"/>
  <c r="GR254" i="2"/>
  <c r="GS254" i="2" s="1"/>
  <c r="GP254" i="2"/>
  <c r="GQ254" i="2" s="1"/>
  <c r="DO254" i="2" s="1"/>
  <c r="GN254" i="2"/>
  <c r="GO254" i="2" s="1"/>
  <c r="GL254" i="2"/>
  <c r="GM254" i="2" s="1"/>
  <c r="GH254" i="2"/>
  <c r="GG254" i="2"/>
  <c r="GI254" i="2" s="1"/>
  <c r="GD254" i="2"/>
  <c r="GC254" i="2"/>
  <c r="GB254" i="2"/>
  <c r="FY254" i="2"/>
  <c r="FS254" i="2"/>
  <c r="FT254" i="2" s="1"/>
  <c r="EW254" i="2"/>
  <c r="ET254" i="2"/>
  <c r="EU254" i="2" s="1"/>
  <c r="EQ254" i="2"/>
  <c r="ER254" i="2" s="1"/>
  <c r="EJ254" i="2"/>
  <c r="EE254" i="2"/>
  <c r="EF254" i="2" s="1"/>
  <c r="DX254" i="2"/>
  <c r="DP254" i="2"/>
  <c r="DF254" i="2"/>
  <c r="DH254" i="2" s="1"/>
  <c r="DE254" i="2"/>
  <c r="CY254" i="2"/>
  <c r="CZ254" i="2" s="1"/>
  <c r="CF254" i="2"/>
  <c r="CH254" i="2"/>
  <c r="CA254" i="2"/>
  <c r="CR254" i="2"/>
  <c r="BO254" i="2"/>
  <c r="BJ254" i="2"/>
  <c r="BK254" i="2" s="1"/>
  <c r="CL254" i="2" s="1"/>
  <c r="BC254" i="2"/>
  <c r="AZ254" i="2"/>
  <c r="AY254" i="2"/>
  <c r="AO254" i="2"/>
  <c r="AN254" i="2"/>
  <c r="AM254" i="2"/>
  <c r="AL254" i="2"/>
  <c r="AK254" i="2"/>
  <c r="AG254" i="2"/>
  <c r="AE254" i="2"/>
  <c r="AF254" i="2" s="1"/>
  <c r="U254" i="2"/>
  <c r="S254" i="2"/>
  <c r="T254" i="2" s="1"/>
  <c r="R254" i="2"/>
  <c r="Y254" i="2" s="1"/>
  <c r="AB254" i="2" s="1"/>
  <c r="E254" i="2"/>
  <c r="GR253" i="2"/>
  <c r="GS253" i="2" s="1"/>
  <c r="GP253" i="2"/>
  <c r="GQ253" i="2" s="1"/>
  <c r="GN253" i="2"/>
  <c r="GO253" i="2" s="1"/>
  <c r="GL253" i="2"/>
  <c r="GM253" i="2" s="1"/>
  <c r="GH253" i="2"/>
  <c r="GG253" i="2"/>
  <c r="GI253" i="2" s="1"/>
  <c r="GD253" i="2"/>
  <c r="GC253" i="2"/>
  <c r="GB253" i="2"/>
  <c r="FY253" i="2"/>
  <c r="GA253" i="2" s="1"/>
  <c r="FS253" i="2"/>
  <c r="FT253" i="2" s="1"/>
  <c r="EW253" i="2"/>
  <c r="ET253" i="2"/>
  <c r="EU253" i="2" s="1"/>
  <c r="EQ253" i="2"/>
  <c r="ER253" i="2" s="1"/>
  <c r="EJ253" i="2"/>
  <c r="EE253" i="2"/>
  <c r="EF253" i="2" s="1"/>
  <c r="DX253" i="2"/>
  <c r="DP253" i="2"/>
  <c r="DF253" i="2"/>
  <c r="DE253" i="2"/>
  <c r="CY253" i="2"/>
  <c r="CZ253" i="2" s="1"/>
  <c r="CF253" i="2"/>
  <c r="CH253" i="2"/>
  <c r="CA253" i="2"/>
  <c r="BO253" i="2"/>
  <c r="BJ253" i="2"/>
  <c r="BM253" i="2" s="1"/>
  <c r="BN253" i="2" s="1"/>
  <c r="BC253" i="2"/>
  <c r="AZ253" i="2"/>
  <c r="AY253" i="2"/>
  <c r="AO253" i="2"/>
  <c r="AN253" i="2"/>
  <c r="AM253" i="2"/>
  <c r="AL253" i="2"/>
  <c r="AK253" i="2"/>
  <c r="AG253" i="2"/>
  <c r="AE253" i="2"/>
  <c r="AF253" i="2" s="1"/>
  <c r="U253" i="2"/>
  <c r="S253" i="2"/>
  <c r="T253" i="2" s="1"/>
  <c r="R253" i="2"/>
  <c r="Y253" i="2" s="1"/>
  <c r="AB253" i="2" s="1"/>
  <c r="E253" i="2"/>
  <c r="GP390" i="2"/>
  <c r="GQ390" i="2" s="1"/>
  <c r="DO390" i="2" s="1"/>
  <c r="GN390" i="2"/>
  <c r="GO390" i="2" s="1"/>
  <c r="GL390" i="2"/>
  <c r="GM390" i="2" s="1"/>
  <c r="GG390" i="2"/>
  <c r="GI390" i="2" s="1"/>
  <c r="GD390" i="2"/>
  <c r="GC390" i="2"/>
  <c r="GB390" i="2"/>
  <c r="FY390" i="2"/>
  <c r="FS390" i="2"/>
  <c r="FT390" i="2" s="1"/>
  <c r="EW390" i="2"/>
  <c r="ET390" i="2"/>
  <c r="EU390" i="2" s="1"/>
  <c r="EQ390" i="2"/>
  <c r="ER390" i="2" s="1"/>
  <c r="FJ390" i="2" s="1"/>
  <c r="EJ390" i="2"/>
  <c r="EE390" i="2"/>
  <c r="EF390" i="2" s="1"/>
  <c r="DX390" i="2"/>
  <c r="DP390" i="2"/>
  <c r="DF390" i="2"/>
  <c r="DE390" i="2"/>
  <c r="CY390" i="2"/>
  <c r="CZ390" i="2" s="1"/>
  <c r="CF390" i="2"/>
  <c r="CH390" i="2"/>
  <c r="CA390" i="2"/>
  <c r="BO390" i="2"/>
  <c r="BJ390" i="2"/>
  <c r="BM390" i="2" s="1"/>
  <c r="BN390" i="2" s="1"/>
  <c r="BC390" i="2"/>
  <c r="AZ390" i="2"/>
  <c r="AY390" i="2"/>
  <c r="AO390" i="2"/>
  <c r="AM390" i="2"/>
  <c r="AL390" i="2" s="1"/>
  <c r="AK390" i="2"/>
  <c r="AG390" i="2"/>
  <c r="AE390" i="2"/>
  <c r="AF390" i="2" s="1"/>
  <c r="S390" i="2"/>
  <c r="R390" i="2"/>
  <c r="Y390" i="2" s="1"/>
  <c r="AB390" i="2" s="1"/>
  <c r="E390" i="2"/>
  <c r="GP261" i="2"/>
  <c r="GQ261" i="2" s="1"/>
  <c r="DO261" i="2" s="1"/>
  <c r="EC261" i="2" s="1"/>
  <c r="GN261" i="2"/>
  <c r="GO261" i="2" s="1"/>
  <c r="GL261" i="2"/>
  <c r="GM261" i="2" s="1"/>
  <c r="GG261" i="2"/>
  <c r="GI261" i="2" s="1"/>
  <c r="GD261" i="2"/>
  <c r="GC261" i="2"/>
  <c r="GB261" i="2"/>
  <c r="FY261" i="2"/>
  <c r="FS261" i="2"/>
  <c r="FT261" i="2" s="1"/>
  <c r="EW261" i="2"/>
  <c r="ET261" i="2"/>
  <c r="EU261" i="2" s="1"/>
  <c r="EQ261" i="2"/>
  <c r="ER261" i="2" s="1"/>
  <c r="EJ261" i="2"/>
  <c r="EE261" i="2"/>
  <c r="EF261" i="2" s="1"/>
  <c r="DX261" i="2"/>
  <c r="DP261" i="2"/>
  <c r="DF261" i="2"/>
  <c r="DE261" i="2"/>
  <c r="CY261" i="2"/>
  <c r="CZ261" i="2" s="1"/>
  <c r="CF261" i="2"/>
  <c r="CH261" i="2"/>
  <c r="CA261" i="2"/>
  <c r="BO261" i="2"/>
  <c r="BJ261" i="2"/>
  <c r="BM261" i="2" s="1"/>
  <c r="BN261" i="2" s="1"/>
  <c r="BC261" i="2"/>
  <c r="AZ261" i="2"/>
  <c r="AY261" i="2"/>
  <c r="AO261" i="2"/>
  <c r="AN261" i="2"/>
  <c r="AM261" i="2"/>
  <c r="AL261" i="2"/>
  <c r="AK261" i="2"/>
  <c r="AG261" i="2"/>
  <c r="AE261" i="2"/>
  <c r="AF261" i="2" s="1"/>
  <c r="S261" i="2"/>
  <c r="T261" i="2" s="1"/>
  <c r="U261" i="2" s="1"/>
  <c r="R261" i="2"/>
  <c r="E261" i="2"/>
  <c r="GR102" i="2"/>
  <c r="GS102" i="2" s="1"/>
  <c r="GP102" i="2"/>
  <c r="GQ102" i="2" s="1"/>
  <c r="DO102" i="2" s="1"/>
  <c r="EC102" i="2" s="1"/>
  <c r="EE102" i="2" s="1"/>
  <c r="EF102" i="2" s="1"/>
  <c r="GN102" i="2"/>
  <c r="GO102" i="2" s="1"/>
  <c r="GL102" i="2"/>
  <c r="GM102" i="2" s="1"/>
  <c r="GH102" i="2"/>
  <c r="GG102" i="2"/>
  <c r="GI102" i="2" s="1"/>
  <c r="GD102" i="2"/>
  <c r="GC102" i="2"/>
  <c r="GB102" i="2"/>
  <c r="FY102" i="2"/>
  <c r="FS102" i="2"/>
  <c r="FT102" i="2" s="1"/>
  <c r="EW102" i="2"/>
  <c r="ET102" i="2"/>
  <c r="EU102" i="2" s="1"/>
  <c r="EQ102" i="2"/>
  <c r="ER102" i="2" s="1"/>
  <c r="EJ102" i="2"/>
  <c r="DX102" i="2"/>
  <c r="DP102" i="2"/>
  <c r="DF102" i="2"/>
  <c r="DE102" i="2"/>
  <c r="CY102" i="2"/>
  <c r="CZ102" i="2" s="1"/>
  <c r="CF102" i="2"/>
  <c r="CH102" i="2"/>
  <c r="CA102" i="2"/>
  <c r="CR102" i="2"/>
  <c r="BO102" i="2"/>
  <c r="BJ102" i="2"/>
  <c r="BM102" i="2" s="1"/>
  <c r="BN102" i="2" s="1"/>
  <c r="BC102" i="2"/>
  <c r="AZ102" i="2"/>
  <c r="AY102" i="2"/>
  <c r="AO102" i="2"/>
  <c r="AN102" i="2"/>
  <c r="AM102" i="2"/>
  <c r="AL102" i="2"/>
  <c r="AK102" i="2"/>
  <c r="AG102" i="2"/>
  <c r="AE102" i="2"/>
  <c r="AF102" i="2" s="1"/>
  <c r="U102" i="2"/>
  <c r="S102" i="2"/>
  <c r="T102" i="2" s="1"/>
  <c r="R102" i="2"/>
  <c r="Y102" i="2" s="1"/>
  <c r="AB102" i="2" s="1"/>
  <c r="E102" i="2"/>
  <c r="GR128" i="2"/>
  <c r="GS128" i="2" s="1"/>
  <c r="GP128" i="2"/>
  <c r="GQ128" i="2" s="1"/>
  <c r="GN128" i="2"/>
  <c r="GO128" i="2" s="1"/>
  <c r="GL128" i="2"/>
  <c r="GM128" i="2" s="1"/>
  <c r="GH128" i="2"/>
  <c r="GG128" i="2"/>
  <c r="GI128" i="2" s="1"/>
  <c r="GD128" i="2"/>
  <c r="GC128" i="2"/>
  <c r="GB128" i="2"/>
  <c r="FY128" i="2"/>
  <c r="GA128" i="2" s="1"/>
  <c r="FS128" i="2"/>
  <c r="FT128" i="2" s="1"/>
  <c r="EW128" i="2"/>
  <c r="ET128" i="2"/>
  <c r="EU128" i="2" s="1"/>
  <c r="EQ128" i="2"/>
  <c r="ER128" i="2" s="1"/>
  <c r="EJ128" i="2"/>
  <c r="EE128" i="2"/>
  <c r="EF128" i="2" s="1"/>
  <c r="DX128" i="2"/>
  <c r="DP128" i="2"/>
  <c r="DF128" i="2"/>
  <c r="DE128" i="2"/>
  <c r="CY128" i="2"/>
  <c r="CZ128" i="2" s="1"/>
  <c r="CF128" i="2"/>
  <c r="CA128" i="2"/>
  <c r="BO128" i="2"/>
  <c r="BJ128" i="2"/>
  <c r="BK128" i="2" s="1"/>
  <c r="CL128" i="2" s="1"/>
  <c r="BC128" i="2"/>
  <c r="AZ128" i="2"/>
  <c r="AY128" i="2"/>
  <c r="AO128" i="2"/>
  <c r="AN128" i="2"/>
  <c r="AM128" i="2"/>
  <c r="AL128" i="2"/>
  <c r="AK128" i="2"/>
  <c r="AG128" i="2"/>
  <c r="AE128" i="2"/>
  <c r="AF128" i="2" s="1"/>
  <c r="U128" i="2"/>
  <c r="S128" i="2"/>
  <c r="T128" i="2" s="1"/>
  <c r="R128" i="2"/>
  <c r="Y128" i="2" s="1"/>
  <c r="AB128" i="2" s="1"/>
  <c r="E128" i="2"/>
  <c r="GR98" i="2"/>
  <c r="GS98" i="2" s="1"/>
  <c r="GP98" i="2"/>
  <c r="GQ98" i="2" s="1"/>
  <c r="GN98" i="2"/>
  <c r="GO98" i="2" s="1"/>
  <c r="GL98" i="2"/>
  <c r="GM98" i="2" s="1"/>
  <c r="GH98" i="2"/>
  <c r="GG98" i="2"/>
  <c r="GI98" i="2" s="1"/>
  <c r="GD98" i="2"/>
  <c r="GC98" i="2"/>
  <c r="GB98" i="2"/>
  <c r="FY98" i="2"/>
  <c r="GA98" i="2" s="1"/>
  <c r="FS98" i="2"/>
  <c r="FT98" i="2" s="1"/>
  <c r="EW98" i="2"/>
  <c r="ET98" i="2"/>
  <c r="EU98" i="2" s="1"/>
  <c r="EQ98" i="2"/>
  <c r="ER98" i="2" s="1"/>
  <c r="EJ98" i="2"/>
  <c r="EE98" i="2"/>
  <c r="EF98" i="2" s="1"/>
  <c r="DX98" i="2"/>
  <c r="DP98" i="2"/>
  <c r="DF98" i="2"/>
  <c r="DH98" i="2" s="1"/>
  <c r="DE98" i="2"/>
  <c r="CY98" i="2"/>
  <c r="CZ98" i="2" s="1"/>
  <c r="CF98" i="2"/>
  <c r="CA98" i="2"/>
  <c r="CR98" i="2"/>
  <c r="BO98" i="2"/>
  <c r="BJ98" i="2"/>
  <c r="BK98" i="2" s="1"/>
  <c r="CL98" i="2" s="1"/>
  <c r="BC98" i="2"/>
  <c r="AZ98" i="2"/>
  <c r="AY98" i="2"/>
  <c r="AO98" i="2"/>
  <c r="AN98" i="2"/>
  <c r="AM98" i="2"/>
  <c r="AL98" i="2"/>
  <c r="AK98" i="2"/>
  <c r="AG98" i="2"/>
  <c r="AE98" i="2"/>
  <c r="AF98" i="2" s="1"/>
  <c r="U98" i="2"/>
  <c r="S98" i="2"/>
  <c r="T98" i="2" s="1"/>
  <c r="R98" i="2"/>
  <c r="Y98" i="2" s="1"/>
  <c r="AB98" i="2" s="1"/>
  <c r="E98" i="2"/>
  <c r="GP30" i="2"/>
  <c r="GQ30" i="2" s="1"/>
  <c r="DU30" i="2" s="1"/>
  <c r="GN30" i="2"/>
  <c r="GO30" i="2" s="1"/>
  <c r="GL30" i="2"/>
  <c r="GM30" i="2" s="1"/>
  <c r="GG30" i="2"/>
  <c r="GI30" i="2" s="1"/>
  <c r="GD30" i="2"/>
  <c r="GC30" i="2"/>
  <c r="GB30" i="2"/>
  <c r="FY30" i="2"/>
  <c r="FS30" i="2"/>
  <c r="FT30" i="2" s="1"/>
  <c r="EW30" i="2"/>
  <c r="ET30" i="2"/>
  <c r="EU30" i="2" s="1"/>
  <c r="EQ30" i="2"/>
  <c r="ER30" i="2" s="1"/>
  <c r="EJ30" i="2"/>
  <c r="EE30" i="2"/>
  <c r="EF30" i="2" s="1"/>
  <c r="DX30" i="2"/>
  <c r="DP30" i="2"/>
  <c r="DF30" i="2"/>
  <c r="DE30" i="2"/>
  <c r="CY30" i="2"/>
  <c r="CZ30" i="2" s="1"/>
  <c r="CF30" i="2"/>
  <c r="CA30" i="2"/>
  <c r="DA30" i="2"/>
  <c r="DB30" i="2" s="1"/>
  <c r="BO30" i="2"/>
  <c r="BJ30" i="2"/>
  <c r="BC30" i="2"/>
  <c r="AZ30" i="2"/>
  <c r="AY30" i="2"/>
  <c r="AO30" i="2"/>
  <c r="AN30" i="2"/>
  <c r="AM30" i="2"/>
  <c r="AL30" i="2"/>
  <c r="AK30" i="2"/>
  <c r="AG30" i="2"/>
  <c r="AE30" i="2"/>
  <c r="AF30" i="2" s="1"/>
  <c r="S30" i="2"/>
  <c r="T30" i="2" s="1"/>
  <c r="U30" i="2" s="1"/>
  <c r="R30" i="2"/>
  <c r="Y30" i="2" s="1"/>
  <c r="AB30" i="2" s="1"/>
  <c r="E30" i="2"/>
  <c r="GR308" i="2"/>
  <c r="GS308" i="2" s="1"/>
  <c r="GP308" i="2"/>
  <c r="GQ308" i="2" s="1"/>
  <c r="GN308" i="2"/>
  <c r="GO308" i="2" s="1"/>
  <c r="GL308" i="2"/>
  <c r="GM308" i="2" s="1"/>
  <c r="GG308" i="2"/>
  <c r="GI308" i="2" s="1"/>
  <c r="GD308" i="2"/>
  <c r="GC308" i="2"/>
  <c r="GB308" i="2"/>
  <c r="FY308" i="2"/>
  <c r="FS308" i="2"/>
  <c r="FT308" i="2" s="1"/>
  <c r="EW308" i="2"/>
  <c r="ET308" i="2"/>
  <c r="EU308" i="2" s="1"/>
  <c r="EQ308" i="2"/>
  <c r="ER308" i="2" s="1"/>
  <c r="EJ308" i="2"/>
  <c r="EE308" i="2"/>
  <c r="EF308" i="2" s="1"/>
  <c r="DX308" i="2"/>
  <c r="DP308" i="2"/>
  <c r="DF308" i="2"/>
  <c r="DH308" i="2" s="1"/>
  <c r="DE308" i="2"/>
  <c r="CY308" i="2"/>
  <c r="CZ308" i="2" s="1"/>
  <c r="CF308" i="2"/>
  <c r="CA308" i="2"/>
  <c r="CR308" i="2"/>
  <c r="BO308" i="2"/>
  <c r="BJ308" i="2"/>
  <c r="BC308" i="2"/>
  <c r="AZ308" i="2"/>
  <c r="AY308" i="2"/>
  <c r="AO308" i="2"/>
  <c r="AM308" i="2"/>
  <c r="AL308" i="2" s="1"/>
  <c r="AK308" i="2"/>
  <c r="AG308" i="2"/>
  <c r="AE308" i="2"/>
  <c r="AF308" i="2" s="1"/>
  <c r="S308" i="2"/>
  <c r="AN308" i="2" s="1"/>
  <c r="R308" i="2"/>
  <c r="E308" i="2"/>
  <c r="GL265" i="2"/>
  <c r="GM265" i="2" s="1"/>
  <c r="GH265" i="2"/>
  <c r="GG265" i="2"/>
  <c r="GI265" i="2" s="1"/>
  <c r="GD265" i="2"/>
  <c r="GC265" i="2"/>
  <c r="GB265" i="2"/>
  <c r="FY265" i="2"/>
  <c r="FS265" i="2"/>
  <c r="FT265" i="2" s="1"/>
  <c r="EW265" i="2"/>
  <c r="ET265" i="2"/>
  <c r="EU265" i="2" s="1"/>
  <c r="EQ265" i="2"/>
  <c r="ER265" i="2" s="1"/>
  <c r="EJ265" i="2"/>
  <c r="EE265" i="2"/>
  <c r="EF265" i="2" s="1"/>
  <c r="DX265" i="2"/>
  <c r="DP265" i="2"/>
  <c r="DF265" i="2"/>
  <c r="DE265" i="2"/>
  <c r="CY265" i="2"/>
  <c r="CF265" i="2"/>
  <c r="CA265" i="2"/>
  <c r="DA265" i="2"/>
  <c r="DB265" i="2" s="1"/>
  <c r="BO265" i="2"/>
  <c r="BJ265" i="2"/>
  <c r="BC265" i="2"/>
  <c r="AZ265" i="2"/>
  <c r="AY265" i="2"/>
  <c r="AO265" i="2"/>
  <c r="AN265" i="2"/>
  <c r="AM265" i="2"/>
  <c r="AL265" i="2"/>
  <c r="AK265" i="2"/>
  <c r="AG265" i="2"/>
  <c r="AE265" i="2"/>
  <c r="AF265" i="2" s="1"/>
  <c r="U265" i="2"/>
  <c r="S265" i="2"/>
  <c r="T265" i="2" s="1"/>
  <c r="R265" i="2"/>
  <c r="Y265" i="2" s="1"/>
  <c r="AB265" i="2" s="1"/>
  <c r="E265" i="2"/>
  <c r="GR267" i="2"/>
  <c r="GS267" i="2" s="1"/>
  <c r="GP267" i="2"/>
  <c r="GQ267" i="2" s="1"/>
  <c r="GN267" i="2"/>
  <c r="GO267" i="2" s="1"/>
  <c r="GL267" i="2"/>
  <c r="GM267" i="2" s="1"/>
  <c r="GG267" i="2"/>
  <c r="GI267" i="2" s="1"/>
  <c r="GD267" i="2"/>
  <c r="GC267" i="2"/>
  <c r="GB267" i="2"/>
  <c r="FY267" i="2"/>
  <c r="FZ267" i="2" s="1"/>
  <c r="FS267" i="2"/>
  <c r="FT267" i="2" s="1"/>
  <c r="EW267" i="2"/>
  <c r="ET267" i="2"/>
  <c r="EU267" i="2" s="1"/>
  <c r="EQ267" i="2"/>
  <c r="ER267" i="2" s="1"/>
  <c r="EJ267" i="2"/>
  <c r="EE267" i="2"/>
  <c r="EF267" i="2" s="1"/>
  <c r="DX267" i="2"/>
  <c r="DP267" i="2"/>
  <c r="DF267" i="2"/>
  <c r="DH267" i="2" s="1"/>
  <c r="DE267" i="2"/>
  <c r="CY267" i="2"/>
  <c r="CZ267" i="2" s="1"/>
  <c r="CF267" i="2"/>
  <c r="CH267" i="2"/>
  <c r="CA267" i="2"/>
  <c r="BO267" i="2"/>
  <c r="BJ267" i="2"/>
  <c r="BC267" i="2"/>
  <c r="AZ267" i="2"/>
  <c r="AY267" i="2"/>
  <c r="AO267" i="2"/>
  <c r="AN267" i="2"/>
  <c r="AM267" i="2"/>
  <c r="AL267" i="2"/>
  <c r="AK267" i="2"/>
  <c r="AG267" i="2"/>
  <c r="AE267" i="2"/>
  <c r="AF267" i="2" s="1"/>
  <c r="S267" i="2"/>
  <c r="T267" i="2" s="1"/>
  <c r="U267" i="2" s="1"/>
  <c r="R267" i="2"/>
  <c r="Y267" i="2" s="1"/>
  <c r="AB267" i="2" s="1"/>
  <c r="E267" i="2"/>
  <c r="GP392" i="2"/>
  <c r="GQ392" i="2" s="1"/>
  <c r="GN392" i="2"/>
  <c r="GO392" i="2" s="1"/>
  <c r="GL392" i="2"/>
  <c r="GM392" i="2" s="1"/>
  <c r="GG392" i="2"/>
  <c r="GI392" i="2" s="1"/>
  <c r="GD392" i="2"/>
  <c r="GC392" i="2"/>
  <c r="GB392" i="2"/>
  <c r="FY392" i="2"/>
  <c r="FS392" i="2"/>
  <c r="FT392" i="2" s="1"/>
  <c r="EW392" i="2"/>
  <c r="ET392" i="2"/>
  <c r="EU392" i="2" s="1"/>
  <c r="EQ392" i="2"/>
  <c r="ER392" i="2" s="1"/>
  <c r="EJ392" i="2"/>
  <c r="EE392" i="2"/>
  <c r="EF392" i="2" s="1"/>
  <c r="DX392" i="2"/>
  <c r="DP392" i="2"/>
  <c r="DF392" i="2"/>
  <c r="DE392" i="2"/>
  <c r="CY392" i="2"/>
  <c r="CZ392" i="2" s="1"/>
  <c r="CF392" i="2"/>
  <c r="CH392" i="2"/>
  <c r="CA392" i="2"/>
  <c r="DA392" i="2"/>
  <c r="DB392" i="2" s="1"/>
  <c r="BO392" i="2"/>
  <c r="BJ392" i="2"/>
  <c r="BM392" i="2" s="1"/>
  <c r="BN392" i="2" s="1"/>
  <c r="BC392" i="2"/>
  <c r="AZ392" i="2"/>
  <c r="AY392" i="2"/>
  <c r="AO392" i="2"/>
  <c r="AN392" i="2"/>
  <c r="AM392" i="2"/>
  <c r="AL392" i="2"/>
  <c r="AK392" i="2"/>
  <c r="AG392" i="2"/>
  <c r="AE392" i="2"/>
  <c r="AF392" i="2" s="1"/>
  <c r="S392" i="2"/>
  <c r="T392" i="2" s="1"/>
  <c r="U392" i="2" s="1"/>
  <c r="R392" i="2"/>
  <c r="X392" i="2" s="1"/>
  <c r="E392" i="2"/>
  <c r="GP167" i="2"/>
  <c r="GQ167" i="2" s="1"/>
  <c r="GL167" i="2"/>
  <c r="GM167" i="2" s="1"/>
  <c r="GG167" i="2"/>
  <c r="GI167" i="2" s="1"/>
  <c r="GD167" i="2"/>
  <c r="GC167" i="2"/>
  <c r="GB167" i="2"/>
  <c r="FY167" i="2"/>
  <c r="FS167" i="2"/>
  <c r="FT167" i="2" s="1"/>
  <c r="EW167" i="2"/>
  <c r="ET167" i="2"/>
  <c r="EU167" i="2" s="1"/>
  <c r="EQ167" i="2"/>
  <c r="ER167" i="2" s="1"/>
  <c r="EJ167" i="2"/>
  <c r="EE167" i="2"/>
  <c r="EF167" i="2" s="1"/>
  <c r="DX167" i="2"/>
  <c r="DP167" i="2"/>
  <c r="DF167" i="2"/>
  <c r="DE167" i="2"/>
  <c r="CY167" i="2"/>
  <c r="CF167" i="2"/>
  <c r="CH167" i="2"/>
  <c r="CA167" i="2"/>
  <c r="DA167" i="2"/>
  <c r="DB167" i="2" s="1"/>
  <c r="BO167" i="2"/>
  <c r="BJ167" i="2"/>
  <c r="BM167" i="2" s="1"/>
  <c r="BN167" i="2" s="1"/>
  <c r="BC167" i="2"/>
  <c r="AZ167" i="2"/>
  <c r="AY167" i="2"/>
  <c r="AO167" i="2"/>
  <c r="AN167" i="2"/>
  <c r="AM167" i="2"/>
  <c r="AL167" i="2"/>
  <c r="AK167" i="2"/>
  <c r="AG167" i="2"/>
  <c r="AE167" i="2"/>
  <c r="AF167" i="2" s="1"/>
  <c r="S167" i="2"/>
  <c r="T167" i="2" s="1"/>
  <c r="U167" i="2" s="1"/>
  <c r="R167" i="2"/>
  <c r="GH167" i="2" s="1"/>
  <c r="E167" i="2"/>
  <c r="GP257" i="2"/>
  <c r="GQ257" i="2" s="1"/>
  <c r="GL257" i="2"/>
  <c r="GM257" i="2" s="1"/>
  <c r="GG257" i="2"/>
  <c r="GI257" i="2" s="1"/>
  <c r="GD257" i="2"/>
  <c r="GC257" i="2"/>
  <c r="GB257" i="2"/>
  <c r="FY257" i="2"/>
  <c r="FS257" i="2"/>
  <c r="FT257" i="2" s="1"/>
  <c r="EW257" i="2"/>
  <c r="ET257" i="2"/>
  <c r="EU257" i="2" s="1"/>
  <c r="EQ257" i="2"/>
  <c r="ER257" i="2" s="1"/>
  <c r="EJ257" i="2"/>
  <c r="EE257" i="2"/>
  <c r="EF257" i="2" s="1"/>
  <c r="DX257" i="2"/>
  <c r="DP257" i="2"/>
  <c r="DF257" i="2"/>
  <c r="DE257" i="2"/>
  <c r="CY257" i="2"/>
  <c r="CF257" i="2"/>
  <c r="CH257" i="2"/>
  <c r="CA257" i="2"/>
  <c r="DA257" i="2"/>
  <c r="DB257" i="2" s="1"/>
  <c r="BO257" i="2"/>
  <c r="BJ257" i="2"/>
  <c r="BM257" i="2" s="1"/>
  <c r="BN257" i="2" s="1"/>
  <c r="BC257" i="2"/>
  <c r="AZ257" i="2"/>
  <c r="AY257" i="2"/>
  <c r="AO257" i="2"/>
  <c r="AN257" i="2"/>
  <c r="AM257" i="2"/>
  <c r="AL257" i="2"/>
  <c r="AK257" i="2"/>
  <c r="AG257" i="2"/>
  <c r="AE257" i="2"/>
  <c r="AF257" i="2" s="1"/>
  <c r="S257" i="2"/>
  <c r="T257" i="2" s="1"/>
  <c r="U257" i="2" s="1"/>
  <c r="R257" i="2"/>
  <c r="GH257" i="2" s="1"/>
  <c r="E257" i="2"/>
  <c r="GN252" i="2"/>
  <c r="GO252" i="2" s="1"/>
  <c r="GL252" i="2"/>
  <c r="GM252" i="2" s="1"/>
  <c r="GH252" i="2"/>
  <c r="GG252" i="2"/>
  <c r="GI252" i="2" s="1"/>
  <c r="GD252" i="2"/>
  <c r="GC252" i="2"/>
  <c r="GB252" i="2"/>
  <c r="FY252" i="2"/>
  <c r="FS252" i="2"/>
  <c r="FT252" i="2" s="1"/>
  <c r="EW252" i="2"/>
  <c r="ET252" i="2"/>
  <c r="EU252" i="2" s="1"/>
  <c r="EQ252" i="2"/>
  <c r="ER252" i="2" s="1"/>
  <c r="EJ252" i="2"/>
  <c r="EE252" i="2"/>
  <c r="EF252" i="2" s="1"/>
  <c r="DX252" i="2"/>
  <c r="DP252" i="2"/>
  <c r="DF252" i="2"/>
  <c r="DE252" i="2"/>
  <c r="CY252" i="2"/>
  <c r="CZ252" i="2" s="1"/>
  <c r="CF252" i="2"/>
  <c r="CH252" i="2"/>
  <c r="CA252" i="2"/>
  <c r="DA252" i="2"/>
  <c r="DB252" i="2" s="1"/>
  <c r="BO252" i="2"/>
  <c r="BJ252" i="2"/>
  <c r="BM252" i="2" s="1"/>
  <c r="BN252" i="2" s="1"/>
  <c r="BC252" i="2"/>
  <c r="AZ252" i="2"/>
  <c r="AY252" i="2"/>
  <c r="AO252" i="2"/>
  <c r="AN252" i="2"/>
  <c r="AM252" i="2"/>
  <c r="AL252" i="2"/>
  <c r="AK252" i="2"/>
  <c r="AG252" i="2"/>
  <c r="AE252" i="2"/>
  <c r="AF252" i="2" s="1"/>
  <c r="U252" i="2"/>
  <c r="S252" i="2"/>
  <c r="T252" i="2" s="1"/>
  <c r="R252" i="2"/>
  <c r="E252" i="2"/>
  <c r="GR251" i="2"/>
  <c r="GS251" i="2" s="1"/>
  <c r="GP251" i="2"/>
  <c r="GQ251" i="2" s="1"/>
  <c r="GN251" i="2"/>
  <c r="GO251" i="2" s="1"/>
  <c r="GL251" i="2"/>
  <c r="GM251" i="2" s="1"/>
  <c r="GH251" i="2"/>
  <c r="GG251" i="2"/>
  <c r="GI251" i="2" s="1"/>
  <c r="GD251" i="2"/>
  <c r="GC251" i="2"/>
  <c r="GB251" i="2"/>
  <c r="FY251" i="2"/>
  <c r="GA251" i="2" s="1"/>
  <c r="FS251" i="2"/>
  <c r="FT251" i="2" s="1"/>
  <c r="EW251" i="2"/>
  <c r="ET251" i="2"/>
  <c r="EU251" i="2" s="1"/>
  <c r="EQ251" i="2"/>
  <c r="ER251" i="2" s="1"/>
  <c r="EJ251" i="2"/>
  <c r="EE251" i="2"/>
  <c r="EF251" i="2" s="1"/>
  <c r="DX251" i="2"/>
  <c r="DP251" i="2"/>
  <c r="DF251" i="2"/>
  <c r="DE251" i="2"/>
  <c r="CY251" i="2"/>
  <c r="CZ251" i="2" s="1"/>
  <c r="CF251" i="2"/>
  <c r="CH251" i="2"/>
  <c r="CA251" i="2"/>
  <c r="DA251" i="2"/>
  <c r="DB251" i="2" s="1"/>
  <c r="BO251" i="2"/>
  <c r="BJ251" i="2"/>
  <c r="BM251" i="2" s="1"/>
  <c r="BN251" i="2" s="1"/>
  <c r="BC251" i="2"/>
  <c r="AZ251" i="2"/>
  <c r="AY251" i="2"/>
  <c r="AO251" i="2"/>
  <c r="AN251" i="2"/>
  <c r="AM251" i="2"/>
  <c r="AL251" i="2"/>
  <c r="AK251" i="2"/>
  <c r="AG251" i="2"/>
  <c r="AE251" i="2"/>
  <c r="AF251" i="2" s="1"/>
  <c r="U251" i="2"/>
  <c r="S251" i="2"/>
  <c r="T251" i="2" s="1"/>
  <c r="R251" i="2"/>
  <c r="Y251" i="2" s="1"/>
  <c r="AB251" i="2" s="1"/>
  <c r="E251" i="2"/>
  <c r="GR250" i="2"/>
  <c r="GS250" i="2" s="1"/>
  <c r="GP250" i="2"/>
  <c r="GQ250" i="2" s="1"/>
  <c r="GN250" i="2"/>
  <c r="GO250" i="2" s="1"/>
  <c r="GL250" i="2"/>
  <c r="GM250" i="2" s="1"/>
  <c r="GH250" i="2"/>
  <c r="GG250" i="2"/>
  <c r="GI250" i="2" s="1"/>
  <c r="GD250" i="2"/>
  <c r="GC250" i="2"/>
  <c r="GB250" i="2"/>
  <c r="FY250" i="2"/>
  <c r="FS250" i="2"/>
  <c r="FT250" i="2" s="1"/>
  <c r="EW250" i="2"/>
  <c r="ET250" i="2"/>
  <c r="EU250" i="2" s="1"/>
  <c r="EQ250" i="2"/>
  <c r="ER250" i="2" s="1"/>
  <c r="EJ250" i="2"/>
  <c r="EE250" i="2"/>
  <c r="EF250" i="2" s="1"/>
  <c r="DX250" i="2"/>
  <c r="DP250" i="2"/>
  <c r="DF250" i="2"/>
  <c r="DE250" i="2"/>
  <c r="CY250" i="2"/>
  <c r="CZ250" i="2" s="1"/>
  <c r="CF250" i="2"/>
  <c r="CH250" i="2"/>
  <c r="CA250" i="2"/>
  <c r="BO250" i="2"/>
  <c r="BJ250" i="2"/>
  <c r="BM250" i="2" s="1"/>
  <c r="BN250" i="2" s="1"/>
  <c r="BC250" i="2"/>
  <c r="AZ250" i="2"/>
  <c r="AY250" i="2"/>
  <c r="AO250" i="2"/>
  <c r="AN250" i="2"/>
  <c r="AM250" i="2"/>
  <c r="AL250" i="2"/>
  <c r="AK250" i="2"/>
  <c r="AG250" i="2"/>
  <c r="AE250" i="2"/>
  <c r="AF250" i="2" s="1"/>
  <c r="U250" i="2"/>
  <c r="S250" i="2"/>
  <c r="T250" i="2" s="1"/>
  <c r="R250" i="2"/>
  <c r="X250" i="2" s="1"/>
  <c r="E250" i="2"/>
  <c r="GR249" i="2"/>
  <c r="GS249" i="2" s="1"/>
  <c r="GP249" i="2"/>
  <c r="GQ249" i="2" s="1"/>
  <c r="GN249" i="2"/>
  <c r="GO249" i="2" s="1"/>
  <c r="GL249" i="2"/>
  <c r="GM249" i="2" s="1"/>
  <c r="GH249" i="2"/>
  <c r="GG249" i="2"/>
  <c r="GI249" i="2" s="1"/>
  <c r="GD249" i="2"/>
  <c r="GC249" i="2"/>
  <c r="GB249" i="2"/>
  <c r="FY249" i="2"/>
  <c r="GA249" i="2" s="1"/>
  <c r="FS249" i="2"/>
  <c r="FT249" i="2" s="1"/>
  <c r="EW249" i="2"/>
  <c r="ET249" i="2"/>
  <c r="EU249" i="2" s="1"/>
  <c r="EQ249" i="2"/>
  <c r="ER249" i="2" s="1"/>
  <c r="EJ249" i="2"/>
  <c r="EE249" i="2"/>
  <c r="EF249" i="2" s="1"/>
  <c r="DX249" i="2"/>
  <c r="DP249" i="2"/>
  <c r="DF249" i="2"/>
  <c r="DH249" i="2" s="1"/>
  <c r="DE249" i="2"/>
  <c r="CY249" i="2"/>
  <c r="CZ249" i="2" s="1"/>
  <c r="CF249" i="2"/>
  <c r="CH249" i="2"/>
  <c r="CA249" i="2"/>
  <c r="CR249" i="2"/>
  <c r="BO249" i="2"/>
  <c r="BJ249" i="2"/>
  <c r="BC249" i="2"/>
  <c r="AZ249" i="2"/>
  <c r="AY249" i="2"/>
  <c r="AO249" i="2"/>
  <c r="AN249" i="2"/>
  <c r="AM249" i="2"/>
  <c r="AL249" i="2"/>
  <c r="AK249" i="2"/>
  <c r="AG249" i="2"/>
  <c r="AE249" i="2"/>
  <c r="AF249" i="2" s="1"/>
  <c r="U249" i="2"/>
  <c r="S249" i="2"/>
  <c r="T249" i="2" s="1"/>
  <c r="R249" i="2"/>
  <c r="X249" i="2" s="1"/>
  <c r="E249" i="2"/>
  <c r="GR248" i="2"/>
  <c r="GS248" i="2" s="1"/>
  <c r="GP248" i="2"/>
  <c r="GQ248" i="2" s="1"/>
  <c r="GN248" i="2"/>
  <c r="GO248" i="2" s="1"/>
  <c r="GL248" i="2"/>
  <c r="GM248" i="2" s="1"/>
  <c r="GH248" i="2"/>
  <c r="GG248" i="2"/>
  <c r="GI248" i="2" s="1"/>
  <c r="GD248" i="2"/>
  <c r="GC248" i="2"/>
  <c r="GB248" i="2"/>
  <c r="FY248" i="2"/>
  <c r="GA248" i="2" s="1"/>
  <c r="FS248" i="2"/>
  <c r="FT248" i="2" s="1"/>
  <c r="EW248" i="2"/>
  <c r="ET248" i="2"/>
  <c r="EU248" i="2" s="1"/>
  <c r="EQ248" i="2"/>
  <c r="ER248" i="2" s="1"/>
  <c r="EJ248" i="2"/>
  <c r="EE248" i="2"/>
  <c r="EF248" i="2" s="1"/>
  <c r="DX248" i="2"/>
  <c r="DP248" i="2"/>
  <c r="DF248" i="2"/>
  <c r="DH248" i="2" s="1"/>
  <c r="DE248" i="2"/>
  <c r="CY248" i="2"/>
  <c r="CZ248" i="2" s="1"/>
  <c r="CF248" i="2"/>
  <c r="CH248" i="2"/>
  <c r="CA248" i="2"/>
  <c r="CR248" i="2"/>
  <c r="BO248" i="2"/>
  <c r="BJ248" i="2"/>
  <c r="BC248" i="2"/>
  <c r="AZ248" i="2"/>
  <c r="AY248" i="2"/>
  <c r="AO248" i="2"/>
  <c r="AN248" i="2"/>
  <c r="AM248" i="2"/>
  <c r="AL248" i="2"/>
  <c r="AK248" i="2"/>
  <c r="AG248" i="2"/>
  <c r="AE248" i="2"/>
  <c r="AF248" i="2" s="1"/>
  <c r="U248" i="2"/>
  <c r="S248" i="2"/>
  <c r="T248" i="2" s="1"/>
  <c r="R248" i="2"/>
  <c r="Y248" i="2" s="1"/>
  <c r="AB248" i="2" s="1"/>
  <c r="E248" i="2"/>
  <c r="GR247" i="2"/>
  <c r="GS247" i="2" s="1"/>
  <c r="GP247" i="2"/>
  <c r="GQ247" i="2" s="1"/>
  <c r="DO247" i="2" s="1"/>
  <c r="EC247" i="2" s="1"/>
  <c r="GN247" i="2"/>
  <c r="GO247" i="2" s="1"/>
  <c r="GL247" i="2"/>
  <c r="GM247" i="2" s="1"/>
  <c r="GH247" i="2"/>
  <c r="GG247" i="2"/>
  <c r="GI247" i="2" s="1"/>
  <c r="GD247" i="2"/>
  <c r="GC247" i="2"/>
  <c r="GB247" i="2"/>
  <c r="FY247" i="2"/>
  <c r="GA247" i="2" s="1"/>
  <c r="FS247" i="2"/>
  <c r="FT247" i="2" s="1"/>
  <c r="EW247" i="2"/>
  <c r="ET247" i="2"/>
  <c r="EU247" i="2" s="1"/>
  <c r="EQ247" i="2"/>
  <c r="ER247" i="2" s="1"/>
  <c r="EJ247" i="2"/>
  <c r="EE247" i="2"/>
  <c r="EF247" i="2" s="1"/>
  <c r="DX247" i="2"/>
  <c r="DP247" i="2"/>
  <c r="DF247" i="2"/>
  <c r="DH247" i="2" s="1"/>
  <c r="DE247" i="2"/>
  <c r="CY247" i="2"/>
  <c r="CZ247" i="2" s="1"/>
  <c r="CF247" i="2"/>
  <c r="CA247" i="2"/>
  <c r="CR247" i="2"/>
  <c r="BO247" i="2"/>
  <c r="BJ247" i="2"/>
  <c r="BC247" i="2"/>
  <c r="AZ247" i="2"/>
  <c r="AY247" i="2"/>
  <c r="AO247" i="2"/>
  <c r="AN247" i="2"/>
  <c r="AM247" i="2"/>
  <c r="AL247" i="2"/>
  <c r="AK247" i="2"/>
  <c r="AG247" i="2"/>
  <c r="AE247" i="2"/>
  <c r="AF247" i="2" s="1"/>
  <c r="U247" i="2"/>
  <c r="S247" i="2"/>
  <c r="T247" i="2" s="1"/>
  <c r="R247" i="2"/>
  <c r="Y247" i="2" s="1"/>
  <c r="AB247" i="2" s="1"/>
  <c r="E247" i="2"/>
  <c r="GR246" i="2"/>
  <c r="GS246" i="2" s="1"/>
  <c r="GP246" i="2"/>
  <c r="GQ246" i="2" s="1"/>
  <c r="DO246" i="2" s="1"/>
  <c r="EC246" i="2" s="1"/>
  <c r="GN246" i="2"/>
  <c r="GO246" i="2" s="1"/>
  <c r="GL246" i="2"/>
  <c r="GM246" i="2" s="1"/>
  <c r="GH246" i="2"/>
  <c r="GG246" i="2"/>
  <c r="GI246" i="2" s="1"/>
  <c r="GD246" i="2"/>
  <c r="GC246" i="2"/>
  <c r="GB246" i="2"/>
  <c r="FY246" i="2"/>
  <c r="FZ246" i="2" s="1"/>
  <c r="FS246" i="2"/>
  <c r="FT246" i="2" s="1"/>
  <c r="EW246" i="2"/>
  <c r="ET246" i="2"/>
  <c r="EU246" i="2" s="1"/>
  <c r="EQ246" i="2"/>
  <c r="ER246" i="2" s="1"/>
  <c r="EJ246" i="2"/>
  <c r="EE246" i="2"/>
  <c r="EF246" i="2" s="1"/>
  <c r="DX246" i="2"/>
  <c r="DP246" i="2"/>
  <c r="DF246" i="2"/>
  <c r="DH246" i="2" s="1"/>
  <c r="DE246" i="2"/>
  <c r="CY246" i="2"/>
  <c r="CZ246" i="2" s="1"/>
  <c r="CF246" i="2"/>
  <c r="CA246" i="2"/>
  <c r="BO246" i="2"/>
  <c r="BJ246" i="2"/>
  <c r="BM246" i="2" s="1"/>
  <c r="BN246" i="2" s="1"/>
  <c r="BC246" i="2"/>
  <c r="AZ246" i="2"/>
  <c r="AY246" i="2"/>
  <c r="AO246" i="2"/>
  <c r="AN246" i="2"/>
  <c r="AM246" i="2"/>
  <c r="AL246" i="2"/>
  <c r="AK246" i="2"/>
  <c r="AG246" i="2"/>
  <c r="AE246" i="2"/>
  <c r="AF246" i="2" s="1"/>
  <c r="U246" i="2"/>
  <c r="S246" i="2"/>
  <c r="T246" i="2" s="1"/>
  <c r="R246" i="2"/>
  <c r="Y246" i="2" s="1"/>
  <c r="AB246" i="2" s="1"/>
  <c r="E246" i="2"/>
  <c r="GR245" i="2"/>
  <c r="GS245" i="2" s="1"/>
  <c r="GP245" i="2"/>
  <c r="GQ245" i="2" s="1"/>
  <c r="DO245" i="2" s="1"/>
  <c r="EC245" i="2" s="1"/>
  <c r="GN245" i="2"/>
  <c r="GO245" i="2" s="1"/>
  <c r="GL245" i="2"/>
  <c r="GM245" i="2" s="1"/>
  <c r="GH245" i="2"/>
  <c r="GG245" i="2"/>
  <c r="GI245" i="2" s="1"/>
  <c r="GD245" i="2"/>
  <c r="GC245" i="2"/>
  <c r="GB245" i="2"/>
  <c r="FY245" i="2"/>
  <c r="GA245" i="2" s="1"/>
  <c r="FS245" i="2"/>
  <c r="FT245" i="2" s="1"/>
  <c r="EW245" i="2"/>
  <c r="ET245" i="2"/>
  <c r="EU245" i="2" s="1"/>
  <c r="EQ245" i="2"/>
  <c r="ER245" i="2" s="1"/>
  <c r="EJ245" i="2"/>
  <c r="EE245" i="2"/>
  <c r="EF245" i="2" s="1"/>
  <c r="DX245" i="2"/>
  <c r="DP245" i="2"/>
  <c r="DF245" i="2"/>
  <c r="DH245" i="2" s="1"/>
  <c r="DE245" i="2"/>
  <c r="CY245" i="2"/>
  <c r="CZ245" i="2" s="1"/>
  <c r="CF245" i="2"/>
  <c r="CH245" i="2"/>
  <c r="CA245" i="2"/>
  <c r="BO245" i="2"/>
  <c r="BJ245" i="2"/>
  <c r="BC245" i="2"/>
  <c r="AZ245" i="2"/>
  <c r="AY245" i="2"/>
  <c r="AO245" i="2"/>
  <c r="AN245" i="2"/>
  <c r="AM245" i="2"/>
  <c r="AL245" i="2"/>
  <c r="AK245" i="2"/>
  <c r="AG245" i="2"/>
  <c r="AE245" i="2"/>
  <c r="AF245" i="2" s="1"/>
  <c r="U245" i="2"/>
  <c r="S245" i="2"/>
  <c r="T245" i="2" s="1"/>
  <c r="R245" i="2"/>
  <c r="Y245" i="2" s="1"/>
  <c r="AB245" i="2" s="1"/>
  <c r="E245" i="2"/>
  <c r="GR243" i="2"/>
  <c r="GS243" i="2" s="1"/>
  <c r="GP243" i="2"/>
  <c r="GQ243" i="2" s="1"/>
  <c r="DU243" i="2" s="1"/>
  <c r="GN243" i="2"/>
  <c r="GO243" i="2" s="1"/>
  <c r="GL243" i="2"/>
  <c r="GM243" i="2" s="1"/>
  <c r="GH243" i="2"/>
  <c r="GG243" i="2"/>
  <c r="GI243" i="2" s="1"/>
  <c r="GD243" i="2"/>
  <c r="GC243" i="2"/>
  <c r="GB243" i="2"/>
  <c r="FY243" i="2"/>
  <c r="GA243" i="2" s="1"/>
  <c r="FS243" i="2"/>
  <c r="FT243" i="2" s="1"/>
  <c r="EW243" i="2"/>
  <c r="ET243" i="2"/>
  <c r="EU243" i="2" s="1"/>
  <c r="EQ243" i="2"/>
  <c r="ER243" i="2" s="1"/>
  <c r="EJ243" i="2"/>
  <c r="EE243" i="2"/>
  <c r="EF243" i="2" s="1"/>
  <c r="DX243" i="2"/>
  <c r="DP243" i="2"/>
  <c r="DF243" i="2"/>
  <c r="DH243" i="2" s="1"/>
  <c r="DE243" i="2"/>
  <c r="CY243" i="2"/>
  <c r="CZ243" i="2" s="1"/>
  <c r="CF243" i="2"/>
  <c r="CA243" i="2"/>
  <c r="CR243" i="2"/>
  <c r="BO243" i="2"/>
  <c r="BJ243" i="2"/>
  <c r="BK243" i="2" s="1"/>
  <c r="CL243" i="2" s="1"/>
  <c r="BC243" i="2"/>
  <c r="AZ243" i="2"/>
  <c r="AY243" i="2"/>
  <c r="AO243" i="2"/>
  <c r="AN243" i="2"/>
  <c r="AM243" i="2"/>
  <c r="AL243" i="2"/>
  <c r="AK243" i="2"/>
  <c r="AG243" i="2"/>
  <c r="AE243" i="2"/>
  <c r="AF243" i="2" s="1"/>
  <c r="U243" i="2"/>
  <c r="S243" i="2"/>
  <c r="T243" i="2" s="1"/>
  <c r="R243" i="2"/>
  <c r="Y243" i="2" s="1"/>
  <c r="AB243" i="2" s="1"/>
  <c r="E243" i="2"/>
  <c r="GR242" i="2"/>
  <c r="GS242" i="2" s="1"/>
  <c r="GP242" i="2"/>
  <c r="GQ242" i="2" s="1"/>
  <c r="DO242" i="2" s="1"/>
  <c r="GN242" i="2"/>
  <c r="GO242" i="2" s="1"/>
  <c r="GL242" i="2"/>
  <c r="GM242" i="2" s="1"/>
  <c r="GH242" i="2"/>
  <c r="GG242" i="2"/>
  <c r="GI242" i="2" s="1"/>
  <c r="GD242" i="2"/>
  <c r="GC242" i="2"/>
  <c r="GB242" i="2"/>
  <c r="FY242" i="2"/>
  <c r="FS242" i="2"/>
  <c r="FT242" i="2" s="1"/>
  <c r="EW242" i="2"/>
  <c r="ET242" i="2"/>
  <c r="EU242" i="2" s="1"/>
  <c r="EQ242" i="2"/>
  <c r="ER242" i="2" s="1"/>
  <c r="EJ242" i="2"/>
  <c r="EE242" i="2"/>
  <c r="EF242" i="2" s="1"/>
  <c r="DX242" i="2"/>
  <c r="DP242" i="2"/>
  <c r="DF242" i="2"/>
  <c r="DG242" i="2" s="1"/>
  <c r="DE242" i="2"/>
  <c r="CY242" i="2"/>
  <c r="CZ242" i="2" s="1"/>
  <c r="CF242" i="2"/>
  <c r="CH242" i="2"/>
  <c r="CA242" i="2"/>
  <c r="CR242" i="2"/>
  <c r="BO242" i="2"/>
  <c r="BJ242" i="2"/>
  <c r="BM242" i="2" s="1"/>
  <c r="BN242" i="2" s="1"/>
  <c r="BC242" i="2"/>
  <c r="AZ242" i="2"/>
  <c r="AY242" i="2"/>
  <c r="AO242" i="2"/>
  <c r="AN242" i="2"/>
  <c r="AM242" i="2"/>
  <c r="AL242" i="2"/>
  <c r="AK242" i="2"/>
  <c r="AG242" i="2"/>
  <c r="AE242" i="2"/>
  <c r="AF242" i="2" s="1"/>
  <c r="U242" i="2"/>
  <c r="S242" i="2"/>
  <c r="T242" i="2" s="1"/>
  <c r="R242" i="2"/>
  <c r="X242" i="2" s="1"/>
  <c r="E242" i="2"/>
  <c r="GR241" i="2"/>
  <c r="GS241" i="2" s="1"/>
  <c r="GP241" i="2"/>
  <c r="GQ241" i="2" s="1"/>
  <c r="DO241" i="2" s="1"/>
  <c r="GN241" i="2"/>
  <c r="GO241" i="2" s="1"/>
  <c r="GL241" i="2"/>
  <c r="GM241" i="2" s="1"/>
  <c r="GH241" i="2"/>
  <c r="GG241" i="2"/>
  <c r="GI241" i="2" s="1"/>
  <c r="GD241" i="2"/>
  <c r="GC241" i="2"/>
  <c r="GB241" i="2"/>
  <c r="FY241" i="2"/>
  <c r="FZ241" i="2" s="1"/>
  <c r="FS241" i="2"/>
  <c r="FT241" i="2" s="1"/>
  <c r="EW241" i="2"/>
  <c r="ET241" i="2"/>
  <c r="EU241" i="2" s="1"/>
  <c r="EQ241" i="2"/>
  <c r="ER241" i="2" s="1"/>
  <c r="EJ241" i="2"/>
  <c r="EE241" i="2"/>
  <c r="EF241" i="2" s="1"/>
  <c r="DX241" i="2"/>
  <c r="DP241" i="2"/>
  <c r="DF241" i="2"/>
  <c r="DG241" i="2" s="1"/>
  <c r="DE241" i="2"/>
  <c r="CY241" i="2"/>
  <c r="CZ241" i="2" s="1"/>
  <c r="CF241" i="2"/>
  <c r="CH241" i="2"/>
  <c r="CA241" i="2"/>
  <c r="BO241" i="2"/>
  <c r="BJ241" i="2"/>
  <c r="BM241" i="2" s="1"/>
  <c r="BN241" i="2" s="1"/>
  <c r="BC241" i="2"/>
  <c r="AZ241" i="2"/>
  <c r="AY241" i="2"/>
  <c r="AO241" i="2"/>
  <c r="AN241" i="2"/>
  <c r="AM241" i="2"/>
  <c r="AL241" i="2"/>
  <c r="AK241" i="2"/>
  <c r="AG241" i="2"/>
  <c r="AE241" i="2"/>
  <c r="AF241" i="2" s="1"/>
  <c r="U241" i="2"/>
  <c r="S241" i="2"/>
  <c r="T241" i="2" s="1"/>
  <c r="R241" i="2"/>
  <c r="Y241" i="2" s="1"/>
  <c r="AB241" i="2" s="1"/>
  <c r="E241" i="2"/>
  <c r="GR240" i="2"/>
  <c r="GS240" i="2" s="1"/>
  <c r="GP240" i="2"/>
  <c r="GQ240" i="2" s="1"/>
  <c r="GN240" i="2"/>
  <c r="GO240" i="2" s="1"/>
  <c r="GL240" i="2"/>
  <c r="GM240" i="2" s="1"/>
  <c r="GH240" i="2"/>
  <c r="GG240" i="2"/>
  <c r="GI240" i="2" s="1"/>
  <c r="GD240" i="2"/>
  <c r="GC240" i="2"/>
  <c r="GB240" i="2"/>
  <c r="FY240" i="2"/>
  <c r="FS240" i="2"/>
  <c r="FT240" i="2" s="1"/>
  <c r="EW240" i="2"/>
  <c r="ET240" i="2"/>
  <c r="EU240" i="2" s="1"/>
  <c r="EQ240" i="2"/>
  <c r="ER240" i="2" s="1"/>
  <c r="EJ240" i="2"/>
  <c r="DX240" i="2"/>
  <c r="DP240" i="2"/>
  <c r="DF240" i="2"/>
  <c r="DG240" i="2" s="1"/>
  <c r="DE240" i="2"/>
  <c r="CY240" i="2"/>
  <c r="CZ240" i="2" s="1"/>
  <c r="CF240" i="2"/>
  <c r="CA240" i="2"/>
  <c r="CR240" i="2"/>
  <c r="BO240" i="2"/>
  <c r="BJ240" i="2"/>
  <c r="BK240" i="2" s="1"/>
  <c r="CL240" i="2" s="1"/>
  <c r="BC240" i="2"/>
  <c r="AZ240" i="2"/>
  <c r="AY240" i="2"/>
  <c r="AO240" i="2"/>
  <c r="AN240" i="2"/>
  <c r="AM240" i="2"/>
  <c r="AL240" i="2"/>
  <c r="AK240" i="2"/>
  <c r="AG240" i="2"/>
  <c r="AE240" i="2"/>
  <c r="AF240" i="2" s="1"/>
  <c r="U240" i="2"/>
  <c r="S240" i="2"/>
  <c r="T240" i="2" s="1"/>
  <c r="R240" i="2"/>
  <c r="X240" i="2" s="1"/>
  <c r="AA240" i="2" s="1"/>
  <c r="E240" i="2"/>
  <c r="GR239" i="2"/>
  <c r="GS239" i="2" s="1"/>
  <c r="GP239" i="2"/>
  <c r="GQ239" i="2" s="1"/>
  <c r="DO239" i="2" s="1"/>
  <c r="DS239" i="2" s="1"/>
  <c r="GN239" i="2"/>
  <c r="GO239" i="2" s="1"/>
  <c r="GL239" i="2"/>
  <c r="GM239" i="2" s="1"/>
  <c r="GH239" i="2"/>
  <c r="GG239" i="2"/>
  <c r="GI239" i="2" s="1"/>
  <c r="GD239" i="2"/>
  <c r="GC239" i="2"/>
  <c r="GB239" i="2"/>
  <c r="FY239" i="2"/>
  <c r="GA239" i="2" s="1"/>
  <c r="FS239" i="2"/>
  <c r="FT239" i="2" s="1"/>
  <c r="EW239" i="2"/>
  <c r="ET239" i="2"/>
  <c r="EU239" i="2" s="1"/>
  <c r="EQ239" i="2"/>
  <c r="ER239" i="2" s="1"/>
  <c r="EJ239" i="2"/>
  <c r="EE239" i="2"/>
  <c r="EF239" i="2" s="1"/>
  <c r="DX239" i="2"/>
  <c r="DP239" i="2"/>
  <c r="DF239" i="2"/>
  <c r="DE239" i="2"/>
  <c r="CY239" i="2"/>
  <c r="CZ239" i="2" s="1"/>
  <c r="CF239" i="2"/>
  <c r="CH239" i="2"/>
  <c r="CA239" i="2"/>
  <c r="CR239" i="2"/>
  <c r="BO239" i="2"/>
  <c r="BJ239" i="2"/>
  <c r="BC239" i="2"/>
  <c r="AZ239" i="2"/>
  <c r="AY239" i="2"/>
  <c r="AO239" i="2"/>
  <c r="AN239" i="2"/>
  <c r="AM239" i="2"/>
  <c r="AL239" i="2"/>
  <c r="AK239" i="2"/>
  <c r="AG239" i="2"/>
  <c r="AE239" i="2"/>
  <c r="AF239" i="2" s="1"/>
  <c r="U239" i="2"/>
  <c r="S239" i="2"/>
  <c r="T239" i="2" s="1"/>
  <c r="R239" i="2"/>
  <c r="E239" i="2"/>
  <c r="GR238" i="2"/>
  <c r="GS238" i="2" s="1"/>
  <c r="GP238" i="2"/>
  <c r="GQ238" i="2" s="1"/>
  <c r="GN238" i="2"/>
  <c r="GO238" i="2" s="1"/>
  <c r="GL238" i="2"/>
  <c r="GM238" i="2" s="1"/>
  <c r="GH238" i="2"/>
  <c r="GG238" i="2"/>
  <c r="GI238" i="2" s="1"/>
  <c r="GD238" i="2"/>
  <c r="GC238" i="2"/>
  <c r="GB238" i="2"/>
  <c r="FY238" i="2"/>
  <c r="FZ238" i="2" s="1"/>
  <c r="FS238" i="2"/>
  <c r="FT238" i="2" s="1"/>
  <c r="EW238" i="2"/>
  <c r="ET238" i="2"/>
  <c r="EU238" i="2" s="1"/>
  <c r="EQ238" i="2"/>
  <c r="ER238" i="2" s="1"/>
  <c r="EJ238" i="2"/>
  <c r="EE238" i="2"/>
  <c r="EF238" i="2" s="1"/>
  <c r="DX238" i="2"/>
  <c r="DP238" i="2"/>
  <c r="DF238" i="2"/>
  <c r="DH238" i="2" s="1"/>
  <c r="DE238" i="2"/>
  <c r="CY238" i="2"/>
  <c r="CZ238" i="2" s="1"/>
  <c r="CF238" i="2"/>
  <c r="CH238" i="2"/>
  <c r="CA238" i="2"/>
  <c r="CR238" i="2"/>
  <c r="BO238" i="2"/>
  <c r="BJ238" i="2"/>
  <c r="BM238" i="2" s="1"/>
  <c r="BN238" i="2" s="1"/>
  <c r="BC238" i="2"/>
  <c r="AZ238" i="2"/>
  <c r="AY238" i="2"/>
  <c r="AO238" i="2"/>
  <c r="AN238" i="2"/>
  <c r="AM238" i="2"/>
  <c r="AL238" i="2"/>
  <c r="AK238" i="2"/>
  <c r="AG238" i="2"/>
  <c r="AE238" i="2"/>
  <c r="AF238" i="2" s="1"/>
  <c r="U238" i="2"/>
  <c r="S238" i="2"/>
  <c r="T238" i="2" s="1"/>
  <c r="R238" i="2"/>
  <c r="Y238" i="2" s="1"/>
  <c r="AB238" i="2" s="1"/>
  <c r="E238" i="2"/>
  <c r="GR237" i="2"/>
  <c r="GS237" i="2" s="1"/>
  <c r="GP237" i="2"/>
  <c r="GQ237" i="2" s="1"/>
  <c r="DO237" i="2" s="1"/>
  <c r="DQ237" i="2" s="1"/>
  <c r="DR237" i="2" s="1"/>
  <c r="GN237" i="2"/>
  <c r="GO237" i="2" s="1"/>
  <c r="GL237" i="2"/>
  <c r="GM237" i="2" s="1"/>
  <c r="GH237" i="2"/>
  <c r="GG237" i="2"/>
  <c r="GI237" i="2" s="1"/>
  <c r="GD237" i="2"/>
  <c r="GC237" i="2"/>
  <c r="GB237" i="2"/>
  <c r="FY237" i="2"/>
  <c r="FZ237" i="2" s="1"/>
  <c r="FS237" i="2"/>
  <c r="FT237" i="2" s="1"/>
  <c r="EW237" i="2"/>
  <c r="ET237" i="2"/>
  <c r="EU237" i="2" s="1"/>
  <c r="EQ237" i="2"/>
  <c r="ER237" i="2" s="1"/>
  <c r="EJ237" i="2"/>
  <c r="EE237" i="2"/>
  <c r="EF237" i="2" s="1"/>
  <c r="DX237" i="2"/>
  <c r="DP237" i="2"/>
  <c r="DF237" i="2"/>
  <c r="DH237" i="2" s="1"/>
  <c r="DE237" i="2"/>
  <c r="CY237" i="2"/>
  <c r="CZ237" i="2" s="1"/>
  <c r="CF237" i="2"/>
  <c r="CH237" i="2"/>
  <c r="CA237" i="2"/>
  <c r="CR237" i="2"/>
  <c r="BO237" i="2"/>
  <c r="BJ237" i="2"/>
  <c r="BM237" i="2" s="1"/>
  <c r="BN237" i="2" s="1"/>
  <c r="BC237" i="2"/>
  <c r="AZ237" i="2"/>
  <c r="AY237" i="2"/>
  <c r="AO237" i="2"/>
  <c r="AN237" i="2"/>
  <c r="AM237" i="2"/>
  <c r="AL237" i="2"/>
  <c r="AK237" i="2"/>
  <c r="AG237" i="2"/>
  <c r="AE237" i="2"/>
  <c r="AF237" i="2" s="1"/>
  <c r="U237" i="2"/>
  <c r="S237" i="2"/>
  <c r="T237" i="2" s="1"/>
  <c r="R237" i="2"/>
  <c r="E237" i="2"/>
  <c r="GR236" i="2"/>
  <c r="GS236" i="2" s="1"/>
  <c r="GP236" i="2"/>
  <c r="GQ236" i="2" s="1"/>
  <c r="GN236" i="2"/>
  <c r="GO236" i="2" s="1"/>
  <c r="GL236" i="2"/>
  <c r="GM236" i="2" s="1"/>
  <c r="GH236" i="2"/>
  <c r="GG236" i="2"/>
  <c r="GI236" i="2" s="1"/>
  <c r="GD236" i="2"/>
  <c r="GC236" i="2"/>
  <c r="GB236" i="2"/>
  <c r="FY236" i="2"/>
  <c r="GA236" i="2" s="1"/>
  <c r="FS236" i="2"/>
  <c r="FT236" i="2" s="1"/>
  <c r="EW236" i="2"/>
  <c r="ET236" i="2"/>
  <c r="EU236" i="2" s="1"/>
  <c r="EQ236" i="2"/>
  <c r="ER236" i="2" s="1"/>
  <c r="EJ236" i="2"/>
  <c r="EE236" i="2"/>
  <c r="EF236" i="2" s="1"/>
  <c r="DX236" i="2"/>
  <c r="DP236" i="2"/>
  <c r="DF236" i="2"/>
  <c r="DH236" i="2" s="1"/>
  <c r="DE236" i="2"/>
  <c r="CY236" i="2"/>
  <c r="CZ236" i="2" s="1"/>
  <c r="CF236" i="2"/>
  <c r="CH236" i="2"/>
  <c r="CA236" i="2"/>
  <c r="CR236" i="2"/>
  <c r="BO236" i="2"/>
  <c r="BJ236" i="2"/>
  <c r="BM236" i="2" s="1"/>
  <c r="BN236" i="2" s="1"/>
  <c r="BC236" i="2"/>
  <c r="AZ236" i="2"/>
  <c r="AY236" i="2"/>
  <c r="AO236" i="2"/>
  <c r="AN236" i="2"/>
  <c r="AM236" i="2"/>
  <c r="AL236" i="2"/>
  <c r="AK236" i="2"/>
  <c r="AG236" i="2"/>
  <c r="AE236" i="2"/>
  <c r="AF236" i="2" s="1"/>
  <c r="U236" i="2"/>
  <c r="S236" i="2"/>
  <c r="T236" i="2" s="1"/>
  <c r="R236" i="2"/>
  <c r="X236" i="2" s="1"/>
  <c r="E236" i="2"/>
  <c r="GR234" i="2"/>
  <c r="GS234" i="2" s="1"/>
  <c r="GP234" i="2"/>
  <c r="GQ234" i="2" s="1"/>
  <c r="DU234" i="2" s="1"/>
  <c r="GN234" i="2"/>
  <c r="GO234" i="2" s="1"/>
  <c r="GL234" i="2"/>
  <c r="GM234" i="2" s="1"/>
  <c r="GH234" i="2"/>
  <c r="GG234" i="2"/>
  <c r="GI234" i="2" s="1"/>
  <c r="GD234" i="2"/>
  <c r="GC234" i="2"/>
  <c r="GB234" i="2"/>
  <c r="FY234" i="2"/>
  <c r="FZ234" i="2" s="1"/>
  <c r="FS234" i="2"/>
  <c r="FT234" i="2" s="1"/>
  <c r="EW234" i="2"/>
  <c r="ET234" i="2"/>
  <c r="EU234" i="2" s="1"/>
  <c r="EQ234" i="2"/>
  <c r="ER234" i="2" s="1"/>
  <c r="EJ234" i="2"/>
  <c r="EE234" i="2"/>
  <c r="EF234" i="2" s="1"/>
  <c r="DX234" i="2"/>
  <c r="DP234" i="2"/>
  <c r="DF234" i="2"/>
  <c r="DE234" i="2"/>
  <c r="CY234" i="2"/>
  <c r="CZ234" i="2" s="1"/>
  <c r="CF234" i="2"/>
  <c r="CA234" i="2"/>
  <c r="CR234" i="2"/>
  <c r="BO234" i="2"/>
  <c r="BJ234" i="2"/>
  <c r="BM234" i="2" s="1"/>
  <c r="BN234" i="2" s="1"/>
  <c r="BC234" i="2"/>
  <c r="AZ234" i="2"/>
  <c r="AY234" i="2"/>
  <c r="AO234" i="2"/>
  <c r="AN234" i="2"/>
  <c r="AM234" i="2"/>
  <c r="AL234" i="2"/>
  <c r="AK234" i="2"/>
  <c r="AG234" i="2"/>
  <c r="AE234" i="2"/>
  <c r="AF234" i="2" s="1"/>
  <c r="U234" i="2"/>
  <c r="S234" i="2"/>
  <c r="T234" i="2" s="1"/>
  <c r="R234" i="2"/>
  <c r="Y234" i="2" s="1"/>
  <c r="E234" i="2"/>
  <c r="GR233" i="2"/>
  <c r="GS233" i="2" s="1"/>
  <c r="GP233" i="2"/>
  <c r="GQ233" i="2" s="1"/>
  <c r="DU233" i="2" s="1"/>
  <c r="GN233" i="2"/>
  <c r="GO233" i="2" s="1"/>
  <c r="GL233" i="2"/>
  <c r="GM233" i="2" s="1"/>
  <c r="GH233" i="2"/>
  <c r="GG233" i="2"/>
  <c r="GI233" i="2" s="1"/>
  <c r="GD233" i="2"/>
  <c r="GC233" i="2"/>
  <c r="GB233" i="2"/>
  <c r="FY233" i="2"/>
  <c r="FZ233" i="2" s="1"/>
  <c r="FS233" i="2"/>
  <c r="FT233" i="2" s="1"/>
  <c r="EW233" i="2"/>
  <c r="ET233" i="2"/>
  <c r="EU233" i="2" s="1"/>
  <c r="EQ233" i="2"/>
  <c r="ER233" i="2" s="1"/>
  <c r="EJ233" i="2"/>
  <c r="EE233" i="2"/>
  <c r="EF233" i="2" s="1"/>
  <c r="DX233" i="2"/>
  <c r="DP233" i="2"/>
  <c r="DF233" i="2"/>
  <c r="DE233" i="2"/>
  <c r="CY233" i="2"/>
  <c r="CZ233" i="2" s="1"/>
  <c r="CF233" i="2"/>
  <c r="CA233" i="2"/>
  <c r="CR233" i="2"/>
  <c r="BO233" i="2"/>
  <c r="BJ233" i="2"/>
  <c r="BC233" i="2"/>
  <c r="AZ233" i="2"/>
  <c r="AY233" i="2"/>
  <c r="AO233" i="2"/>
  <c r="AN233" i="2"/>
  <c r="AM233" i="2"/>
  <c r="AL233" i="2"/>
  <c r="AK233" i="2"/>
  <c r="AG233" i="2"/>
  <c r="AE233" i="2"/>
  <c r="AF233" i="2" s="1"/>
  <c r="U233" i="2"/>
  <c r="S233" i="2"/>
  <c r="T233" i="2" s="1"/>
  <c r="R233" i="2"/>
  <c r="Y233" i="2" s="1"/>
  <c r="E233" i="2"/>
  <c r="GR232" i="2"/>
  <c r="GS232" i="2" s="1"/>
  <c r="GP232" i="2"/>
  <c r="GQ232" i="2" s="1"/>
  <c r="DU232" i="2" s="1"/>
  <c r="GN232" i="2"/>
  <c r="GO232" i="2" s="1"/>
  <c r="GL232" i="2"/>
  <c r="GM232" i="2" s="1"/>
  <c r="GH232" i="2"/>
  <c r="GG232" i="2"/>
  <c r="GI232" i="2" s="1"/>
  <c r="GD232" i="2"/>
  <c r="GC232" i="2"/>
  <c r="GB232" i="2"/>
  <c r="FY232" i="2"/>
  <c r="FZ232" i="2" s="1"/>
  <c r="FS232" i="2"/>
  <c r="FT232" i="2" s="1"/>
  <c r="EW232" i="2"/>
  <c r="ET232" i="2"/>
  <c r="EU232" i="2" s="1"/>
  <c r="EQ232" i="2"/>
  <c r="ER232" i="2" s="1"/>
  <c r="EJ232" i="2"/>
  <c r="EE232" i="2"/>
  <c r="EF232" i="2" s="1"/>
  <c r="DX232" i="2"/>
  <c r="DP232" i="2"/>
  <c r="DF232" i="2"/>
  <c r="DE232" i="2"/>
  <c r="CY232" i="2"/>
  <c r="CZ232" i="2" s="1"/>
  <c r="CF232" i="2"/>
  <c r="CA232" i="2"/>
  <c r="CR232" i="2"/>
  <c r="BO232" i="2"/>
  <c r="BJ232" i="2"/>
  <c r="BM232" i="2" s="1"/>
  <c r="BN232" i="2" s="1"/>
  <c r="BC232" i="2"/>
  <c r="AZ232" i="2"/>
  <c r="AY232" i="2"/>
  <c r="AO232" i="2"/>
  <c r="AN232" i="2"/>
  <c r="AM232" i="2"/>
  <c r="AL232" i="2"/>
  <c r="AK232" i="2"/>
  <c r="AG232" i="2"/>
  <c r="AE232" i="2"/>
  <c r="AF232" i="2" s="1"/>
  <c r="U232" i="2"/>
  <c r="S232" i="2"/>
  <c r="T232" i="2" s="1"/>
  <c r="R232" i="2"/>
  <c r="Y232" i="2" s="1"/>
  <c r="E232" i="2"/>
  <c r="GR231" i="2"/>
  <c r="GS231" i="2" s="1"/>
  <c r="GP231" i="2"/>
  <c r="GQ231" i="2" s="1"/>
  <c r="DU231" i="2" s="1"/>
  <c r="GN231" i="2"/>
  <c r="GO231" i="2" s="1"/>
  <c r="GL231" i="2"/>
  <c r="GM231" i="2" s="1"/>
  <c r="GH231" i="2"/>
  <c r="GG231" i="2"/>
  <c r="GI231" i="2" s="1"/>
  <c r="GD231" i="2"/>
  <c r="GC231" i="2"/>
  <c r="GB231" i="2"/>
  <c r="FY231" i="2"/>
  <c r="FZ231" i="2" s="1"/>
  <c r="FS231" i="2"/>
  <c r="FT231" i="2" s="1"/>
  <c r="EW231" i="2"/>
  <c r="ET231" i="2"/>
  <c r="EU231" i="2" s="1"/>
  <c r="EQ231" i="2"/>
  <c r="ER231" i="2" s="1"/>
  <c r="EJ231" i="2"/>
  <c r="EE231" i="2"/>
  <c r="EF231" i="2" s="1"/>
  <c r="DX231" i="2"/>
  <c r="DP231" i="2"/>
  <c r="DF231" i="2"/>
  <c r="DG231" i="2" s="1"/>
  <c r="DE231" i="2"/>
  <c r="CY231" i="2"/>
  <c r="CZ231" i="2" s="1"/>
  <c r="CF231" i="2"/>
  <c r="CA231" i="2"/>
  <c r="CR231" i="2"/>
  <c r="BO231" i="2"/>
  <c r="BJ231" i="2"/>
  <c r="BM231" i="2" s="1"/>
  <c r="BN231" i="2" s="1"/>
  <c r="BC231" i="2"/>
  <c r="AZ231" i="2"/>
  <c r="AY231" i="2"/>
  <c r="AO231" i="2"/>
  <c r="AN231" i="2"/>
  <c r="AM231" i="2"/>
  <c r="AL231" i="2"/>
  <c r="AK231" i="2"/>
  <c r="AG231" i="2"/>
  <c r="AE231" i="2"/>
  <c r="AF231" i="2" s="1"/>
  <c r="U231" i="2"/>
  <c r="S231" i="2"/>
  <c r="T231" i="2" s="1"/>
  <c r="R231" i="2"/>
  <c r="Y231" i="2" s="1"/>
  <c r="E231" i="2"/>
  <c r="GR230" i="2"/>
  <c r="GS230" i="2" s="1"/>
  <c r="GP230" i="2"/>
  <c r="GQ230" i="2" s="1"/>
  <c r="DU230" i="2" s="1"/>
  <c r="GN230" i="2"/>
  <c r="GO230" i="2" s="1"/>
  <c r="GL230" i="2"/>
  <c r="GM230" i="2" s="1"/>
  <c r="GH230" i="2"/>
  <c r="GG230" i="2"/>
  <c r="GI230" i="2" s="1"/>
  <c r="GD230" i="2"/>
  <c r="GC230" i="2"/>
  <c r="GB230" i="2"/>
  <c r="FY230" i="2"/>
  <c r="GA230" i="2" s="1"/>
  <c r="FS230" i="2"/>
  <c r="FT230" i="2" s="1"/>
  <c r="EW230" i="2"/>
  <c r="ET230" i="2"/>
  <c r="EU230" i="2" s="1"/>
  <c r="EQ230" i="2"/>
  <c r="ER230" i="2" s="1"/>
  <c r="EJ230" i="2"/>
  <c r="EE230" i="2"/>
  <c r="EF230" i="2" s="1"/>
  <c r="DX230" i="2"/>
  <c r="DP230" i="2"/>
  <c r="DF230" i="2"/>
  <c r="DG230" i="2" s="1"/>
  <c r="DE230" i="2"/>
  <c r="CY230" i="2"/>
  <c r="CZ230" i="2" s="1"/>
  <c r="CF230" i="2"/>
  <c r="CA230" i="2"/>
  <c r="CR230" i="2"/>
  <c r="BO230" i="2"/>
  <c r="BJ230" i="2"/>
  <c r="BC230" i="2"/>
  <c r="AZ230" i="2"/>
  <c r="AY230" i="2"/>
  <c r="AO230" i="2"/>
  <c r="AN230" i="2"/>
  <c r="AM230" i="2"/>
  <c r="AL230" i="2"/>
  <c r="AK230" i="2"/>
  <c r="AG230" i="2"/>
  <c r="AE230" i="2"/>
  <c r="AF230" i="2" s="1"/>
  <c r="U230" i="2"/>
  <c r="S230" i="2"/>
  <c r="T230" i="2" s="1"/>
  <c r="R230" i="2"/>
  <c r="Y230" i="2" s="1"/>
  <c r="E230" i="2"/>
  <c r="GR226" i="2"/>
  <c r="GS226" i="2" s="1"/>
  <c r="GP226" i="2"/>
  <c r="GQ226" i="2" s="1"/>
  <c r="DU226" i="2" s="1"/>
  <c r="GN226" i="2"/>
  <c r="GO226" i="2" s="1"/>
  <c r="GL226" i="2"/>
  <c r="GM226" i="2" s="1"/>
  <c r="GH226" i="2"/>
  <c r="GG226" i="2"/>
  <c r="GI226" i="2" s="1"/>
  <c r="GD226" i="2"/>
  <c r="GC226" i="2"/>
  <c r="GB226" i="2"/>
  <c r="FY226" i="2"/>
  <c r="GA226" i="2" s="1"/>
  <c r="FS226" i="2"/>
  <c r="FT226" i="2" s="1"/>
  <c r="EW226" i="2"/>
  <c r="ET226" i="2"/>
  <c r="EU226" i="2" s="1"/>
  <c r="EQ226" i="2"/>
  <c r="ER226" i="2" s="1"/>
  <c r="EJ226" i="2"/>
  <c r="EE226" i="2"/>
  <c r="EF226" i="2" s="1"/>
  <c r="DX226" i="2"/>
  <c r="DP226" i="2"/>
  <c r="DF226" i="2"/>
  <c r="DE226" i="2"/>
  <c r="CY226" i="2"/>
  <c r="CZ226" i="2" s="1"/>
  <c r="CF226" i="2"/>
  <c r="CA226" i="2"/>
  <c r="CR226" i="2"/>
  <c r="BO226" i="2"/>
  <c r="BJ226" i="2"/>
  <c r="BM226" i="2" s="1"/>
  <c r="BN226" i="2" s="1"/>
  <c r="BC226" i="2"/>
  <c r="AZ226" i="2"/>
  <c r="AY226" i="2"/>
  <c r="AO226" i="2"/>
  <c r="AN226" i="2"/>
  <c r="AM226" i="2"/>
  <c r="AL226" i="2"/>
  <c r="AK226" i="2"/>
  <c r="AG226" i="2"/>
  <c r="AE226" i="2"/>
  <c r="AF226" i="2" s="1"/>
  <c r="U226" i="2"/>
  <c r="S226" i="2"/>
  <c r="T226" i="2" s="1"/>
  <c r="R226" i="2"/>
  <c r="Y226" i="2" s="1"/>
  <c r="E226" i="2"/>
  <c r="GR225" i="2"/>
  <c r="GS225" i="2" s="1"/>
  <c r="GP225" i="2"/>
  <c r="GQ225" i="2" s="1"/>
  <c r="DU225" i="2" s="1"/>
  <c r="GN225" i="2"/>
  <c r="GO225" i="2" s="1"/>
  <c r="GL225" i="2"/>
  <c r="GM225" i="2" s="1"/>
  <c r="GH225" i="2"/>
  <c r="GG225" i="2"/>
  <c r="GI225" i="2" s="1"/>
  <c r="GD225" i="2"/>
  <c r="GC225" i="2"/>
  <c r="GB225" i="2"/>
  <c r="FY225" i="2"/>
  <c r="FZ225" i="2" s="1"/>
  <c r="FS225" i="2"/>
  <c r="FT225" i="2" s="1"/>
  <c r="EW225" i="2"/>
  <c r="ET225" i="2"/>
  <c r="EU225" i="2" s="1"/>
  <c r="EQ225" i="2"/>
  <c r="ER225" i="2" s="1"/>
  <c r="EJ225" i="2"/>
  <c r="EE225" i="2"/>
  <c r="EF225" i="2" s="1"/>
  <c r="DX225" i="2"/>
  <c r="DP225" i="2"/>
  <c r="DF225" i="2"/>
  <c r="DG225" i="2" s="1"/>
  <c r="DE225" i="2"/>
  <c r="CY225" i="2"/>
  <c r="CZ225" i="2" s="1"/>
  <c r="CF225" i="2"/>
  <c r="CA225" i="2"/>
  <c r="BO225" i="2"/>
  <c r="BJ225" i="2"/>
  <c r="BM225" i="2" s="1"/>
  <c r="BN225" i="2" s="1"/>
  <c r="BC225" i="2"/>
  <c r="AZ225" i="2"/>
  <c r="AY225" i="2"/>
  <c r="AO225" i="2"/>
  <c r="AN225" i="2"/>
  <c r="AM225" i="2"/>
  <c r="AL225" i="2"/>
  <c r="AK225" i="2"/>
  <c r="AG225" i="2"/>
  <c r="AE225" i="2"/>
  <c r="AF225" i="2" s="1"/>
  <c r="U225" i="2"/>
  <c r="S225" i="2"/>
  <c r="T225" i="2" s="1"/>
  <c r="R225" i="2"/>
  <c r="Y225" i="2" s="1"/>
  <c r="E225" i="2"/>
  <c r="GR224" i="2"/>
  <c r="GS224" i="2" s="1"/>
  <c r="GP224" i="2"/>
  <c r="GQ224" i="2" s="1"/>
  <c r="DU224" i="2" s="1"/>
  <c r="GN224" i="2"/>
  <c r="GO224" i="2" s="1"/>
  <c r="GL224" i="2"/>
  <c r="GM224" i="2" s="1"/>
  <c r="GH224" i="2"/>
  <c r="GG224" i="2"/>
  <c r="GI224" i="2" s="1"/>
  <c r="GD224" i="2"/>
  <c r="GC224" i="2"/>
  <c r="GB224" i="2"/>
  <c r="FY224" i="2"/>
  <c r="FZ224" i="2" s="1"/>
  <c r="FS224" i="2"/>
  <c r="FT224" i="2" s="1"/>
  <c r="EW224" i="2"/>
  <c r="ET224" i="2"/>
  <c r="EU224" i="2" s="1"/>
  <c r="EQ224" i="2"/>
  <c r="ER224" i="2" s="1"/>
  <c r="EJ224" i="2"/>
  <c r="EE224" i="2"/>
  <c r="EF224" i="2" s="1"/>
  <c r="DX224" i="2"/>
  <c r="DP224" i="2"/>
  <c r="DF224" i="2"/>
  <c r="DG224" i="2" s="1"/>
  <c r="DE224" i="2"/>
  <c r="CY224" i="2"/>
  <c r="CZ224" i="2" s="1"/>
  <c r="CF224" i="2"/>
  <c r="CA224" i="2"/>
  <c r="CW224" i="2"/>
  <c r="BO224" i="2"/>
  <c r="BJ224" i="2"/>
  <c r="BM224" i="2" s="1"/>
  <c r="BN224" i="2" s="1"/>
  <c r="BC224" i="2"/>
  <c r="AZ224" i="2"/>
  <c r="AY224" i="2"/>
  <c r="AO224" i="2"/>
  <c r="AN224" i="2"/>
  <c r="AM224" i="2"/>
  <c r="AL224" i="2"/>
  <c r="AK224" i="2"/>
  <c r="AG224" i="2"/>
  <c r="AE224" i="2"/>
  <c r="AF224" i="2" s="1"/>
  <c r="U224" i="2"/>
  <c r="S224" i="2"/>
  <c r="T224" i="2" s="1"/>
  <c r="R224" i="2"/>
  <c r="Y224" i="2" s="1"/>
  <c r="E224" i="2"/>
  <c r="GR223" i="2"/>
  <c r="GS223" i="2" s="1"/>
  <c r="GP223" i="2"/>
  <c r="GQ223" i="2" s="1"/>
  <c r="DU223" i="2" s="1"/>
  <c r="GN223" i="2"/>
  <c r="GO223" i="2" s="1"/>
  <c r="GL223" i="2"/>
  <c r="GM223" i="2" s="1"/>
  <c r="GH223" i="2"/>
  <c r="GG223" i="2"/>
  <c r="GI223" i="2" s="1"/>
  <c r="GD223" i="2"/>
  <c r="GC223" i="2"/>
  <c r="GB223" i="2"/>
  <c r="FY223" i="2"/>
  <c r="FZ223" i="2" s="1"/>
  <c r="FS223" i="2"/>
  <c r="FT223" i="2" s="1"/>
  <c r="EW223" i="2"/>
  <c r="ET223" i="2"/>
  <c r="EU223" i="2" s="1"/>
  <c r="EQ223" i="2"/>
  <c r="ER223" i="2" s="1"/>
  <c r="EJ223" i="2"/>
  <c r="EE223" i="2"/>
  <c r="EF223" i="2" s="1"/>
  <c r="DX223" i="2"/>
  <c r="DP223" i="2"/>
  <c r="DF223" i="2"/>
  <c r="DG223" i="2" s="1"/>
  <c r="DE223" i="2"/>
  <c r="CY223" i="2"/>
  <c r="CZ223" i="2" s="1"/>
  <c r="CF223" i="2"/>
  <c r="CH223" i="2"/>
  <c r="CA223" i="2"/>
  <c r="BO223" i="2"/>
  <c r="BJ223" i="2"/>
  <c r="BM223" i="2" s="1"/>
  <c r="BN223" i="2" s="1"/>
  <c r="BC223" i="2"/>
  <c r="AZ223" i="2"/>
  <c r="AY223" i="2"/>
  <c r="AO223" i="2"/>
  <c r="AN223" i="2"/>
  <c r="AM223" i="2"/>
  <c r="AL223" i="2"/>
  <c r="AK223" i="2"/>
  <c r="AG223" i="2"/>
  <c r="AE223" i="2"/>
  <c r="AF223" i="2" s="1"/>
  <c r="U223" i="2"/>
  <c r="S223" i="2"/>
  <c r="T223" i="2" s="1"/>
  <c r="R223" i="2"/>
  <c r="Y223" i="2" s="1"/>
  <c r="AB223" i="2" s="1"/>
  <c r="E223" i="2"/>
  <c r="GR222" i="2"/>
  <c r="GS222" i="2" s="1"/>
  <c r="GP222" i="2"/>
  <c r="GQ222" i="2" s="1"/>
  <c r="GN222" i="2"/>
  <c r="GO222" i="2" s="1"/>
  <c r="GL222" i="2"/>
  <c r="GM222" i="2" s="1"/>
  <c r="GH222" i="2"/>
  <c r="GG222" i="2"/>
  <c r="GI222" i="2" s="1"/>
  <c r="GD222" i="2"/>
  <c r="GC222" i="2"/>
  <c r="GB222" i="2"/>
  <c r="FY222" i="2"/>
  <c r="FZ222" i="2" s="1"/>
  <c r="FS222" i="2"/>
  <c r="FT222" i="2" s="1"/>
  <c r="EW222" i="2"/>
  <c r="ET222" i="2"/>
  <c r="EU222" i="2" s="1"/>
  <c r="EQ222" i="2"/>
  <c r="ER222" i="2" s="1"/>
  <c r="EJ222" i="2"/>
  <c r="EE222" i="2"/>
  <c r="EF222" i="2" s="1"/>
  <c r="DX222" i="2"/>
  <c r="DP222" i="2"/>
  <c r="DF222" i="2"/>
  <c r="DG222" i="2" s="1"/>
  <c r="DE222" i="2"/>
  <c r="CY222" i="2"/>
  <c r="CZ222" i="2" s="1"/>
  <c r="CF222" i="2"/>
  <c r="CA222" i="2"/>
  <c r="CW222" i="2"/>
  <c r="BO222" i="2"/>
  <c r="BJ222" i="2"/>
  <c r="BM222" i="2" s="1"/>
  <c r="BN222" i="2" s="1"/>
  <c r="BC222" i="2"/>
  <c r="AZ222" i="2"/>
  <c r="AY222" i="2"/>
  <c r="AO222" i="2"/>
  <c r="AN222" i="2"/>
  <c r="AM222" i="2"/>
  <c r="AL222" i="2"/>
  <c r="AK222" i="2"/>
  <c r="AG222" i="2"/>
  <c r="AE222" i="2"/>
  <c r="AF222" i="2" s="1"/>
  <c r="U222" i="2"/>
  <c r="S222" i="2"/>
  <c r="T222" i="2" s="1"/>
  <c r="R222" i="2"/>
  <c r="Y222" i="2" s="1"/>
  <c r="AB222" i="2" s="1"/>
  <c r="E222" i="2"/>
  <c r="GR221" i="2"/>
  <c r="GS221" i="2" s="1"/>
  <c r="GP221" i="2"/>
  <c r="GQ221" i="2" s="1"/>
  <c r="GN221" i="2"/>
  <c r="GO221" i="2" s="1"/>
  <c r="GL221" i="2"/>
  <c r="GM221" i="2" s="1"/>
  <c r="GH221" i="2"/>
  <c r="GG221" i="2"/>
  <c r="GI221" i="2" s="1"/>
  <c r="GD221" i="2"/>
  <c r="GC221" i="2"/>
  <c r="GB221" i="2"/>
  <c r="FY221" i="2"/>
  <c r="FZ221" i="2" s="1"/>
  <c r="FS221" i="2"/>
  <c r="FT221" i="2" s="1"/>
  <c r="EW221" i="2"/>
  <c r="ET221" i="2"/>
  <c r="EU221" i="2" s="1"/>
  <c r="EQ221" i="2"/>
  <c r="ER221" i="2" s="1"/>
  <c r="EJ221" i="2"/>
  <c r="EE221" i="2"/>
  <c r="EF221" i="2" s="1"/>
  <c r="DX221" i="2"/>
  <c r="DP221" i="2"/>
  <c r="DF221" i="2"/>
  <c r="DG221" i="2" s="1"/>
  <c r="DE221" i="2"/>
  <c r="CY221" i="2"/>
  <c r="CZ221" i="2" s="1"/>
  <c r="CF221" i="2"/>
  <c r="CH221" i="2"/>
  <c r="CA221" i="2"/>
  <c r="BO221" i="2"/>
  <c r="BJ221" i="2"/>
  <c r="BC221" i="2"/>
  <c r="AZ221" i="2"/>
  <c r="AY221" i="2"/>
  <c r="AO221" i="2"/>
  <c r="AN221" i="2"/>
  <c r="AM221" i="2"/>
  <c r="AL221" i="2"/>
  <c r="AK221" i="2"/>
  <c r="AG221" i="2"/>
  <c r="AE221" i="2"/>
  <c r="AF221" i="2" s="1"/>
  <c r="U221" i="2"/>
  <c r="S221" i="2"/>
  <c r="T221" i="2" s="1"/>
  <c r="R221" i="2"/>
  <c r="Y221" i="2" s="1"/>
  <c r="AB221" i="2" s="1"/>
  <c r="E221" i="2"/>
  <c r="GR220" i="2"/>
  <c r="GS220" i="2" s="1"/>
  <c r="GP220" i="2"/>
  <c r="GQ220" i="2" s="1"/>
  <c r="GN220" i="2"/>
  <c r="GO220" i="2" s="1"/>
  <c r="GL220" i="2"/>
  <c r="GM220" i="2" s="1"/>
  <c r="GH220" i="2"/>
  <c r="GG220" i="2"/>
  <c r="GI220" i="2" s="1"/>
  <c r="GD220" i="2"/>
  <c r="GC220" i="2"/>
  <c r="GB220" i="2"/>
  <c r="FY220" i="2"/>
  <c r="FZ220" i="2" s="1"/>
  <c r="FS220" i="2"/>
  <c r="FT220" i="2" s="1"/>
  <c r="EW220" i="2"/>
  <c r="ET220" i="2"/>
  <c r="EU220" i="2" s="1"/>
  <c r="EQ220" i="2"/>
  <c r="ER220" i="2" s="1"/>
  <c r="EJ220" i="2"/>
  <c r="EE220" i="2"/>
  <c r="EF220" i="2" s="1"/>
  <c r="DX220" i="2"/>
  <c r="DP220" i="2"/>
  <c r="DF220" i="2"/>
  <c r="DG220" i="2" s="1"/>
  <c r="DE220" i="2"/>
  <c r="CY220" i="2"/>
  <c r="CZ220" i="2" s="1"/>
  <c r="CF220" i="2"/>
  <c r="CH220" i="2"/>
  <c r="CA220" i="2"/>
  <c r="BO220" i="2"/>
  <c r="BJ220" i="2"/>
  <c r="BM220" i="2" s="1"/>
  <c r="BN220" i="2" s="1"/>
  <c r="BC220" i="2"/>
  <c r="AZ220" i="2"/>
  <c r="AY220" i="2"/>
  <c r="AO220" i="2"/>
  <c r="AN220" i="2"/>
  <c r="AM220" i="2"/>
  <c r="AL220" i="2"/>
  <c r="AK220" i="2"/>
  <c r="AG220" i="2"/>
  <c r="AE220" i="2"/>
  <c r="AF220" i="2" s="1"/>
  <c r="U220" i="2"/>
  <c r="S220" i="2"/>
  <c r="T220" i="2" s="1"/>
  <c r="R220" i="2"/>
  <c r="Y220" i="2" s="1"/>
  <c r="E220" i="2"/>
  <c r="GR219" i="2"/>
  <c r="GS219" i="2" s="1"/>
  <c r="GP219" i="2"/>
  <c r="GQ219" i="2" s="1"/>
  <c r="GN219" i="2"/>
  <c r="GO219" i="2" s="1"/>
  <c r="GL219" i="2"/>
  <c r="GM219" i="2" s="1"/>
  <c r="GH219" i="2"/>
  <c r="GG219" i="2"/>
  <c r="GI219" i="2" s="1"/>
  <c r="GD219" i="2"/>
  <c r="GC219" i="2"/>
  <c r="GB219" i="2"/>
  <c r="FY219" i="2"/>
  <c r="GA219" i="2" s="1"/>
  <c r="FS219" i="2"/>
  <c r="FT219" i="2" s="1"/>
  <c r="EW219" i="2"/>
  <c r="ET219" i="2"/>
  <c r="EU219" i="2" s="1"/>
  <c r="EQ219" i="2"/>
  <c r="ER219" i="2" s="1"/>
  <c r="EJ219" i="2"/>
  <c r="EE219" i="2"/>
  <c r="EF219" i="2" s="1"/>
  <c r="DX219" i="2"/>
  <c r="DP219" i="2"/>
  <c r="DF219" i="2"/>
  <c r="DE219" i="2"/>
  <c r="CY219" i="2"/>
  <c r="CZ219" i="2" s="1"/>
  <c r="CF219" i="2"/>
  <c r="CH219" i="2"/>
  <c r="CA219" i="2"/>
  <c r="DA219" i="2"/>
  <c r="DB219" i="2" s="1"/>
  <c r="BO219" i="2"/>
  <c r="BJ219" i="2"/>
  <c r="BC219" i="2"/>
  <c r="AZ219" i="2"/>
  <c r="AY219" i="2"/>
  <c r="AO219" i="2"/>
  <c r="AN219" i="2"/>
  <c r="AM219" i="2"/>
  <c r="AL219" i="2"/>
  <c r="AK219" i="2"/>
  <c r="AG219" i="2"/>
  <c r="AE219" i="2"/>
  <c r="AF219" i="2" s="1"/>
  <c r="U219" i="2"/>
  <c r="S219" i="2"/>
  <c r="T219" i="2" s="1"/>
  <c r="R219" i="2"/>
  <c r="E219" i="2"/>
  <c r="GR292" i="2"/>
  <c r="GS292" i="2" s="1"/>
  <c r="GP292" i="2"/>
  <c r="GQ292" i="2" s="1"/>
  <c r="GL292" i="2"/>
  <c r="GM292" i="2" s="1"/>
  <c r="GG292" i="2"/>
  <c r="GI292" i="2" s="1"/>
  <c r="GD292" i="2"/>
  <c r="GC292" i="2"/>
  <c r="GB292" i="2"/>
  <c r="FY292" i="2"/>
  <c r="GA292" i="2" s="1"/>
  <c r="FS292" i="2"/>
  <c r="FT292" i="2" s="1"/>
  <c r="EW292" i="2"/>
  <c r="ET292" i="2"/>
  <c r="EU292" i="2" s="1"/>
  <c r="EQ292" i="2"/>
  <c r="ER292" i="2" s="1"/>
  <c r="EJ292" i="2"/>
  <c r="EE292" i="2"/>
  <c r="EF292" i="2" s="1"/>
  <c r="DX292" i="2"/>
  <c r="DP292" i="2"/>
  <c r="DF292" i="2"/>
  <c r="DE292" i="2"/>
  <c r="CY292" i="2"/>
  <c r="CF292" i="2"/>
  <c r="CA292" i="2"/>
  <c r="DA292" i="2"/>
  <c r="DB292" i="2" s="1"/>
  <c r="BO292" i="2"/>
  <c r="BJ292" i="2"/>
  <c r="BC292" i="2"/>
  <c r="AZ292" i="2"/>
  <c r="AY292" i="2"/>
  <c r="AO292" i="2"/>
  <c r="AN292" i="2"/>
  <c r="AM292" i="2"/>
  <c r="AL292" i="2"/>
  <c r="AK292" i="2"/>
  <c r="AG292" i="2"/>
  <c r="AE292" i="2"/>
  <c r="AF292" i="2" s="1"/>
  <c r="S292" i="2"/>
  <c r="T292" i="2" s="1"/>
  <c r="U292" i="2" s="1"/>
  <c r="R292" i="2"/>
  <c r="Y292" i="2" s="1"/>
  <c r="AB292" i="2" s="1"/>
  <c r="E292" i="2"/>
  <c r="GR218" i="2"/>
  <c r="GS218" i="2" s="1"/>
  <c r="GP218" i="2"/>
  <c r="GQ218" i="2" s="1"/>
  <c r="GN218" i="2"/>
  <c r="GO218" i="2" s="1"/>
  <c r="GL218" i="2"/>
  <c r="GM218" i="2" s="1"/>
  <c r="GH218" i="2"/>
  <c r="GG218" i="2"/>
  <c r="GI218" i="2" s="1"/>
  <c r="GD218" i="2"/>
  <c r="GC218" i="2"/>
  <c r="GB218" i="2"/>
  <c r="FY218" i="2"/>
  <c r="GA218" i="2" s="1"/>
  <c r="FS218" i="2"/>
  <c r="FT218" i="2" s="1"/>
  <c r="EW218" i="2"/>
  <c r="ET218" i="2"/>
  <c r="EU218" i="2" s="1"/>
  <c r="EQ218" i="2"/>
  <c r="ER218" i="2" s="1"/>
  <c r="EJ218" i="2"/>
  <c r="EE218" i="2"/>
  <c r="EF218" i="2" s="1"/>
  <c r="DX218" i="2"/>
  <c r="DP218" i="2"/>
  <c r="DF218" i="2"/>
  <c r="DG218" i="2" s="1"/>
  <c r="DE218" i="2"/>
  <c r="CY218" i="2"/>
  <c r="CZ218" i="2" s="1"/>
  <c r="CF218" i="2"/>
  <c r="CH218" i="2"/>
  <c r="CA218" i="2"/>
  <c r="DA218" i="2"/>
  <c r="DB218" i="2" s="1"/>
  <c r="BO218" i="2"/>
  <c r="BJ218" i="2"/>
  <c r="BM218" i="2" s="1"/>
  <c r="BN218" i="2" s="1"/>
  <c r="BC218" i="2"/>
  <c r="AZ218" i="2"/>
  <c r="AY218" i="2"/>
  <c r="AO218" i="2"/>
  <c r="AN218" i="2"/>
  <c r="AM218" i="2"/>
  <c r="AL218" i="2"/>
  <c r="AK218" i="2"/>
  <c r="AG218" i="2"/>
  <c r="AE218" i="2"/>
  <c r="AF218" i="2" s="1"/>
  <c r="U218" i="2"/>
  <c r="S218" i="2"/>
  <c r="T218" i="2" s="1"/>
  <c r="R218" i="2"/>
  <c r="Y218" i="2" s="1"/>
  <c r="E218" i="2"/>
  <c r="GR217" i="2"/>
  <c r="GS217" i="2" s="1"/>
  <c r="GP217" i="2"/>
  <c r="GQ217" i="2" s="1"/>
  <c r="GN217" i="2"/>
  <c r="GO217" i="2" s="1"/>
  <c r="GL217" i="2"/>
  <c r="GM217" i="2" s="1"/>
  <c r="GH217" i="2"/>
  <c r="GG217" i="2"/>
  <c r="GI217" i="2" s="1"/>
  <c r="GD217" i="2"/>
  <c r="GC217" i="2"/>
  <c r="GB217" i="2"/>
  <c r="FY217" i="2"/>
  <c r="GA217" i="2" s="1"/>
  <c r="FS217" i="2"/>
  <c r="FT217" i="2" s="1"/>
  <c r="EW217" i="2"/>
  <c r="ET217" i="2"/>
  <c r="EU217" i="2" s="1"/>
  <c r="EQ217" i="2"/>
  <c r="ER217" i="2" s="1"/>
  <c r="EJ217" i="2"/>
  <c r="EE217" i="2"/>
  <c r="EF217" i="2" s="1"/>
  <c r="DX217" i="2"/>
  <c r="DP217" i="2"/>
  <c r="DF217" i="2"/>
  <c r="DH217" i="2" s="1"/>
  <c r="DE217" i="2"/>
  <c r="CY217" i="2"/>
  <c r="CZ217" i="2" s="1"/>
  <c r="CF217" i="2"/>
  <c r="CH217" i="2"/>
  <c r="CA217" i="2"/>
  <c r="BO217" i="2"/>
  <c r="BJ217" i="2"/>
  <c r="BM217" i="2" s="1"/>
  <c r="BN217" i="2" s="1"/>
  <c r="BC217" i="2"/>
  <c r="AZ217" i="2"/>
  <c r="AY217" i="2"/>
  <c r="AO217" i="2"/>
  <c r="AN217" i="2"/>
  <c r="AM217" i="2"/>
  <c r="AL217" i="2"/>
  <c r="AK217" i="2"/>
  <c r="AG217" i="2"/>
  <c r="AE217" i="2"/>
  <c r="AF217" i="2" s="1"/>
  <c r="U217" i="2"/>
  <c r="S217" i="2"/>
  <c r="R217" i="2"/>
  <c r="Y217" i="2" s="1"/>
  <c r="AB217" i="2" s="1"/>
  <c r="E217" i="2"/>
  <c r="GR216" i="2"/>
  <c r="GS216" i="2" s="1"/>
  <c r="GP216" i="2"/>
  <c r="GQ216" i="2" s="1"/>
  <c r="GN216" i="2"/>
  <c r="GO216" i="2" s="1"/>
  <c r="GL216" i="2"/>
  <c r="GM216" i="2" s="1"/>
  <c r="GH216" i="2"/>
  <c r="GG216" i="2"/>
  <c r="GI216" i="2" s="1"/>
  <c r="GD216" i="2"/>
  <c r="GC216" i="2"/>
  <c r="GB216" i="2"/>
  <c r="FY216" i="2"/>
  <c r="GA216" i="2" s="1"/>
  <c r="FS216" i="2"/>
  <c r="FT216" i="2" s="1"/>
  <c r="EW216" i="2"/>
  <c r="ET216" i="2"/>
  <c r="EU216" i="2" s="1"/>
  <c r="EQ216" i="2"/>
  <c r="ER216" i="2" s="1"/>
  <c r="EJ216" i="2"/>
  <c r="EE216" i="2"/>
  <c r="EF216" i="2" s="1"/>
  <c r="DX216" i="2"/>
  <c r="DP216" i="2"/>
  <c r="DF216" i="2"/>
  <c r="DH216" i="2" s="1"/>
  <c r="DE216" i="2"/>
  <c r="CY216" i="2"/>
  <c r="CZ216" i="2" s="1"/>
  <c r="CF216" i="2"/>
  <c r="CH216" i="2"/>
  <c r="CA216" i="2"/>
  <c r="CR216" i="2"/>
  <c r="BO216" i="2"/>
  <c r="BJ216" i="2"/>
  <c r="BM216" i="2" s="1"/>
  <c r="BN216" i="2" s="1"/>
  <c r="BC216" i="2"/>
  <c r="AZ216" i="2"/>
  <c r="AY216" i="2"/>
  <c r="AO216" i="2"/>
  <c r="AN216" i="2"/>
  <c r="AM216" i="2"/>
  <c r="AL216" i="2"/>
  <c r="AK216" i="2"/>
  <c r="AG216" i="2"/>
  <c r="AE216" i="2"/>
  <c r="AF216" i="2" s="1"/>
  <c r="U216" i="2"/>
  <c r="S216" i="2"/>
  <c r="R216" i="2"/>
  <c r="Y216" i="2" s="1"/>
  <c r="AB216" i="2" s="1"/>
  <c r="E216" i="2"/>
  <c r="GR215" i="2"/>
  <c r="GS215" i="2" s="1"/>
  <c r="GP215" i="2"/>
  <c r="GQ215" i="2" s="1"/>
  <c r="GN215" i="2"/>
  <c r="GO215" i="2" s="1"/>
  <c r="GL215" i="2"/>
  <c r="GM215" i="2" s="1"/>
  <c r="GH215" i="2"/>
  <c r="GG215" i="2"/>
  <c r="GI215" i="2" s="1"/>
  <c r="GD215" i="2"/>
  <c r="GC215" i="2"/>
  <c r="GB215" i="2"/>
  <c r="FY215" i="2"/>
  <c r="GA215" i="2" s="1"/>
  <c r="FS215" i="2"/>
  <c r="FT215" i="2" s="1"/>
  <c r="EW215" i="2"/>
  <c r="ET215" i="2"/>
  <c r="EU215" i="2" s="1"/>
  <c r="EQ215" i="2"/>
  <c r="ER215" i="2" s="1"/>
  <c r="EJ215" i="2"/>
  <c r="EE215" i="2"/>
  <c r="EF215" i="2" s="1"/>
  <c r="DX215" i="2"/>
  <c r="DP215" i="2"/>
  <c r="DF215" i="2"/>
  <c r="DH215" i="2" s="1"/>
  <c r="DE215" i="2"/>
  <c r="CY215" i="2"/>
  <c r="CZ215" i="2" s="1"/>
  <c r="CF215" i="2"/>
  <c r="CH215" i="2"/>
  <c r="CA215" i="2"/>
  <c r="CR215" i="2"/>
  <c r="BO215" i="2"/>
  <c r="BJ215" i="2"/>
  <c r="BM215" i="2" s="1"/>
  <c r="BN215" i="2" s="1"/>
  <c r="BC215" i="2"/>
  <c r="AZ215" i="2"/>
  <c r="AY215" i="2"/>
  <c r="AO215" i="2"/>
  <c r="AN215" i="2"/>
  <c r="AM215" i="2"/>
  <c r="AL215" i="2"/>
  <c r="AK215" i="2"/>
  <c r="AG215" i="2"/>
  <c r="AE215" i="2"/>
  <c r="AF215" i="2" s="1"/>
  <c r="U215" i="2"/>
  <c r="S215" i="2"/>
  <c r="R215" i="2"/>
  <c r="Y215" i="2" s="1"/>
  <c r="AB215" i="2" s="1"/>
  <c r="E215" i="2"/>
  <c r="GR214" i="2"/>
  <c r="GS214" i="2" s="1"/>
  <c r="GP214" i="2"/>
  <c r="GQ214" i="2" s="1"/>
  <c r="GN214" i="2"/>
  <c r="GO214" i="2" s="1"/>
  <c r="GL214" i="2"/>
  <c r="GM214" i="2" s="1"/>
  <c r="GH214" i="2"/>
  <c r="GG214" i="2"/>
  <c r="GI214" i="2" s="1"/>
  <c r="GD214" i="2"/>
  <c r="GC214" i="2"/>
  <c r="GB214" i="2"/>
  <c r="FY214" i="2"/>
  <c r="GA214" i="2" s="1"/>
  <c r="FS214" i="2"/>
  <c r="FT214" i="2" s="1"/>
  <c r="EW214" i="2"/>
  <c r="ET214" i="2"/>
  <c r="EU214" i="2" s="1"/>
  <c r="EQ214" i="2"/>
  <c r="ER214" i="2" s="1"/>
  <c r="EJ214" i="2"/>
  <c r="EE214" i="2"/>
  <c r="EF214" i="2" s="1"/>
  <c r="DX214" i="2"/>
  <c r="DP214" i="2"/>
  <c r="DF214" i="2"/>
  <c r="DH214" i="2" s="1"/>
  <c r="DE214" i="2"/>
  <c r="CY214" i="2"/>
  <c r="CZ214" i="2" s="1"/>
  <c r="CF214" i="2"/>
  <c r="CH214" i="2"/>
  <c r="CA214" i="2"/>
  <c r="CR214" i="2"/>
  <c r="BO214" i="2"/>
  <c r="BJ214" i="2"/>
  <c r="BM214" i="2" s="1"/>
  <c r="BN214" i="2" s="1"/>
  <c r="BC214" i="2"/>
  <c r="AZ214" i="2"/>
  <c r="AY214" i="2"/>
  <c r="AO214" i="2"/>
  <c r="AN214" i="2"/>
  <c r="AM214" i="2"/>
  <c r="AL214" i="2"/>
  <c r="AK214" i="2"/>
  <c r="AG214" i="2"/>
  <c r="AE214" i="2"/>
  <c r="AF214" i="2" s="1"/>
  <c r="U214" i="2"/>
  <c r="S214" i="2"/>
  <c r="R214" i="2"/>
  <c r="Y214" i="2" s="1"/>
  <c r="AB214" i="2" s="1"/>
  <c r="E214" i="2"/>
  <c r="GR213" i="2"/>
  <c r="GS213" i="2" s="1"/>
  <c r="GP213" i="2"/>
  <c r="GQ213" i="2" s="1"/>
  <c r="GN213" i="2"/>
  <c r="GO213" i="2" s="1"/>
  <c r="GL213" i="2"/>
  <c r="GM213" i="2" s="1"/>
  <c r="GH213" i="2"/>
  <c r="GG213" i="2"/>
  <c r="GI213" i="2" s="1"/>
  <c r="GD213" i="2"/>
  <c r="GC213" i="2"/>
  <c r="GB213" i="2"/>
  <c r="FY213" i="2"/>
  <c r="GA213" i="2" s="1"/>
  <c r="FS213" i="2"/>
  <c r="FT213" i="2" s="1"/>
  <c r="EW213" i="2"/>
  <c r="ET213" i="2"/>
  <c r="EU213" i="2" s="1"/>
  <c r="EQ213" i="2"/>
  <c r="ER213" i="2" s="1"/>
  <c r="EJ213" i="2"/>
  <c r="EE213" i="2"/>
  <c r="EF213" i="2" s="1"/>
  <c r="DX213" i="2"/>
  <c r="DP213" i="2"/>
  <c r="DF213" i="2"/>
  <c r="DH213" i="2" s="1"/>
  <c r="DE213" i="2"/>
  <c r="CY213" i="2"/>
  <c r="CZ213" i="2" s="1"/>
  <c r="CF213" i="2"/>
  <c r="CH213" i="2"/>
  <c r="CA213" i="2"/>
  <c r="CR213" i="2"/>
  <c r="BO213" i="2"/>
  <c r="BJ213" i="2"/>
  <c r="BC213" i="2"/>
  <c r="AZ213" i="2"/>
  <c r="AY213" i="2"/>
  <c r="AO213" i="2"/>
  <c r="AN213" i="2"/>
  <c r="AM213" i="2"/>
  <c r="AL213" i="2"/>
  <c r="AK213" i="2"/>
  <c r="AG213" i="2"/>
  <c r="AE213" i="2"/>
  <c r="AF213" i="2" s="1"/>
  <c r="U213" i="2"/>
  <c r="S213" i="2"/>
  <c r="R213" i="2"/>
  <c r="Y213" i="2" s="1"/>
  <c r="AB213" i="2" s="1"/>
  <c r="E213" i="2"/>
  <c r="GR212" i="2"/>
  <c r="GS212" i="2" s="1"/>
  <c r="GP212" i="2"/>
  <c r="GQ212" i="2" s="1"/>
  <c r="DO212" i="2" s="1"/>
  <c r="GN212" i="2"/>
  <c r="GO212" i="2" s="1"/>
  <c r="GL212" i="2"/>
  <c r="GM212" i="2" s="1"/>
  <c r="GH212" i="2"/>
  <c r="GG212" i="2"/>
  <c r="GI212" i="2" s="1"/>
  <c r="GD212" i="2"/>
  <c r="GC212" i="2"/>
  <c r="GB212" i="2"/>
  <c r="FY212" i="2"/>
  <c r="GA212" i="2" s="1"/>
  <c r="FS212" i="2"/>
  <c r="FT212" i="2" s="1"/>
  <c r="EW212" i="2"/>
  <c r="ET212" i="2"/>
  <c r="EU212" i="2" s="1"/>
  <c r="EQ212" i="2"/>
  <c r="ER212" i="2" s="1"/>
  <c r="EJ212" i="2"/>
  <c r="EE212" i="2"/>
  <c r="EF212" i="2" s="1"/>
  <c r="DX212" i="2"/>
  <c r="DP212" i="2"/>
  <c r="DF212" i="2"/>
  <c r="DG212" i="2" s="1"/>
  <c r="DE212" i="2"/>
  <c r="CY212" i="2"/>
  <c r="CZ212" i="2" s="1"/>
  <c r="CF212" i="2"/>
  <c r="CA212" i="2"/>
  <c r="DA212" i="2"/>
  <c r="DB212" i="2" s="1"/>
  <c r="BO212" i="2"/>
  <c r="BJ212" i="2"/>
  <c r="BM212" i="2" s="1"/>
  <c r="BN212" i="2" s="1"/>
  <c r="BC212" i="2"/>
  <c r="AZ212" i="2"/>
  <c r="AY212" i="2"/>
  <c r="AO212" i="2"/>
  <c r="AN212" i="2"/>
  <c r="AM212" i="2"/>
  <c r="AL212" i="2"/>
  <c r="AK212" i="2"/>
  <c r="AG212" i="2"/>
  <c r="AE212" i="2"/>
  <c r="AF212" i="2" s="1"/>
  <c r="U212" i="2"/>
  <c r="S212" i="2"/>
  <c r="T212" i="2" s="1"/>
  <c r="R212" i="2"/>
  <c r="Y212" i="2" s="1"/>
  <c r="AB212" i="2" s="1"/>
  <c r="E212" i="2"/>
  <c r="GR211" i="2"/>
  <c r="GS211" i="2" s="1"/>
  <c r="GP211" i="2"/>
  <c r="GQ211" i="2" s="1"/>
  <c r="DO211" i="2" s="1"/>
  <c r="DS211" i="2" s="1"/>
  <c r="GN211" i="2"/>
  <c r="GO211" i="2" s="1"/>
  <c r="GL211" i="2"/>
  <c r="GM211" i="2" s="1"/>
  <c r="GH211" i="2"/>
  <c r="GG211" i="2"/>
  <c r="GI211" i="2" s="1"/>
  <c r="GD211" i="2"/>
  <c r="GC211" i="2"/>
  <c r="GB211" i="2"/>
  <c r="FY211" i="2"/>
  <c r="FZ211" i="2" s="1"/>
  <c r="FS211" i="2"/>
  <c r="FT211" i="2" s="1"/>
  <c r="EW211" i="2"/>
  <c r="ET211" i="2"/>
  <c r="EU211" i="2" s="1"/>
  <c r="EQ211" i="2"/>
  <c r="ER211" i="2" s="1"/>
  <c r="EJ211" i="2"/>
  <c r="EE211" i="2"/>
  <c r="EF211" i="2" s="1"/>
  <c r="DX211" i="2"/>
  <c r="DP211" i="2"/>
  <c r="DF211" i="2"/>
  <c r="DH211" i="2" s="1"/>
  <c r="DE211" i="2"/>
  <c r="CY211" i="2"/>
  <c r="CZ211" i="2" s="1"/>
  <c r="CF211" i="2"/>
  <c r="CH211" i="2"/>
  <c r="CA211" i="2"/>
  <c r="BO211" i="2"/>
  <c r="BJ211" i="2"/>
  <c r="BM211" i="2" s="1"/>
  <c r="BN211" i="2" s="1"/>
  <c r="BC211" i="2"/>
  <c r="AZ211" i="2"/>
  <c r="AY211" i="2"/>
  <c r="AO211" i="2"/>
  <c r="AN211" i="2"/>
  <c r="AM211" i="2"/>
  <c r="AL211" i="2"/>
  <c r="AK211" i="2"/>
  <c r="AG211" i="2"/>
  <c r="AE211" i="2"/>
  <c r="AF211" i="2" s="1"/>
  <c r="U211" i="2"/>
  <c r="S211" i="2"/>
  <c r="T211" i="2" s="1"/>
  <c r="R211" i="2"/>
  <c r="Y211" i="2" s="1"/>
  <c r="AB211" i="2" s="1"/>
  <c r="E211" i="2"/>
  <c r="GR210" i="2"/>
  <c r="GS210" i="2" s="1"/>
  <c r="GP210" i="2"/>
  <c r="GQ210" i="2" s="1"/>
  <c r="DO210" i="2" s="1"/>
  <c r="DS210" i="2" s="1"/>
  <c r="GN210" i="2"/>
  <c r="GO210" i="2" s="1"/>
  <c r="GL210" i="2"/>
  <c r="GM210" i="2" s="1"/>
  <c r="GH210" i="2"/>
  <c r="GG210" i="2"/>
  <c r="GI210" i="2" s="1"/>
  <c r="GD210" i="2"/>
  <c r="GC210" i="2"/>
  <c r="GB210" i="2"/>
  <c r="FY210" i="2"/>
  <c r="FZ210" i="2" s="1"/>
  <c r="FS210" i="2"/>
  <c r="FT210" i="2" s="1"/>
  <c r="EW210" i="2"/>
  <c r="ET210" i="2"/>
  <c r="EU210" i="2" s="1"/>
  <c r="EQ210" i="2"/>
  <c r="ER210" i="2" s="1"/>
  <c r="EJ210" i="2"/>
  <c r="EE210" i="2"/>
  <c r="EF210" i="2" s="1"/>
  <c r="DX210" i="2"/>
  <c r="DP210" i="2"/>
  <c r="DF210" i="2"/>
  <c r="DH210" i="2" s="1"/>
  <c r="DE210" i="2"/>
  <c r="CY210" i="2"/>
  <c r="CZ210" i="2" s="1"/>
  <c r="CF210" i="2"/>
  <c r="CH210" i="2"/>
  <c r="CA210" i="2"/>
  <c r="BO210" i="2"/>
  <c r="BM210" i="2"/>
  <c r="BN210" i="2" s="1"/>
  <c r="BK210" i="2"/>
  <c r="CL210" i="2" s="1"/>
  <c r="BC210" i="2"/>
  <c r="AZ210" i="2"/>
  <c r="AY210" i="2"/>
  <c r="AO210" i="2"/>
  <c r="AN210" i="2"/>
  <c r="AM210" i="2"/>
  <c r="AL210" i="2"/>
  <c r="AK210" i="2"/>
  <c r="AG210" i="2"/>
  <c r="AE210" i="2"/>
  <c r="AF210" i="2" s="1"/>
  <c r="U210" i="2"/>
  <c r="S210" i="2"/>
  <c r="T210" i="2" s="1"/>
  <c r="R210" i="2"/>
  <c r="X210" i="2" s="1"/>
  <c r="AA210" i="2" s="1"/>
  <c r="E210" i="2"/>
  <c r="GR209" i="2"/>
  <c r="GS209" i="2" s="1"/>
  <c r="GP209" i="2"/>
  <c r="GQ209" i="2" s="1"/>
  <c r="DO209" i="2" s="1"/>
  <c r="DS209" i="2" s="1"/>
  <c r="GN209" i="2"/>
  <c r="GO209" i="2" s="1"/>
  <c r="GL209" i="2"/>
  <c r="GM209" i="2" s="1"/>
  <c r="GH209" i="2"/>
  <c r="GG209" i="2"/>
  <c r="GI209" i="2" s="1"/>
  <c r="GD209" i="2"/>
  <c r="GC209" i="2"/>
  <c r="GB209" i="2"/>
  <c r="FY209" i="2"/>
  <c r="FS209" i="2"/>
  <c r="FT209" i="2" s="1"/>
  <c r="EW209" i="2"/>
  <c r="ET209" i="2"/>
  <c r="EU209" i="2" s="1"/>
  <c r="EQ209" i="2"/>
  <c r="ER209" i="2" s="1"/>
  <c r="EJ209" i="2"/>
  <c r="EE209" i="2"/>
  <c r="EF209" i="2" s="1"/>
  <c r="DX209" i="2"/>
  <c r="DP209" i="2"/>
  <c r="DF209" i="2"/>
  <c r="DE209" i="2"/>
  <c r="CY209" i="2"/>
  <c r="CZ209" i="2" s="1"/>
  <c r="CF209" i="2"/>
  <c r="CA209" i="2"/>
  <c r="CR209" i="2"/>
  <c r="BO209" i="2"/>
  <c r="BJ209" i="2"/>
  <c r="BC209" i="2"/>
  <c r="AZ209" i="2"/>
  <c r="AY209" i="2"/>
  <c r="AO209" i="2"/>
  <c r="AN209" i="2"/>
  <c r="AM209" i="2"/>
  <c r="AL209" i="2"/>
  <c r="AK209" i="2"/>
  <c r="AG209" i="2"/>
  <c r="AE209" i="2"/>
  <c r="AF209" i="2" s="1"/>
  <c r="U209" i="2"/>
  <c r="S209" i="2"/>
  <c r="T209" i="2" s="1"/>
  <c r="R209" i="2"/>
  <c r="Y209" i="2" s="1"/>
  <c r="AB209" i="2" s="1"/>
  <c r="E209" i="2"/>
  <c r="GR208" i="2"/>
  <c r="GS208" i="2" s="1"/>
  <c r="GP208" i="2"/>
  <c r="GQ208" i="2" s="1"/>
  <c r="DO208" i="2" s="1"/>
  <c r="GN208" i="2"/>
  <c r="GO208" i="2" s="1"/>
  <c r="GL208" i="2"/>
  <c r="GM208" i="2" s="1"/>
  <c r="GH208" i="2"/>
  <c r="GG208" i="2"/>
  <c r="GI208" i="2" s="1"/>
  <c r="GD208" i="2"/>
  <c r="GC208" i="2"/>
  <c r="GB208" i="2"/>
  <c r="FY208" i="2"/>
  <c r="GA208" i="2" s="1"/>
  <c r="FS208" i="2"/>
  <c r="FT208" i="2" s="1"/>
  <c r="EW208" i="2"/>
  <c r="ET208" i="2"/>
  <c r="EU208" i="2" s="1"/>
  <c r="EQ208" i="2"/>
  <c r="ER208" i="2" s="1"/>
  <c r="EJ208" i="2"/>
  <c r="EE208" i="2"/>
  <c r="EF208" i="2" s="1"/>
  <c r="DX208" i="2"/>
  <c r="DP208" i="2"/>
  <c r="DF208" i="2"/>
  <c r="DH208" i="2" s="1"/>
  <c r="DE208" i="2"/>
  <c r="CY208" i="2"/>
  <c r="CZ208" i="2" s="1"/>
  <c r="CF208" i="2"/>
  <c r="CA208" i="2"/>
  <c r="CR208" i="2"/>
  <c r="BO208" i="2"/>
  <c r="BJ208" i="2"/>
  <c r="BC208" i="2"/>
  <c r="AZ208" i="2"/>
  <c r="AY208" i="2"/>
  <c r="AO208" i="2"/>
  <c r="AN208" i="2"/>
  <c r="AM208" i="2"/>
  <c r="AL208" i="2"/>
  <c r="AK208" i="2"/>
  <c r="AG208" i="2"/>
  <c r="AE208" i="2"/>
  <c r="AF208" i="2" s="1"/>
  <c r="U208" i="2"/>
  <c r="S208" i="2"/>
  <c r="T208" i="2" s="1"/>
  <c r="R208" i="2"/>
  <c r="E208" i="2"/>
  <c r="GR207" i="2"/>
  <c r="GS207" i="2" s="1"/>
  <c r="GP207" i="2"/>
  <c r="GQ207" i="2" s="1"/>
  <c r="DO207" i="2" s="1"/>
  <c r="DS207" i="2" s="1"/>
  <c r="GN207" i="2"/>
  <c r="GO207" i="2" s="1"/>
  <c r="GL207" i="2"/>
  <c r="GM207" i="2" s="1"/>
  <c r="GH207" i="2"/>
  <c r="GG207" i="2"/>
  <c r="GI207" i="2" s="1"/>
  <c r="GD207" i="2"/>
  <c r="GC207" i="2"/>
  <c r="GB207" i="2"/>
  <c r="FY207" i="2"/>
  <c r="FZ207" i="2" s="1"/>
  <c r="FS207" i="2"/>
  <c r="FT207" i="2" s="1"/>
  <c r="EW207" i="2"/>
  <c r="ET207" i="2"/>
  <c r="EU207" i="2" s="1"/>
  <c r="EQ207" i="2"/>
  <c r="ER207" i="2" s="1"/>
  <c r="EJ207" i="2"/>
  <c r="EE207" i="2"/>
  <c r="EF207" i="2" s="1"/>
  <c r="DX207" i="2"/>
  <c r="DP207" i="2"/>
  <c r="DF207" i="2"/>
  <c r="DH207" i="2" s="1"/>
  <c r="DE207" i="2"/>
  <c r="CY207" i="2"/>
  <c r="CZ207" i="2" s="1"/>
  <c r="CF207" i="2"/>
  <c r="CA207" i="2"/>
  <c r="CR207" i="2"/>
  <c r="BO207" i="2"/>
  <c r="BJ207" i="2"/>
  <c r="BC207" i="2"/>
  <c r="AZ207" i="2"/>
  <c r="AY207" i="2"/>
  <c r="AO207" i="2"/>
  <c r="AN207" i="2"/>
  <c r="AM207" i="2"/>
  <c r="AL207" i="2"/>
  <c r="AK207" i="2"/>
  <c r="AG207" i="2"/>
  <c r="AE207" i="2"/>
  <c r="AF207" i="2" s="1"/>
  <c r="U207" i="2"/>
  <c r="S207" i="2"/>
  <c r="T207" i="2" s="1"/>
  <c r="R207" i="2"/>
  <c r="Y207" i="2" s="1"/>
  <c r="AB207" i="2" s="1"/>
  <c r="E207" i="2"/>
  <c r="GR206" i="2"/>
  <c r="GS206" i="2" s="1"/>
  <c r="GP206" i="2"/>
  <c r="GQ206" i="2" s="1"/>
  <c r="DO206" i="2" s="1"/>
  <c r="DS206" i="2" s="1"/>
  <c r="GN206" i="2"/>
  <c r="GO206" i="2" s="1"/>
  <c r="GL206" i="2"/>
  <c r="GM206" i="2" s="1"/>
  <c r="GH206" i="2"/>
  <c r="GG206" i="2"/>
  <c r="GI206" i="2" s="1"/>
  <c r="GD206" i="2"/>
  <c r="GC206" i="2"/>
  <c r="GB206" i="2"/>
  <c r="FY206" i="2"/>
  <c r="GA206" i="2" s="1"/>
  <c r="FS206" i="2"/>
  <c r="FT206" i="2" s="1"/>
  <c r="EW206" i="2"/>
  <c r="ET206" i="2"/>
  <c r="EU206" i="2" s="1"/>
  <c r="EQ206" i="2"/>
  <c r="ER206" i="2" s="1"/>
  <c r="EJ206" i="2"/>
  <c r="EE206" i="2"/>
  <c r="EF206" i="2" s="1"/>
  <c r="DX206" i="2"/>
  <c r="DP206" i="2"/>
  <c r="DF206" i="2"/>
  <c r="DH206" i="2" s="1"/>
  <c r="DE206" i="2"/>
  <c r="CY206" i="2"/>
  <c r="CZ206" i="2" s="1"/>
  <c r="CF206" i="2"/>
  <c r="CA206" i="2"/>
  <c r="CR206" i="2"/>
  <c r="BO206" i="2"/>
  <c r="BJ206" i="2"/>
  <c r="BC206" i="2"/>
  <c r="AZ206" i="2"/>
  <c r="AY206" i="2"/>
  <c r="AO206" i="2"/>
  <c r="AN206" i="2"/>
  <c r="AM206" i="2"/>
  <c r="AL206" i="2"/>
  <c r="AK206" i="2"/>
  <c r="AG206" i="2"/>
  <c r="AE206" i="2"/>
  <c r="AF206" i="2" s="1"/>
  <c r="U206" i="2"/>
  <c r="S206" i="2"/>
  <c r="T206" i="2" s="1"/>
  <c r="R206" i="2"/>
  <c r="Y206" i="2" s="1"/>
  <c r="AB206" i="2" s="1"/>
  <c r="E206" i="2"/>
  <c r="GR205" i="2"/>
  <c r="GS205" i="2" s="1"/>
  <c r="GP205" i="2"/>
  <c r="GQ205" i="2" s="1"/>
  <c r="DO205" i="2" s="1"/>
  <c r="DS205" i="2" s="1"/>
  <c r="GN205" i="2"/>
  <c r="GO205" i="2" s="1"/>
  <c r="GL205" i="2"/>
  <c r="GM205" i="2" s="1"/>
  <c r="GH205" i="2"/>
  <c r="GG205" i="2"/>
  <c r="GI205" i="2" s="1"/>
  <c r="GD205" i="2"/>
  <c r="GC205" i="2"/>
  <c r="GB205" i="2"/>
  <c r="FY205" i="2"/>
  <c r="GA205" i="2" s="1"/>
  <c r="FS205" i="2"/>
  <c r="FT205" i="2" s="1"/>
  <c r="EW205" i="2"/>
  <c r="ET205" i="2"/>
  <c r="EU205" i="2" s="1"/>
  <c r="EQ205" i="2"/>
  <c r="ER205" i="2" s="1"/>
  <c r="EJ205" i="2"/>
  <c r="EE205" i="2"/>
  <c r="EF205" i="2" s="1"/>
  <c r="DX205" i="2"/>
  <c r="DP205" i="2"/>
  <c r="DF205" i="2"/>
  <c r="DH205" i="2" s="1"/>
  <c r="DE205" i="2"/>
  <c r="CY205" i="2"/>
  <c r="CZ205" i="2" s="1"/>
  <c r="CF205" i="2"/>
  <c r="CA205" i="2"/>
  <c r="CR205" i="2"/>
  <c r="BO205" i="2"/>
  <c r="BJ205" i="2"/>
  <c r="BC205" i="2"/>
  <c r="AZ205" i="2"/>
  <c r="AY205" i="2"/>
  <c r="AO205" i="2"/>
  <c r="AN205" i="2"/>
  <c r="AM205" i="2"/>
  <c r="AL205" i="2"/>
  <c r="AK205" i="2"/>
  <c r="AG205" i="2"/>
  <c r="AE205" i="2"/>
  <c r="AF205" i="2" s="1"/>
  <c r="U205" i="2"/>
  <c r="S205" i="2"/>
  <c r="T205" i="2" s="1"/>
  <c r="R205" i="2"/>
  <c r="X205" i="2" s="1"/>
  <c r="E205" i="2"/>
  <c r="GR204" i="2"/>
  <c r="GS204" i="2" s="1"/>
  <c r="GP204" i="2"/>
  <c r="GQ204" i="2" s="1"/>
  <c r="GN204" i="2"/>
  <c r="GO204" i="2" s="1"/>
  <c r="GL204" i="2"/>
  <c r="GM204" i="2" s="1"/>
  <c r="GH204" i="2"/>
  <c r="GG204" i="2"/>
  <c r="GI204" i="2" s="1"/>
  <c r="GD204" i="2"/>
  <c r="GC204" i="2"/>
  <c r="GB204" i="2"/>
  <c r="FY204" i="2"/>
  <c r="GA204" i="2" s="1"/>
  <c r="FS204" i="2"/>
  <c r="FT204" i="2" s="1"/>
  <c r="EW204" i="2"/>
  <c r="ET204" i="2"/>
  <c r="EU204" i="2" s="1"/>
  <c r="EQ204" i="2"/>
  <c r="ER204" i="2" s="1"/>
  <c r="EJ204" i="2"/>
  <c r="EE204" i="2"/>
  <c r="EF204" i="2" s="1"/>
  <c r="DX204" i="2"/>
  <c r="DP204" i="2"/>
  <c r="DF204" i="2"/>
  <c r="DH204" i="2" s="1"/>
  <c r="DE204" i="2"/>
  <c r="CY204" i="2"/>
  <c r="CZ204" i="2" s="1"/>
  <c r="CF204" i="2"/>
  <c r="CA204" i="2"/>
  <c r="CR204" i="2"/>
  <c r="BO204" i="2"/>
  <c r="BJ204" i="2"/>
  <c r="BC204" i="2"/>
  <c r="AZ204" i="2"/>
  <c r="AY204" i="2"/>
  <c r="AO204" i="2"/>
  <c r="AN204" i="2"/>
  <c r="AM204" i="2"/>
  <c r="AL204" i="2"/>
  <c r="AK204" i="2"/>
  <c r="AG204" i="2"/>
  <c r="AE204" i="2"/>
  <c r="AF204" i="2" s="1"/>
  <c r="U204" i="2"/>
  <c r="S204" i="2"/>
  <c r="T204" i="2" s="1"/>
  <c r="R204" i="2"/>
  <c r="X204" i="2" s="1"/>
  <c r="E204" i="2"/>
  <c r="GR203" i="2"/>
  <c r="GS203" i="2" s="1"/>
  <c r="GP203" i="2"/>
  <c r="GQ203" i="2" s="1"/>
  <c r="GN203" i="2"/>
  <c r="GO203" i="2" s="1"/>
  <c r="GL203" i="2"/>
  <c r="GM203" i="2" s="1"/>
  <c r="GH203" i="2"/>
  <c r="GG203" i="2"/>
  <c r="GI203" i="2" s="1"/>
  <c r="GD203" i="2"/>
  <c r="GC203" i="2"/>
  <c r="GB203" i="2"/>
  <c r="FY203" i="2"/>
  <c r="FZ203" i="2" s="1"/>
  <c r="FS203" i="2"/>
  <c r="FT203" i="2" s="1"/>
  <c r="EW203" i="2"/>
  <c r="ET203" i="2"/>
  <c r="EU203" i="2" s="1"/>
  <c r="EQ203" i="2"/>
  <c r="ER203" i="2" s="1"/>
  <c r="EJ203" i="2"/>
  <c r="EE203" i="2"/>
  <c r="EF203" i="2" s="1"/>
  <c r="DX203" i="2"/>
  <c r="DP203" i="2"/>
  <c r="DF203" i="2"/>
  <c r="DE203" i="2"/>
  <c r="CY203" i="2"/>
  <c r="CZ203" i="2" s="1"/>
  <c r="CF203" i="2"/>
  <c r="CA203" i="2"/>
  <c r="BO203" i="2"/>
  <c r="BJ203" i="2"/>
  <c r="BC203" i="2"/>
  <c r="AZ203" i="2"/>
  <c r="AY203" i="2"/>
  <c r="AO203" i="2"/>
  <c r="AN203" i="2"/>
  <c r="AM203" i="2"/>
  <c r="AL203" i="2"/>
  <c r="AK203" i="2"/>
  <c r="AG203" i="2"/>
  <c r="AE203" i="2"/>
  <c r="AF203" i="2" s="1"/>
  <c r="U203" i="2"/>
  <c r="S203" i="2"/>
  <c r="T203" i="2" s="1"/>
  <c r="R203" i="2"/>
  <c r="E203" i="2"/>
  <c r="GR202" i="2"/>
  <c r="GS202" i="2" s="1"/>
  <c r="GP202" i="2"/>
  <c r="GQ202" i="2" s="1"/>
  <c r="GN202" i="2"/>
  <c r="GO202" i="2" s="1"/>
  <c r="GL202" i="2"/>
  <c r="GM202" i="2" s="1"/>
  <c r="GH202" i="2"/>
  <c r="GG202" i="2"/>
  <c r="GI202" i="2" s="1"/>
  <c r="GD202" i="2"/>
  <c r="GC202" i="2"/>
  <c r="GB202" i="2"/>
  <c r="FY202" i="2"/>
  <c r="GA202" i="2" s="1"/>
  <c r="FS202" i="2"/>
  <c r="FT202" i="2" s="1"/>
  <c r="EW202" i="2"/>
  <c r="ET202" i="2"/>
  <c r="EU202" i="2" s="1"/>
  <c r="EQ202" i="2"/>
  <c r="ER202" i="2" s="1"/>
  <c r="EJ202" i="2"/>
  <c r="EE202" i="2"/>
  <c r="EF202" i="2" s="1"/>
  <c r="DX202" i="2"/>
  <c r="DP202" i="2"/>
  <c r="DF202" i="2"/>
  <c r="DH202" i="2" s="1"/>
  <c r="DE202" i="2"/>
  <c r="CY202" i="2"/>
  <c r="CZ202" i="2" s="1"/>
  <c r="CF202" i="2"/>
  <c r="CH202" i="2"/>
  <c r="CA202" i="2"/>
  <c r="BO202" i="2"/>
  <c r="BJ202" i="2"/>
  <c r="BC202" i="2"/>
  <c r="AZ202" i="2"/>
  <c r="AY202" i="2"/>
  <c r="AO202" i="2"/>
  <c r="AN202" i="2"/>
  <c r="AM202" i="2"/>
  <c r="AL202" i="2"/>
  <c r="AK202" i="2"/>
  <c r="AG202" i="2"/>
  <c r="AE202" i="2"/>
  <c r="AF202" i="2" s="1"/>
  <c r="U202" i="2"/>
  <c r="S202" i="2"/>
  <c r="T202" i="2" s="1"/>
  <c r="R202" i="2"/>
  <c r="X202" i="2" s="1"/>
  <c r="E202" i="2"/>
  <c r="GR200" i="2"/>
  <c r="GS200" i="2" s="1"/>
  <c r="GP200" i="2"/>
  <c r="GQ200" i="2" s="1"/>
  <c r="DO200" i="2" s="1"/>
  <c r="GN200" i="2"/>
  <c r="GO200" i="2" s="1"/>
  <c r="GL200" i="2"/>
  <c r="GM200" i="2" s="1"/>
  <c r="GH200" i="2"/>
  <c r="GG200" i="2"/>
  <c r="GI200" i="2" s="1"/>
  <c r="GD200" i="2"/>
  <c r="GC200" i="2"/>
  <c r="GB200" i="2"/>
  <c r="FY200" i="2"/>
  <c r="FS200" i="2"/>
  <c r="FT200" i="2" s="1"/>
  <c r="EW200" i="2"/>
  <c r="ET200" i="2"/>
  <c r="EU200" i="2" s="1"/>
  <c r="EQ200" i="2"/>
  <c r="ER200" i="2" s="1"/>
  <c r="EJ200" i="2"/>
  <c r="EE200" i="2"/>
  <c r="EF200" i="2" s="1"/>
  <c r="DX200" i="2"/>
  <c r="DP200" i="2"/>
  <c r="DF200" i="2"/>
  <c r="DH200" i="2" s="1"/>
  <c r="DE200" i="2"/>
  <c r="CY200" i="2"/>
  <c r="CZ200" i="2" s="1"/>
  <c r="CF200" i="2"/>
  <c r="CA200" i="2"/>
  <c r="BO200" i="2"/>
  <c r="BJ200" i="2"/>
  <c r="BM200" i="2" s="1"/>
  <c r="BN200" i="2" s="1"/>
  <c r="BC200" i="2"/>
  <c r="AZ200" i="2"/>
  <c r="AY200" i="2"/>
  <c r="AO200" i="2"/>
  <c r="AN200" i="2"/>
  <c r="AM200" i="2"/>
  <c r="AL200" i="2"/>
  <c r="AK200" i="2"/>
  <c r="AG200" i="2"/>
  <c r="AE200" i="2"/>
  <c r="AF200" i="2" s="1"/>
  <c r="U200" i="2"/>
  <c r="S200" i="2"/>
  <c r="T200" i="2" s="1"/>
  <c r="R200" i="2"/>
  <c r="Y200" i="2" s="1"/>
  <c r="AB200" i="2" s="1"/>
  <c r="E200" i="2"/>
  <c r="GR199" i="2"/>
  <c r="GS199" i="2" s="1"/>
  <c r="GP199" i="2"/>
  <c r="GQ199" i="2" s="1"/>
  <c r="DO199" i="2" s="1"/>
  <c r="GN199" i="2"/>
  <c r="GO199" i="2" s="1"/>
  <c r="GL199" i="2"/>
  <c r="GM199" i="2" s="1"/>
  <c r="GH199" i="2"/>
  <c r="GG199" i="2"/>
  <c r="GI199" i="2" s="1"/>
  <c r="GD199" i="2"/>
  <c r="GC199" i="2"/>
  <c r="GB199" i="2"/>
  <c r="FY199" i="2"/>
  <c r="GA199" i="2" s="1"/>
  <c r="FS199" i="2"/>
  <c r="FT199" i="2" s="1"/>
  <c r="EW199" i="2"/>
  <c r="ET199" i="2"/>
  <c r="EU199" i="2" s="1"/>
  <c r="EQ199" i="2"/>
  <c r="ER199" i="2" s="1"/>
  <c r="EJ199" i="2"/>
  <c r="EE199" i="2"/>
  <c r="EF199" i="2" s="1"/>
  <c r="DX199" i="2"/>
  <c r="DP199" i="2"/>
  <c r="DF199" i="2"/>
  <c r="DG199" i="2" s="1"/>
  <c r="DE199" i="2"/>
  <c r="CY199" i="2"/>
  <c r="CZ199" i="2" s="1"/>
  <c r="CF199" i="2"/>
  <c r="CH199" i="2"/>
  <c r="CA199" i="2"/>
  <c r="BO199" i="2"/>
  <c r="BJ199" i="2"/>
  <c r="BC199" i="2"/>
  <c r="AZ199" i="2"/>
  <c r="AY199" i="2"/>
  <c r="AO199" i="2"/>
  <c r="AN199" i="2"/>
  <c r="AM199" i="2"/>
  <c r="AL199" i="2"/>
  <c r="AK199" i="2"/>
  <c r="AG199" i="2"/>
  <c r="AE199" i="2"/>
  <c r="AF199" i="2" s="1"/>
  <c r="U199" i="2"/>
  <c r="S199" i="2"/>
  <c r="T199" i="2" s="1"/>
  <c r="R199" i="2"/>
  <c r="E199" i="2"/>
  <c r="GR197" i="2"/>
  <c r="GS197" i="2" s="1"/>
  <c r="GP197" i="2"/>
  <c r="GQ197" i="2" s="1"/>
  <c r="GN197" i="2"/>
  <c r="GO197" i="2" s="1"/>
  <c r="GL197" i="2"/>
  <c r="GM197" i="2" s="1"/>
  <c r="GH197" i="2"/>
  <c r="GG197" i="2"/>
  <c r="GI197" i="2" s="1"/>
  <c r="GD197" i="2"/>
  <c r="GC197" i="2"/>
  <c r="GB197" i="2"/>
  <c r="FY197" i="2"/>
  <c r="FS197" i="2"/>
  <c r="FT197" i="2" s="1"/>
  <c r="EW197" i="2"/>
  <c r="ET197" i="2"/>
  <c r="EU197" i="2" s="1"/>
  <c r="EQ197" i="2"/>
  <c r="ER197" i="2" s="1"/>
  <c r="EJ197" i="2"/>
  <c r="EE197" i="2"/>
  <c r="EF197" i="2" s="1"/>
  <c r="DX197" i="2"/>
  <c r="DP197" i="2"/>
  <c r="DF197" i="2"/>
  <c r="DE197" i="2"/>
  <c r="CY197" i="2"/>
  <c r="CZ197" i="2" s="1"/>
  <c r="CF197" i="2"/>
  <c r="CH197" i="2"/>
  <c r="CA197" i="2"/>
  <c r="BO197" i="2"/>
  <c r="BJ197" i="2"/>
  <c r="BM197" i="2" s="1"/>
  <c r="BN197" i="2" s="1"/>
  <c r="BC197" i="2"/>
  <c r="AZ197" i="2"/>
  <c r="AY197" i="2"/>
  <c r="AO197" i="2"/>
  <c r="AN197" i="2"/>
  <c r="AM197" i="2"/>
  <c r="AL197" i="2"/>
  <c r="AK197" i="2"/>
  <c r="AG197" i="2"/>
  <c r="AE197" i="2"/>
  <c r="AF197" i="2" s="1"/>
  <c r="U197" i="2"/>
  <c r="S197" i="2"/>
  <c r="T197" i="2" s="1"/>
  <c r="R197" i="2"/>
  <c r="X197" i="2" s="1"/>
  <c r="AA197" i="2" s="1"/>
  <c r="E197" i="2"/>
  <c r="GR196" i="2"/>
  <c r="GS196" i="2" s="1"/>
  <c r="GP196" i="2"/>
  <c r="GQ196" i="2" s="1"/>
  <c r="GN196" i="2"/>
  <c r="GO196" i="2" s="1"/>
  <c r="GL196" i="2"/>
  <c r="GM196" i="2" s="1"/>
  <c r="GH196" i="2"/>
  <c r="GG196" i="2"/>
  <c r="GI196" i="2" s="1"/>
  <c r="GD196" i="2"/>
  <c r="GC196" i="2"/>
  <c r="GB196" i="2"/>
  <c r="FY196" i="2"/>
  <c r="FS196" i="2"/>
  <c r="FT196" i="2" s="1"/>
  <c r="EW196" i="2"/>
  <c r="ET196" i="2"/>
  <c r="EU196" i="2" s="1"/>
  <c r="EQ196" i="2"/>
  <c r="ER196" i="2" s="1"/>
  <c r="EJ196" i="2"/>
  <c r="EE196" i="2"/>
  <c r="EF196" i="2" s="1"/>
  <c r="DX196" i="2"/>
  <c r="DP196" i="2"/>
  <c r="DF196" i="2"/>
  <c r="DH196" i="2" s="1"/>
  <c r="DE196" i="2"/>
  <c r="CY196" i="2"/>
  <c r="CZ196" i="2" s="1"/>
  <c r="CF196" i="2"/>
  <c r="CH196" i="2"/>
  <c r="CA196" i="2"/>
  <c r="DA196" i="2"/>
  <c r="DB196" i="2" s="1"/>
  <c r="BO196" i="2"/>
  <c r="BJ196" i="2"/>
  <c r="BM196" i="2" s="1"/>
  <c r="BN196" i="2" s="1"/>
  <c r="BC196" i="2"/>
  <c r="AZ196" i="2"/>
  <c r="AY196" i="2"/>
  <c r="AO196" i="2"/>
  <c r="AN196" i="2"/>
  <c r="AM196" i="2"/>
  <c r="AL196" i="2"/>
  <c r="AK196" i="2"/>
  <c r="AG196" i="2"/>
  <c r="AE196" i="2"/>
  <c r="AF196" i="2" s="1"/>
  <c r="U196" i="2"/>
  <c r="S196" i="2"/>
  <c r="T196" i="2" s="1"/>
  <c r="R196" i="2"/>
  <c r="Y196" i="2" s="1"/>
  <c r="AB196" i="2" s="1"/>
  <c r="E196" i="2"/>
  <c r="GR195" i="2"/>
  <c r="GS195" i="2" s="1"/>
  <c r="GP195" i="2"/>
  <c r="GQ195" i="2" s="1"/>
  <c r="DU195" i="2" s="1"/>
  <c r="GN195" i="2"/>
  <c r="GO195" i="2" s="1"/>
  <c r="GL195" i="2"/>
  <c r="GM195" i="2" s="1"/>
  <c r="GH195" i="2"/>
  <c r="GG195" i="2"/>
  <c r="GI195" i="2" s="1"/>
  <c r="GD195" i="2"/>
  <c r="GC195" i="2"/>
  <c r="GB195" i="2"/>
  <c r="FY195" i="2"/>
  <c r="FS195" i="2"/>
  <c r="FT195" i="2" s="1"/>
  <c r="EW195" i="2"/>
  <c r="ET195" i="2"/>
  <c r="EU195" i="2" s="1"/>
  <c r="EQ195" i="2"/>
  <c r="ER195" i="2" s="1"/>
  <c r="EJ195" i="2"/>
  <c r="EE195" i="2"/>
  <c r="EF195" i="2" s="1"/>
  <c r="DX195" i="2"/>
  <c r="DP195" i="2"/>
  <c r="DF195" i="2"/>
  <c r="DG195" i="2" s="1"/>
  <c r="DE195" i="2"/>
  <c r="CY195" i="2"/>
  <c r="CZ195" i="2" s="1"/>
  <c r="CF195" i="2"/>
  <c r="CH195" i="2"/>
  <c r="CA195" i="2"/>
  <c r="BO195" i="2"/>
  <c r="BJ195" i="2"/>
  <c r="BM195" i="2" s="1"/>
  <c r="BN195" i="2" s="1"/>
  <c r="BC195" i="2"/>
  <c r="AZ195" i="2"/>
  <c r="AY195" i="2"/>
  <c r="AO195" i="2"/>
  <c r="AN195" i="2"/>
  <c r="AM195" i="2"/>
  <c r="AL195" i="2"/>
  <c r="AK195" i="2"/>
  <c r="AG195" i="2"/>
  <c r="AE195" i="2"/>
  <c r="AF195" i="2" s="1"/>
  <c r="U195" i="2"/>
  <c r="S195" i="2"/>
  <c r="T195" i="2" s="1"/>
  <c r="R195" i="2"/>
  <c r="X195" i="2" s="1"/>
  <c r="AA195" i="2" s="1"/>
  <c r="E195" i="2"/>
  <c r="GR194" i="2"/>
  <c r="GS194" i="2" s="1"/>
  <c r="GP194" i="2"/>
  <c r="GQ194" i="2" s="1"/>
  <c r="GN194" i="2"/>
  <c r="GO194" i="2" s="1"/>
  <c r="GL194" i="2"/>
  <c r="GM194" i="2" s="1"/>
  <c r="GH194" i="2"/>
  <c r="GG194" i="2"/>
  <c r="GI194" i="2" s="1"/>
  <c r="GD194" i="2"/>
  <c r="GC194" i="2"/>
  <c r="GB194" i="2"/>
  <c r="FY194" i="2"/>
  <c r="GA194" i="2" s="1"/>
  <c r="FS194" i="2"/>
  <c r="FT194" i="2" s="1"/>
  <c r="EW194" i="2"/>
  <c r="ET194" i="2"/>
  <c r="EU194" i="2" s="1"/>
  <c r="EQ194" i="2"/>
  <c r="ER194" i="2" s="1"/>
  <c r="EJ194" i="2"/>
  <c r="EE194" i="2"/>
  <c r="EF194" i="2" s="1"/>
  <c r="DX194" i="2"/>
  <c r="DP194" i="2"/>
  <c r="DF194" i="2"/>
  <c r="DG194" i="2" s="1"/>
  <c r="DE194" i="2"/>
  <c r="CY194" i="2"/>
  <c r="CZ194" i="2" s="1"/>
  <c r="CF194" i="2"/>
  <c r="CH194" i="2"/>
  <c r="CA194" i="2"/>
  <c r="DA194" i="2"/>
  <c r="DB194" i="2" s="1"/>
  <c r="BO194" i="2"/>
  <c r="BJ194" i="2"/>
  <c r="BC194" i="2"/>
  <c r="AZ194" i="2"/>
  <c r="AY194" i="2"/>
  <c r="AO194" i="2"/>
  <c r="AN194" i="2"/>
  <c r="AM194" i="2"/>
  <c r="AL194" i="2"/>
  <c r="AK194" i="2"/>
  <c r="AG194" i="2"/>
  <c r="AE194" i="2"/>
  <c r="AF194" i="2" s="1"/>
  <c r="U194" i="2"/>
  <c r="S194" i="2"/>
  <c r="T194" i="2" s="1"/>
  <c r="R194" i="2"/>
  <c r="X194" i="2" s="1"/>
  <c r="E194" i="2"/>
  <c r="GR193" i="2"/>
  <c r="GS193" i="2" s="1"/>
  <c r="GP193" i="2"/>
  <c r="GQ193" i="2" s="1"/>
  <c r="GN193" i="2"/>
  <c r="GO193" i="2" s="1"/>
  <c r="GL193" i="2"/>
  <c r="GM193" i="2" s="1"/>
  <c r="GH193" i="2"/>
  <c r="GG193" i="2"/>
  <c r="GI193" i="2" s="1"/>
  <c r="GD193" i="2"/>
  <c r="GC193" i="2"/>
  <c r="GB193" i="2"/>
  <c r="FY193" i="2"/>
  <c r="FZ193" i="2" s="1"/>
  <c r="FS193" i="2"/>
  <c r="FT193" i="2" s="1"/>
  <c r="EW193" i="2"/>
  <c r="ET193" i="2"/>
  <c r="EU193" i="2" s="1"/>
  <c r="EQ193" i="2"/>
  <c r="ER193" i="2" s="1"/>
  <c r="EJ193" i="2"/>
  <c r="EE193" i="2"/>
  <c r="EF193" i="2" s="1"/>
  <c r="DX193" i="2"/>
  <c r="DP193" i="2"/>
  <c r="DF193" i="2"/>
  <c r="DE193" i="2"/>
  <c r="CY193" i="2"/>
  <c r="CZ193" i="2" s="1"/>
  <c r="CF193" i="2"/>
  <c r="CH193" i="2"/>
  <c r="CA193" i="2"/>
  <c r="BO193" i="2"/>
  <c r="BJ193" i="2"/>
  <c r="BM193" i="2" s="1"/>
  <c r="BN193" i="2" s="1"/>
  <c r="BC193" i="2"/>
  <c r="AZ193" i="2"/>
  <c r="AY193" i="2"/>
  <c r="AO193" i="2"/>
  <c r="AN193" i="2"/>
  <c r="AM193" i="2"/>
  <c r="AL193" i="2"/>
  <c r="AK193" i="2"/>
  <c r="AG193" i="2"/>
  <c r="AE193" i="2"/>
  <c r="AF193" i="2" s="1"/>
  <c r="U193" i="2"/>
  <c r="S193" i="2"/>
  <c r="T193" i="2" s="1"/>
  <c r="R193" i="2"/>
  <c r="E193" i="2"/>
  <c r="GR192" i="2"/>
  <c r="GS192" i="2" s="1"/>
  <c r="GP192" i="2"/>
  <c r="GQ192" i="2" s="1"/>
  <c r="GN192" i="2"/>
  <c r="GO192" i="2" s="1"/>
  <c r="GL192" i="2"/>
  <c r="GM192" i="2" s="1"/>
  <c r="GH192" i="2"/>
  <c r="GG192" i="2"/>
  <c r="GI192" i="2" s="1"/>
  <c r="GD192" i="2"/>
  <c r="GC192" i="2"/>
  <c r="GB192" i="2"/>
  <c r="FY192" i="2"/>
  <c r="FZ192" i="2" s="1"/>
  <c r="FS192" i="2"/>
  <c r="FT192" i="2" s="1"/>
  <c r="EW192" i="2"/>
  <c r="ET192" i="2"/>
  <c r="EU192" i="2" s="1"/>
  <c r="EQ192" i="2"/>
  <c r="ER192" i="2" s="1"/>
  <c r="EJ192" i="2"/>
  <c r="EE192" i="2"/>
  <c r="EF192" i="2" s="1"/>
  <c r="DX192" i="2"/>
  <c r="DP192" i="2"/>
  <c r="DF192" i="2"/>
  <c r="DH192" i="2" s="1"/>
  <c r="DE192" i="2"/>
  <c r="CY192" i="2"/>
  <c r="CZ192" i="2" s="1"/>
  <c r="CF192" i="2"/>
  <c r="CH192" i="2"/>
  <c r="CA192" i="2"/>
  <c r="DA192" i="2"/>
  <c r="DB192" i="2" s="1"/>
  <c r="BO192" i="2"/>
  <c r="BJ192" i="2"/>
  <c r="BM192" i="2" s="1"/>
  <c r="BN192" i="2" s="1"/>
  <c r="BC192" i="2"/>
  <c r="AZ192" i="2"/>
  <c r="AY192" i="2"/>
  <c r="AO192" i="2"/>
  <c r="AN192" i="2"/>
  <c r="AM192" i="2"/>
  <c r="AL192" i="2"/>
  <c r="AK192" i="2"/>
  <c r="AG192" i="2"/>
  <c r="AE192" i="2"/>
  <c r="AF192" i="2" s="1"/>
  <c r="U192" i="2"/>
  <c r="S192" i="2"/>
  <c r="T192" i="2" s="1"/>
  <c r="R192" i="2"/>
  <c r="X192" i="2" s="1"/>
  <c r="AA192" i="2" s="1"/>
  <c r="E192" i="2"/>
  <c r="GR191" i="2"/>
  <c r="GS191" i="2" s="1"/>
  <c r="GP191" i="2"/>
  <c r="GQ191" i="2" s="1"/>
  <c r="GN191" i="2"/>
  <c r="GO191" i="2" s="1"/>
  <c r="GL191" i="2"/>
  <c r="GM191" i="2" s="1"/>
  <c r="GH191" i="2"/>
  <c r="GG191" i="2"/>
  <c r="GI191" i="2" s="1"/>
  <c r="GD191" i="2"/>
  <c r="GC191" i="2"/>
  <c r="GB191" i="2"/>
  <c r="FY191" i="2"/>
  <c r="FZ191" i="2" s="1"/>
  <c r="FS191" i="2"/>
  <c r="FT191" i="2" s="1"/>
  <c r="EW191" i="2"/>
  <c r="ET191" i="2"/>
  <c r="EU191" i="2" s="1"/>
  <c r="EQ191" i="2"/>
  <c r="ER191" i="2" s="1"/>
  <c r="EJ191" i="2"/>
  <c r="EE191" i="2"/>
  <c r="EF191" i="2" s="1"/>
  <c r="DX191" i="2"/>
  <c r="DP191" i="2"/>
  <c r="DF191" i="2"/>
  <c r="DG191" i="2" s="1"/>
  <c r="DE191" i="2"/>
  <c r="CY191" i="2"/>
  <c r="CZ191" i="2" s="1"/>
  <c r="CF191" i="2"/>
  <c r="CH191" i="2"/>
  <c r="CA191" i="2"/>
  <c r="DA191" i="2"/>
  <c r="DB191" i="2" s="1"/>
  <c r="BO191" i="2"/>
  <c r="BJ191" i="2"/>
  <c r="BC191" i="2"/>
  <c r="AZ191" i="2"/>
  <c r="AY191" i="2"/>
  <c r="AO191" i="2"/>
  <c r="AN191" i="2"/>
  <c r="AM191" i="2"/>
  <c r="AL191" i="2"/>
  <c r="AK191" i="2"/>
  <c r="AG191" i="2"/>
  <c r="AE191" i="2"/>
  <c r="AF191" i="2" s="1"/>
  <c r="U191" i="2"/>
  <c r="S191" i="2"/>
  <c r="T191" i="2" s="1"/>
  <c r="R191" i="2"/>
  <c r="X191" i="2" s="1"/>
  <c r="AA191" i="2" s="1"/>
  <c r="E191" i="2"/>
  <c r="GR190" i="2"/>
  <c r="GS190" i="2" s="1"/>
  <c r="GP190" i="2"/>
  <c r="GQ190" i="2" s="1"/>
  <c r="GN190" i="2"/>
  <c r="GO190" i="2" s="1"/>
  <c r="GL190" i="2"/>
  <c r="GM190" i="2" s="1"/>
  <c r="GH190" i="2"/>
  <c r="GG190" i="2"/>
  <c r="GI190" i="2" s="1"/>
  <c r="GD190" i="2"/>
  <c r="GC190" i="2"/>
  <c r="GB190" i="2"/>
  <c r="FY190" i="2"/>
  <c r="FS190" i="2"/>
  <c r="FT190" i="2" s="1"/>
  <c r="EW190" i="2"/>
  <c r="ET190" i="2"/>
  <c r="EU190" i="2" s="1"/>
  <c r="EQ190" i="2"/>
  <c r="ER190" i="2" s="1"/>
  <c r="EJ190" i="2"/>
  <c r="EE190" i="2"/>
  <c r="EF190" i="2" s="1"/>
  <c r="DX190" i="2"/>
  <c r="DP190" i="2"/>
  <c r="DF190" i="2"/>
  <c r="DE190" i="2"/>
  <c r="CY190" i="2"/>
  <c r="CZ190" i="2" s="1"/>
  <c r="CF190" i="2"/>
  <c r="CH190" i="2"/>
  <c r="CA190" i="2"/>
  <c r="DA190" i="2"/>
  <c r="DB190" i="2" s="1"/>
  <c r="BO190" i="2"/>
  <c r="BJ190" i="2"/>
  <c r="BM190" i="2" s="1"/>
  <c r="BN190" i="2" s="1"/>
  <c r="BC190" i="2"/>
  <c r="AZ190" i="2"/>
  <c r="AY190" i="2"/>
  <c r="AO190" i="2"/>
  <c r="AN190" i="2"/>
  <c r="AM190" i="2"/>
  <c r="AL190" i="2"/>
  <c r="AK190" i="2"/>
  <c r="AG190" i="2"/>
  <c r="AE190" i="2"/>
  <c r="AF190" i="2" s="1"/>
  <c r="U190" i="2"/>
  <c r="S190" i="2"/>
  <c r="T190" i="2" s="1"/>
  <c r="R190" i="2"/>
  <c r="X190" i="2" s="1"/>
  <c r="AA190" i="2" s="1"/>
  <c r="E190" i="2"/>
  <c r="GR189" i="2"/>
  <c r="GS189" i="2" s="1"/>
  <c r="GP189" i="2"/>
  <c r="GQ189" i="2" s="1"/>
  <c r="GN189" i="2"/>
  <c r="GO189" i="2" s="1"/>
  <c r="GL189" i="2"/>
  <c r="GM189" i="2" s="1"/>
  <c r="GH189" i="2"/>
  <c r="GG189" i="2"/>
  <c r="GI189" i="2" s="1"/>
  <c r="GD189" i="2"/>
  <c r="GC189" i="2"/>
  <c r="GB189" i="2"/>
  <c r="FY189" i="2"/>
  <c r="FZ189" i="2" s="1"/>
  <c r="FS189" i="2"/>
  <c r="FT189" i="2" s="1"/>
  <c r="EW189" i="2"/>
  <c r="ET189" i="2"/>
  <c r="EU189" i="2" s="1"/>
  <c r="EQ189" i="2"/>
  <c r="ER189" i="2" s="1"/>
  <c r="EJ189" i="2"/>
  <c r="EE189" i="2"/>
  <c r="EF189" i="2" s="1"/>
  <c r="DX189" i="2"/>
  <c r="DP189" i="2"/>
  <c r="DF189" i="2"/>
  <c r="DE189" i="2"/>
  <c r="CY189" i="2"/>
  <c r="CZ189" i="2" s="1"/>
  <c r="CF189" i="2"/>
  <c r="CH189" i="2"/>
  <c r="CA189" i="2"/>
  <c r="DA189" i="2"/>
  <c r="DB189" i="2" s="1"/>
  <c r="BO189" i="2"/>
  <c r="BJ189" i="2"/>
  <c r="BC189" i="2"/>
  <c r="AZ189" i="2"/>
  <c r="AY189" i="2"/>
  <c r="AO189" i="2"/>
  <c r="AN189" i="2"/>
  <c r="AM189" i="2"/>
  <c r="AL189" i="2"/>
  <c r="AK189" i="2"/>
  <c r="AG189" i="2"/>
  <c r="AE189" i="2"/>
  <c r="AF189" i="2" s="1"/>
  <c r="U189" i="2"/>
  <c r="S189" i="2"/>
  <c r="T189" i="2" s="1"/>
  <c r="R189" i="2"/>
  <c r="X189" i="2" s="1"/>
  <c r="E189" i="2"/>
  <c r="GR188" i="2"/>
  <c r="GS188" i="2" s="1"/>
  <c r="GP188" i="2"/>
  <c r="GQ188" i="2" s="1"/>
  <c r="GN188" i="2"/>
  <c r="GO188" i="2" s="1"/>
  <c r="GL188" i="2"/>
  <c r="GM188" i="2" s="1"/>
  <c r="GH188" i="2"/>
  <c r="GG188" i="2"/>
  <c r="GI188" i="2" s="1"/>
  <c r="GD188" i="2"/>
  <c r="GC188" i="2"/>
  <c r="GB188" i="2"/>
  <c r="FY188" i="2"/>
  <c r="GA188" i="2" s="1"/>
  <c r="FS188" i="2"/>
  <c r="FT188" i="2" s="1"/>
  <c r="EW188" i="2"/>
  <c r="ET188" i="2"/>
  <c r="EU188" i="2" s="1"/>
  <c r="EQ188" i="2"/>
  <c r="ER188" i="2" s="1"/>
  <c r="EJ188" i="2"/>
  <c r="EE188" i="2"/>
  <c r="EF188" i="2" s="1"/>
  <c r="DX188" i="2"/>
  <c r="DP188" i="2"/>
  <c r="DF188" i="2"/>
  <c r="DG188" i="2" s="1"/>
  <c r="DE188" i="2"/>
  <c r="CY188" i="2"/>
  <c r="CZ188" i="2" s="1"/>
  <c r="CF188" i="2"/>
  <c r="CH188" i="2"/>
  <c r="CA188" i="2"/>
  <c r="CR188" i="2"/>
  <c r="BO188" i="2"/>
  <c r="BJ188" i="2"/>
  <c r="BM188" i="2" s="1"/>
  <c r="BN188" i="2" s="1"/>
  <c r="BC188" i="2"/>
  <c r="AZ188" i="2"/>
  <c r="AY188" i="2"/>
  <c r="AO188" i="2"/>
  <c r="AN188" i="2"/>
  <c r="AM188" i="2"/>
  <c r="AL188" i="2"/>
  <c r="AK188" i="2"/>
  <c r="AG188" i="2"/>
  <c r="AE188" i="2"/>
  <c r="AF188" i="2" s="1"/>
  <c r="U188" i="2"/>
  <c r="S188" i="2"/>
  <c r="T188" i="2" s="1"/>
  <c r="R188" i="2"/>
  <c r="Y188" i="2" s="1"/>
  <c r="AB188" i="2" s="1"/>
  <c r="E188" i="2"/>
  <c r="GR187" i="2"/>
  <c r="GS187" i="2" s="1"/>
  <c r="GP187" i="2"/>
  <c r="GQ187" i="2" s="1"/>
  <c r="DU187" i="2" s="1"/>
  <c r="GN187" i="2"/>
  <c r="GO187" i="2" s="1"/>
  <c r="GL187" i="2"/>
  <c r="GM187" i="2" s="1"/>
  <c r="GH187" i="2"/>
  <c r="GG187" i="2"/>
  <c r="GI187" i="2" s="1"/>
  <c r="GD187" i="2"/>
  <c r="GC187" i="2"/>
  <c r="GB187" i="2"/>
  <c r="FY187" i="2"/>
  <c r="GA187" i="2" s="1"/>
  <c r="FS187" i="2"/>
  <c r="FT187" i="2" s="1"/>
  <c r="EW187" i="2"/>
  <c r="ET187" i="2"/>
  <c r="EU187" i="2" s="1"/>
  <c r="EQ187" i="2"/>
  <c r="ER187" i="2" s="1"/>
  <c r="EJ187" i="2"/>
  <c r="EE187" i="2"/>
  <c r="EF187" i="2" s="1"/>
  <c r="DX187" i="2"/>
  <c r="DP187" i="2"/>
  <c r="DF187" i="2"/>
  <c r="DG187" i="2" s="1"/>
  <c r="DE187" i="2"/>
  <c r="CY187" i="2"/>
  <c r="CZ187" i="2" s="1"/>
  <c r="CF187" i="2"/>
  <c r="CH187" i="2"/>
  <c r="CA187" i="2"/>
  <c r="CR187" i="2"/>
  <c r="BO187" i="2"/>
  <c r="BJ187" i="2"/>
  <c r="BM187" i="2" s="1"/>
  <c r="BN187" i="2" s="1"/>
  <c r="BC187" i="2"/>
  <c r="AZ187" i="2"/>
  <c r="AY187" i="2"/>
  <c r="AO187" i="2"/>
  <c r="AN187" i="2"/>
  <c r="AM187" i="2"/>
  <c r="AL187" i="2"/>
  <c r="AK187" i="2"/>
  <c r="AG187" i="2"/>
  <c r="AE187" i="2"/>
  <c r="AF187" i="2" s="1"/>
  <c r="U187" i="2"/>
  <c r="S187" i="2"/>
  <c r="T187" i="2" s="1"/>
  <c r="R187" i="2"/>
  <c r="Y187" i="2" s="1"/>
  <c r="AB187" i="2" s="1"/>
  <c r="E187" i="2"/>
  <c r="GR186" i="2"/>
  <c r="GS186" i="2" s="1"/>
  <c r="GP186" i="2"/>
  <c r="GQ186" i="2" s="1"/>
  <c r="GN186" i="2"/>
  <c r="GO186" i="2" s="1"/>
  <c r="GL186" i="2"/>
  <c r="GM186" i="2" s="1"/>
  <c r="GH186" i="2"/>
  <c r="GG186" i="2"/>
  <c r="GI186" i="2" s="1"/>
  <c r="GD186" i="2"/>
  <c r="GC186" i="2"/>
  <c r="GB186" i="2"/>
  <c r="FY186" i="2"/>
  <c r="GA186" i="2" s="1"/>
  <c r="FS186" i="2"/>
  <c r="FT186" i="2" s="1"/>
  <c r="EW186" i="2"/>
  <c r="ET186" i="2"/>
  <c r="EU186" i="2" s="1"/>
  <c r="EQ186" i="2"/>
  <c r="ER186" i="2" s="1"/>
  <c r="EJ186" i="2"/>
  <c r="EE186" i="2"/>
  <c r="EF186" i="2" s="1"/>
  <c r="DX186" i="2"/>
  <c r="DP186" i="2"/>
  <c r="DF186" i="2"/>
  <c r="DG186" i="2" s="1"/>
  <c r="DE186" i="2"/>
  <c r="CY186" i="2"/>
  <c r="CZ186" i="2" s="1"/>
  <c r="CF186" i="2"/>
  <c r="CH186" i="2"/>
  <c r="CA186" i="2"/>
  <c r="BO186" i="2"/>
  <c r="BJ186" i="2"/>
  <c r="BK186" i="2" s="1"/>
  <c r="CL186" i="2" s="1"/>
  <c r="BC186" i="2"/>
  <c r="AZ186" i="2"/>
  <c r="AY186" i="2"/>
  <c r="AO186" i="2"/>
  <c r="AN186" i="2"/>
  <c r="AM186" i="2"/>
  <c r="AL186" i="2"/>
  <c r="AK186" i="2"/>
  <c r="AG186" i="2"/>
  <c r="AE186" i="2"/>
  <c r="AF186" i="2" s="1"/>
  <c r="U186" i="2"/>
  <c r="S186" i="2"/>
  <c r="T186" i="2" s="1"/>
  <c r="R186" i="2"/>
  <c r="Y186" i="2" s="1"/>
  <c r="AB186" i="2" s="1"/>
  <c r="E186" i="2"/>
  <c r="GR185" i="2"/>
  <c r="GS185" i="2" s="1"/>
  <c r="GP185" i="2"/>
  <c r="GQ185" i="2" s="1"/>
  <c r="DU185" i="2" s="1"/>
  <c r="EG185" i="2" s="1"/>
  <c r="GN185" i="2"/>
  <c r="GO185" i="2" s="1"/>
  <c r="GL185" i="2"/>
  <c r="GM185" i="2" s="1"/>
  <c r="GH185" i="2"/>
  <c r="GG185" i="2"/>
  <c r="GI185" i="2" s="1"/>
  <c r="GD185" i="2"/>
  <c r="GC185" i="2"/>
  <c r="GB185" i="2"/>
  <c r="FY185" i="2"/>
  <c r="GA185" i="2" s="1"/>
  <c r="FS185" i="2"/>
  <c r="FT185" i="2" s="1"/>
  <c r="EW185" i="2"/>
  <c r="ET185" i="2"/>
  <c r="EU185" i="2" s="1"/>
  <c r="EQ185" i="2"/>
  <c r="ER185" i="2" s="1"/>
  <c r="EJ185" i="2"/>
  <c r="EE185" i="2"/>
  <c r="EF185" i="2" s="1"/>
  <c r="DX185" i="2"/>
  <c r="DP185" i="2"/>
  <c r="DF185" i="2"/>
  <c r="DG185" i="2" s="1"/>
  <c r="DE185" i="2"/>
  <c r="CY185" i="2"/>
  <c r="CZ185" i="2" s="1"/>
  <c r="CF185" i="2"/>
  <c r="CH185" i="2"/>
  <c r="CA185" i="2"/>
  <c r="CR185" i="2"/>
  <c r="BO185" i="2"/>
  <c r="BJ185" i="2"/>
  <c r="BC185" i="2"/>
  <c r="AZ185" i="2"/>
  <c r="AY185" i="2"/>
  <c r="AO185" i="2"/>
  <c r="AN185" i="2"/>
  <c r="AM185" i="2"/>
  <c r="AL185" i="2"/>
  <c r="AK185" i="2"/>
  <c r="AG185" i="2"/>
  <c r="AE185" i="2"/>
  <c r="AF185" i="2" s="1"/>
  <c r="U185" i="2"/>
  <c r="S185" i="2"/>
  <c r="T185" i="2" s="1"/>
  <c r="R185" i="2"/>
  <c r="Y185" i="2" s="1"/>
  <c r="AB185" i="2" s="1"/>
  <c r="E185" i="2"/>
  <c r="GR184" i="2"/>
  <c r="GS184" i="2" s="1"/>
  <c r="GP184" i="2"/>
  <c r="GQ184" i="2" s="1"/>
  <c r="DU184" i="2" s="1"/>
  <c r="EG184" i="2" s="1"/>
  <c r="GN184" i="2"/>
  <c r="GO184" i="2" s="1"/>
  <c r="GL184" i="2"/>
  <c r="GM184" i="2" s="1"/>
  <c r="GH184" i="2"/>
  <c r="GG184" i="2"/>
  <c r="GI184" i="2" s="1"/>
  <c r="GD184" i="2"/>
  <c r="GC184" i="2"/>
  <c r="GB184" i="2"/>
  <c r="FY184" i="2"/>
  <c r="GA184" i="2" s="1"/>
  <c r="FS184" i="2"/>
  <c r="FT184" i="2" s="1"/>
  <c r="EW184" i="2"/>
  <c r="ET184" i="2"/>
  <c r="EU184" i="2" s="1"/>
  <c r="EQ184" i="2"/>
  <c r="ER184" i="2" s="1"/>
  <c r="EJ184" i="2"/>
  <c r="EE184" i="2"/>
  <c r="EF184" i="2" s="1"/>
  <c r="DX184" i="2"/>
  <c r="DP184" i="2"/>
  <c r="DF184" i="2"/>
  <c r="DE184" i="2"/>
  <c r="CY184" i="2"/>
  <c r="CZ184" i="2" s="1"/>
  <c r="CF184" i="2"/>
  <c r="CH184" i="2"/>
  <c r="CA184" i="2"/>
  <c r="CR184" i="2"/>
  <c r="BO184" i="2"/>
  <c r="BJ184" i="2"/>
  <c r="BK184" i="2" s="1"/>
  <c r="CL184" i="2" s="1"/>
  <c r="BC184" i="2"/>
  <c r="AZ184" i="2"/>
  <c r="AY184" i="2"/>
  <c r="AO184" i="2"/>
  <c r="AN184" i="2"/>
  <c r="AM184" i="2"/>
  <c r="AL184" i="2"/>
  <c r="AK184" i="2"/>
  <c r="AG184" i="2"/>
  <c r="AE184" i="2"/>
  <c r="AF184" i="2" s="1"/>
  <c r="U184" i="2"/>
  <c r="S184" i="2"/>
  <c r="T184" i="2" s="1"/>
  <c r="R184" i="2"/>
  <c r="Y184" i="2" s="1"/>
  <c r="AB184" i="2" s="1"/>
  <c r="E184" i="2"/>
  <c r="GR183" i="2"/>
  <c r="GS183" i="2" s="1"/>
  <c r="GP183" i="2"/>
  <c r="GQ183" i="2" s="1"/>
  <c r="DU183" i="2" s="1"/>
  <c r="GN183" i="2"/>
  <c r="GO183" i="2" s="1"/>
  <c r="GL183" i="2"/>
  <c r="GM183" i="2" s="1"/>
  <c r="GH183" i="2"/>
  <c r="GG183" i="2"/>
  <c r="GI183" i="2" s="1"/>
  <c r="GD183" i="2"/>
  <c r="GC183" i="2"/>
  <c r="GB183" i="2"/>
  <c r="FY183" i="2"/>
  <c r="GA183" i="2" s="1"/>
  <c r="FS183" i="2"/>
  <c r="FT183" i="2" s="1"/>
  <c r="EW183" i="2"/>
  <c r="ET183" i="2"/>
  <c r="EU183" i="2" s="1"/>
  <c r="EQ183" i="2"/>
  <c r="ER183" i="2" s="1"/>
  <c r="EJ183" i="2"/>
  <c r="EE183" i="2"/>
  <c r="EF183" i="2" s="1"/>
  <c r="DX183" i="2"/>
  <c r="DP183" i="2"/>
  <c r="DF183" i="2"/>
  <c r="DG183" i="2" s="1"/>
  <c r="DE183" i="2"/>
  <c r="CY183" i="2"/>
  <c r="CZ183" i="2" s="1"/>
  <c r="CF183" i="2"/>
  <c r="CH183" i="2"/>
  <c r="CA183" i="2"/>
  <c r="BO183" i="2"/>
  <c r="BJ183" i="2"/>
  <c r="BC183" i="2"/>
  <c r="AZ183" i="2"/>
  <c r="AY183" i="2"/>
  <c r="AO183" i="2"/>
  <c r="AN183" i="2"/>
  <c r="AM183" i="2"/>
  <c r="AL183" i="2"/>
  <c r="AK183" i="2"/>
  <c r="AG183" i="2"/>
  <c r="AE183" i="2"/>
  <c r="AF183" i="2" s="1"/>
  <c r="U183" i="2"/>
  <c r="S183" i="2"/>
  <c r="T183" i="2" s="1"/>
  <c r="R183" i="2"/>
  <c r="Y183" i="2" s="1"/>
  <c r="AB183" i="2" s="1"/>
  <c r="E183" i="2"/>
  <c r="GR182" i="2"/>
  <c r="GS182" i="2" s="1"/>
  <c r="GP182" i="2"/>
  <c r="GQ182" i="2" s="1"/>
  <c r="GN182" i="2"/>
  <c r="GO182" i="2" s="1"/>
  <c r="GL182" i="2"/>
  <c r="GM182" i="2" s="1"/>
  <c r="GH182" i="2"/>
  <c r="GG182" i="2"/>
  <c r="GI182" i="2" s="1"/>
  <c r="GD182" i="2"/>
  <c r="GC182" i="2"/>
  <c r="GB182" i="2"/>
  <c r="FY182" i="2"/>
  <c r="GA182" i="2" s="1"/>
  <c r="FS182" i="2"/>
  <c r="FT182" i="2" s="1"/>
  <c r="EW182" i="2"/>
  <c r="ET182" i="2"/>
  <c r="EU182" i="2" s="1"/>
  <c r="EQ182" i="2"/>
  <c r="ER182" i="2" s="1"/>
  <c r="EJ182" i="2"/>
  <c r="EE182" i="2"/>
  <c r="EF182" i="2" s="1"/>
  <c r="DX182" i="2"/>
  <c r="DP182" i="2"/>
  <c r="DF182" i="2"/>
  <c r="DG182" i="2" s="1"/>
  <c r="DE182" i="2"/>
  <c r="CY182" i="2"/>
  <c r="CZ182" i="2" s="1"/>
  <c r="CF182" i="2"/>
  <c r="CH182" i="2"/>
  <c r="CA182" i="2"/>
  <c r="CR182" i="2"/>
  <c r="BO182" i="2"/>
  <c r="BJ182" i="2"/>
  <c r="BC182" i="2"/>
  <c r="AZ182" i="2"/>
  <c r="AY182" i="2"/>
  <c r="AO182" i="2"/>
  <c r="AN182" i="2"/>
  <c r="AM182" i="2"/>
  <c r="AL182" i="2"/>
  <c r="AK182" i="2"/>
  <c r="AG182" i="2"/>
  <c r="AE182" i="2"/>
  <c r="AF182" i="2" s="1"/>
  <c r="U182" i="2"/>
  <c r="S182" i="2"/>
  <c r="T182" i="2" s="1"/>
  <c r="R182" i="2"/>
  <c r="Y182" i="2" s="1"/>
  <c r="AB182" i="2" s="1"/>
  <c r="E182" i="2"/>
  <c r="GR181" i="2"/>
  <c r="GS181" i="2" s="1"/>
  <c r="GP181" i="2"/>
  <c r="GQ181" i="2" s="1"/>
  <c r="GN181" i="2"/>
  <c r="GO181" i="2" s="1"/>
  <c r="GL181" i="2"/>
  <c r="GM181" i="2" s="1"/>
  <c r="GH181" i="2"/>
  <c r="GG181" i="2"/>
  <c r="GI181" i="2" s="1"/>
  <c r="GD181" i="2"/>
  <c r="GC181" i="2"/>
  <c r="GB181" i="2"/>
  <c r="FY181" i="2"/>
  <c r="GA181" i="2" s="1"/>
  <c r="FS181" i="2"/>
  <c r="FT181" i="2" s="1"/>
  <c r="EW181" i="2"/>
  <c r="ET181" i="2"/>
  <c r="EU181" i="2" s="1"/>
  <c r="EQ181" i="2"/>
  <c r="ER181" i="2" s="1"/>
  <c r="EJ181" i="2"/>
  <c r="EE181" i="2"/>
  <c r="EF181" i="2" s="1"/>
  <c r="DX181" i="2"/>
  <c r="DP181" i="2"/>
  <c r="DF181" i="2"/>
  <c r="DG181" i="2" s="1"/>
  <c r="DE181" i="2"/>
  <c r="CY181" i="2"/>
  <c r="CZ181" i="2" s="1"/>
  <c r="CF181" i="2"/>
  <c r="CH181" i="2"/>
  <c r="CA181" i="2"/>
  <c r="BO181" i="2"/>
  <c r="BJ181" i="2"/>
  <c r="BK181" i="2" s="1"/>
  <c r="CL181" i="2" s="1"/>
  <c r="BC181" i="2"/>
  <c r="AZ181" i="2"/>
  <c r="AY181" i="2"/>
  <c r="AO181" i="2"/>
  <c r="AN181" i="2"/>
  <c r="AM181" i="2"/>
  <c r="AL181" i="2"/>
  <c r="AI181" i="2"/>
  <c r="AK181" i="2" s="1"/>
  <c r="AG181" i="2"/>
  <c r="AE181" i="2"/>
  <c r="AF181" i="2" s="1"/>
  <c r="U181" i="2"/>
  <c r="S181" i="2"/>
  <c r="T181" i="2" s="1"/>
  <c r="R181" i="2"/>
  <c r="Y181" i="2" s="1"/>
  <c r="AB181" i="2" s="1"/>
  <c r="E181" i="2"/>
  <c r="GR180" i="2"/>
  <c r="GS180" i="2" s="1"/>
  <c r="GP180" i="2"/>
  <c r="GQ180" i="2" s="1"/>
  <c r="GN180" i="2"/>
  <c r="GO180" i="2" s="1"/>
  <c r="GL180" i="2"/>
  <c r="GM180" i="2" s="1"/>
  <c r="GH180" i="2"/>
  <c r="GG180" i="2"/>
  <c r="GI180" i="2" s="1"/>
  <c r="GD180" i="2"/>
  <c r="GC180" i="2"/>
  <c r="GB180" i="2"/>
  <c r="FY180" i="2"/>
  <c r="FZ180" i="2" s="1"/>
  <c r="FS180" i="2"/>
  <c r="FT180" i="2" s="1"/>
  <c r="EW180" i="2"/>
  <c r="ET180" i="2"/>
  <c r="EU180" i="2" s="1"/>
  <c r="EQ180" i="2"/>
  <c r="ER180" i="2" s="1"/>
  <c r="EJ180" i="2"/>
  <c r="EE180" i="2"/>
  <c r="EF180" i="2" s="1"/>
  <c r="DX180" i="2"/>
  <c r="DP180" i="2"/>
  <c r="DF180" i="2"/>
  <c r="DH180" i="2" s="1"/>
  <c r="DE180" i="2"/>
  <c r="CY180" i="2"/>
  <c r="CZ180" i="2" s="1"/>
  <c r="CF180" i="2"/>
  <c r="CH180" i="2"/>
  <c r="CA180" i="2"/>
  <c r="BO180" i="2"/>
  <c r="BJ180" i="2"/>
  <c r="BK180" i="2" s="1"/>
  <c r="CL180" i="2" s="1"/>
  <c r="BC180" i="2"/>
  <c r="AZ180" i="2"/>
  <c r="AY180" i="2"/>
  <c r="AO180" i="2"/>
  <c r="AN180" i="2"/>
  <c r="AM180" i="2"/>
  <c r="AL180" i="2"/>
  <c r="AK180" i="2"/>
  <c r="AG180" i="2"/>
  <c r="AE180" i="2"/>
  <c r="AF180" i="2" s="1"/>
  <c r="U180" i="2"/>
  <c r="S180" i="2"/>
  <c r="T180" i="2" s="1"/>
  <c r="R180" i="2"/>
  <c r="E180" i="2"/>
  <c r="GR179" i="2"/>
  <c r="GS179" i="2" s="1"/>
  <c r="GP179" i="2"/>
  <c r="GQ179" i="2" s="1"/>
  <c r="DU179" i="2" s="1"/>
  <c r="GN179" i="2"/>
  <c r="GO179" i="2" s="1"/>
  <c r="GL179" i="2"/>
  <c r="GM179" i="2" s="1"/>
  <c r="GH179" i="2"/>
  <c r="GG179" i="2"/>
  <c r="GI179" i="2" s="1"/>
  <c r="GD179" i="2"/>
  <c r="GC179" i="2"/>
  <c r="GB179" i="2"/>
  <c r="FY179" i="2"/>
  <c r="GA179" i="2" s="1"/>
  <c r="FS179" i="2"/>
  <c r="FT179" i="2" s="1"/>
  <c r="EW179" i="2"/>
  <c r="ET179" i="2"/>
  <c r="EU179" i="2" s="1"/>
  <c r="EQ179" i="2"/>
  <c r="ER179" i="2" s="1"/>
  <c r="EJ179" i="2"/>
  <c r="EE179" i="2"/>
  <c r="EF179" i="2" s="1"/>
  <c r="DX179" i="2"/>
  <c r="DP179" i="2"/>
  <c r="DF179" i="2"/>
  <c r="DH179" i="2" s="1"/>
  <c r="DE179" i="2"/>
  <c r="CY179" i="2"/>
  <c r="CZ179" i="2" s="1"/>
  <c r="CF179" i="2"/>
  <c r="CH179" i="2"/>
  <c r="CA179" i="2"/>
  <c r="CR179" i="2"/>
  <c r="BO179" i="2"/>
  <c r="BJ179" i="2"/>
  <c r="BK179" i="2" s="1"/>
  <c r="CL179" i="2" s="1"/>
  <c r="BC179" i="2"/>
  <c r="AZ179" i="2"/>
  <c r="AY179" i="2"/>
  <c r="AO179" i="2"/>
  <c r="AN179" i="2"/>
  <c r="AM179" i="2"/>
  <c r="AL179" i="2"/>
  <c r="AK179" i="2"/>
  <c r="AG179" i="2"/>
  <c r="AE179" i="2"/>
  <c r="AF179" i="2" s="1"/>
  <c r="U179" i="2"/>
  <c r="S179" i="2"/>
  <c r="T179" i="2" s="1"/>
  <c r="R179" i="2"/>
  <c r="Y179" i="2" s="1"/>
  <c r="AB179" i="2" s="1"/>
  <c r="E179" i="2"/>
  <c r="GR178" i="2"/>
  <c r="GS178" i="2" s="1"/>
  <c r="GP178" i="2"/>
  <c r="GQ178" i="2" s="1"/>
  <c r="DU178" i="2" s="1"/>
  <c r="EG178" i="2" s="1"/>
  <c r="GN178" i="2"/>
  <c r="GO178" i="2" s="1"/>
  <c r="GL178" i="2"/>
  <c r="GM178" i="2" s="1"/>
  <c r="GH178" i="2"/>
  <c r="GG178" i="2"/>
  <c r="GI178" i="2" s="1"/>
  <c r="GD178" i="2"/>
  <c r="GC178" i="2"/>
  <c r="GB178" i="2"/>
  <c r="FY178" i="2"/>
  <c r="FS178" i="2"/>
  <c r="FT178" i="2" s="1"/>
  <c r="EW178" i="2"/>
  <c r="ET178" i="2"/>
  <c r="EU178" i="2" s="1"/>
  <c r="EQ178" i="2"/>
  <c r="ER178" i="2" s="1"/>
  <c r="EJ178" i="2"/>
  <c r="EE178" i="2"/>
  <c r="EF178" i="2" s="1"/>
  <c r="DX178" i="2"/>
  <c r="DP178" i="2"/>
  <c r="DF178" i="2"/>
  <c r="DE178" i="2"/>
  <c r="CY178" i="2"/>
  <c r="CZ178" i="2" s="1"/>
  <c r="CF178" i="2"/>
  <c r="CA178" i="2"/>
  <c r="CR178" i="2"/>
  <c r="BO178" i="2"/>
  <c r="BJ178" i="2"/>
  <c r="BK178" i="2" s="1"/>
  <c r="CL178" i="2" s="1"/>
  <c r="BC178" i="2"/>
  <c r="AZ178" i="2"/>
  <c r="AY178" i="2"/>
  <c r="AO178" i="2"/>
  <c r="AN178" i="2"/>
  <c r="AM178" i="2"/>
  <c r="AL178" i="2"/>
  <c r="AK178" i="2"/>
  <c r="AG178" i="2"/>
  <c r="AE178" i="2"/>
  <c r="AF178" i="2" s="1"/>
  <c r="U178" i="2"/>
  <c r="S178" i="2"/>
  <c r="T178" i="2" s="1"/>
  <c r="R178" i="2"/>
  <c r="E178" i="2"/>
  <c r="GR177" i="2"/>
  <c r="GS177" i="2" s="1"/>
  <c r="GP177" i="2"/>
  <c r="GQ177" i="2" s="1"/>
  <c r="GN177" i="2"/>
  <c r="GO177" i="2" s="1"/>
  <c r="GL177" i="2"/>
  <c r="GM177" i="2" s="1"/>
  <c r="GH177" i="2"/>
  <c r="GG177" i="2"/>
  <c r="GI177" i="2" s="1"/>
  <c r="GD177" i="2"/>
  <c r="GC177" i="2"/>
  <c r="GB177" i="2"/>
  <c r="FY177" i="2"/>
  <c r="GA177" i="2" s="1"/>
  <c r="FS177" i="2"/>
  <c r="FT177" i="2" s="1"/>
  <c r="EW177" i="2"/>
  <c r="ET177" i="2"/>
  <c r="EU177" i="2" s="1"/>
  <c r="EQ177" i="2"/>
  <c r="ER177" i="2" s="1"/>
  <c r="EJ177" i="2"/>
  <c r="EE177" i="2"/>
  <c r="EF177" i="2" s="1"/>
  <c r="DX177" i="2"/>
  <c r="DP177" i="2"/>
  <c r="DF177" i="2"/>
  <c r="DE177" i="2"/>
  <c r="CY177" i="2"/>
  <c r="CZ177" i="2" s="1"/>
  <c r="CF177" i="2"/>
  <c r="CA177" i="2"/>
  <c r="CR177" i="2"/>
  <c r="BO177" i="2"/>
  <c r="BJ177" i="2"/>
  <c r="BK177" i="2" s="1"/>
  <c r="CL177" i="2" s="1"/>
  <c r="BC177" i="2"/>
  <c r="AZ177" i="2"/>
  <c r="AY177" i="2"/>
  <c r="AO177" i="2"/>
  <c r="AN177" i="2"/>
  <c r="AM177" i="2"/>
  <c r="AL177" i="2"/>
  <c r="AK177" i="2"/>
  <c r="AG177" i="2"/>
  <c r="AE177" i="2"/>
  <c r="AF177" i="2" s="1"/>
  <c r="U177" i="2"/>
  <c r="S177" i="2"/>
  <c r="T177" i="2" s="1"/>
  <c r="R177" i="2"/>
  <c r="Y177" i="2" s="1"/>
  <c r="AB177" i="2" s="1"/>
  <c r="E177" i="2"/>
  <c r="GR176" i="2"/>
  <c r="GS176" i="2" s="1"/>
  <c r="GP176" i="2"/>
  <c r="GQ176" i="2" s="1"/>
  <c r="DU176" i="2" s="1"/>
  <c r="GN176" i="2"/>
  <c r="GO176" i="2" s="1"/>
  <c r="GL176" i="2"/>
  <c r="GM176" i="2" s="1"/>
  <c r="GH176" i="2"/>
  <c r="GG176" i="2"/>
  <c r="GI176" i="2" s="1"/>
  <c r="GD176" i="2"/>
  <c r="GC176" i="2"/>
  <c r="GB176" i="2"/>
  <c r="FY176" i="2"/>
  <c r="FS176" i="2"/>
  <c r="FT176" i="2" s="1"/>
  <c r="EW176" i="2"/>
  <c r="ET176" i="2"/>
  <c r="EU176" i="2" s="1"/>
  <c r="EQ176" i="2"/>
  <c r="ER176" i="2" s="1"/>
  <c r="EJ176" i="2"/>
  <c r="EE176" i="2"/>
  <c r="EF176" i="2" s="1"/>
  <c r="DX176" i="2"/>
  <c r="DP176" i="2"/>
  <c r="DF176" i="2"/>
  <c r="DE176" i="2"/>
  <c r="CY176" i="2"/>
  <c r="CZ176" i="2" s="1"/>
  <c r="CF176" i="2"/>
  <c r="CA176" i="2"/>
  <c r="CR176" i="2"/>
  <c r="BO176" i="2"/>
  <c r="BJ176" i="2"/>
  <c r="BK176" i="2" s="1"/>
  <c r="CL176" i="2" s="1"/>
  <c r="BC176" i="2"/>
  <c r="AZ176" i="2"/>
  <c r="AY176" i="2"/>
  <c r="AO176" i="2"/>
  <c r="AN176" i="2"/>
  <c r="AM176" i="2"/>
  <c r="AL176" i="2"/>
  <c r="AK176" i="2"/>
  <c r="AG176" i="2"/>
  <c r="AE176" i="2"/>
  <c r="AF176" i="2" s="1"/>
  <c r="U176" i="2"/>
  <c r="S176" i="2"/>
  <c r="T176" i="2" s="1"/>
  <c r="R176" i="2"/>
  <c r="Y176" i="2" s="1"/>
  <c r="AB176" i="2" s="1"/>
  <c r="E176" i="2"/>
  <c r="GR201" i="2"/>
  <c r="GS201" i="2" s="1"/>
  <c r="GP201" i="2"/>
  <c r="GQ201" i="2" s="1"/>
  <c r="DU201" i="2" s="1"/>
  <c r="GL201" i="2"/>
  <c r="GM201" i="2" s="1"/>
  <c r="GH201" i="2"/>
  <c r="GG201" i="2"/>
  <c r="GI201" i="2" s="1"/>
  <c r="GD201" i="2"/>
  <c r="GC201" i="2"/>
  <c r="GB201" i="2"/>
  <c r="FY201" i="2"/>
  <c r="FZ201" i="2" s="1"/>
  <c r="FS201" i="2"/>
  <c r="FT201" i="2" s="1"/>
  <c r="EW201" i="2"/>
  <c r="ET201" i="2"/>
  <c r="EU201" i="2" s="1"/>
  <c r="EQ201" i="2"/>
  <c r="ER201" i="2" s="1"/>
  <c r="EJ201" i="2"/>
  <c r="EE201" i="2"/>
  <c r="EF201" i="2" s="1"/>
  <c r="DX201" i="2"/>
  <c r="DP201" i="2"/>
  <c r="DF201" i="2"/>
  <c r="DE201" i="2"/>
  <c r="CY201" i="2"/>
  <c r="CF201" i="2"/>
  <c r="CA201" i="2"/>
  <c r="BO201" i="2"/>
  <c r="BJ201" i="2"/>
  <c r="BC201" i="2"/>
  <c r="AZ201" i="2"/>
  <c r="AY201" i="2"/>
  <c r="AO201" i="2"/>
  <c r="AN201" i="2"/>
  <c r="AM201" i="2"/>
  <c r="AL201" i="2"/>
  <c r="AK201" i="2"/>
  <c r="AG201" i="2"/>
  <c r="AE201" i="2"/>
  <c r="AF201" i="2" s="1"/>
  <c r="U201" i="2"/>
  <c r="S201" i="2"/>
  <c r="T201" i="2" s="1"/>
  <c r="R201" i="2"/>
  <c r="Y201" i="2" s="1"/>
  <c r="AB201" i="2" s="1"/>
  <c r="E201" i="2"/>
  <c r="GR174" i="2"/>
  <c r="GS174" i="2" s="1"/>
  <c r="GP174" i="2"/>
  <c r="GQ174" i="2" s="1"/>
  <c r="GN174" i="2"/>
  <c r="GO174" i="2" s="1"/>
  <c r="GL174" i="2"/>
  <c r="GM174" i="2" s="1"/>
  <c r="GH174" i="2"/>
  <c r="GG174" i="2"/>
  <c r="GI174" i="2" s="1"/>
  <c r="GD174" i="2"/>
  <c r="GC174" i="2"/>
  <c r="GB174" i="2"/>
  <c r="FY174" i="2"/>
  <c r="FZ174" i="2" s="1"/>
  <c r="FS174" i="2"/>
  <c r="FT174" i="2" s="1"/>
  <c r="EW174" i="2"/>
  <c r="ET174" i="2"/>
  <c r="EU174" i="2" s="1"/>
  <c r="EQ174" i="2"/>
  <c r="ER174" i="2" s="1"/>
  <c r="EJ174" i="2"/>
  <c r="EE174" i="2"/>
  <c r="EF174" i="2" s="1"/>
  <c r="DX174" i="2"/>
  <c r="DP174" i="2"/>
  <c r="DF174" i="2"/>
  <c r="DE174" i="2"/>
  <c r="CY174" i="2"/>
  <c r="CZ174" i="2" s="1"/>
  <c r="CF174" i="2"/>
  <c r="CH174" i="2"/>
  <c r="CA174" i="2"/>
  <c r="CR174" i="2"/>
  <c r="BO174" i="2"/>
  <c r="BJ174" i="2"/>
  <c r="BK174" i="2" s="1"/>
  <c r="CL174" i="2" s="1"/>
  <c r="BC174" i="2"/>
  <c r="AZ174" i="2"/>
  <c r="AY174" i="2"/>
  <c r="AO174" i="2"/>
  <c r="AN174" i="2"/>
  <c r="AM174" i="2"/>
  <c r="AL174" i="2"/>
  <c r="AK174" i="2"/>
  <c r="AG174" i="2"/>
  <c r="AE174" i="2"/>
  <c r="AF174" i="2" s="1"/>
  <c r="U174" i="2"/>
  <c r="S174" i="2"/>
  <c r="T174" i="2" s="1"/>
  <c r="R174" i="2"/>
  <c r="Y174" i="2" s="1"/>
  <c r="AB174" i="2" s="1"/>
  <c r="E174" i="2"/>
  <c r="GR173" i="2"/>
  <c r="GS173" i="2" s="1"/>
  <c r="GP173" i="2"/>
  <c r="GQ173" i="2" s="1"/>
  <c r="DU173" i="2" s="1"/>
  <c r="GN173" i="2"/>
  <c r="GO173" i="2" s="1"/>
  <c r="GL173" i="2"/>
  <c r="GM173" i="2" s="1"/>
  <c r="GH173" i="2"/>
  <c r="GG173" i="2"/>
  <c r="GI173" i="2" s="1"/>
  <c r="GD173" i="2"/>
  <c r="GC173" i="2"/>
  <c r="GB173" i="2"/>
  <c r="FY173" i="2"/>
  <c r="GA173" i="2" s="1"/>
  <c r="FS173" i="2"/>
  <c r="FT173" i="2" s="1"/>
  <c r="EW173" i="2"/>
  <c r="ET173" i="2"/>
  <c r="EU173" i="2" s="1"/>
  <c r="EQ173" i="2"/>
  <c r="ER173" i="2" s="1"/>
  <c r="EJ173" i="2"/>
  <c r="EE173" i="2"/>
  <c r="EF173" i="2" s="1"/>
  <c r="DX173" i="2"/>
  <c r="DP173" i="2"/>
  <c r="DF173" i="2"/>
  <c r="DE173" i="2"/>
  <c r="CY173" i="2"/>
  <c r="CZ173" i="2" s="1"/>
  <c r="CF173" i="2"/>
  <c r="CH173" i="2"/>
  <c r="CA173" i="2"/>
  <c r="DA173" i="2"/>
  <c r="DB173" i="2" s="1"/>
  <c r="BO173" i="2"/>
  <c r="BJ173" i="2"/>
  <c r="BM173" i="2" s="1"/>
  <c r="BN173" i="2" s="1"/>
  <c r="BC173" i="2"/>
  <c r="AZ173" i="2"/>
  <c r="AY173" i="2"/>
  <c r="AO173" i="2"/>
  <c r="AN173" i="2"/>
  <c r="AM173" i="2"/>
  <c r="AL173" i="2"/>
  <c r="AK173" i="2"/>
  <c r="AG173" i="2"/>
  <c r="AE173" i="2"/>
  <c r="AF173" i="2" s="1"/>
  <c r="U173" i="2"/>
  <c r="S173" i="2"/>
  <c r="T173" i="2" s="1"/>
  <c r="R173" i="2"/>
  <c r="Y173" i="2" s="1"/>
  <c r="AB173" i="2" s="1"/>
  <c r="E173" i="2"/>
  <c r="GR172" i="2"/>
  <c r="GS172" i="2" s="1"/>
  <c r="GP172" i="2"/>
  <c r="GQ172" i="2" s="1"/>
  <c r="DU172" i="2" s="1"/>
  <c r="GN172" i="2"/>
  <c r="GO172" i="2" s="1"/>
  <c r="GL172" i="2"/>
  <c r="GM172" i="2" s="1"/>
  <c r="GH172" i="2"/>
  <c r="GG172" i="2"/>
  <c r="GI172" i="2" s="1"/>
  <c r="GD172" i="2"/>
  <c r="GC172" i="2"/>
  <c r="GB172" i="2"/>
  <c r="FY172" i="2"/>
  <c r="GA172" i="2" s="1"/>
  <c r="FS172" i="2"/>
  <c r="FT172" i="2" s="1"/>
  <c r="EW172" i="2"/>
  <c r="ET172" i="2"/>
  <c r="EU172" i="2" s="1"/>
  <c r="EQ172" i="2"/>
  <c r="ER172" i="2" s="1"/>
  <c r="EJ172" i="2"/>
  <c r="EE172" i="2"/>
  <c r="EF172" i="2" s="1"/>
  <c r="DX172" i="2"/>
  <c r="DP172" i="2"/>
  <c r="DF172" i="2"/>
  <c r="DE172" i="2"/>
  <c r="CY172" i="2"/>
  <c r="CZ172" i="2" s="1"/>
  <c r="CF172" i="2"/>
  <c r="CH172" i="2"/>
  <c r="CA172" i="2"/>
  <c r="BO172" i="2"/>
  <c r="BJ172" i="2"/>
  <c r="BC172" i="2"/>
  <c r="AZ172" i="2"/>
  <c r="AY172" i="2"/>
  <c r="AO172" i="2"/>
  <c r="AN172" i="2"/>
  <c r="AM172" i="2"/>
  <c r="AL172" i="2"/>
  <c r="AK172" i="2"/>
  <c r="AG172" i="2"/>
  <c r="AE172" i="2"/>
  <c r="AF172" i="2" s="1"/>
  <c r="U172" i="2"/>
  <c r="S172" i="2"/>
  <c r="T172" i="2" s="1"/>
  <c r="R172" i="2"/>
  <c r="E172" i="2"/>
  <c r="GR171" i="2"/>
  <c r="GS171" i="2" s="1"/>
  <c r="GP171" i="2"/>
  <c r="GQ171" i="2" s="1"/>
  <c r="DU171" i="2" s="1"/>
  <c r="GN171" i="2"/>
  <c r="GO171" i="2" s="1"/>
  <c r="GL171" i="2"/>
  <c r="GM171" i="2" s="1"/>
  <c r="GH171" i="2"/>
  <c r="GG171" i="2"/>
  <c r="GI171" i="2" s="1"/>
  <c r="GD171" i="2"/>
  <c r="GC171" i="2"/>
  <c r="GB171" i="2"/>
  <c r="FY171" i="2"/>
  <c r="FS171" i="2"/>
  <c r="FT171" i="2" s="1"/>
  <c r="EW171" i="2"/>
  <c r="ET171" i="2"/>
  <c r="EU171" i="2" s="1"/>
  <c r="EQ171" i="2"/>
  <c r="ER171" i="2" s="1"/>
  <c r="EJ171" i="2"/>
  <c r="EE171" i="2"/>
  <c r="EF171" i="2" s="1"/>
  <c r="DX171" i="2"/>
  <c r="DP171" i="2"/>
  <c r="DF171" i="2"/>
  <c r="DE171" i="2"/>
  <c r="CY171" i="2"/>
  <c r="CZ171" i="2" s="1"/>
  <c r="CF171" i="2"/>
  <c r="CH171" i="2"/>
  <c r="CA171" i="2"/>
  <c r="BO171" i="2"/>
  <c r="BJ171" i="2"/>
  <c r="BM171" i="2" s="1"/>
  <c r="BN171" i="2" s="1"/>
  <c r="BC171" i="2"/>
  <c r="AZ171" i="2"/>
  <c r="AY171" i="2"/>
  <c r="AO171" i="2"/>
  <c r="AN171" i="2"/>
  <c r="AM171" i="2"/>
  <c r="AL171" i="2"/>
  <c r="AK171" i="2"/>
  <c r="AG171" i="2"/>
  <c r="AE171" i="2"/>
  <c r="AF171" i="2" s="1"/>
  <c r="U171" i="2"/>
  <c r="S171" i="2"/>
  <c r="T171" i="2" s="1"/>
  <c r="R171" i="2"/>
  <c r="E171" i="2"/>
  <c r="GR170" i="2"/>
  <c r="GS170" i="2" s="1"/>
  <c r="GP170" i="2"/>
  <c r="GQ170" i="2" s="1"/>
  <c r="DU170" i="2" s="1"/>
  <c r="GN170" i="2"/>
  <c r="GO170" i="2" s="1"/>
  <c r="GL170" i="2"/>
  <c r="GM170" i="2" s="1"/>
  <c r="GH170" i="2"/>
  <c r="GG170" i="2"/>
  <c r="GI170" i="2" s="1"/>
  <c r="GD170" i="2"/>
  <c r="GC170" i="2"/>
  <c r="GB170" i="2"/>
  <c r="FY170" i="2"/>
  <c r="GA170" i="2" s="1"/>
  <c r="FS170" i="2"/>
  <c r="FT170" i="2" s="1"/>
  <c r="EW170" i="2"/>
  <c r="ET170" i="2"/>
  <c r="EU170" i="2" s="1"/>
  <c r="EQ170" i="2"/>
  <c r="ER170" i="2" s="1"/>
  <c r="EJ170" i="2"/>
  <c r="EE170" i="2"/>
  <c r="EF170" i="2" s="1"/>
  <c r="DX170" i="2"/>
  <c r="DP170" i="2"/>
  <c r="DF170" i="2"/>
  <c r="DE170" i="2"/>
  <c r="CY170" i="2"/>
  <c r="CZ170" i="2" s="1"/>
  <c r="CF170" i="2"/>
  <c r="CH170" i="2"/>
  <c r="CA170" i="2"/>
  <c r="CW170" i="2"/>
  <c r="BO170" i="2"/>
  <c r="BJ170" i="2"/>
  <c r="BM170" i="2" s="1"/>
  <c r="BN170" i="2" s="1"/>
  <c r="BC170" i="2"/>
  <c r="AZ170" i="2"/>
  <c r="AY170" i="2"/>
  <c r="AO170" i="2"/>
  <c r="AN170" i="2"/>
  <c r="AM170" i="2"/>
  <c r="AL170" i="2"/>
  <c r="AK170" i="2"/>
  <c r="AG170" i="2"/>
  <c r="AE170" i="2"/>
  <c r="AF170" i="2" s="1"/>
  <c r="U170" i="2"/>
  <c r="S170" i="2"/>
  <c r="R170" i="2"/>
  <c r="Y170" i="2" s="1"/>
  <c r="AB170" i="2" s="1"/>
  <c r="E170" i="2"/>
  <c r="GR169" i="2"/>
  <c r="GS169" i="2" s="1"/>
  <c r="GP169" i="2"/>
  <c r="GQ169" i="2" s="1"/>
  <c r="DU169" i="2" s="1"/>
  <c r="GN169" i="2"/>
  <c r="GO169" i="2" s="1"/>
  <c r="GL169" i="2"/>
  <c r="GM169" i="2" s="1"/>
  <c r="GH169" i="2"/>
  <c r="GG169" i="2"/>
  <c r="GI169" i="2" s="1"/>
  <c r="GD169" i="2"/>
  <c r="GC169" i="2"/>
  <c r="GB169" i="2"/>
  <c r="FY169" i="2"/>
  <c r="FS169" i="2"/>
  <c r="FT169" i="2" s="1"/>
  <c r="EW169" i="2"/>
  <c r="ET169" i="2"/>
  <c r="EU169" i="2" s="1"/>
  <c r="EQ169" i="2"/>
  <c r="ER169" i="2" s="1"/>
  <c r="EJ169" i="2"/>
  <c r="EE169" i="2"/>
  <c r="EF169" i="2" s="1"/>
  <c r="DX169" i="2"/>
  <c r="DP169" i="2"/>
  <c r="DF169" i="2"/>
  <c r="DE169" i="2"/>
  <c r="CY169" i="2"/>
  <c r="CZ169" i="2" s="1"/>
  <c r="CF169" i="2"/>
  <c r="CH169" i="2"/>
  <c r="CA169" i="2"/>
  <c r="CW169" i="2"/>
  <c r="BO169" i="2"/>
  <c r="BJ169" i="2"/>
  <c r="BM169" i="2" s="1"/>
  <c r="BN169" i="2" s="1"/>
  <c r="BC169" i="2"/>
  <c r="AZ169" i="2"/>
  <c r="AY169" i="2"/>
  <c r="AO169" i="2"/>
  <c r="AN169" i="2"/>
  <c r="AM169" i="2"/>
  <c r="AL169" i="2"/>
  <c r="AK169" i="2"/>
  <c r="AG169" i="2"/>
  <c r="AE169" i="2"/>
  <c r="AF169" i="2" s="1"/>
  <c r="U169" i="2"/>
  <c r="S169" i="2"/>
  <c r="R169" i="2"/>
  <c r="Y169" i="2" s="1"/>
  <c r="AB169" i="2" s="1"/>
  <c r="E169" i="2"/>
  <c r="GR168" i="2"/>
  <c r="GS168" i="2" s="1"/>
  <c r="GP168" i="2"/>
  <c r="GQ168" i="2" s="1"/>
  <c r="DU168" i="2" s="1"/>
  <c r="GN168" i="2"/>
  <c r="GO168" i="2" s="1"/>
  <c r="GL168" i="2"/>
  <c r="GM168" i="2" s="1"/>
  <c r="GH168" i="2"/>
  <c r="GG168" i="2"/>
  <c r="GI168" i="2" s="1"/>
  <c r="GD168" i="2"/>
  <c r="GC168" i="2"/>
  <c r="GB168" i="2"/>
  <c r="FY168" i="2"/>
  <c r="GA168" i="2" s="1"/>
  <c r="FS168" i="2"/>
  <c r="FT168" i="2" s="1"/>
  <c r="EW168" i="2"/>
  <c r="ET168" i="2"/>
  <c r="EU168" i="2" s="1"/>
  <c r="EQ168" i="2"/>
  <c r="ER168" i="2" s="1"/>
  <c r="EJ168" i="2"/>
  <c r="EE168" i="2"/>
  <c r="EF168" i="2" s="1"/>
  <c r="DX168" i="2"/>
  <c r="DP168" i="2"/>
  <c r="DF168" i="2"/>
  <c r="DE168" i="2"/>
  <c r="CY168" i="2"/>
  <c r="CZ168" i="2" s="1"/>
  <c r="CF168" i="2"/>
  <c r="CH168" i="2"/>
  <c r="CA168" i="2"/>
  <c r="DA168" i="2"/>
  <c r="DB168" i="2" s="1"/>
  <c r="BO168" i="2"/>
  <c r="BJ168" i="2"/>
  <c r="BM168" i="2" s="1"/>
  <c r="BN168" i="2" s="1"/>
  <c r="BC168" i="2"/>
  <c r="AZ168" i="2"/>
  <c r="AY168" i="2"/>
  <c r="AO168" i="2"/>
  <c r="AN168" i="2"/>
  <c r="AM168" i="2"/>
  <c r="AL168" i="2"/>
  <c r="AK168" i="2"/>
  <c r="AG168" i="2"/>
  <c r="AE168" i="2"/>
  <c r="AF168" i="2" s="1"/>
  <c r="U168" i="2"/>
  <c r="S168" i="2"/>
  <c r="T168" i="2" s="1"/>
  <c r="R168" i="2"/>
  <c r="X168" i="2" s="1"/>
  <c r="E168" i="2"/>
  <c r="GR228" i="2"/>
  <c r="GS228" i="2" s="1"/>
  <c r="GP228" i="2"/>
  <c r="GQ228" i="2" s="1"/>
  <c r="GL228" i="2"/>
  <c r="GM228" i="2" s="1"/>
  <c r="GH228" i="2"/>
  <c r="GG228" i="2"/>
  <c r="GI228" i="2" s="1"/>
  <c r="GD228" i="2"/>
  <c r="GC228" i="2"/>
  <c r="GB228" i="2"/>
  <c r="FY228" i="2"/>
  <c r="GA228" i="2" s="1"/>
  <c r="FS228" i="2"/>
  <c r="FT228" i="2" s="1"/>
  <c r="EW228" i="2"/>
  <c r="ET228" i="2"/>
  <c r="EU228" i="2" s="1"/>
  <c r="EQ228" i="2"/>
  <c r="ER228" i="2" s="1"/>
  <c r="EJ228" i="2"/>
  <c r="EE228" i="2"/>
  <c r="EF228" i="2" s="1"/>
  <c r="DX228" i="2"/>
  <c r="DP228" i="2"/>
  <c r="DF228" i="2"/>
  <c r="DE228" i="2"/>
  <c r="CY228" i="2"/>
  <c r="CF228" i="2"/>
  <c r="CA228" i="2"/>
  <c r="BO228" i="2"/>
  <c r="BJ228" i="2"/>
  <c r="BM228" i="2" s="1"/>
  <c r="BN228" i="2" s="1"/>
  <c r="BC228" i="2"/>
  <c r="AZ228" i="2"/>
  <c r="AY228" i="2"/>
  <c r="AO228" i="2"/>
  <c r="AN228" i="2"/>
  <c r="AM228" i="2"/>
  <c r="AL228" i="2"/>
  <c r="AK228" i="2"/>
  <c r="AG228" i="2"/>
  <c r="AE228" i="2"/>
  <c r="AF228" i="2" s="1"/>
  <c r="U228" i="2"/>
  <c r="S228" i="2"/>
  <c r="T228" i="2" s="1"/>
  <c r="R228" i="2"/>
  <c r="X228" i="2" s="1"/>
  <c r="E228" i="2"/>
  <c r="GR11" i="2"/>
  <c r="GS11" i="2" s="1"/>
  <c r="GP11" i="2"/>
  <c r="GQ11" i="2" s="1"/>
  <c r="GN11" i="2"/>
  <c r="GO11" i="2" s="1"/>
  <c r="GL11" i="2"/>
  <c r="GM11" i="2" s="1"/>
  <c r="GH11" i="2"/>
  <c r="GG11" i="2"/>
  <c r="GI11" i="2" s="1"/>
  <c r="GD11" i="2"/>
  <c r="GC11" i="2"/>
  <c r="GB11" i="2"/>
  <c r="FY11" i="2"/>
  <c r="GA11" i="2" s="1"/>
  <c r="FS11" i="2"/>
  <c r="FT11" i="2" s="1"/>
  <c r="EW11" i="2"/>
  <c r="ET11" i="2"/>
  <c r="EU11" i="2" s="1"/>
  <c r="EQ11" i="2"/>
  <c r="ER11" i="2" s="1"/>
  <c r="EJ11" i="2"/>
  <c r="EE11" i="2"/>
  <c r="EF11" i="2" s="1"/>
  <c r="DX11" i="2"/>
  <c r="DP11" i="2"/>
  <c r="DF11" i="2"/>
  <c r="DE11" i="2"/>
  <c r="CY11" i="2"/>
  <c r="CZ11" i="2" s="1"/>
  <c r="CF11" i="2"/>
  <c r="CA11" i="2"/>
  <c r="BO11" i="2"/>
  <c r="BJ11" i="2"/>
  <c r="BC11" i="2"/>
  <c r="AZ11" i="2"/>
  <c r="AY11" i="2"/>
  <c r="AO11" i="2"/>
  <c r="AN11" i="2"/>
  <c r="AM11" i="2"/>
  <c r="AL11" i="2"/>
  <c r="AK11" i="2"/>
  <c r="AG11" i="2"/>
  <c r="AE11" i="2"/>
  <c r="AF11" i="2" s="1"/>
  <c r="U11" i="2"/>
  <c r="S11" i="2"/>
  <c r="T11" i="2" s="1"/>
  <c r="R11" i="2"/>
  <c r="E11" i="2"/>
  <c r="GR165" i="2"/>
  <c r="GS165" i="2" s="1"/>
  <c r="GP165" i="2"/>
  <c r="GQ165" i="2" s="1"/>
  <c r="GN165" i="2"/>
  <c r="GO165" i="2" s="1"/>
  <c r="GL165" i="2"/>
  <c r="GM165" i="2" s="1"/>
  <c r="GH165" i="2"/>
  <c r="GG165" i="2"/>
  <c r="GI165" i="2" s="1"/>
  <c r="GD165" i="2"/>
  <c r="GC165" i="2"/>
  <c r="GB165" i="2"/>
  <c r="FY165" i="2"/>
  <c r="GA165" i="2" s="1"/>
  <c r="FS165" i="2"/>
  <c r="FT165" i="2" s="1"/>
  <c r="EW165" i="2"/>
  <c r="ET165" i="2"/>
  <c r="EU165" i="2" s="1"/>
  <c r="EQ165" i="2"/>
  <c r="ER165" i="2" s="1"/>
  <c r="EJ165" i="2"/>
  <c r="EE165" i="2"/>
  <c r="EF165" i="2" s="1"/>
  <c r="DX165" i="2"/>
  <c r="DP165" i="2"/>
  <c r="DF165" i="2"/>
  <c r="DE165" i="2"/>
  <c r="CY165" i="2"/>
  <c r="CZ165" i="2" s="1"/>
  <c r="CF165" i="2"/>
  <c r="CA165" i="2"/>
  <c r="BO165" i="2"/>
  <c r="BJ165" i="2"/>
  <c r="BC165" i="2"/>
  <c r="AZ165" i="2"/>
  <c r="AY165" i="2"/>
  <c r="AO165" i="2"/>
  <c r="AN165" i="2"/>
  <c r="AM165" i="2"/>
  <c r="AL165" i="2"/>
  <c r="AK165" i="2"/>
  <c r="AG165" i="2"/>
  <c r="AE165" i="2"/>
  <c r="AF165" i="2" s="1"/>
  <c r="U165" i="2"/>
  <c r="S165" i="2"/>
  <c r="T165" i="2" s="1"/>
  <c r="R165" i="2"/>
  <c r="X165" i="2" s="1"/>
  <c r="E165" i="2"/>
  <c r="GR164" i="2"/>
  <c r="GS164" i="2" s="1"/>
  <c r="GP164" i="2"/>
  <c r="GQ164" i="2" s="1"/>
  <c r="DO164" i="2" s="1"/>
  <c r="DS164" i="2" s="1"/>
  <c r="GN164" i="2"/>
  <c r="GO164" i="2" s="1"/>
  <c r="GH164" i="2"/>
  <c r="GG164" i="2"/>
  <c r="GI164" i="2" s="1"/>
  <c r="GD164" i="2"/>
  <c r="GC164" i="2"/>
  <c r="GB164" i="2"/>
  <c r="FY164" i="2"/>
  <c r="FS164" i="2"/>
  <c r="FT164" i="2" s="1"/>
  <c r="EW164" i="2"/>
  <c r="ET164" i="2"/>
  <c r="EU164" i="2" s="1"/>
  <c r="EQ164" i="2"/>
  <c r="ER164" i="2" s="1"/>
  <c r="EJ164" i="2"/>
  <c r="EE164" i="2"/>
  <c r="EF164" i="2" s="1"/>
  <c r="DX164" i="2"/>
  <c r="DP164" i="2"/>
  <c r="DF164" i="2"/>
  <c r="DE164" i="2"/>
  <c r="CY164" i="2"/>
  <c r="CZ164" i="2" s="1"/>
  <c r="CF164" i="2"/>
  <c r="CA164" i="2"/>
  <c r="BO164" i="2"/>
  <c r="BJ164" i="2"/>
  <c r="BC164" i="2"/>
  <c r="AZ164" i="2"/>
  <c r="AY164" i="2"/>
  <c r="AO164" i="2"/>
  <c r="AN164" i="2"/>
  <c r="AM164" i="2"/>
  <c r="AL164" i="2"/>
  <c r="AK164" i="2"/>
  <c r="AG164" i="2"/>
  <c r="AE164" i="2"/>
  <c r="AF164" i="2" s="1"/>
  <c r="U164" i="2"/>
  <c r="S164" i="2"/>
  <c r="T164" i="2" s="1"/>
  <c r="R164" i="2"/>
  <c r="E164" i="2"/>
  <c r="GR163" i="2"/>
  <c r="GS163" i="2" s="1"/>
  <c r="GP163" i="2"/>
  <c r="GQ163" i="2" s="1"/>
  <c r="DO163" i="2" s="1"/>
  <c r="GN163" i="2"/>
  <c r="GO163" i="2" s="1"/>
  <c r="GL163" i="2"/>
  <c r="GM163" i="2" s="1"/>
  <c r="GH163" i="2"/>
  <c r="GG163" i="2"/>
  <c r="GI163" i="2" s="1"/>
  <c r="GD163" i="2"/>
  <c r="GC163" i="2"/>
  <c r="GB163" i="2"/>
  <c r="FY163" i="2"/>
  <c r="FS163" i="2"/>
  <c r="FT163" i="2" s="1"/>
  <c r="EW163" i="2"/>
  <c r="ET163" i="2"/>
  <c r="EU163" i="2" s="1"/>
  <c r="EQ163" i="2"/>
  <c r="ER163" i="2" s="1"/>
  <c r="EJ163" i="2"/>
  <c r="EE163" i="2"/>
  <c r="EF163" i="2" s="1"/>
  <c r="DX163" i="2"/>
  <c r="DP163" i="2"/>
  <c r="DF163" i="2"/>
  <c r="DE163" i="2"/>
  <c r="CY163" i="2"/>
  <c r="CZ163" i="2" s="1"/>
  <c r="CF163" i="2"/>
  <c r="CA163" i="2"/>
  <c r="CR163" i="2"/>
  <c r="BO163" i="2"/>
  <c r="BJ163" i="2"/>
  <c r="BM163" i="2" s="1"/>
  <c r="BN163" i="2" s="1"/>
  <c r="BC163" i="2"/>
  <c r="AZ163" i="2"/>
  <c r="AY163" i="2"/>
  <c r="AO163" i="2"/>
  <c r="AN163" i="2"/>
  <c r="AM163" i="2"/>
  <c r="AL163" i="2"/>
  <c r="AK163" i="2"/>
  <c r="AG163" i="2"/>
  <c r="AE163" i="2"/>
  <c r="AF163" i="2" s="1"/>
  <c r="U163" i="2"/>
  <c r="S163" i="2"/>
  <c r="T163" i="2" s="1"/>
  <c r="R163" i="2"/>
  <c r="X163" i="2" s="1"/>
  <c r="E163" i="2"/>
  <c r="GR162" i="2"/>
  <c r="GS162" i="2" s="1"/>
  <c r="GP162" i="2"/>
  <c r="GQ162" i="2" s="1"/>
  <c r="GN162" i="2"/>
  <c r="GO162" i="2" s="1"/>
  <c r="GL162" i="2"/>
  <c r="GM162" i="2" s="1"/>
  <c r="GH162" i="2"/>
  <c r="GG162" i="2"/>
  <c r="GI162" i="2" s="1"/>
  <c r="GD162" i="2"/>
  <c r="GC162" i="2"/>
  <c r="GB162" i="2"/>
  <c r="FY162" i="2"/>
  <c r="GA162" i="2" s="1"/>
  <c r="FS162" i="2"/>
  <c r="FT162" i="2" s="1"/>
  <c r="EW162" i="2"/>
  <c r="ET162" i="2"/>
  <c r="EU162" i="2" s="1"/>
  <c r="EQ162" i="2"/>
  <c r="ER162" i="2" s="1"/>
  <c r="EJ162" i="2"/>
  <c r="EE162" i="2"/>
  <c r="EF162" i="2" s="1"/>
  <c r="DX162" i="2"/>
  <c r="DP162" i="2"/>
  <c r="DF162" i="2"/>
  <c r="DH162" i="2" s="1"/>
  <c r="DE162" i="2"/>
  <c r="CY162" i="2"/>
  <c r="CZ162" i="2" s="1"/>
  <c r="CF162" i="2"/>
  <c r="CA162" i="2"/>
  <c r="CR162" i="2"/>
  <c r="BO162" i="2"/>
  <c r="BJ162" i="2"/>
  <c r="BM162" i="2" s="1"/>
  <c r="BN162" i="2" s="1"/>
  <c r="BC162" i="2"/>
  <c r="AZ162" i="2"/>
  <c r="AY162" i="2"/>
  <c r="AO162" i="2"/>
  <c r="AN162" i="2"/>
  <c r="AM162" i="2"/>
  <c r="AL162" i="2"/>
  <c r="AK162" i="2"/>
  <c r="AG162" i="2"/>
  <c r="AE162" i="2"/>
  <c r="AF162" i="2" s="1"/>
  <c r="U162" i="2"/>
  <c r="S162" i="2"/>
  <c r="T162" i="2" s="1"/>
  <c r="R162" i="2"/>
  <c r="Y162" i="2" s="1"/>
  <c r="AB162" i="2" s="1"/>
  <c r="E162" i="2"/>
  <c r="GP64" i="2"/>
  <c r="GQ64" i="2" s="1"/>
  <c r="GL64" i="2"/>
  <c r="GM64" i="2" s="1"/>
  <c r="GH64" i="2"/>
  <c r="GG64" i="2"/>
  <c r="GI64" i="2" s="1"/>
  <c r="GD64" i="2"/>
  <c r="GC64" i="2"/>
  <c r="GB64" i="2"/>
  <c r="FY64" i="2"/>
  <c r="FS64" i="2"/>
  <c r="FT64" i="2" s="1"/>
  <c r="EW64" i="2"/>
  <c r="ET64" i="2"/>
  <c r="EU64" i="2" s="1"/>
  <c r="EQ64" i="2"/>
  <c r="ER64" i="2" s="1"/>
  <c r="EJ64" i="2"/>
  <c r="EE64" i="2"/>
  <c r="EF64" i="2" s="1"/>
  <c r="DX64" i="2"/>
  <c r="DP64" i="2"/>
  <c r="DF64" i="2"/>
  <c r="DE64" i="2"/>
  <c r="CY64" i="2"/>
  <c r="CF64" i="2"/>
  <c r="CA64" i="2"/>
  <c r="BO64" i="2"/>
  <c r="BJ64" i="2"/>
  <c r="BM64" i="2" s="1"/>
  <c r="BN64" i="2" s="1"/>
  <c r="BC64" i="2"/>
  <c r="AZ64" i="2"/>
  <c r="AY64" i="2"/>
  <c r="AO64" i="2"/>
  <c r="AN64" i="2"/>
  <c r="AM64" i="2"/>
  <c r="AL64" i="2"/>
  <c r="AI64" i="2"/>
  <c r="AK64" i="2" s="1"/>
  <c r="AG64" i="2"/>
  <c r="AE64" i="2"/>
  <c r="AF64" i="2" s="1"/>
  <c r="U64" i="2"/>
  <c r="S64" i="2"/>
  <c r="T64" i="2" s="1"/>
  <c r="R64" i="2"/>
  <c r="Y64" i="2" s="1"/>
  <c r="AB64" i="2" s="1"/>
  <c r="E64" i="2"/>
  <c r="GR160" i="2"/>
  <c r="GS160" i="2" s="1"/>
  <c r="GP160" i="2"/>
  <c r="GQ160" i="2" s="1"/>
  <c r="DO160" i="2" s="1"/>
  <c r="DS160" i="2" s="1"/>
  <c r="GN160" i="2"/>
  <c r="GO160" i="2" s="1"/>
  <c r="GL160" i="2"/>
  <c r="GM160" i="2" s="1"/>
  <c r="GH160" i="2"/>
  <c r="GG160" i="2"/>
  <c r="GI160" i="2" s="1"/>
  <c r="GD160" i="2"/>
  <c r="GC160" i="2"/>
  <c r="GB160" i="2"/>
  <c r="FY160" i="2"/>
  <c r="FZ160" i="2" s="1"/>
  <c r="FS160" i="2"/>
  <c r="FT160" i="2" s="1"/>
  <c r="EW160" i="2"/>
  <c r="ET160" i="2"/>
  <c r="EU160" i="2" s="1"/>
  <c r="EQ160" i="2"/>
  <c r="ER160" i="2" s="1"/>
  <c r="EJ160" i="2"/>
  <c r="EE160" i="2"/>
  <c r="EF160" i="2" s="1"/>
  <c r="DX160" i="2"/>
  <c r="DP160" i="2"/>
  <c r="DF160" i="2"/>
  <c r="DH160" i="2" s="1"/>
  <c r="DE160" i="2"/>
  <c r="CY160" i="2"/>
  <c r="CZ160" i="2" s="1"/>
  <c r="CF160" i="2"/>
  <c r="CA160" i="2"/>
  <c r="CW160" i="2"/>
  <c r="BO160" i="2"/>
  <c r="BJ160" i="2"/>
  <c r="BM160" i="2" s="1"/>
  <c r="BN160" i="2" s="1"/>
  <c r="BC160" i="2"/>
  <c r="AZ160" i="2"/>
  <c r="AY160" i="2"/>
  <c r="AO160" i="2"/>
  <c r="AN160" i="2"/>
  <c r="AM160" i="2"/>
  <c r="AL160" i="2"/>
  <c r="AK160" i="2"/>
  <c r="AG160" i="2"/>
  <c r="AE160" i="2"/>
  <c r="AF160" i="2" s="1"/>
  <c r="U160" i="2"/>
  <c r="S160" i="2"/>
  <c r="T160" i="2" s="1"/>
  <c r="R160" i="2"/>
  <c r="Y160" i="2" s="1"/>
  <c r="AB160" i="2" s="1"/>
  <c r="E160" i="2"/>
  <c r="GR159" i="2"/>
  <c r="GS159" i="2" s="1"/>
  <c r="GP159" i="2"/>
  <c r="GQ159" i="2" s="1"/>
  <c r="GN159" i="2"/>
  <c r="GO159" i="2" s="1"/>
  <c r="GL159" i="2"/>
  <c r="GM159" i="2" s="1"/>
  <c r="GH159" i="2"/>
  <c r="GG159" i="2"/>
  <c r="GI159" i="2" s="1"/>
  <c r="GD159" i="2"/>
  <c r="GC159" i="2"/>
  <c r="GB159" i="2"/>
  <c r="FY159" i="2"/>
  <c r="FS159" i="2"/>
  <c r="FT159" i="2" s="1"/>
  <c r="EW159" i="2"/>
  <c r="ET159" i="2"/>
  <c r="EU159" i="2" s="1"/>
  <c r="EQ159" i="2"/>
  <c r="ER159" i="2" s="1"/>
  <c r="EJ159" i="2"/>
  <c r="EE159" i="2"/>
  <c r="EF159" i="2" s="1"/>
  <c r="DX159" i="2"/>
  <c r="DP159" i="2"/>
  <c r="DF159" i="2"/>
  <c r="DH159" i="2" s="1"/>
  <c r="DE159" i="2"/>
  <c r="CY159" i="2"/>
  <c r="CZ159" i="2" s="1"/>
  <c r="CF159" i="2"/>
  <c r="CA159" i="2"/>
  <c r="BO159" i="2"/>
  <c r="BJ159" i="2"/>
  <c r="BC159" i="2"/>
  <c r="AZ159" i="2"/>
  <c r="AY159" i="2"/>
  <c r="AO159" i="2"/>
  <c r="AN159" i="2"/>
  <c r="AM159" i="2"/>
  <c r="AL159" i="2"/>
  <c r="AK159" i="2"/>
  <c r="AG159" i="2"/>
  <c r="AE159" i="2"/>
  <c r="AF159" i="2" s="1"/>
  <c r="U159" i="2"/>
  <c r="S159" i="2"/>
  <c r="T159" i="2" s="1"/>
  <c r="R159" i="2"/>
  <c r="Y159" i="2" s="1"/>
  <c r="AB159" i="2" s="1"/>
  <c r="E159" i="2"/>
  <c r="GR158" i="2"/>
  <c r="GS158" i="2" s="1"/>
  <c r="GP158" i="2"/>
  <c r="GQ158" i="2" s="1"/>
  <c r="DO158" i="2" s="1"/>
  <c r="DS158" i="2" s="1"/>
  <c r="GN158" i="2"/>
  <c r="GO158" i="2" s="1"/>
  <c r="GL158" i="2"/>
  <c r="GM158" i="2" s="1"/>
  <c r="GH158" i="2"/>
  <c r="GG158" i="2"/>
  <c r="GI158" i="2" s="1"/>
  <c r="GD158" i="2"/>
  <c r="GC158" i="2"/>
  <c r="GB158" i="2"/>
  <c r="FY158" i="2"/>
  <c r="FZ158" i="2" s="1"/>
  <c r="FS158" i="2"/>
  <c r="FT158" i="2" s="1"/>
  <c r="EW158" i="2"/>
  <c r="ET158" i="2"/>
  <c r="EU158" i="2" s="1"/>
  <c r="EQ158" i="2"/>
  <c r="ER158" i="2" s="1"/>
  <c r="EJ158" i="2"/>
  <c r="EE158" i="2"/>
  <c r="EF158" i="2" s="1"/>
  <c r="DX158" i="2"/>
  <c r="DP158" i="2"/>
  <c r="DF158" i="2"/>
  <c r="DH158" i="2" s="1"/>
  <c r="DE158" i="2"/>
  <c r="CY158" i="2"/>
  <c r="CZ158" i="2" s="1"/>
  <c r="CF158" i="2"/>
  <c r="CA158" i="2"/>
  <c r="CW158" i="2"/>
  <c r="BO158" i="2"/>
  <c r="BJ158" i="2"/>
  <c r="BM158" i="2" s="1"/>
  <c r="BN158" i="2" s="1"/>
  <c r="BC158" i="2"/>
  <c r="AZ158" i="2"/>
  <c r="AY158" i="2"/>
  <c r="AO158" i="2"/>
  <c r="AN158" i="2"/>
  <c r="AM158" i="2"/>
  <c r="AL158" i="2"/>
  <c r="AK158" i="2"/>
  <c r="AG158" i="2"/>
  <c r="AE158" i="2"/>
  <c r="AF158" i="2" s="1"/>
  <c r="U158" i="2"/>
  <c r="S158" i="2"/>
  <c r="T158" i="2" s="1"/>
  <c r="R158" i="2"/>
  <c r="E158" i="2"/>
  <c r="GR157" i="2"/>
  <c r="GS157" i="2" s="1"/>
  <c r="GP157" i="2"/>
  <c r="GQ157" i="2" s="1"/>
  <c r="DO157" i="2" s="1"/>
  <c r="DS157" i="2" s="1"/>
  <c r="GN157" i="2"/>
  <c r="GO157" i="2" s="1"/>
  <c r="GL157" i="2"/>
  <c r="GM157" i="2" s="1"/>
  <c r="GH157" i="2"/>
  <c r="GG157" i="2"/>
  <c r="GI157" i="2" s="1"/>
  <c r="GD157" i="2"/>
  <c r="GC157" i="2"/>
  <c r="GB157" i="2"/>
  <c r="FY157" i="2"/>
  <c r="FZ157" i="2" s="1"/>
  <c r="FS157" i="2"/>
  <c r="FT157" i="2" s="1"/>
  <c r="EW157" i="2"/>
  <c r="ET157" i="2"/>
  <c r="EU157" i="2" s="1"/>
  <c r="EQ157" i="2"/>
  <c r="ER157" i="2" s="1"/>
  <c r="EJ157" i="2"/>
  <c r="EE157" i="2"/>
  <c r="EF157" i="2" s="1"/>
  <c r="DX157" i="2"/>
  <c r="DP157" i="2"/>
  <c r="DF157" i="2"/>
  <c r="DE157" i="2"/>
  <c r="CY157" i="2"/>
  <c r="CZ157" i="2" s="1"/>
  <c r="CF157" i="2"/>
  <c r="CA157" i="2"/>
  <c r="CW157" i="2"/>
  <c r="BO157" i="2"/>
  <c r="BJ157" i="2"/>
  <c r="BM157" i="2" s="1"/>
  <c r="BN157" i="2" s="1"/>
  <c r="BC157" i="2"/>
  <c r="AZ157" i="2"/>
  <c r="AY157" i="2"/>
  <c r="AO157" i="2"/>
  <c r="AN157" i="2"/>
  <c r="AM157" i="2"/>
  <c r="AL157" i="2"/>
  <c r="AK157" i="2"/>
  <c r="AG157" i="2"/>
  <c r="AE157" i="2"/>
  <c r="AF157" i="2" s="1"/>
  <c r="U157" i="2"/>
  <c r="S157" i="2"/>
  <c r="T157" i="2" s="1"/>
  <c r="R157" i="2"/>
  <c r="Y157" i="2" s="1"/>
  <c r="AB157" i="2" s="1"/>
  <c r="E157" i="2"/>
  <c r="GR156" i="2"/>
  <c r="GS156" i="2" s="1"/>
  <c r="GP156" i="2"/>
  <c r="GQ156" i="2" s="1"/>
  <c r="DO156" i="2" s="1"/>
  <c r="DS156" i="2" s="1"/>
  <c r="GN156" i="2"/>
  <c r="GO156" i="2" s="1"/>
  <c r="GL156" i="2"/>
  <c r="GM156" i="2" s="1"/>
  <c r="GH156" i="2"/>
  <c r="GG156" i="2"/>
  <c r="GI156" i="2" s="1"/>
  <c r="GD156" i="2"/>
  <c r="GC156" i="2"/>
  <c r="GB156" i="2"/>
  <c r="FY156" i="2"/>
  <c r="FZ156" i="2" s="1"/>
  <c r="FS156" i="2"/>
  <c r="FT156" i="2" s="1"/>
  <c r="EW156" i="2"/>
  <c r="ET156" i="2"/>
  <c r="EU156" i="2" s="1"/>
  <c r="EQ156" i="2"/>
  <c r="ER156" i="2" s="1"/>
  <c r="EJ156" i="2"/>
  <c r="EE156" i="2"/>
  <c r="EF156" i="2" s="1"/>
  <c r="DX156" i="2"/>
  <c r="DP156" i="2"/>
  <c r="DF156" i="2"/>
  <c r="DE156" i="2"/>
  <c r="CY156" i="2"/>
  <c r="CZ156" i="2" s="1"/>
  <c r="CF156" i="2"/>
  <c r="CA156" i="2"/>
  <c r="CW156" i="2"/>
  <c r="BO156" i="2"/>
  <c r="BJ156" i="2"/>
  <c r="BM156" i="2" s="1"/>
  <c r="BN156" i="2" s="1"/>
  <c r="BC156" i="2"/>
  <c r="AZ156" i="2"/>
  <c r="AY156" i="2"/>
  <c r="AO156" i="2"/>
  <c r="AN156" i="2"/>
  <c r="AM156" i="2"/>
  <c r="AL156" i="2"/>
  <c r="AK156" i="2"/>
  <c r="AG156" i="2"/>
  <c r="AE156" i="2"/>
  <c r="AF156" i="2" s="1"/>
  <c r="U156" i="2"/>
  <c r="S156" i="2"/>
  <c r="T156" i="2" s="1"/>
  <c r="R156" i="2"/>
  <c r="Y156" i="2" s="1"/>
  <c r="AB156" i="2" s="1"/>
  <c r="E156" i="2"/>
  <c r="GR155" i="2"/>
  <c r="GS155" i="2" s="1"/>
  <c r="GP155" i="2"/>
  <c r="GQ155" i="2" s="1"/>
  <c r="DO155" i="2" s="1"/>
  <c r="DS155" i="2" s="1"/>
  <c r="GN155" i="2"/>
  <c r="GO155" i="2" s="1"/>
  <c r="GL155" i="2"/>
  <c r="GM155" i="2" s="1"/>
  <c r="GH155" i="2"/>
  <c r="GG155" i="2"/>
  <c r="GI155" i="2" s="1"/>
  <c r="GD155" i="2"/>
  <c r="GC155" i="2"/>
  <c r="GB155" i="2"/>
  <c r="FY155" i="2"/>
  <c r="FZ155" i="2" s="1"/>
  <c r="FS155" i="2"/>
  <c r="FT155" i="2" s="1"/>
  <c r="EW155" i="2"/>
  <c r="ET155" i="2"/>
  <c r="EU155" i="2" s="1"/>
  <c r="EQ155" i="2"/>
  <c r="ER155" i="2" s="1"/>
  <c r="EJ155" i="2"/>
  <c r="DX155" i="2"/>
  <c r="DP155" i="2"/>
  <c r="DF155" i="2"/>
  <c r="DE155" i="2"/>
  <c r="CY155" i="2"/>
  <c r="CZ155" i="2" s="1"/>
  <c r="CF155" i="2"/>
  <c r="CH155" i="2"/>
  <c r="CA155" i="2"/>
  <c r="CW155" i="2"/>
  <c r="BO155" i="2"/>
  <c r="BJ155" i="2"/>
  <c r="BM155" i="2" s="1"/>
  <c r="BN155" i="2" s="1"/>
  <c r="BC155" i="2"/>
  <c r="AZ155" i="2"/>
  <c r="AY155" i="2"/>
  <c r="AO155" i="2"/>
  <c r="AN155" i="2"/>
  <c r="AM155" i="2"/>
  <c r="AL155" i="2"/>
  <c r="AK155" i="2"/>
  <c r="AG155" i="2"/>
  <c r="AE155" i="2"/>
  <c r="AF155" i="2" s="1"/>
  <c r="U155" i="2"/>
  <c r="S155" i="2"/>
  <c r="T155" i="2" s="1"/>
  <c r="R155" i="2"/>
  <c r="E155" i="2"/>
  <c r="GR154" i="2"/>
  <c r="GS154" i="2" s="1"/>
  <c r="GP154" i="2"/>
  <c r="GQ154" i="2" s="1"/>
  <c r="DO154" i="2" s="1"/>
  <c r="EC154" i="2" s="1"/>
  <c r="GN154" i="2"/>
  <c r="GO154" i="2" s="1"/>
  <c r="GL154" i="2"/>
  <c r="GM154" i="2" s="1"/>
  <c r="GH154" i="2"/>
  <c r="GG154" i="2"/>
  <c r="GI154" i="2" s="1"/>
  <c r="GD154" i="2"/>
  <c r="GC154" i="2"/>
  <c r="GB154" i="2"/>
  <c r="FY154" i="2"/>
  <c r="FZ154" i="2" s="1"/>
  <c r="FS154" i="2"/>
  <c r="FT154" i="2" s="1"/>
  <c r="EW154" i="2"/>
  <c r="ET154" i="2"/>
  <c r="EU154" i="2" s="1"/>
  <c r="EQ154" i="2"/>
  <c r="ER154" i="2" s="1"/>
  <c r="EJ154" i="2"/>
  <c r="EE154" i="2"/>
  <c r="EF154" i="2" s="1"/>
  <c r="DX154" i="2"/>
  <c r="DP154" i="2"/>
  <c r="DF154" i="2"/>
  <c r="DG154" i="2" s="1"/>
  <c r="DE154" i="2"/>
  <c r="CY154" i="2"/>
  <c r="CZ154" i="2" s="1"/>
  <c r="CF154" i="2"/>
  <c r="CH154" i="2"/>
  <c r="CA154" i="2"/>
  <c r="CR154" i="2"/>
  <c r="BO154" i="2"/>
  <c r="BJ154" i="2"/>
  <c r="AZ154" i="2"/>
  <c r="AY154" i="2"/>
  <c r="AO154" i="2"/>
  <c r="AN154" i="2"/>
  <c r="AM154" i="2"/>
  <c r="AL154" i="2"/>
  <c r="AK154" i="2"/>
  <c r="AG154" i="2"/>
  <c r="AE154" i="2"/>
  <c r="AF154" i="2" s="1"/>
  <c r="U154" i="2"/>
  <c r="S154" i="2"/>
  <c r="T154" i="2" s="1"/>
  <c r="R154" i="2"/>
  <c r="X154" i="2" s="1"/>
  <c r="E154" i="2"/>
  <c r="GR153" i="2"/>
  <c r="GS153" i="2" s="1"/>
  <c r="GP153" i="2"/>
  <c r="GQ153" i="2" s="1"/>
  <c r="GN153" i="2"/>
  <c r="GO153" i="2" s="1"/>
  <c r="GL153" i="2"/>
  <c r="GM153" i="2" s="1"/>
  <c r="GH153" i="2"/>
  <c r="GG153" i="2"/>
  <c r="GI153" i="2" s="1"/>
  <c r="GD153" i="2"/>
  <c r="GC153" i="2"/>
  <c r="GB153" i="2"/>
  <c r="FY153" i="2"/>
  <c r="GA153" i="2" s="1"/>
  <c r="FS153" i="2"/>
  <c r="FT153" i="2" s="1"/>
  <c r="EW153" i="2"/>
  <c r="ET153" i="2"/>
  <c r="EU153" i="2" s="1"/>
  <c r="EQ153" i="2"/>
  <c r="ER153" i="2" s="1"/>
  <c r="EJ153" i="2"/>
  <c r="EE153" i="2"/>
  <c r="EF153" i="2" s="1"/>
  <c r="DX153" i="2"/>
  <c r="DP153" i="2"/>
  <c r="DF153" i="2"/>
  <c r="DH153" i="2" s="1"/>
  <c r="DE153" i="2"/>
  <c r="CY153" i="2"/>
  <c r="CZ153" i="2" s="1"/>
  <c r="CF153" i="2"/>
  <c r="CH153" i="2"/>
  <c r="CA153" i="2"/>
  <c r="DA153" i="2"/>
  <c r="DB153" i="2" s="1"/>
  <c r="BO153" i="2"/>
  <c r="BJ153" i="2"/>
  <c r="BC153" i="2"/>
  <c r="AZ153" i="2"/>
  <c r="AY153" i="2"/>
  <c r="AO153" i="2"/>
  <c r="AN153" i="2"/>
  <c r="AM153" i="2"/>
  <c r="AL153" i="2"/>
  <c r="AK153" i="2"/>
  <c r="AG153" i="2"/>
  <c r="AE153" i="2"/>
  <c r="AF153" i="2" s="1"/>
  <c r="U153" i="2"/>
  <c r="S153" i="2"/>
  <c r="T153" i="2" s="1"/>
  <c r="R153" i="2"/>
  <c r="X153" i="2" s="1"/>
  <c r="AA153" i="2" s="1"/>
  <c r="E153" i="2"/>
  <c r="GR152" i="2"/>
  <c r="GS152" i="2" s="1"/>
  <c r="GP152" i="2"/>
  <c r="GQ152" i="2" s="1"/>
  <c r="GN152" i="2"/>
  <c r="GO152" i="2" s="1"/>
  <c r="GL152" i="2"/>
  <c r="GM152" i="2" s="1"/>
  <c r="GH152" i="2"/>
  <c r="GG152" i="2"/>
  <c r="GI152" i="2" s="1"/>
  <c r="GD152" i="2"/>
  <c r="GC152" i="2"/>
  <c r="GB152" i="2"/>
  <c r="FY152" i="2"/>
  <c r="GA152" i="2" s="1"/>
  <c r="FS152" i="2"/>
  <c r="FT152" i="2" s="1"/>
  <c r="EW152" i="2"/>
  <c r="ET152" i="2"/>
  <c r="EU152" i="2" s="1"/>
  <c r="EQ152" i="2"/>
  <c r="ER152" i="2" s="1"/>
  <c r="EJ152" i="2"/>
  <c r="EE152" i="2"/>
  <c r="EF152" i="2" s="1"/>
  <c r="DX152" i="2"/>
  <c r="DP152" i="2"/>
  <c r="DF152" i="2"/>
  <c r="DH152" i="2" s="1"/>
  <c r="DE152" i="2"/>
  <c r="CY152" i="2"/>
  <c r="CZ152" i="2" s="1"/>
  <c r="CF152" i="2"/>
  <c r="CH152" i="2"/>
  <c r="CA152" i="2"/>
  <c r="DA152" i="2"/>
  <c r="DB152" i="2" s="1"/>
  <c r="BO152" i="2"/>
  <c r="BJ152" i="2"/>
  <c r="BK152" i="2" s="1"/>
  <c r="CL152" i="2" s="1"/>
  <c r="BC152" i="2"/>
  <c r="AZ152" i="2"/>
  <c r="AY152" i="2"/>
  <c r="AO152" i="2"/>
  <c r="AN152" i="2"/>
  <c r="AM152" i="2"/>
  <c r="AL152" i="2"/>
  <c r="AK152" i="2"/>
  <c r="AG152" i="2"/>
  <c r="AE152" i="2"/>
  <c r="AF152" i="2" s="1"/>
  <c r="U152" i="2"/>
  <c r="S152" i="2"/>
  <c r="T152" i="2" s="1"/>
  <c r="R152" i="2"/>
  <c r="E152" i="2"/>
  <c r="GR151" i="2"/>
  <c r="GS151" i="2" s="1"/>
  <c r="GP151" i="2"/>
  <c r="GQ151" i="2" s="1"/>
  <c r="GN151" i="2"/>
  <c r="GO151" i="2" s="1"/>
  <c r="GL151" i="2"/>
  <c r="GM151" i="2" s="1"/>
  <c r="GH151" i="2"/>
  <c r="GG151" i="2"/>
  <c r="GI151" i="2" s="1"/>
  <c r="GD151" i="2"/>
  <c r="GC151" i="2"/>
  <c r="GB151" i="2"/>
  <c r="FY151" i="2"/>
  <c r="GA151" i="2" s="1"/>
  <c r="FS151" i="2"/>
  <c r="FT151" i="2" s="1"/>
  <c r="EW151" i="2"/>
  <c r="ET151" i="2"/>
  <c r="EU151" i="2" s="1"/>
  <c r="EQ151" i="2"/>
  <c r="ER151" i="2" s="1"/>
  <c r="EJ151" i="2"/>
  <c r="EE151" i="2"/>
  <c r="EF151" i="2" s="1"/>
  <c r="DX151" i="2"/>
  <c r="DP151" i="2"/>
  <c r="DF151" i="2"/>
  <c r="DH151" i="2" s="1"/>
  <c r="DE151" i="2"/>
  <c r="CY151" i="2"/>
  <c r="CZ151" i="2" s="1"/>
  <c r="CF151" i="2"/>
  <c r="CH151" i="2"/>
  <c r="CA151" i="2"/>
  <c r="DA151" i="2"/>
  <c r="DB151" i="2" s="1"/>
  <c r="BO151" i="2"/>
  <c r="BJ151" i="2"/>
  <c r="BM151" i="2" s="1"/>
  <c r="BN151" i="2" s="1"/>
  <c r="BC151" i="2"/>
  <c r="AZ151" i="2"/>
  <c r="AY151" i="2"/>
  <c r="AO151" i="2"/>
  <c r="AN151" i="2"/>
  <c r="AM151" i="2"/>
  <c r="AL151" i="2"/>
  <c r="AK151" i="2"/>
  <c r="AG151" i="2"/>
  <c r="AE151" i="2"/>
  <c r="AF151" i="2" s="1"/>
  <c r="U151" i="2"/>
  <c r="S151" i="2"/>
  <c r="T151" i="2" s="1"/>
  <c r="R151" i="2"/>
  <c r="E151" i="2"/>
  <c r="GR150" i="2"/>
  <c r="GS150" i="2" s="1"/>
  <c r="GP150" i="2"/>
  <c r="GQ150" i="2" s="1"/>
  <c r="GN150" i="2"/>
  <c r="GO150" i="2" s="1"/>
  <c r="GL150" i="2"/>
  <c r="GM150" i="2" s="1"/>
  <c r="GH150" i="2"/>
  <c r="GG150" i="2"/>
  <c r="GI150" i="2" s="1"/>
  <c r="GD150" i="2"/>
  <c r="GC150" i="2"/>
  <c r="GB150" i="2"/>
  <c r="FY150" i="2"/>
  <c r="GA150" i="2" s="1"/>
  <c r="FS150" i="2"/>
  <c r="FT150" i="2" s="1"/>
  <c r="EW150" i="2"/>
  <c r="ET150" i="2"/>
  <c r="EU150" i="2" s="1"/>
  <c r="EQ150" i="2"/>
  <c r="ER150" i="2" s="1"/>
  <c r="EJ150" i="2"/>
  <c r="EE150" i="2"/>
  <c r="EF150" i="2" s="1"/>
  <c r="DX150" i="2"/>
  <c r="DP150" i="2"/>
  <c r="DF150" i="2"/>
  <c r="DH150" i="2" s="1"/>
  <c r="DE150" i="2"/>
  <c r="CY150" i="2"/>
  <c r="CZ150" i="2" s="1"/>
  <c r="CF150" i="2"/>
  <c r="CH150" i="2"/>
  <c r="CA150" i="2"/>
  <c r="DA150" i="2"/>
  <c r="DB150" i="2" s="1"/>
  <c r="BO150" i="2"/>
  <c r="BJ150" i="2"/>
  <c r="BM150" i="2" s="1"/>
  <c r="BN150" i="2" s="1"/>
  <c r="BC150" i="2"/>
  <c r="AZ150" i="2"/>
  <c r="AY150" i="2"/>
  <c r="AO150" i="2"/>
  <c r="AN150" i="2"/>
  <c r="AM150" i="2"/>
  <c r="AL150" i="2"/>
  <c r="AK150" i="2"/>
  <c r="AG150" i="2"/>
  <c r="AE150" i="2"/>
  <c r="AF150" i="2" s="1"/>
  <c r="U150" i="2"/>
  <c r="S150" i="2"/>
  <c r="T150" i="2" s="1"/>
  <c r="R150" i="2"/>
  <c r="E150" i="2"/>
  <c r="GR149" i="2"/>
  <c r="GS149" i="2" s="1"/>
  <c r="GP149" i="2"/>
  <c r="GQ149" i="2" s="1"/>
  <c r="DU149" i="2" s="1"/>
  <c r="GN149" i="2"/>
  <c r="GO149" i="2" s="1"/>
  <c r="GL149" i="2"/>
  <c r="GM149" i="2" s="1"/>
  <c r="GH149" i="2"/>
  <c r="GG149" i="2"/>
  <c r="GI149" i="2" s="1"/>
  <c r="GD149" i="2"/>
  <c r="GC149" i="2"/>
  <c r="GB149" i="2"/>
  <c r="FY149" i="2"/>
  <c r="GA149" i="2" s="1"/>
  <c r="FS149" i="2"/>
  <c r="FT149" i="2" s="1"/>
  <c r="EW149" i="2"/>
  <c r="ET149" i="2"/>
  <c r="EU149" i="2" s="1"/>
  <c r="EQ149" i="2"/>
  <c r="ER149" i="2" s="1"/>
  <c r="EJ149" i="2"/>
  <c r="EE149" i="2"/>
  <c r="EF149" i="2" s="1"/>
  <c r="DX149" i="2"/>
  <c r="DP149" i="2"/>
  <c r="DF149" i="2"/>
  <c r="DH149" i="2" s="1"/>
  <c r="DE149" i="2"/>
  <c r="CY149" i="2"/>
  <c r="CZ149" i="2" s="1"/>
  <c r="CF149" i="2"/>
  <c r="CA149" i="2"/>
  <c r="BO149" i="2"/>
  <c r="BJ149" i="2"/>
  <c r="BM149" i="2" s="1"/>
  <c r="BN149" i="2" s="1"/>
  <c r="BC149" i="2"/>
  <c r="AZ149" i="2"/>
  <c r="AY149" i="2"/>
  <c r="AO149" i="2"/>
  <c r="AN149" i="2"/>
  <c r="AM149" i="2"/>
  <c r="AL149" i="2"/>
  <c r="AK149" i="2"/>
  <c r="AG149" i="2"/>
  <c r="AE149" i="2"/>
  <c r="AF149" i="2" s="1"/>
  <c r="U149" i="2"/>
  <c r="S149" i="2"/>
  <c r="T149" i="2" s="1"/>
  <c r="R149" i="2"/>
  <c r="E149" i="2"/>
  <c r="GR148" i="2"/>
  <c r="GS148" i="2" s="1"/>
  <c r="GP148" i="2"/>
  <c r="GQ148" i="2" s="1"/>
  <c r="GN148" i="2"/>
  <c r="GO148" i="2" s="1"/>
  <c r="GL148" i="2"/>
  <c r="GM148" i="2" s="1"/>
  <c r="GH148" i="2"/>
  <c r="GG148" i="2"/>
  <c r="GI148" i="2" s="1"/>
  <c r="GD148" i="2"/>
  <c r="GC148" i="2"/>
  <c r="GB148" i="2"/>
  <c r="FY148" i="2"/>
  <c r="FS148" i="2"/>
  <c r="FT148" i="2" s="1"/>
  <c r="EW148" i="2"/>
  <c r="ET148" i="2"/>
  <c r="EU148" i="2" s="1"/>
  <c r="EQ148" i="2"/>
  <c r="ER148" i="2" s="1"/>
  <c r="EJ148" i="2"/>
  <c r="EE148" i="2"/>
  <c r="EF148" i="2" s="1"/>
  <c r="DX148" i="2"/>
  <c r="DP148" i="2"/>
  <c r="DF148" i="2"/>
  <c r="DH148" i="2" s="1"/>
  <c r="DE148" i="2"/>
  <c r="CY148" i="2"/>
  <c r="CZ148" i="2" s="1"/>
  <c r="CF148" i="2"/>
  <c r="CH148" i="2"/>
  <c r="CA148" i="2"/>
  <c r="BO148" i="2"/>
  <c r="BJ148" i="2"/>
  <c r="BC148" i="2"/>
  <c r="AZ148" i="2"/>
  <c r="AY148" i="2"/>
  <c r="AO148" i="2"/>
  <c r="AN148" i="2"/>
  <c r="AM148" i="2"/>
  <c r="AL148" i="2"/>
  <c r="AK148" i="2"/>
  <c r="AG148" i="2"/>
  <c r="AE148" i="2"/>
  <c r="AF148" i="2" s="1"/>
  <c r="U148" i="2"/>
  <c r="S148" i="2"/>
  <c r="T148" i="2" s="1"/>
  <c r="R148" i="2"/>
  <c r="E148" i="2"/>
  <c r="GR147" i="2"/>
  <c r="GS147" i="2" s="1"/>
  <c r="GP147" i="2"/>
  <c r="GQ147" i="2" s="1"/>
  <c r="GN147" i="2"/>
  <c r="GO147" i="2" s="1"/>
  <c r="GL147" i="2"/>
  <c r="GM147" i="2" s="1"/>
  <c r="GH147" i="2"/>
  <c r="GG147" i="2"/>
  <c r="GI147" i="2" s="1"/>
  <c r="GD147" i="2"/>
  <c r="GC147" i="2"/>
  <c r="GB147" i="2"/>
  <c r="FY147" i="2"/>
  <c r="GA147" i="2" s="1"/>
  <c r="FS147" i="2"/>
  <c r="FT147" i="2" s="1"/>
  <c r="EW147" i="2"/>
  <c r="ET147" i="2"/>
  <c r="EU147" i="2" s="1"/>
  <c r="EQ147" i="2"/>
  <c r="ER147" i="2" s="1"/>
  <c r="EJ147" i="2"/>
  <c r="EE147" i="2"/>
  <c r="EF147" i="2" s="1"/>
  <c r="DX147" i="2"/>
  <c r="DP147" i="2"/>
  <c r="DF147" i="2"/>
  <c r="DH147" i="2" s="1"/>
  <c r="DE147" i="2"/>
  <c r="CY147" i="2"/>
  <c r="CZ147" i="2" s="1"/>
  <c r="CF147" i="2"/>
  <c r="CH147" i="2"/>
  <c r="CA147" i="2"/>
  <c r="DA147" i="2"/>
  <c r="DB147" i="2" s="1"/>
  <c r="BO147" i="2"/>
  <c r="BJ147" i="2"/>
  <c r="BK147" i="2" s="1"/>
  <c r="CL147" i="2" s="1"/>
  <c r="BC147" i="2"/>
  <c r="AZ147" i="2"/>
  <c r="AY147" i="2"/>
  <c r="AO147" i="2"/>
  <c r="AN147" i="2"/>
  <c r="AM147" i="2"/>
  <c r="AL147" i="2"/>
  <c r="AK147" i="2"/>
  <c r="AG147" i="2"/>
  <c r="AE147" i="2"/>
  <c r="AF147" i="2" s="1"/>
  <c r="U147" i="2"/>
  <c r="S147" i="2"/>
  <c r="T147" i="2" s="1"/>
  <c r="R147" i="2"/>
  <c r="Y147" i="2" s="1"/>
  <c r="AB147" i="2" s="1"/>
  <c r="E147" i="2"/>
  <c r="GR146" i="2"/>
  <c r="GS146" i="2" s="1"/>
  <c r="GP146" i="2"/>
  <c r="GQ146" i="2" s="1"/>
  <c r="DU146" i="2" s="1"/>
  <c r="GN146" i="2"/>
  <c r="GO146" i="2" s="1"/>
  <c r="GL146" i="2"/>
  <c r="GM146" i="2" s="1"/>
  <c r="GH146" i="2"/>
  <c r="GG146" i="2"/>
  <c r="GI146" i="2" s="1"/>
  <c r="GD146" i="2"/>
  <c r="GC146" i="2"/>
  <c r="GB146" i="2"/>
  <c r="FY146" i="2"/>
  <c r="GA146" i="2" s="1"/>
  <c r="FS146" i="2"/>
  <c r="FT146" i="2" s="1"/>
  <c r="EW146" i="2"/>
  <c r="ET146" i="2"/>
  <c r="EU146" i="2" s="1"/>
  <c r="EQ146" i="2"/>
  <c r="ER146" i="2" s="1"/>
  <c r="EJ146" i="2"/>
  <c r="EE146" i="2"/>
  <c r="EF146" i="2" s="1"/>
  <c r="DX146" i="2"/>
  <c r="DP146" i="2"/>
  <c r="DF146" i="2"/>
  <c r="DH146" i="2" s="1"/>
  <c r="DE146" i="2"/>
  <c r="CY146" i="2"/>
  <c r="CZ146" i="2" s="1"/>
  <c r="CF146" i="2"/>
  <c r="CH146" i="2"/>
  <c r="CA146" i="2"/>
  <c r="DA146" i="2"/>
  <c r="DB146" i="2" s="1"/>
  <c r="BO146" i="2"/>
  <c r="BJ146" i="2"/>
  <c r="BK146" i="2" s="1"/>
  <c r="CL146" i="2" s="1"/>
  <c r="BC146" i="2"/>
  <c r="AZ146" i="2"/>
  <c r="AY146" i="2"/>
  <c r="AO146" i="2"/>
  <c r="AN146" i="2"/>
  <c r="AM146" i="2"/>
  <c r="AL146" i="2"/>
  <c r="AK146" i="2"/>
  <c r="AG146" i="2"/>
  <c r="AE146" i="2"/>
  <c r="AF146" i="2" s="1"/>
  <c r="U146" i="2"/>
  <c r="S146" i="2"/>
  <c r="T146" i="2" s="1"/>
  <c r="R146" i="2"/>
  <c r="Y146" i="2" s="1"/>
  <c r="AB146" i="2" s="1"/>
  <c r="E146" i="2"/>
  <c r="GR145" i="2"/>
  <c r="GS145" i="2" s="1"/>
  <c r="GP145" i="2"/>
  <c r="GQ145" i="2" s="1"/>
  <c r="DU145" i="2" s="1"/>
  <c r="GN145" i="2"/>
  <c r="GO145" i="2" s="1"/>
  <c r="GL145" i="2"/>
  <c r="GM145" i="2" s="1"/>
  <c r="GH145" i="2"/>
  <c r="GG145" i="2"/>
  <c r="GI145" i="2" s="1"/>
  <c r="GD145" i="2"/>
  <c r="GC145" i="2"/>
  <c r="GB145" i="2"/>
  <c r="FY145" i="2"/>
  <c r="FZ145" i="2" s="1"/>
  <c r="FS145" i="2"/>
  <c r="FT145" i="2" s="1"/>
  <c r="EW145" i="2"/>
  <c r="ET145" i="2"/>
  <c r="EU145" i="2" s="1"/>
  <c r="EQ145" i="2"/>
  <c r="ER145" i="2" s="1"/>
  <c r="EJ145" i="2"/>
  <c r="EE145" i="2"/>
  <c r="EF145" i="2" s="1"/>
  <c r="DX145" i="2"/>
  <c r="DP145" i="2"/>
  <c r="DF145" i="2"/>
  <c r="DH145" i="2" s="1"/>
  <c r="DE145" i="2"/>
  <c r="CY145" i="2"/>
  <c r="CZ145" i="2" s="1"/>
  <c r="CF145" i="2"/>
  <c r="CH145" i="2"/>
  <c r="CA145" i="2"/>
  <c r="BO145" i="2"/>
  <c r="BJ145" i="2"/>
  <c r="BK145" i="2" s="1"/>
  <c r="CL145" i="2" s="1"/>
  <c r="BC145" i="2"/>
  <c r="AZ145" i="2"/>
  <c r="AY145" i="2"/>
  <c r="AO145" i="2"/>
  <c r="AN145" i="2"/>
  <c r="AM145" i="2"/>
  <c r="AL145" i="2"/>
  <c r="AK145" i="2"/>
  <c r="AG145" i="2"/>
  <c r="AE145" i="2"/>
  <c r="AF145" i="2" s="1"/>
  <c r="U145" i="2"/>
  <c r="S145" i="2"/>
  <c r="T145" i="2" s="1"/>
  <c r="R145" i="2"/>
  <c r="Y145" i="2" s="1"/>
  <c r="AB145" i="2" s="1"/>
  <c r="E145" i="2"/>
  <c r="GR144" i="2"/>
  <c r="GS144" i="2" s="1"/>
  <c r="GP144" i="2"/>
  <c r="GQ144" i="2" s="1"/>
  <c r="DU144" i="2" s="1"/>
  <c r="GN144" i="2"/>
  <c r="GO144" i="2" s="1"/>
  <c r="GL144" i="2"/>
  <c r="GM144" i="2" s="1"/>
  <c r="GH144" i="2"/>
  <c r="GG144" i="2"/>
  <c r="GI144" i="2" s="1"/>
  <c r="GD144" i="2"/>
  <c r="GC144" i="2"/>
  <c r="GB144" i="2"/>
  <c r="FY144" i="2"/>
  <c r="FS144" i="2"/>
  <c r="FT144" i="2" s="1"/>
  <c r="EW144" i="2"/>
  <c r="ET144" i="2"/>
  <c r="EU144" i="2" s="1"/>
  <c r="EQ144" i="2"/>
  <c r="ER144" i="2" s="1"/>
  <c r="EJ144" i="2"/>
  <c r="EE144" i="2"/>
  <c r="EF144" i="2" s="1"/>
  <c r="DX144" i="2"/>
  <c r="DP144" i="2"/>
  <c r="DF144" i="2"/>
  <c r="DH144" i="2" s="1"/>
  <c r="DE144" i="2"/>
  <c r="CY144" i="2"/>
  <c r="CZ144" i="2" s="1"/>
  <c r="CF144" i="2"/>
  <c r="CH144" i="2"/>
  <c r="CA144" i="2"/>
  <c r="BO144" i="2"/>
  <c r="BJ144" i="2"/>
  <c r="BK144" i="2" s="1"/>
  <c r="CL144" i="2" s="1"/>
  <c r="BC144" i="2"/>
  <c r="AZ144" i="2"/>
  <c r="AY144" i="2"/>
  <c r="AO144" i="2"/>
  <c r="AN144" i="2"/>
  <c r="AM144" i="2"/>
  <c r="AL144" i="2"/>
  <c r="AK144" i="2"/>
  <c r="AG144" i="2"/>
  <c r="AE144" i="2"/>
  <c r="AF144" i="2" s="1"/>
  <c r="U144" i="2"/>
  <c r="S144" i="2"/>
  <c r="T144" i="2" s="1"/>
  <c r="R144" i="2"/>
  <c r="Y144" i="2" s="1"/>
  <c r="AB144" i="2" s="1"/>
  <c r="E144" i="2"/>
  <c r="GR143" i="2"/>
  <c r="GS143" i="2" s="1"/>
  <c r="GP143" i="2"/>
  <c r="GQ143" i="2" s="1"/>
  <c r="DU143" i="2" s="1"/>
  <c r="GN143" i="2"/>
  <c r="GO143" i="2" s="1"/>
  <c r="GL143" i="2"/>
  <c r="GM143" i="2" s="1"/>
  <c r="GH143" i="2"/>
  <c r="GG143" i="2"/>
  <c r="GI143" i="2" s="1"/>
  <c r="GD143" i="2"/>
  <c r="GC143" i="2"/>
  <c r="GB143" i="2"/>
  <c r="FY143" i="2"/>
  <c r="GA143" i="2" s="1"/>
  <c r="FS143" i="2"/>
  <c r="FT143" i="2" s="1"/>
  <c r="EW143" i="2"/>
  <c r="ET143" i="2"/>
  <c r="EU143" i="2" s="1"/>
  <c r="EQ143" i="2"/>
  <c r="ER143" i="2" s="1"/>
  <c r="EJ143" i="2"/>
  <c r="EE143" i="2"/>
  <c r="EF143" i="2" s="1"/>
  <c r="DX143" i="2"/>
  <c r="DP143" i="2"/>
  <c r="DF143" i="2"/>
  <c r="DH143" i="2" s="1"/>
  <c r="DE143" i="2"/>
  <c r="CY143" i="2"/>
  <c r="CZ143" i="2" s="1"/>
  <c r="CF143" i="2"/>
  <c r="CH143" i="2"/>
  <c r="CA143" i="2"/>
  <c r="DA143" i="2"/>
  <c r="DB143" i="2" s="1"/>
  <c r="BO143" i="2"/>
  <c r="BJ143" i="2"/>
  <c r="BK143" i="2" s="1"/>
  <c r="CL143" i="2" s="1"/>
  <c r="BC143" i="2"/>
  <c r="AZ143" i="2"/>
  <c r="AY143" i="2"/>
  <c r="AO143" i="2"/>
  <c r="AN143" i="2"/>
  <c r="AM143" i="2"/>
  <c r="AL143" i="2"/>
  <c r="AK143" i="2"/>
  <c r="AG143" i="2"/>
  <c r="AE143" i="2"/>
  <c r="AF143" i="2" s="1"/>
  <c r="U143" i="2"/>
  <c r="S143" i="2"/>
  <c r="T143" i="2" s="1"/>
  <c r="R143" i="2"/>
  <c r="Y143" i="2" s="1"/>
  <c r="AB143" i="2" s="1"/>
  <c r="E143" i="2"/>
  <c r="GR142" i="2"/>
  <c r="GS142" i="2" s="1"/>
  <c r="GP142" i="2"/>
  <c r="GQ142" i="2" s="1"/>
  <c r="DU142" i="2" s="1"/>
  <c r="GN142" i="2"/>
  <c r="GO142" i="2" s="1"/>
  <c r="GL142" i="2"/>
  <c r="GM142" i="2" s="1"/>
  <c r="GH142" i="2"/>
  <c r="GG142" i="2"/>
  <c r="GI142" i="2" s="1"/>
  <c r="GD142" i="2"/>
  <c r="GC142" i="2"/>
  <c r="GB142" i="2"/>
  <c r="FY142" i="2"/>
  <c r="GA142" i="2" s="1"/>
  <c r="FS142" i="2"/>
  <c r="FT142" i="2" s="1"/>
  <c r="EW142" i="2"/>
  <c r="ET142" i="2"/>
  <c r="EU142" i="2" s="1"/>
  <c r="EQ142" i="2"/>
  <c r="ER142" i="2" s="1"/>
  <c r="EJ142" i="2"/>
  <c r="EE142" i="2"/>
  <c r="EF142" i="2" s="1"/>
  <c r="DX142" i="2"/>
  <c r="DP142" i="2"/>
  <c r="DF142" i="2"/>
  <c r="DH142" i="2" s="1"/>
  <c r="DE142" i="2"/>
  <c r="CY142" i="2"/>
  <c r="CZ142" i="2" s="1"/>
  <c r="CF142" i="2"/>
  <c r="CH142" i="2"/>
  <c r="CA142" i="2"/>
  <c r="DA142" i="2"/>
  <c r="DB142" i="2" s="1"/>
  <c r="BO142" i="2"/>
  <c r="BJ142" i="2"/>
  <c r="BC142" i="2"/>
  <c r="AZ142" i="2"/>
  <c r="AY142" i="2"/>
  <c r="AO142" i="2"/>
  <c r="AN142" i="2"/>
  <c r="AM142" i="2"/>
  <c r="AL142" i="2"/>
  <c r="AK142" i="2"/>
  <c r="AG142" i="2"/>
  <c r="AE142" i="2"/>
  <c r="AF142" i="2" s="1"/>
  <c r="U142" i="2"/>
  <c r="S142" i="2"/>
  <c r="T142" i="2" s="1"/>
  <c r="R142" i="2"/>
  <c r="E142" i="2"/>
  <c r="GR141" i="2"/>
  <c r="GS141" i="2" s="1"/>
  <c r="GP141" i="2"/>
  <c r="GQ141" i="2" s="1"/>
  <c r="DU141" i="2" s="1"/>
  <c r="GN141" i="2"/>
  <c r="GO141" i="2" s="1"/>
  <c r="GL141" i="2"/>
  <c r="GM141" i="2" s="1"/>
  <c r="GH141" i="2"/>
  <c r="GG141" i="2"/>
  <c r="GI141" i="2" s="1"/>
  <c r="GD141" i="2"/>
  <c r="GC141" i="2"/>
  <c r="GB141" i="2"/>
  <c r="FY141" i="2"/>
  <c r="GA141" i="2" s="1"/>
  <c r="FS141" i="2"/>
  <c r="FT141" i="2" s="1"/>
  <c r="EW141" i="2"/>
  <c r="ET141" i="2"/>
  <c r="EU141" i="2" s="1"/>
  <c r="EQ141" i="2"/>
  <c r="ER141" i="2" s="1"/>
  <c r="EJ141" i="2"/>
  <c r="EE141" i="2"/>
  <c r="EF141" i="2" s="1"/>
  <c r="DX141" i="2"/>
  <c r="DP141" i="2"/>
  <c r="DF141" i="2"/>
  <c r="DH141" i="2" s="1"/>
  <c r="DE141" i="2"/>
  <c r="CY141" i="2"/>
  <c r="CZ141" i="2" s="1"/>
  <c r="CF141" i="2"/>
  <c r="CH141" i="2"/>
  <c r="CA141" i="2"/>
  <c r="DA141" i="2"/>
  <c r="DB141" i="2" s="1"/>
  <c r="BO141" i="2"/>
  <c r="BJ141" i="2"/>
  <c r="BK141" i="2" s="1"/>
  <c r="CL141" i="2" s="1"/>
  <c r="BC141" i="2"/>
  <c r="AZ141" i="2"/>
  <c r="AY141" i="2"/>
  <c r="AO141" i="2"/>
  <c r="AN141" i="2"/>
  <c r="AM141" i="2"/>
  <c r="AL141" i="2"/>
  <c r="AK141" i="2"/>
  <c r="AG141" i="2"/>
  <c r="AE141" i="2"/>
  <c r="AF141" i="2" s="1"/>
  <c r="U141" i="2"/>
  <c r="S141" i="2"/>
  <c r="T141" i="2" s="1"/>
  <c r="R141" i="2"/>
  <c r="Y141" i="2" s="1"/>
  <c r="AB141" i="2" s="1"/>
  <c r="E141" i="2"/>
  <c r="GR140" i="2"/>
  <c r="GS140" i="2" s="1"/>
  <c r="GP140" i="2"/>
  <c r="GQ140" i="2" s="1"/>
  <c r="DU140" i="2" s="1"/>
  <c r="GN140" i="2"/>
  <c r="GO140" i="2" s="1"/>
  <c r="GL140" i="2"/>
  <c r="GM140" i="2" s="1"/>
  <c r="GH140" i="2"/>
  <c r="GG140" i="2"/>
  <c r="GI140" i="2" s="1"/>
  <c r="GD140" i="2"/>
  <c r="GC140" i="2"/>
  <c r="GB140" i="2"/>
  <c r="FY140" i="2"/>
  <c r="GA140" i="2" s="1"/>
  <c r="FS140" i="2"/>
  <c r="FT140" i="2" s="1"/>
  <c r="EW140" i="2"/>
  <c r="ET140" i="2"/>
  <c r="EU140" i="2" s="1"/>
  <c r="EQ140" i="2"/>
  <c r="ER140" i="2" s="1"/>
  <c r="EJ140" i="2"/>
  <c r="EE140" i="2"/>
  <c r="EF140" i="2" s="1"/>
  <c r="DX140" i="2"/>
  <c r="DP140" i="2"/>
  <c r="DF140" i="2"/>
  <c r="DH140" i="2" s="1"/>
  <c r="DE140" i="2"/>
  <c r="CY140" i="2"/>
  <c r="CZ140" i="2" s="1"/>
  <c r="CF140" i="2"/>
  <c r="CH140" i="2"/>
  <c r="CA140" i="2"/>
  <c r="DA140" i="2"/>
  <c r="DB140" i="2" s="1"/>
  <c r="BO140" i="2"/>
  <c r="BJ140" i="2"/>
  <c r="BK140" i="2" s="1"/>
  <c r="CL140" i="2" s="1"/>
  <c r="BC140" i="2"/>
  <c r="AZ140" i="2"/>
  <c r="AY140" i="2"/>
  <c r="AO140" i="2"/>
  <c r="AN140" i="2"/>
  <c r="AM140" i="2"/>
  <c r="AL140" i="2"/>
  <c r="AK140" i="2"/>
  <c r="AG140" i="2"/>
  <c r="AE140" i="2"/>
  <c r="AF140" i="2" s="1"/>
  <c r="U140" i="2"/>
  <c r="S140" i="2"/>
  <c r="T140" i="2" s="1"/>
  <c r="R140" i="2"/>
  <c r="Y140" i="2" s="1"/>
  <c r="AB140" i="2" s="1"/>
  <c r="E140" i="2"/>
  <c r="GR139" i="2"/>
  <c r="GS139" i="2" s="1"/>
  <c r="GP139" i="2"/>
  <c r="GQ139" i="2" s="1"/>
  <c r="DU139" i="2" s="1"/>
  <c r="GN139" i="2"/>
  <c r="GO139" i="2" s="1"/>
  <c r="GL139" i="2"/>
  <c r="GM139" i="2" s="1"/>
  <c r="GH139" i="2"/>
  <c r="GG139" i="2"/>
  <c r="GI139" i="2" s="1"/>
  <c r="GD139" i="2"/>
  <c r="GC139" i="2"/>
  <c r="GB139" i="2"/>
  <c r="FY139" i="2"/>
  <c r="GA139" i="2" s="1"/>
  <c r="FS139" i="2"/>
  <c r="FT139" i="2" s="1"/>
  <c r="EW139" i="2"/>
  <c r="ET139" i="2"/>
  <c r="EU139" i="2" s="1"/>
  <c r="EQ139" i="2"/>
  <c r="ER139" i="2" s="1"/>
  <c r="EJ139" i="2"/>
  <c r="EE139" i="2"/>
  <c r="EF139" i="2" s="1"/>
  <c r="DX139" i="2"/>
  <c r="DP139" i="2"/>
  <c r="DF139" i="2"/>
  <c r="DH139" i="2" s="1"/>
  <c r="DE139" i="2"/>
  <c r="CY139" i="2"/>
  <c r="CZ139" i="2" s="1"/>
  <c r="CF139" i="2"/>
  <c r="CH139" i="2"/>
  <c r="CA139" i="2"/>
  <c r="DA139" i="2"/>
  <c r="DB139" i="2" s="1"/>
  <c r="BO139" i="2"/>
  <c r="BJ139" i="2"/>
  <c r="BK139" i="2" s="1"/>
  <c r="CL139" i="2" s="1"/>
  <c r="BC139" i="2"/>
  <c r="AZ139" i="2"/>
  <c r="AY139" i="2"/>
  <c r="AO139" i="2"/>
  <c r="AN139" i="2"/>
  <c r="AM139" i="2"/>
  <c r="AL139" i="2"/>
  <c r="AK139" i="2"/>
  <c r="AC139" i="2"/>
  <c r="AG139" i="2" s="1"/>
  <c r="U139" i="2"/>
  <c r="S139" i="2"/>
  <c r="T139" i="2" s="1"/>
  <c r="R139" i="2"/>
  <c r="X139" i="2" s="1"/>
  <c r="E139" i="2"/>
  <c r="GR138" i="2"/>
  <c r="GS138" i="2" s="1"/>
  <c r="GP138" i="2"/>
  <c r="GQ138" i="2" s="1"/>
  <c r="GN138" i="2"/>
  <c r="GO138" i="2" s="1"/>
  <c r="GL138" i="2"/>
  <c r="GM138" i="2" s="1"/>
  <c r="GH138" i="2"/>
  <c r="GG138" i="2"/>
  <c r="GI138" i="2" s="1"/>
  <c r="GD138" i="2"/>
  <c r="GC138" i="2"/>
  <c r="GB138" i="2"/>
  <c r="FY138" i="2"/>
  <c r="FZ138" i="2" s="1"/>
  <c r="FS138" i="2"/>
  <c r="FT138" i="2" s="1"/>
  <c r="EW138" i="2"/>
  <c r="ET138" i="2"/>
  <c r="EU138" i="2" s="1"/>
  <c r="EQ138" i="2"/>
  <c r="ER138" i="2" s="1"/>
  <c r="EJ138" i="2"/>
  <c r="EE138" i="2"/>
  <c r="EF138" i="2" s="1"/>
  <c r="DX138" i="2"/>
  <c r="DP138" i="2"/>
  <c r="DF138" i="2"/>
  <c r="DE138" i="2"/>
  <c r="CY138" i="2"/>
  <c r="CZ138" i="2" s="1"/>
  <c r="CF138" i="2"/>
  <c r="CH138" i="2"/>
  <c r="CA138" i="2"/>
  <c r="BO138" i="2"/>
  <c r="BJ138" i="2"/>
  <c r="BM138" i="2" s="1"/>
  <c r="BN138" i="2" s="1"/>
  <c r="BC138" i="2"/>
  <c r="AZ138" i="2"/>
  <c r="AY138" i="2"/>
  <c r="AO138" i="2"/>
  <c r="AN138" i="2"/>
  <c r="AM138" i="2"/>
  <c r="AL138" i="2"/>
  <c r="AK138" i="2"/>
  <c r="AG138" i="2"/>
  <c r="AE138" i="2"/>
  <c r="AF138" i="2" s="1"/>
  <c r="U138" i="2"/>
  <c r="S138" i="2"/>
  <c r="T138" i="2" s="1"/>
  <c r="R138" i="2"/>
  <c r="E138" i="2"/>
  <c r="GR137" i="2"/>
  <c r="GS137" i="2" s="1"/>
  <c r="GP137" i="2"/>
  <c r="GQ137" i="2" s="1"/>
  <c r="GN137" i="2"/>
  <c r="GO137" i="2" s="1"/>
  <c r="GL137" i="2"/>
  <c r="GM137" i="2" s="1"/>
  <c r="GH137" i="2"/>
  <c r="GG137" i="2"/>
  <c r="GI137" i="2" s="1"/>
  <c r="GD137" i="2"/>
  <c r="GC137" i="2"/>
  <c r="GB137" i="2"/>
  <c r="FY137" i="2"/>
  <c r="GA137" i="2" s="1"/>
  <c r="FS137" i="2"/>
  <c r="FT137" i="2" s="1"/>
  <c r="EW137" i="2"/>
  <c r="ET137" i="2"/>
  <c r="EU137" i="2" s="1"/>
  <c r="EQ137" i="2"/>
  <c r="ER137" i="2" s="1"/>
  <c r="EJ137" i="2"/>
  <c r="EE137" i="2"/>
  <c r="EF137" i="2" s="1"/>
  <c r="DX137" i="2"/>
  <c r="DP137" i="2"/>
  <c r="DF137" i="2"/>
  <c r="DE137" i="2"/>
  <c r="CY137" i="2"/>
  <c r="CZ137" i="2" s="1"/>
  <c r="CF137" i="2"/>
  <c r="CH137" i="2"/>
  <c r="CA137" i="2"/>
  <c r="BO137" i="2"/>
  <c r="BJ137" i="2"/>
  <c r="BM137" i="2" s="1"/>
  <c r="BN137" i="2" s="1"/>
  <c r="BC137" i="2"/>
  <c r="AZ137" i="2"/>
  <c r="AY137" i="2"/>
  <c r="AO137" i="2"/>
  <c r="AN137" i="2"/>
  <c r="AM137" i="2"/>
  <c r="AL137" i="2"/>
  <c r="AK137" i="2"/>
  <c r="AG137" i="2"/>
  <c r="AE137" i="2"/>
  <c r="AF137" i="2" s="1"/>
  <c r="U137" i="2"/>
  <c r="S137" i="2"/>
  <c r="T137" i="2" s="1"/>
  <c r="R137" i="2"/>
  <c r="Y137" i="2" s="1"/>
  <c r="AB137" i="2" s="1"/>
  <c r="E137" i="2"/>
  <c r="GR136" i="2"/>
  <c r="GS136" i="2" s="1"/>
  <c r="GP136" i="2"/>
  <c r="GQ136" i="2" s="1"/>
  <c r="GN136" i="2"/>
  <c r="GO136" i="2" s="1"/>
  <c r="GL136" i="2"/>
  <c r="GM136" i="2" s="1"/>
  <c r="GH136" i="2"/>
  <c r="GG136" i="2"/>
  <c r="GI136" i="2" s="1"/>
  <c r="GD136" i="2"/>
  <c r="GC136" i="2"/>
  <c r="GB136" i="2"/>
  <c r="FY136" i="2"/>
  <c r="FZ136" i="2" s="1"/>
  <c r="FS136" i="2"/>
  <c r="FT136" i="2" s="1"/>
  <c r="EW136" i="2"/>
  <c r="ET136" i="2"/>
  <c r="EU136" i="2" s="1"/>
  <c r="EQ136" i="2"/>
  <c r="ER136" i="2" s="1"/>
  <c r="EJ136" i="2"/>
  <c r="EE136" i="2"/>
  <c r="EF136" i="2" s="1"/>
  <c r="DX136" i="2"/>
  <c r="DP136" i="2"/>
  <c r="DF136" i="2"/>
  <c r="DE136" i="2"/>
  <c r="CY136" i="2"/>
  <c r="CZ136" i="2" s="1"/>
  <c r="CF136" i="2"/>
  <c r="CH136" i="2"/>
  <c r="CA136" i="2"/>
  <c r="DA136" i="2"/>
  <c r="DB136" i="2" s="1"/>
  <c r="BO136" i="2"/>
  <c r="BJ136" i="2"/>
  <c r="BC136" i="2"/>
  <c r="AZ136" i="2"/>
  <c r="AY136" i="2"/>
  <c r="AO136" i="2"/>
  <c r="AN136" i="2"/>
  <c r="AM136" i="2"/>
  <c r="AL136" i="2"/>
  <c r="AK136" i="2"/>
  <c r="AG136" i="2"/>
  <c r="AE136" i="2"/>
  <c r="AF136" i="2" s="1"/>
  <c r="U136" i="2"/>
  <c r="S136" i="2"/>
  <c r="T136" i="2" s="1"/>
  <c r="R136" i="2"/>
  <c r="E136" i="2"/>
  <c r="GR135" i="2"/>
  <c r="GS135" i="2" s="1"/>
  <c r="GP135" i="2"/>
  <c r="GQ135" i="2" s="1"/>
  <c r="DO135" i="2" s="1"/>
  <c r="GN135" i="2"/>
  <c r="GO135" i="2" s="1"/>
  <c r="GL135" i="2"/>
  <c r="GM135" i="2" s="1"/>
  <c r="GH135" i="2"/>
  <c r="GG135" i="2"/>
  <c r="GI135" i="2" s="1"/>
  <c r="GD135" i="2"/>
  <c r="GC135" i="2"/>
  <c r="GB135" i="2"/>
  <c r="FY135" i="2"/>
  <c r="GA135" i="2" s="1"/>
  <c r="FS135" i="2"/>
  <c r="FT135" i="2" s="1"/>
  <c r="EW135" i="2"/>
  <c r="ET135" i="2"/>
  <c r="EU135" i="2" s="1"/>
  <c r="EQ135" i="2"/>
  <c r="ER135" i="2" s="1"/>
  <c r="EJ135" i="2"/>
  <c r="EE135" i="2"/>
  <c r="EF135" i="2" s="1"/>
  <c r="DX135" i="2"/>
  <c r="DP135" i="2"/>
  <c r="DF135" i="2"/>
  <c r="DE135" i="2"/>
  <c r="CY135" i="2"/>
  <c r="CZ135" i="2" s="1"/>
  <c r="CF135" i="2"/>
  <c r="CH135" i="2"/>
  <c r="CA135" i="2"/>
  <c r="DA135" i="2"/>
  <c r="DB135" i="2" s="1"/>
  <c r="BO135" i="2"/>
  <c r="BJ135" i="2"/>
  <c r="BC135" i="2"/>
  <c r="AZ135" i="2"/>
  <c r="AY135" i="2"/>
  <c r="AO135" i="2"/>
  <c r="AN135" i="2"/>
  <c r="AM135" i="2"/>
  <c r="AL135" i="2"/>
  <c r="AK135" i="2"/>
  <c r="AG135" i="2"/>
  <c r="AE135" i="2"/>
  <c r="AF135" i="2" s="1"/>
  <c r="U135" i="2"/>
  <c r="S135" i="2"/>
  <c r="T135" i="2" s="1"/>
  <c r="R135" i="2"/>
  <c r="E135" i="2"/>
  <c r="GR134" i="2"/>
  <c r="GS134" i="2" s="1"/>
  <c r="GP134" i="2"/>
  <c r="GQ134" i="2" s="1"/>
  <c r="GN134" i="2"/>
  <c r="GO134" i="2" s="1"/>
  <c r="GL134" i="2"/>
  <c r="GM134" i="2" s="1"/>
  <c r="GH134" i="2"/>
  <c r="GG134" i="2"/>
  <c r="GI134" i="2" s="1"/>
  <c r="GD134" i="2"/>
  <c r="GC134" i="2"/>
  <c r="GB134" i="2"/>
  <c r="FY134" i="2"/>
  <c r="GA134" i="2" s="1"/>
  <c r="FS134" i="2"/>
  <c r="FT134" i="2" s="1"/>
  <c r="EW134" i="2"/>
  <c r="ET134" i="2"/>
  <c r="EU134" i="2" s="1"/>
  <c r="EQ134" i="2"/>
  <c r="ER134" i="2" s="1"/>
  <c r="EJ134" i="2"/>
  <c r="EE134" i="2"/>
  <c r="EF134" i="2" s="1"/>
  <c r="DX134" i="2"/>
  <c r="DP134" i="2"/>
  <c r="DF134" i="2"/>
  <c r="DE134" i="2"/>
  <c r="CY134" i="2"/>
  <c r="CZ134" i="2" s="1"/>
  <c r="CF134" i="2"/>
  <c r="CH134" i="2"/>
  <c r="CA134" i="2"/>
  <c r="CR134" i="2"/>
  <c r="BO134" i="2"/>
  <c r="BJ134" i="2"/>
  <c r="BM134" i="2" s="1"/>
  <c r="BN134" i="2" s="1"/>
  <c r="BC134" i="2"/>
  <c r="AZ134" i="2"/>
  <c r="AY134" i="2"/>
  <c r="AO134" i="2"/>
  <c r="AN134" i="2"/>
  <c r="AM134" i="2"/>
  <c r="AL134" i="2"/>
  <c r="AK134" i="2"/>
  <c r="AG134" i="2"/>
  <c r="AE134" i="2"/>
  <c r="AF134" i="2" s="1"/>
  <c r="U134" i="2"/>
  <c r="S134" i="2"/>
  <c r="T134" i="2" s="1"/>
  <c r="R134" i="2"/>
  <c r="Y134" i="2" s="1"/>
  <c r="AB134" i="2" s="1"/>
  <c r="E134" i="2"/>
  <c r="GR133" i="2"/>
  <c r="GS133" i="2" s="1"/>
  <c r="GP133" i="2"/>
  <c r="GQ133" i="2" s="1"/>
  <c r="DO133" i="2" s="1"/>
  <c r="GN133" i="2"/>
  <c r="GO133" i="2" s="1"/>
  <c r="GL133" i="2"/>
  <c r="GM133" i="2" s="1"/>
  <c r="GH133" i="2"/>
  <c r="GG133" i="2"/>
  <c r="GI133" i="2" s="1"/>
  <c r="GD133" i="2"/>
  <c r="GC133" i="2"/>
  <c r="GB133" i="2"/>
  <c r="FY133" i="2"/>
  <c r="FZ133" i="2" s="1"/>
  <c r="FS133" i="2"/>
  <c r="FT133" i="2" s="1"/>
  <c r="EW133" i="2"/>
  <c r="ET133" i="2"/>
  <c r="EU133" i="2" s="1"/>
  <c r="EQ133" i="2"/>
  <c r="ER133" i="2" s="1"/>
  <c r="EJ133" i="2"/>
  <c r="EE133" i="2"/>
  <c r="EF133" i="2" s="1"/>
  <c r="DX133" i="2"/>
  <c r="DP133" i="2"/>
  <c r="DF133" i="2"/>
  <c r="DH133" i="2" s="1"/>
  <c r="DE133" i="2"/>
  <c r="CY133" i="2"/>
  <c r="CZ133" i="2" s="1"/>
  <c r="CF133" i="2"/>
  <c r="CH133" i="2"/>
  <c r="CA133" i="2"/>
  <c r="CR133" i="2"/>
  <c r="BO133" i="2"/>
  <c r="BJ133" i="2"/>
  <c r="BC133" i="2"/>
  <c r="AZ133" i="2"/>
  <c r="AY133" i="2"/>
  <c r="AO133" i="2"/>
  <c r="AN133" i="2"/>
  <c r="AM133" i="2"/>
  <c r="AL133" i="2"/>
  <c r="AK133" i="2"/>
  <c r="AG133" i="2"/>
  <c r="AE133" i="2"/>
  <c r="AF133" i="2" s="1"/>
  <c r="U133" i="2"/>
  <c r="S133" i="2"/>
  <c r="T133" i="2" s="1"/>
  <c r="R133" i="2"/>
  <c r="Y133" i="2" s="1"/>
  <c r="AB133" i="2" s="1"/>
  <c r="E133" i="2"/>
  <c r="GR132" i="2"/>
  <c r="GS132" i="2" s="1"/>
  <c r="GP132" i="2"/>
  <c r="GQ132" i="2" s="1"/>
  <c r="GN132" i="2"/>
  <c r="GO132" i="2" s="1"/>
  <c r="GL132" i="2"/>
  <c r="GM132" i="2" s="1"/>
  <c r="GH132" i="2"/>
  <c r="GG132" i="2"/>
  <c r="GD132" i="2"/>
  <c r="GC132" i="2"/>
  <c r="GB132" i="2"/>
  <c r="FY132" i="2"/>
  <c r="GA132" i="2" s="1"/>
  <c r="FS132" i="2"/>
  <c r="FT132" i="2" s="1"/>
  <c r="EW132" i="2"/>
  <c r="ET132" i="2"/>
  <c r="EU132" i="2" s="1"/>
  <c r="EQ132" i="2"/>
  <c r="ER132" i="2" s="1"/>
  <c r="EJ132" i="2"/>
  <c r="EE132" i="2"/>
  <c r="EF132" i="2" s="1"/>
  <c r="DX132" i="2"/>
  <c r="DP132" i="2"/>
  <c r="DF132" i="2"/>
  <c r="DH132" i="2" s="1"/>
  <c r="DE132" i="2"/>
  <c r="CY132" i="2"/>
  <c r="CZ132" i="2" s="1"/>
  <c r="CF132" i="2"/>
  <c r="CH132" i="2"/>
  <c r="CA132" i="2"/>
  <c r="CR132" i="2"/>
  <c r="BO132" i="2"/>
  <c r="BJ132" i="2"/>
  <c r="BK132" i="2" s="1"/>
  <c r="CL132" i="2" s="1"/>
  <c r="BC132" i="2"/>
  <c r="AZ132" i="2"/>
  <c r="AY132" i="2"/>
  <c r="AO132" i="2"/>
  <c r="AN132" i="2"/>
  <c r="AM132" i="2"/>
  <c r="AL132" i="2"/>
  <c r="AK132" i="2"/>
  <c r="AG132" i="2"/>
  <c r="AE132" i="2"/>
  <c r="AF132" i="2" s="1"/>
  <c r="U132" i="2"/>
  <c r="S132" i="2"/>
  <c r="T132" i="2" s="1"/>
  <c r="R132" i="2"/>
  <c r="E132" i="2"/>
  <c r="GR131" i="2"/>
  <c r="GS131" i="2" s="1"/>
  <c r="GP131" i="2"/>
  <c r="GQ131" i="2" s="1"/>
  <c r="GN131" i="2"/>
  <c r="GO131" i="2" s="1"/>
  <c r="GL131" i="2"/>
  <c r="GM131" i="2" s="1"/>
  <c r="GH131" i="2"/>
  <c r="GG131" i="2"/>
  <c r="GI131" i="2" s="1"/>
  <c r="GD131" i="2"/>
  <c r="GC131" i="2"/>
  <c r="GB131" i="2"/>
  <c r="FY131" i="2"/>
  <c r="GA131" i="2" s="1"/>
  <c r="FS131" i="2"/>
  <c r="FT131" i="2" s="1"/>
  <c r="EW131" i="2"/>
  <c r="ET131" i="2"/>
  <c r="EU131" i="2" s="1"/>
  <c r="EQ131" i="2"/>
  <c r="ER131" i="2" s="1"/>
  <c r="EJ131" i="2"/>
  <c r="EE131" i="2"/>
  <c r="EF131" i="2" s="1"/>
  <c r="DX131" i="2"/>
  <c r="DP131" i="2"/>
  <c r="DF131" i="2"/>
  <c r="DH131" i="2" s="1"/>
  <c r="DE131" i="2"/>
  <c r="CY131" i="2"/>
  <c r="CZ131" i="2" s="1"/>
  <c r="CF131" i="2"/>
  <c r="CA131" i="2"/>
  <c r="DA131" i="2"/>
  <c r="DB131" i="2" s="1"/>
  <c r="BO131" i="2"/>
  <c r="BJ131" i="2"/>
  <c r="BM131" i="2" s="1"/>
  <c r="BN131" i="2" s="1"/>
  <c r="BC131" i="2"/>
  <c r="AZ131" i="2"/>
  <c r="AY131" i="2"/>
  <c r="AO131" i="2"/>
  <c r="AN131" i="2"/>
  <c r="AM131" i="2"/>
  <c r="AL131" i="2"/>
  <c r="AK131" i="2"/>
  <c r="AG131" i="2"/>
  <c r="AE131" i="2"/>
  <c r="AF131" i="2" s="1"/>
  <c r="U131" i="2"/>
  <c r="S131" i="2"/>
  <c r="T131" i="2" s="1"/>
  <c r="R131" i="2"/>
  <c r="X131" i="2" s="1"/>
  <c r="AA131" i="2" s="1"/>
  <c r="E131" i="2"/>
  <c r="GR130" i="2"/>
  <c r="GS130" i="2" s="1"/>
  <c r="GP130" i="2"/>
  <c r="GQ130" i="2" s="1"/>
  <c r="DU130" i="2" s="1"/>
  <c r="GN130" i="2"/>
  <c r="GO130" i="2" s="1"/>
  <c r="GL130" i="2"/>
  <c r="GM130" i="2" s="1"/>
  <c r="GH130" i="2"/>
  <c r="GG130" i="2"/>
  <c r="GI130" i="2" s="1"/>
  <c r="GD130" i="2"/>
  <c r="GC130" i="2"/>
  <c r="GB130" i="2"/>
  <c r="FY130" i="2"/>
  <c r="FZ130" i="2" s="1"/>
  <c r="FS130" i="2"/>
  <c r="FT130" i="2" s="1"/>
  <c r="EW130" i="2"/>
  <c r="ET130" i="2"/>
  <c r="EU130" i="2" s="1"/>
  <c r="EQ130" i="2"/>
  <c r="ER130" i="2" s="1"/>
  <c r="EJ130" i="2"/>
  <c r="EE130" i="2"/>
  <c r="EF130" i="2" s="1"/>
  <c r="DX130" i="2"/>
  <c r="DP130" i="2"/>
  <c r="DF130" i="2"/>
  <c r="DH130" i="2" s="1"/>
  <c r="DE130" i="2"/>
  <c r="CY130" i="2"/>
  <c r="CZ130" i="2" s="1"/>
  <c r="CF130" i="2"/>
  <c r="CA130" i="2"/>
  <c r="CW130" i="2"/>
  <c r="BO130" i="2"/>
  <c r="BJ130" i="2"/>
  <c r="BM130" i="2" s="1"/>
  <c r="BN130" i="2" s="1"/>
  <c r="BC130" i="2"/>
  <c r="AZ130" i="2"/>
  <c r="AY130" i="2"/>
  <c r="AO130" i="2"/>
  <c r="AN130" i="2"/>
  <c r="AM130" i="2"/>
  <c r="AL130" i="2"/>
  <c r="AK130" i="2"/>
  <c r="AG130" i="2"/>
  <c r="AE130" i="2"/>
  <c r="AF130" i="2" s="1"/>
  <c r="U130" i="2"/>
  <c r="S130" i="2"/>
  <c r="T130" i="2" s="1"/>
  <c r="R130" i="2"/>
  <c r="Y130" i="2" s="1"/>
  <c r="AB130" i="2" s="1"/>
  <c r="E130" i="2"/>
  <c r="GR129" i="2"/>
  <c r="GS129" i="2" s="1"/>
  <c r="GP129" i="2"/>
  <c r="GQ129" i="2" s="1"/>
  <c r="DU129" i="2" s="1"/>
  <c r="GN129" i="2"/>
  <c r="GO129" i="2" s="1"/>
  <c r="GL129" i="2"/>
  <c r="GM129" i="2" s="1"/>
  <c r="GH129" i="2"/>
  <c r="GG129" i="2"/>
  <c r="GI129" i="2" s="1"/>
  <c r="GD129" i="2"/>
  <c r="GC129" i="2"/>
  <c r="GB129" i="2"/>
  <c r="FY129" i="2"/>
  <c r="GA129" i="2" s="1"/>
  <c r="FS129" i="2"/>
  <c r="FT129" i="2" s="1"/>
  <c r="EW129" i="2"/>
  <c r="ET129" i="2"/>
  <c r="EU129" i="2" s="1"/>
  <c r="EQ129" i="2"/>
  <c r="ER129" i="2" s="1"/>
  <c r="EJ129" i="2"/>
  <c r="EE129" i="2"/>
  <c r="EF129" i="2" s="1"/>
  <c r="DX129" i="2"/>
  <c r="DP129" i="2"/>
  <c r="DF129" i="2"/>
  <c r="DH129" i="2" s="1"/>
  <c r="DE129" i="2"/>
  <c r="CY129" i="2"/>
  <c r="CZ129" i="2" s="1"/>
  <c r="CF129" i="2"/>
  <c r="CA129" i="2"/>
  <c r="BO129" i="2"/>
  <c r="BJ129" i="2"/>
  <c r="BM129" i="2" s="1"/>
  <c r="BN129" i="2" s="1"/>
  <c r="BC129" i="2"/>
  <c r="AZ129" i="2"/>
  <c r="AY129" i="2"/>
  <c r="AO129" i="2"/>
  <c r="AN129" i="2"/>
  <c r="AM129" i="2"/>
  <c r="AL129" i="2"/>
  <c r="AI129" i="2"/>
  <c r="AK129" i="2" s="1"/>
  <c r="AG129" i="2"/>
  <c r="AE129" i="2"/>
  <c r="AF129" i="2" s="1"/>
  <c r="U129" i="2"/>
  <c r="S129" i="2"/>
  <c r="T129" i="2" s="1"/>
  <c r="R129" i="2"/>
  <c r="X129" i="2" s="1"/>
  <c r="E129" i="2"/>
  <c r="GR47" i="2"/>
  <c r="GS47" i="2" s="1"/>
  <c r="GP47" i="2"/>
  <c r="GQ47" i="2" s="1"/>
  <c r="GN47" i="2"/>
  <c r="GO47" i="2" s="1"/>
  <c r="GL47" i="2"/>
  <c r="GM47" i="2" s="1"/>
  <c r="GH47" i="2"/>
  <c r="GG47" i="2"/>
  <c r="GI47" i="2" s="1"/>
  <c r="GD47" i="2"/>
  <c r="GC47" i="2"/>
  <c r="GB47" i="2"/>
  <c r="FY47" i="2"/>
  <c r="GA47" i="2" s="1"/>
  <c r="FS47" i="2"/>
  <c r="FT47" i="2" s="1"/>
  <c r="EW47" i="2"/>
  <c r="ET47" i="2"/>
  <c r="EU47" i="2" s="1"/>
  <c r="EQ47" i="2"/>
  <c r="ER47" i="2" s="1"/>
  <c r="EJ47" i="2"/>
  <c r="EE47" i="2"/>
  <c r="EF47" i="2" s="1"/>
  <c r="DX47" i="2"/>
  <c r="DP47" i="2"/>
  <c r="DF47" i="2"/>
  <c r="DH47" i="2" s="1"/>
  <c r="DE47" i="2"/>
  <c r="CY47" i="2"/>
  <c r="CZ47" i="2" s="1"/>
  <c r="CF47" i="2"/>
  <c r="CH47" i="2"/>
  <c r="CA47" i="2"/>
  <c r="DA47" i="2"/>
  <c r="DB47" i="2" s="1"/>
  <c r="BO47" i="2"/>
  <c r="BJ47" i="2"/>
  <c r="BM47" i="2" s="1"/>
  <c r="BN47" i="2" s="1"/>
  <c r="BC47" i="2"/>
  <c r="AZ47" i="2"/>
  <c r="AY47" i="2"/>
  <c r="AO47" i="2"/>
  <c r="AN47" i="2"/>
  <c r="AM47" i="2"/>
  <c r="AL47" i="2"/>
  <c r="AK47" i="2"/>
  <c r="AG47" i="2"/>
  <c r="AE47" i="2"/>
  <c r="AF47" i="2" s="1"/>
  <c r="U47" i="2"/>
  <c r="S47" i="2"/>
  <c r="T47" i="2" s="1"/>
  <c r="R47" i="2"/>
  <c r="X47" i="2" s="1"/>
  <c r="E47" i="2"/>
  <c r="GR127" i="2"/>
  <c r="GS127" i="2" s="1"/>
  <c r="GP127" i="2"/>
  <c r="GQ127" i="2" s="1"/>
  <c r="GN127" i="2"/>
  <c r="GO127" i="2" s="1"/>
  <c r="GL127" i="2"/>
  <c r="GM127" i="2" s="1"/>
  <c r="GH127" i="2"/>
  <c r="GG127" i="2"/>
  <c r="GI127" i="2" s="1"/>
  <c r="GD127" i="2"/>
  <c r="GC127" i="2"/>
  <c r="GB127" i="2"/>
  <c r="FY127" i="2"/>
  <c r="GA127" i="2" s="1"/>
  <c r="FS127" i="2"/>
  <c r="FT127" i="2" s="1"/>
  <c r="EW127" i="2"/>
  <c r="ET127" i="2"/>
  <c r="EU127" i="2" s="1"/>
  <c r="EQ127" i="2"/>
  <c r="ER127" i="2" s="1"/>
  <c r="EJ127" i="2"/>
  <c r="EE127" i="2"/>
  <c r="EF127" i="2" s="1"/>
  <c r="DX127" i="2"/>
  <c r="DP127" i="2"/>
  <c r="DF127" i="2"/>
  <c r="DH127" i="2" s="1"/>
  <c r="DE127" i="2"/>
  <c r="CY127" i="2"/>
  <c r="CZ127" i="2" s="1"/>
  <c r="CF127" i="2"/>
  <c r="CH127" i="2"/>
  <c r="CA127" i="2"/>
  <c r="DA127" i="2"/>
  <c r="DB127" i="2" s="1"/>
  <c r="BO127" i="2"/>
  <c r="BJ127" i="2"/>
  <c r="BM127" i="2" s="1"/>
  <c r="BN127" i="2" s="1"/>
  <c r="BC127" i="2"/>
  <c r="AZ127" i="2"/>
  <c r="AY127" i="2"/>
  <c r="AO127" i="2"/>
  <c r="AN127" i="2"/>
  <c r="AM127" i="2"/>
  <c r="AL127" i="2"/>
  <c r="AK127" i="2"/>
  <c r="AG127" i="2"/>
  <c r="AE127" i="2"/>
  <c r="AF127" i="2" s="1"/>
  <c r="U127" i="2"/>
  <c r="S127" i="2"/>
  <c r="T127" i="2" s="1"/>
  <c r="R127" i="2"/>
  <c r="X127" i="2" s="1"/>
  <c r="E127" i="2"/>
  <c r="GR126" i="2"/>
  <c r="GS126" i="2" s="1"/>
  <c r="GP126" i="2"/>
  <c r="GQ126" i="2" s="1"/>
  <c r="GN126" i="2"/>
  <c r="GO126" i="2" s="1"/>
  <c r="GL126" i="2"/>
  <c r="GM126" i="2" s="1"/>
  <c r="GH126" i="2"/>
  <c r="GG126" i="2"/>
  <c r="GI126" i="2" s="1"/>
  <c r="GD126" i="2"/>
  <c r="GC126" i="2"/>
  <c r="GB126" i="2"/>
  <c r="FY126" i="2"/>
  <c r="GA126" i="2" s="1"/>
  <c r="FS126" i="2"/>
  <c r="FT126" i="2" s="1"/>
  <c r="EW126" i="2"/>
  <c r="ET126" i="2"/>
  <c r="EU126" i="2" s="1"/>
  <c r="EQ126" i="2"/>
  <c r="ER126" i="2" s="1"/>
  <c r="EJ126" i="2"/>
  <c r="EE126" i="2"/>
  <c r="EF126" i="2" s="1"/>
  <c r="DX126" i="2"/>
  <c r="DP126" i="2"/>
  <c r="DF126" i="2"/>
  <c r="DH126" i="2" s="1"/>
  <c r="DE126" i="2"/>
  <c r="CY126" i="2"/>
  <c r="CZ126" i="2" s="1"/>
  <c r="CF126" i="2"/>
  <c r="CH126" i="2"/>
  <c r="CA126" i="2"/>
  <c r="BO126" i="2"/>
  <c r="BJ126" i="2"/>
  <c r="BM126" i="2" s="1"/>
  <c r="BN126" i="2" s="1"/>
  <c r="BC126" i="2"/>
  <c r="AZ126" i="2"/>
  <c r="AY126" i="2"/>
  <c r="AO126" i="2"/>
  <c r="AN126" i="2"/>
  <c r="AM126" i="2"/>
  <c r="AL126" i="2"/>
  <c r="AK126" i="2"/>
  <c r="AG126" i="2"/>
  <c r="AE126" i="2"/>
  <c r="AF126" i="2" s="1"/>
  <c r="U126" i="2"/>
  <c r="S126" i="2"/>
  <c r="T126" i="2" s="1"/>
  <c r="R126" i="2"/>
  <c r="X126" i="2" s="1"/>
  <c r="E126" i="2"/>
  <c r="GR125" i="2"/>
  <c r="GS125" i="2" s="1"/>
  <c r="GP125" i="2"/>
  <c r="GQ125" i="2" s="1"/>
  <c r="DO125" i="2" s="1"/>
  <c r="GN125" i="2"/>
  <c r="GO125" i="2" s="1"/>
  <c r="GL125" i="2"/>
  <c r="GM125" i="2" s="1"/>
  <c r="GH125" i="2"/>
  <c r="GG125" i="2"/>
  <c r="GI125" i="2" s="1"/>
  <c r="GD125" i="2"/>
  <c r="GC125" i="2"/>
  <c r="GB125" i="2"/>
  <c r="FY125" i="2"/>
  <c r="GA125" i="2" s="1"/>
  <c r="FS125" i="2"/>
  <c r="FT125" i="2" s="1"/>
  <c r="EW125" i="2"/>
  <c r="ET125" i="2"/>
  <c r="EU125" i="2" s="1"/>
  <c r="EQ125" i="2"/>
  <c r="ER125" i="2" s="1"/>
  <c r="EJ125" i="2"/>
  <c r="EE125" i="2"/>
  <c r="EF125" i="2" s="1"/>
  <c r="DX125" i="2"/>
  <c r="DP125" i="2"/>
  <c r="DF125" i="2"/>
  <c r="DH125" i="2" s="1"/>
  <c r="DE125" i="2"/>
  <c r="CY125" i="2"/>
  <c r="CZ125" i="2" s="1"/>
  <c r="CF125" i="2"/>
  <c r="CH125" i="2"/>
  <c r="CA125" i="2"/>
  <c r="DA125" i="2"/>
  <c r="DB125" i="2" s="1"/>
  <c r="BO125" i="2"/>
  <c r="BJ125" i="2"/>
  <c r="BM125" i="2" s="1"/>
  <c r="BN125" i="2" s="1"/>
  <c r="BC125" i="2"/>
  <c r="AZ125" i="2"/>
  <c r="AY125" i="2"/>
  <c r="AO125" i="2"/>
  <c r="AN125" i="2"/>
  <c r="AM125" i="2"/>
  <c r="AL125" i="2"/>
  <c r="AK125" i="2"/>
  <c r="AG125" i="2"/>
  <c r="AE125" i="2"/>
  <c r="AF125" i="2" s="1"/>
  <c r="U125" i="2"/>
  <c r="S125" i="2"/>
  <c r="T125" i="2" s="1"/>
  <c r="R125" i="2"/>
  <c r="X125" i="2" s="1"/>
  <c r="E125" i="2"/>
  <c r="GR124" i="2"/>
  <c r="GS124" i="2" s="1"/>
  <c r="GP124" i="2"/>
  <c r="GQ124" i="2" s="1"/>
  <c r="GN124" i="2"/>
  <c r="GO124" i="2" s="1"/>
  <c r="GL124" i="2"/>
  <c r="GM124" i="2" s="1"/>
  <c r="GH124" i="2"/>
  <c r="GG124" i="2"/>
  <c r="GI124" i="2" s="1"/>
  <c r="GD124" i="2"/>
  <c r="GC124" i="2"/>
  <c r="GB124" i="2"/>
  <c r="FY124" i="2"/>
  <c r="GA124" i="2" s="1"/>
  <c r="FS124" i="2"/>
  <c r="FT124" i="2" s="1"/>
  <c r="EW124" i="2"/>
  <c r="ET124" i="2"/>
  <c r="EU124" i="2" s="1"/>
  <c r="EQ124" i="2"/>
  <c r="ER124" i="2" s="1"/>
  <c r="EJ124" i="2"/>
  <c r="EE124" i="2"/>
  <c r="EF124" i="2" s="1"/>
  <c r="DX124" i="2"/>
  <c r="DP124" i="2"/>
  <c r="DF124" i="2"/>
  <c r="DH124" i="2" s="1"/>
  <c r="DE124" i="2"/>
  <c r="CY124" i="2"/>
  <c r="CZ124" i="2" s="1"/>
  <c r="CF124" i="2"/>
  <c r="CH124" i="2"/>
  <c r="CA124" i="2"/>
  <c r="DA124" i="2"/>
  <c r="DB124" i="2" s="1"/>
  <c r="BO124" i="2"/>
  <c r="BJ124" i="2"/>
  <c r="BM124" i="2" s="1"/>
  <c r="BN124" i="2" s="1"/>
  <c r="BC124" i="2"/>
  <c r="AZ124" i="2"/>
  <c r="AY124" i="2"/>
  <c r="AO124" i="2"/>
  <c r="AN124" i="2"/>
  <c r="AM124" i="2"/>
  <c r="AL124" i="2"/>
  <c r="AK124" i="2"/>
  <c r="AG124" i="2"/>
  <c r="AE124" i="2"/>
  <c r="AF124" i="2" s="1"/>
  <c r="U124" i="2"/>
  <c r="S124" i="2"/>
  <c r="T124" i="2" s="1"/>
  <c r="R124" i="2"/>
  <c r="E124" i="2"/>
  <c r="GR123" i="2"/>
  <c r="GS123" i="2" s="1"/>
  <c r="GP123" i="2"/>
  <c r="GQ123" i="2" s="1"/>
  <c r="GN123" i="2"/>
  <c r="GO123" i="2" s="1"/>
  <c r="GL123" i="2"/>
  <c r="GM123" i="2" s="1"/>
  <c r="GH123" i="2"/>
  <c r="GG123" i="2"/>
  <c r="GI123" i="2" s="1"/>
  <c r="GD123" i="2"/>
  <c r="GC123" i="2"/>
  <c r="GB123" i="2"/>
  <c r="FY123" i="2"/>
  <c r="GA123" i="2" s="1"/>
  <c r="FS123" i="2"/>
  <c r="FT123" i="2" s="1"/>
  <c r="EW123" i="2"/>
  <c r="ET123" i="2"/>
  <c r="EU123" i="2" s="1"/>
  <c r="EQ123" i="2"/>
  <c r="ER123" i="2" s="1"/>
  <c r="EJ123" i="2"/>
  <c r="EE123" i="2"/>
  <c r="EF123" i="2" s="1"/>
  <c r="DX123" i="2"/>
  <c r="DP123" i="2"/>
  <c r="DF123" i="2"/>
  <c r="DE123" i="2"/>
  <c r="CY123" i="2"/>
  <c r="CZ123" i="2" s="1"/>
  <c r="CF123" i="2"/>
  <c r="CH123" i="2"/>
  <c r="CA123" i="2"/>
  <c r="DA123" i="2"/>
  <c r="DB123" i="2" s="1"/>
  <c r="BO123" i="2"/>
  <c r="BJ123" i="2"/>
  <c r="BC123" i="2"/>
  <c r="AZ123" i="2"/>
  <c r="AY123" i="2"/>
  <c r="AO123" i="2"/>
  <c r="AN123" i="2"/>
  <c r="AM123" i="2"/>
  <c r="AL123" i="2"/>
  <c r="AK123" i="2"/>
  <c r="AG123" i="2"/>
  <c r="AE123" i="2"/>
  <c r="AF123" i="2" s="1"/>
  <c r="U123" i="2"/>
  <c r="S123" i="2"/>
  <c r="T123" i="2" s="1"/>
  <c r="R123" i="2"/>
  <c r="E123" i="2"/>
  <c r="GR122" i="2"/>
  <c r="GS122" i="2" s="1"/>
  <c r="GP122" i="2"/>
  <c r="GQ122" i="2" s="1"/>
  <c r="GN122" i="2"/>
  <c r="GO122" i="2" s="1"/>
  <c r="GL122" i="2"/>
  <c r="GM122" i="2" s="1"/>
  <c r="GH122" i="2"/>
  <c r="GG122" i="2"/>
  <c r="GI122" i="2" s="1"/>
  <c r="GD122" i="2"/>
  <c r="GC122" i="2"/>
  <c r="GB122" i="2"/>
  <c r="FY122" i="2"/>
  <c r="GA122" i="2" s="1"/>
  <c r="FS122" i="2"/>
  <c r="FT122" i="2" s="1"/>
  <c r="EW122" i="2"/>
  <c r="ET122" i="2"/>
  <c r="EU122" i="2" s="1"/>
  <c r="EQ122" i="2"/>
  <c r="ER122" i="2" s="1"/>
  <c r="EJ122" i="2"/>
  <c r="EE122" i="2"/>
  <c r="EF122" i="2" s="1"/>
  <c r="DX122" i="2"/>
  <c r="DP122" i="2"/>
  <c r="DF122" i="2"/>
  <c r="DH122" i="2" s="1"/>
  <c r="DE122" i="2"/>
  <c r="CY122" i="2"/>
  <c r="CZ122" i="2" s="1"/>
  <c r="CF122" i="2"/>
  <c r="CH122" i="2"/>
  <c r="CA122" i="2"/>
  <c r="BO122" i="2"/>
  <c r="BJ122" i="2"/>
  <c r="BM122" i="2" s="1"/>
  <c r="BN122" i="2" s="1"/>
  <c r="BC122" i="2"/>
  <c r="AZ122" i="2"/>
  <c r="AY122" i="2"/>
  <c r="AO122" i="2"/>
  <c r="AN122" i="2"/>
  <c r="AM122" i="2"/>
  <c r="AL122" i="2"/>
  <c r="AK122" i="2"/>
  <c r="AG122" i="2"/>
  <c r="AE122" i="2"/>
  <c r="AF122" i="2" s="1"/>
  <c r="U122" i="2"/>
  <c r="S122" i="2"/>
  <c r="T122" i="2" s="1"/>
  <c r="R122" i="2"/>
  <c r="X122" i="2" s="1"/>
  <c r="E122" i="2"/>
  <c r="GR121" i="2"/>
  <c r="GS121" i="2" s="1"/>
  <c r="GP121" i="2"/>
  <c r="GQ121" i="2" s="1"/>
  <c r="DU121" i="2" s="1"/>
  <c r="GN121" i="2"/>
  <c r="GO121" i="2" s="1"/>
  <c r="GL121" i="2"/>
  <c r="GM121" i="2" s="1"/>
  <c r="GH121" i="2"/>
  <c r="GG121" i="2"/>
  <c r="GI121" i="2" s="1"/>
  <c r="GD121" i="2"/>
  <c r="GC121" i="2"/>
  <c r="GB121" i="2"/>
  <c r="FY121" i="2"/>
  <c r="GA121" i="2" s="1"/>
  <c r="FS121" i="2"/>
  <c r="FT121" i="2" s="1"/>
  <c r="EW121" i="2"/>
  <c r="ET121" i="2"/>
  <c r="EU121" i="2" s="1"/>
  <c r="EQ121" i="2"/>
  <c r="ER121" i="2" s="1"/>
  <c r="EJ121" i="2"/>
  <c r="EE121" i="2"/>
  <c r="EF121" i="2" s="1"/>
  <c r="DX121" i="2"/>
  <c r="DP121" i="2"/>
  <c r="DF121" i="2"/>
  <c r="DH121" i="2" s="1"/>
  <c r="DE121" i="2"/>
  <c r="CY121" i="2"/>
  <c r="CZ121" i="2" s="1"/>
  <c r="CF121" i="2"/>
  <c r="CA121" i="2"/>
  <c r="CW121" i="2"/>
  <c r="BO121" i="2"/>
  <c r="BJ121" i="2"/>
  <c r="BM121" i="2" s="1"/>
  <c r="BN121" i="2" s="1"/>
  <c r="BC121" i="2"/>
  <c r="AZ121" i="2"/>
  <c r="AY121" i="2"/>
  <c r="AO121" i="2"/>
  <c r="AN121" i="2"/>
  <c r="AM121" i="2"/>
  <c r="AL121" i="2"/>
  <c r="AK121" i="2"/>
  <c r="AG121" i="2"/>
  <c r="AE121" i="2"/>
  <c r="AF121" i="2" s="1"/>
  <c r="U121" i="2"/>
  <c r="S121" i="2"/>
  <c r="T121" i="2" s="1"/>
  <c r="R121" i="2"/>
  <c r="Y121" i="2" s="1"/>
  <c r="AB121" i="2" s="1"/>
  <c r="E121" i="2"/>
  <c r="GR120" i="2"/>
  <c r="GS120" i="2" s="1"/>
  <c r="GP120" i="2"/>
  <c r="GQ120" i="2" s="1"/>
  <c r="DU120" i="2" s="1"/>
  <c r="GN120" i="2"/>
  <c r="GO120" i="2" s="1"/>
  <c r="GL120" i="2"/>
  <c r="GM120" i="2" s="1"/>
  <c r="GH120" i="2"/>
  <c r="GG120" i="2"/>
  <c r="GI120" i="2" s="1"/>
  <c r="GD120" i="2"/>
  <c r="GC120" i="2"/>
  <c r="GB120" i="2"/>
  <c r="FY120" i="2"/>
  <c r="GA120" i="2" s="1"/>
  <c r="FS120" i="2"/>
  <c r="FT120" i="2" s="1"/>
  <c r="EW120" i="2"/>
  <c r="ET120" i="2"/>
  <c r="EU120" i="2" s="1"/>
  <c r="EQ120" i="2"/>
  <c r="ER120" i="2" s="1"/>
  <c r="EJ120" i="2"/>
  <c r="EE120" i="2"/>
  <c r="EF120" i="2" s="1"/>
  <c r="DX120" i="2"/>
  <c r="DP120" i="2"/>
  <c r="DF120" i="2"/>
  <c r="DH120" i="2" s="1"/>
  <c r="DE120" i="2"/>
  <c r="CY120" i="2"/>
  <c r="CZ120" i="2" s="1"/>
  <c r="CF120" i="2"/>
  <c r="CA120" i="2"/>
  <c r="CW120" i="2"/>
  <c r="BO120" i="2"/>
  <c r="BJ120" i="2"/>
  <c r="BM120" i="2" s="1"/>
  <c r="BN120" i="2" s="1"/>
  <c r="BC120" i="2"/>
  <c r="AZ120" i="2"/>
  <c r="AY120" i="2"/>
  <c r="AO120" i="2"/>
  <c r="AN120" i="2"/>
  <c r="AM120" i="2"/>
  <c r="AL120" i="2"/>
  <c r="AK120" i="2"/>
  <c r="AG120" i="2"/>
  <c r="AE120" i="2"/>
  <c r="AF120" i="2" s="1"/>
  <c r="U120" i="2"/>
  <c r="S120" i="2"/>
  <c r="R120" i="2"/>
  <c r="E120" i="2"/>
  <c r="GR119" i="2"/>
  <c r="GS119" i="2" s="1"/>
  <c r="GP119" i="2"/>
  <c r="GQ119" i="2" s="1"/>
  <c r="DU119" i="2" s="1"/>
  <c r="GN119" i="2"/>
  <c r="GO119" i="2" s="1"/>
  <c r="GL119" i="2"/>
  <c r="GM119" i="2" s="1"/>
  <c r="GH119" i="2"/>
  <c r="GG119" i="2"/>
  <c r="GI119" i="2" s="1"/>
  <c r="GD119" i="2"/>
  <c r="GC119" i="2"/>
  <c r="GB119" i="2"/>
  <c r="FY119" i="2"/>
  <c r="GA119" i="2" s="1"/>
  <c r="FS119" i="2"/>
  <c r="FT119" i="2" s="1"/>
  <c r="EW119" i="2"/>
  <c r="ET119" i="2"/>
  <c r="EU119" i="2" s="1"/>
  <c r="EQ119" i="2"/>
  <c r="ER119" i="2" s="1"/>
  <c r="EJ119" i="2"/>
  <c r="EE119" i="2"/>
  <c r="EF119" i="2" s="1"/>
  <c r="DX119" i="2"/>
  <c r="DP119" i="2"/>
  <c r="DF119" i="2"/>
  <c r="DH119" i="2" s="1"/>
  <c r="DE119" i="2"/>
  <c r="CY119" i="2"/>
  <c r="CZ119" i="2" s="1"/>
  <c r="CF119" i="2"/>
  <c r="CA119" i="2"/>
  <c r="CW119" i="2"/>
  <c r="BO119" i="2"/>
  <c r="BJ119" i="2"/>
  <c r="BM119" i="2" s="1"/>
  <c r="BN119" i="2" s="1"/>
  <c r="BC119" i="2"/>
  <c r="AZ119" i="2"/>
  <c r="AY119" i="2"/>
  <c r="AO119" i="2"/>
  <c r="AN119" i="2"/>
  <c r="AM119" i="2"/>
  <c r="AL119" i="2"/>
  <c r="AK119" i="2"/>
  <c r="AG119" i="2"/>
  <c r="AE119" i="2"/>
  <c r="AF119" i="2" s="1"/>
  <c r="U119" i="2"/>
  <c r="S119" i="2"/>
  <c r="R119" i="2"/>
  <c r="E119" i="2"/>
  <c r="GR118" i="2"/>
  <c r="GS118" i="2" s="1"/>
  <c r="GP118" i="2"/>
  <c r="GQ118" i="2" s="1"/>
  <c r="DU118" i="2" s="1"/>
  <c r="GN118" i="2"/>
  <c r="GO118" i="2" s="1"/>
  <c r="GL118" i="2"/>
  <c r="GM118" i="2" s="1"/>
  <c r="GH118" i="2"/>
  <c r="GG118" i="2"/>
  <c r="GI118" i="2" s="1"/>
  <c r="GD118" i="2"/>
  <c r="GC118" i="2"/>
  <c r="GB118" i="2"/>
  <c r="FY118" i="2"/>
  <c r="GA118" i="2" s="1"/>
  <c r="FS118" i="2"/>
  <c r="FT118" i="2" s="1"/>
  <c r="EW118" i="2"/>
  <c r="ET118" i="2"/>
  <c r="EU118" i="2" s="1"/>
  <c r="EQ118" i="2"/>
  <c r="ER118" i="2" s="1"/>
  <c r="EJ118" i="2"/>
  <c r="EE118" i="2"/>
  <c r="EF118" i="2" s="1"/>
  <c r="DX118" i="2"/>
  <c r="DP118" i="2"/>
  <c r="DF118" i="2"/>
  <c r="DH118" i="2" s="1"/>
  <c r="DE118" i="2"/>
  <c r="CY118" i="2"/>
  <c r="CZ118" i="2" s="1"/>
  <c r="CF118" i="2"/>
  <c r="CA118" i="2"/>
  <c r="BO118" i="2"/>
  <c r="BJ118" i="2"/>
  <c r="BM118" i="2" s="1"/>
  <c r="BN118" i="2" s="1"/>
  <c r="BC118" i="2"/>
  <c r="AZ118" i="2"/>
  <c r="AY118" i="2"/>
  <c r="AO118" i="2"/>
  <c r="AN118" i="2"/>
  <c r="AM118" i="2"/>
  <c r="AL118" i="2"/>
  <c r="AK118" i="2"/>
  <c r="AG118" i="2"/>
  <c r="AE118" i="2"/>
  <c r="AF118" i="2" s="1"/>
  <c r="U118" i="2"/>
  <c r="S118" i="2"/>
  <c r="T118" i="2" s="1"/>
  <c r="R118" i="2"/>
  <c r="Y118" i="2" s="1"/>
  <c r="AB118" i="2" s="1"/>
  <c r="E118" i="2"/>
  <c r="GR117" i="2"/>
  <c r="GS117" i="2" s="1"/>
  <c r="GP117" i="2"/>
  <c r="GQ117" i="2" s="1"/>
  <c r="DU117" i="2" s="1"/>
  <c r="GN117" i="2"/>
  <c r="GO117" i="2" s="1"/>
  <c r="GL117" i="2"/>
  <c r="GM117" i="2" s="1"/>
  <c r="GH117" i="2"/>
  <c r="GG117" i="2"/>
  <c r="GI117" i="2" s="1"/>
  <c r="GD117" i="2"/>
  <c r="GC117" i="2"/>
  <c r="GB117" i="2"/>
  <c r="FY117" i="2"/>
  <c r="GA117" i="2" s="1"/>
  <c r="FS117" i="2"/>
  <c r="FT117" i="2" s="1"/>
  <c r="EW117" i="2"/>
  <c r="ET117" i="2"/>
  <c r="EU117" i="2" s="1"/>
  <c r="EQ117" i="2"/>
  <c r="ER117" i="2" s="1"/>
  <c r="EJ117" i="2"/>
  <c r="EE117" i="2"/>
  <c r="EF117" i="2" s="1"/>
  <c r="DX117" i="2"/>
  <c r="DP117" i="2"/>
  <c r="DF117" i="2"/>
  <c r="DH117" i="2" s="1"/>
  <c r="DE117" i="2"/>
  <c r="CY117" i="2"/>
  <c r="CZ117" i="2" s="1"/>
  <c r="CF117" i="2"/>
  <c r="CA117" i="2"/>
  <c r="BO117" i="2"/>
  <c r="BJ117" i="2"/>
  <c r="BM117" i="2" s="1"/>
  <c r="BN117" i="2" s="1"/>
  <c r="BC117" i="2"/>
  <c r="AZ117" i="2"/>
  <c r="AY117" i="2"/>
  <c r="AO117" i="2"/>
  <c r="AN117" i="2"/>
  <c r="AM117" i="2"/>
  <c r="AL117" i="2"/>
  <c r="AK117" i="2"/>
  <c r="AG117" i="2"/>
  <c r="AE117" i="2"/>
  <c r="AF117" i="2" s="1"/>
  <c r="U117" i="2"/>
  <c r="S117" i="2"/>
  <c r="T117" i="2" s="1"/>
  <c r="R117" i="2"/>
  <c r="Y117" i="2" s="1"/>
  <c r="AB117" i="2" s="1"/>
  <c r="E117" i="2"/>
  <c r="GR198" i="2"/>
  <c r="GS198" i="2" s="1"/>
  <c r="GP198" i="2"/>
  <c r="GQ198" i="2" s="1"/>
  <c r="GN198" i="2"/>
  <c r="GO198" i="2" s="1"/>
  <c r="GL198" i="2"/>
  <c r="GM198" i="2" s="1"/>
  <c r="GH198" i="2"/>
  <c r="GG198" i="2"/>
  <c r="GI198" i="2" s="1"/>
  <c r="GD198" i="2"/>
  <c r="GC198" i="2"/>
  <c r="GB198" i="2"/>
  <c r="FY198" i="2"/>
  <c r="FZ198" i="2" s="1"/>
  <c r="FS198" i="2"/>
  <c r="FT198" i="2" s="1"/>
  <c r="EW198" i="2"/>
  <c r="ET198" i="2"/>
  <c r="EU198" i="2" s="1"/>
  <c r="EQ198" i="2"/>
  <c r="ER198" i="2" s="1"/>
  <c r="EJ198" i="2"/>
  <c r="EE198" i="2"/>
  <c r="EF198" i="2" s="1"/>
  <c r="DX198" i="2"/>
  <c r="DP198" i="2"/>
  <c r="DF198" i="2"/>
  <c r="DH198" i="2" s="1"/>
  <c r="DE198" i="2"/>
  <c r="CY198" i="2"/>
  <c r="CZ198" i="2" s="1"/>
  <c r="CF198" i="2"/>
  <c r="CA198" i="2"/>
  <c r="CW198" i="2"/>
  <c r="BO198" i="2"/>
  <c r="BJ198" i="2"/>
  <c r="BM198" i="2" s="1"/>
  <c r="BN198" i="2" s="1"/>
  <c r="BC198" i="2"/>
  <c r="AZ198" i="2"/>
  <c r="AY198" i="2"/>
  <c r="AO198" i="2"/>
  <c r="AN198" i="2"/>
  <c r="AM198" i="2"/>
  <c r="AL198" i="2"/>
  <c r="AK198" i="2"/>
  <c r="AG198" i="2"/>
  <c r="AE198" i="2"/>
  <c r="AF198" i="2" s="1"/>
  <c r="U198" i="2"/>
  <c r="S198" i="2"/>
  <c r="R198" i="2"/>
  <c r="Y198" i="2" s="1"/>
  <c r="AB198" i="2" s="1"/>
  <c r="E198" i="2"/>
  <c r="GR115" i="2"/>
  <c r="GS115" i="2" s="1"/>
  <c r="GP115" i="2"/>
  <c r="GQ115" i="2" s="1"/>
  <c r="GN115" i="2"/>
  <c r="GO115" i="2" s="1"/>
  <c r="GL115" i="2"/>
  <c r="GM115" i="2" s="1"/>
  <c r="GH115" i="2"/>
  <c r="GG115" i="2"/>
  <c r="GI115" i="2" s="1"/>
  <c r="GD115" i="2"/>
  <c r="GC115" i="2"/>
  <c r="GB115" i="2"/>
  <c r="FY115" i="2"/>
  <c r="GA115" i="2" s="1"/>
  <c r="FS115" i="2"/>
  <c r="FT115" i="2" s="1"/>
  <c r="EW115" i="2"/>
  <c r="ET115" i="2"/>
  <c r="EU115" i="2" s="1"/>
  <c r="EQ115" i="2"/>
  <c r="ER115" i="2" s="1"/>
  <c r="EJ115" i="2"/>
  <c r="EE115" i="2"/>
  <c r="EF115" i="2" s="1"/>
  <c r="DX115" i="2"/>
  <c r="DP115" i="2"/>
  <c r="DF115" i="2"/>
  <c r="DH115" i="2" s="1"/>
  <c r="DE115" i="2"/>
  <c r="CY115" i="2"/>
  <c r="CZ115" i="2" s="1"/>
  <c r="CF115" i="2"/>
  <c r="CA115" i="2"/>
  <c r="CW115" i="2"/>
  <c r="BO115" i="2"/>
  <c r="BJ115" i="2"/>
  <c r="BM115" i="2" s="1"/>
  <c r="BN115" i="2" s="1"/>
  <c r="BC115" i="2"/>
  <c r="AZ115" i="2"/>
  <c r="AY115" i="2"/>
  <c r="AO115" i="2"/>
  <c r="AN115" i="2"/>
  <c r="AM115" i="2"/>
  <c r="AL115" i="2"/>
  <c r="AK115" i="2"/>
  <c r="AG115" i="2"/>
  <c r="AE115" i="2"/>
  <c r="AF115" i="2" s="1"/>
  <c r="U115" i="2"/>
  <c r="S115" i="2"/>
  <c r="T115" i="2" s="1"/>
  <c r="R115" i="2"/>
  <c r="Y115" i="2" s="1"/>
  <c r="AB115" i="2" s="1"/>
  <c r="E115" i="2"/>
  <c r="GR114" i="2"/>
  <c r="GS114" i="2" s="1"/>
  <c r="GP114" i="2"/>
  <c r="GQ114" i="2" s="1"/>
  <c r="GN114" i="2"/>
  <c r="GO114" i="2" s="1"/>
  <c r="GL114" i="2"/>
  <c r="GM114" i="2" s="1"/>
  <c r="GH114" i="2"/>
  <c r="GG114" i="2"/>
  <c r="GI114" i="2" s="1"/>
  <c r="GD114" i="2"/>
  <c r="GC114" i="2"/>
  <c r="GB114" i="2"/>
  <c r="FY114" i="2"/>
  <c r="FZ114" i="2" s="1"/>
  <c r="FS114" i="2"/>
  <c r="FT114" i="2" s="1"/>
  <c r="EW114" i="2"/>
  <c r="ET114" i="2"/>
  <c r="EU114" i="2" s="1"/>
  <c r="EQ114" i="2"/>
  <c r="ER114" i="2" s="1"/>
  <c r="EJ114" i="2"/>
  <c r="EE114" i="2"/>
  <c r="EF114" i="2" s="1"/>
  <c r="DX114" i="2"/>
  <c r="DP114" i="2"/>
  <c r="DF114" i="2"/>
  <c r="DH114" i="2" s="1"/>
  <c r="DE114" i="2"/>
  <c r="CY114" i="2"/>
  <c r="CZ114" i="2" s="1"/>
  <c r="CF114" i="2"/>
  <c r="CA114" i="2"/>
  <c r="BO114" i="2"/>
  <c r="BJ114" i="2"/>
  <c r="BC114" i="2"/>
  <c r="AZ114" i="2"/>
  <c r="AY114" i="2"/>
  <c r="AO114" i="2"/>
  <c r="AN114" i="2"/>
  <c r="AM114" i="2"/>
  <c r="AL114" i="2"/>
  <c r="AK114" i="2"/>
  <c r="AG114" i="2"/>
  <c r="AE114" i="2"/>
  <c r="AF114" i="2" s="1"/>
  <c r="U114" i="2"/>
  <c r="S114" i="2"/>
  <c r="T114" i="2" s="1"/>
  <c r="R114" i="2"/>
  <c r="Y114" i="2" s="1"/>
  <c r="AB114" i="2" s="1"/>
  <c r="E114" i="2"/>
  <c r="GR113" i="2"/>
  <c r="GS113" i="2" s="1"/>
  <c r="GP113" i="2"/>
  <c r="GQ113" i="2" s="1"/>
  <c r="DO113" i="2" s="1"/>
  <c r="GN113" i="2"/>
  <c r="GO113" i="2" s="1"/>
  <c r="GL113" i="2"/>
  <c r="GM113" i="2" s="1"/>
  <c r="GH113" i="2"/>
  <c r="GG113" i="2"/>
  <c r="GI113" i="2" s="1"/>
  <c r="GD113" i="2"/>
  <c r="GC113" i="2"/>
  <c r="GB113" i="2"/>
  <c r="FY113" i="2"/>
  <c r="FS113" i="2"/>
  <c r="FT113" i="2" s="1"/>
  <c r="EW113" i="2"/>
  <c r="ET113" i="2"/>
  <c r="EU113" i="2" s="1"/>
  <c r="EQ113" i="2"/>
  <c r="ER113" i="2" s="1"/>
  <c r="EJ113" i="2"/>
  <c r="EE113" i="2"/>
  <c r="EF113" i="2" s="1"/>
  <c r="DX113" i="2"/>
  <c r="DP113" i="2"/>
  <c r="DF113" i="2"/>
  <c r="DH113" i="2" s="1"/>
  <c r="DE113" i="2"/>
  <c r="CY113" i="2"/>
  <c r="CZ113" i="2" s="1"/>
  <c r="CF113" i="2"/>
  <c r="CA113" i="2"/>
  <c r="CW113" i="2"/>
  <c r="BO113" i="2"/>
  <c r="BJ113" i="2"/>
  <c r="BC113" i="2"/>
  <c r="AZ113" i="2"/>
  <c r="AY113" i="2"/>
  <c r="AO113" i="2"/>
  <c r="AN113" i="2"/>
  <c r="AM113" i="2"/>
  <c r="AL113" i="2"/>
  <c r="AK113" i="2"/>
  <c r="AG113" i="2"/>
  <c r="AE113" i="2"/>
  <c r="AF113" i="2" s="1"/>
  <c r="U113" i="2"/>
  <c r="S113" i="2"/>
  <c r="T113" i="2" s="1"/>
  <c r="R113" i="2"/>
  <c r="Y113" i="2" s="1"/>
  <c r="AB113" i="2" s="1"/>
  <c r="E113" i="2"/>
  <c r="GR112" i="2"/>
  <c r="GS112" i="2" s="1"/>
  <c r="GP112" i="2"/>
  <c r="GQ112" i="2" s="1"/>
  <c r="DO112" i="2" s="1"/>
  <c r="GN112" i="2"/>
  <c r="GO112" i="2" s="1"/>
  <c r="GL112" i="2"/>
  <c r="GM112" i="2" s="1"/>
  <c r="GH112" i="2"/>
  <c r="GG112" i="2"/>
  <c r="GI112" i="2" s="1"/>
  <c r="GD112" i="2"/>
  <c r="GC112" i="2"/>
  <c r="GB112" i="2"/>
  <c r="FY112" i="2"/>
  <c r="GA112" i="2" s="1"/>
  <c r="FS112" i="2"/>
  <c r="FT112" i="2" s="1"/>
  <c r="EW112" i="2"/>
  <c r="ET112" i="2"/>
  <c r="EU112" i="2" s="1"/>
  <c r="EQ112" i="2"/>
  <c r="ER112" i="2" s="1"/>
  <c r="EJ112" i="2"/>
  <c r="EE112" i="2"/>
  <c r="EF112" i="2" s="1"/>
  <c r="DX112" i="2"/>
  <c r="DP112" i="2"/>
  <c r="DF112" i="2"/>
  <c r="DH112" i="2" s="1"/>
  <c r="DE112" i="2"/>
  <c r="CY112" i="2"/>
  <c r="CZ112" i="2" s="1"/>
  <c r="CF112" i="2"/>
  <c r="CA112" i="2"/>
  <c r="BO112" i="2"/>
  <c r="BJ112" i="2"/>
  <c r="BC112" i="2"/>
  <c r="AZ112" i="2"/>
  <c r="AY112" i="2"/>
  <c r="AO112" i="2"/>
  <c r="AN112" i="2"/>
  <c r="AM112" i="2"/>
  <c r="AL112" i="2"/>
  <c r="AK112" i="2"/>
  <c r="AG112" i="2"/>
  <c r="AE112" i="2"/>
  <c r="AF112" i="2" s="1"/>
  <c r="U112" i="2"/>
  <c r="S112" i="2"/>
  <c r="R112" i="2"/>
  <c r="X112" i="2" s="1"/>
  <c r="E112" i="2"/>
  <c r="GR85" i="2"/>
  <c r="GS85" i="2" s="1"/>
  <c r="GP85" i="2"/>
  <c r="GQ85" i="2" s="1"/>
  <c r="DO85" i="2" s="1"/>
  <c r="GN85" i="2"/>
  <c r="GO85" i="2" s="1"/>
  <c r="GL85" i="2"/>
  <c r="GM85" i="2" s="1"/>
  <c r="GH85" i="2"/>
  <c r="GG85" i="2"/>
  <c r="GI85" i="2" s="1"/>
  <c r="GD85" i="2"/>
  <c r="GC85" i="2"/>
  <c r="GB85" i="2"/>
  <c r="FY85" i="2"/>
  <c r="FS85" i="2"/>
  <c r="FT85" i="2" s="1"/>
  <c r="EW85" i="2"/>
  <c r="ET85" i="2"/>
  <c r="EU85" i="2" s="1"/>
  <c r="EQ85" i="2"/>
  <c r="ER85" i="2" s="1"/>
  <c r="EJ85" i="2"/>
  <c r="EE85" i="2"/>
  <c r="EF85" i="2" s="1"/>
  <c r="DX85" i="2"/>
  <c r="DP85" i="2"/>
  <c r="DF85" i="2"/>
  <c r="DH85" i="2" s="1"/>
  <c r="DE85" i="2"/>
  <c r="CY85" i="2"/>
  <c r="CZ85" i="2" s="1"/>
  <c r="CF85" i="2"/>
  <c r="CA85" i="2"/>
  <c r="BO85" i="2"/>
  <c r="BJ85" i="2"/>
  <c r="BC85" i="2"/>
  <c r="AO85" i="2"/>
  <c r="AN85" i="2"/>
  <c r="AM85" i="2"/>
  <c r="AL85" i="2"/>
  <c r="AK85" i="2"/>
  <c r="AG85" i="2"/>
  <c r="AE85" i="2"/>
  <c r="AF85" i="2" s="1"/>
  <c r="U85" i="2"/>
  <c r="S85" i="2"/>
  <c r="T85" i="2" s="1"/>
  <c r="R85" i="2"/>
  <c r="E85" i="2"/>
  <c r="GR110" i="2"/>
  <c r="GS110" i="2" s="1"/>
  <c r="GP110" i="2"/>
  <c r="GQ110" i="2" s="1"/>
  <c r="DU110" i="2" s="1"/>
  <c r="EG110" i="2" s="1"/>
  <c r="GN110" i="2"/>
  <c r="GO110" i="2" s="1"/>
  <c r="GL110" i="2"/>
  <c r="GM110" i="2" s="1"/>
  <c r="GH110" i="2"/>
  <c r="GG110" i="2"/>
  <c r="GI110" i="2" s="1"/>
  <c r="GD110" i="2"/>
  <c r="GC110" i="2"/>
  <c r="GB110" i="2"/>
  <c r="FY110" i="2"/>
  <c r="GA110" i="2" s="1"/>
  <c r="FS110" i="2"/>
  <c r="FT110" i="2" s="1"/>
  <c r="EW110" i="2"/>
  <c r="ET110" i="2"/>
  <c r="EU110" i="2" s="1"/>
  <c r="EQ110" i="2"/>
  <c r="ER110" i="2" s="1"/>
  <c r="EJ110" i="2"/>
  <c r="EE110" i="2"/>
  <c r="EF110" i="2" s="1"/>
  <c r="DX110" i="2"/>
  <c r="DP110" i="2"/>
  <c r="DF110" i="2"/>
  <c r="DE110" i="2"/>
  <c r="CY110" i="2"/>
  <c r="CZ110" i="2" s="1"/>
  <c r="CF110" i="2"/>
  <c r="CH110" i="2"/>
  <c r="CA110" i="2"/>
  <c r="CR110" i="2"/>
  <c r="BO110" i="2"/>
  <c r="BJ110" i="2"/>
  <c r="BM110" i="2" s="1"/>
  <c r="BN110" i="2" s="1"/>
  <c r="BC110" i="2"/>
  <c r="AZ110" i="2"/>
  <c r="AY110" i="2"/>
  <c r="AO110" i="2"/>
  <c r="AN110" i="2"/>
  <c r="AM110" i="2"/>
  <c r="AL110" i="2"/>
  <c r="AK110" i="2"/>
  <c r="AG110" i="2"/>
  <c r="AE110" i="2"/>
  <c r="AF110" i="2" s="1"/>
  <c r="U110" i="2"/>
  <c r="S110" i="2"/>
  <c r="T110" i="2" s="1"/>
  <c r="R110" i="2"/>
  <c r="E110" i="2"/>
  <c r="GR109" i="2"/>
  <c r="GS109" i="2" s="1"/>
  <c r="GP109" i="2"/>
  <c r="GQ109" i="2" s="1"/>
  <c r="DU109" i="2" s="1"/>
  <c r="EG109" i="2" s="1"/>
  <c r="GN109" i="2"/>
  <c r="GO109" i="2" s="1"/>
  <c r="GL109" i="2"/>
  <c r="GM109" i="2" s="1"/>
  <c r="GH109" i="2"/>
  <c r="GG109" i="2"/>
  <c r="GI109" i="2" s="1"/>
  <c r="GD109" i="2"/>
  <c r="GC109" i="2"/>
  <c r="GB109" i="2"/>
  <c r="FY109" i="2"/>
  <c r="GA109" i="2" s="1"/>
  <c r="FS109" i="2"/>
  <c r="FT109" i="2" s="1"/>
  <c r="EW109" i="2"/>
  <c r="ET109" i="2"/>
  <c r="EU109" i="2" s="1"/>
  <c r="EQ109" i="2"/>
  <c r="ER109" i="2" s="1"/>
  <c r="EJ109" i="2"/>
  <c r="EE109" i="2"/>
  <c r="EF109" i="2" s="1"/>
  <c r="DX109" i="2"/>
  <c r="DP109" i="2"/>
  <c r="DF109" i="2"/>
  <c r="DG109" i="2" s="1"/>
  <c r="DE109" i="2"/>
  <c r="CY109" i="2"/>
  <c r="CZ109" i="2" s="1"/>
  <c r="CF109" i="2"/>
  <c r="CH109" i="2"/>
  <c r="CA109" i="2"/>
  <c r="BO109" i="2"/>
  <c r="BJ109" i="2"/>
  <c r="BC109" i="2"/>
  <c r="AZ109" i="2"/>
  <c r="AY109" i="2"/>
  <c r="AO109" i="2"/>
  <c r="AN109" i="2"/>
  <c r="AM109" i="2"/>
  <c r="AL109" i="2"/>
  <c r="AK109" i="2"/>
  <c r="AG109" i="2"/>
  <c r="AE109" i="2"/>
  <c r="AF109" i="2" s="1"/>
  <c r="U109" i="2"/>
  <c r="S109" i="2"/>
  <c r="T109" i="2" s="1"/>
  <c r="R109" i="2"/>
  <c r="E109" i="2"/>
  <c r="GR108" i="2"/>
  <c r="GS108" i="2" s="1"/>
  <c r="GP108" i="2"/>
  <c r="GQ108" i="2" s="1"/>
  <c r="GN108" i="2"/>
  <c r="GO108" i="2" s="1"/>
  <c r="GL108" i="2"/>
  <c r="GM108" i="2" s="1"/>
  <c r="GH108" i="2"/>
  <c r="GG108" i="2"/>
  <c r="GI108" i="2" s="1"/>
  <c r="GD108" i="2"/>
  <c r="GC108" i="2"/>
  <c r="GB108" i="2"/>
  <c r="FY108" i="2"/>
  <c r="GA108" i="2" s="1"/>
  <c r="FS108" i="2"/>
  <c r="FT108" i="2" s="1"/>
  <c r="EW108" i="2"/>
  <c r="ET108" i="2"/>
  <c r="EU108" i="2" s="1"/>
  <c r="EQ108" i="2"/>
  <c r="ER108" i="2" s="1"/>
  <c r="EJ108" i="2"/>
  <c r="EE108" i="2"/>
  <c r="EF108" i="2" s="1"/>
  <c r="DX108" i="2"/>
  <c r="DP108" i="2"/>
  <c r="DF108" i="2"/>
  <c r="DE108" i="2"/>
  <c r="CY108" i="2"/>
  <c r="CZ108" i="2" s="1"/>
  <c r="CF108" i="2"/>
  <c r="CH108" i="2"/>
  <c r="CA108" i="2"/>
  <c r="CR108" i="2"/>
  <c r="BO108" i="2"/>
  <c r="BJ108" i="2"/>
  <c r="BM108" i="2" s="1"/>
  <c r="BN108" i="2" s="1"/>
  <c r="BC108" i="2"/>
  <c r="AZ108" i="2"/>
  <c r="AY108" i="2"/>
  <c r="AO108" i="2"/>
  <c r="AN108" i="2"/>
  <c r="AM108" i="2"/>
  <c r="AL108" i="2"/>
  <c r="AK108" i="2"/>
  <c r="AG108" i="2"/>
  <c r="AE108" i="2"/>
  <c r="AF108" i="2" s="1"/>
  <c r="U108" i="2"/>
  <c r="S108" i="2"/>
  <c r="T108" i="2" s="1"/>
  <c r="R108" i="2"/>
  <c r="E108" i="2"/>
  <c r="GR107" i="2"/>
  <c r="GS107" i="2" s="1"/>
  <c r="GP107" i="2"/>
  <c r="GQ107" i="2" s="1"/>
  <c r="GN107" i="2"/>
  <c r="GO107" i="2" s="1"/>
  <c r="GL107" i="2"/>
  <c r="GM107" i="2" s="1"/>
  <c r="GH107" i="2"/>
  <c r="GG107" i="2"/>
  <c r="GI107" i="2" s="1"/>
  <c r="GD107" i="2"/>
  <c r="GC107" i="2"/>
  <c r="GB107" i="2"/>
  <c r="FY107" i="2"/>
  <c r="FZ107" i="2" s="1"/>
  <c r="FS107" i="2"/>
  <c r="FT107" i="2" s="1"/>
  <c r="EW107" i="2"/>
  <c r="ET107" i="2"/>
  <c r="EU107" i="2" s="1"/>
  <c r="EQ107" i="2"/>
  <c r="ER107" i="2" s="1"/>
  <c r="EJ107" i="2"/>
  <c r="EE107" i="2"/>
  <c r="EF107" i="2" s="1"/>
  <c r="DX107" i="2"/>
  <c r="DP107" i="2"/>
  <c r="DF107" i="2"/>
  <c r="DH107" i="2" s="1"/>
  <c r="DE107" i="2"/>
  <c r="CY107" i="2"/>
  <c r="CZ107" i="2" s="1"/>
  <c r="CF107" i="2"/>
  <c r="CH107" i="2"/>
  <c r="CA107" i="2"/>
  <c r="CR107" i="2"/>
  <c r="BO107" i="2"/>
  <c r="BJ107" i="2"/>
  <c r="BM107" i="2" s="1"/>
  <c r="BN107" i="2" s="1"/>
  <c r="BC107" i="2"/>
  <c r="AZ107" i="2"/>
  <c r="AY107" i="2"/>
  <c r="AO107" i="2"/>
  <c r="AN107" i="2"/>
  <c r="AM107" i="2"/>
  <c r="AL107" i="2"/>
  <c r="AK107" i="2"/>
  <c r="AG107" i="2"/>
  <c r="AE107" i="2"/>
  <c r="AF107" i="2" s="1"/>
  <c r="U107" i="2"/>
  <c r="S107" i="2"/>
  <c r="T107" i="2" s="1"/>
  <c r="R107" i="2"/>
  <c r="E107" i="2"/>
  <c r="GR106" i="2"/>
  <c r="GS106" i="2" s="1"/>
  <c r="GP106" i="2"/>
  <c r="GQ106" i="2" s="1"/>
  <c r="DO106" i="2" s="1"/>
  <c r="DY106" i="2" s="1"/>
  <c r="DZ106" i="2" s="1"/>
  <c r="EA106" i="2" s="1"/>
  <c r="GN106" i="2"/>
  <c r="GO106" i="2" s="1"/>
  <c r="GL106" i="2"/>
  <c r="GM106" i="2" s="1"/>
  <c r="GH106" i="2"/>
  <c r="GG106" i="2"/>
  <c r="GI106" i="2" s="1"/>
  <c r="GD106" i="2"/>
  <c r="GC106" i="2"/>
  <c r="GB106" i="2"/>
  <c r="FY106" i="2"/>
  <c r="GA106" i="2" s="1"/>
  <c r="FS106" i="2"/>
  <c r="FT106" i="2" s="1"/>
  <c r="EW106" i="2"/>
  <c r="ET106" i="2"/>
  <c r="EU106" i="2" s="1"/>
  <c r="EQ106" i="2"/>
  <c r="ER106" i="2" s="1"/>
  <c r="EJ106" i="2"/>
  <c r="EE106" i="2"/>
  <c r="EF106" i="2" s="1"/>
  <c r="DX106" i="2"/>
  <c r="DP106" i="2"/>
  <c r="DF106" i="2"/>
  <c r="DH106" i="2" s="1"/>
  <c r="DE106" i="2"/>
  <c r="CY106" i="2"/>
  <c r="CZ106" i="2" s="1"/>
  <c r="CF106" i="2"/>
  <c r="CA106" i="2"/>
  <c r="CR106" i="2"/>
  <c r="BO106" i="2"/>
  <c r="BJ106" i="2"/>
  <c r="BM106" i="2" s="1"/>
  <c r="BN106" i="2" s="1"/>
  <c r="BC106" i="2"/>
  <c r="AZ106" i="2"/>
  <c r="AY106" i="2"/>
  <c r="AO106" i="2"/>
  <c r="AN106" i="2"/>
  <c r="AM106" i="2"/>
  <c r="AL106" i="2"/>
  <c r="AK106" i="2"/>
  <c r="AG106" i="2"/>
  <c r="AE106" i="2"/>
  <c r="AF106" i="2" s="1"/>
  <c r="U106" i="2"/>
  <c r="S106" i="2"/>
  <c r="T106" i="2" s="1"/>
  <c r="R106" i="2"/>
  <c r="Y106" i="2" s="1"/>
  <c r="AB106" i="2" s="1"/>
  <c r="E106" i="2"/>
  <c r="GR105" i="2"/>
  <c r="GS105" i="2" s="1"/>
  <c r="GP105" i="2"/>
  <c r="GQ105" i="2" s="1"/>
  <c r="DO105" i="2" s="1"/>
  <c r="DQ105" i="2" s="1"/>
  <c r="DR105" i="2" s="1"/>
  <c r="GN105" i="2"/>
  <c r="GO105" i="2" s="1"/>
  <c r="GL105" i="2"/>
  <c r="GM105" i="2" s="1"/>
  <c r="GH105" i="2"/>
  <c r="GG105" i="2"/>
  <c r="GI105" i="2" s="1"/>
  <c r="GD105" i="2"/>
  <c r="GC105" i="2"/>
  <c r="GB105" i="2"/>
  <c r="FY105" i="2"/>
  <c r="FS105" i="2"/>
  <c r="FT105" i="2" s="1"/>
  <c r="EW105" i="2"/>
  <c r="ET105" i="2"/>
  <c r="EU105" i="2" s="1"/>
  <c r="EQ105" i="2"/>
  <c r="ER105" i="2" s="1"/>
  <c r="EJ105" i="2"/>
  <c r="EE105" i="2"/>
  <c r="EF105" i="2" s="1"/>
  <c r="DX105" i="2"/>
  <c r="DP105" i="2"/>
  <c r="DF105" i="2"/>
  <c r="DH105" i="2" s="1"/>
  <c r="DE105" i="2"/>
  <c r="CY105" i="2"/>
  <c r="CZ105" i="2" s="1"/>
  <c r="CF105" i="2"/>
  <c r="CH105" i="2"/>
  <c r="CA105" i="2"/>
  <c r="CR105" i="2"/>
  <c r="BO105" i="2"/>
  <c r="BJ105" i="2"/>
  <c r="BM105" i="2" s="1"/>
  <c r="BN105" i="2" s="1"/>
  <c r="BC105" i="2"/>
  <c r="AZ105" i="2"/>
  <c r="AY105" i="2"/>
  <c r="AO105" i="2"/>
  <c r="AN105" i="2"/>
  <c r="AM105" i="2"/>
  <c r="AL105" i="2"/>
  <c r="AK105" i="2"/>
  <c r="AG105" i="2"/>
  <c r="AE105" i="2"/>
  <c r="AF105" i="2" s="1"/>
  <c r="U105" i="2"/>
  <c r="S105" i="2"/>
  <c r="T105" i="2" s="1"/>
  <c r="R105" i="2"/>
  <c r="Y105" i="2" s="1"/>
  <c r="AB105" i="2" s="1"/>
  <c r="E105" i="2"/>
  <c r="GR104" i="2"/>
  <c r="GS104" i="2" s="1"/>
  <c r="GP104" i="2"/>
  <c r="GQ104" i="2" s="1"/>
  <c r="GN104" i="2"/>
  <c r="GO104" i="2" s="1"/>
  <c r="GL104" i="2"/>
  <c r="GM104" i="2" s="1"/>
  <c r="GH104" i="2"/>
  <c r="GG104" i="2"/>
  <c r="GI104" i="2" s="1"/>
  <c r="GD104" i="2"/>
  <c r="GC104" i="2"/>
  <c r="GB104" i="2"/>
  <c r="FY104" i="2"/>
  <c r="GA104" i="2" s="1"/>
  <c r="FS104" i="2"/>
  <c r="FT104" i="2" s="1"/>
  <c r="EW104" i="2"/>
  <c r="ET104" i="2"/>
  <c r="EU104" i="2" s="1"/>
  <c r="EQ104" i="2"/>
  <c r="ER104" i="2" s="1"/>
  <c r="EJ104" i="2"/>
  <c r="EE104" i="2"/>
  <c r="EF104" i="2" s="1"/>
  <c r="DX104" i="2"/>
  <c r="DP104" i="2"/>
  <c r="DF104" i="2"/>
  <c r="DH104" i="2" s="1"/>
  <c r="DE104" i="2"/>
  <c r="CY104" i="2"/>
  <c r="CZ104" i="2" s="1"/>
  <c r="CF104" i="2"/>
  <c r="CH104" i="2"/>
  <c r="CA104" i="2"/>
  <c r="CR104" i="2"/>
  <c r="BO104" i="2"/>
  <c r="BJ104" i="2"/>
  <c r="BC104" i="2"/>
  <c r="AZ104" i="2"/>
  <c r="AY104" i="2"/>
  <c r="AO104" i="2"/>
  <c r="AN104" i="2"/>
  <c r="AM104" i="2"/>
  <c r="AL104" i="2"/>
  <c r="AK104" i="2"/>
  <c r="AG104" i="2"/>
  <c r="AE104" i="2"/>
  <c r="AF104" i="2" s="1"/>
  <c r="U104" i="2"/>
  <c r="S104" i="2"/>
  <c r="T104" i="2" s="1"/>
  <c r="R104" i="2"/>
  <c r="Y104" i="2" s="1"/>
  <c r="AB104" i="2" s="1"/>
  <c r="E104" i="2"/>
  <c r="GR103" i="2"/>
  <c r="GS103" i="2" s="1"/>
  <c r="GP103" i="2"/>
  <c r="GQ103" i="2" s="1"/>
  <c r="GN103" i="2"/>
  <c r="GO103" i="2" s="1"/>
  <c r="GL103" i="2"/>
  <c r="GM103" i="2" s="1"/>
  <c r="GH103" i="2"/>
  <c r="GG103" i="2"/>
  <c r="GI103" i="2" s="1"/>
  <c r="GD103" i="2"/>
  <c r="GC103" i="2"/>
  <c r="GB103" i="2"/>
  <c r="FY103" i="2"/>
  <c r="GA103" i="2" s="1"/>
  <c r="FS103" i="2"/>
  <c r="FT103" i="2" s="1"/>
  <c r="EW103" i="2"/>
  <c r="ET103" i="2"/>
  <c r="EU103" i="2" s="1"/>
  <c r="EQ103" i="2"/>
  <c r="ER103" i="2" s="1"/>
  <c r="EJ103" i="2"/>
  <c r="EE103" i="2"/>
  <c r="EF103" i="2" s="1"/>
  <c r="DX103" i="2"/>
  <c r="DP103" i="2"/>
  <c r="DF103" i="2"/>
  <c r="DH103" i="2" s="1"/>
  <c r="DE103" i="2"/>
  <c r="CY103" i="2"/>
  <c r="CZ103" i="2" s="1"/>
  <c r="CF103" i="2"/>
  <c r="CH103" i="2"/>
  <c r="CA103" i="2"/>
  <c r="CR103" i="2"/>
  <c r="BO103" i="2"/>
  <c r="BJ103" i="2"/>
  <c r="BK103" i="2" s="1"/>
  <c r="CL103" i="2" s="1"/>
  <c r="BC103" i="2"/>
  <c r="AZ103" i="2"/>
  <c r="AY103" i="2"/>
  <c r="AO103" i="2"/>
  <c r="AN103" i="2"/>
  <c r="AM103" i="2"/>
  <c r="AL103" i="2"/>
  <c r="AK103" i="2"/>
  <c r="AG103" i="2"/>
  <c r="AE103" i="2"/>
  <c r="AF103" i="2" s="1"/>
  <c r="U103" i="2"/>
  <c r="S103" i="2"/>
  <c r="R103" i="2"/>
  <c r="Y103" i="2" s="1"/>
  <c r="AB103" i="2" s="1"/>
  <c r="E103" i="2"/>
  <c r="GR43" i="2"/>
  <c r="GS43" i="2" s="1"/>
  <c r="GP43" i="2"/>
  <c r="GQ43" i="2" s="1"/>
  <c r="GN43" i="2"/>
  <c r="GO43" i="2" s="1"/>
  <c r="GL43" i="2"/>
  <c r="GM43" i="2" s="1"/>
  <c r="GH43" i="2"/>
  <c r="GG43" i="2"/>
  <c r="GI43" i="2" s="1"/>
  <c r="GD43" i="2"/>
  <c r="GC43" i="2"/>
  <c r="GB43" i="2"/>
  <c r="FY43" i="2"/>
  <c r="FS43" i="2"/>
  <c r="FT43" i="2" s="1"/>
  <c r="EW43" i="2"/>
  <c r="ET43" i="2"/>
  <c r="EU43" i="2" s="1"/>
  <c r="EQ43" i="2"/>
  <c r="ER43" i="2" s="1"/>
  <c r="EJ43" i="2"/>
  <c r="EE43" i="2"/>
  <c r="EF43" i="2" s="1"/>
  <c r="DX43" i="2"/>
  <c r="DP43" i="2"/>
  <c r="DF43" i="2"/>
  <c r="DG43" i="2" s="1"/>
  <c r="DE43" i="2"/>
  <c r="CY43" i="2"/>
  <c r="CZ43" i="2" s="1"/>
  <c r="CF43" i="2"/>
  <c r="CA43" i="2"/>
  <c r="DA43" i="2"/>
  <c r="DB43" i="2" s="1"/>
  <c r="BO43" i="2"/>
  <c r="BJ43" i="2"/>
  <c r="BM43" i="2" s="1"/>
  <c r="BN43" i="2" s="1"/>
  <c r="BC43" i="2"/>
  <c r="AZ43" i="2"/>
  <c r="AY43" i="2"/>
  <c r="AO43" i="2"/>
  <c r="AN43" i="2"/>
  <c r="AM43" i="2"/>
  <c r="AL43" i="2"/>
  <c r="AK43" i="2"/>
  <c r="AG43" i="2"/>
  <c r="AE43" i="2"/>
  <c r="AF43" i="2" s="1"/>
  <c r="U43" i="2"/>
  <c r="S43" i="2"/>
  <c r="T43" i="2" s="1"/>
  <c r="R43" i="2"/>
  <c r="Y43" i="2" s="1"/>
  <c r="AB43" i="2" s="1"/>
  <c r="E43" i="2"/>
  <c r="GR101" i="2"/>
  <c r="GS101" i="2" s="1"/>
  <c r="GP101" i="2"/>
  <c r="GQ101" i="2" s="1"/>
  <c r="GN101" i="2"/>
  <c r="GO101" i="2" s="1"/>
  <c r="GL101" i="2"/>
  <c r="GM101" i="2" s="1"/>
  <c r="GH101" i="2"/>
  <c r="GG101" i="2"/>
  <c r="GI101" i="2" s="1"/>
  <c r="GD101" i="2"/>
  <c r="GC101" i="2"/>
  <c r="GB101" i="2"/>
  <c r="FY101" i="2"/>
  <c r="GA101" i="2" s="1"/>
  <c r="FS101" i="2"/>
  <c r="FT101" i="2" s="1"/>
  <c r="EW101" i="2"/>
  <c r="ET101" i="2"/>
  <c r="EU101" i="2" s="1"/>
  <c r="EQ101" i="2"/>
  <c r="ER101" i="2" s="1"/>
  <c r="EJ101" i="2"/>
  <c r="EE101" i="2"/>
  <c r="EF101" i="2" s="1"/>
  <c r="DX101" i="2"/>
  <c r="DP101" i="2"/>
  <c r="DF101" i="2"/>
  <c r="DG101" i="2" s="1"/>
  <c r="DE101" i="2"/>
  <c r="CY101" i="2"/>
  <c r="CZ101" i="2" s="1"/>
  <c r="CF101" i="2"/>
  <c r="CA101" i="2"/>
  <c r="CW101" i="2"/>
  <c r="BO101" i="2"/>
  <c r="BJ101" i="2"/>
  <c r="BK101" i="2" s="1"/>
  <c r="CL101" i="2" s="1"/>
  <c r="BC101" i="2"/>
  <c r="AZ101" i="2"/>
  <c r="AY101" i="2"/>
  <c r="AO101" i="2"/>
  <c r="AN101" i="2"/>
  <c r="AM101" i="2"/>
  <c r="AL101" i="2"/>
  <c r="AK101" i="2"/>
  <c r="AG101" i="2"/>
  <c r="AE101" i="2"/>
  <c r="AF101" i="2" s="1"/>
  <c r="U101" i="2"/>
  <c r="S101" i="2"/>
  <c r="T101" i="2" s="1"/>
  <c r="R101" i="2"/>
  <c r="Y101" i="2" s="1"/>
  <c r="AB101" i="2" s="1"/>
  <c r="E101" i="2"/>
  <c r="GR100" i="2"/>
  <c r="GS100" i="2" s="1"/>
  <c r="GP100" i="2"/>
  <c r="GQ100" i="2" s="1"/>
  <c r="GN100" i="2"/>
  <c r="GO100" i="2" s="1"/>
  <c r="GL100" i="2"/>
  <c r="GM100" i="2" s="1"/>
  <c r="GH100" i="2"/>
  <c r="GG100" i="2"/>
  <c r="GI100" i="2" s="1"/>
  <c r="GD100" i="2"/>
  <c r="GC100" i="2"/>
  <c r="GB100" i="2"/>
  <c r="FY100" i="2"/>
  <c r="FS100" i="2"/>
  <c r="FT100" i="2" s="1"/>
  <c r="EW100" i="2"/>
  <c r="ET100" i="2"/>
  <c r="EU100" i="2" s="1"/>
  <c r="EQ100" i="2"/>
  <c r="ER100" i="2" s="1"/>
  <c r="EJ100" i="2"/>
  <c r="EE100" i="2"/>
  <c r="EF100" i="2" s="1"/>
  <c r="DX100" i="2"/>
  <c r="DP100" i="2"/>
  <c r="DF100" i="2"/>
  <c r="DH100" i="2" s="1"/>
  <c r="DE100" i="2"/>
  <c r="CY100" i="2"/>
  <c r="CZ100" i="2" s="1"/>
  <c r="CF100" i="2"/>
  <c r="CA100" i="2"/>
  <c r="DA100" i="2"/>
  <c r="DB100" i="2" s="1"/>
  <c r="BO100" i="2"/>
  <c r="BJ100" i="2"/>
  <c r="BM100" i="2" s="1"/>
  <c r="BN100" i="2" s="1"/>
  <c r="BC100" i="2"/>
  <c r="AZ100" i="2"/>
  <c r="AY100" i="2"/>
  <c r="AO100" i="2"/>
  <c r="AN100" i="2"/>
  <c r="AM100" i="2"/>
  <c r="AL100" i="2"/>
  <c r="AK100" i="2"/>
  <c r="AG100" i="2"/>
  <c r="AE100" i="2"/>
  <c r="AF100" i="2" s="1"/>
  <c r="U100" i="2"/>
  <c r="S100" i="2"/>
  <c r="T100" i="2" s="1"/>
  <c r="R100" i="2"/>
  <c r="Y100" i="2" s="1"/>
  <c r="AB100" i="2" s="1"/>
  <c r="E100" i="2"/>
  <c r="GR99" i="2"/>
  <c r="GS99" i="2" s="1"/>
  <c r="GP99" i="2"/>
  <c r="GQ99" i="2" s="1"/>
  <c r="GN99" i="2"/>
  <c r="GO99" i="2" s="1"/>
  <c r="GL99" i="2"/>
  <c r="GM99" i="2" s="1"/>
  <c r="GH99" i="2"/>
  <c r="GG99" i="2"/>
  <c r="GI99" i="2" s="1"/>
  <c r="GD99" i="2"/>
  <c r="GC99" i="2"/>
  <c r="GB99" i="2"/>
  <c r="FY99" i="2"/>
  <c r="GA99" i="2" s="1"/>
  <c r="FS99" i="2"/>
  <c r="FT99" i="2" s="1"/>
  <c r="EW99" i="2"/>
  <c r="ET99" i="2"/>
  <c r="EU99" i="2" s="1"/>
  <c r="EQ99" i="2"/>
  <c r="ER99" i="2" s="1"/>
  <c r="EJ99" i="2"/>
  <c r="EE99" i="2"/>
  <c r="EF99" i="2" s="1"/>
  <c r="DX99" i="2"/>
  <c r="DP99" i="2"/>
  <c r="DF99" i="2"/>
  <c r="DE99" i="2"/>
  <c r="CY99" i="2"/>
  <c r="CZ99" i="2" s="1"/>
  <c r="CF99" i="2"/>
  <c r="CA99" i="2"/>
  <c r="BO99" i="2"/>
  <c r="BJ99" i="2"/>
  <c r="BC99" i="2"/>
  <c r="AZ99" i="2"/>
  <c r="AY99" i="2"/>
  <c r="AO99" i="2"/>
  <c r="AN99" i="2"/>
  <c r="AM99" i="2"/>
  <c r="AL99" i="2"/>
  <c r="AK99" i="2"/>
  <c r="AG99" i="2"/>
  <c r="AE99" i="2"/>
  <c r="AF99" i="2" s="1"/>
  <c r="U99" i="2"/>
  <c r="S99" i="2"/>
  <c r="T99" i="2" s="1"/>
  <c r="R99" i="2"/>
  <c r="Y99" i="2" s="1"/>
  <c r="AB99" i="2" s="1"/>
  <c r="E99" i="2"/>
  <c r="GR313" i="2"/>
  <c r="GS313" i="2" s="1"/>
  <c r="GP313" i="2"/>
  <c r="GQ313" i="2" s="1"/>
  <c r="GN313" i="2"/>
  <c r="GO313" i="2" s="1"/>
  <c r="GL313" i="2"/>
  <c r="GM313" i="2" s="1"/>
  <c r="GH313" i="2"/>
  <c r="GG313" i="2"/>
  <c r="GI313" i="2" s="1"/>
  <c r="GD313" i="2"/>
  <c r="GC313" i="2"/>
  <c r="GB313" i="2"/>
  <c r="FY313" i="2"/>
  <c r="GA313" i="2" s="1"/>
  <c r="FS313" i="2"/>
  <c r="FT313" i="2" s="1"/>
  <c r="EW313" i="2"/>
  <c r="ET313" i="2"/>
  <c r="EU313" i="2" s="1"/>
  <c r="EQ313" i="2"/>
  <c r="ER313" i="2" s="1"/>
  <c r="EJ313" i="2"/>
  <c r="EE313" i="2"/>
  <c r="EF313" i="2" s="1"/>
  <c r="DX313" i="2"/>
  <c r="DP313" i="2"/>
  <c r="DF313" i="2"/>
  <c r="DH313" i="2" s="1"/>
  <c r="DE313" i="2"/>
  <c r="CY313" i="2"/>
  <c r="CZ313" i="2" s="1"/>
  <c r="CF313" i="2"/>
  <c r="CA313" i="2"/>
  <c r="DA313" i="2"/>
  <c r="DB313" i="2" s="1"/>
  <c r="BO313" i="2"/>
  <c r="BJ313" i="2"/>
  <c r="BM313" i="2" s="1"/>
  <c r="BN313" i="2" s="1"/>
  <c r="BC313" i="2"/>
  <c r="AZ313" i="2"/>
  <c r="AY313" i="2"/>
  <c r="AO313" i="2"/>
  <c r="AN313" i="2"/>
  <c r="AM313" i="2"/>
  <c r="AL313" i="2"/>
  <c r="AK313" i="2"/>
  <c r="AG313" i="2"/>
  <c r="AE313" i="2"/>
  <c r="AF313" i="2" s="1"/>
  <c r="U313" i="2"/>
  <c r="S313" i="2"/>
  <c r="T313" i="2" s="1"/>
  <c r="R313" i="2"/>
  <c r="E313" i="2"/>
  <c r="GR97" i="2"/>
  <c r="GS97" i="2" s="1"/>
  <c r="GP97" i="2"/>
  <c r="GQ97" i="2" s="1"/>
  <c r="DO97" i="2" s="1"/>
  <c r="GN97" i="2"/>
  <c r="GO97" i="2" s="1"/>
  <c r="GL97" i="2"/>
  <c r="GM97" i="2" s="1"/>
  <c r="GH97" i="2"/>
  <c r="GG97" i="2"/>
  <c r="GI97" i="2" s="1"/>
  <c r="GD97" i="2"/>
  <c r="GC97" i="2"/>
  <c r="GB97" i="2"/>
  <c r="FY97" i="2"/>
  <c r="GA97" i="2" s="1"/>
  <c r="FS97" i="2"/>
  <c r="FT97" i="2" s="1"/>
  <c r="EW97" i="2"/>
  <c r="ET97" i="2"/>
  <c r="EU97" i="2" s="1"/>
  <c r="EQ97" i="2"/>
  <c r="ER97" i="2" s="1"/>
  <c r="EJ97" i="2"/>
  <c r="EE97" i="2"/>
  <c r="EF97" i="2" s="1"/>
  <c r="DX97" i="2"/>
  <c r="DP97" i="2"/>
  <c r="DF97" i="2"/>
  <c r="DH97" i="2" s="1"/>
  <c r="DE97" i="2"/>
  <c r="CY97" i="2"/>
  <c r="CZ97" i="2" s="1"/>
  <c r="CF97" i="2"/>
  <c r="CH97" i="2"/>
  <c r="CA97" i="2"/>
  <c r="BO97" i="2"/>
  <c r="BJ97" i="2"/>
  <c r="BM97" i="2" s="1"/>
  <c r="BN97" i="2" s="1"/>
  <c r="BC97" i="2"/>
  <c r="AZ97" i="2"/>
  <c r="AY97" i="2"/>
  <c r="AO97" i="2"/>
  <c r="AN97" i="2"/>
  <c r="AM97" i="2"/>
  <c r="AL97" i="2"/>
  <c r="AK97" i="2"/>
  <c r="AG97" i="2"/>
  <c r="AE97" i="2"/>
  <c r="AF97" i="2" s="1"/>
  <c r="U97" i="2"/>
  <c r="S97" i="2"/>
  <c r="T97" i="2" s="1"/>
  <c r="R97" i="2"/>
  <c r="Y97" i="2" s="1"/>
  <c r="AB97" i="2" s="1"/>
  <c r="E97" i="2"/>
  <c r="GR96" i="2"/>
  <c r="GS96" i="2" s="1"/>
  <c r="GP96" i="2"/>
  <c r="GQ96" i="2" s="1"/>
  <c r="DO96" i="2" s="1"/>
  <c r="GN96" i="2"/>
  <c r="GO96" i="2" s="1"/>
  <c r="GL96" i="2"/>
  <c r="GM96" i="2" s="1"/>
  <c r="GH96" i="2"/>
  <c r="GG96" i="2"/>
  <c r="GI96" i="2" s="1"/>
  <c r="GD96" i="2"/>
  <c r="GC96" i="2"/>
  <c r="GB96" i="2"/>
  <c r="FY96" i="2"/>
  <c r="GA96" i="2" s="1"/>
  <c r="FS96" i="2"/>
  <c r="FT96" i="2" s="1"/>
  <c r="EW96" i="2"/>
  <c r="ET96" i="2"/>
  <c r="EU96" i="2" s="1"/>
  <c r="EQ96" i="2"/>
  <c r="ER96" i="2" s="1"/>
  <c r="EJ96" i="2"/>
  <c r="EE96" i="2"/>
  <c r="EF96" i="2" s="1"/>
  <c r="DX96" i="2"/>
  <c r="DP96" i="2"/>
  <c r="DF96" i="2"/>
  <c r="DH96" i="2" s="1"/>
  <c r="DE96" i="2"/>
  <c r="CY96" i="2"/>
  <c r="CZ96" i="2" s="1"/>
  <c r="CF96" i="2"/>
  <c r="CH96" i="2"/>
  <c r="CA96" i="2"/>
  <c r="BO96" i="2"/>
  <c r="BJ96" i="2"/>
  <c r="BM96" i="2" s="1"/>
  <c r="BN96" i="2" s="1"/>
  <c r="BC96" i="2"/>
  <c r="AZ96" i="2"/>
  <c r="AY96" i="2"/>
  <c r="AO96" i="2"/>
  <c r="AN96" i="2"/>
  <c r="AM96" i="2"/>
  <c r="AL96" i="2"/>
  <c r="AK96" i="2"/>
  <c r="AG96" i="2"/>
  <c r="AE96" i="2"/>
  <c r="AF96" i="2" s="1"/>
  <c r="U96" i="2"/>
  <c r="S96" i="2"/>
  <c r="T96" i="2" s="1"/>
  <c r="R96" i="2"/>
  <c r="Y96" i="2" s="1"/>
  <c r="AB96" i="2" s="1"/>
  <c r="E96" i="2"/>
  <c r="GR95" i="2"/>
  <c r="GS95" i="2" s="1"/>
  <c r="GP95" i="2"/>
  <c r="GQ95" i="2" s="1"/>
  <c r="DO95" i="2" s="1"/>
  <c r="GN95" i="2"/>
  <c r="GO95" i="2" s="1"/>
  <c r="GL95" i="2"/>
  <c r="GM95" i="2" s="1"/>
  <c r="GH95" i="2"/>
  <c r="GG95" i="2"/>
  <c r="GI95" i="2" s="1"/>
  <c r="GD95" i="2"/>
  <c r="GC95" i="2"/>
  <c r="GB95" i="2"/>
  <c r="FY95" i="2"/>
  <c r="GA95" i="2" s="1"/>
  <c r="FS95" i="2"/>
  <c r="FT95" i="2" s="1"/>
  <c r="EW95" i="2"/>
  <c r="ET95" i="2"/>
  <c r="EU95" i="2" s="1"/>
  <c r="EQ95" i="2"/>
  <c r="ER95" i="2" s="1"/>
  <c r="EJ95" i="2"/>
  <c r="EE95" i="2"/>
  <c r="EF95" i="2" s="1"/>
  <c r="DX95" i="2"/>
  <c r="DP95" i="2"/>
  <c r="DF95" i="2"/>
  <c r="DH95" i="2" s="1"/>
  <c r="DE95" i="2"/>
  <c r="CY95" i="2"/>
  <c r="CZ95" i="2" s="1"/>
  <c r="CF95" i="2"/>
  <c r="CH95" i="2"/>
  <c r="CA95" i="2"/>
  <c r="BO95" i="2"/>
  <c r="BJ95" i="2"/>
  <c r="BM95" i="2" s="1"/>
  <c r="BN95" i="2" s="1"/>
  <c r="BC95" i="2"/>
  <c r="AZ95" i="2"/>
  <c r="AY95" i="2"/>
  <c r="AO95" i="2"/>
  <c r="AN95" i="2"/>
  <c r="AM95" i="2"/>
  <c r="AL95" i="2"/>
  <c r="AK95" i="2"/>
  <c r="AG95" i="2"/>
  <c r="AE95" i="2"/>
  <c r="AF95" i="2" s="1"/>
  <c r="U95" i="2"/>
  <c r="S95" i="2"/>
  <c r="T95" i="2" s="1"/>
  <c r="R95" i="2"/>
  <c r="Y95" i="2" s="1"/>
  <c r="AB95" i="2" s="1"/>
  <c r="E95" i="2"/>
  <c r="GR94" i="2"/>
  <c r="GS94" i="2" s="1"/>
  <c r="GP94" i="2"/>
  <c r="GQ94" i="2" s="1"/>
  <c r="GN94" i="2"/>
  <c r="GO94" i="2" s="1"/>
  <c r="GL94" i="2"/>
  <c r="GM94" i="2" s="1"/>
  <c r="GH94" i="2"/>
  <c r="GG94" i="2"/>
  <c r="GI94" i="2" s="1"/>
  <c r="GD94" i="2"/>
  <c r="GC94" i="2"/>
  <c r="GB94" i="2"/>
  <c r="FY94" i="2"/>
  <c r="GA94" i="2" s="1"/>
  <c r="FS94" i="2"/>
  <c r="FT94" i="2" s="1"/>
  <c r="EW94" i="2"/>
  <c r="ET94" i="2"/>
  <c r="EU94" i="2" s="1"/>
  <c r="EQ94" i="2"/>
  <c r="ER94" i="2" s="1"/>
  <c r="EJ94" i="2"/>
  <c r="EE94" i="2"/>
  <c r="EF94" i="2" s="1"/>
  <c r="DX94" i="2"/>
  <c r="DP94" i="2"/>
  <c r="DF94" i="2"/>
  <c r="DH94" i="2" s="1"/>
  <c r="DE94" i="2"/>
  <c r="CY94" i="2"/>
  <c r="CZ94" i="2" s="1"/>
  <c r="CF94" i="2"/>
  <c r="CH94" i="2"/>
  <c r="CA94" i="2"/>
  <c r="BO94" i="2"/>
  <c r="BJ94" i="2"/>
  <c r="BM94" i="2" s="1"/>
  <c r="BN94" i="2" s="1"/>
  <c r="BC94" i="2"/>
  <c r="AZ94" i="2"/>
  <c r="AY94" i="2"/>
  <c r="AO94" i="2"/>
  <c r="AN94" i="2"/>
  <c r="AM94" i="2"/>
  <c r="AL94" i="2"/>
  <c r="AK94" i="2"/>
  <c r="AG94" i="2"/>
  <c r="AE94" i="2"/>
  <c r="AF94" i="2" s="1"/>
  <c r="U94" i="2"/>
  <c r="S94" i="2"/>
  <c r="T94" i="2" s="1"/>
  <c r="R94" i="2"/>
  <c r="Y94" i="2" s="1"/>
  <c r="AB94" i="2" s="1"/>
  <c r="E94" i="2"/>
  <c r="GR93" i="2"/>
  <c r="GS93" i="2" s="1"/>
  <c r="GP93" i="2"/>
  <c r="GQ93" i="2" s="1"/>
  <c r="GN93" i="2"/>
  <c r="GO93" i="2" s="1"/>
  <c r="GL93" i="2"/>
  <c r="GM93" i="2" s="1"/>
  <c r="GH93" i="2"/>
  <c r="GG93" i="2"/>
  <c r="GI93" i="2" s="1"/>
  <c r="GD93" i="2"/>
  <c r="GC93" i="2"/>
  <c r="GB93" i="2"/>
  <c r="FY93" i="2"/>
  <c r="GA93" i="2" s="1"/>
  <c r="FS93" i="2"/>
  <c r="FT93" i="2" s="1"/>
  <c r="EW93" i="2"/>
  <c r="ET93" i="2"/>
  <c r="EU93" i="2" s="1"/>
  <c r="EQ93" i="2"/>
  <c r="ER93" i="2" s="1"/>
  <c r="EJ93" i="2"/>
  <c r="EE93" i="2"/>
  <c r="EF93" i="2" s="1"/>
  <c r="DX93" i="2"/>
  <c r="DP93" i="2"/>
  <c r="DF93" i="2"/>
  <c r="DH93" i="2" s="1"/>
  <c r="DE93" i="2"/>
  <c r="CY93" i="2"/>
  <c r="CZ93" i="2" s="1"/>
  <c r="CF93" i="2"/>
  <c r="CH93" i="2"/>
  <c r="CA93" i="2"/>
  <c r="BO93" i="2"/>
  <c r="BJ93" i="2"/>
  <c r="BC93" i="2"/>
  <c r="AZ93" i="2"/>
  <c r="AY93" i="2"/>
  <c r="AO93" i="2"/>
  <c r="AN93" i="2"/>
  <c r="AM93" i="2"/>
  <c r="AL93" i="2"/>
  <c r="AK93" i="2"/>
  <c r="AG93" i="2"/>
  <c r="AE93" i="2"/>
  <c r="AF93" i="2" s="1"/>
  <c r="U93" i="2"/>
  <c r="S93" i="2"/>
  <c r="T93" i="2" s="1"/>
  <c r="R93" i="2"/>
  <c r="Y93" i="2" s="1"/>
  <c r="AB93" i="2" s="1"/>
  <c r="E93" i="2"/>
  <c r="GR92" i="2"/>
  <c r="GS92" i="2" s="1"/>
  <c r="GP92" i="2"/>
  <c r="GQ92" i="2" s="1"/>
  <c r="DU92" i="2" s="1"/>
  <c r="GN92" i="2"/>
  <c r="GO92" i="2" s="1"/>
  <c r="GL92" i="2"/>
  <c r="GM92" i="2" s="1"/>
  <c r="GH92" i="2"/>
  <c r="GG92" i="2"/>
  <c r="GI92" i="2" s="1"/>
  <c r="GD92" i="2"/>
  <c r="GC92" i="2"/>
  <c r="GB92" i="2"/>
  <c r="FY92" i="2"/>
  <c r="GA92" i="2" s="1"/>
  <c r="FS92" i="2"/>
  <c r="FT92" i="2" s="1"/>
  <c r="EW92" i="2"/>
  <c r="ET92" i="2"/>
  <c r="EU92" i="2" s="1"/>
  <c r="EQ92" i="2"/>
  <c r="ER92" i="2" s="1"/>
  <c r="EJ92" i="2"/>
  <c r="EE92" i="2"/>
  <c r="EF92" i="2" s="1"/>
  <c r="DX92" i="2"/>
  <c r="DP92" i="2"/>
  <c r="DF92" i="2"/>
  <c r="DH92" i="2" s="1"/>
  <c r="DE92" i="2"/>
  <c r="CY92" i="2"/>
  <c r="CZ92" i="2" s="1"/>
  <c r="CF92" i="2"/>
  <c r="CH92" i="2"/>
  <c r="CA92" i="2"/>
  <c r="BO92" i="2"/>
  <c r="BJ92" i="2"/>
  <c r="BM92" i="2" s="1"/>
  <c r="BN92" i="2" s="1"/>
  <c r="BC92" i="2"/>
  <c r="AZ92" i="2"/>
  <c r="AY92" i="2"/>
  <c r="AO92" i="2"/>
  <c r="AN92" i="2"/>
  <c r="AM92" i="2"/>
  <c r="AL92" i="2"/>
  <c r="AK92" i="2"/>
  <c r="AG92" i="2"/>
  <c r="AE92" i="2"/>
  <c r="AF92" i="2" s="1"/>
  <c r="U92" i="2"/>
  <c r="S92" i="2"/>
  <c r="T92" i="2" s="1"/>
  <c r="R92" i="2"/>
  <c r="Y92" i="2" s="1"/>
  <c r="AB92" i="2" s="1"/>
  <c r="E92" i="2"/>
  <c r="GR91" i="2"/>
  <c r="GS91" i="2" s="1"/>
  <c r="GP91" i="2"/>
  <c r="GQ91" i="2" s="1"/>
  <c r="GN91" i="2"/>
  <c r="GO91" i="2" s="1"/>
  <c r="GL91" i="2"/>
  <c r="GM91" i="2" s="1"/>
  <c r="GH91" i="2"/>
  <c r="GG91" i="2"/>
  <c r="GI91" i="2" s="1"/>
  <c r="GD91" i="2"/>
  <c r="GC91" i="2"/>
  <c r="GB91" i="2"/>
  <c r="FY91" i="2"/>
  <c r="GA91" i="2" s="1"/>
  <c r="FS91" i="2"/>
  <c r="FT91" i="2" s="1"/>
  <c r="EW91" i="2"/>
  <c r="ET91" i="2"/>
  <c r="EU91" i="2" s="1"/>
  <c r="EQ91" i="2"/>
  <c r="ER91" i="2" s="1"/>
  <c r="EJ91" i="2"/>
  <c r="EE91" i="2"/>
  <c r="EF91" i="2" s="1"/>
  <c r="DX91" i="2"/>
  <c r="DP91" i="2"/>
  <c r="DF91" i="2"/>
  <c r="DH91" i="2" s="1"/>
  <c r="DE91" i="2"/>
  <c r="CY91" i="2"/>
  <c r="CZ91" i="2" s="1"/>
  <c r="CF91" i="2"/>
  <c r="CH91" i="2"/>
  <c r="CA91" i="2"/>
  <c r="BO91" i="2"/>
  <c r="BJ91" i="2"/>
  <c r="BK91" i="2" s="1"/>
  <c r="CL91" i="2" s="1"/>
  <c r="BC91" i="2"/>
  <c r="AZ91" i="2"/>
  <c r="AY91" i="2"/>
  <c r="AO91" i="2"/>
  <c r="AN91" i="2"/>
  <c r="AM91" i="2"/>
  <c r="AL91" i="2"/>
  <c r="AK91" i="2"/>
  <c r="AG91" i="2"/>
  <c r="AE91" i="2"/>
  <c r="AF91" i="2" s="1"/>
  <c r="U91" i="2"/>
  <c r="S91" i="2"/>
  <c r="T91" i="2" s="1"/>
  <c r="R91" i="2"/>
  <c r="Y91" i="2" s="1"/>
  <c r="AB91" i="2" s="1"/>
  <c r="E91" i="2"/>
  <c r="GR90" i="2"/>
  <c r="GS90" i="2" s="1"/>
  <c r="GP90" i="2"/>
  <c r="GQ90" i="2" s="1"/>
  <c r="GN90" i="2"/>
  <c r="GO90" i="2" s="1"/>
  <c r="GL90" i="2"/>
  <c r="GM90" i="2" s="1"/>
  <c r="GH90" i="2"/>
  <c r="GG90" i="2"/>
  <c r="GI90" i="2" s="1"/>
  <c r="GD90" i="2"/>
  <c r="GC90" i="2"/>
  <c r="GB90" i="2"/>
  <c r="FY90" i="2"/>
  <c r="GA90" i="2" s="1"/>
  <c r="FS90" i="2"/>
  <c r="FT90" i="2" s="1"/>
  <c r="EW90" i="2"/>
  <c r="ET90" i="2"/>
  <c r="EU90" i="2" s="1"/>
  <c r="EQ90" i="2"/>
  <c r="ER90" i="2" s="1"/>
  <c r="EJ90" i="2"/>
  <c r="EE90" i="2"/>
  <c r="EF90" i="2" s="1"/>
  <c r="DX90" i="2"/>
  <c r="DP90" i="2"/>
  <c r="DF90" i="2"/>
  <c r="DH90" i="2" s="1"/>
  <c r="DE90" i="2"/>
  <c r="CY90" i="2"/>
  <c r="CZ90" i="2" s="1"/>
  <c r="CF90" i="2"/>
  <c r="CH90" i="2"/>
  <c r="CA90" i="2"/>
  <c r="BO90" i="2"/>
  <c r="BJ90" i="2"/>
  <c r="BM90" i="2" s="1"/>
  <c r="BN90" i="2" s="1"/>
  <c r="BC90" i="2"/>
  <c r="AZ90" i="2"/>
  <c r="AY90" i="2"/>
  <c r="AO90" i="2"/>
  <c r="AN90" i="2"/>
  <c r="AM90" i="2"/>
  <c r="AL90" i="2"/>
  <c r="AK90" i="2"/>
  <c r="AG90" i="2"/>
  <c r="AE90" i="2"/>
  <c r="AF90" i="2" s="1"/>
  <c r="U90" i="2"/>
  <c r="S90" i="2"/>
  <c r="T90" i="2" s="1"/>
  <c r="R90" i="2"/>
  <c r="E90" i="2"/>
  <c r="GR89" i="2"/>
  <c r="GS89" i="2" s="1"/>
  <c r="GP89" i="2"/>
  <c r="GQ89" i="2" s="1"/>
  <c r="GN89" i="2"/>
  <c r="GO89" i="2" s="1"/>
  <c r="GL89" i="2"/>
  <c r="GM89" i="2" s="1"/>
  <c r="GH89" i="2"/>
  <c r="GG89" i="2"/>
  <c r="GI89" i="2" s="1"/>
  <c r="GD89" i="2"/>
  <c r="GC89" i="2"/>
  <c r="GB89" i="2"/>
  <c r="FY89" i="2"/>
  <c r="FS89" i="2"/>
  <c r="FT89" i="2" s="1"/>
  <c r="EW89" i="2"/>
  <c r="ET89" i="2"/>
  <c r="EU89" i="2" s="1"/>
  <c r="EQ89" i="2"/>
  <c r="ER89" i="2" s="1"/>
  <c r="EJ89" i="2"/>
  <c r="EE89" i="2"/>
  <c r="EF89" i="2" s="1"/>
  <c r="DX89" i="2"/>
  <c r="DP89" i="2"/>
  <c r="DF89" i="2"/>
  <c r="DH89" i="2" s="1"/>
  <c r="DE89" i="2"/>
  <c r="CY89" i="2"/>
  <c r="CZ89" i="2" s="1"/>
  <c r="CF89" i="2"/>
  <c r="CH89" i="2"/>
  <c r="CA89" i="2"/>
  <c r="DA89" i="2"/>
  <c r="DB89" i="2" s="1"/>
  <c r="BO89" i="2"/>
  <c r="BJ89" i="2"/>
  <c r="BM89" i="2" s="1"/>
  <c r="BN89" i="2" s="1"/>
  <c r="BC89" i="2"/>
  <c r="AZ89" i="2"/>
  <c r="AY89" i="2"/>
  <c r="AO89" i="2"/>
  <c r="AN89" i="2"/>
  <c r="AM89" i="2"/>
  <c r="AL89" i="2"/>
  <c r="AK89" i="2"/>
  <c r="AG89" i="2"/>
  <c r="AE89" i="2"/>
  <c r="AF89" i="2" s="1"/>
  <c r="U89" i="2"/>
  <c r="S89" i="2"/>
  <c r="T89" i="2" s="1"/>
  <c r="R89" i="2"/>
  <c r="Y89" i="2" s="1"/>
  <c r="AB89" i="2" s="1"/>
  <c r="E89" i="2"/>
  <c r="GR88" i="2"/>
  <c r="GS88" i="2" s="1"/>
  <c r="GP88" i="2"/>
  <c r="GQ88" i="2" s="1"/>
  <c r="GN88" i="2"/>
  <c r="GO88" i="2" s="1"/>
  <c r="GL88" i="2"/>
  <c r="GM88" i="2" s="1"/>
  <c r="GH88" i="2"/>
  <c r="GG88" i="2"/>
  <c r="GI88" i="2" s="1"/>
  <c r="GD88" i="2"/>
  <c r="GC88" i="2"/>
  <c r="GB88" i="2"/>
  <c r="FY88" i="2"/>
  <c r="FS88" i="2"/>
  <c r="FT88" i="2" s="1"/>
  <c r="EW88" i="2"/>
  <c r="ET88" i="2"/>
  <c r="EU88" i="2" s="1"/>
  <c r="EQ88" i="2"/>
  <c r="ER88" i="2" s="1"/>
  <c r="EJ88" i="2"/>
  <c r="EE88" i="2"/>
  <c r="EF88" i="2" s="1"/>
  <c r="DX88" i="2"/>
  <c r="DP88" i="2"/>
  <c r="DF88" i="2"/>
  <c r="DH88" i="2" s="1"/>
  <c r="DE88" i="2"/>
  <c r="CY88" i="2"/>
  <c r="CZ88" i="2" s="1"/>
  <c r="CF88" i="2"/>
  <c r="CH88" i="2"/>
  <c r="CA88" i="2"/>
  <c r="CR88" i="2"/>
  <c r="BO88" i="2"/>
  <c r="BJ88" i="2"/>
  <c r="BM88" i="2" s="1"/>
  <c r="BN88" i="2" s="1"/>
  <c r="BC88" i="2"/>
  <c r="AZ88" i="2"/>
  <c r="AY88" i="2"/>
  <c r="AO88" i="2"/>
  <c r="AN88" i="2"/>
  <c r="AM88" i="2"/>
  <c r="AL88" i="2"/>
  <c r="AK88" i="2"/>
  <c r="AG88" i="2"/>
  <c r="AE88" i="2"/>
  <c r="AF88" i="2" s="1"/>
  <c r="U88" i="2"/>
  <c r="S88" i="2"/>
  <c r="T88" i="2" s="1"/>
  <c r="R88" i="2"/>
  <c r="X88" i="2" s="1"/>
  <c r="AA88" i="2" s="1"/>
  <c r="E88" i="2"/>
  <c r="GR87" i="2"/>
  <c r="GS87" i="2" s="1"/>
  <c r="GP87" i="2"/>
  <c r="GQ87" i="2" s="1"/>
  <c r="GN87" i="2"/>
  <c r="GO87" i="2" s="1"/>
  <c r="GL87" i="2"/>
  <c r="GM87" i="2" s="1"/>
  <c r="GH87" i="2"/>
  <c r="GG87" i="2"/>
  <c r="GI87" i="2" s="1"/>
  <c r="GD87" i="2"/>
  <c r="GC87" i="2"/>
  <c r="GB87" i="2"/>
  <c r="FY87" i="2"/>
  <c r="FS87" i="2"/>
  <c r="FT87" i="2" s="1"/>
  <c r="EW87" i="2"/>
  <c r="ET87" i="2"/>
  <c r="EU87" i="2" s="1"/>
  <c r="EQ87" i="2"/>
  <c r="ER87" i="2" s="1"/>
  <c r="EJ87" i="2"/>
  <c r="EE87" i="2"/>
  <c r="EF87" i="2" s="1"/>
  <c r="DX87" i="2"/>
  <c r="DP87" i="2"/>
  <c r="DF87" i="2"/>
  <c r="DH87" i="2" s="1"/>
  <c r="DE87" i="2"/>
  <c r="CY87" i="2"/>
  <c r="CZ87" i="2" s="1"/>
  <c r="CF87" i="2"/>
  <c r="CH87" i="2"/>
  <c r="CA87" i="2"/>
  <c r="BO87" i="2"/>
  <c r="BJ87" i="2"/>
  <c r="BM87" i="2" s="1"/>
  <c r="BN87" i="2" s="1"/>
  <c r="BC87" i="2"/>
  <c r="AZ87" i="2"/>
  <c r="AY87" i="2"/>
  <c r="AO87" i="2"/>
  <c r="AN87" i="2"/>
  <c r="AM87" i="2"/>
  <c r="AL87" i="2"/>
  <c r="AK87" i="2"/>
  <c r="AG87" i="2"/>
  <c r="AE87" i="2"/>
  <c r="AF87" i="2" s="1"/>
  <c r="U87" i="2"/>
  <c r="S87" i="2"/>
  <c r="T87" i="2" s="1"/>
  <c r="R87" i="2"/>
  <c r="Y87" i="2" s="1"/>
  <c r="AB87" i="2" s="1"/>
  <c r="E87" i="2"/>
  <c r="GR86" i="2"/>
  <c r="GS86" i="2" s="1"/>
  <c r="GP86" i="2"/>
  <c r="GQ86" i="2" s="1"/>
  <c r="DU86" i="2" s="1"/>
  <c r="EI86" i="2" s="1"/>
  <c r="GN86" i="2"/>
  <c r="GO86" i="2" s="1"/>
  <c r="GL86" i="2"/>
  <c r="GM86" i="2" s="1"/>
  <c r="GH86" i="2"/>
  <c r="GG86" i="2"/>
  <c r="GI86" i="2" s="1"/>
  <c r="GD86" i="2"/>
  <c r="GC86" i="2"/>
  <c r="GB86" i="2"/>
  <c r="FY86" i="2"/>
  <c r="GA86" i="2" s="1"/>
  <c r="FS86" i="2"/>
  <c r="FT86" i="2" s="1"/>
  <c r="EW86" i="2"/>
  <c r="ET86" i="2"/>
  <c r="EU86" i="2" s="1"/>
  <c r="EQ86" i="2"/>
  <c r="ER86" i="2" s="1"/>
  <c r="EJ86" i="2"/>
  <c r="EE86" i="2"/>
  <c r="EF86" i="2" s="1"/>
  <c r="DX86" i="2"/>
  <c r="DP86" i="2"/>
  <c r="DF86" i="2"/>
  <c r="DH86" i="2" s="1"/>
  <c r="DE86" i="2"/>
  <c r="CY86" i="2"/>
  <c r="CZ86" i="2" s="1"/>
  <c r="CF86" i="2"/>
  <c r="CH86" i="2"/>
  <c r="CA86" i="2"/>
  <c r="BO86" i="2"/>
  <c r="BJ86" i="2"/>
  <c r="BK86" i="2" s="1"/>
  <c r="CL86" i="2" s="1"/>
  <c r="BC86" i="2"/>
  <c r="AZ86" i="2"/>
  <c r="AY86" i="2"/>
  <c r="AO86" i="2"/>
  <c r="AN86" i="2"/>
  <c r="AM86" i="2"/>
  <c r="AL86" i="2"/>
  <c r="AK86" i="2"/>
  <c r="AG86" i="2"/>
  <c r="AE86" i="2"/>
  <c r="AF86" i="2" s="1"/>
  <c r="U86" i="2"/>
  <c r="S86" i="2"/>
  <c r="T86" i="2" s="1"/>
  <c r="R86" i="2"/>
  <c r="Y86" i="2" s="1"/>
  <c r="AB86" i="2" s="1"/>
  <c r="E86" i="2"/>
  <c r="GR166" i="2"/>
  <c r="GS166" i="2" s="1"/>
  <c r="GP166" i="2"/>
  <c r="GQ166" i="2" s="1"/>
  <c r="DU166" i="2" s="1"/>
  <c r="EI166" i="2" s="1"/>
  <c r="GN166" i="2"/>
  <c r="GO166" i="2" s="1"/>
  <c r="GL166" i="2"/>
  <c r="GM166" i="2" s="1"/>
  <c r="GH166" i="2"/>
  <c r="GG166" i="2"/>
  <c r="GI166" i="2" s="1"/>
  <c r="GD166" i="2"/>
  <c r="GC166" i="2"/>
  <c r="GB166" i="2"/>
  <c r="FY166" i="2"/>
  <c r="GA166" i="2" s="1"/>
  <c r="FS166" i="2"/>
  <c r="FT166" i="2" s="1"/>
  <c r="EW166" i="2"/>
  <c r="ET166" i="2"/>
  <c r="EU166" i="2" s="1"/>
  <c r="EQ166" i="2"/>
  <c r="ER166" i="2" s="1"/>
  <c r="EJ166" i="2"/>
  <c r="EE166" i="2"/>
  <c r="EF166" i="2" s="1"/>
  <c r="DX166" i="2"/>
  <c r="DP166" i="2"/>
  <c r="DF166" i="2"/>
  <c r="DH166" i="2" s="1"/>
  <c r="DE166" i="2"/>
  <c r="CY166" i="2"/>
  <c r="CZ166" i="2" s="1"/>
  <c r="CF166" i="2"/>
  <c r="CH166" i="2"/>
  <c r="CA166" i="2"/>
  <c r="BO166" i="2"/>
  <c r="BJ166" i="2"/>
  <c r="BM166" i="2" s="1"/>
  <c r="BN166" i="2" s="1"/>
  <c r="BC166" i="2"/>
  <c r="AZ166" i="2"/>
  <c r="AY166" i="2"/>
  <c r="AO166" i="2"/>
  <c r="AN166" i="2"/>
  <c r="AM166" i="2"/>
  <c r="AL166" i="2"/>
  <c r="AK166" i="2"/>
  <c r="AG166" i="2"/>
  <c r="AE166" i="2"/>
  <c r="AF166" i="2" s="1"/>
  <c r="U166" i="2"/>
  <c r="S166" i="2"/>
  <c r="T166" i="2" s="1"/>
  <c r="R166" i="2"/>
  <c r="Y166" i="2" s="1"/>
  <c r="AB166" i="2" s="1"/>
  <c r="E166" i="2"/>
  <c r="GR84" i="2"/>
  <c r="GS84" i="2" s="1"/>
  <c r="GP84" i="2"/>
  <c r="GQ84" i="2" s="1"/>
  <c r="GN84" i="2"/>
  <c r="GO84" i="2" s="1"/>
  <c r="GL84" i="2"/>
  <c r="GM84" i="2" s="1"/>
  <c r="GH84" i="2"/>
  <c r="GG84" i="2"/>
  <c r="GI84" i="2" s="1"/>
  <c r="GD84" i="2"/>
  <c r="GC84" i="2"/>
  <c r="GB84" i="2"/>
  <c r="FY84" i="2"/>
  <c r="FS84" i="2"/>
  <c r="FT84" i="2" s="1"/>
  <c r="EW84" i="2"/>
  <c r="ET84" i="2"/>
  <c r="EU84" i="2" s="1"/>
  <c r="EQ84" i="2"/>
  <c r="ER84" i="2" s="1"/>
  <c r="EJ84" i="2"/>
  <c r="EE84" i="2"/>
  <c r="EF84" i="2" s="1"/>
  <c r="DX84" i="2"/>
  <c r="DP84" i="2"/>
  <c r="DF84" i="2"/>
  <c r="DH84" i="2" s="1"/>
  <c r="DE84" i="2"/>
  <c r="CY84" i="2"/>
  <c r="CZ84" i="2" s="1"/>
  <c r="CF84" i="2"/>
  <c r="CH84" i="2"/>
  <c r="CA84" i="2"/>
  <c r="CW84" i="2"/>
  <c r="BO84" i="2"/>
  <c r="BJ84" i="2"/>
  <c r="BM84" i="2" s="1"/>
  <c r="BN84" i="2" s="1"/>
  <c r="BC84" i="2"/>
  <c r="AZ84" i="2"/>
  <c r="AY84" i="2"/>
  <c r="AO84" i="2"/>
  <c r="AN84" i="2"/>
  <c r="AM84" i="2"/>
  <c r="AL84" i="2"/>
  <c r="AK84" i="2"/>
  <c r="AG84" i="2"/>
  <c r="AE84" i="2"/>
  <c r="AF84" i="2" s="1"/>
  <c r="U84" i="2"/>
  <c r="S84" i="2"/>
  <c r="T84" i="2" s="1"/>
  <c r="R84" i="2"/>
  <c r="E84" i="2"/>
  <c r="GR83" i="2"/>
  <c r="GS83" i="2" s="1"/>
  <c r="GP83" i="2"/>
  <c r="GQ83" i="2" s="1"/>
  <c r="GN83" i="2"/>
  <c r="GO83" i="2" s="1"/>
  <c r="GL83" i="2"/>
  <c r="GM83" i="2" s="1"/>
  <c r="GH83" i="2"/>
  <c r="GG83" i="2"/>
  <c r="GI83" i="2" s="1"/>
  <c r="GD83" i="2"/>
  <c r="GC83" i="2"/>
  <c r="GB83" i="2"/>
  <c r="FY83" i="2"/>
  <c r="FS83" i="2"/>
  <c r="FT83" i="2" s="1"/>
  <c r="EW83" i="2"/>
  <c r="ET83" i="2"/>
  <c r="EU83" i="2" s="1"/>
  <c r="EQ83" i="2"/>
  <c r="ER83" i="2" s="1"/>
  <c r="EJ83" i="2"/>
  <c r="EE83" i="2"/>
  <c r="EF83" i="2" s="1"/>
  <c r="DX83" i="2"/>
  <c r="DP83" i="2"/>
  <c r="DF83" i="2"/>
  <c r="DH83" i="2" s="1"/>
  <c r="DE83" i="2"/>
  <c r="CY83" i="2"/>
  <c r="CZ83" i="2" s="1"/>
  <c r="CF83" i="2"/>
  <c r="CH83" i="2"/>
  <c r="CA83" i="2"/>
  <c r="BO83" i="2"/>
  <c r="BJ83" i="2"/>
  <c r="BM83" i="2" s="1"/>
  <c r="BN83" i="2" s="1"/>
  <c r="BC83" i="2"/>
  <c r="AZ83" i="2"/>
  <c r="AY83" i="2"/>
  <c r="AO83" i="2"/>
  <c r="AN83" i="2"/>
  <c r="AM83" i="2"/>
  <c r="AL83" i="2"/>
  <c r="AK83" i="2"/>
  <c r="AG83" i="2"/>
  <c r="AE83" i="2"/>
  <c r="AF83" i="2" s="1"/>
  <c r="U83" i="2"/>
  <c r="S83" i="2"/>
  <c r="T83" i="2" s="1"/>
  <c r="R83" i="2"/>
  <c r="Y83" i="2" s="1"/>
  <c r="AB83" i="2" s="1"/>
  <c r="E83" i="2"/>
  <c r="GR82" i="2"/>
  <c r="GS82" i="2" s="1"/>
  <c r="GP82" i="2"/>
  <c r="GQ82" i="2" s="1"/>
  <c r="GN82" i="2"/>
  <c r="GO82" i="2" s="1"/>
  <c r="GL82" i="2"/>
  <c r="GM82" i="2" s="1"/>
  <c r="GH82" i="2"/>
  <c r="GG82" i="2"/>
  <c r="GI82" i="2" s="1"/>
  <c r="GD82" i="2"/>
  <c r="GC82" i="2"/>
  <c r="GB82" i="2"/>
  <c r="FY82" i="2"/>
  <c r="GA82" i="2" s="1"/>
  <c r="FS82" i="2"/>
  <c r="FT82" i="2" s="1"/>
  <c r="EW82" i="2"/>
  <c r="ET82" i="2"/>
  <c r="EU82" i="2" s="1"/>
  <c r="EQ82" i="2"/>
  <c r="ER82" i="2" s="1"/>
  <c r="EJ82" i="2"/>
  <c r="EE82" i="2"/>
  <c r="EF82" i="2" s="1"/>
  <c r="DX82" i="2"/>
  <c r="DP82" i="2"/>
  <c r="DF82" i="2"/>
  <c r="DH82" i="2" s="1"/>
  <c r="DE82" i="2"/>
  <c r="CY82" i="2"/>
  <c r="CZ82" i="2" s="1"/>
  <c r="CF82" i="2"/>
  <c r="CH82" i="2"/>
  <c r="CA82" i="2"/>
  <c r="CR82" i="2"/>
  <c r="BO82" i="2"/>
  <c r="BJ82" i="2"/>
  <c r="BM82" i="2" s="1"/>
  <c r="BN82" i="2" s="1"/>
  <c r="BC82" i="2"/>
  <c r="AZ82" i="2"/>
  <c r="AY82" i="2"/>
  <c r="AO82" i="2"/>
  <c r="AN82" i="2"/>
  <c r="AM82" i="2"/>
  <c r="AL82" i="2"/>
  <c r="AK82" i="2"/>
  <c r="AG82" i="2"/>
  <c r="AE82" i="2"/>
  <c r="AF82" i="2" s="1"/>
  <c r="U82" i="2"/>
  <c r="S82" i="2"/>
  <c r="T82" i="2" s="1"/>
  <c r="R82" i="2"/>
  <c r="E82" i="2"/>
  <c r="GR81" i="2"/>
  <c r="GS81" i="2" s="1"/>
  <c r="GP81" i="2"/>
  <c r="GQ81" i="2" s="1"/>
  <c r="DO81" i="2" s="1"/>
  <c r="DQ81" i="2" s="1"/>
  <c r="DR81" i="2" s="1"/>
  <c r="GN81" i="2"/>
  <c r="GO81" i="2" s="1"/>
  <c r="GL81" i="2"/>
  <c r="GM81" i="2" s="1"/>
  <c r="GH81" i="2"/>
  <c r="GG81" i="2"/>
  <c r="GI81" i="2" s="1"/>
  <c r="GD81" i="2"/>
  <c r="GC81" i="2"/>
  <c r="GB81" i="2"/>
  <c r="FY81" i="2"/>
  <c r="GA81" i="2" s="1"/>
  <c r="FS81" i="2"/>
  <c r="FT81" i="2" s="1"/>
  <c r="EW81" i="2"/>
  <c r="ET81" i="2"/>
  <c r="EU81" i="2" s="1"/>
  <c r="EQ81" i="2"/>
  <c r="ER81" i="2" s="1"/>
  <c r="EJ81" i="2"/>
  <c r="EE81" i="2"/>
  <c r="EF81" i="2" s="1"/>
  <c r="DX81" i="2"/>
  <c r="DP81" i="2"/>
  <c r="DF81" i="2"/>
  <c r="DH81" i="2" s="1"/>
  <c r="DE81" i="2"/>
  <c r="CY81" i="2"/>
  <c r="CZ81" i="2" s="1"/>
  <c r="CF81" i="2"/>
  <c r="CH81" i="2"/>
  <c r="CA81" i="2"/>
  <c r="BO81" i="2"/>
  <c r="BJ81" i="2"/>
  <c r="BM81" i="2" s="1"/>
  <c r="BN81" i="2" s="1"/>
  <c r="BC81" i="2"/>
  <c r="AZ81" i="2"/>
  <c r="AY81" i="2"/>
  <c r="AO81" i="2"/>
  <c r="AN81" i="2"/>
  <c r="AM81" i="2"/>
  <c r="AL81" i="2"/>
  <c r="AK81" i="2"/>
  <c r="AG81" i="2"/>
  <c r="AE81" i="2"/>
  <c r="AF81" i="2" s="1"/>
  <c r="U81" i="2"/>
  <c r="S81" i="2"/>
  <c r="T81" i="2" s="1"/>
  <c r="R81" i="2"/>
  <c r="Y81" i="2" s="1"/>
  <c r="AB81" i="2" s="1"/>
  <c r="E81" i="2"/>
  <c r="GR80" i="2"/>
  <c r="GS80" i="2" s="1"/>
  <c r="GP80" i="2"/>
  <c r="GQ80" i="2" s="1"/>
  <c r="DO80" i="2" s="1"/>
  <c r="DQ80" i="2" s="1"/>
  <c r="DR80" i="2" s="1"/>
  <c r="GN80" i="2"/>
  <c r="GO80" i="2" s="1"/>
  <c r="GL80" i="2"/>
  <c r="GM80" i="2" s="1"/>
  <c r="GH80" i="2"/>
  <c r="GG80" i="2"/>
  <c r="GI80" i="2" s="1"/>
  <c r="GD80" i="2"/>
  <c r="GC80" i="2"/>
  <c r="GB80" i="2"/>
  <c r="FY80" i="2"/>
  <c r="GA80" i="2" s="1"/>
  <c r="FS80" i="2"/>
  <c r="FT80" i="2" s="1"/>
  <c r="EW80" i="2"/>
  <c r="ET80" i="2"/>
  <c r="EU80" i="2" s="1"/>
  <c r="EQ80" i="2"/>
  <c r="ER80" i="2" s="1"/>
  <c r="EJ80" i="2"/>
  <c r="EE80" i="2"/>
  <c r="EF80" i="2" s="1"/>
  <c r="DX80" i="2"/>
  <c r="DP80" i="2"/>
  <c r="DF80" i="2"/>
  <c r="DE80" i="2"/>
  <c r="CY80" i="2"/>
  <c r="CZ80" i="2" s="1"/>
  <c r="CF80" i="2"/>
  <c r="CH80" i="2"/>
  <c r="CA80" i="2"/>
  <c r="BO80" i="2"/>
  <c r="BJ80" i="2"/>
  <c r="BM80" i="2" s="1"/>
  <c r="BN80" i="2" s="1"/>
  <c r="BC80" i="2"/>
  <c r="AZ80" i="2"/>
  <c r="AY80" i="2"/>
  <c r="AO80" i="2"/>
  <c r="AN80" i="2"/>
  <c r="AM80" i="2"/>
  <c r="AL80" i="2"/>
  <c r="AK80" i="2"/>
  <c r="AG80" i="2"/>
  <c r="AE80" i="2"/>
  <c r="AF80" i="2" s="1"/>
  <c r="U80" i="2"/>
  <c r="S80" i="2"/>
  <c r="R80" i="2"/>
  <c r="X80" i="2" s="1"/>
  <c r="E80" i="2"/>
  <c r="GR79" i="2"/>
  <c r="GS79" i="2" s="1"/>
  <c r="GP79" i="2"/>
  <c r="GQ79" i="2" s="1"/>
  <c r="DO79" i="2" s="1"/>
  <c r="DQ79" i="2" s="1"/>
  <c r="DR79" i="2" s="1"/>
  <c r="GN79" i="2"/>
  <c r="GO79" i="2" s="1"/>
  <c r="GL79" i="2"/>
  <c r="GM79" i="2" s="1"/>
  <c r="GH79" i="2"/>
  <c r="GG79" i="2"/>
  <c r="GI79" i="2" s="1"/>
  <c r="GD79" i="2"/>
  <c r="GC79" i="2"/>
  <c r="GB79" i="2"/>
  <c r="FY79" i="2"/>
  <c r="GA79" i="2" s="1"/>
  <c r="FS79" i="2"/>
  <c r="FT79" i="2" s="1"/>
  <c r="EW79" i="2"/>
  <c r="ET79" i="2"/>
  <c r="EU79" i="2" s="1"/>
  <c r="EQ79" i="2"/>
  <c r="ER79" i="2" s="1"/>
  <c r="EJ79" i="2"/>
  <c r="EE79" i="2"/>
  <c r="EF79" i="2" s="1"/>
  <c r="DX79" i="2"/>
  <c r="DP79" i="2"/>
  <c r="DF79" i="2"/>
  <c r="DH79" i="2" s="1"/>
  <c r="DE79" i="2"/>
  <c r="CY79" i="2"/>
  <c r="CZ79" i="2" s="1"/>
  <c r="CF79" i="2"/>
  <c r="CH79" i="2"/>
  <c r="CA79" i="2"/>
  <c r="DA79" i="2"/>
  <c r="DB79" i="2" s="1"/>
  <c r="BO79" i="2"/>
  <c r="BJ79" i="2"/>
  <c r="BC79" i="2"/>
  <c r="AZ79" i="2"/>
  <c r="AY79" i="2"/>
  <c r="AO79" i="2"/>
  <c r="AN79" i="2"/>
  <c r="AM79" i="2"/>
  <c r="AL79" i="2"/>
  <c r="AK79" i="2"/>
  <c r="AG79" i="2"/>
  <c r="AE79" i="2"/>
  <c r="AF79" i="2" s="1"/>
  <c r="U79" i="2"/>
  <c r="S79" i="2"/>
  <c r="R79" i="2"/>
  <c r="E79" i="2"/>
  <c r="GR78" i="2"/>
  <c r="GS78" i="2" s="1"/>
  <c r="GP78" i="2"/>
  <c r="GQ78" i="2" s="1"/>
  <c r="GN78" i="2"/>
  <c r="GO78" i="2" s="1"/>
  <c r="GL78" i="2"/>
  <c r="GM78" i="2" s="1"/>
  <c r="GH78" i="2"/>
  <c r="GG78" i="2"/>
  <c r="GI78" i="2" s="1"/>
  <c r="GD78" i="2"/>
  <c r="GC78" i="2"/>
  <c r="GB78" i="2"/>
  <c r="FY78" i="2"/>
  <c r="GA78" i="2" s="1"/>
  <c r="FS78" i="2"/>
  <c r="FT78" i="2" s="1"/>
  <c r="EW78" i="2"/>
  <c r="ET78" i="2"/>
  <c r="EU78" i="2" s="1"/>
  <c r="EQ78" i="2"/>
  <c r="ER78" i="2" s="1"/>
  <c r="EJ78" i="2"/>
  <c r="EE78" i="2"/>
  <c r="EF78" i="2" s="1"/>
  <c r="DX78" i="2"/>
  <c r="DP78" i="2"/>
  <c r="DF78" i="2"/>
  <c r="DG78" i="2" s="1"/>
  <c r="DE78" i="2"/>
  <c r="CY78" i="2"/>
  <c r="CZ78" i="2" s="1"/>
  <c r="CF78" i="2"/>
  <c r="CH78" i="2"/>
  <c r="CA78" i="2"/>
  <c r="DA78" i="2"/>
  <c r="DB78" i="2" s="1"/>
  <c r="BO78" i="2"/>
  <c r="BJ78" i="2"/>
  <c r="BM78" i="2" s="1"/>
  <c r="BN78" i="2" s="1"/>
  <c r="BC78" i="2"/>
  <c r="AZ78" i="2"/>
  <c r="AY78" i="2"/>
  <c r="AO78" i="2"/>
  <c r="AN78" i="2"/>
  <c r="AM78" i="2"/>
  <c r="AL78" i="2"/>
  <c r="AK78" i="2"/>
  <c r="AG78" i="2"/>
  <c r="AE78" i="2"/>
  <c r="AF78" i="2" s="1"/>
  <c r="U78" i="2"/>
  <c r="S78" i="2"/>
  <c r="T78" i="2" s="1"/>
  <c r="R78" i="2"/>
  <c r="X78" i="2" s="1"/>
  <c r="E78" i="2"/>
  <c r="GR77" i="2"/>
  <c r="GS77" i="2" s="1"/>
  <c r="GP77" i="2"/>
  <c r="GQ77" i="2" s="1"/>
  <c r="DU77" i="2" s="1"/>
  <c r="EG77" i="2" s="1"/>
  <c r="GN77" i="2"/>
  <c r="GO77" i="2" s="1"/>
  <c r="GL77" i="2"/>
  <c r="GM77" i="2" s="1"/>
  <c r="GH77" i="2"/>
  <c r="GG77" i="2"/>
  <c r="GI77" i="2" s="1"/>
  <c r="GD77" i="2"/>
  <c r="GC77" i="2"/>
  <c r="GB77" i="2"/>
  <c r="FY77" i="2"/>
  <c r="FZ77" i="2" s="1"/>
  <c r="FS77" i="2"/>
  <c r="FT77" i="2" s="1"/>
  <c r="EW77" i="2"/>
  <c r="ET77" i="2"/>
  <c r="EU77" i="2" s="1"/>
  <c r="EQ77" i="2"/>
  <c r="ER77" i="2" s="1"/>
  <c r="EJ77" i="2"/>
  <c r="EE77" i="2"/>
  <c r="EF77" i="2" s="1"/>
  <c r="DX77" i="2"/>
  <c r="DP77" i="2"/>
  <c r="DF77" i="2"/>
  <c r="DH77" i="2" s="1"/>
  <c r="DE77" i="2"/>
  <c r="CY77" i="2"/>
  <c r="CZ77" i="2" s="1"/>
  <c r="CF77" i="2"/>
  <c r="CH77" i="2"/>
  <c r="CA77" i="2"/>
  <c r="DA77" i="2"/>
  <c r="DB77" i="2" s="1"/>
  <c r="BO77" i="2"/>
  <c r="BJ77" i="2"/>
  <c r="BC77" i="2"/>
  <c r="AZ77" i="2"/>
  <c r="AY77" i="2"/>
  <c r="AO77" i="2"/>
  <c r="AN77" i="2"/>
  <c r="AM77" i="2"/>
  <c r="AL77" i="2"/>
  <c r="AI77" i="2"/>
  <c r="AK77" i="2" s="1"/>
  <c r="AG77" i="2"/>
  <c r="AE77" i="2"/>
  <c r="AF77" i="2" s="1"/>
  <c r="U77" i="2"/>
  <c r="S77" i="2"/>
  <c r="T77" i="2" s="1"/>
  <c r="R77" i="2"/>
  <c r="X77" i="2" s="1"/>
  <c r="AA77" i="2" s="1"/>
  <c r="E77" i="2"/>
  <c r="GR76" i="2"/>
  <c r="GS76" i="2" s="1"/>
  <c r="GP76" i="2"/>
  <c r="GQ76" i="2" s="1"/>
  <c r="DU76" i="2" s="1"/>
  <c r="EG76" i="2" s="1"/>
  <c r="GN76" i="2"/>
  <c r="GO76" i="2" s="1"/>
  <c r="GL76" i="2"/>
  <c r="GM76" i="2" s="1"/>
  <c r="GH76" i="2"/>
  <c r="GG76" i="2"/>
  <c r="GI76" i="2" s="1"/>
  <c r="GD76" i="2"/>
  <c r="GC76" i="2"/>
  <c r="GB76" i="2"/>
  <c r="FY76" i="2"/>
  <c r="FZ76" i="2" s="1"/>
  <c r="FS76" i="2"/>
  <c r="FT76" i="2" s="1"/>
  <c r="EW76" i="2"/>
  <c r="ET76" i="2"/>
  <c r="EU76" i="2" s="1"/>
  <c r="EQ76" i="2"/>
  <c r="ER76" i="2" s="1"/>
  <c r="EJ76" i="2"/>
  <c r="EE76" i="2"/>
  <c r="EF76" i="2" s="1"/>
  <c r="DX76" i="2"/>
  <c r="DP76" i="2"/>
  <c r="DF76" i="2"/>
  <c r="DH76" i="2" s="1"/>
  <c r="DE76" i="2"/>
  <c r="CY76" i="2"/>
  <c r="CZ76" i="2" s="1"/>
  <c r="CF76" i="2"/>
  <c r="CH76" i="2"/>
  <c r="CA76" i="2"/>
  <c r="DA76" i="2"/>
  <c r="DB76" i="2" s="1"/>
  <c r="BO76" i="2"/>
  <c r="BJ76" i="2"/>
  <c r="BM76" i="2" s="1"/>
  <c r="BN76" i="2" s="1"/>
  <c r="BC76" i="2"/>
  <c r="AZ76" i="2"/>
  <c r="AY76" i="2"/>
  <c r="AO76" i="2"/>
  <c r="AN76" i="2"/>
  <c r="AM76" i="2"/>
  <c r="AL76" i="2"/>
  <c r="AK76" i="2"/>
  <c r="AG76" i="2"/>
  <c r="AE76" i="2"/>
  <c r="AF76" i="2" s="1"/>
  <c r="U76" i="2"/>
  <c r="S76" i="2"/>
  <c r="T76" i="2" s="1"/>
  <c r="R76" i="2"/>
  <c r="X76" i="2" s="1"/>
  <c r="AA76" i="2" s="1"/>
  <c r="E76" i="2"/>
  <c r="GR75" i="2"/>
  <c r="GS75" i="2" s="1"/>
  <c r="GP75" i="2"/>
  <c r="GQ75" i="2" s="1"/>
  <c r="DU75" i="2" s="1"/>
  <c r="EG75" i="2" s="1"/>
  <c r="GN75" i="2"/>
  <c r="GO75" i="2" s="1"/>
  <c r="GL75" i="2"/>
  <c r="GM75" i="2" s="1"/>
  <c r="GH75" i="2"/>
  <c r="GG75" i="2"/>
  <c r="GI75" i="2" s="1"/>
  <c r="GD75" i="2"/>
  <c r="GC75" i="2"/>
  <c r="GB75" i="2"/>
  <c r="FY75" i="2"/>
  <c r="FS75" i="2"/>
  <c r="FT75" i="2" s="1"/>
  <c r="EW75" i="2"/>
  <c r="ET75" i="2"/>
  <c r="EU75" i="2" s="1"/>
  <c r="EQ75" i="2"/>
  <c r="ER75" i="2" s="1"/>
  <c r="EJ75" i="2"/>
  <c r="EE75" i="2"/>
  <c r="EF75" i="2" s="1"/>
  <c r="DX75" i="2"/>
  <c r="DP75" i="2"/>
  <c r="DF75" i="2"/>
  <c r="DH75" i="2" s="1"/>
  <c r="DE75" i="2"/>
  <c r="CY75" i="2"/>
  <c r="CZ75" i="2" s="1"/>
  <c r="CF75" i="2"/>
  <c r="CH75" i="2"/>
  <c r="CA75" i="2"/>
  <c r="DA75" i="2"/>
  <c r="DB75" i="2" s="1"/>
  <c r="BO75" i="2"/>
  <c r="BJ75" i="2"/>
  <c r="BM75" i="2" s="1"/>
  <c r="BN75" i="2" s="1"/>
  <c r="BC75" i="2"/>
  <c r="AZ75" i="2"/>
  <c r="AY75" i="2"/>
  <c r="AO75" i="2"/>
  <c r="AN75" i="2"/>
  <c r="AM75" i="2"/>
  <c r="AL75" i="2"/>
  <c r="AK75" i="2"/>
  <c r="AG75" i="2"/>
  <c r="AE75" i="2"/>
  <c r="AF75" i="2" s="1"/>
  <c r="U75" i="2"/>
  <c r="S75" i="2"/>
  <c r="T75" i="2" s="1"/>
  <c r="R75" i="2"/>
  <c r="E75" i="2"/>
  <c r="GR74" i="2"/>
  <c r="GS74" i="2" s="1"/>
  <c r="GP74" i="2"/>
  <c r="GQ74" i="2" s="1"/>
  <c r="DU74" i="2" s="1"/>
  <c r="EG74" i="2" s="1"/>
  <c r="GN74" i="2"/>
  <c r="GO74" i="2" s="1"/>
  <c r="GL74" i="2"/>
  <c r="GM74" i="2" s="1"/>
  <c r="GH74" i="2"/>
  <c r="GG74" i="2"/>
  <c r="GI74" i="2" s="1"/>
  <c r="GD74" i="2"/>
  <c r="GC74" i="2"/>
  <c r="GB74" i="2"/>
  <c r="FY74" i="2"/>
  <c r="FZ74" i="2" s="1"/>
  <c r="FS74" i="2"/>
  <c r="FT74" i="2" s="1"/>
  <c r="EW74" i="2"/>
  <c r="ET74" i="2"/>
  <c r="EU74" i="2" s="1"/>
  <c r="EQ74" i="2"/>
  <c r="ER74" i="2" s="1"/>
  <c r="EJ74" i="2"/>
  <c r="EE74" i="2"/>
  <c r="EF74" i="2" s="1"/>
  <c r="DX74" i="2"/>
  <c r="DP74" i="2"/>
  <c r="DF74" i="2"/>
  <c r="DG74" i="2" s="1"/>
  <c r="DE74" i="2"/>
  <c r="CY74" i="2"/>
  <c r="CZ74" i="2" s="1"/>
  <c r="CF74" i="2"/>
  <c r="CH74" i="2"/>
  <c r="CA74" i="2"/>
  <c r="DA74" i="2"/>
  <c r="DB74" i="2" s="1"/>
  <c r="BO74" i="2"/>
  <c r="BJ74" i="2"/>
  <c r="BM74" i="2" s="1"/>
  <c r="BN74" i="2" s="1"/>
  <c r="BC74" i="2"/>
  <c r="AZ74" i="2"/>
  <c r="AY74" i="2"/>
  <c r="AO74" i="2"/>
  <c r="AN74" i="2"/>
  <c r="AM74" i="2"/>
  <c r="AL74" i="2"/>
  <c r="AK74" i="2"/>
  <c r="AG74" i="2"/>
  <c r="AE74" i="2"/>
  <c r="AF74" i="2" s="1"/>
  <c r="U74" i="2"/>
  <c r="S74" i="2"/>
  <c r="T74" i="2" s="1"/>
  <c r="R74" i="2"/>
  <c r="X74" i="2" s="1"/>
  <c r="AA74" i="2" s="1"/>
  <c r="E74" i="2"/>
  <c r="GR73" i="2"/>
  <c r="GS73" i="2" s="1"/>
  <c r="GP73" i="2"/>
  <c r="GQ73" i="2" s="1"/>
  <c r="DU73" i="2" s="1"/>
  <c r="GN73" i="2"/>
  <c r="GO73" i="2" s="1"/>
  <c r="GL73" i="2"/>
  <c r="GM73" i="2" s="1"/>
  <c r="GH73" i="2"/>
  <c r="GG73" i="2"/>
  <c r="GI73" i="2" s="1"/>
  <c r="GD73" i="2"/>
  <c r="GC73" i="2"/>
  <c r="GB73" i="2"/>
  <c r="FY73" i="2"/>
  <c r="FZ73" i="2" s="1"/>
  <c r="FS73" i="2"/>
  <c r="FT73" i="2" s="1"/>
  <c r="EW73" i="2"/>
  <c r="ET73" i="2"/>
  <c r="EU73" i="2" s="1"/>
  <c r="EQ73" i="2"/>
  <c r="ER73" i="2" s="1"/>
  <c r="EJ73" i="2"/>
  <c r="EE73" i="2"/>
  <c r="EF73" i="2" s="1"/>
  <c r="DX73" i="2"/>
  <c r="DP73" i="2"/>
  <c r="DF73" i="2"/>
  <c r="DH73" i="2" s="1"/>
  <c r="DE73" i="2"/>
  <c r="CY73" i="2"/>
  <c r="CZ73" i="2" s="1"/>
  <c r="CF73" i="2"/>
  <c r="CH73" i="2"/>
  <c r="CA73" i="2"/>
  <c r="DA73" i="2"/>
  <c r="DB73" i="2" s="1"/>
  <c r="BO73" i="2"/>
  <c r="BJ73" i="2"/>
  <c r="BM73" i="2" s="1"/>
  <c r="BN73" i="2" s="1"/>
  <c r="BC73" i="2"/>
  <c r="AZ73" i="2"/>
  <c r="AY73" i="2"/>
  <c r="AO73" i="2"/>
  <c r="AN73" i="2"/>
  <c r="AM73" i="2"/>
  <c r="AL73" i="2"/>
  <c r="AK73" i="2"/>
  <c r="AG73" i="2"/>
  <c r="AE73" i="2"/>
  <c r="AF73" i="2" s="1"/>
  <c r="U73" i="2"/>
  <c r="S73" i="2"/>
  <c r="T73" i="2" s="1"/>
  <c r="R73" i="2"/>
  <c r="X73" i="2" s="1"/>
  <c r="AA73" i="2" s="1"/>
  <c r="E73" i="2"/>
  <c r="GR72" i="2"/>
  <c r="GS72" i="2" s="1"/>
  <c r="GP72" i="2"/>
  <c r="GQ72" i="2" s="1"/>
  <c r="DU72" i="2" s="1"/>
  <c r="EG72" i="2" s="1"/>
  <c r="GN72" i="2"/>
  <c r="GO72" i="2" s="1"/>
  <c r="GL72" i="2"/>
  <c r="GM72" i="2" s="1"/>
  <c r="GH72" i="2"/>
  <c r="GG72" i="2"/>
  <c r="GI72" i="2" s="1"/>
  <c r="GD72" i="2"/>
  <c r="GC72" i="2"/>
  <c r="GB72" i="2"/>
  <c r="FY72" i="2"/>
  <c r="FZ72" i="2" s="1"/>
  <c r="FS72" i="2"/>
  <c r="FT72" i="2" s="1"/>
  <c r="EW72" i="2"/>
  <c r="ET72" i="2"/>
  <c r="EU72" i="2" s="1"/>
  <c r="EQ72" i="2"/>
  <c r="ER72" i="2" s="1"/>
  <c r="EJ72" i="2"/>
  <c r="EE72" i="2"/>
  <c r="EF72" i="2" s="1"/>
  <c r="DX72" i="2"/>
  <c r="DP72" i="2"/>
  <c r="DF72" i="2"/>
  <c r="DH72" i="2" s="1"/>
  <c r="DE72" i="2"/>
  <c r="CY72" i="2"/>
  <c r="CZ72" i="2" s="1"/>
  <c r="CF72" i="2"/>
  <c r="CH72" i="2"/>
  <c r="CA72" i="2"/>
  <c r="DA72" i="2"/>
  <c r="DB72" i="2" s="1"/>
  <c r="BO72" i="2"/>
  <c r="BJ72" i="2"/>
  <c r="BM72" i="2" s="1"/>
  <c r="BN72" i="2" s="1"/>
  <c r="BC72" i="2"/>
  <c r="AZ72" i="2"/>
  <c r="AY72" i="2"/>
  <c r="AO72" i="2"/>
  <c r="AN72" i="2"/>
  <c r="AM72" i="2"/>
  <c r="AL72" i="2"/>
  <c r="AK72" i="2"/>
  <c r="AG72" i="2"/>
  <c r="AE72" i="2"/>
  <c r="AF72" i="2" s="1"/>
  <c r="U72" i="2"/>
  <c r="S72" i="2"/>
  <c r="T72" i="2" s="1"/>
  <c r="R72" i="2"/>
  <c r="X72" i="2" s="1"/>
  <c r="AA72" i="2" s="1"/>
  <c r="E72" i="2"/>
  <c r="GR71" i="2"/>
  <c r="GS71" i="2" s="1"/>
  <c r="GP71" i="2"/>
  <c r="GQ71" i="2" s="1"/>
  <c r="DU71" i="2" s="1"/>
  <c r="GN71" i="2"/>
  <c r="GO71" i="2" s="1"/>
  <c r="GL71" i="2"/>
  <c r="GM71" i="2" s="1"/>
  <c r="GH71" i="2"/>
  <c r="GG71" i="2"/>
  <c r="GI71" i="2" s="1"/>
  <c r="GD71" i="2"/>
  <c r="GC71" i="2"/>
  <c r="GB71" i="2"/>
  <c r="FY71" i="2"/>
  <c r="FZ71" i="2" s="1"/>
  <c r="FS71" i="2"/>
  <c r="FT71" i="2" s="1"/>
  <c r="EW71" i="2"/>
  <c r="ET71" i="2"/>
  <c r="EU71" i="2" s="1"/>
  <c r="EQ71" i="2"/>
  <c r="ER71" i="2" s="1"/>
  <c r="EJ71" i="2"/>
  <c r="EE71" i="2"/>
  <c r="EF71" i="2" s="1"/>
  <c r="DX71" i="2"/>
  <c r="DP71" i="2"/>
  <c r="DF71" i="2"/>
  <c r="DG71" i="2" s="1"/>
  <c r="DE71" i="2"/>
  <c r="CY71" i="2"/>
  <c r="CZ71" i="2" s="1"/>
  <c r="CF71" i="2"/>
  <c r="CH71" i="2"/>
  <c r="CA71" i="2"/>
  <c r="DA71" i="2"/>
  <c r="DB71" i="2" s="1"/>
  <c r="BO71" i="2"/>
  <c r="BJ71" i="2"/>
  <c r="BM71" i="2" s="1"/>
  <c r="BN71" i="2" s="1"/>
  <c r="BC71" i="2"/>
  <c r="AZ71" i="2"/>
  <c r="AY71" i="2"/>
  <c r="AV71" i="2"/>
  <c r="AO71" i="2"/>
  <c r="AN71" i="2"/>
  <c r="AM71" i="2"/>
  <c r="AL71" i="2"/>
  <c r="AK71" i="2"/>
  <c r="AG71" i="2"/>
  <c r="AE71" i="2"/>
  <c r="AF71" i="2" s="1"/>
  <c r="U71" i="2"/>
  <c r="S71" i="2"/>
  <c r="T71" i="2" s="1"/>
  <c r="R71" i="2"/>
  <c r="Y71" i="2" s="1"/>
  <c r="AB71" i="2" s="1"/>
  <c r="E71" i="2"/>
  <c r="GR70" i="2"/>
  <c r="GS70" i="2" s="1"/>
  <c r="GP70" i="2"/>
  <c r="GQ70" i="2" s="1"/>
  <c r="DU70" i="2" s="1"/>
  <c r="EG70" i="2" s="1"/>
  <c r="GN70" i="2"/>
  <c r="GO70" i="2" s="1"/>
  <c r="GL70" i="2"/>
  <c r="GM70" i="2" s="1"/>
  <c r="GH70" i="2"/>
  <c r="GG70" i="2"/>
  <c r="GI70" i="2" s="1"/>
  <c r="GD70" i="2"/>
  <c r="GC70" i="2"/>
  <c r="GB70" i="2"/>
  <c r="FY70" i="2"/>
  <c r="GA70" i="2" s="1"/>
  <c r="FS70" i="2"/>
  <c r="FT70" i="2" s="1"/>
  <c r="EW70" i="2"/>
  <c r="ET70" i="2"/>
  <c r="EU70" i="2" s="1"/>
  <c r="EQ70" i="2"/>
  <c r="ER70" i="2" s="1"/>
  <c r="EJ70" i="2"/>
  <c r="EE70" i="2"/>
  <c r="EF70" i="2" s="1"/>
  <c r="DX70" i="2"/>
  <c r="DP70" i="2"/>
  <c r="DF70" i="2"/>
  <c r="DG70" i="2" s="1"/>
  <c r="DE70" i="2"/>
  <c r="CY70" i="2"/>
  <c r="CZ70" i="2" s="1"/>
  <c r="CF70" i="2"/>
  <c r="CH70" i="2"/>
  <c r="CA70" i="2"/>
  <c r="DA70" i="2"/>
  <c r="DB70" i="2" s="1"/>
  <c r="BO70" i="2"/>
  <c r="BJ70" i="2"/>
  <c r="BM70" i="2" s="1"/>
  <c r="BN70" i="2" s="1"/>
  <c r="BC70" i="2"/>
  <c r="AZ70" i="2"/>
  <c r="AY70" i="2"/>
  <c r="AO70" i="2"/>
  <c r="AN70" i="2"/>
  <c r="AM70" i="2"/>
  <c r="AL70" i="2"/>
  <c r="AK70" i="2"/>
  <c r="AG70" i="2"/>
  <c r="AE70" i="2"/>
  <c r="AF70" i="2" s="1"/>
  <c r="U70" i="2"/>
  <c r="S70" i="2"/>
  <c r="T70" i="2" s="1"/>
  <c r="R70" i="2"/>
  <c r="Y70" i="2" s="1"/>
  <c r="AB70" i="2" s="1"/>
  <c r="E70" i="2"/>
  <c r="GR69" i="2"/>
  <c r="GS69" i="2" s="1"/>
  <c r="GP69" i="2"/>
  <c r="GQ69" i="2" s="1"/>
  <c r="DU69" i="2" s="1"/>
  <c r="GN69" i="2"/>
  <c r="GO69" i="2" s="1"/>
  <c r="GL69" i="2"/>
  <c r="GM69" i="2" s="1"/>
  <c r="GH69" i="2"/>
  <c r="GG69" i="2"/>
  <c r="GI69" i="2" s="1"/>
  <c r="GD69" i="2"/>
  <c r="GC69" i="2"/>
  <c r="GB69" i="2"/>
  <c r="FY69" i="2"/>
  <c r="GA69" i="2" s="1"/>
  <c r="FS69" i="2"/>
  <c r="FT69" i="2" s="1"/>
  <c r="EW69" i="2"/>
  <c r="ET69" i="2"/>
  <c r="EU69" i="2" s="1"/>
  <c r="EQ69" i="2"/>
  <c r="ER69" i="2" s="1"/>
  <c r="EJ69" i="2"/>
  <c r="EE69" i="2"/>
  <c r="EF69" i="2" s="1"/>
  <c r="DX69" i="2"/>
  <c r="DP69" i="2"/>
  <c r="DF69" i="2"/>
  <c r="DG69" i="2" s="1"/>
  <c r="DE69" i="2"/>
  <c r="CY69" i="2"/>
  <c r="CZ69" i="2" s="1"/>
  <c r="CF69" i="2"/>
  <c r="CH69" i="2"/>
  <c r="CA69" i="2"/>
  <c r="CR69" i="2"/>
  <c r="BO69" i="2"/>
  <c r="BJ69" i="2"/>
  <c r="BM69" i="2" s="1"/>
  <c r="BN69" i="2" s="1"/>
  <c r="BC69" i="2"/>
  <c r="AZ69" i="2"/>
  <c r="AY69" i="2"/>
  <c r="AO69" i="2"/>
  <c r="AN69" i="2"/>
  <c r="AM69" i="2"/>
  <c r="AL69" i="2"/>
  <c r="AK69" i="2"/>
  <c r="AG69" i="2"/>
  <c r="AE69" i="2"/>
  <c r="AF69" i="2" s="1"/>
  <c r="U69" i="2"/>
  <c r="S69" i="2"/>
  <c r="T69" i="2" s="1"/>
  <c r="R69" i="2"/>
  <c r="Y69" i="2" s="1"/>
  <c r="AB69" i="2" s="1"/>
  <c r="E69" i="2"/>
  <c r="GR68" i="2"/>
  <c r="GS68" i="2" s="1"/>
  <c r="GP68" i="2"/>
  <c r="GQ68" i="2" s="1"/>
  <c r="GN68" i="2"/>
  <c r="GO68" i="2" s="1"/>
  <c r="GL68" i="2"/>
  <c r="GM68" i="2" s="1"/>
  <c r="GH68" i="2"/>
  <c r="GG68" i="2"/>
  <c r="GI68" i="2" s="1"/>
  <c r="GD68" i="2"/>
  <c r="GC68" i="2"/>
  <c r="GB68" i="2"/>
  <c r="FY68" i="2"/>
  <c r="GA68" i="2" s="1"/>
  <c r="FS68" i="2"/>
  <c r="FT68" i="2" s="1"/>
  <c r="EW68" i="2"/>
  <c r="ET68" i="2"/>
  <c r="EU68" i="2" s="1"/>
  <c r="EQ68" i="2"/>
  <c r="ER68" i="2" s="1"/>
  <c r="EJ68" i="2"/>
  <c r="EE68" i="2"/>
  <c r="EF68" i="2" s="1"/>
  <c r="DX68" i="2"/>
  <c r="DP68" i="2"/>
  <c r="DF68" i="2"/>
  <c r="DG68" i="2" s="1"/>
  <c r="DE68" i="2"/>
  <c r="CY68" i="2"/>
  <c r="CZ68" i="2" s="1"/>
  <c r="CF68" i="2"/>
  <c r="CH68" i="2"/>
  <c r="CA68" i="2"/>
  <c r="DA68" i="2"/>
  <c r="DB68" i="2" s="1"/>
  <c r="BO68" i="2"/>
  <c r="BJ68" i="2"/>
  <c r="BM68" i="2" s="1"/>
  <c r="BN68" i="2" s="1"/>
  <c r="BC68" i="2"/>
  <c r="AZ68" i="2"/>
  <c r="AY68" i="2"/>
  <c r="AO68" i="2"/>
  <c r="AN68" i="2"/>
  <c r="AM68" i="2"/>
  <c r="AL68" i="2"/>
  <c r="AK68" i="2"/>
  <c r="AG68" i="2"/>
  <c r="AE68" i="2"/>
  <c r="AF68" i="2" s="1"/>
  <c r="U68" i="2"/>
  <c r="S68" i="2"/>
  <c r="T68" i="2" s="1"/>
  <c r="R68" i="2"/>
  <c r="Y68" i="2" s="1"/>
  <c r="AB68" i="2" s="1"/>
  <c r="E68" i="2"/>
  <c r="GR67" i="2"/>
  <c r="GS67" i="2" s="1"/>
  <c r="GP67" i="2"/>
  <c r="GQ67" i="2" s="1"/>
  <c r="DU67" i="2" s="1"/>
  <c r="GN67" i="2"/>
  <c r="GO67" i="2" s="1"/>
  <c r="GL67" i="2"/>
  <c r="GM67" i="2" s="1"/>
  <c r="GH67" i="2"/>
  <c r="GG67" i="2"/>
  <c r="GI67" i="2" s="1"/>
  <c r="GD67" i="2"/>
  <c r="GC67" i="2"/>
  <c r="GB67" i="2"/>
  <c r="FY67" i="2"/>
  <c r="GA67" i="2" s="1"/>
  <c r="FS67" i="2"/>
  <c r="FT67" i="2" s="1"/>
  <c r="EW67" i="2"/>
  <c r="ET67" i="2"/>
  <c r="EU67" i="2" s="1"/>
  <c r="EQ67" i="2"/>
  <c r="ER67" i="2" s="1"/>
  <c r="EJ67" i="2"/>
  <c r="DX67" i="2"/>
  <c r="DP67" i="2"/>
  <c r="DF67" i="2"/>
  <c r="DG67" i="2" s="1"/>
  <c r="DE67" i="2"/>
  <c r="CY67" i="2"/>
  <c r="CZ67" i="2" s="1"/>
  <c r="CF67" i="2"/>
  <c r="CH67" i="2"/>
  <c r="CA67" i="2"/>
  <c r="BO67" i="2"/>
  <c r="BJ67" i="2"/>
  <c r="BM67" i="2" s="1"/>
  <c r="BN67" i="2" s="1"/>
  <c r="BC67" i="2"/>
  <c r="AZ67" i="2"/>
  <c r="AY67" i="2"/>
  <c r="AO67" i="2"/>
  <c r="AN67" i="2"/>
  <c r="AM67" i="2"/>
  <c r="AL67" i="2"/>
  <c r="AK67" i="2"/>
  <c r="AG67" i="2"/>
  <c r="AE67" i="2"/>
  <c r="AF67" i="2" s="1"/>
  <c r="U67" i="2"/>
  <c r="S67" i="2"/>
  <c r="T67" i="2" s="1"/>
  <c r="R67" i="2"/>
  <c r="Y67" i="2" s="1"/>
  <c r="AB67" i="2" s="1"/>
  <c r="E67" i="2"/>
  <c r="GR66" i="2"/>
  <c r="GS66" i="2" s="1"/>
  <c r="GP66" i="2"/>
  <c r="GQ66" i="2" s="1"/>
  <c r="DU66" i="2" s="1"/>
  <c r="GN66" i="2"/>
  <c r="GO66" i="2" s="1"/>
  <c r="GL66" i="2"/>
  <c r="GM66" i="2" s="1"/>
  <c r="GH66" i="2"/>
  <c r="GG66" i="2"/>
  <c r="GI66" i="2" s="1"/>
  <c r="GD66" i="2"/>
  <c r="GC66" i="2"/>
  <c r="GB66" i="2"/>
  <c r="FY66" i="2"/>
  <c r="GA66" i="2" s="1"/>
  <c r="FS66" i="2"/>
  <c r="FT66" i="2" s="1"/>
  <c r="EW66" i="2"/>
  <c r="ET66" i="2"/>
  <c r="EU66" i="2" s="1"/>
  <c r="EQ66" i="2"/>
  <c r="ER66" i="2" s="1"/>
  <c r="EJ66" i="2"/>
  <c r="EE66" i="2"/>
  <c r="EF66" i="2" s="1"/>
  <c r="DX66" i="2"/>
  <c r="DP66" i="2"/>
  <c r="DF66" i="2"/>
  <c r="DG66" i="2" s="1"/>
  <c r="DE66" i="2"/>
  <c r="CY66" i="2"/>
  <c r="CZ66" i="2" s="1"/>
  <c r="CF66" i="2"/>
  <c r="CH66" i="2"/>
  <c r="CA66" i="2"/>
  <c r="DA66" i="2"/>
  <c r="DB66" i="2" s="1"/>
  <c r="BO66" i="2"/>
  <c r="BJ66" i="2"/>
  <c r="BM66" i="2" s="1"/>
  <c r="BN66" i="2" s="1"/>
  <c r="BC66" i="2"/>
  <c r="AZ66" i="2"/>
  <c r="AY66" i="2"/>
  <c r="AO66" i="2"/>
  <c r="AN66" i="2"/>
  <c r="AM66" i="2"/>
  <c r="AL66" i="2"/>
  <c r="AK66" i="2"/>
  <c r="AG66" i="2"/>
  <c r="AE66" i="2"/>
  <c r="AF66" i="2" s="1"/>
  <c r="U66" i="2"/>
  <c r="S66" i="2"/>
  <c r="T66" i="2" s="1"/>
  <c r="R66" i="2"/>
  <c r="Y66" i="2" s="1"/>
  <c r="AB66" i="2" s="1"/>
  <c r="E66" i="2"/>
  <c r="GR65" i="2"/>
  <c r="GS65" i="2" s="1"/>
  <c r="GP65" i="2"/>
  <c r="GQ65" i="2" s="1"/>
  <c r="DU65" i="2" s="1"/>
  <c r="EG65" i="2" s="1"/>
  <c r="GN65" i="2"/>
  <c r="GO65" i="2" s="1"/>
  <c r="GL65" i="2"/>
  <c r="GM65" i="2" s="1"/>
  <c r="GH65" i="2"/>
  <c r="GG65" i="2"/>
  <c r="GI65" i="2" s="1"/>
  <c r="GD65" i="2"/>
  <c r="GC65" i="2"/>
  <c r="GB65" i="2"/>
  <c r="FY65" i="2"/>
  <c r="GA65" i="2" s="1"/>
  <c r="FS65" i="2"/>
  <c r="FT65" i="2" s="1"/>
  <c r="EW65" i="2"/>
  <c r="ET65" i="2"/>
  <c r="EU65" i="2" s="1"/>
  <c r="EQ65" i="2"/>
  <c r="ER65" i="2" s="1"/>
  <c r="EJ65" i="2"/>
  <c r="EE65" i="2"/>
  <c r="EF65" i="2" s="1"/>
  <c r="DX65" i="2"/>
  <c r="DP65" i="2"/>
  <c r="DF65" i="2"/>
  <c r="DG65" i="2" s="1"/>
  <c r="DE65" i="2"/>
  <c r="CY65" i="2"/>
  <c r="CZ65" i="2" s="1"/>
  <c r="CF65" i="2"/>
  <c r="CA65" i="2"/>
  <c r="DA65" i="2"/>
  <c r="DB65" i="2" s="1"/>
  <c r="BO65" i="2"/>
  <c r="BJ65" i="2"/>
  <c r="BM65" i="2" s="1"/>
  <c r="BN65" i="2" s="1"/>
  <c r="BC65" i="2"/>
  <c r="AZ65" i="2"/>
  <c r="AY65" i="2"/>
  <c r="AO65" i="2"/>
  <c r="AN65" i="2"/>
  <c r="AM65" i="2"/>
  <c r="AL65" i="2"/>
  <c r="AK65" i="2"/>
  <c r="AG65" i="2"/>
  <c r="AE65" i="2"/>
  <c r="AF65" i="2" s="1"/>
  <c r="U65" i="2"/>
  <c r="S65" i="2"/>
  <c r="T65" i="2" s="1"/>
  <c r="R65" i="2"/>
  <c r="Y65" i="2" s="1"/>
  <c r="E65" i="2"/>
  <c r="GP161" i="2"/>
  <c r="GQ161" i="2" s="1"/>
  <c r="GN161" i="2"/>
  <c r="GO161" i="2" s="1"/>
  <c r="GL161" i="2"/>
  <c r="GM161" i="2" s="1"/>
  <c r="GG161" i="2"/>
  <c r="GI161" i="2" s="1"/>
  <c r="GD161" i="2"/>
  <c r="GC161" i="2"/>
  <c r="GB161" i="2"/>
  <c r="FY161" i="2"/>
  <c r="FS161" i="2"/>
  <c r="FT161" i="2" s="1"/>
  <c r="EW161" i="2"/>
  <c r="ET161" i="2"/>
  <c r="EU161" i="2" s="1"/>
  <c r="EQ161" i="2"/>
  <c r="ER161" i="2" s="1"/>
  <c r="EJ161" i="2"/>
  <c r="EE161" i="2"/>
  <c r="EF161" i="2" s="1"/>
  <c r="DP161" i="2"/>
  <c r="DF161" i="2"/>
  <c r="DH161" i="2" s="1"/>
  <c r="DE161" i="2"/>
  <c r="CY161" i="2"/>
  <c r="CZ161" i="2" s="1"/>
  <c r="CF161" i="2"/>
  <c r="CH161" i="2"/>
  <c r="CA161" i="2"/>
  <c r="BO161" i="2"/>
  <c r="BJ161" i="2"/>
  <c r="BM161" i="2" s="1"/>
  <c r="BN161" i="2" s="1"/>
  <c r="BC161" i="2"/>
  <c r="AZ161" i="2"/>
  <c r="AY161" i="2"/>
  <c r="AO161" i="2"/>
  <c r="AM161" i="2"/>
  <c r="AL161" i="2" s="1"/>
  <c r="AI161" i="2"/>
  <c r="AK161" i="2" s="1"/>
  <c r="AG161" i="2"/>
  <c r="AE161" i="2"/>
  <c r="AF161" i="2" s="1"/>
  <c r="S161" i="2"/>
  <c r="T161" i="2" s="1"/>
  <c r="U161" i="2" s="1"/>
  <c r="R161" i="2"/>
  <c r="E161" i="2"/>
  <c r="GR63" i="2"/>
  <c r="GS63" i="2" s="1"/>
  <c r="GP63" i="2"/>
  <c r="GQ63" i="2" s="1"/>
  <c r="DU63" i="2" s="1"/>
  <c r="EG63" i="2" s="1"/>
  <c r="GN63" i="2"/>
  <c r="GO63" i="2" s="1"/>
  <c r="GL63" i="2"/>
  <c r="GM63" i="2" s="1"/>
  <c r="GH63" i="2"/>
  <c r="GG63" i="2"/>
  <c r="GI63" i="2" s="1"/>
  <c r="GD63" i="2"/>
  <c r="GC63" i="2"/>
  <c r="GB63" i="2"/>
  <c r="FY63" i="2"/>
  <c r="FZ63" i="2" s="1"/>
  <c r="FS63" i="2"/>
  <c r="FT63" i="2" s="1"/>
  <c r="EW63" i="2"/>
  <c r="ET63" i="2"/>
  <c r="EU63" i="2" s="1"/>
  <c r="EQ63" i="2"/>
  <c r="ER63" i="2" s="1"/>
  <c r="EJ63" i="2"/>
  <c r="EE63" i="2"/>
  <c r="EF63" i="2" s="1"/>
  <c r="DX63" i="2"/>
  <c r="DP63" i="2"/>
  <c r="DF63" i="2"/>
  <c r="DH63" i="2" s="1"/>
  <c r="DE63" i="2"/>
  <c r="CY63" i="2"/>
  <c r="CZ63" i="2" s="1"/>
  <c r="CF63" i="2"/>
  <c r="CH63" i="2"/>
  <c r="CA63" i="2"/>
  <c r="BO63" i="2"/>
  <c r="BJ63" i="2"/>
  <c r="BM63" i="2" s="1"/>
  <c r="BN63" i="2" s="1"/>
  <c r="BC63" i="2"/>
  <c r="AZ63" i="2"/>
  <c r="AY63" i="2"/>
  <c r="AO63" i="2"/>
  <c r="AN63" i="2"/>
  <c r="AM63" i="2"/>
  <c r="AL63" i="2"/>
  <c r="AK63" i="2"/>
  <c r="AG63" i="2"/>
  <c r="AE63" i="2"/>
  <c r="AF63" i="2" s="1"/>
  <c r="U63" i="2"/>
  <c r="S63" i="2"/>
  <c r="T63" i="2" s="1"/>
  <c r="R63" i="2"/>
  <c r="X63" i="2" s="1"/>
  <c r="AA63" i="2" s="1"/>
  <c r="E63" i="2"/>
  <c r="GR62" i="2"/>
  <c r="GS62" i="2" s="1"/>
  <c r="GP62" i="2"/>
  <c r="GQ62" i="2" s="1"/>
  <c r="DU62" i="2" s="1"/>
  <c r="GN62" i="2"/>
  <c r="GO62" i="2" s="1"/>
  <c r="GL62" i="2"/>
  <c r="GM62" i="2" s="1"/>
  <c r="GH62" i="2"/>
  <c r="GG62" i="2"/>
  <c r="GI62" i="2" s="1"/>
  <c r="GD62" i="2"/>
  <c r="GC62" i="2"/>
  <c r="GB62" i="2"/>
  <c r="FY62" i="2"/>
  <c r="FZ62" i="2" s="1"/>
  <c r="FS62" i="2"/>
  <c r="FT62" i="2" s="1"/>
  <c r="EW62" i="2"/>
  <c r="ET62" i="2"/>
  <c r="EU62" i="2" s="1"/>
  <c r="EQ62" i="2"/>
  <c r="ER62" i="2" s="1"/>
  <c r="EJ62" i="2"/>
  <c r="EE62" i="2"/>
  <c r="EF62" i="2" s="1"/>
  <c r="DX62" i="2"/>
  <c r="DP62" i="2"/>
  <c r="DF62" i="2"/>
  <c r="DH62" i="2" s="1"/>
  <c r="DE62" i="2"/>
  <c r="CY62" i="2"/>
  <c r="CZ62" i="2" s="1"/>
  <c r="CF62" i="2"/>
  <c r="CH62" i="2"/>
  <c r="CA62" i="2"/>
  <c r="BO62" i="2"/>
  <c r="BJ62" i="2"/>
  <c r="BM62" i="2" s="1"/>
  <c r="BN62" i="2" s="1"/>
  <c r="BC62" i="2"/>
  <c r="AZ62" i="2"/>
  <c r="AY62" i="2"/>
  <c r="AO62" i="2"/>
  <c r="AN62" i="2"/>
  <c r="AM62" i="2"/>
  <c r="AL62" i="2"/>
  <c r="AK62" i="2"/>
  <c r="AG62" i="2"/>
  <c r="AE62" i="2"/>
  <c r="AF62" i="2" s="1"/>
  <c r="U62" i="2"/>
  <c r="S62" i="2"/>
  <c r="T62" i="2" s="1"/>
  <c r="R62" i="2"/>
  <c r="X62" i="2" s="1"/>
  <c r="AA62" i="2" s="1"/>
  <c r="E62" i="2"/>
  <c r="GR61" i="2"/>
  <c r="GS61" i="2" s="1"/>
  <c r="GP61" i="2"/>
  <c r="GQ61" i="2" s="1"/>
  <c r="DU61" i="2" s="1"/>
  <c r="EG61" i="2" s="1"/>
  <c r="GN61" i="2"/>
  <c r="GO61" i="2" s="1"/>
  <c r="GL61" i="2"/>
  <c r="GM61" i="2" s="1"/>
  <c r="GH61" i="2"/>
  <c r="GG61" i="2"/>
  <c r="GI61" i="2" s="1"/>
  <c r="GD61" i="2"/>
  <c r="GC61" i="2"/>
  <c r="GB61" i="2"/>
  <c r="FY61" i="2"/>
  <c r="FZ61" i="2" s="1"/>
  <c r="FS61" i="2"/>
  <c r="FT61" i="2" s="1"/>
  <c r="EW61" i="2"/>
  <c r="ET61" i="2"/>
  <c r="EU61" i="2" s="1"/>
  <c r="EQ61" i="2"/>
  <c r="ER61" i="2" s="1"/>
  <c r="EJ61" i="2"/>
  <c r="EE61" i="2"/>
  <c r="EF61" i="2" s="1"/>
  <c r="DX61" i="2"/>
  <c r="DP61" i="2"/>
  <c r="DF61" i="2"/>
  <c r="DH61" i="2" s="1"/>
  <c r="DE61" i="2"/>
  <c r="CY61" i="2"/>
  <c r="CZ61" i="2" s="1"/>
  <c r="CF61" i="2"/>
  <c r="CH61" i="2"/>
  <c r="CA61" i="2"/>
  <c r="BO61" i="2"/>
  <c r="BJ61" i="2"/>
  <c r="BM61" i="2" s="1"/>
  <c r="BN61" i="2" s="1"/>
  <c r="BC61" i="2"/>
  <c r="AZ61" i="2"/>
  <c r="AY61" i="2"/>
  <c r="AO61" i="2"/>
  <c r="AN61" i="2"/>
  <c r="AM61" i="2"/>
  <c r="AL61" i="2"/>
  <c r="AK61" i="2"/>
  <c r="AG61" i="2"/>
  <c r="AE61" i="2"/>
  <c r="AF61" i="2" s="1"/>
  <c r="U61" i="2"/>
  <c r="S61" i="2"/>
  <c r="T61" i="2" s="1"/>
  <c r="R61" i="2"/>
  <c r="E61" i="2"/>
  <c r="GR60" i="2"/>
  <c r="GS60" i="2" s="1"/>
  <c r="GP60" i="2"/>
  <c r="GQ60" i="2" s="1"/>
  <c r="DU60" i="2" s="1"/>
  <c r="GN60" i="2"/>
  <c r="GO60" i="2" s="1"/>
  <c r="GL60" i="2"/>
  <c r="GM60" i="2" s="1"/>
  <c r="GH60" i="2"/>
  <c r="GG60" i="2"/>
  <c r="GI60" i="2" s="1"/>
  <c r="GD60" i="2"/>
  <c r="GC60" i="2"/>
  <c r="GB60" i="2"/>
  <c r="FY60" i="2"/>
  <c r="FZ60" i="2" s="1"/>
  <c r="FS60" i="2"/>
  <c r="FT60" i="2" s="1"/>
  <c r="EW60" i="2"/>
  <c r="ET60" i="2"/>
  <c r="EU60" i="2" s="1"/>
  <c r="EQ60" i="2"/>
  <c r="ER60" i="2" s="1"/>
  <c r="EJ60" i="2"/>
  <c r="EE60" i="2"/>
  <c r="EF60" i="2" s="1"/>
  <c r="DX60" i="2"/>
  <c r="DP60" i="2"/>
  <c r="DF60" i="2"/>
  <c r="DG60" i="2" s="1"/>
  <c r="DE60" i="2"/>
  <c r="CY60" i="2"/>
  <c r="CZ60" i="2" s="1"/>
  <c r="CF60" i="2"/>
  <c r="CH60" i="2"/>
  <c r="CA60" i="2"/>
  <c r="BO60" i="2"/>
  <c r="BJ60" i="2"/>
  <c r="BM60" i="2" s="1"/>
  <c r="BN60" i="2" s="1"/>
  <c r="BC60" i="2"/>
  <c r="AZ60" i="2"/>
  <c r="AY60" i="2"/>
  <c r="AO60" i="2"/>
  <c r="AN60" i="2"/>
  <c r="AM60" i="2"/>
  <c r="AL60" i="2"/>
  <c r="AK60" i="2"/>
  <c r="AG60" i="2"/>
  <c r="AE60" i="2"/>
  <c r="AF60" i="2" s="1"/>
  <c r="U60" i="2"/>
  <c r="S60" i="2"/>
  <c r="T60" i="2" s="1"/>
  <c r="R60" i="2"/>
  <c r="X60" i="2" s="1"/>
  <c r="AA60" i="2" s="1"/>
  <c r="E60" i="2"/>
  <c r="GR59" i="2"/>
  <c r="GS59" i="2" s="1"/>
  <c r="GP59" i="2"/>
  <c r="GQ59" i="2" s="1"/>
  <c r="GN59" i="2"/>
  <c r="GO59" i="2" s="1"/>
  <c r="GL59" i="2"/>
  <c r="GM59" i="2" s="1"/>
  <c r="GH59" i="2"/>
  <c r="GG59" i="2"/>
  <c r="GI59" i="2" s="1"/>
  <c r="GD59" i="2"/>
  <c r="GC59" i="2"/>
  <c r="GB59" i="2"/>
  <c r="FY59" i="2"/>
  <c r="FZ59" i="2" s="1"/>
  <c r="FS59" i="2"/>
  <c r="FT59" i="2" s="1"/>
  <c r="EW59" i="2"/>
  <c r="ET59" i="2"/>
  <c r="EU59" i="2" s="1"/>
  <c r="EQ59" i="2"/>
  <c r="ER59" i="2" s="1"/>
  <c r="EJ59" i="2"/>
  <c r="EE59" i="2"/>
  <c r="EF59" i="2" s="1"/>
  <c r="DX59" i="2"/>
  <c r="DP59" i="2"/>
  <c r="DF59" i="2"/>
  <c r="DH59" i="2" s="1"/>
  <c r="DE59" i="2"/>
  <c r="CY59" i="2"/>
  <c r="CZ59" i="2" s="1"/>
  <c r="CF59" i="2"/>
  <c r="CH59" i="2"/>
  <c r="CA59" i="2"/>
  <c r="BO59" i="2"/>
  <c r="BJ59" i="2"/>
  <c r="BM59" i="2" s="1"/>
  <c r="BN59" i="2" s="1"/>
  <c r="BC59" i="2"/>
  <c r="AZ59" i="2"/>
  <c r="AY59" i="2"/>
  <c r="AO59" i="2"/>
  <c r="AN59" i="2"/>
  <c r="AM59" i="2"/>
  <c r="AL59" i="2"/>
  <c r="AK59" i="2"/>
  <c r="AG59" i="2"/>
  <c r="AE59" i="2"/>
  <c r="AF59" i="2" s="1"/>
  <c r="U59" i="2"/>
  <c r="S59" i="2"/>
  <c r="T59" i="2" s="1"/>
  <c r="R59" i="2"/>
  <c r="X59" i="2" s="1"/>
  <c r="AA59" i="2" s="1"/>
  <c r="E59" i="2"/>
  <c r="GR58" i="2"/>
  <c r="GS58" i="2" s="1"/>
  <c r="GP58" i="2"/>
  <c r="GQ58" i="2" s="1"/>
  <c r="DO58" i="2" s="1"/>
  <c r="EC58" i="2" s="1"/>
  <c r="GN58" i="2"/>
  <c r="GO58" i="2" s="1"/>
  <c r="GL58" i="2"/>
  <c r="GM58" i="2" s="1"/>
  <c r="GH58" i="2"/>
  <c r="GG58" i="2"/>
  <c r="GI58" i="2" s="1"/>
  <c r="GD58" i="2"/>
  <c r="GC58" i="2"/>
  <c r="GB58" i="2"/>
  <c r="FY58" i="2"/>
  <c r="FZ58" i="2" s="1"/>
  <c r="FS58" i="2"/>
  <c r="FT58" i="2" s="1"/>
  <c r="EW58" i="2"/>
  <c r="ET58" i="2"/>
  <c r="EU58" i="2" s="1"/>
  <c r="EQ58" i="2"/>
  <c r="ER58" i="2" s="1"/>
  <c r="EJ58" i="2"/>
  <c r="EE58" i="2"/>
  <c r="EF58" i="2" s="1"/>
  <c r="DX58" i="2"/>
  <c r="DP58" i="2"/>
  <c r="DF58" i="2"/>
  <c r="DH58" i="2" s="1"/>
  <c r="DE58" i="2"/>
  <c r="CY58" i="2"/>
  <c r="CZ58" i="2" s="1"/>
  <c r="CF58" i="2"/>
  <c r="CH58" i="2"/>
  <c r="CA58" i="2"/>
  <c r="BO58" i="2"/>
  <c r="BJ58" i="2"/>
  <c r="BM58" i="2" s="1"/>
  <c r="BN58" i="2" s="1"/>
  <c r="BC58" i="2"/>
  <c r="AZ58" i="2"/>
  <c r="AY58" i="2"/>
  <c r="AO58" i="2"/>
  <c r="AN58" i="2"/>
  <c r="AM58" i="2"/>
  <c r="AL58" i="2"/>
  <c r="AK58" i="2"/>
  <c r="AG58" i="2"/>
  <c r="AE58" i="2"/>
  <c r="AF58" i="2" s="1"/>
  <c r="U58" i="2"/>
  <c r="S58" i="2"/>
  <c r="T58" i="2" s="1"/>
  <c r="R58" i="2"/>
  <c r="X58" i="2" s="1"/>
  <c r="AA58" i="2" s="1"/>
  <c r="E58" i="2"/>
  <c r="GR57" i="2"/>
  <c r="GS57" i="2" s="1"/>
  <c r="GP57" i="2"/>
  <c r="GQ57" i="2" s="1"/>
  <c r="GN57" i="2"/>
  <c r="GO57" i="2" s="1"/>
  <c r="GL57" i="2"/>
  <c r="GM57" i="2" s="1"/>
  <c r="GH57" i="2"/>
  <c r="GG57" i="2"/>
  <c r="GI57" i="2" s="1"/>
  <c r="GD57" i="2"/>
  <c r="GC57" i="2"/>
  <c r="GB57" i="2"/>
  <c r="FY57" i="2"/>
  <c r="FZ57" i="2" s="1"/>
  <c r="FS57" i="2"/>
  <c r="FT57" i="2" s="1"/>
  <c r="EW57" i="2"/>
  <c r="ET57" i="2"/>
  <c r="EU57" i="2" s="1"/>
  <c r="EQ57" i="2"/>
  <c r="ER57" i="2" s="1"/>
  <c r="EJ57" i="2"/>
  <c r="EE57" i="2"/>
  <c r="EF57" i="2" s="1"/>
  <c r="DP57" i="2"/>
  <c r="DF57" i="2"/>
  <c r="DE57" i="2"/>
  <c r="CY57" i="2"/>
  <c r="CZ57" i="2" s="1"/>
  <c r="CF57" i="2"/>
  <c r="CH57" i="2"/>
  <c r="CA57" i="2"/>
  <c r="CW57" i="2"/>
  <c r="BO57" i="2"/>
  <c r="BJ57" i="2"/>
  <c r="BK57" i="2" s="1"/>
  <c r="CL57" i="2" s="1"/>
  <c r="BC57" i="2"/>
  <c r="AZ57" i="2"/>
  <c r="AY57" i="2"/>
  <c r="AO57" i="2"/>
  <c r="AN57" i="2"/>
  <c r="AM57" i="2"/>
  <c r="AL57" i="2"/>
  <c r="AK57" i="2"/>
  <c r="AG57" i="2"/>
  <c r="AE57" i="2"/>
  <c r="AF57" i="2" s="1"/>
  <c r="U57" i="2"/>
  <c r="S57" i="2"/>
  <c r="R57" i="2"/>
  <c r="X57" i="2" s="1"/>
  <c r="E57" i="2"/>
  <c r="GR56" i="2"/>
  <c r="GS56" i="2" s="1"/>
  <c r="GP56" i="2"/>
  <c r="GQ56" i="2" s="1"/>
  <c r="GN56" i="2"/>
  <c r="GO56" i="2" s="1"/>
  <c r="GL56" i="2"/>
  <c r="GM56" i="2" s="1"/>
  <c r="GH56" i="2"/>
  <c r="GG56" i="2"/>
  <c r="GI56" i="2" s="1"/>
  <c r="GD56" i="2"/>
  <c r="GC56" i="2"/>
  <c r="GB56" i="2"/>
  <c r="FY56" i="2"/>
  <c r="GA56" i="2" s="1"/>
  <c r="FS56" i="2"/>
  <c r="FT56" i="2" s="1"/>
  <c r="EW56" i="2"/>
  <c r="ET56" i="2"/>
  <c r="EU56" i="2" s="1"/>
  <c r="EQ56" i="2"/>
  <c r="ER56" i="2" s="1"/>
  <c r="EJ56" i="2"/>
  <c r="EE56" i="2"/>
  <c r="EF56" i="2" s="1"/>
  <c r="DX56" i="2"/>
  <c r="DP56" i="2"/>
  <c r="DF56" i="2"/>
  <c r="DH56" i="2" s="1"/>
  <c r="DE56" i="2"/>
  <c r="CY56" i="2"/>
  <c r="CZ56" i="2" s="1"/>
  <c r="CF56" i="2"/>
  <c r="CH56" i="2"/>
  <c r="CA56" i="2"/>
  <c r="BO56" i="2"/>
  <c r="BJ56" i="2"/>
  <c r="BK56" i="2" s="1"/>
  <c r="CL56" i="2" s="1"/>
  <c r="BC56" i="2"/>
  <c r="AZ56" i="2"/>
  <c r="AY56" i="2"/>
  <c r="AO56" i="2"/>
  <c r="AN56" i="2"/>
  <c r="AM56" i="2"/>
  <c r="AL56" i="2"/>
  <c r="AK56" i="2"/>
  <c r="AG56" i="2"/>
  <c r="AE56" i="2"/>
  <c r="AF56" i="2" s="1"/>
  <c r="U56" i="2"/>
  <c r="S56" i="2"/>
  <c r="T56" i="2" s="1"/>
  <c r="R56" i="2"/>
  <c r="Y56" i="2" s="1"/>
  <c r="AB56" i="2" s="1"/>
  <c r="E56" i="2"/>
  <c r="GR55" i="2"/>
  <c r="GS55" i="2" s="1"/>
  <c r="GP55" i="2"/>
  <c r="GQ55" i="2" s="1"/>
  <c r="GN55" i="2"/>
  <c r="GO55" i="2" s="1"/>
  <c r="GL55" i="2"/>
  <c r="GM55" i="2" s="1"/>
  <c r="GH55" i="2"/>
  <c r="GG55" i="2"/>
  <c r="GI55" i="2" s="1"/>
  <c r="GD55" i="2"/>
  <c r="GC55" i="2"/>
  <c r="GB55" i="2"/>
  <c r="FY55" i="2"/>
  <c r="GA55" i="2" s="1"/>
  <c r="FS55" i="2"/>
  <c r="FT55" i="2" s="1"/>
  <c r="EW55" i="2"/>
  <c r="ET55" i="2"/>
  <c r="EU55" i="2" s="1"/>
  <c r="EQ55" i="2"/>
  <c r="ER55" i="2" s="1"/>
  <c r="EJ55" i="2"/>
  <c r="EE55" i="2"/>
  <c r="EF55" i="2" s="1"/>
  <c r="DX55" i="2"/>
  <c r="DP55" i="2"/>
  <c r="DF55" i="2"/>
  <c r="DH55" i="2" s="1"/>
  <c r="DE55" i="2"/>
  <c r="CY55" i="2"/>
  <c r="CZ55" i="2" s="1"/>
  <c r="CF55" i="2"/>
  <c r="CH55" i="2"/>
  <c r="CA55" i="2"/>
  <c r="BO55" i="2"/>
  <c r="BJ55" i="2"/>
  <c r="BK55" i="2" s="1"/>
  <c r="CL55" i="2" s="1"/>
  <c r="BC55" i="2"/>
  <c r="AZ55" i="2"/>
  <c r="AY55" i="2"/>
  <c r="AO55" i="2"/>
  <c r="AN55" i="2"/>
  <c r="AM55" i="2"/>
  <c r="AL55" i="2"/>
  <c r="AK55" i="2"/>
  <c r="AG55" i="2"/>
  <c r="AE55" i="2"/>
  <c r="AF55" i="2" s="1"/>
  <c r="U55" i="2"/>
  <c r="S55" i="2"/>
  <c r="T55" i="2" s="1"/>
  <c r="R55" i="2"/>
  <c r="X55" i="2" s="1"/>
  <c r="E55" i="2"/>
  <c r="GR54" i="2"/>
  <c r="GS54" i="2" s="1"/>
  <c r="GP54" i="2"/>
  <c r="GQ54" i="2" s="1"/>
  <c r="DU54" i="2" s="1"/>
  <c r="GN54" i="2"/>
  <c r="GO54" i="2" s="1"/>
  <c r="GL54" i="2"/>
  <c r="GM54" i="2" s="1"/>
  <c r="GH54" i="2"/>
  <c r="GG54" i="2"/>
  <c r="GI54" i="2" s="1"/>
  <c r="GD54" i="2"/>
  <c r="GC54" i="2"/>
  <c r="GB54" i="2"/>
  <c r="FY54" i="2"/>
  <c r="GA54" i="2" s="1"/>
  <c r="FS54" i="2"/>
  <c r="FT54" i="2" s="1"/>
  <c r="EW54" i="2"/>
  <c r="ET54" i="2"/>
  <c r="EU54" i="2" s="1"/>
  <c r="EQ54" i="2"/>
  <c r="ER54" i="2" s="1"/>
  <c r="EJ54" i="2"/>
  <c r="EE54" i="2"/>
  <c r="EF54" i="2" s="1"/>
  <c r="DX54" i="2"/>
  <c r="DP54" i="2"/>
  <c r="DF54" i="2"/>
  <c r="DH54" i="2" s="1"/>
  <c r="DE54" i="2"/>
  <c r="CY54" i="2"/>
  <c r="CZ54" i="2" s="1"/>
  <c r="CF54" i="2"/>
  <c r="CH54" i="2"/>
  <c r="CA54" i="2"/>
  <c r="BO54" i="2"/>
  <c r="BJ54" i="2"/>
  <c r="BK54" i="2" s="1"/>
  <c r="CL54" i="2" s="1"/>
  <c r="BC54" i="2"/>
  <c r="AZ54" i="2"/>
  <c r="AY54" i="2"/>
  <c r="AO54" i="2"/>
  <c r="AN54" i="2"/>
  <c r="AM54" i="2"/>
  <c r="AL54" i="2"/>
  <c r="AK54" i="2"/>
  <c r="AG54" i="2"/>
  <c r="AE54" i="2"/>
  <c r="AF54" i="2" s="1"/>
  <c r="U54" i="2"/>
  <c r="S54" i="2"/>
  <c r="R54" i="2"/>
  <c r="Y54" i="2" s="1"/>
  <c r="AB54" i="2" s="1"/>
  <c r="E54" i="2"/>
  <c r="GR53" i="2"/>
  <c r="GS53" i="2" s="1"/>
  <c r="GP53" i="2"/>
  <c r="GQ53" i="2" s="1"/>
  <c r="GN53" i="2"/>
  <c r="GO53" i="2" s="1"/>
  <c r="GL53" i="2"/>
  <c r="GM53" i="2" s="1"/>
  <c r="GH53" i="2"/>
  <c r="GG53" i="2"/>
  <c r="GI53" i="2" s="1"/>
  <c r="GD53" i="2"/>
  <c r="GC53" i="2"/>
  <c r="GB53" i="2"/>
  <c r="FY53" i="2"/>
  <c r="GA53" i="2" s="1"/>
  <c r="FS53" i="2"/>
  <c r="FT53" i="2" s="1"/>
  <c r="EW53" i="2"/>
  <c r="ET53" i="2"/>
  <c r="EU53" i="2" s="1"/>
  <c r="EQ53" i="2"/>
  <c r="ER53" i="2" s="1"/>
  <c r="EJ53" i="2"/>
  <c r="EE53" i="2"/>
  <c r="EF53" i="2" s="1"/>
  <c r="DX53" i="2"/>
  <c r="DP53" i="2"/>
  <c r="DF53" i="2"/>
  <c r="DH53" i="2" s="1"/>
  <c r="DE53" i="2"/>
  <c r="CY53" i="2"/>
  <c r="CZ53" i="2" s="1"/>
  <c r="CF53" i="2"/>
  <c r="CH53" i="2"/>
  <c r="CA53" i="2"/>
  <c r="DA53" i="2"/>
  <c r="DB53" i="2" s="1"/>
  <c r="BO53" i="2"/>
  <c r="BJ53" i="2"/>
  <c r="BK53" i="2" s="1"/>
  <c r="CL53" i="2" s="1"/>
  <c r="BC53" i="2"/>
  <c r="AZ53" i="2"/>
  <c r="AY53" i="2"/>
  <c r="AO53" i="2"/>
  <c r="AN53" i="2"/>
  <c r="AM53" i="2"/>
  <c r="AL53" i="2"/>
  <c r="AK53" i="2"/>
  <c r="AG53" i="2"/>
  <c r="AE53" i="2"/>
  <c r="AF53" i="2" s="1"/>
  <c r="U53" i="2"/>
  <c r="S53" i="2"/>
  <c r="R53" i="2"/>
  <c r="X53" i="2" s="1"/>
  <c r="AA53" i="2" s="1"/>
  <c r="E53" i="2"/>
  <c r="GR52" i="2"/>
  <c r="GS52" i="2" s="1"/>
  <c r="GP52" i="2"/>
  <c r="GQ52" i="2" s="1"/>
  <c r="GN52" i="2"/>
  <c r="GO52" i="2" s="1"/>
  <c r="GL52" i="2"/>
  <c r="GM52" i="2" s="1"/>
  <c r="GH52" i="2"/>
  <c r="GG52" i="2"/>
  <c r="GI52" i="2" s="1"/>
  <c r="GD52" i="2"/>
  <c r="GC52" i="2"/>
  <c r="GB52" i="2"/>
  <c r="FY52" i="2"/>
  <c r="FS52" i="2"/>
  <c r="FT52" i="2" s="1"/>
  <c r="EW52" i="2"/>
  <c r="ET52" i="2"/>
  <c r="EU52" i="2" s="1"/>
  <c r="EQ52" i="2"/>
  <c r="ER52" i="2" s="1"/>
  <c r="EJ52" i="2"/>
  <c r="EE52" i="2"/>
  <c r="EF52" i="2" s="1"/>
  <c r="DX52" i="2"/>
  <c r="DP52" i="2"/>
  <c r="DF52" i="2"/>
  <c r="DH52" i="2" s="1"/>
  <c r="DE52" i="2"/>
  <c r="CY52" i="2"/>
  <c r="CZ52" i="2" s="1"/>
  <c r="CF52" i="2"/>
  <c r="CH52" i="2"/>
  <c r="CA52" i="2"/>
  <c r="CR52" i="2"/>
  <c r="BO52" i="2"/>
  <c r="BJ52" i="2"/>
  <c r="BM52" i="2" s="1"/>
  <c r="BN52" i="2" s="1"/>
  <c r="BC52" i="2"/>
  <c r="AZ52" i="2"/>
  <c r="AY52" i="2"/>
  <c r="AO52" i="2"/>
  <c r="AN52" i="2"/>
  <c r="AM52" i="2"/>
  <c r="AL52" i="2"/>
  <c r="AK52" i="2"/>
  <c r="AG52" i="2"/>
  <c r="AE52" i="2"/>
  <c r="AF52" i="2" s="1"/>
  <c r="U52" i="2"/>
  <c r="S52" i="2"/>
  <c r="T52" i="2" s="1"/>
  <c r="R52" i="2"/>
  <c r="E52" i="2"/>
  <c r="GR51" i="2"/>
  <c r="GS51" i="2" s="1"/>
  <c r="GP51" i="2"/>
  <c r="GQ51" i="2" s="1"/>
  <c r="DO51" i="2" s="1"/>
  <c r="GN51" i="2"/>
  <c r="GO51" i="2" s="1"/>
  <c r="GL51" i="2"/>
  <c r="GM51" i="2" s="1"/>
  <c r="GH51" i="2"/>
  <c r="GG51" i="2"/>
  <c r="GI51" i="2" s="1"/>
  <c r="GD51" i="2"/>
  <c r="GC51" i="2"/>
  <c r="GB51" i="2"/>
  <c r="FY51" i="2"/>
  <c r="FZ51" i="2" s="1"/>
  <c r="FS51" i="2"/>
  <c r="FT51" i="2" s="1"/>
  <c r="EW51" i="2"/>
  <c r="ET51" i="2"/>
  <c r="EU51" i="2" s="1"/>
  <c r="EQ51" i="2"/>
  <c r="ER51" i="2" s="1"/>
  <c r="EJ51" i="2"/>
  <c r="EE51" i="2"/>
  <c r="EF51" i="2" s="1"/>
  <c r="DX51" i="2"/>
  <c r="DP51" i="2"/>
  <c r="DF51" i="2"/>
  <c r="DG51" i="2" s="1"/>
  <c r="DE51" i="2"/>
  <c r="CY51" i="2"/>
  <c r="CZ51" i="2" s="1"/>
  <c r="CF51" i="2"/>
  <c r="CH51" i="2"/>
  <c r="CA51" i="2"/>
  <c r="CR51" i="2"/>
  <c r="BO51" i="2"/>
  <c r="BJ51" i="2"/>
  <c r="BM51" i="2" s="1"/>
  <c r="BN51" i="2" s="1"/>
  <c r="BC51" i="2"/>
  <c r="AZ51" i="2"/>
  <c r="AY51" i="2"/>
  <c r="AO51" i="2"/>
  <c r="AN51" i="2"/>
  <c r="AM51" i="2"/>
  <c r="AL51" i="2"/>
  <c r="AK51" i="2"/>
  <c r="AG51" i="2"/>
  <c r="AE51" i="2"/>
  <c r="AF51" i="2" s="1"/>
  <c r="U51" i="2"/>
  <c r="S51" i="2"/>
  <c r="R51" i="2"/>
  <c r="X51" i="2" s="1"/>
  <c r="AA51" i="2" s="1"/>
  <c r="E51" i="2"/>
  <c r="GR50" i="2"/>
  <c r="GS50" i="2" s="1"/>
  <c r="GP50" i="2"/>
  <c r="GQ50" i="2" s="1"/>
  <c r="DO50" i="2" s="1"/>
  <c r="EH50" i="2" s="1"/>
  <c r="GN50" i="2"/>
  <c r="GO50" i="2" s="1"/>
  <c r="GL50" i="2"/>
  <c r="GM50" i="2" s="1"/>
  <c r="GH50" i="2"/>
  <c r="GG50" i="2"/>
  <c r="GI50" i="2" s="1"/>
  <c r="GD50" i="2"/>
  <c r="GC50" i="2"/>
  <c r="GB50" i="2"/>
  <c r="FY50" i="2"/>
  <c r="FZ50" i="2" s="1"/>
  <c r="FS50" i="2"/>
  <c r="FT50" i="2" s="1"/>
  <c r="EW50" i="2"/>
  <c r="ET50" i="2"/>
  <c r="EU50" i="2" s="1"/>
  <c r="EQ50" i="2"/>
  <c r="ER50" i="2" s="1"/>
  <c r="EJ50" i="2"/>
  <c r="EE50" i="2"/>
  <c r="EF50" i="2" s="1"/>
  <c r="DX50" i="2"/>
  <c r="DP50" i="2"/>
  <c r="DF50" i="2"/>
  <c r="DG50" i="2" s="1"/>
  <c r="DE50" i="2"/>
  <c r="CY50" i="2"/>
  <c r="CZ50" i="2" s="1"/>
  <c r="CF50" i="2"/>
  <c r="CH50" i="2"/>
  <c r="CA50" i="2"/>
  <c r="DA50" i="2"/>
  <c r="DB50" i="2" s="1"/>
  <c r="BO50" i="2"/>
  <c r="BJ50" i="2"/>
  <c r="BM50" i="2" s="1"/>
  <c r="BN50" i="2" s="1"/>
  <c r="BC50" i="2"/>
  <c r="AZ50" i="2"/>
  <c r="AY50" i="2"/>
  <c r="AO50" i="2"/>
  <c r="AN50" i="2"/>
  <c r="AM50" i="2"/>
  <c r="AL50" i="2"/>
  <c r="AK50" i="2"/>
  <c r="AG50" i="2"/>
  <c r="AE50" i="2"/>
  <c r="AF50" i="2" s="1"/>
  <c r="U50" i="2"/>
  <c r="S50" i="2"/>
  <c r="T50" i="2" s="1"/>
  <c r="R50" i="2"/>
  <c r="Y50" i="2" s="1"/>
  <c r="E50" i="2"/>
  <c r="GR49" i="2"/>
  <c r="GS49" i="2" s="1"/>
  <c r="GP49" i="2"/>
  <c r="GQ49" i="2" s="1"/>
  <c r="GN49" i="2"/>
  <c r="GO49" i="2" s="1"/>
  <c r="GL49" i="2"/>
  <c r="GM49" i="2" s="1"/>
  <c r="GH49" i="2"/>
  <c r="GG49" i="2"/>
  <c r="GI49" i="2" s="1"/>
  <c r="GD49" i="2"/>
  <c r="GC49" i="2"/>
  <c r="GB49" i="2"/>
  <c r="FY49" i="2"/>
  <c r="FS49" i="2"/>
  <c r="FT49" i="2" s="1"/>
  <c r="EW49" i="2"/>
  <c r="ET49" i="2"/>
  <c r="EU49" i="2" s="1"/>
  <c r="EQ49" i="2"/>
  <c r="ER49" i="2" s="1"/>
  <c r="EJ49" i="2"/>
  <c r="EE49" i="2"/>
  <c r="EF49" i="2" s="1"/>
  <c r="DX49" i="2"/>
  <c r="DP49" i="2"/>
  <c r="DF49" i="2"/>
  <c r="DG49" i="2" s="1"/>
  <c r="DE49" i="2"/>
  <c r="CY49" i="2"/>
  <c r="CZ49" i="2" s="1"/>
  <c r="CF49" i="2"/>
  <c r="CH49" i="2"/>
  <c r="CA49" i="2"/>
  <c r="BO49" i="2"/>
  <c r="BJ49" i="2"/>
  <c r="BC49" i="2"/>
  <c r="AZ49" i="2"/>
  <c r="AY49" i="2"/>
  <c r="AO49" i="2"/>
  <c r="AN49" i="2"/>
  <c r="AM49" i="2"/>
  <c r="AL49" i="2"/>
  <c r="AK49" i="2"/>
  <c r="AG49" i="2"/>
  <c r="AE49" i="2"/>
  <c r="AF49" i="2" s="1"/>
  <c r="U49" i="2"/>
  <c r="S49" i="2"/>
  <c r="T49" i="2" s="1"/>
  <c r="R49" i="2"/>
  <c r="Y49" i="2" s="1"/>
  <c r="E49" i="2"/>
  <c r="GR48" i="2"/>
  <c r="GS48" i="2" s="1"/>
  <c r="GP48" i="2"/>
  <c r="GQ48" i="2" s="1"/>
  <c r="GN48" i="2"/>
  <c r="GO48" i="2" s="1"/>
  <c r="GL48" i="2"/>
  <c r="GM48" i="2" s="1"/>
  <c r="GH48" i="2"/>
  <c r="GG48" i="2"/>
  <c r="GI48" i="2" s="1"/>
  <c r="GD48" i="2"/>
  <c r="GC48" i="2"/>
  <c r="GB48" i="2"/>
  <c r="FY48" i="2"/>
  <c r="FS48" i="2"/>
  <c r="FT48" i="2" s="1"/>
  <c r="EW48" i="2"/>
  <c r="ET48" i="2"/>
  <c r="EU48" i="2" s="1"/>
  <c r="EQ48" i="2"/>
  <c r="ER48" i="2" s="1"/>
  <c r="EJ48" i="2"/>
  <c r="EE48" i="2"/>
  <c r="EF48" i="2" s="1"/>
  <c r="DX48" i="2"/>
  <c r="DP48" i="2"/>
  <c r="DF48" i="2"/>
  <c r="DE48" i="2"/>
  <c r="CY48" i="2"/>
  <c r="CZ48" i="2" s="1"/>
  <c r="CF48" i="2"/>
  <c r="CH48" i="2"/>
  <c r="CA48" i="2"/>
  <c r="CR48" i="2"/>
  <c r="BO48" i="2"/>
  <c r="BJ48" i="2"/>
  <c r="BK48" i="2" s="1"/>
  <c r="CL48" i="2" s="1"/>
  <c r="BC48" i="2"/>
  <c r="AZ48" i="2"/>
  <c r="AY48" i="2"/>
  <c r="AO48" i="2"/>
  <c r="AN48" i="2"/>
  <c r="AM48" i="2"/>
  <c r="AL48" i="2"/>
  <c r="AK48" i="2"/>
  <c r="AG48" i="2"/>
  <c r="AE48" i="2"/>
  <c r="AF48" i="2" s="1"/>
  <c r="U48" i="2"/>
  <c r="S48" i="2"/>
  <c r="T48" i="2" s="1"/>
  <c r="R48" i="2"/>
  <c r="X48" i="2" s="1"/>
  <c r="E48" i="2"/>
  <c r="GR295" i="2"/>
  <c r="GS295" i="2" s="1"/>
  <c r="GP295" i="2"/>
  <c r="GQ295" i="2" s="1"/>
  <c r="GN295" i="2"/>
  <c r="GO295" i="2" s="1"/>
  <c r="GL295" i="2"/>
  <c r="GM295" i="2" s="1"/>
  <c r="GH295" i="2"/>
  <c r="GG295" i="2"/>
  <c r="GI295" i="2" s="1"/>
  <c r="GD295" i="2"/>
  <c r="GC295" i="2"/>
  <c r="GB295" i="2"/>
  <c r="FY295" i="2"/>
  <c r="GA295" i="2" s="1"/>
  <c r="FS295" i="2"/>
  <c r="FT295" i="2" s="1"/>
  <c r="EW295" i="2"/>
  <c r="ET295" i="2"/>
  <c r="EU295" i="2" s="1"/>
  <c r="EQ295" i="2"/>
  <c r="ER295" i="2" s="1"/>
  <c r="EJ295" i="2"/>
  <c r="EE295" i="2"/>
  <c r="EF295" i="2" s="1"/>
  <c r="DX295" i="2"/>
  <c r="DP295" i="2"/>
  <c r="DF295" i="2"/>
  <c r="DH295" i="2" s="1"/>
  <c r="DE295" i="2"/>
  <c r="CY295" i="2"/>
  <c r="CZ295" i="2" s="1"/>
  <c r="CF295" i="2"/>
  <c r="CH295" i="2"/>
  <c r="CA295" i="2"/>
  <c r="DA295" i="2"/>
  <c r="DB295" i="2" s="1"/>
  <c r="BO295" i="2"/>
  <c r="BJ295" i="2"/>
  <c r="BC295" i="2"/>
  <c r="AZ295" i="2"/>
  <c r="AY295" i="2"/>
  <c r="AO295" i="2"/>
  <c r="AN295" i="2"/>
  <c r="AM295" i="2"/>
  <c r="AL295" i="2"/>
  <c r="AK295" i="2"/>
  <c r="AG295" i="2"/>
  <c r="AE295" i="2"/>
  <c r="AF295" i="2" s="1"/>
  <c r="U295" i="2"/>
  <c r="S295" i="2"/>
  <c r="T295" i="2" s="1"/>
  <c r="R295" i="2"/>
  <c r="X295" i="2" s="1"/>
  <c r="E295" i="2"/>
  <c r="GR46" i="2"/>
  <c r="GS46" i="2" s="1"/>
  <c r="GP46" i="2"/>
  <c r="GQ46" i="2" s="1"/>
  <c r="DU46" i="2" s="1"/>
  <c r="EI46" i="2" s="1"/>
  <c r="GN46" i="2"/>
  <c r="GO46" i="2" s="1"/>
  <c r="GL46" i="2"/>
  <c r="GM46" i="2" s="1"/>
  <c r="GH46" i="2"/>
  <c r="GG46" i="2"/>
  <c r="GI46" i="2" s="1"/>
  <c r="GD46" i="2"/>
  <c r="GC46" i="2"/>
  <c r="GB46" i="2"/>
  <c r="FY46" i="2"/>
  <c r="GA46" i="2" s="1"/>
  <c r="FS46" i="2"/>
  <c r="FT46" i="2" s="1"/>
  <c r="EW46" i="2"/>
  <c r="ET46" i="2"/>
  <c r="EU46" i="2" s="1"/>
  <c r="EQ46" i="2"/>
  <c r="ER46" i="2" s="1"/>
  <c r="EJ46" i="2"/>
  <c r="EE46" i="2"/>
  <c r="EF46" i="2" s="1"/>
  <c r="DX46" i="2"/>
  <c r="DP46" i="2"/>
  <c r="DF46" i="2"/>
  <c r="DE46" i="2"/>
  <c r="CY46" i="2"/>
  <c r="CZ46" i="2" s="1"/>
  <c r="CF46" i="2"/>
  <c r="CH46" i="2"/>
  <c r="CA46" i="2"/>
  <c r="BO46" i="2"/>
  <c r="BJ46" i="2"/>
  <c r="BC46" i="2"/>
  <c r="AZ46" i="2"/>
  <c r="AY46" i="2"/>
  <c r="AO46" i="2"/>
  <c r="AN46" i="2"/>
  <c r="AM46" i="2"/>
  <c r="AL46" i="2"/>
  <c r="AK46" i="2"/>
  <c r="AG46" i="2"/>
  <c r="AE46" i="2"/>
  <c r="AF46" i="2" s="1"/>
  <c r="U46" i="2"/>
  <c r="S46" i="2"/>
  <c r="T46" i="2" s="1"/>
  <c r="R46" i="2"/>
  <c r="Y46" i="2" s="1"/>
  <c r="AB46" i="2" s="1"/>
  <c r="E46" i="2"/>
  <c r="GR45" i="2"/>
  <c r="GS45" i="2" s="1"/>
  <c r="GP45" i="2"/>
  <c r="GQ45" i="2" s="1"/>
  <c r="GN45" i="2"/>
  <c r="GO45" i="2" s="1"/>
  <c r="GL45" i="2"/>
  <c r="GM45" i="2" s="1"/>
  <c r="GH45" i="2"/>
  <c r="GG45" i="2"/>
  <c r="GI45" i="2" s="1"/>
  <c r="GD45" i="2"/>
  <c r="GC45" i="2"/>
  <c r="GB45" i="2"/>
  <c r="FY45" i="2"/>
  <c r="GA45" i="2" s="1"/>
  <c r="FS45" i="2"/>
  <c r="FT45" i="2" s="1"/>
  <c r="EW45" i="2"/>
  <c r="ET45" i="2"/>
  <c r="EU45" i="2" s="1"/>
  <c r="EQ45" i="2"/>
  <c r="ER45" i="2" s="1"/>
  <c r="EJ45" i="2"/>
  <c r="EE45" i="2"/>
  <c r="EF45" i="2" s="1"/>
  <c r="DX45" i="2"/>
  <c r="DP45" i="2"/>
  <c r="DF45" i="2"/>
  <c r="DH45" i="2" s="1"/>
  <c r="DE45" i="2"/>
  <c r="CY45" i="2"/>
  <c r="CZ45" i="2" s="1"/>
  <c r="CF45" i="2"/>
  <c r="CH45" i="2"/>
  <c r="CA45" i="2"/>
  <c r="DA45" i="2"/>
  <c r="DB45" i="2" s="1"/>
  <c r="BO45" i="2"/>
  <c r="BJ45" i="2"/>
  <c r="BC45" i="2"/>
  <c r="AZ45" i="2"/>
  <c r="AY45" i="2"/>
  <c r="AO45" i="2"/>
  <c r="AN45" i="2"/>
  <c r="AM45" i="2"/>
  <c r="AL45" i="2"/>
  <c r="AK45" i="2"/>
  <c r="AG45" i="2"/>
  <c r="AE45" i="2"/>
  <c r="AF45" i="2" s="1"/>
  <c r="U45" i="2"/>
  <c r="S45" i="2"/>
  <c r="T45" i="2" s="1"/>
  <c r="R45" i="2"/>
  <c r="X45" i="2" s="1"/>
  <c r="E45" i="2"/>
  <c r="GR44" i="2"/>
  <c r="GS44" i="2" s="1"/>
  <c r="GP44" i="2"/>
  <c r="GQ44" i="2" s="1"/>
  <c r="GN44" i="2"/>
  <c r="GO44" i="2" s="1"/>
  <c r="GL44" i="2"/>
  <c r="GM44" i="2" s="1"/>
  <c r="GH44" i="2"/>
  <c r="GG44" i="2"/>
  <c r="GD44" i="2"/>
  <c r="GC44" i="2"/>
  <c r="GB44" i="2"/>
  <c r="FY44" i="2"/>
  <c r="FZ44" i="2" s="1"/>
  <c r="FS44" i="2"/>
  <c r="FT44" i="2" s="1"/>
  <c r="EW44" i="2"/>
  <c r="ET44" i="2"/>
  <c r="EU44" i="2" s="1"/>
  <c r="EQ44" i="2"/>
  <c r="ER44" i="2" s="1"/>
  <c r="EJ44" i="2"/>
  <c r="EE44" i="2"/>
  <c r="EF44" i="2" s="1"/>
  <c r="DX44" i="2"/>
  <c r="DP44" i="2"/>
  <c r="DF44" i="2"/>
  <c r="DH44" i="2" s="1"/>
  <c r="DE44" i="2"/>
  <c r="CY44" i="2"/>
  <c r="CZ44" i="2" s="1"/>
  <c r="CF44" i="2"/>
  <c r="CA44" i="2"/>
  <c r="CW44" i="2"/>
  <c r="BO44" i="2"/>
  <c r="BJ44" i="2"/>
  <c r="BC44" i="2"/>
  <c r="AZ44" i="2"/>
  <c r="AY44" i="2"/>
  <c r="AO44" i="2"/>
  <c r="AN44" i="2"/>
  <c r="AM44" i="2"/>
  <c r="AL44" i="2"/>
  <c r="AK44" i="2"/>
  <c r="AG44" i="2"/>
  <c r="AE44" i="2"/>
  <c r="AF44" i="2" s="1"/>
  <c r="U44" i="2"/>
  <c r="S44" i="2"/>
  <c r="T44" i="2" s="1"/>
  <c r="R44" i="2"/>
  <c r="X44" i="2" s="1"/>
  <c r="E44" i="2"/>
  <c r="GR111" i="2"/>
  <c r="GS111" i="2" s="1"/>
  <c r="GP111" i="2"/>
  <c r="GQ111" i="2" s="1"/>
  <c r="DU111" i="2" s="1"/>
  <c r="EI111" i="2" s="1"/>
  <c r="GN111" i="2"/>
  <c r="GO111" i="2" s="1"/>
  <c r="GL111" i="2"/>
  <c r="GM111" i="2" s="1"/>
  <c r="GH111" i="2"/>
  <c r="GG111" i="2"/>
  <c r="GI111" i="2" s="1"/>
  <c r="GD111" i="2"/>
  <c r="GC111" i="2"/>
  <c r="GB111" i="2"/>
  <c r="FY111" i="2"/>
  <c r="GA111" i="2" s="1"/>
  <c r="FS111" i="2"/>
  <c r="FT111" i="2" s="1"/>
  <c r="EW111" i="2"/>
  <c r="ET111" i="2"/>
  <c r="EU111" i="2" s="1"/>
  <c r="EQ111" i="2"/>
  <c r="ER111" i="2" s="1"/>
  <c r="EJ111" i="2"/>
  <c r="EE111" i="2"/>
  <c r="EF111" i="2" s="1"/>
  <c r="DX111" i="2"/>
  <c r="DP111" i="2"/>
  <c r="DF111" i="2"/>
  <c r="DH111" i="2" s="1"/>
  <c r="DE111" i="2"/>
  <c r="CY111" i="2"/>
  <c r="CZ111" i="2" s="1"/>
  <c r="CF111" i="2"/>
  <c r="CA111" i="2"/>
  <c r="CW111" i="2"/>
  <c r="BO111" i="2"/>
  <c r="BJ111" i="2"/>
  <c r="BK111" i="2" s="1"/>
  <c r="CL111" i="2" s="1"/>
  <c r="BC111" i="2"/>
  <c r="AZ111" i="2"/>
  <c r="AY111" i="2"/>
  <c r="AO111" i="2"/>
  <c r="AN111" i="2"/>
  <c r="AM111" i="2"/>
  <c r="AL111" i="2"/>
  <c r="AK111" i="2"/>
  <c r="AG111" i="2"/>
  <c r="AE111" i="2"/>
  <c r="AF111" i="2" s="1"/>
  <c r="U111" i="2"/>
  <c r="S111" i="2"/>
  <c r="T111" i="2" s="1"/>
  <c r="R111" i="2"/>
  <c r="Y111" i="2" s="1"/>
  <c r="AB111" i="2" s="1"/>
  <c r="E111" i="2"/>
  <c r="GR42" i="2"/>
  <c r="GS42" i="2" s="1"/>
  <c r="GP42" i="2"/>
  <c r="GQ42" i="2" s="1"/>
  <c r="GN42" i="2"/>
  <c r="GO42" i="2" s="1"/>
  <c r="GL42" i="2"/>
  <c r="GM42" i="2" s="1"/>
  <c r="GH42" i="2"/>
  <c r="GG42" i="2"/>
  <c r="GI42" i="2" s="1"/>
  <c r="GD42" i="2"/>
  <c r="GC42" i="2"/>
  <c r="GB42" i="2"/>
  <c r="FY42" i="2"/>
  <c r="GA42" i="2" s="1"/>
  <c r="FS42" i="2"/>
  <c r="FT42" i="2" s="1"/>
  <c r="EW42" i="2"/>
  <c r="ET42" i="2"/>
  <c r="EU42" i="2" s="1"/>
  <c r="EQ42" i="2"/>
  <c r="ER42" i="2" s="1"/>
  <c r="EJ42" i="2"/>
  <c r="EE42" i="2"/>
  <c r="EF42" i="2" s="1"/>
  <c r="DX42" i="2"/>
  <c r="DP42" i="2"/>
  <c r="DF42" i="2"/>
  <c r="DH42" i="2" s="1"/>
  <c r="DE42" i="2"/>
  <c r="CY42" i="2"/>
  <c r="CZ42" i="2" s="1"/>
  <c r="CF42" i="2"/>
  <c r="CH42" i="2"/>
  <c r="CA42" i="2"/>
  <c r="CW42" i="2"/>
  <c r="BO42" i="2"/>
  <c r="BJ42" i="2"/>
  <c r="BK42" i="2" s="1"/>
  <c r="CL42" i="2" s="1"/>
  <c r="BC42" i="2"/>
  <c r="AO42" i="2"/>
  <c r="AN42" i="2"/>
  <c r="AM42" i="2"/>
  <c r="AL42" i="2"/>
  <c r="AK42" i="2"/>
  <c r="AG42" i="2"/>
  <c r="AE42" i="2"/>
  <c r="AF42" i="2" s="1"/>
  <c r="U42" i="2"/>
  <c r="S42" i="2"/>
  <c r="T42" i="2" s="1"/>
  <c r="R42" i="2"/>
  <c r="X42" i="2" s="1"/>
  <c r="AA42" i="2" s="1"/>
  <c r="E42" i="2"/>
  <c r="GR41" i="2"/>
  <c r="GS41" i="2" s="1"/>
  <c r="GP41" i="2"/>
  <c r="GQ41" i="2" s="1"/>
  <c r="GN41" i="2"/>
  <c r="GO41" i="2" s="1"/>
  <c r="GL41" i="2"/>
  <c r="GM41" i="2" s="1"/>
  <c r="GH41" i="2"/>
  <c r="GG41" i="2"/>
  <c r="GI41" i="2" s="1"/>
  <c r="GD41" i="2"/>
  <c r="GC41" i="2"/>
  <c r="GB41" i="2"/>
  <c r="FY41" i="2"/>
  <c r="FZ41" i="2" s="1"/>
  <c r="FS41" i="2"/>
  <c r="FT41" i="2" s="1"/>
  <c r="EW41" i="2"/>
  <c r="ET41" i="2"/>
  <c r="EU41" i="2" s="1"/>
  <c r="EQ41" i="2"/>
  <c r="ER41" i="2" s="1"/>
  <c r="EJ41" i="2"/>
  <c r="EE41" i="2"/>
  <c r="EF41" i="2" s="1"/>
  <c r="DX41" i="2"/>
  <c r="DP41" i="2"/>
  <c r="DF41" i="2"/>
  <c r="DG41" i="2" s="1"/>
  <c r="DE41" i="2"/>
  <c r="CY41" i="2"/>
  <c r="CZ41" i="2" s="1"/>
  <c r="CF41" i="2"/>
  <c r="CH41" i="2"/>
  <c r="CA41" i="2"/>
  <c r="DA41" i="2"/>
  <c r="DB41" i="2" s="1"/>
  <c r="BO41" i="2"/>
  <c r="BJ41" i="2"/>
  <c r="BM41" i="2" s="1"/>
  <c r="BN41" i="2" s="1"/>
  <c r="BC41" i="2"/>
  <c r="AZ41" i="2"/>
  <c r="AY41" i="2"/>
  <c r="AO41" i="2"/>
  <c r="AN41" i="2"/>
  <c r="AM41" i="2"/>
  <c r="AL41" i="2"/>
  <c r="AK41" i="2"/>
  <c r="AG41" i="2"/>
  <c r="AE41" i="2"/>
  <c r="AF41" i="2" s="1"/>
  <c r="U41" i="2"/>
  <c r="S41" i="2"/>
  <c r="T41" i="2" s="1"/>
  <c r="R41" i="2"/>
  <c r="X41" i="2" s="1"/>
  <c r="AA41" i="2" s="1"/>
  <c r="E41" i="2"/>
  <c r="GR40" i="2"/>
  <c r="GS40" i="2" s="1"/>
  <c r="GP40" i="2"/>
  <c r="GQ40" i="2" s="1"/>
  <c r="GN40" i="2"/>
  <c r="GO40" i="2" s="1"/>
  <c r="GL40" i="2"/>
  <c r="GM40" i="2" s="1"/>
  <c r="GH40" i="2"/>
  <c r="GG40" i="2"/>
  <c r="GI40" i="2" s="1"/>
  <c r="GD40" i="2"/>
  <c r="GC40" i="2"/>
  <c r="GB40" i="2"/>
  <c r="FY40" i="2"/>
  <c r="FZ40" i="2" s="1"/>
  <c r="FS40" i="2"/>
  <c r="FT40" i="2" s="1"/>
  <c r="EW40" i="2"/>
  <c r="ET40" i="2"/>
  <c r="EU40" i="2" s="1"/>
  <c r="EQ40" i="2"/>
  <c r="ER40" i="2" s="1"/>
  <c r="EJ40" i="2"/>
  <c r="EE40" i="2"/>
  <c r="EF40" i="2" s="1"/>
  <c r="DX40" i="2"/>
  <c r="DP40" i="2"/>
  <c r="DF40" i="2"/>
  <c r="DH40" i="2" s="1"/>
  <c r="DE40" i="2"/>
  <c r="CY40" i="2"/>
  <c r="CZ40" i="2" s="1"/>
  <c r="CF40" i="2"/>
  <c r="CH40" i="2"/>
  <c r="CA40" i="2"/>
  <c r="BO40" i="2"/>
  <c r="BJ40" i="2"/>
  <c r="BM40" i="2" s="1"/>
  <c r="BN40" i="2" s="1"/>
  <c r="BC40" i="2"/>
  <c r="AZ40" i="2"/>
  <c r="AY40" i="2"/>
  <c r="AO40" i="2"/>
  <c r="AN40" i="2"/>
  <c r="AM40" i="2"/>
  <c r="AL40" i="2"/>
  <c r="AK40" i="2"/>
  <c r="AG40" i="2"/>
  <c r="AE40" i="2"/>
  <c r="AF40" i="2" s="1"/>
  <c r="U40" i="2"/>
  <c r="S40" i="2"/>
  <c r="T40" i="2" s="1"/>
  <c r="R40" i="2"/>
  <c r="X40" i="2" s="1"/>
  <c r="AA40" i="2" s="1"/>
  <c r="E40" i="2"/>
  <c r="GR39" i="2"/>
  <c r="GS39" i="2" s="1"/>
  <c r="GP39" i="2"/>
  <c r="GQ39" i="2" s="1"/>
  <c r="GN39" i="2"/>
  <c r="GO39" i="2" s="1"/>
  <c r="GL39" i="2"/>
  <c r="GM39" i="2" s="1"/>
  <c r="GH39" i="2"/>
  <c r="GG39" i="2"/>
  <c r="GI39" i="2" s="1"/>
  <c r="GD39" i="2"/>
  <c r="GC39" i="2"/>
  <c r="GB39" i="2"/>
  <c r="FY39" i="2"/>
  <c r="FZ39" i="2" s="1"/>
  <c r="FS39" i="2"/>
  <c r="FT39" i="2" s="1"/>
  <c r="EW39" i="2"/>
  <c r="ET39" i="2"/>
  <c r="EU39" i="2" s="1"/>
  <c r="EQ39" i="2"/>
  <c r="ER39" i="2" s="1"/>
  <c r="EJ39" i="2"/>
  <c r="EE39" i="2"/>
  <c r="EF39" i="2" s="1"/>
  <c r="DX39" i="2"/>
  <c r="DP39" i="2"/>
  <c r="DF39" i="2"/>
  <c r="DH39" i="2" s="1"/>
  <c r="DE39" i="2"/>
  <c r="CY39" i="2"/>
  <c r="CZ39" i="2" s="1"/>
  <c r="CF39" i="2"/>
  <c r="CH39" i="2"/>
  <c r="CA39" i="2"/>
  <c r="DA39" i="2"/>
  <c r="DB39" i="2" s="1"/>
  <c r="BO39" i="2"/>
  <c r="BJ39" i="2"/>
  <c r="BM39" i="2" s="1"/>
  <c r="BN39" i="2" s="1"/>
  <c r="BC39" i="2"/>
  <c r="AZ39" i="2"/>
  <c r="AY39" i="2"/>
  <c r="AO39" i="2"/>
  <c r="AN39" i="2"/>
  <c r="AM39" i="2"/>
  <c r="AL39" i="2"/>
  <c r="AK39" i="2"/>
  <c r="AG39" i="2"/>
  <c r="AE39" i="2"/>
  <c r="AF39" i="2" s="1"/>
  <c r="U39" i="2"/>
  <c r="S39" i="2"/>
  <c r="T39" i="2" s="1"/>
  <c r="R39" i="2"/>
  <c r="X39" i="2" s="1"/>
  <c r="AA39" i="2" s="1"/>
  <c r="E39" i="2"/>
  <c r="GR38" i="2"/>
  <c r="GS38" i="2" s="1"/>
  <c r="GP38" i="2"/>
  <c r="GQ38" i="2" s="1"/>
  <c r="DO38" i="2" s="1"/>
  <c r="GN38" i="2"/>
  <c r="GO38" i="2" s="1"/>
  <c r="GL38" i="2"/>
  <c r="GM38" i="2" s="1"/>
  <c r="GH38" i="2"/>
  <c r="GG38" i="2"/>
  <c r="GI38" i="2" s="1"/>
  <c r="GD38" i="2"/>
  <c r="GC38" i="2"/>
  <c r="GB38" i="2"/>
  <c r="FY38" i="2"/>
  <c r="FZ38" i="2" s="1"/>
  <c r="FS38" i="2"/>
  <c r="FT38" i="2" s="1"/>
  <c r="EW38" i="2"/>
  <c r="ET38" i="2"/>
  <c r="EU38" i="2" s="1"/>
  <c r="EQ38" i="2"/>
  <c r="ER38" i="2" s="1"/>
  <c r="EJ38" i="2"/>
  <c r="EE38" i="2"/>
  <c r="EF38" i="2" s="1"/>
  <c r="DX38" i="2"/>
  <c r="DP38" i="2"/>
  <c r="DF38" i="2"/>
  <c r="DG38" i="2" s="1"/>
  <c r="DE38" i="2"/>
  <c r="CY38" i="2"/>
  <c r="CZ38" i="2" s="1"/>
  <c r="CF38" i="2"/>
  <c r="CH38" i="2"/>
  <c r="CA38" i="2"/>
  <c r="DA38" i="2"/>
  <c r="DB38" i="2" s="1"/>
  <c r="BO38" i="2"/>
  <c r="BJ38" i="2"/>
  <c r="BM38" i="2" s="1"/>
  <c r="BN38" i="2" s="1"/>
  <c r="BC38" i="2"/>
  <c r="AZ38" i="2"/>
  <c r="AY38" i="2"/>
  <c r="AO38" i="2"/>
  <c r="AN38" i="2"/>
  <c r="AM38" i="2"/>
  <c r="AL38" i="2"/>
  <c r="AK38" i="2"/>
  <c r="AG38" i="2"/>
  <c r="AE38" i="2"/>
  <c r="AF38" i="2" s="1"/>
  <c r="U38" i="2"/>
  <c r="S38" i="2"/>
  <c r="T38" i="2" s="1"/>
  <c r="R38" i="2"/>
  <c r="X38" i="2" s="1"/>
  <c r="AA38" i="2" s="1"/>
  <c r="E38" i="2"/>
  <c r="GR37" i="2"/>
  <c r="GS37" i="2" s="1"/>
  <c r="GP37" i="2"/>
  <c r="GQ37" i="2" s="1"/>
  <c r="GN37" i="2"/>
  <c r="GO37" i="2" s="1"/>
  <c r="GL37" i="2"/>
  <c r="GM37" i="2" s="1"/>
  <c r="GH37" i="2"/>
  <c r="GG37" i="2"/>
  <c r="GI37" i="2" s="1"/>
  <c r="GD37" i="2"/>
  <c r="GC37" i="2"/>
  <c r="GB37" i="2"/>
  <c r="FY37" i="2"/>
  <c r="FZ37" i="2" s="1"/>
  <c r="FS37" i="2"/>
  <c r="FT37" i="2" s="1"/>
  <c r="EW37" i="2"/>
  <c r="ET37" i="2"/>
  <c r="EU37" i="2" s="1"/>
  <c r="EQ37" i="2"/>
  <c r="ER37" i="2" s="1"/>
  <c r="EJ37" i="2"/>
  <c r="EE37" i="2"/>
  <c r="EF37" i="2" s="1"/>
  <c r="DX37" i="2"/>
  <c r="DP37" i="2"/>
  <c r="DF37" i="2"/>
  <c r="DH37" i="2" s="1"/>
  <c r="DE37" i="2"/>
  <c r="CY37" i="2"/>
  <c r="CZ37" i="2" s="1"/>
  <c r="CF37" i="2"/>
  <c r="CH37" i="2"/>
  <c r="CA37" i="2"/>
  <c r="DA37" i="2"/>
  <c r="DB37" i="2" s="1"/>
  <c r="BO37" i="2"/>
  <c r="BJ37" i="2"/>
  <c r="BM37" i="2" s="1"/>
  <c r="BN37" i="2" s="1"/>
  <c r="BC37" i="2"/>
  <c r="AZ37" i="2"/>
  <c r="AY37" i="2"/>
  <c r="AO37" i="2"/>
  <c r="AN37" i="2"/>
  <c r="AM37" i="2"/>
  <c r="AL37" i="2"/>
  <c r="AK37" i="2"/>
  <c r="AG37" i="2"/>
  <c r="AE37" i="2"/>
  <c r="AF37" i="2" s="1"/>
  <c r="U37" i="2"/>
  <c r="S37" i="2"/>
  <c r="T37" i="2" s="1"/>
  <c r="R37" i="2"/>
  <c r="X37" i="2" s="1"/>
  <c r="AA37" i="2" s="1"/>
  <c r="E37" i="2"/>
  <c r="GR36" i="2"/>
  <c r="GS36" i="2" s="1"/>
  <c r="GP36" i="2"/>
  <c r="GQ36" i="2" s="1"/>
  <c r="DO36" i="2" s="1"/>
  <c r="GN36" i="2"/>
  <c r="GO36" i="2" s="1"/>
  <c r="GL36" i="2"/>
  <c r="GM36" i="2" s="1"/>
  <c r="GH36" i="2"/>
  <c r="GG36" i="2"/>
  <c r="GI36" i="2" s="1"/>
  <c r="GD36" i="2"/>
  <c r="GC36" i="2"/>
  <c r="GB36" i="2"/>
  <c r="FY36" i="2"/>
  <c r="FZ36" i="2" s="1"/>
  <c r="FS36" i="2"/>
  <c r="FT36" i="2" s="1"/>
  <c r="EW36" i="2"/>
  <c r="ET36" i="2"/>
  <c r="EU36" i="2" s="1"/>
  <c r="EQ36" i="2"/>
  <c r="ER36" i="2" s="1"/>
  <c r="EJ36" i="2"/>
  <c r="EE36" i="2"/>
  <c r="EF36" i="2" s="1"/>
  <c r="DX36" i="2"/>
  <c r="DP36" i="2"/>
  <c r="DF36" i="2"/>
  <c r="DH36" i="2" s="1"/>
  <c r="DE36" i="2"/>
  <c r="CY36" i="2"/>
  <c r="CZ36" i="2" s="1"/>
  <c r="CF36" i="2"/>
  <c r="CH36" i="2"/>
  <c r="CA36" i="2"/>
  <c r="BO36" i="2"/>
  <c r="BJ36" i="2"/>
  <c r="BM36" i="2" s="1"/>
  <c r="BN36" i="2" s="1"/>
  <c r="BC36" i="2"/>
  <c r="AZ36" i="2"/>
  <c r="AY36" i="2"/>
  <c r="AO36" i="2"/>
  <c r="AN36" i="2"/>
  <c r="AM36" i="2"/>
  <c r="AL36" i="2"/>
  <c r="AK36" i="2"/>
  <c r="AG36" i="2"/>
  <c r="AE36" i="2"/>
  <c r="AF36" i="2" s="1"/>
  <c r="U36" i="2"/>
  <c r="S36" i="2"/>
  <c r="T36" i="2" s="1"/>
  <c r="R36" i="2"/>
  <c r="X36" i="2" s="1"/>
  <c r="AA36" i="2" s="1"/>
  <c r="E36" i="2"/>
  <c r="GR35" i="2"/>
  <c r="GS35" i="2" s="1"/>
  <c r="GP35" i="2"/>
  <c r="GQ35" i="2" s="1"/>
  <c r="GN35" i="2"/>
  <c r="GO35" i="2" s="1"/>
  <c r="GL35" i="2"/>
  <c r="GM35" i="2" s="1"/>
  <c r="GH35" i="2"/>
  <c r="GG35" i="2"/>
  <c r="GI35" i="2" s="1"/>
  <c r="GD35" i="2"/>
  <c r="GC35" i="2"/>
  <c r="GB35" i="2"/>
  <c r="FY35" i="2"/>
  <c r="GA35" i="2" s="1"/>
  <c r="FS35" i="2"/>
  <c r="FT35" i="2" s="1"/>
  <c r="EW35" i="2"/>
  <c r="ET35" i="2"/>
  <c r="EU35" i="2" s="1"/>
  <c r="EQ35" i="2"/>
  <c r="ER35" i="2" s="1"/>
  <c r="EJ35" i="2"/>
  <c r="EE35" i="2"/>
  <c r="EF35" i="2" s="1"/>
  <c r="DX35" i="2"/>
  <c r="DP35" i="2"/>
  <c r="DF35" i="2"/>
  <c r="DG35" i="2" s="1"/>
  <c r="DE35" i="2"/>
  <c r="CY35" i="2"/>
  <c r="CZ35" i="2" s="1"/>
  <c r="CF35" i="2"/>
  <c r="CH35" i="2"/>
  <c r="CA35" i="2"/>
  <c r="DA35" i="2"/>
  <c r="DB35" i="2" s="1"/>
  <c r="BO35" i="2"/>
  <c r="BJ35" i="2"/>
  <c r="BK35" i="2" s="1"/>
  <c r="CL35" i="2" s="1"/>
  <c r="BC35" i="2"/>
  <c r="AZ35" i="2"/>
  <c r="AY35" i="2"/>
  <c r="AO35" i="2"/>
  <c r="AN35" i="2"/>
  <c r="AM35" i="2"/>
  <c r="AL35" i="2"/>
  <c r="AK35" i="2"/>
  <c r="AG35" i="2"/>
  <c r="AE35" i="2"/>
  <c r="AF35" i="2" s="1"/>
  <c r="Y35" i="2"/>
  <c r="AB35" i="2" s="1"/>
  <c r="X35" i="2"/>
  <c r="AA35" i="2" s="1"/>
  <c r="U35" i="2"/>
  <c r="S35" i="2"/>
  <c r="T35" i="2" s="1"/>
  <c r="E35" i="2"/>
  <c r="GR34" i="2"/>
  <c r="GS34" i="2" s="1"/>
  <c r="GP34" i="2"/>
  <c r="GQ34" i="2" s="1"/>
  <c r="GN34" i="2"/>
  <c r="GO34" i="2" s="1"/>
  <c r="GL34" i="2"/>
  <c r="GM34" i="2" s="1"/>
  <c r="GH34" i="2"/>
  <c r="GG34" i="2"/>
  <c r="GI34" i="2" s="1"/>
  <c r="GD34" i="2"/>
  <c r="GC34" i="2"/>
  <c r="GB34" i="2"/>
  <c r="FY34" i="2"/>
  <c r="FZ34" i="2" s="1"/>
  <c r="FS34" i="2"/>
  <c r="FT34" i="2" s="1"/>
  <c r="EW34" i="2"/>
  <c r="ET34" i="2"/>
  <c r="EU34" i="2" s="1"/>
  <c r="EQ34" i="2"/>
  <c r="ER34" i="2" s="1"/>
  <c r="EJ34" i="2"/>
  <c r="EE34" i="2"/>
  <c r="EF34" i="2" s="1"/>
  <c r="DX34" i="2"/>
  <c r="DP34" i="2"/>
  <c r="DF34" i="2"/>
  <c r="DH34" i="2" s="1"/>
  <c r="DE34" i="2"/>
  <c r="CY34" i="2"/>
  <c r="CZ34" i="2" s="1"/>
  <c r="CF34" i="2"/>
  <c r="CH34" i="2"/>
  <c r="CA34" i="2"/>
  <c r="BO34" i="2"/>
  <c r="BJ34" i="2"/>
  <c r="BM34" i="2" s="1"/>
  <c r="BN34" i="2" s="1"/>
  <c r="BC34" i="2"/>
  <c r="AZ34" i="2"/>
  <c r="AY34" i="2"/>
  <c r="AO34" i="2"/>
  <c r="AN34" i="2"/>
  <c r="AM34" i="2"/>
  <c r="AL34" i="2"/>
  <c r="AK34" i="2"/>
  <c r="AG34" i="2"/>
  <c r="AE34" i="2"/>
  <c r="AF34" i="2" s="1"/>
  <c r="U34" i="2"/>
  <c r="S34" i="2"/>
  <c r="T34" i="2" s="1"/>
  <c r="R34" i="2"/>
  <c r="X34" i="2" s="1"/>
  <c r="AA34" i="2" s="1"/>
  <c r="E34" i="2"/>
  <c r="GR33" i="2"/>
  <c r="GS33" i="2" s="1"/>
  <c r="GP33" i="2"/>
  <c r="GQ33" i="2" s="1"/>
  <c r="GN33" i="2"/>
  <c r="GO33" i="2" s="1"/>
  <c r="GL33" i="2"/>
  <c r="GM33" i="2" s="1"/>
  <c r="GH33" i="2"/>
  <c r="GG33" i="2"/>
  <c r="GI33" i="2" s="1"/>
  <c r="GD33" i="2"/>
  <c r="GC33" i="2"/>
  <c r="GB33" i="2"/>
  <c r="FY33" i="2"/>
  <c r="FZ33" i="2" s="1"/>
  <c r="FS33" i="2"/>
  <c r="FT33" i="2" s="1"/>
  <c r="EW33" i="2"/>
  <c r="ET33" i="2"/>
  <c r="EU33" i="2" s="1"/>
  <c r="EQ33" i="2"/>
  <c r="ER33" i="2" s="1"/>
  <c r="EJ33" i="2"/>
  <c r="EE33" i="2"/>
  <c r="EF33" i="2" s="1"/>
  <c r="DX33" i="2"/>
  <c r="DP33" i="2"/>
  <c r="DF33" i="2"/>
  <c r="DH33" i="2" s="1"/>
  <c r="DE33" i="2"/>
  <c r="CY33" i="2"/>
  <c r="CZ33" i="2" s="1"/>
  <c r="CF33" i="2"/>
  <c r="CH33" i="2"/>
  <c r="CA33" i="2"/>
  <c r="BO33" i="2"/>
  <c r="BJ33" i="2"/>
  <c r="BM33" i="2" s="1"/>
  <c r="BN33" i="2" s="1"/>
  <c r="BC33" i="2"/>
  <c r="AZ33" i="2"/>
  <c r="AY33" i="2"/>
  <c r="AO33" i="2"/>
  <c r="AN33" i="2"/>
  <c r="AM33" i="2"/>
  <c r="AL33" i="2"/>
  <c r="AK33" i="2"/>
  <c r="AG33" i="2"/>
  <c r="AE33" i="2"/>
  <c r="AF33" i="2" s="1"/>
  <c r="U33" i="2"/>
  <c r="S33" i="2"/>
  <c r="T33" i="2" s="1"/>
  <c r="R33" i="2"/>
  <c r="X33" i="2" s="1"/>
  <c r="AA33" i="2" s="1"/>
  <c r="E33" i="2"/>
  <c r="GR32" i="2"/>
  <c r="GS32" i="2" s="1"/>
  <c r="GP32" i="2"/>
  <c r="GQ32" i="2" s="1"/>
  <c r="DO32" i="2" s="1"/>
  <c r="GN32" i="2"/>
  <c r="GO32" i="2" s="1"/>
  <c r="GL32" i="2"/>
  <c r="GM32" i="2" s="1"/>
  <c r="GH32" i="2"/>
  <c r="GG32" i="2"/>
  <c r="GI32" i="2" s="1"/>
  <c r="GD32" i="2"/>
  <c r="GC32" i="2"/>
  <c r="GB32" i="2"/>
  <c r="FY32" i="2"/>
  <c r="FZ32" i="2" s="1"/>
  <c r="FS32" i="2"/>
  <c r="FT32" i="2" s="1"/>
  <c r="EW32" i="2"/>
  <c r="ET32" i="2"/>
  <c r="EU32" i="2" s="1"/>
  <c r="EQ32" i="2"/>
  <c r="ER32" i="2" s="1"/>
  <c r="EJ32" i="2"/>
  <c r="EE32" i="2"/>
  <c r="EF32" i="2" s="1"/>
  <c r="DX32" i="2"/>
  <c r="DP32" i="2"/>
  <c r="DF32" i="2"/>
  <c r="DH32" i="2" s="1"/>
  <c r="DE32" i="2"/>
  <c r="CY32" i="2"/>
  <c r="CZ32" i="2" s="1"/>
  <c r="CF32" i="2"/>
  <c r="CH32" i="2"/>
  <c r="CA32" i="2"/>
  <c r="BO32" i="2"/>
  <c r="BJ32" i="2"/>
  <c r="BM32" i="2" s="1"/>
  <c r="BN32" i="2" s="1"/>
  <c r="BC32" i="2"/>
  <c r="AZ32" i="2"/>
  <c r="AY32" i="2"/>
  <c r="AO32" i="2"/>
  <c r="AN32" i="2"/>
  <c r="AM32" i="2"/>
  <c r="AL32" i="2"/>
  <c r="AK32" i="2"/>
  <c r="AG32" i="2"/>
  <c r="AE32" i="2"/>
  <c r="AF32" i="2" s="1"/>
  <c r="U32" i="2"/>
  <c r="S32" i="2"/>
  <c r="T32" i="2" s="1"/>
  <c r="R32" i="2"/>
  <c r="X32" i="2" s="1"/>
  <c r="AA32" i="2" s="1"/>
  <c r="E32" i="2"/>
  <c r="GR31" i="2"/>
  <c r="GS31" i="2" s="1"/>
  <c r="GP31" i="2"/>
  <c r="GQ31" i="2" s="1"/>
  <c r="GN31" i="2"/>
  <c r="GO31" i="2" s="1"/>
  <c r="GL31" i="2"/>
  <c r="GM31" i="2" s="1"/>
  <c r="GH31" i="2"/>
  <c r="GG31" i="2"/>
  <c r="GI31" i="2" s="1"/>
  <c r="GD31" i="2"/>
  <c r="GC31" i="2"/>
  <c r="GB31" i="2"/>
  <c r="FY31" i="2"/>
  <c r="GA31" i="2" s="1"/>
  <c r="FS31" i="2"/>
  <c r="FT31" i="2" s="1"/>
  <c r="EW31" i="2"/>
  <c r="ET31" i="2"/>
  <c r="EU31" i="2" s="1"/>
  <c r="EQ31" i="2"/>
  <c r="ER31" i="2" s="1"/>
  <c r="EJ31" i="2"/>
  <c r="EE31" i="2"/>
  <c r="EF31" i="2" s="1"/>
  <c r="DX31" i="2"/>
  <c r="DP31" i="2"/>
  <c r="DF31" i="2"/>
  <c r="DH31" i="2" s="1"/>
  <c r="DE31" i="2"/>
  <c r="CY31" i="2"/>
  <c r="CZ31" i="2" s="1"/>
  <c r="CF31" i="2"/>
  <c r="CH31" i="2"/>
  <c r="CA31" i="2"/>
  <c r="BO31" i="2"/>
  <c r="BJ31" i="2"/>
  <c r="BC31" i="2"/>
  <c r="AZ31" i="2"/>
  <c r="AY31" i="2"/>
  <c r="AO31" i="2"/>
  <c r="AN31" i="2"/>
  <c r="AM31" i="2"/>
  <c r="AL31" i="2"/>
  <c r="AK31" i="2"/>
  <c r="AG31" i="2"/>
  <c r="AE31" i="2"/>
  <c r="AF31" i="2" s="1"/>
  <c r="U31" i="2"/>
  <c r="S31" i="2"/>
  <c r="T31" i="2" s="1"/>
  <c r="R31" i="2"/>
  <c r="Y31" i="2" s="1"/>
  <c r="AB31" i="2" s="1"/>
  <c r="E31" i="2"/>
  <c r="GR14" i="2"/>
  <c r="GS14" i="2" s="1"/>
  <c r="GP14" i="2"/>
  <c r="GQ14" i="2" s="1"/>
  <c r="GN14" i="2"/>
  <c r="GO14" i="2" s="1"/>
  <c r="GL14" i="2"/>
  <c r="GM14" i="2" s="1"/>
  <c r="GH14" i="2"/>
  <c r="GG14" i="2"/>
  <c r="GI14" i="2" s="1"/>
  <c r="GD14" i="2"/>
  <c r="GC14" i="2"/>
  <c r="GB14" i="2"/>
  <c r="FY14" i="2"/>
  <c r="GA14" i="2" s="1"/>
  <c r="FS14" i="2"/>
  <c r="FT14" i="2" s="1"/>
  <c r="EW14" i="2"/>
  <c r="ET14" i="2"/>
  <c r="EU14" i="2" s="1"/>
  <c r="EQ14" i="2"/>
  <c r="ER14" i="2" s="1"/>
  <c r="EJ14" i="2"/>
  <c r="EE14" i="2"/>
  <c r="EF14" i="2" s="1"/>
  <c r="DX14" i="2"/>
  <c r="DP14" i="2"/>
  <c r="DF14" i="2"/>
  <c r="DH14" i="2" s="1"/>
  <c r="DE14" i="2"/>
  <c r="CY14" i="2"/>
  <c r="CZ14" i="2" s="1"/>
  <c r="CF14" i="2"/>
  <c r="CH14" i="2"/>
  <c r="CA14" i="2"/>
  <c r="BO14" i="2"/>
  <c r="BJ14" i="2"/>
  <c r="BC14" i="2"/>
  <c r="AZ14" i="2"/>
  <c r="AY14" i="2"/>
  <c r="AO14" i="2"/>
  <c r="AN14" i="2"/>
  <c r="AM14" i="2"/>
  <c r="AL14" i="2"/>
  <c r="AK14" i="2"/>
  <c r="AG14" i="2"/>
  <c r="AE14" i="2"/>
  <c r="AF14" i="2" s="1"/>
  <c r="U14" i="2"/>
  <c r="S14" i="2"/>
  <c r="T14" i="2" s="1"/>
  <c r="R14" i="2"/>
  <c r="X14" i="2" s="1"/>
  <c r="E14" i="2"/>
  <c r="GR29" i="2"/>
  <c r="GS29" i="2" s="1"/>
  <c r="GP29" i="2"/>
  <c r="GQ29" i="2" s="1"/>
  <c r="GN29" i="2"/>
  <c r="GO29" i="2" s="1"/>
  <c r="GL29" i="2"/>
  <c r="GM29" i="2" s="1"/>
  <c r="GH29" i="2"/>
  <c r="GG29" i="2"/>
  <c r="GI29" i="2" s="1"/>
  <c r="GD29" i="2"/>
  <c r="GC29" i="2"/>
  <c r="GB29" i="2"/>
  <c r="FY29" i="2"/>
  <c r="FZ29" i="2" s="1"/>
  <c r="FS29" i="2"/>
  <c r="FT29" i="2" s="1"/>
  <c r="EW29" i="2"/>
  <c r="ET29" i="2"/>
  <c r="EU29" i="2" s="1"/>
  <c r="EQ29" i="2"/>
  <c r="ER29" i="2" s="1"/>
  <c r="EJ29" i="2"/>
  <c r="EE29" i="2"/>
  <c r="EF29" i="2" s="1"/>
  <c r="DX29" i="2"/>
  <c r="DP29" i="2"/>
  <c r="DF29" i="2"/>
  <c r="DH29" i="2" s="1"/>
  <c r="DE29" i="2"/>
  <c r="CY29" i="2"/>
  <c r="CZ29" i="2" s="1"/>
  <c r="CF29" i="2"/>
  <c r="CH29" i="2"/>
  <c r="CA29" i="2"/>
  <c r="BO29" i="2"/>
  <c r="BJ29" i="2"/>
  <c r="BM29" i="2" s="1"/>
  <c r="BN29" i="2" s="1"/>
  <c r="BC29" i="2"/>
  <c r="AZ29" i="2"/>
  <c r="AY29" i="2"/>
  <c r="AO29" i="2"/>
  <c r="AN29" i="2"/>
  <c r="AM29" i="2"/>
  <c r="AL29" i="2"/>
  <c r="AK29" i="2"/>
  <c r="AG29" i="2"/>
  <c r="AE29" i="2"/>
  <c r="AF29" i="2" s="1"/>
  <c r="U29" i="2"/>
  <c r="S29" i="2"/>
  <c r="T29" i="2" s="1"/>
  <c r="R29" i="2"/>
  <c r="X29" i="2" s="1"/>
  <c r="AA29" i="2" s="1"/>
  <c r="E29" i="2"/>
  <c r="GR28" i="2"/>
  <c r="GS28" i="2" s="1"/>
  <c r="GP28" i="2"/>
  <c r="GQ28" i="2" s="1"/>
  <c r="GN28" i="2"/>
  <c r="GO28" i="2" s="1"/>
  <c r="GL28" i="2"/>
  <c r="GM28" i="2" s="1"/>
  <c r="GH28" i="2"/>
  <c r="GG28" i="2"/>
  <c r="GI28" i="2" s="1"/>
  <c r="GD28" i="2"/>
  <c r="GC28" i="2"/>
  <c r="GB28" i="2"/>
  <c r="FY28" i="2"/>
  <c r="FZ28" i="2" s="1"/>
  <c r="FS28" i="2"/>
  <c r="FT28" i="2" s="1"/>
  <c r="EW28" i="2"/>
  <c r="ET28" i="2"/>
  <c r="EU28" i="2" s="1"/>
  <c r="EQ28" i="2"/>
  <c r="ER28" i="2" s="1"/>
  <c r="EJ28" i="2"/>
  <c r="EE28" i="2"/>
  <c r="EF28" i="2" s="1"/>
  <c r="DX28" i="2"/>
  <c r="DP28" i="2"/>
  <c r="DF28" i="2"/>
  <c r="DH28" i="2" s="1"/>
  <c r="DE28" i="2"/>
  <c r="CY28" i="2"/>
  <c r="CZ28" i="2" s="1"/>
  <c r="CF28" i="2"/>
  <c r="CH28" i="2"/>
  <c r="CA28" i="2"/>
  <c r="BO28" i="2"/>
  <c r="BJ28" i="2"/>
  <c r="BM28" i="2" s="1"/>
  <c r="BN28" i="2" s="1"/>
  <c r="BC28" i="2"/>
  <c r="AZ28" i="2"/>
  <c r="AY28" i="2"/>
  <c r="AO28" i="2"/>
  <c r="AN28" i="2"/>
  <c r="AM28" i="2"/>
  <c r="AL28" i="2"/>
  <c r="AK28" i="2"/>
  <c r="AG28" i="2"/>
  <c r="AE28" i="2"/>
  <c r="AF28" i="2" s="1"/>
  <c r="U28" i="2"/>
  <c r="S28" i="2"/>
  <c r="T28" i="2" s="1"/>
  <c r="R28" i="2"/>
  <c r="X28" i="2" s="1"/>
  <c r="AA28" i="2" s="1"/>
  <c r="E28" i="2"/>
  <c r="GR27" i="2"/>
  <c r="GS27" i="2" s="1"/>
  <c r="GP27" i="2"/>
  <c r="GQ27" i="2" s="1"/>
  <c r="GN27" i="2"/>
  <c r="GO27" i="2" s="1"/>
  <c r="GL27" i="2"/>
  <c r="GM27" i="2" s="1"/>
  <c r="GH27" i="2"/>
  <c r="GG27" i="2"/>
  <c r="GI27" i="2" s="1"/>
  <c r="GD27" i="2"/>
  <c r="GC27" i="2"/>
  <c r="GB27" i="2"/>
  <c r="FY27" i="2"/>
  <c r="FZ27" i="2" s="1"/>
  <c r="FS27" i="2"/>
  <c r="FT27" i="2" s="1"/>
  <c r="EW27" i="2"/>
  <c r="ET27" i="2"/>
  <c r="EU27" i="2" s="1"/>
  <c r="EQ27" i="2"/>
  <c r="ER27" i="2" s="1"/>
  <c r="EJ27" i="2"/>
  <c r="EE27" i="2"/>
  <c r="EF27" i="2" s="1"/>
  <c r="DX27" i="2"/>
  <c r="DP27" i="2"/>
  <c r="DF27" i="2"/>
  <c r="DH27" i="2" s="1"/>
  <c r="DE27" i="2"/>
  <c r="CY27" i="2"/>
  <c r="CZ27" i="2" s="1"/>
  <c r="CF27" i="2"/>
  <c r="CH27" i="2"/>
  <c r="CA27" i="2"/>
  <c r="BO27" i="2"/>
  <c r="BJ27" i="2"/>
  <c r="BM27" i="2" s="1"/>
  <c r="BN27" i="2" s="1"/>
  <c r="BC27" i="2"/>
  <c r="AZ27" i="2"/>
  <c r="AY27" i="2"/>
  <c r="AO27" i="2"/>
  <c r="AN27" i="2"/>
  <c r="AM27" i="2"/>
  <c r="AL27" i="2"/>
  <c r="AK27" i="2"/>
  <c r="AG27" i="2"/>
  <c r="AE27" i="2"/>
  <c r="AF27" i="2" s="1"/>
  <c r="U27" i="2"/>
  <c r="S27" i="2"/>
  <c r="T27" i="2" s="1"/>
  <c r="R27" i="2"/>
  <c r="X27" i="2" s="1"/>
  <c r="AA27" i="2" s="1"/>
  <c r="E27" i="2"/>
  <c r="GR26" i="2"/>
  <c r="GS26" i="2" s="1"/>
  <c r="GP26" i="2"/>
  <c r="GQ26" i="2" s="1"/>
  <c r="GN26" i="2"/>
  <c r="GO26" i="2" s="1"/>
  <c r="GL26" i="2"/>
  <c r="GM26" i="2" s="1"/>
  <c r="GH26" i="2"/>
  <c r="GG26" i="2"/>
  <c r="GI26" i="2" s="1"/>
  <c r="GD26" i="2"/>
  <c r="GC26" i="2"/>
  <c r="GB26" i="2"/>
  <c r="FY26" i="2"/>
  <c r="FZ26" i="2" s="1"/>
  <c r="FS26" i="2"/>
  <c r="FT26" i="2" s="1"/>
  <c r="EW26" i="2"/>
  <c r="ET26" i="2"/>
  <c r="EU26" i="2" s="1"/>
  <c r="EQ26" i="2"/>
  <c r="ER26" i="2" s="1"/>
  <c r="EJ26" i="2"/>
  <c r="EE26" i="2"/>
  <c r="EF26" i="2" s="1"/>
  <c r="DX26" i="2"/>
  <c r="DP26" i="2"/>
  <c r="DF26" i="2"/>
  <c r="DH26" i="2" s="1"/>
  <c r="DE26" i="2"/>
  <c r="CY26" i="2"/>
  <c r="CZ26" i="2" s="1"/>
  <c r="CF26" i="2"/>
  <c r="CH26" i="2"/>
  <c r="CA26" i="2"/>
  <c r="BO26" i="2"/>
  <c r="BJ26" i="2"/>
  <c r="BM26" i="2" s="1"/>
  <c r="BN26" i="2" s="1"/>
  <c r="BC26" i="2"/>
  <c r="AZ26" i="2"/>
  <c r="AY26" i="2"/>
  <c r="AO26" i="2"/>
  <c r="AN26" i="2"/>
  <c r="AM26" i="2"/>
  <c r="AL26" i="2"/>
  <c r="AK26" i="2"/>
  <c r="AG26" i="2"/>
  <c r="AE26" i="2"/>
  <c r="AF26" i="2" s="1"/>
  <c r="U26" i="2"/>
  <c r="S26" i="2"/>
  <c r="T26" i="2" s="1"/>
  <c r="R26" i="2"/>
  <c r="X26" i="2" s="1"/>
  <c r="AA26" i="2" s="1"/>
  <c r="E26" i="2"/>
  <c r="GR25" i="2"/>
  <c r="GS25" i="2" s="1"/>
  <c r="GP25" i="2"/>
  <c r="GQ25" i="2" s="1"/>
  <c r="GN25" i="2"/>
  <c r="GO25" i="2" s="1"/>
  <c r="GL25" i="2"/>
  <c r="GM25" i="2" s="1"/>
  <c r="GH25" i="2"/>
  <c r="GG25" i="2"/>
  <c r="GI25" i="2" s="1"/>
  <c r="GD25" i="2"/>
  <c r="GC25" i="2"/>
  <c r="GB25" i="2"/>
  <c r="FY25" i="2"/>
  <c r="FZ25" i="2" s="1"/>
  <c r="FS25" i="2"/>
  <c r="FT25" i="2" s="1"/>
  <c r="EW25" i="2"/>
  <c r="ET25" i="2"/>
  <c r="EU25" i="2" s="1"/>
  <c r="EQ25" i="2"/>
  <c r="ER25" i="2" s="1"/>
  <c r="EJ25" i="2"/>
  <c r="DX25" i="2"/>
  <c r="DP25" i="2"/>
  <c r="DF25" i="2"/>
  <c r="DG25" i="2" s="1"/>
  <c r="DE25" i="2"/>
  <c r="CY25" i="2"/>
  <c r="CZ25" i="2" s="1"/>
  <c r="CF25" i="2"/>
  <c r="CH25" i="2"/>
  <c r="CA25" i="2"/>
  <c r="BO25" i="2"/>
  <c r="BJ25" i="2"/>
  <c r="BM25" i="2" s="1"/>
  <c r="BN25" i="2" s="1"/>
  <c r="BC25" i="2"/>
  <c r="AZ25" i="2"/>
  <c r="AY25" i="2"/>
  <c r="AO25" i="2"/>
  <c r="AN25" i="2"/>
  <c r="AM25" i="2"/>
  <c r="AL25" i="2"/>
  <c r="AK25" i="2"/>
  <c r="AG25" i="2"/>
  <c r="AE25" i="2"/>
  <c r="AF25" i="2" s="1"/>
  <c r="U25" i="2"/>
  <c r="S25" i="2"/>
  <c r="T25" i="2" s="1"/>
  <c r="R25" i="2"/>
  <c r="X25" i="2" s="1"/>
  <c r="AA25" i="2" s="1"/>
  <c r="E25" i="2"/>
  <c r="GR24" i="2"/>
  <c r="GS24" i="2" s="1"/>
  <c r="GP24" i="2"/>
  <c r="GQ24" i="2" s="1"/>
  <c r="GN24" i="2"/>
  <c r="GO24" i="2" s="1"/>
  <c r="GL24" i="2"/>
  <c r="GM24" i="2" s="1"/>
  <c r="GH24" i="2"/>
  <c r="GG24" i="2"/>
  <c r="GI24" i="2" s="1"/>
  <c r="GD24" i="2"/>
  <c r="GC24" i="2"/>
  <c r="GB24" i="2"/>
  <c r="FY24" i="2"/>
  <c r="FZ24" i="2" s="1"/>
  <c r="FS24" i="2"/>
  <c r="FT24" i="2" s="1"/>
  <c r="EW24" i="2"/>
  <c r="ET24" i="2"/>
  <c r="EU24" i="2" s="1"/>
  <c r="EQ24" i="2"/>
  <c r="ER24" i="2" s="1"/>
  <c r="EJ24" i="2"/>
  <c r="EE24" i="2"/>
  <c r="EF24" i="2" s="1"/>
  <c r="DX24" i="2"/>
  <c r="DP24" i="2"/>
  <c r="DF24" i="2"/>
  <c r="DG24" i="2" s="1"/>
  <c r="DE24" i="2"/>
  <c r="CY24" i="2"/>
  <c r="CZ24" i="2" s="1"/>
  <c r="CF24" i="2"/>
  <c r="CH24" i="2"/>
  <c r="CA24" i="2"/>
  <c r="BO24" i="2"/>
  <c r="BJ24" i="2"/>
  <c r="BM24" i="2" s="1"/>
  <c r="BN24" i="2" s="1"/>
  <c r="BC24" i="2"/>
  <c r="AZ24" i="2"/>
  <c r="AY24" i="2"/>
  <c r="AO24" i="2"/>
  <c r="AN24" i="2"/>
  <c r="AM24" i="2"/>
  <c r="AL24" i="2"/>
  <c r="AK24" i="2"/>
  <c r="AG24" i="2"/>
  <c r="AE24" i="2"/>
  <c r="AF24" i="2" s="1"/>
  <c r="U24" i="2"/>
  <c r="S24" i="2"/>
  <c r="T24" i="2" s="1"/>
  <c r="R24" i="2"/>
  <c r="X24" i="2" s="1"/>
  <c r="AA24" i="2" s="1"/>
  <c r="E24" i="2"/>
  <c r="GR23" i="2"/>
  <c r="GS23" i="2" s="1"/>
  <c r="GP23" i="2"/>
  <c r="GQ23" i="2" s="1"/>
  <c r="GN23" i="2"/>
  <c r="GO23" i="2" s="1"/>
  <c r="GL23" i="2"/>
  <c r="GM23" i="2" s="1"/>
  <c r="GH23" i="2"/>
  <c r="GG23" i="2"/>
  <c r="GI23" i="2" s="1"/>
  <c r="GD23" i="2"/>
  <c r="GC23" i="2"/>
  <c r="GB23" i="2"/>
  <c r="FY23" i="2"/>
  <c r="FZ23" i="2" s="1"/>
  <c r="FS23" i="2"/>
  <c r="FT23" i="2" s="1"/>
  <c r="EW23" i="2"/>
  <c r="ET23" i="2"/>
  <c r="EU23" i="2" s="1"/>
  <c r="EQ23" i="2"/>
  <c r="ER23" i="2" s="1"/>
  <c r="EJ23" i="2"/>
  <c r="EE23" i="2"/>
  <c r="EF23" i="2" s="1"/>
  <c r="DX23" i="2"/>
  <c r="DP23" i="2"/>
  <c r="DF23" i="2"/>
  <c r="DG23" i="2" s="1"/>
  <c r="DE23" i="2"/>
  <c r="CY23" i="2"/>
  <c r="CZ23" i="2" s="1"/>
  <c r="CF23" i="2"/>
  <c r="CH23" i="2"/>
  <c r="CA23" i="2"/>
  <c r="BO23" i="2"/>
  <c r="BJ23" i="2"/>
  <c r="BM23" i="2" s="1"/>
  <c r="BN23" i="2" s="1"/>
  <c r="BC23" i="2"/>
  <c r="AZ23" i="2"/>
  <c r="AY23" i="2"/>
  <c r="AO23" i="2"/>
  <c r="AN23" i="2"/>
  <c r="AM23" i="2"/>
  <c r="AL23" i="2"/>
  <c r="AK23" i="2"/>
  <c r="AG23" i="2"/>
  <c r="AE23" i="2"/>
  <c r="AF23" i="2" s="1"/>
  <c r="U23" i="2"/>
  <c r="S23" i="2"/>
  <c r="T23" i="2" s="1"/>
  <c r="R23" i="2"/>
  <c r="X23" i="2" s="1"/>
  <c r="E23" i="2"/>
  <c r="GR22" i="2"/>
  <c r="GS22" i="2" s="1"/>
  <c r="GP22" i="2"/>
  <c r="GQ22" i="2" s="1"/>
  <c r="DO22" i="2" s="1"/>
  <c r="EC22" i="2" s="1"/>
  <c r="GN22" i="2"/>
  <c r="GO22" i="2" s="1"/>
  <c r="GL22" i="2"/>
  <c r="GM22" i="2" s="1"/>
  <c r="GH22" i="2"/>
  <c r="GG22" i="2"/>
  <c r="GI22" i="2" s="1"/>
  <c r="GD22" i="2"/>
  <c r="GC22" i="2"/>
  <c r="GB22" i="2"/>
  <c r="FY22" i="2"/>
  <c r="FZ22" i="2" s="1"/>
  <c r="FS22" i="2"/>
  <c r="FT22" i="2" s="1"/>
  <c r="EW22" i="2"/>
  <c r="ET22" i="2"/>
  <c r="EU22" i="2" s="1"/>
  <c r="EQ22" i="2"/>
  <c r="ER22" i="2" s="1"/>
  <c r="EJ22" i="2"/>
  <c r="EE22" i="2"/>
  <c r="EF22" i="2" s="1"/>
  <c r="DX22" i="2"/>
  <c r="DP22" i="2"/>
  <c r="DF22" i="2"/>
  <c r="DG22" i="2" s="1"/>
  <c r="DE22" i="2"/>
  <c r="CY22" i="2"/>
  <c r="CZ22" i="2" s="1"/>
  <c r="CF22" i="2"/>
  <c r="CH22" i="2"/>
  <c r="CA22" i="2"/>
  <c r="BO22" i="2"/>
  <c r="BJ22" i="2"/>
  <c r="BM22" i="2" s="1"/>
  <c r="BN22" i="2" s="1"/>
  <c r="BC22" i="2"/>
  <c r="AZ22" i="2"/>
  <c r="AY22" i="2"/>
  <c r="AO22" i="2"/>
  <c r="AN22" i="2"/>
  <c r="AM22" i="2"/>
  <c r="AL22" i="2"/>
  <c r="AK22" i="2"/>
  <c r="AG22" i="2"/>
  <c r="AE22" i="2"/>
  <c r="AF22" i="2" s="1"/>
  <c r="U22" i="2"/>
  <c r="S22" i="2"/>
  <c r="T22" i="2" s="1"/>
  <c r="R22" i="2"/>
  <c r="X22" i="2" s="1"/>
  <c r="AA22" i="2" s="1"/>
  <c r="E22" i="2"/>
  <c r="GR21" i="2"/>
  <c r="GS21" i="2" s="1"/>
  <c r="GP21" i="2"/>
  <c r="GQ21" i="2" s="1"/>
  <c r="DO21" i="2" s="1"/>
  <c r="GN21" i="2"/>
  <c r="GO21" i="2" s="1"/>
  <c r="GL21" i="2"/>
  <c r="GM21" i="2" s="1"/>
  <c r="GH21" i="2"/>
  <c r="GG21" i="2"/>
  <c r="GI21" i="2" s="1"/>
  <c r="GD21" i="2"/>
  <c r="GC21" i="2"/>
  <c r="GB21" i="2"/>
  <c r="FY21" i="2"/>
  <c r="FZ21" i="2" s="1"/>
  <c r="FS21" i="2"/>
  <c r="FT21" i="2" s="1"/>
  <c r="EW21" i="2"/>
  <c r="ET21" i="2"/>
  <c r="EU21" i="2" s="1"/>
  <c r="EQ21" i="2"/>
  <c r="ER21" i="2" s="1"/>
  <c r="EJ21" i="2"/>
  <c r="EE21" i="2"/>
  <c r="EF21" i="2" s="1"/>
  <c r="DX21" i="2"/>
  <c r="DP21" i="2"/>
  <c r="DF21" i="2"/>
  <c r="DH21" i="2" s="1"/>
  <c r="DE21" i="2"/>
  <c r="CY21" i="2"/>
  <c r="CZ21" i="2" s="1"/>
  <c r="CF21" i="2"/>
  <c r="CH21" i="2"/>
  <c r="CA21" i="2"/>
  <c r="BO21" i="2"/>
  <c r="BJ21" i="2"/>
  <c r="BM21" i="2" s="1"/>
  <c r="BN21" i="2" s="1"/>
  <c r="BC21" i="2"/>
  <c r="AZ21" i="2"/>
  <c r="AY21" i="2"/>
  <c r="AO21" i="2"/>
  <c r="AN21" i="2"/>
  <c r="AM21" i="2"/>
  <c r="AL21" i="2"/>
  <c r="AK21" i="2"/>
  <c r="AG21" i="2"/>
  <c r="AE21" i="2"/>
  <c r="AF21" i="2" s="1"/>
  <c r="U21" i="2"/>
  <c r="S21" i="2"/>
  <c r="T21" i="2" s="1"/>
  <c r="R21" i="2"/>
  <c r="Y21" i="2" s="1"/>
  <c r="AB21" i="2" s="1"/>
  <c r="E21" i="2"/>
  <c r="GR20" i="2"/>
  <c r="GS20" i="2" s="1"/>
  <c r="GP20" i="2"/>
  <c r="GQ20" i="2" s="1"/>
  <c r="GN20" i="2"/>
  <c r="GO20" i="2" s="1"/>
  <c r="GL20" i="2"/>
  <c r="GM20" i="2" s="1"/>
  <c r="GH20" i="2"/>
  <c r="GG20" i="2"/>
  <c r="GI20" i="2" s="1"/>
  <c r="GD20" i="2"/>
  <c r="GC20" i="2"/>
  <c r="GB20" i="2"/>
  <c r="FY20" i="2"/>
  <c r="FZ20" i="2" s="1"/>
  <c r="FS20" i="2"/>
  <c r="FT20" i="2" s="1"/>
  <c r="EW20" i="2"/>
  <c r="ET20" i="2"/>
  <c r="EU20" i="2" s="1"/>
  <c r="EQ20" i="2"/>
  <c r="ER20" i="2" s="1"/>
  <c r="EJ20" i="2"/>
  <c r="EE20" i="2"/>
  <c r="EF20" i="2" s="1"/>
  <c r="DX20" i="2"/>
  <c r="DP20" i="2"/>
  <c r="DF20" i="2"/>
  <c r="DH20" i="2" s="1"/>
  <c r="DE20" i="2"/>
  <c r="CY20" i="2"/>
  <c r="CZ20" i="2" s="1"/>
  <c r="CF20" i="2"/>
  <c r="CH20" i="2"/>
  <c r="CA20" i="2"/>
  <c r="BO20" i="2"/>
  <c r="BJ20" i="2"/>
  <c r="BM20" i="2" s="1"/>
  <c r="BN20" i="2" s="1"/>
  <c r="BC20" i="2"/>
  <c r="AZ20" i="2"/>
  <c r="AY20" i="2"/>
  <c r="AO20" i="2"/>
  <c r="AN20" i="2"/>
  <c r="AM20" i="2"/>
  <c r="AL20" i="2"/>
  <c r="AK20" i="2"/>
  <c r="AG20" i="2"/>
  <c r="AE20" i="2"/>
  <c r="AF20" i="2" s="1"/>
  <c r="U20" i="2"/>
  <c r="S20" i="2"/>
  <c r="T20" i="2" s="1"/>
  <c r="R20" i="2"/>
  <c r="E20" i="2"/>
  <c r="GR19" i="2"/>
  <c r="GS19" i="2" s="1"/>
  <c r="GP19" i="2"/>
  <c r="GQ19" i="2" s="1"/>
  <c r="DO19" i="2" s="1"/>
  <c r="EH19" i="2" s="1"/>
  <c r="GN19" i="2"/>
  <c r="GO19" i="2" s="1"/>
  <c r="GL19" i="2"/>
  <c r="GM19" i="2" s="1"/>
  <c r="GH19" i="2"/>
  <c r="GG19" i="2"/>
  <c r="GI19" i="2" s="1"/>
  <c r="GD19" i="2"/>
  <c r="GC19" i="2"/>
  <c r="GB19" i="2"/>
  <c r="FY19" i="2"/>
  <c r="FZ19" i="2" s="1"/>
  <c r="FS19" i="2"/>
  <c r="FT19" i="2" s="1"/>
  <c r="EW19" i="2"/>
  <c r="ET19" i="2"/>
  <c r="EU19" i="2" s="1"/>
  <c r="EQ19" i="2"/>
  <c r="ER19" i="2" s="1"/>
  <c r="EJ19" i="2"/>
  <c r="EE19" i="2"/>
  <c r="EF19" i="2" s="1"/>
  <c r="DX19" i="2"/>
  <c r="DP19" i="2"/>
  <c r="DF19" i="2"/>
  <c r="DH19" i="2" s="1"/>
  <c r="DE19" i="2"/>
  <c r="CY19" i="2"/>
  <c r="CZ19" i="2" s="1"/>
  <c r="CF19" i="2"/>
  <c r="CH19" i="2"/>
  <c r="CA19" i="2"/>
  <c r="CR19" i="2"/>
  <c r="BO19" i="2"/>
  <c r="BM19" i="2"/>
  <c r="BN19" i="2" s="1"/>
  <c r="BK19" i="2"/>
  <c r="CL19" i="2" s="1"/>
  <c r="BC19" i="2"/>
  <c r="AZ19" i="2"/>
  <c r="AY19" i="2"/>
  <c r="AO19" i="2"/>
  <c r="AN19" i="2"/>
  <c r="AM19" i="2"/>
  <c r="AL19" i="2"/>
  <c r="AK19" i="2"/>
  <c r="AG19" i="2"/>
  <c r="AE19" i="2"/>
  <c r="AF19" i="2" s="1"/>
  <c r="U19" i="2"/>
  <c r="S19" i="2"/>
  <c r="T19" i="2" s="1"/>
  <c r="R19" i="2"/>
  <c r="X19" i="2" s="1"/>
  <c r="E19" i="2"/>
  <c r="GR18" i="2"/>
  <c r="GS18" i="2" s="1"/>
  <c r="GP18" i="2"/>
  <c r="GQ18" i="2" s="1"/>
  <c r="DU18" i="2" s="1"/>
  <c r="GN18" i="2"/>
  <c r="GO18" i="2" s="1"/>
  <c r="GL18" i="2"/>
  <c r="GM18" i="2" s="1"/>
  <c r="GH18" i="2"/>
  <c r="GG18" i="2"/>
  <c r="GI18" i="2" s="1"/>
  <c r="GD18" i="2"/>
  <c r="GC18" i="2"/>
  <c r="GB18" i="2"/>
  <c r="FY18" i="2"/>
  <c r="GA18" i="2" s="1"/>
  <c r="FS18" i="2"/>
  <c r="FT18" i="2" s="1"/>
  <c r="EW18" i="2"/>
  <c r="ET18" i="2"/>
  <c r="EU18" i="2" s="1"/>
  <c r="EQ18" i="2"/>
  <c r="ER18" i="2" s="1"/>
  <c r="EJ18" i="2"/>
  <c r="EE18" i="2"/>
  <c r="EF18" i="2" s="1"/>
  <c r="DX18" i="2"/>
  <c r="DP18" i="2"/>
  <c r="DF18" i="2"/>
  <c r="DH18" i="2" s="1"/>
  <c r="DE18" i="2"/>
  <c r="CY18" i="2"/>
  <c r="CZ18" i="2" s="1"/>
  <c r="CF18" i="2"/>
  <c r="CH18" i="2"/>
  <c r="CA18" i="2"/>
  <c r="DA18" i="2"/>
  <c r="DB18" i="2" s="1"/>
  <c r="BO18" i="2"/>
  <c r="BJ18" i="2"/>
  <c r="BK18" i="2" s="1"/>
  <c r="CL18" i="2" s="1"/>
  <c r="BC18" i="2"/>
  <c r="AZ18" i="2"/>
  <c r="AY18" i="2"/>
  <c r="AO18" i="2"/>
  <c r="AN18" i="2"/>
  <c r="AM18" i="2"/>
  <c r="AL18" i="2"/>
  <c r="AK18" i="2"/>
  <c r="AG18" i="2"/>
  <c r="AE18" i="2"/>
  <c r="AF18" i="2" s="1"/>
  <c r="U18" i="2"/>
  <c r="S18" i="2"/>
  <c r="T18" i="2" s="1"/>
  <c r="R18" i="2"/>
  <c r="Y18" i="2" s="1"/>
  <c r="AB18" i="2" s="1"/>
  <c r="E18" i="2"/>
  <c r="GR17" i="2"/>
  <c r="GS17" i="2" s="1"/>
  <c r="GP17" i="2"/>
  <c r="GQ17" i="2" s="1"/>
  <c r="DU17" i="2" s="1"/>
  <c r="GN17" i="2"/>
  <c r="GO17" i="2" s="1"/>
  <c r="GL17" i="2"/>
  <c r="GM17" i="2" s="1"/>
  <c r="GH17" i="2"/>
  <c r="GG17" i="2"/>
  <c r="GI17" i="2" s="1"/>
  <c r="GD17" i="2"/>
  <c r="GC17" i="2"/>
  <c r="GB17" i="2"/>
  <c r="FY17" i="2"/>
  <c r="FZ17" i="2" s="1"/>
  <c r="FS17" i="2"/>
  <c r="FT17" i="2" s="1"/>
  <c r="EW17" i="2"/>
  <c r="ET17" i="2"/>
  <c r="EU17" i="2" s="1"/>
  <c r="EQ17" i="2"/>
  <c r="ER17" i="2" s="1"/>
  <c r="EJ17" i="2"/>
  <c r="EE17" i="2"/>
  <c r="EF17" i="2" s="1"/>
  <c r="DX17" i="2"/>
  <c r="DP17" i="2"/>
  <c r="DF17" i="2"/>
  <c r="DH17" i="2" s="1"/>
  <c r="DE17" i="2"/>
  <c r="CY17" i="2"/>
  <c r="CZ17" i="2" s="1"/>
  <c r="CF17" i="2"/>
  <c r="CH17" i="2"/>
  <c r="CA17" i="2"/>
  <c r="DA17" i="2"/>
  <c r="DB17" i="2" s="1"/>
  <c r="BO17" i="2"/>
  <c r="BJ17" i="2"/>
  <c r="BK17" i="2" s="1"/>
  <c r="CL17" i="2" s="1"/>
  <c r="BC17" i="2"/>
  <c r="AZ17" i="2"/>
  <c r="AY17" i="2"/>
  <c r="AO17" i="2"/>
  <c r="AN17" i="2"/>
  <c r="AM17" i="2"/>
  <c r="AL17" i="2"/>
  <c r="AK17" i="2"/>
  <c r="AG17" i="2"/>
  <c r="AE17" i="2"/>
  <c r="AF17" i="2" s="1"/>
  <c r="U17" i="2"/>
  <c r="S17" i="2"/>
  <c r="R17" i="2"/>
  <c r="X17" i="2" s="1"/>
  <c r="AA17" i="2" s="1"/>
  <c r="E17" i="2"/>
  <c r="GR16" i="2"/>
  <c r="GS16" i="2" s="1"/>
  <c r="GP16" i="2"/>
  <c r="GQ16" i="2" s="1"/>
  <c r="DU16" i="2" s="1"/>
  <c r="GN16" i="2"/>
  <c r="GO16" i="2" s="1"/>
  <c r="GL16" i="2"/>
  <c r="GM16" i="2" s="1"/>
  <c r="GH16" i="2"/>
  <c r="GG16" i="2"/>
  <c r="GI16" i="2" s="1"/>
  <c r="GD16" i="2"/>
  <c r="GC16" i="2"/>
  <c r="GB16" i="2"/>
  <c r="FY16" i="2"/>
  <c r="FZ16" i="2" s="1"/>
  <c r="FS16" i="2"/>
  <c r="FT16" i="2" s="1"/>
  <c r="EW16" i="2"/>
  <c r="ET16" i="2"/>
  <c r="EU16" i="2" s="1"/>
  <c r="EQ16" i="2"/>
  <c r="ER16" i="2" s="1"/>
  <c r="EJ16" i="2"/>
  <c r="EE16" i="2"/>
  <c r="EF16" i="2" s="1"/>
  <c r="DX16" i="2"/>
  <c r="DP16" i="2"/>
  <c r="DF16" i="2"/>
  <c r="DH16" i="2" s="1"/>
  <c r="DE16" i="2"/>
  <c r="CY16" i="2"/>
  <c r="CZ16" i="2" s="1"/>
  <c r="CF16" i="2"/>
  <c r="CH16" i="2"/>
  <c r="CA16" i="2"/>
  <c r="DA16" i="2"/>
  <c r="DB16" i="2" s="1"/>
  <c r="BO16" i="2"/>
  <c r="BJ16" i="2"/>
  <c r="BK16" i="2" s="1"/>
  <c r="CL16" i="2" s="1"/>
  <c r="BC16" i="2"/>
  <c r="AZ16" i="2"/>
  <c r="AY16" i="2"/>
  <c r="AO16" i="2"/>
  <c r="AN16" i="2"/>
  <c r="AM16" i="2"/>
  <c r="AL16" i="2"/>
  <c r="AK16" i="2"/>
  <c r="AG16" i="2"/>
  <c r="AE16" i="2"/>
  <c r="AF16" i="2" s="1"/>
  <c r="U16" i="2"/>
  <c r="S16" i="2"/>
  <c r="T16" i="2" s="1"/>
  <c r="R16" i="2"/>
  <c r="Y16" i="2" s="1"/>
  <c r="AB16" i="2" s="1"/>
  <c r="E16" i="2"/>
  <c r="GR15" i="2"/>
  <c r="GS15" i="2" s="1"/>
  <c r="GP15" i="2"/>
  <c r="GQ15" i="2" s="1"/>
  <c r="DU15" i="2" s="1"/>
  <c r="GN15" i="2"/>
  <c r="GO15" i="2" s="1"/>
  <c r="GL15" i="2"/>
  <c r="GM15" i="2" s="1"/>
  <c r="GH15" i="2"/>
  <c r="GG15" i="2"/>
  <c r="GI15" i="2" s="1"/>
  <c r="GD15" i="2"/>
  <c r="GC15" i="2"/>
  <c r="GB15" i="2"/>
  <c r="FY15" i="2"/>
  <c r="GA15" i="2" s="1"/>
  <c r="FS15" i="2"/>
  <c r="FT15" i="2" s="1"/>
  <c r="EW15" i="2"/>
  <c r="ET15" i="2"/>
  <c r="EU15" i="2" s="1"/>
  <c r="EQ15" i="2"/>
  <c r="ER15" i="2" s="1"/>
  <c r="EJ15" i="2"/>
  <c r="EE15" i="2"/>
  <c r="EF15" i="2" s="1"/>
  <c r="DX15" i="2"/>
  <c r="DP15" i="2"/>
  <c r="DF15" i="2"/>
  <c r="DH15" i="2" s="1"/>
  <c r="DE15" i="2"/>
  <c r="CY15" i="2"/>
  <c r="CZ15" i="2" s="1"/>
  <c r="CF15" i="2"/>
  <c r="CH15" i="2"/>
  <c r="CA15" i="2"/>
  <c r="BO15" i="2"/>
  <c r="BJ15" i="2"/>
  <c r="BK15" i="2" s="1"/>
  <c r="CL15" i="2" s="1"/>
  <c r="BC15" i="2"/>
  <c r="AZ15" i="2"/>
  <c r="AY15" i="2"/>
  <c r="AO15" i="2"/>
  <c r="AN15" i="2"/>
  <c r="AM15" i="2"/>
  <c r="AL15" i="2"/>
  <c r="AK15" i="2"/>
  <c r="AG15" i="2"/>
  <c r="AE15" i="2"/>
  <c r="AF15" i="2" s="1"/>
  <c r="U15" i="2"/>
  <c r="S15" i="2"/>
  <c r="R15" i="2"/>
  <c r="Y15" i="2" s="1"/>
  <c r="AB15" i="2" s="1"/>
  <c r="E15" i="2"/>
  <c r="GR116" i="2"/>
  <c r="GS116" i="2" s="1"/>
  <c r="GP116" i="2"/>
  <c r="GQ116" i="2" s="1"/>
  <c r="GN116" i="2"/>
  <c r="GO116" i="2" s="1"/>
  <c r="GL116" i="2"/>
  <c r="GM116" i="2" s="1"/>
  <c r="GH116" i="2"/>
  <c r="GG116" i="2"/>
  <c r="GI116" i="2" s="1"/>
  <c r="GD116" i="2"/>
  <c r="GC116" i="2"/>
  <c r="GB116" i="2"/>
  <c r="FY116" i="2"/>
  <c r="GA116" i="2" s="1"/>
  <c r="FS116" i="2"/>
  <c r="FT116" i="2" s="1"/>
  <c r="EW116" i="2"/>
  <c r="ET116" i="2"/>
  <c r="EU116" i="2" s="1"/>
  <c r="EQ116" i="2"/>
  <c r="ER116" i="2" s="1"/>
  <c r="EJ116" i="2"/>
  <c r="EE116" i="2"/>
  <c r="EF116" i="2" s="1"/>
  <c r="DX116" i="2"/>
  <c r="DP116" i="2"/>
  <c r="DF116" i="2"/>
  <c r="DH116" i="2" s="1"/>
  <c r="DE116" i="2"/>
  <c r="CY116" i="2"/>
  <c r="CZ116" i="2" s="1"/>
  <c r="CF116" i="2"/>
  <c r="CH116" i="2"/>
  <c r="CA116" i="2"/>
  <c r="CW116" i="2"/>
  <c r="BO116" i="2"/>
  <c r="BJ116" i="2"/>
  <c r="BK116" i="2" s="1"/>
  <c r="CL116" i="2" s="1"/>
  <c r="BC116" i="2"/>
  <c r="AZ116" i="2"/>
  <c r="AY116" i="2"/>
  <c r="AO116" i="2"/>
  <c r="AN116" i="2"/>
  <c r="AM116" i="2"/>
  <c r="AL116" i="2"/>
  <c r="AK116" i="2"/>
  <c r="AG116" i="2"/>
  <c r="AE116" i="2"/>
  <c r="AF116" i="2" s="1"/>
  <c r="U116" i="2"/>
  <c r="S116" i="2"/>
  <c r="T116" i="2" s="1"/>
  <c r="R116" i="2"/>
  <c r="Y116" i="2" s="1"/>
  <c r="AB116" i="2" s="1"/>
  <c r="E116" i="2"/>
  <c r="GR13" i="2"/>
  <c r="GS13" i="2" s="1"/>
  <c r="GP13" i="2"/>
  <c r="GQ13" i="2" s="1"/>
  <c r="GN13" i="2"/>
  <c r="GO13" i="2" s="1"/>
  <c r="GL13" i="2"/>
  <c r="GM13" i="2" s="1"/>
  <c r="GH13" i="2"/>
  <c r="GG13" i="2"/>
  <c r="GI13" i="2" s="1"/>
  <c r="GD13" i="2"/>
  <c r="GC13" i="2"/>
  <c r="GB13" i="2"/>
  <c r="FY13" i="2"/>
  <c r="FZ13" i="2" s="1"/>
  <c r="FS13" i="2"/>
  <c r="FT13" i="2" s="1"/>
  <c r="EW13" i="2"/>
  <c r="ET13" i="2"/>
  <c r="EU13" i="2" s="1"/>
  <c r="EQ13" i="2"/>
  <c r="ER13" i="2" s="1"/>
  <c r="EJ13" i="2"/>
  <c r="EE13" i="2"/>
  <c r="EF13" i="2" s="1"/>
  <c r="DX13" i="2"/>
  <c r="DP13" i="2"/>
  <c r="DF13" i="2"/>
  <c r="DH13" i="2" s="1"/>
  <c r="DE13" i="2"/>
  <c r="CY13" i="2"/>
  <c r="CZ13" i="2" s="1"/>
  <c r="CF13" i="2"/>
  <c r="CH13" i="2"/>
  <c r="CA13" i="2"/>
  <c r="CW13" i="2"/>
  <c r="BO13" i="2"/>
  <c r="BJ13" i="2"/>
  <c r="BK13" i="2" s="1"/>
  <c r="CL13" i="2" s="1"/>
  <c r="BC13" i="2"/>
  <c r="AZ13" i="2"/>
  <c r="AY13" i="2"/>
  <c r="AO13" i="2"/>
  <c r="AN13" i="2"/>
  <c r="AM13" i="2"/>
  <c r="AL13" i="2"/>
  <c r="AK13" i="2"/>
  <c r="AG13" i="2"/>
  <c r="AE13" i="2"/>
  <c r="AF13" i="2" s="1"/>
  <c r="U13" i="2"/>
  <c r="S13" i="2"/>
  <c r="R13" i="2"/>
  <c r="X13" i="2" s="1"/>
  <c r="AA13" i="2" s="1"/>
  <c r="E13" i="2"/>
  <c r="GR12" i="2"/>
  <c r="GS12" i="2" s="1"/>
  <c r="GP12" i="2"/>
  <c r="GQ12" i="2" s="1"/>
  <c r="GN12" i="2"/>
  <c r="GO12" i="2" s="1"/>
  <c r="GL12" i="2"/>
  <c r="GM12" i="2" s="1"/>
  <c r="GH12" i="2"/>
  <c r="GG12" i="2"/>
  <c r="GI12" i="2" s="1"/>
  <c r="GD12" i="2"/>
  <c r="GC12" i="2"/>
  <c r="GB12" i="2"/>
  <c r="FY12" i="2"/>
  <c r="FZ12" i="2" s="1"/>
  <c r="FS12" i="2"/>
  <c r="FT12" i="2" s="1"/>
  <c r="EW12" i="2"/>
  <c r="ET12" i="2"/>
  <c r="EU12" i="2" s="1"/>
  <c r="EQ12" i="2"/>
  <c r="ER12" i="2" s="1"/>
  <c r="EJ12" i="2"/>
  <c r="EE12" i="2"/>
  <c r="EF12" i="2" s="1"/>
  <c r="DX12" i="2"/>
  <c r="DP12" i="2"/>
  <c r="DF12" i="2"/>
  <c r="DH12" i="2" s="1"/>
  <c r="DE12" i="2"/>
  <c r="CY12" i="2"/>
  <c r="CZ12" i="2" s="1"/>
  <c r="CF12" i="2"/>
  <c r="CH12" i="2"/>
  <c r="CA12" i="2"/>
  <c r="CW12" i="2"/>
  <c r="BO12" i="2"/>
  <c r="BJ12" i="2"/>
  <c r="BK12" i="2" s="1"/>
  <c r="CL12" i="2" s="1"/>
  <c r="BC12" i="2"/>
  <c r="AZ12" i="2"/>
  <c r="AY12" i="2"/>
  <c r="AO12" i="2"/>
  <c r="AN12" i="2"/>
  <c r="AM12" i="2"/>
  <c r="AL12" i="2"/>
  <c r="AK12" i="2"/>
  <c r="AG12" i="2"/>
  <c r="AE12" i="2"/>
  <c r="AF12" i="2" s="1"/>
  <c r="U12" i="2"/>
  <c r="S12" i="2"/>
  <c r="R12" i="2"/>
  <c r="Y12" i="2" s="1"/>
  <c r="AB12" i="2" s="1"/>
  <c r="E12" i="2"/>
  <c r="GR356" i="2"/>
  <c r="GS356" i="2" s="1"/>
  <c r="GP356" i="2"/>
  <c r="GQ356" i="2" s="1"/>
  <c r="GN356" i="2"/>
  <c r="GO356" i="2" s="1"/>
  <c r="GL356" i="2"/>
  <c r="GM356" i="2" s="1"/>
  <c r="GH356" i="2"/>
  <c r="GG356" i="2"/>
  <c r="GI356" i="2" s="1"/>
  <c r="GD356" i="2"/>
  <c r="GC356" i="2"/>
  <c r="GB356" i="2"/>
  <c r="FY356" i="2"/>
  <c r="GA356" i="2" s="1"/>
  <c r="FS356" i="2"/>
  <c r="FT356" i="2" s="1"/>
  <c r="EW356" i="2"/>
  <c r="ET356" i="2"/>
  <c r="EU356" i="2" s="1"/>
  <c r="EQ356" i="2"/>
  <c r="ER356" i="2" s="1"/>
  <c r="EJ356" i="2"/>
  <c r="EE356" i="2"/>
  <c r="EF356" i="2" s="1"/>
  <c r="DX356" i="2"/>
  <c r="DP356" i="2"/>
  <c r="DF356" i="2"/>
  <c r="DH356" i="2" s="1"/>
  <c r="DE356" i="2"/>
  <c r="CY356" i="2"/>
  <c r="CZ356" i="2" s="1"/>
  <c r="CF356" i="2"/>
  <c r="CH356" i="2"/>
  <c r="CA356" i="2"/>
  <c r="CW356" i="2"/>
  <c r="BO356" i="2"/>
  <c r="BJ356" i="2"/>
  <c r="BM356" i="2" s="1"/>
  <c r="BN356" i="2" s="1"/>
  <c r="BC356" i="2"/>
  <c r="AZ356" i="2"/>
  <c r="AY356" i="2"/>
  <c r="AO356" i="2"/>
  <c r="AN356" i="2"/>
  <c r="AM356" i="2"/>
  <c r="AL356" i="2"/>
  <c r="AI356" i="2"/>
  <c r="AK356" i="2" s="1"/>
  <c r="AG356" i="2"/>
  <c r="AE356" i="2"/>
  <c r="AF356" i="2" s="1"/>
  <c r="U356" i="2"/>
  <c r="S356" i="2"/>
  <c r="T356" i="2" s="1"/>
  <c r="R356" i="2"/>
  <c r="Y356" i="2" s="1"/>
  <c r="AB356" i="2" s="1"/>
  <c r="E356" i="2"/>
  <c r="GR10" i="2"/>
  <c r="GS10" i="2" s="1"/>
  <c r="GP10" i="2"/>
  <c r="GQ10" i="2" s="1"/>
  <c r="GN10" i="2"/>
  <c r="GO10" i="2" s="1"/>
  <c r="GL10" i="2"/>
  <c r="GM10" i="2" s="1"/>
  <c r="GH10" i="2"/>
  <c r="GG10" i="2"/>
  <c r="GI10" i="2" s="1"/>
  <c r="GD10" i="2"/>
  <c r="GC10" i="2"/>
  <c r="GB10" i="2"/>
  <c r="FY10" i="2"/>
  <c r="FZ10" i="2" s="1"/>
  <c r="FS10" i="2"/>
  <c r="FT10" i="2" s="1"/>
  <c r="EW10" i="2"/>
  <c r="ET10" i="2"/>
  <c r="EU10" i="2" s="1"/>
  <c r="EQ10" i="2"/>
  <c r="ER10" i="2" s="1"/>
  <c r="EJ10" i="2"/>
  <c r="EE10" i="2"/>
  <c r="EF10" i="2" s="1"/>
  <c r="DX10" i="2"/>
  <c r="DP10" i="2"/>
  <c r="DF10" i="2"/>
  <c r="DG10" i="2" s="1"/>
  <c r="DE10" i="2"/>
  <c r="CY10" i="2"/>
  <c r="CZ10" i="2" s="1"/>
  <c r="CF10" i="2"/>
  <c r="CH10" i="2"/>
  <c r="CA10" i="2"/>
  <c r="DA10" i="2"/>
  <c r="DB10" i="2" s="1"/>
  <c r="BO10" i="2"/>
  <c r="BJ10" i="2"/>
  <c r="BM10" i="2" s="1"/>
  <c r="BN10" i="2" s="1"/>
  <c r="BC10" i="2"/>
  <c r="AZ10" i="2"/>
  <c r="AY10" i="2"/>
  <c r="AO10" i="2"/>
  <c r="AN10" i="2"/>
  <c r="AM10" i="2"/>
  <c r="AL10" i="2"/>
  <c r="AK10" i="2"/>
  <c r="AG10" i="2"/>
  <c r="AE10" i="2"/>
  <c r="AF10" i="2" s="1"/>
  <c r="U10" i="2"/>
  <c r="S10" i="2"/>
  <c r="T10" i="2" s="1"/>
  <c r="R10" i="2"/>
  <c r="X10" i="2" s="1"/>
  <c r="AA10" i="2" s="1"/>
  <c r="E10" i="2"/>
  <c r="GR9" i="2"/>
  <c r="GS9" i="2" s="1"/>
  <c r="GP9" i="2"/>
  <c r="GQ9" i="2" s="1"/>
  <c r="GN9" i="2"/>
  <c r="GO9" i="2" s="1"/>
  <c r="GL9" i="2"/>
  <c r="GM9" i="2" s="1"/>
  <c r="GH9" i="2"/>
  <c r="GG9" i="2"/>
  <c r="GI9" i="2" s="1"/>
  <c r="GD9" i="2"/>
  <c r="GC9" i="2"/>
  <c r="GB9" i="2"/>
  <c r="FY9" i="2"/>
  <c r="FZ9" i="2" s="1"/>
  <c r="FS9" i="2"/>
  <c r="FT9" i="2" s="1"/>
  <c r="EW9" i="2"/>
  <c r="ET9" i="2"/>
  <c r="EU9" i="2" s="1"/>
  <c r="EQ9" i="2"/>
  <c r="ER9" i="2" s="1"/>
  <c r="EJ9" i="2"/>
  <c r="EE9" i="2"/>
  <c r="EF9" i="2" s="1"/>
  <c r="DX9" i="2"/>
  <c r="DP9" i="2"/>
  <c r="DF9" i="2"/>
  <c r="DG9" i="2" s="1"/>
  <c r="DE9" i="2"/>
  <c r="CY9" i="2"/>
  <c r="CZ9" i="2" s="1"/>
  <c r="CF9" i="2"/>
  <c r="CH9" i="2"/>
  <c r="CA9" i="2"/>
  <c r="DA9" i="2"/>
  <c r="DB9" i="2" s="1"/>
  <c r="BO9" i="2"/>
  <c r="BJ9" i="2"/>
  <c r="BM9" i="2" s="1"/>
  <c r="BN9" i="2" s="1"/>
  <c r="BC9" i="2"/>
  <c r="AZ9" i="2"/>
  <c r="AY9" i="2"/>
  <c r="AO9" i="2"/>
  <c r="AN9" i="2"/>
  <c r="AM9" i="2"/>
  <c r="AL9" i="2"/>
  <c r="AK9" i="2"/>
  <c r="AG9" i="2"/>
  <c r="AE9" i="2"/>
  <c r="AF9" i="2" s="1"/>
  <c r="U9" i="2"/>
  <c r="S9" i="2"/>
  <c r="T9" i="2" s="1"/>
  <c r="R9" i="2"/>
  <c r="Y9" i="2" s="1"/>
  <c r="AB9" i="2" s="1"/>
  <c r="E9" i="2"/>
  <c r="EX5" i="2"/>
  <c r="EZ2" i="2"/>
  <c r="EZ5" i="2" s="1"/>
  <c r="GR167" i="2"/>
  <c r="GN257" i="2"/>
  <c r="GN265" i="2"/>
  <c r="GN311" i="2"/>
  <c r="GR257" i="2"/>
  <c r="GR261" i="2"/>
  <c r="GR392" i="2"/>
  <c r="GR266" i="2"/>
  <c r="GR30" i="2"/>
  <c r="GR258" i="2"/>
  <c r="GN244" i="2"/>
  <c r="GR64" i="2"/>
  <c r="GR252" i="2"/>
  <c r="GR265" i="2"/>
  <c r="FF244" i="2" a="1"/>
  <c r="FF311" i="2" a="1"/>
  <c r="GL164" i="2"/>
  <c r="GR311" i="2"/>
  <c r="GR244" i="2"/>
  <c r="GP252" i="2"/>
  <c r="GP263" i="2"/>
  <c r="GN235" i="2"/>
  <c r="GN64" i="2"/>
  <c r="GP265" i="2"/>
  <c r="GN228" i="2"/>
  <c r="GP266" i="2"/>
  <c r="GR161" i="2"/>
  <c r="GN229" i="2"/>
  <c r="GR390" i="2"/>
  <c r="GN201" i="2"/>
  <c r="GP258" i="2"/>
  <c r="GN167" i="2"/>
  <c r="GN292" i="2"/>
  <c r="GM164" i="2" l="1"/>
  <c r="FF390" i="2" a="1"/>
  <c r="FF111" i="2" a="1"/>
  <c r="FF111" i="2" s="1"/>
  <c r="FJ111" i="2"/>
  <c r="FF87" i="2" a="1"/>
  <c r="FF87" i="2" s="1"/>
  <c r="FJ87" i="2"/>
  <c r="FF268" i="2" a="1"/>
  <c r="FF268" i="2" s="1"/>
  <c r="FJ268" i="2"/>
  <c r="FF270" i="2" a="1"/>
  <c r="FF270" i="2" s="1"/>
  <c r="FJ270" i="2"/>
  <c r="FF272" i="2" a="1"/>
  <c r="FF272" i="2" s="1"/>
  <c r="FJ272" i="2"/>
  <c r="FF283" i="2" a="1"/>
  <c r="FF283" i="2" s="1"/>
  <c r="FJ283" i="2"/>
  <c r="FF357" i="2" a="1"/>
  <c r="FF357" i="2" s="1"/>
  <c r="FJ357" i="2"/>
  <c r="FF359" i="2" a="1"/>
  <c r="FF359" i="2" s="1"/>
  <c r="FJ359" i="2"/>
  <c r="FF229" i="2" a="1"/>
  <c r="FF229" i="2" s="1"/>
  <c r="FJ229" i="2"/>
  <c r="FF62" i="2" a="1"/>
  <c r="FF62" i="2" s="1"/>
  <c r="FJ62" i="2"/>
  <c r="FF99" i="2" a="1"/>
  <c r="FF99" i="2" s="1"/>
  <c r="FJ99" i="2"/>
  <c r="FF101" i="2" a="1"/>
  <c r="FF101" i="2" s="1"/>
  <c r="FJ101" i="2"/>
  <c r="FF117" i="2" a="1"/>
  <c r="FF117" i="2" s="1"/>
  <c r="FJ117" i="2"/>
  <c r="FF134" i="2" a="1"/>
  <c r="FF134" i="2" s="1"/>
  <c r="FJ134" i="2"/>
  <c r="FF147" i="2" a="1"/>
  <c r="FF147" i="2" s="1"/>
  <c r="FJ147" i="2"/>
  <c r="FF169" i="2" a="1"/>
  <c r="FF169" i="2" s="1"/>
  <c r="FJ169" i="2"/>
  <c r="FF231" i="2" a="1"/>
  <c r="FF231" i="2" s="1"/>
  <c r="FJ231" i="2"/>
  <c r="FF233" i="2" a="1"/>
  <c r="FF233" i="2" s="1"/>
  <c r="FJ233" i="2"/>
  <c r="FF241" i="2" a="1"/>
  <c r="FF241" i="2" s="1"/>
  <c r="FJ241" i="2"/>
  <c r="FF308" i="2" a="1"/>
  <c r="FF308" i="2" s="1"/>
  <c r="FJ308" i="2"/>
  <c r="FF256" i="2" a="1"/>
  <c r="FF256" i="2" s="1"/>
  <c r="FJ256" i="2"/>
  <c r="FF276" i="2" a="1"/>
  <c r="FF276" i="2" s="1"/>
  <c r="FJ276" i="2"/>
  <c r="FF297" i="2" a="1"/>
  <c r="FF297" i="2" s="1"/>
  <c r="FJ297" i="2"/>
  <c r="FF299" i="2" a="1"/>
  <c r="FF299" i="2" s="1"/>
  <c r="FJ299" i="2"/>
  <c r="FF320" i="2" a="1"/>
  <c r="FF320" i="2" s="1"/>
  <c r="FJ320" i="2"/>
  <c r="FF322" i="2" a="1"/>
  <c r="FF322" i="2" s="1"/>
  <c r="FJ322" i="2"/>
  <c r="FF58" i="2" a="1"/>
  <c r="FF58" i="2" s="1"/>
  <c r="FJ58" i="2"/>
  <c r="FF149" i="2" a="1"/>
  <c r="FF149" i="2" s="1"/>
  <c r="FJ149" i="2"/>
  <c r="FF9" i="2" a="1"/>
  <c r="FF9" i="2" s="1"/>
  <c r="FJ9" i="2"/>
  <c r="FF18" i="2" a="1"/>
  <c r="FF18" i="2" s="1"/>
  <c r="FJ18" i="2"/>
  <c r="FF295" i="2" a="1"/>
  <c r="FF295" i="2" s="1"/>
  <c r="FJ295" i="2"/>
  <c r="FF89" i="2" a="1"/>
  <c r="FF89" i="2" s="1"/>
  <c r="FJ89" i="2"/>
  <c r="FF91" i="2" a="1"/>
  <c r="FF91" i="2" s="1"/>
  <c r="FJ91" i="2"/>
  <c r="FF93" i="2" a="1"/>
  <c r="FF93" i="2" s="1"/>
  <c r="FJ93" i="2"/>
  <c r="FF95" i="2" a="1"/>
  <c r="FF95" i="2" s="1"/>
  <c r="FJ95" i="2"/>
  <c r="FF97" i="2" a="1"/>
  <c r="FF97" i="2" s="1"/>
  <c r="FJ97" i="2"/>
  <c r="FF103" i="2" a="1"/>
  <c r="FF103" i="2" s="1"/>
  <c r="FJ103" i="2"/>
  <c r="FF115" i="2" a="1"/>
  <c r="FF115" i="2" s="1"/>
  <c r="FJ115" i="2"/>
  <c r="FF151" i="2" a="1"/>
  <c r="FF151" i="2" s="1"/>
  <c r="FJ151" i="2"/>
  <c r="FF64" i="2" a="1"/>
  <c r="FF64" i="2" s="1"/>
  <c r="FJ64" i="2"/>
  <c r="FF171" i="2" a="1"/>
  <c r="FF171" i="2" s="1"/>
  <c r="FJ171" i="2"/>
  <c r="FF177" i="2" a="1"/>
  <c r="FF177" i="2" s="1"/>
  <c r="FJ177" i="2"/>
  <c r="FF190" i="2" a="1"/>
  <c r="FF190" i="2" s="1"/>
  <c r="FJ190" i="2"/>
  <c r="FF204" i="2" a="1"/>
  <c r="FF204" i="2" s="1"/>
  <c r="FJ204" i="2"/>
  <c r="FF206" i="2" a="1"/>
  <c r="FF206" i="2" s="1"/>
  <c r="FJ206" i="2"/>
  <c r="FF208" i="2" a="1"/>
  <c r="FF208" i="2" s="1"/>
  <c r="FJ208" i="2"/>
  <c r="FF213" i="2" a="1"/>
  <c r="FF213" i="2" s="1"/>
  <c r="FJ213" i="2"/>
  <c r="FF239" i="2" a="1"/>
  <c r="FF239" i="2" s="1"/>
  <c r="FJ239" i="2"/>
  <c r="FF243" i="2" a="1"/>
  <c r="FF243" i="2" s="1"/>
  <c r="FJ243" i="2"/>
  <c r="FF259" i="2" a="1"/>
  <c r="FF259" i="2" s="1"/>
  <c r="FJ259" i="2"/>
  <c r="FF285" i="2" a="1"/>
  <c r="FF285" i="2" s="1"/>
  <c r="FJ285" i="2"/>
  <c r="FF293" i="2" a="1"/>
  <c r="FF293" i="2" s="1"/>
  <c r="FJ293" i="2"/>
  <c r="FF309" i="2" a="1"/>
  <c r="FF309" i="2" s="1"/>
  <c r="FJ309" i="2"/>
  <c r="FF361" i="2" a="1"/>
  <c r="FF361" i="2" s="1"/>
  <c r="FJ361" i="2"/>
  <c r="FF365" i="2" a="1"/>
  <c r="FF365" i="2" s="1"/>
  <c r="FJ365" i="2"/>
  <c r="FF391" i="2" a="1"/>
  <c r="FF391" i="2" s="1"/>
  <c r="FJ391" i="2"/>
  <c r="FF143" i="2" a="1"/>
  <c r="FF143" i="2" s="1"/>
  <c r="FJ143" i="2"/>
  <c r="FF188" i="2" a="1"/>
  <c r="FF188" i="2" s="1"/>
  <c r="FJ188" i="2"/>
  <c r="FF45" i="2" a="1"/>
  <c r="FF45" i="2" s="1"/>
  <c r="FJ45" i="2"/>
  <c r="FF26" i="2" a="1"/>
  <c r="FF26" i="2" s="1"/>
  <c r="FJ26" i="2"/>
  <c r="FF28" i="2" a="1"/>
  <c r="FF28" i="2" s="1"/>
  <c r="FJ28" i="2"/>
  <c r="FF14" i="2" a="1"/>
  <c r="FF14" i="2" s="1"/>
  <c r="FJ14" i="2"/>
  <c r="FF32" i="2" a="1"/>
  <c r="FF32" i="2" s="1"/>
  <c r="FJ32" i="2"/>
  <c r="FF34" i="2" a="1"/>
  <c r="FF34" i="2" s="1"/>
  <c r="FJ34" i="2"/>
  <c r="FF49" i="2" a="1"/>
  <c r="FF49" i="2" s="1"/>
  <c r="FJ49" i="2"/>
  <c r="FF69" i="2" a="1"/>
  <c r="FF69" i="2" s="1"/>
  <c r="FJ69" i="2"/>
  <c r="FF76" i="2" a="1"/>
  <c r="FF76" i="2" s="1"/>
  <c r="FJ76" i="2"/>
  <c r="FF113" i="2" a="1"/>
  <c r="FF113" i="2" s="1"/>
  <c r="FJ113" i="2"/>
  <c r="FF123" i="2" a="1"/>
  <c r="FF123" i="2" s="1"/>
  <c r="FJ123" i="2"/>
  <c r="FF136" i="2" a="1"/>
  <c r="FF136" i="2" s="1"/>
  <c r="FJ136" i="2"/>
  <c r="FF138" i="2" a="1"/>
  <c r="FF138" i="2" s="1"/>
  <c r="FJ138" i="2"/>
  <c r="FF159" i="2" a="1"/>
  <c r="FF159" i="2" s="1"/>
  <c r="FJ159" i="2"/>
  <c r="FF173" i="2" a="1"/>
  <c r="FF173" i="2" s="1"/>
  <c r="FJ173" i="2"/>
  <c r="FF201" i="2" a="1"/>
  <c r="FF201" i="2" s="1"/>
  <c r="FJ201" i="2"/>
  <c r="FF179" i="2" a="1"/>
  <c r="FF179" i="2" s="1"/>
  <c r="FJ179" i="2"/>
  <c r="FF181" i="2" a="1"/>
  <c r="FF181" i="2" s="1"/>
  <c r="FJ181" i="2"/>
  <c r="FF202" i="2" a="1"/>
  <c r="FF202" i="2" s="1"/>
  <c r="FJ202" i="2"/>
  <c r="FF210" i="2" a="1"/>
  <c r="FF210" i="2" s="1"/>
  <c r="FJ210" i="2"/>
  <c r="FF226" i="2" a="1"/>
  <c r="FF226" i="2" s="1"/>
  <c r="FJ226" i="2"/>
  <c r="FF252" i="2" a="1"/>
  <c r="FF252" i="2" s="1"/>
  <c r="FJ252" i="2"/>
  <c r="FF392" i="2" a="1"/>
  <c r="FF392" i="2" s="1"/>
  <c r="FJ392" i="2"/>
  <c r="FF278" i="2" a="1"/>
  <c r="FF278" i="2" s="1"/>
  <c r="FJ278" i="2"/>
  <c r="FF301" i="2" a="1"/>
  <c r="FF301" i="2" s="1"/>
  <c r="FJ301" i="2"/>
  <c r="FF303" i="2" a="1"/>
  <c r="FF303" i="2" s="1"/>
  <c r="FJ303" i="2"/>
  <c r="FF305" i="2" a="1"/>
  <c r="FF305" i="2" s="1"/>
  <c r="FJ305" i="2"/>
  <c r="FF307" i="2" a="1"/>
  <c r="FF307" i="2" s="1"/>
  <c r="FJ307" i="2"/>
  <c r="FF364" i="2" a="1"/>
  <c r="FF364" i="2" s="1"/>
  <c r="FJ364" i="2"/>
  <c r="FF318" i="2" a="1"/>
  <c r="FF318" i="2" s="1"/>
  <c r="FJ318" i="2"/>
  <c r="FF324" i="2" a="1"/>
  <c r="FF324" i="2" s="1"/>
  <c r="FJ324" i="2"/>
  <c r="FF326" i="2" a="1"/>
  <c r="FF326" i="2" s="1"/>
  <c r="FJ326" i="2"/>
  <c r="FF348" i="2" a="1"/>
  <c r="FF348" i="2" s="1"/>
  <c r="FJ348" i="2"/>
  <c r="FF363" i="2" a="1"/>
  <c r="FF363" i="2" s="1"/>
  <c r="FJ363" i="2"/>
  <c r="FF251" i="2" a="1"/>
  <c r="FF251" i="2" s="1"/>
  <c r="FJ251" i="2"/>
  <c r="FF16" i="2" a="1"/>
  <c r="FF16" i="2" s="1"/>
  <c r="FJ16" i="2"/>
  <c r="FF166" i="2" a="1"/>
  <c r="FF166" i="2" s="1"/>
  <c r="FJ166" i="2"/>
  <c r="FF74" i="2" a="1"/>
  <c r="FF74" i="2" s="1"/>
  <c r="FJ74" i="2"/>
  <c r="FF356" i="2" a="1"/>
  <c r="FF356" i="2" s="1"/>
  <c r="FJ356" i="2"/>
  <c r="FF20" i="2" a="1"/>
  <c r="FF20" i="2" s="1"/>
  <c r="FJ20" i="2"/>
  <c r="FF22" i="2" a="1"/>
  <c r="FF22" i="2" s="1"/>
  <c r="FJ22" i="2"/>
  <c r="FF24" i="2" a="1"/>
  <c r="FF24" i="2" s="1"/>
  <c r="FJ24" i="2"/>
  <c r="FF105" i="2" a="1"/>
  <c r="FF105" i="2" s="1"/>
  <c r="FJ105" i="2"/>
  <c r="FF85" i="2" a="1"/>
  <c r="FF85" i="2" s="1"/>
  <c r="FJ85" i="2"/>
  <c r="FF140" i="2" a="1"/>
  <c r="FF140" i="2" s="1"/>
  <c r="FJ140" i="2"/>
  <c r="FF153" i="2" a="1"/>
  <c r="FF153" i="2" s="1"/>
  <c r="FJ153" i="2"/>
  <c r="FF155" i="2" a="1"/>
  <c r="FF155" i="2" s="1"/>
  <c r="FJ155" i="2"/>
  <c r="FF157" i="2" a="1"/>
  <c r="FF157" i="2" s="1"/>
  <c r="FJ157" i="2"/>
  <c r="FF183" i="2" a="1"/>
  <c r="FF183" i="2" s="1"/>
  <c r="FJ183" i="2"/>
  <c r="FF192" i="2" a="1"/>
  <c r="FF192" i="2" s="1"/>
  <c r="FJ192" i="2"/>
  <c r="FF212" i="2" a="1"/>
  <c r="FF212" i="2" s="1"/>
  <c r="FJ212" i="2"/>
  <c r="FF215" i="2" a="1"/>
  <c r="FF215" i="2" s="1"/>
  <c r="FJ215" i="2"/>
  <c r="FF220" i="2" a="1"/>
  <c r="FF220" i="2" s="1"/>
  <c r="FJ220" i="2"/>
  <c r="FF222" i="2" a="1"/>
  <c r="FF222" i="2" s="1"/>
  <c r="FJ222" i="2"/>
  <c r="FF224" i="2" a="1"/>
  <c r="FF224" i="2" s="1"/>
  <c r="FJ224" i="2"/>
  <c r="FF246" i="2" a="1"/>
  <c r="FF246" i="2" s="1"/>
  <c r="FJ246" i="2"/>
  <c r="FF235" i="2" a="1"/>
  <c r="FF235" i="2" s="1"/>
  <c r="FJ235" i="2"/>
  <c r="FF287" i="2" a="1"/>
  <c r="FF287" i="2" s="1"/>
  <c r="FJ287" i="2"/>
  <c r="FF289" i="2" a="1"/>
  <c r="FF289" i="2" s="1"/>
  <c r="FJ289" i="2"/>
  <c r="FF328" i="2" a="1"/>
  <c r="FF328" i="2" s="1"/>
  <c r="FJ328" i="2"/>
  <c r="FF367" i="2" a="1"/>
  <c r="FF367" i="2" s="1"/>
  <c r="FJ367" i="2"/>
  <c r="FF383" i="2" a="1"/>
  <c r="FF383" i="2" s="1"/>
  <c r="FJ383" i="2"/>
  <c r="FF388" i="2" a="1"/>
  <c r="FF388" i="2" s="1"/>
  <c r="FJ388" i="2"/>
  <c r="FF47" i="2" a="1"/>
  <c r="FF47" i="2" s="1"/>
  <c r="FJ47" i="2"/>
  <c r="FF36" i="2" a="1"/>
  <c r="FF36" i="2" s="1"/>
  <c r="FJ36" i="2"/>
  <c r="FF51" i="2" a="1"/>
  <c r="FF51" i="2" s="1"/>
  <c r="FJ51" i="2"/>
  <c r="FF78" i="2" a="1"/>
  <c r="FF78" i="2" s="1"/>
  <c r="FJ78" i="2"/>
  <c r="FF107" i="2" a="1"/>
  <c r="FF107" i="2" s="1"/>
  <c r="FJ107" i="2"/>
  <c r="FF125" i="2" a="1"/>
  <c r="FF125" i="2" s="1"/>
  <c r="FJ125" i="2"/>
  <c r="FF194" i="2" a="1"/>
  <c r="FF194" i="2" s="1"/>
  <c r="FJ194" i="2"/>
  <c r="FF217" i="2" a="1"/>
  <c r="FF217" i="2" s="1"/>
  <c r="FJ217" i="2"/>
  <c r="FF292" i="2" a="1"/>
  <c r="FF292" i="2" s="1"/>
  <c r="FJ292" i="2"/>
  <c r="FF248" i="2" a="1"/>
  <c r="FF248" i="2" s="1"/>
  <c r="FJ248" i="2"/>
  <c r="FF265" i="2" a="1"/>
  <c r="FF265" i="2" s="1"/>
  <c r="FJ265" i="2"/>
  <c r="FF262" i="2" a="1"/>
  <c r="FF262" i="2" s="1"/>
  <c r="FJ262" i="2"/>
  <c r="FF280" i="2" a="1"/>
  <c r="FF280" i="2" s="1"/>
  <c r="FJ280" i="2"/>
  <c r="FF316" i="2" a="1"/>
  <c r="FF316" i="2" s="1"/>
  <c r="FJ316" i="2"/>
  <c r="FF330" i="2" a="1"/>
  <c r="FF330" i="2" s="1"/>
  <c r="FJ330" i="2"/>
  <c r="FF346" i="2" a="1"/>
  <c r="FF346" i="2" s="1"/>
  <c r="FJ346" i="2"/>
  <c r="FF350" i="2" a="1"/>
  <c r="FF350" i="2" s="1"/>
  <c r="FJ350" i="2"/>
  <c r="FF369" i="2" a="1"/>
  <c r="FF369" i="2" s="1"/>
  <c r="FJ369" i="2"/>
  <c r="FF371" i="2" a="1"/>
  <c r="FF371" i="2" s="1"/>
  <c r="FJ371" i="2"/>
  <c r="FF54" i="2" a="1"/>
  <c r="FF54" i="2" s="1"/>
  <c r="FJ54" i="2"/>
  <c r="FF83" i="2" a="1"/>
  <c r="FF83" i="2" s="1"/>
  <c r="FJ83" i="2"/>
  <c r="FF110" i="2" a="1"/>
  <c r="FF110" i="2" s="1"/>
  <c r="FJ110" i="2"/>
  <c r="FF132" i="2" a="1"/>
  <c r="FF132" i="2" s="1"/>
  <c r="FJ132" i="2"/>
  <c r="FF199" i="2" a="1"/>
  <c r="FF199" i="2" s="1"/>
  <c r="FJ199" i="2"/>
  <c r="FF13" i="2" a="1"/>
  <c r="FF13" i="2" s="1"/>
  <c r="FJ13" i="2"/>
  <c r="FF71" i="2" a="1"/>
  <c r="FF71" i="2" s="1"/>
  <c r="FJ71" i="2"/>
  <c r="FF80" i="2" a="1"/>
  <c r="FF80" i="2" s="1"/>
  <c r="FJ80" i="2"/>
  <c r="FF109" i="2" a="1"/>
  <c r="FF109" i="2" s="1"/>
  <c r="FJ109" i="2"/>
  <c r="FF127" i="2" a="1"/>
  <c r="FF127" i="2" s="1"/>
  <c r="FJ127" i="2"/>
  <c r="FF129" i="2" a="1"/>
  <c r="FF129" i="2" s="1"/>
  <c r="FJ129" i="2"/>
  <c r="FF131" i="2" a="1"/>
  <c r="FF131" i="2" s="1"/>
  <c r="FJ131" i="2"/>
  <c r="FF142" i="2" a="1"/>
  <c r="FF142" i="2" s="1"/>
  <c r="FJ142" i="2"/>
  <c r="FF185" i="2" a="1"/>
  <c r="FF185" i="2" s="1"/>
  <c r="FJ185" i="2"/>
  <c r="FF196" i="2" a="1"/>
  <c r="FF196" i="2" s="1"/>
  <c r="FJ196" i="2"/>
  <c r="FF200" i="2" a="1"/>
  <c r="FF200" i="2" s="1"/>
  <c r="FJ200" i="2"/>
  <c r="FF250" i="2" a="1"/>
  <c r="FF250" i="2" s="1"/>
  <c r="FJ250" i="2"/>
  <c r="FF30" i="2" a="1"/>
  <c r="FF30" i="2" s="1"/>
  <c r="FJ30" i="2"/>
  <c r="FF102" i="2" a="1"/>
  <c r="FF102" i="2" s="1"/>
  <c r="FJ102" i="2"/>
  <c r="FF253" i="2" a="1"/>
  <c r="FF253" i="2" s="1"/>
  <c r="FJ253" i="2"/>
  <c r="FF291" i="2" a="1"/>
  <c r="FF291" i="2" s="1"/>
  <c r="FJ291" i="2"/>
  <c r="FF332" i="2" a="1"/>
  <c r="FF332" i="2" s="1"/>
  <c r="FJ332" i="2"/>
  <c r="FF334" i="2" a="1"/>
  <c r="FF334" i="2" s="1"/>
  <c r="FJ334" i="2"/>
  <c r="FF336" i="2" a="1"/>
  <c r="FF336" i="2" s="1"/>
  <c r="FJ336" i="2"/>
  <c r="FF338" i="2" a="1"/>
  <c r="FF338" i="2" s="1"/>
  <c r="FJ338" i="2"/>
  <c r="FF340" i="2" a="1"/>
  <c r="FF340" i="2" s="1"/>
  <c r="FJ340" i="2"/>
  <c r="FF342" i="2" a="1"/>
  <c r="FF342" i="2" s="1"/>
  <c r="FJ342" i="2"/>
  <c r="FF344" i="2" a="1"/>
  <c r="FF344" i="2" s="1"/>
  <c r="FJ344" i="2"/>
  <c r="FF352" i="2" a="1"/>
  <c r="FF352" i="2" s="1"/>
  <c r="FJ352" i="2"/>
  <c r="FF354" i="2" a="1"/>
  <c r="FF354" i="2" s="1"/>
  <c r="FJ354" i="2"/>
  <c r="FF375" i="2" a="1"/>
  <c r="FF375" i="2" s="1"/>
  <c r="FJ375" i="2"/>
  <c r="FF377" i="2" a="1"/>
  <c r="FF377" i="2" s="1"/>
  <c r="FJ377" i="2"/>
  <c r="FF379" i="2" a="1"/>
  <c r="FF379" i="2" s="1"/>
  <c r="FJ379" i="2"/>
  <c r="FF381" i="2" a="1"/>
  <c r="FF381" i="2" s="1"/>
  <c r="FJ381" i="2"/>
  <c r="FF385" i="2" a="1"/>
  <c r="FF385" i="2" s="1"/>
  <c r="FJ385" i="2"/>
  <c r="FF72" i="2" a="1"/>
  <c r="FF72" i="2" s="1"/>
  <c r="FJ72" i="2"/>
  <c r="FF41" i="2" a="1"/>
  <c r="FF41" i="2" s="1"/>
  <c r="FJ41" i="2"/>
  <c r="FF15" i="2" a="1"/>
  <c r="FF15" i="2" s="1"/>
  <c r="FJ15" i="2"/>
  <c r="FF38" i="2" a="1"/>
  <c r="FF38" i="2" s="1"/>
  <c r="FJ38" i="2"/>
  <c r="FF53" i="2" a="1"/>
  <c r="FF53" i="2" s="1"/>
  <c r="FJ53" i="2"/>
  <c r="FF55" i="2" a="1"/>
  <c r="FF55" i="2" s="1"/>
  <c r="FJ55" i="2"/>
  <c r="FF57" i="2" a="1"/>
  <c r="FF57" i="2" s="1"/>
  <c r="FJ57" i="2"/>
  <c r="FF59" i="2" a="1"/>
  <c r="FF59" i="2" s="1"/>
  <c r="FJ59" i="2"/>
  <c r="FF61" i="2" a="1"/>
  <c r="FF61" i="2" s="1"/>
  <c r="FJ61" i="2"/>
  <c r="FF63" i="2" a="1"/>
  <c r="FF63" i="2" s="1"/>
  <c r="FJ63" i="2"/>
  <c r="FF82" i="2" a="1"/>
  <c r="FF82" i="2" s="1"/>
  <c r="FJ82" i="2"/>
  <c r="FF144" i="2" a="1"/>
  <c r="FF144" i="2" s="1"/>
  <c r="FJ144" i="2"/>
  <c r="FF164" i="2" a="1"/>
  <c r="FF164" i="2" s="1"/>
  <c r="FJ164" i="2"/>
  <c r="FF187" i="2" a="1"/>
  <c r="FF187" i="2" s="1"/>
  <c r="FJ187" i="2"/>
  <c r="FF236" i="2" a="1"/>
  <c r="FF236" i="2" s="1"/>
  <c r="FJ236" i="2"/>
  <c r="FF260" i="2" a="1"/>
  <c r="FF260" i="2" s="1"/>
  <c r="FJ260" i="2"/>
  <c r="FF273" i="2" a="1"/>
  <c r="FF273" i="2" s="1"/>
  <c r="FJ273" i="2"/>
  <c r="FF282" i="2" a="1"/>
  <c r="FF282" i="2" s="1"/>
  <c r="FJ282" i="2"/>
  <c r="FF314" i="2" a="1"/>
  <c r="FF314" i="2" s="1"/>
  <c r="FJ314" i="2"/>
  <c r="FF373" i="2" a="1"/>
  <c r="FF373" i="2" s="1"/>
  <c r="FJ373" i="2"/>
  <c r="FF394" i="2" a="1"/>
  <c r="FF394" i="2" s="1"/>
  <c r="FJ394" i="2"/>
  <c r="FF56" i="2" a="1"/>
  <c r="FF56" i="2" s="1"/>
  <c r="FJ56" i="2"/>
  <c r="FF40" i="2" a="1"/>
  <c r="FF40" i="2" s="1"/>
  <c r="FJ40" i="2"/>
  <c r="FF42" i="2" a="1"/>
  <c r="FF42" i="2" s="1"/>
  <c r="FJ42" i="2"/>
  <c r="FF44" i="2" a="1"/>
  <c r="FF44" i="2" s="1"/>
  <c r="FJ44" i="2"/>
  <c r="FF73" i="2" a="1"/>
  <c r="FF73" i="2" s="1"/>
  <c r="FJ73" i="2"/>
  <c r="FF84" i="2" a="1"/>
  <c r="FF84" i="2" s="1"/>
  <c r="FJ84" i="2"/>
  <c r="FF86" i="2" a="1"/>
  <c r="FF86" i="2" s="1"/>
  <c r="FJ86" i="2"/>
  <c r="FF118" i="2" a="1"/>
  <c r="FF118" i="2" s="1"/>
  <c r="FJ118" i="2"/>
  <c r="FF120" i="2" a="1"/>
  <c r="FF120" i="2" s="1"/>
  <c r="FJ120" i="2"/>
  <c r="FF122" i="2" a="1"/>
  <c r="FF122" i="2" s="1"/>
  <c r="FJ122" i="2"/>
  <c r="FF133" i="2" a="1"/>
  <c r="FF133" i="2" s="1"/>
  <c r="FJ133" i="2"/>
  <c r="FF146" i="2" a="1"/>
  <c r="FF146" i="2" s="1"/>
  <c r="FJ146" i="2"/>
  <c r="FF162" i="2" a="1"/>
  <c r="FF162" i="2" s="1"/>
  <c r="FJ162" i="2"/>
  <c r="FF11" i="2" a="1"/>
  <c r="FF11" i="2" s="1"/>
  <c r="FJ11" i="2"/>
  <c r="FF168" i="2" a="1"/>
  <c r="FF168" i="2" s="1"/>
  <c r="FJ168" i="2"/>
  <c r="FF98" i="2" a="1"/>
  <c r="FF98" i="2" s="1"/>
  <c r="FJ98" i="2"/>
  <c r="FF255" i="2" a="1"/>
  <c r="FF255" i="2" s="1"/>
  <c r="FJ255" i="2"/>
  <c r="FF269" i="2" a="1"/>
  <c r="FF269" i="2" s="1"/>
  <c r="FJ269" i="2"/>
  <c r="FF271" i="2" a="1"/>
  <c r="FF271" i="2" s="1"/>
  <c r="FJ271" i="2"/>
  <c r="FF275" i="2" a="1"/>
  <c r="FF275" i="2" s="1"/>
  <c r="FJ275" i="2"/>
  <c r="FF321" i="2" a="1"/>
  <c r="FF321" i="2" s="1"/>
  <c r="FJ321" i="2"/>
  <c r="FF358" i="2" a="1"/>
  <c r="FF358" i="2" s="1"/>
  <c r="FJ358" i="2"/>
  <c r="FF17" i="2" a="1"/>
  <c r="FF17" i="2" s="1"/>
  <c r="FJ17" i="2"/>
  <c r="FF46" i="2" a="1"/>
  <c r="FF46" i="2" s="1"/>
  <c r="FJ46" i="2"/>
  <c r="FF88" i="2" a="1"/>
  <c r="FF88" i="2" s="1"/>
  <c r="FJ88" i="2"/>
  <c r="FF100" i="2" a="1"/>
  <c r="FF100" i="2" s="1"/>
  <c r="FJ100" i="2"/>
  <c r="FF43" i="2" a="1"/>
  <c r="FF43" i="2" s="1"/>
  <c r="FJ43" i="2"/>
  <c r="FF148" i="2" a="1"/>
  <c r="FF148" i="2" s="1"/>
  <c r="FJ148" i="2"/>
  <c r="FF150" i="2" a="1"/>
  <c r="FF150" i="2" s="1"/>
  <c r="FJ150" i="2"/>
  <c r="FF189" i="2" a="1"/>
  <c r="FF189" i="2" s="1"/>
  <c r="FJ189" i="2"/>
  <c r="FF230" i="2" a="1"/>
  <c r="FF230" i="2" s="1"/>
  <c r="FJ230" i="2"/>
  <c r="FF232" i="2" a="1"/>
  <c r="FF232" i="2" s="1"/>
  <c r="FJ232" i="2"/>
  <c r="FF234" i="2" a="1"/>
  <c r="FF234" i="2" s="1"/>
  <c r="FJ234" i="2"/>
  <c r="FF238" i="2" a="1"/>
  <c r="FF238" i="2" s="1"/>
  <c r="FJ238" i="2"/>
  <c r="FF240" i="2" a="1"/>
  <c r="FF240" i="2" s="1"/>
  <c r="FJ240" i="2"/>
  <c r="FF257" i="2" a="1"/>
  <c r="FF257" i="2" s="1"/>
  <c r="FJ257" i="2"/>
  <c r="FF284" i="2" a="1"/>
  <c r="FF284" i="2" s="1"/>
  <c r="FJ284" i="2"/>
  <c r="FF296" i="2" a="1"/>
  <c r="FF296" i="2" s="1"/>
  <c r="FJ296" i="2"/>
  <c r="FF298" i="2" a="1"/>
  <c r="FF298" i="2" s="1"/>
  <c r="FJ298" i="2"/>
  <c r="FF312" i="2" a="1"/>
  <c r="FF312" i="2" s="1"/>
  <c r="FJ312" i="2"/>
  <c r="FF360" i="2" a="1"/>
  <c r="FF360" i="2" s="1"/>
  <c r="FJ360" i="2"/>
  <c r="FF393" i="2" a="1"/>
  <c r="FF393" i="2" s="1"/>
  <c r="FJ393" i="2"/>
  <c r="FF228" i="2" a="1"/>
  <c r="FF228" i="2" s="1"/>
  <c r="FJ228" i="2"/>
  <c r="FF274" i="2" a="1"/>
  <c r="FF274" i="2" s="1"/>
  <c r="FJ274" i="2"/>
  <c r="FF119" i="2" a="1"/>
  <c r="FF119" i="2" s="1"/>
  <c r="FJ119" i="2"/>
  <c r="FF65" i="2" a="1"/>
  <c r="FF65" i="2" s="1"/>
  <c r="FJ65" i="2"/>
  <c r="FF66" i="2" a="1"/>
  <c r="FF66" i="2" s="1"/>
  <c r="FJ66" i="2"/>
  <c r="FF68" i="2" a="1"/>
  <c r="FF68" i="2" s="1"/>
  <c r="FJ68" i="2"/>
  <c r="FF75" i="2" a="1"/>
  <c r="FF75" i="2" s="1"/>
  <c r="FJ75" i="2"/>
  <c r="FF90" i="2" a="1"/>
  <c r="FF90" i="2" s="1"/>
  <c r="FJ90" i="2"/>
  <c r="FF92" i="2" a="1"/>
  <c r="FF92" i="2" s="1"/>
  <c r="FJ92" i="2"/>
  <c r="FF94" i="2" a="1"/>
  <c r="FF94" i="2" s="1"/>
  <c r="FJ94" i="2"/>
  <c r="FF96" i="2" a="1"/>
  <c r="FF96" i="2" s="1"/>
  <c r="FJ96" i="2"/>
  <c r="FF313" i="2" a="1"/>
  <c r="FF313" i="2" s="1"/>
  <c r="FJ313" i="2"/>
  <c r="FF114" i="2" a="1"/>
  <c r="FF114" i="2" s="1"/>
  <c r="FJ114" i="2"/>
  <c r="FF198" i="2" a="1"/>
  <c r="FF198" i="2" s="1"/>
  <c r="FJ198" i="2"/>
  <c r="FF135" i="2" a="1"/>
  <c r="FF135" i="2" s="1"/>
  <c r="FJ135" i="2"/>
  <c r="FF170" i="2" a="1"/>
  <c r="FF170" i="2" s="1"/>
  <c r="FJ170" i="2"/>
  <c r="FF172" i="2" a="1"/>
  <c r="FF172" i="2" s="1"/>
  <c r="FJ172" i="2"/>
  <c r="FF176" i="2" a="1"/>
  <c r="FF176" i="2" s="1"/>
  <c r="FJ176" i="2"/>
  <c r="FF178" i="2" a="1"/>
  <c r="FF178" i="2" s="1"/>
  <c r="FJ178" i="2"/>
  <c r="FF203" i="2" a="1"/>
  <c r="FF203" i="2" s="1"/>
  <c r="FJ203" i="2"/>
  <c r="FF205" i="2" a="1"/>
  <c r="FF205" i="2" s="1"/>
  <c r="FJ205" i="2"/>
  <c r="FF207" i="2" a="1"/>
  <c r="FF207" i="2" s="1"/>
  <c r="FJ207" i="2"/>
  <c r="FF209" i="2" a="1"/>
  <c r="FF209" i="2" s="1"/>
  <c r="FJ209" i="2"/>
  <c r="FF242" i="2" a="1"/>
  <c r="FF242" i="2" s="1"/>
  <c r="FJ242" i="2"/>
  <c r="FF277" i="2" a="1"/>
  <c r="FF277" i="2" s="1"/>
  <c r="FJ277" i="2"/>
  <c r="FF300" i="2" a="1"/>
  <c r="FF300" i="2" s="1"/>
  <c r="FJ300" i="2"/>
  <c r="FF319" i="2" a="1"/>
  <c r="FF319" i="2" s="1"/>
  <c r="FJ319" i="2"/>
  <c r="FF323" i="2" a="1"/>
  <c r="FF323" i="2" s="1"/>
  <c r="FJ323" i="2"/>
  <c r="FF386" i="2" a="1"/>
  <c r="FF386" i="2" s="1"/>
  <c r="FJ386" i="2"/>
  <c r="FF60" i="2" a="1"/>
  <c r="FF60" i="2" s="1"/>
  <c r="FJ60" i="2"/>
  <c r="FF145" i="2" a="1"/>
  <c r="FF145" i="2" s="1"/>
  <c r="FJ145" i="2"/>
  <c r="FF355" i="2" a="1"/>
  <c r="FF355" i="2" s="1"/>
  <c r="FJ355" i="2"/>
  <c r="FF374" i="2" a="1"/>
  <c r="FF374" i="2" s="1"/>
  <c r="FJ374" i="2"/>
  <c r="FF10" i="2" a="1"/>
  <c r="FF10" i="2" s="1"/>
  <c r="FJ10" i="2"/>
  <c r="FF25" i="2" a="1"/>
  <c r="FF25" i="2" s="1"/>
  <c r="FJ25" i="2"/>
  <c r="FF27" i="2" a="1"/>
  <c r="FF27" i="2" s="1"/>
  <c r="FJ27" i="2"/>
  <c r="FF29" i="2" a="1"/>
  <c r="FF29" i="2" s="1"/>
  <c r="FJ29" i="2"/>
  <c r="FF31" i="2" a="1"/>
  <c r="FF31" i="2" s="1"/>
  <c r="FJ31" i="2"/>
  <c r="FF33" i="2" a="1"/>
  <c r="FF33" i="2" s="1"/>
  <c r="FJ33" i="2"/>
  <c r="FF48" i="2" a="1"/>
  <c r="FF48" i="2" s="1"/>
  <c r="FJ48" i="2"/>
  <c r="FJ161" i="2"/>
  <c r="FF104" i="2" a="1"/>
  <c r="FF104" i="2" s="1"/>
  <c r="FJ104" i="2"/>
  <c r="FF112" i="2" a="1"/>
  <c r="FF112" i="2" s="1"/>
  <c r="FJ112" i="2"/>
  <c r="FF137" i="2" a="1"/>
  <c r="FF137" i="2" s="1"/>
  <c r="FJ137" i="2"/>
  <c r="FF139" i="2" a="1"/>
  <c r="FF139" i="2" s="1"/>
  <c r="FJ139" i="2"/>
  <c r="FF152" i="2" a="1"/>
  <c r="FF152" i="2" s="1"/>
  <c r="FJ152" i="2"/>
  <c r="FF160" i="2" a="1"/>
  <c r="FF160" i="2" s="1"/>
  <c r="FJ160" i="2"/>
  <c r="FF180" i="2" a="1"/>
  <c r="FF180" i="2" s="1"/>
  <c r="FJ180" i="2"/>
  <c r="FF191" i="2" a="1"/>
  <c r="FF191" i="2" s="1"/>
  <c r="FJ191" i="2"/>
  <c r="FF211" i="2" a="1"/>
  <c r="FF211" i="2" s="1"/>
  <c r="FJ211" i="2"/>
  <c r="FF214" i="2" a="1"/>
  <c r="FF214" i="2" s="1"/>
  <c r="FJ214" i="2"/>
  <c r="FF225" i="2" a="1"/>
  <c r="FF225" i="2" s="1"/>
  <c r="FJ225" i="2"/>
  <c r="FF286" i="2" a="1"/>
  <c r="FF286" i="2" s="1"/>
  <c r="FJ286" i="2"/>
  <c r="FF266" i="2" a="1"/>
  <c r="FF266" i="2" s="1"/>
  <c r="FJ266" i="2"/>
  <c r="FF294" i="2" a="1"/>
  <c r="FF294" i="2" s="1"/>
  <c r="FJ294" i="2"/>
  <c r="FF302" i="2" a="1"/>
  <c r="FF302" i="2" s="1"/>
  <c r="FJ302" i="2"/>
  <c r="FF304" i="2" a="1"/>
  <c r="FF304" i="2" s="1"/>
  <c r="FJ304" i="2"/>
  <c r="FF306" i="2" a="1"/>
  <c r="FF306" i="2" s="1"/>
  <c r="FJ306" i="2"/>
  <c r="FF264" i="2" a="1"/>
  <c r="FF264" i="2" s="1"/>
  <c r="FJ264" i="2"/>
  <c r="FF310" i="2" a="1"/>
  <c r="FF310" i="2" s="1"/>
  <c r="FJ310" i="2"/>
  <c r="FF325" i="2" a="1"/>
  <c r="FF325" i="2" s="1"/>
  <c r="FJ325" i="2"/>
  <c r="FF327" i="2" a="1"/>
  <c r="FF327" i="2" s="1"/>
  <c r="FJ327" i="2"/>
  <c r="FF362" i="2" a="1"/>
  <c r="FF362" i="2" s="1"/>
  <c r="FJ362" i="2"/>
  <c r="FF366" i="2" a="1"/>
  <c r="FF366" i="2" s="1"/>
  <c r="FJ366" i="2"/>
  <c r="FF389" i="2" a="1"/>
  <c r="FF389" i="2" s="1"/>
  <c r="FJ389" i="2"/>
  <c r="FF254" i="2" a="1"/>
  <c r="FF254" i="2" s="1"/>
  <c r="FJ254" i="2"/>
  <c r="FF121" i="2" a="1"/>
  <c r="FF121" i="2" s="1"/>
  <c r="FJ121" i="2"/>
  <c r="FF67" i="2" a="1"/>
  <c r="FF67" i="2" s="1"/>
  <c r="FJ67" i="2"/>
  <c r="FF19" i="2" a="1"/>
  <c r="FF19" i="2" s="1"/>
  <c r="FJ19" i="2"/>
  <c r="FF21" i="2" a="1"/>
  <c r="FF21" i="2" s="1"/>
  <c r="FJ21" i="2"/>
  <c r="FF23" i="2" a="1"/>
  <c r="FF23" i="2" s="1"/>
  <c r="FJ23" i="2"/>
  <c r="FF50" i="2" a="1"/>
  <c r="FF50" i="2" s="1"/>
  <c r="FJ50" i="2"/>
  <c r="FF70" i="2" a="1"/>
  <c r="FF70" i="2" s="1"/>
  <c r="FJ70" i="2"/>
  <c r="FF77" i="2" a="1"/>
  <c r="FF77" i="2" s="1"/>
  <c r="FJ77" i="2"/>
  <c r="FF106" i="2" a="1"/>
  <c r="FF106" i="2" s="1"/>
  <c r="FJ106" i="2"/>
  <c r="FF124" i="2" a="1"/>
  <c r="FF124" i="2" s="1"/>
  <c r="FJ124" i="2"/>
  <c r="FF154" i="2" a="1"/>
  <c r="FF154" i="2" s="1"/>
  <c r="FJ154" i="2"/>
  <c r="FF156" i="2" a="1"/>
  <c r="FF156" i="2" s="1"/>
  <c r="FJ156" i="2"/>
  <c r="FF158" i="2" a="1"/>
  <c r="FF158" i="2" s="1"/>
  <c r="FJ158" i="2"/>
  <c r="FF174" i="2" a="1"/>
  <c r="FF174" i="2" s="1"/>
  <c r="FJ174" i="2"/>
  <c r="FF182" i="2" a="1"/>
  <c r="FF182" i="2" s="1"/>
  <c r="FJ182" i="2"/>
  <c r="FF193" i="2" a="1"/>
  <c r="FF193" i="2" s="1"/>
  <c r="FJ193" i="2"/>
  <c r="FF219" i="2" a="1"/>
  <c r="FF219" i="2" s="1"/>
  <c r="FJ219" i="2"/>
  <c r="FF221" i="2" a="1"/>
  <c r="FF221" i="2" s="1"/>
  <c r="FJ221" i="2"/>
  <c r="FF223" i="2" a="1"/>
  <c r="FF223" i="2" s="1"/>
  <c r="FJ223" i="2"/>
  <c r="FF247" i="2" a="1"/>
  <c r="FF247" i="2" s="1"/>
  <c r="FJ247" i="2"/>
  <c r="FF279" i="2" a="1"/>
  <c r="FF279" i="2" s="1"/>
  <c r="FJ279" i="2"/>
  <c r="FF288" i="2" a="1"/>
  <c r="FF288" i="2" s="1"/>
  <c r="FJ288" i="2"/>
  <c r="FF317" i="2" a="1"/>
  <c r="FF317" i="2" s="1"/>
  <c r="FJ317" i="2"/>
  <c r="FF329" i="2" a="1"/>
  <c r="FF329" i="2" s="1"/>
  <c r="FJ329" i="2"/>
  <c r="FF347" i="2" a="1"/>
  <c r="FF347" i="2" s="1"/>
  <c r="FJ347" i="2"/>
  <c r="FF349" i="2" a="1"/>
  <c r="FF349" i="2" s="1"/>
  <c r="FJ349" i="2"/>
  <c r="FF39" i="2" a="1"/>
  <c r="FF39" i="2" s="1"/>
  <c r="FJ39" i="2"/>
  <c r="FF237" i="2" a="1"/>
  <c r="FF237" i="2" s="1"/>
  <c r="FJ237" i="2"/>
  <c r="FF12" i="2" a="1"/>
  <c r="FF12" i="2" s="1"/>
  <c r="FJ12" i="2"/>
  <c r="FF35" i="2" a="1"/>
  <c r="FF35" i="2" s="1"/>
  <c r="FJ35" i="2"/>
  <c r="FF126" i="2" a="1"/>
  <c r="FF126" i="2" s="1"/>
  <c r="FJ126" i="2"/>
  <c r="FF141" i="2" a="1"/>
  <c r="FF141" i="2" s="1"/>
  <c r="FJ141" i="2"/>
  <c r="FF184" i="2" a="1"/>
  <c r="FF184" i="2" s="1"/>
  <c r="FJ184" i="2"/>
  <c r="FF195" i="2" a="1"/>
  <c r="FF195" i="2" s="1"/>
  <c r="FJ195" i="2"/>
  <c r="FF216" i="2" a="1"/>
  <c r="FF216" i="2" s="1"/>
  <c r="FJ216" i="2"/>
  <c r="FF245" i="2" a="1"/>
  <c r="FF245" i="2" s="1"/>
  <c r="FJ245" i="2"/>
  <c r="FF261" i="2" a="1"/>
  <c r="FF261" i="2" s="1"/>
  <c r="FJ261" i="2"/>
  <c r="FF258" i="2" a="1"/>
  <c r="FF258" i="2" s="1"/>
  <c r="FJ258" i="2"/>
  <c r="FF290" i="2" a="1"/>
  <c r="FF290" i="2" s="1"/>
  <c r="FJ290" i="2"/>
  <c r="FF345" i="2" a="1"/>
  <c r="FF345" i="2" s="1"/>
  <c r="FJ345" i="2"/>
  <c r="FF351" i="2" a="1"/>
  <c r="FF351" i="2" s="1"/>
  <c r="FJ351" i="2"/>
  <c r="FF368" i="2" a="1"/>
  <c r="FF368" i="2" s="1"/>
  <c r="FJ368" i="2"/>
  <c r="FF370" i="2" a="1"/>
  <c r="FF370" i="2" s="1"/>
  <c r="FJ370" i="2"/>
  <c r="FF382" i="2" a="1"/>
  <c r="FF382" i="2" s="1"/>
  <c r="FJ382" i="2"/>
  <c r="FF384" i="2" a="1"/>
  <c r="FF384" i="2" s="1"/>
  <c r="FJ384" i="2"/>
  <c r="FF387" i="2" a="1"/>
  <c r="FF387" i="2" s="1"/>
  <c r="FJ387" i="2"/>
  <c r="FF116" i="2" a="1"/>
  <c r="FF116" i="2" s="1"/>
  <c r="FJ116" i="2"/>
  <c r="FF163" i="2" a="1"/>
  <c r="FF163" i="2" s="1"/>
  <c r="FJ163" i="2"/>
  <c r="FF37" i="2" a="1"/>
  <c r="FF37" i="2" s="1"/>
  <c r="FJ37" i="2"/>
  <c r="FF52" i="2" a="1"/>
  <c r="FF52" i="2" s="1"/>
  <c r="FJ52" i="2"/>
  <c r="FF79" i="2" a="1"/>
  <c r="FF79" i="2" s="1"/>
  <c r="FJ79" i="2"/>
  <c r="FF81" i="2" a="1"/>
  <c r="FF81" i="2" s="1"/>
  <c r="FJ81" i="2"/>
  <c r="FF108" i="2" a="1"/>
  <c r="FF108" i="2" s="1"/>
  <c r="FJ108" i="2"/>
  <c r="FF130" i="2" a="1"/>
  <c r="FF130" i="2" s="1"/>
  <c r="FJ130" i="2"/>
  <c r="FF165" i="2" a="1"/>
  <c r="FF165" i="2" s="1"/>
  <c r="FJ165" i="2"/>
  <c r="FF186" i="2" a="1"/>
  <c r="FF186" i="2" s="1"/>
  <c r="FJ186" i="2"/>
  <c r="FF197" i="2" a="1"/>
  <c r="FF197" i="2" s="1"/>
  <c r="FJ197" i="2"/>
  <c r="FF218" i="2" a="1"/>
  <c r="FF218" i="2" s="1"/>
  <c r="FJ218" i="2"/>
  <c r="FF249" i="2" a="1"/>
  <c r="FF249" i="2" s="1"/>
  <c r="FJ249" i="2"/>
  <c r="FF167" i="2" a="1"/>
  <c r="FF167" i="2" s="1"/>
  <c r="FJ167" i="2"/>
  <c r="FF267" i="2" a="1"/>
  <c r="FF267" i="2" s="1"/>
  <c r="FJ267" i="2"/>
  <c r="FF128" i="2" a="1"/>
  <c r="FF128" i="2" s="1"/>
  <c r="FJ128" i="2"/>
  <c r="FF263" i="2" a="1"/>
  <c r="FF263" i="2" s="1"/>
  <c r="FJ263" i="2"/>
  <c r="FF281" i="2" a="1"/>
  <c r="FF281" i="2" s="1"/>
  <c r="FJ281" i="2"/>
  <c r="FF315" i="2" a="1"/>
  <c r="FF315" i="2" s="1"/>
  <c r="FJ315" i="2"/>
  <c r="FF331" i="2" a="1"/>
  <c r="FF331" i="2" s="1"/>
  <c r="FJ331" i="2"/>
  <c r="FF333" i="2" a="1"/>
  <c r="FF333" i="2" s="1"/>
  <c r="FJ333" i="2"/>
  <c r="FF335" i="2" a="1"/>
  <c r="FF335" i="2" s="1"/>
  <c r="FJ335" i="2"/>
  <c r="FF337" i="2" a="1"/>
  <c r="FF337" i="2" s="1"/>
  <c r="FJ337" i="2"/>
  <c r="FF339" i="2" a="1"/>
  <c r="FF339" i="2" s="1"/>
  <c r="FJ339" i="2"/>
  <c r="FF341" i="2" a="1"/>
  <c r="FF341" i="2" s="1"/>
  <c r="FJ341" i="2"/>
  <c r="FF343" i="2" a="1"/>
  <c r="FF343" i="2" s="1"/>
  <c r="FJ343" i="2"/>
  <c r="FF353" i="2" a="1"/>
  <c r="FF353" i="2" s="1"/>
  <c r="FJ353" i="2"/>
  <c r="FF372" i="2" a="1"/>
  <c r="FF372" i="2" s="1"/>
  <c r="FJ372" i="2"/>
  <c r="FF376" i="2" a="1"/>
  <c r="FF376" i="2" s="1"/>
  <c r="FJ376" i="2"/>
  <c r="FF378" i="2" a="1"/>
  <c r="FF378" i="2" s="1"/>
  <c r="FJ378" i="2"/>
  <c r="FF380" i="2" a="1"/>
  <c r="FF380" i="2" s="1"/>
  <c r="FJ380" i="2"/>
  <c r="GS161" i="2"/>
  <c r="GU161" i="2" s="1"/>
  <c r="AU329" i="2"/>
  <c r="AU289" i="2"/>
  <c r="AU13" i="2"/>
  <c r="AU122" i="2"/>
  <c r="AU78" i="2"/>
  <c r="AU189" i="2"/>
  <c r="AU67" i="2"/>
  <c r="AU194" i="2"/>
  <c r="AU304" i="2"/>
  <c r="AU258" i="2"/>
  <c r="AU333" i="2"/>
  <c r="AU83" i="2"/>
  <c r="AU374" i="2"/>
  <c r="AU32" i="2"/>
  <c r="AU49" i="2"/>
  <c r="AU383" i="2"/>
  <c r="AU61" i="2"/>
  <c r="AU334" i="2"/>
  <c r="AU65" i="2"/>
  <c r="AU343" i="2"/>
  <c r="AU18" i="2"/>
  <c r="AU97" i="2"/>
  <c r="AU185" i="2"/>
  <c r="AU303" i="2"/>
  <c r="AU184" i="2"/>
  <c r="AU23" i="2"/>
  <c r="AU392" i="2"/>
  <c r="AU305" i="2"/>
  <c r="AU279" i="2"/>
  <c r="AU341" i="2"/>
  <c r="AU75" i="2"/>
  <c r="AU127" i="2"/>
  <c r="AU214" i="2"/>
  <c r="AU245" i="2"/>
  <c r="AU276" i="2"/>
  <c r="AU300" i="2"/>
  <c r="AU336" i="2"/>
  <c r="AU376" i="2"/>
  <c r="AU345" i="2"/>
  <c r="AU10" i="2"/>
  <c r="AU174" i="2"/>
  <c r="AU364" i="2"/>
  <c r="AU22" i="2"/>
  <c r="AU31" i="2"/>
  <c r="AU219" i="2"/>
  <c r="AU328" i="2"/>
  <c r="AU84" i="2"/>
  <c r="AU126" i="2"/>
  <c r="AU251" i="2"/>
  <c r="AU299" i="2"/>
  <c r="AU335" i="2"/>
  <c r="AU26" i="2"/>
  <c r="AU240" i="2"/>
  <c r="AU377" i="2"/>
  <c r="AU63" i="2"/>
  <c r="AU9" i="2"/>
  <c r="AU152" i="2"/>
  <c r="AU90" i="2"/>
  <c r="AU137" i="2"/>
  <c r="AU166" i="2"/>
  <c r="AU66" i="2"/>
  <c r="AU218" i="2"/>
  <c r="AU133" i="2"/>
  <c r="AU153" i="2"/>
  <c r="BP16" i="2"/>
  <c r="AU16" i="2"/>
  <c r="AU21" i="2"/>
  <c r="AU14" i="2"/>
  <c r="BP42" i="2"/>
  <c r="AU42" i="2"/>
  <c r="AU59" i="2"/>
  <c r="AU70" i="2"/>
  <c r="AU95" i="2"/>
  <c r="AU125" i="2"/>
  <c r="AU157" i="2"/>
  <c r="BP177" i="2"/>
  <c r="AU177" i="2"/>
  <c r="AU192" i="2"/>
  <c r="BP210" i="2"/>
  <c r="AU210" i="2"/>
  <c r="BP225" i="2"/>
  <c r="AU225" i="2"/>
  <c r="AU267" i="2"/>
  <c r="BP390" i="2"/>
  <c r="AU390" i="2"/>
  <c r="AU254" i="2"/>
  <c r="AU260" i="2"/>
  <c r="BP274" i="2"/>
  <c r="AU274" i="2"/>
  <c r="BP287" i="2"/>
  <c r="AU287" i="2"/>
  <c r="AU314" i="2"/>
  <c r="BP316" i="2"/>
  <c r="AU316" i="2"/>
  <c r="BP318" i="2"/>
  <c r="AU318" i="2"/>
  <c r="BP320" i="2"/>
  <c r="AU320" i="2"/>
  <c r="BP322" i="2"/>
  <c r="AU322" i="2"/>
  <c r="AU327" i="2"/>
  <c r="BP332" i="2"/>
  <c r="AU332" i="2"/>
  <c r="BP350" i="2"/>
  <c r="AU350" i="2"/>
  <c r="BP367" i="2"/>
  <c r="AU367" i="2"/>
  <c r="BP37" i="2"/>
  <c r="AU37" i="2"/>
  <c r="BP104" i="2"/>
  <c r="AU104" i="2"/>
  <c r="AU132" i="2"/>
  <c r="BP163" i="2"/>
  <c r="AU163" i="2"/>
  <c r="BP170" i="2"/>
  <c r="AU170" i="2"/>
  <c r="BP201" i="2"/>
  <c r="AU201" i="2"/>
  <c r="BP203" i="2"/>
  <c r="AU203" i="2"/>
  <c r="BP217" i="2"/>
  <c r="AU217" i="2"/>
  <c r="BP230" i="2"/>
  <c r="AU230" i="2"/>
  <c r="BP250" i="2"/>
  <c r="AU250" i="2"/>
  <c r="BP252" i="2"/>
  <c r="AU252" i="2"/>
  <c r="BP30" i="2"/>
  <c r="AU30" i="2"/>
  <c r="AU298" i="2"/>
  <c r="BP381" i="2"/>
  <c r="AU381" i="2"/>
  <c r="BP44" i="2"/>
  <c r="AU44" i="2"/>
  <c r="BP109" i="2"/>
  <c r="AU109" i="2"/>
  <c r="BP142" i="2"/>
  <c r="AU142" i="2"/>
  <c r="BP147" i="2"/>
  <c r="AU147" i="2"/>
  <c r="BP159" i="2"/>
  <c r="AU159" i="2"/>
  <c r="BP165" i="2"/>
  <c r="AU165" i="2"/>
  <c r="BP179" i="2"/>
  <c r="AU179" i="2"/>
  <c r="BP199" i="2"/>
  <c r="AU199" i="2"/>
  <c r="BP205" i="2"/>
  <c r="AU205" i="2"/>
  <c r="BP239" i="2"/>
  <c r="AU239" i="2"/>
  <c r="BP284" i="2"/>
  <c r="AU284" i="2"/>
  <c r="BP357" i="2"/>
  <c r="AU357" i="2"/>
  <c r="BP362" i="2"/>
  <c r="AU362" i="2"/>
  <c r="BP54" i="2"/>
  <c r="AU54" i="2"/>
  <c r="BP85" i="2"/>
  <c r="AU85" i="2"/>
  <c r="BP113" i="2"/>
  <c r="AU113" i="2"/>
  <c r="BP64" i="2"/>
  <c r="AU64" i="2"/>
  <c r="AU292" i="2"/>
  <c r="BP220" i="2"/>
  <c r="AU220" i="2"/>
  <c r="BP232" i="2"/>
  <c r="AU232" i="2"/>
  <c r="BP352" i="2"/>
  <c r="AU352" i="2"/>
  <c r="AU25" i="2"/>
  <c r="BP34" i="2"/>
  <c r="AU34" i="2"/>
  <c r="BP99" i="2"/>
  <c r="AU99" i="2"/>
  <c r="BP115" i="2"/>
  <c r="AU115" i="2"/>
  <c r="BP139" i="2"/>
  <c r="AU139" i="2"/>
  <c r="AU154" i="2"/>
  <c r="BP172" i="2"/>
  <c r="AU172" i="2"/>
  <c r="BP207" i="2"/>
  <c r="AU207" i="2"/>
  <c r="BP236" i="2"/>
  <c r="AU236" i="2"/>
  <c r="BP241" i="2"/>
  <c r="AU241" i="2"/>
  <c r="BP247" i="2"/>
  <c r="AU247" i="2"/>
  <c r="BP102" i="2"/>
  <c r="AU102" i="2"/>
  <c r="BP256" i="2"/>
  <c r="AU256" i="2"/>
  <c r="AU269" i="2"/>
  <c r="BP293" i="2"/>
  <c r="AU293" i="2"/>
  <c r="AU307" i="2"/>
  <c r="AU324" i="2"/>
  <c r="BP386" i="2"/>
  <c r="AU386" i="2"/>
  <c r="BP369" i="2"/>
  <c r="AU369" i="2"/>
  <c r="BP385" i="2"/>
  <c r="AU385" i="2"/>
  <c r="BP388" i="2"/>
  <c r="AU388" i="2"/>
  <c r="BP391" i="2"/>
  <c r="AU391" i="2"/>
  <c r="BP15" i="2"/>
  <c r="AU15" i="2"/>
  <c r="AU27" i="2"/>
  <c r="BP39" i="2"/>
  <c r="AU39" i="2"/>
  <c r="BP46" i="2"/>
  <c r="AU46" i="2"/>
  <c r="BP51" i="2"/>
  <c r="AU51" i="2"/>
  <c r="AU56" i="2"/>
  <c r="AU72" i="2"/>
  <c r="BP80" i="2"/>
  <c r="AU80" i="2"/>
  <c r="AU92" i="2"/>
  <c r="BP101" i="2"/>
  <c r="AU101" i="2"/>
  <c r="AU106" i="2"/>
  <c r="AU134" i="2"/>
  <c r="AU149" i="2"/>
  <c r="BP228" i="2"/>
  <c r="AU228" i="2"/>
  <c r="AU181" i="2"/>
  <c r="BP186" i="2"/>
  <c r="AU186" i="2"/>
  <c r="AU196" i="2"/>
  <c r="AU222" i="2"/>
  <c r="BP234" i="2"/>
  <c r="AU234" i="2"/>
  <c r="BP281" i="2"/>
  <c r="AU281" i="2"/>
  <c r="AU309" i="2"/>
  <c r="BP359" i="2"/>
  <c r="AU359" i="2"/>
  <c r="BP229" i="2"/>
  <c r="AU229" i="2"/>
  <c r="AU69" i="2"/>
  <c r="AU87" i="2"/>
  <c r="BP117" i="2"/>
  <c r="AU117" i="2"/>
  <c r="AU119" i="2"/>
  <c r="AU124" i="2"/>
  <c r="BP144" i="2"/>
  <c r="AU144" i="2"/>
  <c r="AU191" i="2"/>
  <c r="BP209" i="2"/>
  <c r="AU209" i="2"/>
  <c r="BP244" i="2"/>
  <c r="AU244" i="2"/>
  <c r="AU271" i="2"/>
  <c r="BP286" i="2"/>
  <c r="AU286" i="2"/>
  <c r="BP291" i="2"/>
  <c r="AU291" i="2"/>
  <c r="AU331" i="2"/>
  <c r="AU338" i="2"/>
  <c r="AU347" i="2"/>
  <c r="BP349" i="2"/>
  <c r="AU349" i="2"/>
  <c r="BP354" i="2"/>
  <c r="AU354" i="2"/>
  <c r="AU366" i="2"/>
  <c r="BP371" i="2"/>
  <c r="AU371" i="2"/>
  <c r="AU378" i="2"/>
  <c r="BP12" i="2"/>
  <c r="AU12" i="2"/>
  <c r="AU20" i="2"/>
  <c r="AU29" i="2"/>
  <c r="AU58" i="2"/>
  <c r="AU77" i="2"/>
  <c r="BP82" i="2"/>
  <c r="AU82" i="2"/>
  <c r="AU94" i="2"/>
  <c r="BP103" i="2"/>
  <c r="AU103" i="2"/>
  <c r="BP129" i="2"/>
  <c r="AU129" i="2"/>
  <c r="BP151" i="2"/>
  <c r="AU151" i="2"/>
  <c r="AU156" i="2"/>
  <c r="BP169" i="2"/>
  <c r="AU169" i="2"/>
  <c r="BP176" i="2"/>
  <c r="AU176" i="2"/>
  <c r="AU216" i="2"/>
  <c r="AU224" i="2"/>
  <c r="AU243" i="2"/>
  <c r="BP249" i="2"/>
  <c r="AU249" i="2"/>
  <c r="BP308" i="2"/>
  <c r="AU308" i="2"/>
  <c r="AU253" i="2"/>
  <c r="BP263" i="2"/>
  <c r="AU263" i="2"/>
  <c r="BP273" i="2"/>
  <c r="AU273" i="2"/>
  <c r="AU278" i="2"/>
  <c r="BP302" i="2"/>
  <c r="AU302" i="2"/>
  <c r="AU326" i="2"/>
  <c r="BP17" i="2"/>
  <c r="AU17" i="2"/>
  <c r="BP36" i="2"/>
  <c r="AU36" i="2"/>
  <c r="BP41" i="2"/>
  <c r="AU41" i="2"/>
  <c r="BP48" i="2"/>
  <c r="AU48" i="2"/>
  <c r="AU108" i="2"/>
  <c r="BP121" i="2"/>
  <c r="AU121" i="2"/>
  <c r="BP131" i="2"/>
  <c r="AU131" i="2"/>
  <c r="BP141" i="2"/>
  <c r="AU141" i="2"/>
  <c r="BP146" i="2"/>
  <c r="AU146" i="2"/>
  <c r="BP162" i="2"/>
  <c r="AU162" i="2"/>
  <c r="AU183" i="2"/>
  <c r="BP188" i="2"/>
  <c r="AU188" i="2"/>
  <c r="BP202" i="2"/>
  <c r="AU202" i="2"/>
  <c r="BP212" i="2"/>
  <c r="AU212" i="2"/>
  <c r="BP226" i="2"/>
  <c r="AU226" i="2"/>
  <c r="BP238" i="2"/>
  <c r="AU238" i="2"/>
  <c r="AU257" i="2"/>
  <c r="BP265" i="2"/>
  <c r="AU265" i="2"/>
  <c r="BP128" i="2"/>
  <c r="AU128" i="2"/>
  <c r="AU259" i="2"/>
  <c r="BP283" i="2"/>
  <c r="AU283" i="2"/>
  <c r="AU297" i="2"/>
  <c r="AU315" i="2"/>
  <c r="AU317" i="2"/>
  <c r="BP319" i="2"/>
  <c r="AU319" i="2"/>
  <c r="BP321" i="2"/>
  <c r="AU321" i="2"/>
  <c r="AU340" i="2"/>
  <c r="AU361" i="2"/>
  <c r="BP380" i="2"/>
  <c r="AU380" i="2"/>
  <c r="AU382" i="2"/>
  <c r="BP53" i="2"/>
  <c r="AU53" i="2"/>
  <c r="AU60" i="2"/>
  <c r="AU74" i="2"/>
  <c r="AU89" i="2"/>
  <c r="AU96" i="2"/>
  <c r="BP136" i="2"/>
  <c r="AU136" i="2"/>
  <c r="BP158" i="2"/>
  <c r="AU158" i="2"/>
  <c r="BP178" i="2"/>
  <c r="AU178" i="2"/>
  <c r="AU193" i="2"/>
  <c r="BP204" i="2"/>
  <c r="AU204" i="2"/>
  <c r="BP211" i="2"/>
  <c r="AU211" i="2"/>
  <c r="BP213" i="2"/>
  <c r="AU213" i="2"/>
  <c r="BP275" i="2"/>
  <c r="AU275" i="2"/>
  <c r="BP373" i="2"/>
  <c r="AU373" i="2"/>
  <c r="BP111" i="2"/>
  <c r="AU111" i="2"/>
  <c r="BP161" i="2"/>
  <c r="AU161" i="2"/>
  <c r="BP160" i="2"/>
  <c r="AU160" i="2"/>
  <c r="BP164" i="2"/>
  <c r="AU164" i="2"/>
  <c r="BP231" i="2"/>
  <c r="AU231" i="2"/>
  <c r="BP255" i="2"/>
  <c r="AU255" i="2"/>
  <c r="BP288" i="2"/>
  <c r="AU288" i="2"/>
  <c r="BP323" i="2"/>
  <c r="AU323" i="2"/>
  <c r="AU342" i="2"/>
  <c r="BP351" i="2"/>
  <c r="AU351" i="2"/>
  <c r="BP368" i="2"/>
  <c r="AU368" i="2"/>
  <c r="BP384" i="2"/>
  <c r="AU384" i="2"/>
  <c r="BP116" i="2"/>
  <c r="AU116" i="2"/>
  <c r="AU24" i="2"/>
  <c r="BP33" i="2"/>
  <c r="AU33" i="2"/>
  <c r="BP38" i="2"/>
  <c r="AU38" i="2"/>
  <c r="BP45" i="2"/>
  <c r="AU45" i="2"/>
  <c r="AU50" i="2"/>
  <c r="AU62" i="2"/>
  <c r="AU71" i="2"/>
  <c r="BP79" i="2"/>
  <c r="AU79" i="2"/>
  <c r="BP313" i="2"/>
  <c r="AU313" i="2"/>
  <c r="BP105" i="2"/>
  <c r="AU105" i="2"/>
  <c r="BP110" i="2"/>
  <c r="AU110" i="2"/>
  <c r="BP112" i="2"/>
  <c r="AU112" i="2"/>
  <c r="BP171" i="2"/>
  <c r="AU171" i="2"/>
  <c r="AU200" i="2"/>
  <c r="BP206" i="2"/>
  <c r="AU206" i="2"/>
  <c r="AU268" i="2"/>
  <c r="BP280" i="2"/>
  <c r="AU280" i="2"/>
  <c r="AU306" i="2"/>
  <c r="BP394" i="2"/>
  <c r="AU394" i="2"/>
  <c r="BP55" i="2"/>
  <c r="AU55" i="2"/>
  <c r="AU68" i="2"/>
  <c r="AU91" i="2"/>
  <c r="BP100" i="2"/>
  <c r="AU100" i="2"/>
  <c r="AU114" i="2"/>
  <c r="AU123" i="2"/>
  <c r="AU138" i="2"/>
  <c r="BP143" i="2"/>
  <c r="AU143" i="2"/>
  <c r="BP148" i="2"/>
  <c r="AU148" i="2"/>
  <c r="BP180" i="2"/>
  <c r="AU180" i="2"/>
  <c r="AU190" i="2"/>
  <c r="AU195" i="2"/>
  <c r="AU221" i="2"/>
  <c r="BP233" i="2"/>
  <c r="AU233" i="2"/>
  <c r="AU246" i="2"/>
  <c r="BP98" i="2"/>
  <c r="AU98" i="2"/>
  <c r="AU261" i="2"/>
  <c r="BP285" i="2"/>
  <c r="AU285" i="2"/>
  <c r="BP290" i="2"/>
  <c r="AU290" i="2"/>
  <c r="AU264" i="2"/>
  <c r="BP330" i="2"/>
  <c r="AU330" i="2"/>
  <c r="AU344" i="2"/>
  <c r="BP358" i="2"/>
  <c r="AU358" i="2"/>
  <c r="BP363" i="2"/>
  <c r="AU363" i="2"/>
  <c r="BP365" i="2"/>
  <c r="AU365" i="2"/>
  <c r="AU375" i="2"/>
  <c r="BP389" i="2"/>
  <c r="AU389" i="2"/>
  <c r="BP393" i="2"/>
  <c r="AU393" i="2"/>
  <c r="BP356" i="2"/>
  <c r="AU356" i="2"/>
  <c r="BP19" i="2"/>
  <c r="AU19" i="2"/>
  <c r="AU76" i="2"/>
  <c r="AU86" i="2"/>
  <c r="BP198" i="2"/>
  <c r="AU198" i="2"/>
  <c r="AU47" i="2"/>
  <c r="AU150" i="2"/>
  <c r="BP11" i="2"/>
  <c r="AU11" i="2"/>
  <c r="BP168" i="2"/>
  <c r="AU168" i="2"/>
  <c r="BP173" i="2"/>
  <c r="AU173" i="2"/>
  <c r="BP208" i="2"/>
  <c r="AU208" i="2"/>
  <c r="AU215" i="2"/>
  <c r="AU242" i="2"/>
  <c r="BP248" i="2"/>
  <c r="AU248" i="2"/>
  <c r="BP167" i="2"/>
  <c r="AU167" i="2"/>
  <c r="BP311" i="2"/>
  <c r="AU311" i="2"/>
  <c r="AU270" i="2"/>
  <c r="AU277" i="2"/>
  <c r="BP301" i="2"/>
  <c r="AU301" i="2"/>
  <c r="AU337" i="2"/>
  <c r="AU346" i="2"/>
  <c r="BP353" i="2"/>
  <c r="AU353" i="2"/>
  <c r="AU370" i="2"/>
  <c r="BP387" i="2"/>
  <c r="AU387" i="2"/>
  <c r="AU28" i="2"/>
  <c r="AU35" i="2"/>
  <c r="BP295" i="2"/>
  <c r="AU295" i="2"/>
  <c r="BP57" i="2"/>
  <c r="AU57" i="2"/>
  <c r="AU81" i="2"/>
  <c r="AU93" i="2"/>
  <c r="BP43" i="2"/>
  <c r="AU43" i="2"/>
  <c r="BP107" i="2"/>
  <c r="AU107" i="2"/>
  <c r="AU118" i="2"/>
  <c r="BP140" i="2"/>
  <c r="AU140" i="2"/>
  <c r="AU155" i="2"/>
  <c r="AU182" i="2"/>
  <c r="BP187" i="2"/>
  <c r="AU187" i="2"/>
  <c r="AU223" i="2"/>
  <c r="AU237" i="2"/>
  <c r="AU262" i="2"/>
  <c r="AU235" i="2"/>
  <c r="BP282" i="2"/>
  <c r="AU282" i="2"/>
  <c r="BP294" i="2"/>
  <c r="AU294" i="2"/>
  <c r="AU310" i="2"/>
  <c r="AU312" i="2"/>
  <c r="AU325" i="2"/>
  <c r="AU348" i="2"/>
  <c r="AU360" i="2"/>
  <c r="BP40" i="2"/>
  <c r="AU40" i="2"/>
  <c r="BP52" i="2"/>
  <c r="AU52" i="2"/>
  <c r="AU73" i="2"/>
  <c r="AU88" i="2"/>
  <c r="BP120" i="2"/>
  <c r="AU120" i="2"/>
  <c r="AU130" i="2"/>
  <c r="BP135" i="2"/>
  <c r="AU135" i="2"/>
  <c r="BP145" i="2"/>
  <c r="AU145" i="2"/>
  <c r="AU197" i="2"/>
  <c r="AU272" i="2"/>
  <c r="BP266" i="2"/>
  <c r="AU266" i="2"/>
  <c r="AU296" i="2"/>
  <c r="AU339" i="2"/>
  <c r="AU355" i="2"/>
  <c r="BP372" i="2"/>
  <c r="AU372" i="2"/>
  <c r="AU379" i="2"/>
  <c r="FF390" i="2"/>
  <c r="FF311" i="2"/>
  <c r="FF244" i="2"/>
  <c r="FM89" i="2"/>
  <c r="FN89" i="2" s="1"/>
  <c r="FL89" i="2"/>
  <c r="FM112" i="2"/>
  <c r="FP112" i="2" s="1"/>
  <c r="FL112" i="2"/>
  <c r="FM141" i="2"/>
  <c r="FP141" i="2" s="1"/>
  <c r="FL141" i="2"/>
  <c r="FM173" i="2"/>
  <c r="FP173" i="2" s="1"/>
  <c r="FL173" i="2"/>
  <c r="FL194" i="2"/>
  <c r="FM194" i="2"/>
  <c r="FP194" i="2" s="1"/>
  <c r="FM206" i="2"/>
  <c r="FP206" i="2" s="1"/>
  <c r="FL206" i="2"/>
  <c r="FM263" i="2"/>
  <c r="FN263" i="2" s="1"/>
  <c r="FL263" i="2"/>
  <c r="FM235" i="2"/>
  <c r="FP235" i="2" s="1"/>
  <c r="FL235" i="2"/>
  <c r="FM278" i="2"/>
  <c r="FP278" i="2" s="1"/>
  <c r="FL278" i="2"/>
  <c r="FL289" i="2"/>
  <c r="FM289" i="2"/>
  <c r="FP289" i="2" s="1"/>
  <c r="FM266" i="2"/>
  <c r="FP266" i="2" s="1"/>
  <c r="FL266" i="2"/>
  <c r="FM298" i="2"/>
  <c r="FP298" i="2" s="1"/>
  <c r="FL298" i="2"/>
  <c r="FL316" i="2"/>
  <c r="FM316" i="2"/>
  <c r="FP316" i="2" s="1"/>
  <c r="FM362" i="2"/>
  <c r="FP362" i="2" s="1"/>
  <c r="FL362" i="2"/>
  <c r="FL369" i="2"/>
  <c r="FM369" i="2"/>
  <c r="FP369" i="2" s="1"/>
  <c r="FM378" i="2"/>
  <c r="FO378" i="2" s="1"/>
  <c r="GJ378" i="2" s="1"/>
  <c r="FL378" i="2"/>
  <c r="FM12" i="2"/>
  <c r="FP12" i="2" s="1"/>
  <c r="FL12" i="2"/>
  <c r="FM32" i="2"/>
  <c r="FP32" i="2" s="1"/>
  <c r="FL32" i="2"/>
  <c r="FM46" i="2"/>
  <c r="FN46" i="2" s="1"/>
  <c r="FL46" i="2"/>
  <c r="FL68" i="2"/>
  <c r="FM68" i="2"/>
  <c r="FP68" i="2" s="1"/>
  <c r="FL72" i="2"/>
  <c r="FM72" i="2"/>
  <c r="FP72" i="2" s="1"/>
  <c r="FM76" i="2"/>
  <c r="FP76" i="2" s="1"/>
  <c r="FL76" i="2"/>
  <c r="FM92" i="2"/>
  <c r="FP92" i="2" s="1"/>
  <c r="FL92" i="2"/>
  <c r="FM109" i="2"/>
  <c r="FP109" i="2" s="1"/>
  <c r="FL109" i="2"/>
  <c r="FL119" i="2"/>
  <c r="FM119" i="2"/>
  <c r="FP119" i="2" s="1"/>
  <c r="FM127" i="2"/>
  <c r="FL127" i="2"/>
  <c r="FL134" i="2"/>
  <c r="FM134" i="2"/>
  <c r="FP134" i="2" s="1"/>
  <c r="FL148" i="2"/>
  <c r="FM148" i="2"/>
  <c r="FP148" i="2" s="1"/>
  <c r="FL197" i="2"/>
  <c r="FM197" i="2"/>
  <c r="FO197" i="2" s="1"/>
  <c r="GJ197" i="2" s="1"/>
  <c r="FL209" i="2"/>
  <c r="FM209" i="2"/>
  <c r="FP209" i="2" s="1"/>
  <c r="FM221" i="2"/>
  <c r="FN221" i="2" s="1"/>
  <c r="FL221" i="2"/>
  <c r="FM240" i="2"/>
  <c r="FP240" i="2" s="1"/>
  <c r="FL240" i="2"/>
  <c r="FL268" i="2"/>
  <c r="FM268" i="2"/>
  <c r="FP268" i="2" s="1"/>
  <c r="FM304" i="2"/>
  <c r="FP304" i="2" s="1"/>
  <c r="FL304" i="2"/>
  <c r="FL319" i="2"/>
  <c r="FM319" i="2"/>
  <c r="FM326" i="2"/>
  <c r="FN326" i="2" s="1"/>
  <c r="FL326" i="2"/>
  <c r="FM358" i="2"/>
  <c r="FP358" i="2" s="1"/>
  <c r="FL358" i="2"/>
  <c r="FM372" i="2"/>
  <c r="FN372" i="2" s="1"/>
  <c r="FL372" i="2"/>
  <c r="FL381" i="2"/>
  <c r="FM381" i="2"/>
  <c r="FP381" i="2" s="1"/>
  <c r="FM62" i="2"/>
  <c r="FP62" i="2" s="1"/>
  <c r="FL62" i="2"/>
  <c r="FM95" i="2"/>
  <c r="FP95" i="2" s="1"/>
  <c r="FL95" i="2"/>
  <c r="FM43" i="2"/>
  <c r="FN43" i="2" s="1"/>
  <c r="FL43" i="2"/>
  <c r="FM123" i="2"/>
  <c r="FP123" i="2" s="1"/>
  <c r="FL123" i="2"/>
  <c r="FM137" i="2"/>
  <c r="FP137" i="2" s="1"/>
  <c r="FL137" i="2"/>
  <c r="FM158" i="2"/>
  <c r="FN158" i="2" s="1"/>
  <c r="FL158" i="2"/>
  <c r="FL64" i="2"/>
  <c r="FM64" i="2"/>
  <c r="FP64" i="2" s="1"/>
  <c r="FL164" i="2"/>
  <c r="FM164" i="2"/>
  <c r="FP164" i="2" s="1"/>
  <c r="FM169" i="2"/>
  <c r="FP169" i="2" s="1"/>
  <c r="FL169" i="2"/>
  <c r="FL179" i="2"/>
  <c r="FM179" i="2"/>
  <c r="FP179" i="2" s="1"/>
  <c r="FM186" i="2"/>
  <c r="FP186" i="2" s="1"/>
  <c r="FL186" i="2"/>
  <c r="FM190" i="2"/>
  <c r="FP190" i="2" s="1"/>
  <c r="FL190" i="2"/>
  <c r="FM200" i="2"/>
  <c r="FN200" i="2" s="1"/>
  <c r="FL200" i="2"/>
  <c r="FL216" i="2"/>
  <c r="FM216" i="2"/>
  <c r="FN216" i="2" s="1"/>
  <c r="FL292" i="2"/>
  <c r="FM292" i="2"/>
  <c r="FN292" i="2" s="1"/>
  <c r="FL233" i="2"/>
  <c r="FM233" i="2"/>
  <c r="FN233" i="2" s="1"/>
  <c r="FM236" i="2"/>
  <c r="FN236" i="2" s="1"/>
  <c r="FL236" i="2"/>
  <c r="FL249" i="2"/>
  <c r="FM249" i="2"/>
  <c r="FO249" i="2" s="1"/>
  <c r="GJ249" i="2" s="1"/>
  <c r="FM128" i="2"/>
  <c r="FP128" i="2" s="1"/>
  <c r="FL128" i="2"/>
  <c r="FL271" i="2"/>
  <c r="FM271" i="2"/>
  <c r="FP271" i="2" s="1"/>
  <c r="FL274" i="2"/>
  <c r="FM274" i="2"/>
  <c r="FP274" i="2" s="1"/>
  <c r="FL301" i="2"/>
  <c r="FM301" i="2"/>
  <c r="FP301" i="2" s="1"/>
  <c r="FM307" i="2"/>
  <c r="FP307" i="2" s="1"/>
  <c r="FL307" i="2"/>
  <c r="FM310" i="2"/>
  <c r="FO310" i="2" s="1"/>
  <c r="GJ310" i="2" s="1"/>
  <c r="FL310" i="2"/>
  <c r="FM322" i="2"/>
  <c r="FP322" i="2" s="1"/>
  <c r="FL322" i="2"/>
  <c r="FM329" i="2"/>
  <c r="FP329" i="2" s="1"/>
  <c r="FL329" i="2"/>
  <c r="FL332" i="2"/>
  <c r="FM332" i="2"/>
  <c r="FL338" i="2"/>
  <c r="FM338" i="2"/>
  <c r="FP338" i="2" s="1"/>
  <c r="FM341" i="2"/>
  <c r="FO341" i="2" s="1"/>
  <c r="GJ341" i="2" s="1"/>
  <c r="FL341" i="2"/>
  <c r="FM344" i="2"/>
  <c r="FP344" i="2" s="1"/>
  <c r="FL344" i="2"/>
  <c r="FL351" i="2"/>
  <c r="FM351" i="2"/>
  <c r="FP351" i="2" s="1"/>
  <c r="FL365" i="2"/>
  <c r="FM365" i="2"/>
  <c r="FP365" i="2" s="1"/>
  <c r="FM375" i="2"/>
  <c r="FP375" i="2" s="1"/>
  <c r="FL375" i="2"/>
  <c r="FL50" i="2"/>
  <c r="FM50" i="2"/>
  <c r="FP50" i="2" s="1"/>
  <c r="FM15" i="2"/>
  <c r="FL15" i="2"/>
  <c r="FL19" i="2"/>
  <c r="FM19" i="2"/>
  <c r="FP19" i="2" s="1"/>
  <c r="FL39" i="2"/>
  <c r="FM39" i="2"/>
  <c r="FP39" i="2" s="1"/>
  <c r="FL53" i="2"/>
  <c r="FM53" i="2"/>
  <c r="FP53" i="2" s="1"/>
  <c r="FM59" i="2"/>
  <c r="FP59" i="2" s="1"/>
  <c r="FL59" i="2"/>
  <c r="FL115" i="2"/>
  <c r="FM115" i="2"/>
  <c r="FP115" i="2" s="1"/>
  <c r="FM122" i="2"/>
  <c r="FN122" i="2" s="1"/>
  <c r="FL122" i="2"/>
  <c r="FL130" i="2"/>
  <c r="FM130" i="2"/>
  <c r="FP130" i="2" s="1"/>
  <c r="FM144" i="2"/>
  <c r="FP144" i="2" s="1"/>
  <c r="FL144" i="2"/>
  <c r="FL151" i="2"/>
  <c r="FM151" i="2"/>
  <c r="FP151" i="2" s="1"/>
  <c r="FM202" i="2"/>
  <c r="FO202" i="2" s="1"/>
  <c r="GJ202" i="2" s="1"/>
  <c r="FL202" i="2"/>
  <c r="FL253" i="2"/>
  <c r="FM253" i="2"/>
  <c r="FP253" i="2" s="1"/>
  <c r="FM281" i="2"/>
  <c r="FP281" i="2" s="1"/>
  <c r="FL281" i="2"/>
  <c r="FL285" i="2"/>
  <c r="FM285" i="2"/>
  <c r="FP285" i="2" s="1"/>
  <c r="FL335" i="2"/>
  <c r="FM335" i="2"/>
  <c r="FP335" i="2" s="1"/>
  <c r="FL347" i="2"/>
  <c r="FM347" i="2"/>
  <c r="FN347" i="2" s="1"/>
  <c r="FM387" i="2"/>
  <c r="FP387" i="2" s="1"/>
  <c r="FL387" i="2"/>
  <c r="FM356" i="2"/>
  <c r="FP356" i="2" s="1"/>
  <c r="FL356" i="2"/>
  <c r="FL22" i="2"/>
  <c r="FM22" i="2"/>
  <c r="FP22" i="2" s="1"/>
  <c r="FM25" i="2"/>
  <c r="FP25" i="2" s="1"/>
  <c r="FL25" i="2"/>
  <c r="FL35" i="2"/>
  <c r="FM35" i="2"/>
  <c r="FN35" i="2" s="1"/>
  <c r="FM42" i="2"/>
  <c r="FP42" i="2" s="1"/>
  <c r="FL42" i="2"/>
  <c r="FL49" i="2"/>
  <c r="FM49" i="2"/>
  <c r="FP49" i="2" s="1"/>
  <c r="FL56" i="2"/>
  <c r="FM56" i="2"/>
  <c r="FN56" i="2" s="1"/>
  <c r="FM161" i="2"/>
  <c r="FP161" i="2" s="1"/>
  <c r="FL161" i="2"/>
  <c r="FL82" i="2"/>
  <c r="FM82" i="2"/>
  <c r="FP82" i="2" s="1"/>
  <c r="FL166" i="2"/>
  <c r="FM166" i="2"/>
  <c r="FP166" i="2" s="1"/>
  <c r="FM313" i="2"/>
  <c r="FP313" i="2" s="1"/>
  <c r="FL313" i="2"/>
  <c r="FM105" i="2"/>
  <c r="FL105" i="2"/>
  <c r="FM140" i="2"/>
  <c r="FP140" i="2" s="1"/>
  <c r="FL140" i="2"/>
  <c r="FM154" i="2"/>
  <c r="FO154" i="2" s="1"/>
  <c r="GJ154" i="2" s="1"/>
  <c r="FL154" i="2"/>
  <c r="FM172" i="2"/>
  <c r="FP172" i="2" s="1"/>
  <c r="FL172" i="2"/>
  <c r="FL182" i="2"/>
  <c r="FM182" i="2"/>
  <c r="FP182" i="2" s="1"/>
  <c r="FL193" i="2"/>
  <c r="FM193" i="2"/>
  <c r="FP193" i="2" s="1"/>
  <c r="FM224" i="2"/>
  <c r="FN224" i="2" s="1"/>
  <c r="FL224" i="2"/>
  <c r="FL243" i="2"/>
  <c r="FM243" i="2"/>
  <c r="FP243" i="2" s="1"/>
  <c r="FL245" i="2"/>
  <c r="FM245" i="2"/>
  <c r="FP245" i="2" s="1"/>
  <c r="FM167" i="2"/>
  <c r="FP167" i="2" s="1"/>
  <c r="FL167" i="2"/>
  <c r="FL261" i="2"/>
  <c r="FM261" i="2"/>
  <c r="FN261" i="2" s="1"/>
  <c r="FL244" i="2"/>
  <c r="FM244" i="2"/>
  <c r="FP244" i="2" s="1"/>
  <c r="FM354" i="2"/>
  <c r="FL354" i="2"/>
  <c r="FM361" i="2"/>
  <c r="FN361" i="2" s="1"/>
  <c r="FL361" i="2"/>
  <c r="FL383" i="2"/>
  <c r="FM383" i="2"/>
  <c r="FP383" i="2" s="1"/>
  <c r="FM28" i="2"/>
  <c r="FP28" i="2" s="1"/>
  <c r="FL28" i="2"/>
  <c r="FL67" i="2"/>
  <c r="FM67" i="2"/>
  <c r="FP67" i="2" s="1"/>
  <c r="FL71" i="2"/>
  <c r="FM71" i="2"/>
  <c r="FP71" i="2" s="1"/>
  <c r="FM75" i="2"/>
  <c r="FP75" i="2" s="1"/>
  <c r="FL75" i="2"/>
  <c r="FM79" i="2"/>
  <c r="FN79" i="2" s="1"/>
  <c r="FL79" i="2"/>
  <c r="FL88" i="2"/>
  <c r="FM88" i="2"/>
  <c r="FN88" i="2" s="1"/>
  <c r="FL85" i="2"/>
  <c r="FM85" i="2"/>
  <c r="FP85" i="2" s="1"/>
  <c r="FL118" i="2"/>
  <c r="FM118" i="2"/>
  <c r="FP118" i="2" s="1"/>
  <c r="FM126" i="2"/>
  <c r="FP126" i="2" s="1"/>
  <c r="FL126" i="2"/>
  <c r="FM201" i="2"/>
  <c r="FP201" i="2" s="1"/>
  <c r="FL201" i="2"/>
  <c r="FM205" i="2"/>
  <c r="FN205" i="2" s="1"/>
  <c r="FL205" i="2"/>
  <c r="FM252" i="2"/>
  <c r="FP252" i="2" s="1"/>
  <c r="FL252" i="2"/>
  <c r="FM256" i="2"/>
  <c r="FP256" i="2" s="1"/>
  <c r="FL256" i="2"/>
  <c r="FM260" i="2"/>
  <c r="FN260" i="2" s="1"/>
  <c r="FL260" i="2"/>
  <c r="FM277" i="2"/>
  <c r="FL277" i="2"/>
  <c r="FM297" i="2"/>
  <c r="FP297" i="2" s="1"/>
  <c r="FL297" i="2"/>
  <c r="FM312" i="2"/>
  <c r="FP312" i="2" s="1"/>
  <c r="FL312" i="2"/>
  <c r="FM325" i="2"/>
  <c r="FN325" i="2" s="1"/>
  <c r="FL325" i="2"/>
  <c r="FM368" i="2"/>
  <c r="FP368" i="2" s="1"/>
  <c r="FL368" i="2"/>
  <c r="FM371" i="2"/>
  <c r="FP371" i="2" s="1"/>
  <c r="FL371" i="2"/>
  <c r="FL380" i="2"/>
  <c r="FM380" i="2"/>
  <c r="FP380" i="2" s="1"/>
  <c r="FM389" i="2"/>
  <c r="FL389" i="2"/>
  <c r="FL18" i="2"/>
  <c r="FM18" i="2"/>
  <c r="FN18" i="2" s="1"/>
  <c r="FM31" i="2"/>
  <c r="FP31" i="2" s="1"/>
  <c r="FL31" i="2"/>
  <c r="FM45" i="2"/>
  <c r="FP45" i="2" s="1"/>
  <c r="FL45" i="2"/>
  <c r="FM91" i="2"/>
  <c r="FP91" i="2" s="1"/>
  <c r="FL91" i="2"/>
  <c r="FL133" i="2"/>
  <c r="FM133" i="2"/>
  <c r="FO133" i="2" s="1"/>
  <c r="GJ133" i="2" s="1"/>
  <c r="FL147" i="2"/>
  <c r="FM147" i="2"/>
  <c r="FP147" i="2" s="1"/>
  <c r="FM157" i="2"/>
  <c r="FN157" i="2" s="1"/>
  <c r="FL157" i="2"/>
  <c r="FM189" i="2"/>
  <c r="FP189" i="2" s="1"/>
  <c r="FL189" i="2"/>
  <c r="FL196" i="2"/>
  <c r="FM196" i="2"/>
  <c r="FP196" i="2" s="1"/>
  <c r="FL208" i="2"/>
  <c r="FM208" i="2"/>
  <c r="FP208" i="2" s="1"/>
  <c r="FL215" i="2"/>
  <c r="FM215" i="2"/>
  <c r="FP215" i="2" s="1"/>
  <c r="FL232" i="2"/>
  <c r="FM232" i="2"/>
  <c r="FN232" i="2" s="1"/>
  <c r="FM239" i="2"/>
  <c r="FP239" i="2" s="1"/>
  <c r="FL239" i="2"/>
  <c r="FM265" i="2"/>
  <c r="FO265" i="2" s="1"/>
  <c r="GJ265" i="2" s="1"/>
  <c r="FL265" i="2"/>
  <c r="FM30" i="2"/>
  <c r="FP30" i="2" s="1"/>
  <c r="FL30" i="2"/>
  <c r="FL258" i="2"/>
  <c r="FM258" i="2"/>
  <c r="FP258" i="2" s="1"/>
  <c r="FM288" i="2"/>
  <c r="FN288" i="2" s="1"/>
  <c r="FL288" i="2"/>
  <c r="FM294" i="2"/>
  <c r="FP294" i="2" s="1"/>
  <c r="FL294" i="2"/>
  <c r="FL300" i="2"/>
  <c r="FM300" i="2"/>
  <c r="FP300" i="2" s="1"/>
  <c r="FM309" i="2"/>
  <c r="FP309" i="2" s="1"/>
  <c r="FL309" i="2"/>
  <c r="FL315" i="2"/>
  <c r="FM315" i="2"/>
  <c r="FP315" i="2" s="1"/>
  <c r="FL318" i="2"/>
  <c r="FM318" i="2"/>
  <c r="FP318" i="2" s="1"/>
  <c r="FL321" i="2"/>
  <c r="FM321" i="2"/>
  <c r="FP321" i="2" s="1"/>
  <c r="FL350" i="2"/>
  <c r="FM350" i="2"/>
  <c r="FP350" i="2" s="1"/>
  <c r="FM357" i="2"/>
  <c r="FP357" i="2" s="1"/>
  <c r="FL357" i="2"/>
  <c r="FM377" i="2"/>
  <c r="FP377" i="2" s="1"/>
  <c r="FL377" i="2"/>
  <c r="FL34" i="2"/>
  <c r="FM34" i="2"/>
  <c r="FP34" i="2" s="1"/>
  <c r="FL38" i="2"/>
  <c r="FM38" i="2"/>
  <c r="FP38" i="2" s="1"/>
  <c r="FM61" i="2"/>
  <c r="FP61" i="2" s="1"/>
  <c r="FL61" i="2"/>
  <c r="FM94" i="2"/>
  <c r="FP94" i="2" s="1"/>
  <c r="FL94" i="2"/>
  <c r="FL101" i="2"/>
  <c r="FM101" i="2"/>
  <c r="FP101" i="2" s="1"/>
  <c r="FM108" i="2"/>
  <c r="FP108" i="2" s="1"/>
  <c r="FL108" i="2"/>
  <c r="FL114" i="2"/>
  <c r="FM114" i="2"/>
  <c r="FP114" i="2" s="1"/>
  <c r="FL129" i="2"/>
  <c r="FM129" i="2"/>
  <c r="FP129" i="2" s="1"/>
  <c r="FL163" i="2"/>
  <c r="FM163" i="2"/>
  <c r="FP163" i="2" s="1"/>
  <c r="FM228" i="2"/>
  <c r="FP228" i="2" s="1"/>
  <c r="FL228" i="2"/>
  <c r="FM168" i="2"/>
  <c r="FP168" i="2" s="1"/>
  <c r="FL168" i="2"/>
  <c r="FL178" i="2"/>
  <c r="FM178" i="2"/>
  <c r="FP178" i="2" s="1"/>
  <c r="FM185" i="2"/>
  <c r="FP185" i="2" s="1"/>
  <c r="FL185" i="2"/>
  <c r="FM199" i="2"/>
  <c r="FP199" i="2" s="1"/>
  <c r="FL199" i="2"/>
  <c r="FL211" i="2"/>
  <c r="FM211" i="2"/>
  <c r="FN211" i="2" s="1"/>
  <c r="FL212" i="2"/>
  <c r="FM212" i="2"/>
  <c r="FP212" i="2" s="1"/>
  <c r="FM220" i="2"/>
  <c r="FN220" i="2" s="1"/>
  <c r="FL220" i="2"/>
  <c r="FL248" i="2"/>
  <c r="FM248" i="2"/>
  <c r="FP248" i="2" s="1"/>
  <c r="FL270" i="2"/>
  <c r="FM270" i="2"/>
  <c r="FP270" i="2" s="1"/>
  <c r="FL273" i="2"/>
  <c r="FM273" i="2"/>
  <c r="FP273" i="2" s="1"/>
  <c r="FL284" i="2"/>
  <c r="FM284" i="2"/>
  <c r="FP284" i="2" s="1"/>
  <c r="FL303" i="2"/>
  <c r="FM303" i="2"/>
  <c r="FL306" i="2"/>
  <c r="FM306" i="2"/>
  <c r="FP306" i="2" s="1"/>
  <c r="FM340" i="2"/>
  <c r="FP340" i="2" s="1"/>
  <c r="FL340" i="2"/>
  <c r="FM343" i="2"/>
  <c r="FP343" i="2" s="1"/>
  <c r="FL343" i="2"/>
  <c r="FM386" i="2"/>
  <c r="FP386" i="2" s="1"/>
  <c r="FL386" i="2"/>
  <c r="FM393" i="2"/>
  <c r="FP393" i="2" s="1"/>
  <c r="FL393" i="2"/>
  <c r="FM10" i="2"/>
  <c r="FP10" i="2" s="1"/>
  <c r="FL10" i="2"/>
  <c r="FL116" i="2"/>
  <c r="FM116" i="2"/>
  <c r="FP116" i="2" s="1"/>
  <c r="FL52" i="2"/>
  <c r="FM52" i="2"/>
  <c r="FL70" i="2"/>
  <c r="FM70" i="2"/>
  <c r="FP70" i="2" s="1"/>
  <c r="FL97" i="2"/>
  <c r="FM97" i="2"/>
  <c r="FP97" i="2" s="1"/>
  <c r="FL136" i="2"/>
  <c r="FM136" i="2"/>
  <c r="FP136" i="2" s="1"/>
  <c r="FM139" i="2"/>
  <c r="FP139" i="2" s="1"/>
  <c r="FL139" i="2"/>
  <c r="FM143" i="2"/>
  <c r="FP143" i="2" s="1"/>
  <c r="FL143" i="2"/>
  <c r="FL150" i="2"/>
  <c r="FM150" i="2"/>
  <c r="FP150" i="2" s="1"/>
  <c r="FL181" i="2"/>
  <c r="FM181" i="2"/>
  <c r="FP181" i="2" s="1"/>
  <c r="FL218" i="2"/>
  <c r="FM218" i="2"/>
  <c r="FN218" i="2" s="1"/>
  <c r="FM223" i="2"/>
  <c r="FN223" i="2" s="1"/>
  <c r="FL223" i="2"/>
  <c r="FM242" i="2"/>
  <c r="FP242" i="2" s="1"/>
  <c r="FL242" i="2"/>
  <c r="FM251" i="2"/>
  <c r="FP251" i="2" s="1"/>
  <c r="FL251" i="2"/>
  <c r="FM280" i="2"/>
  <c r="FP280" i="2" s="1"/>
  <c r="FL280" i="2"/>
  <c r="FM291" i="2"/>
  <c r="FP291" i="2" s="1"/>
  <c r="FL291" i="2"/>
  <c r="FM328" i="2"/>
  <c r="FP328" i="2" s="1"/>
  <c r="FL328" i="2"/>
  <c r="FL331" i="2"/>
  <c r="FM331" i="2"/>
  <c r="FP331" i="2" s="1"/>
  <c r="FL334" i="2"/>
  <c r="FM334" i="2"/>
  <c r="FP334" i="2" s="1"/>
  <c r="FL337" i="2"/>
  <c r="FM337" i="2"/>
  <c r="FP337" i="2" s="1"/>
  <c r="FM346" i="2"/>
  <c r="FN346" i="2" s="1"/>
  <c r="FL346" i="2"/>
  <c r="FM360" i="2"/>
  <c r="FP360" i="2" s="1"/>
  <c r="FL360" i="2"/>
  <c r="FM374" i="2"/>
  <c r="FP374" i="2" s="1"/>
  <c r="FL374" i="2"/>
  <c r="FM394" i="2"/>
  <c r="FP394" i="2" s="1"/>
  <c r="FL394" i="2"/>
  <c r="FL21" i="2"/>
  <c r="FM21" i="2"/>
  <c r="FP21" i="2" s="1"/>
  <c r="FM48" i="2"/>
  <c r="FP48" i="2" s="1"/>
  <c r="FL48" i="2"/>
  <c r="FL55" i="2"/>
  <c r="FM55" i="2"/>
  <c r="FP55" i="2" s="1"/>
  <c r="FM58" i="2"/>
  <c r="FL58" i="2"/>
  <c r="FM74" i="2"/>
  <c r="FP74" i="2" s="1"/>
  <c r="FL74" i="2"/>
  <c r="FM78" i="2"/>
  <c r="FP78" i="2" s="1"/>
  <c r="FL78" i="2"/>
  <c r="FL81" i="2"/>
  <c r="FM81" i="2"/>
  <c r="FO81" i="2" s="1"/>
  <c r="GJ81" i="2" s="1"/>
  <c r="FL104" i="2"/>
  <c r="FM104" i="2"/>
  <c r="FP104" i="2" s="1"/>
  <c r="FM121" i="2"/>
  <c r="FP121" i="2" s="1"/>
  <c r="FL121" i="2"/>
  <c r="FM160" i="2"/>
  <c r="FP160" i="2" s="1"/>
  <c r="FL160" i="2"/>
  <c r="FM171" i="2"/>
  <c r="FP171" i="2" s="1"/>
  <c r="FL171" i="2"/>
  <c r="FL192" i="2"/>
  <c r="FM192" i="2"/>
  <c r="FP192" i="2" s="1"/>
  <c r="FM204" i="2"/>
  <c r="FN204" i="2" s="1"/>
  <c r="FL204" i="2"/>
  <c r="FL98" i="2"/>
  <c r="FM98" i="2"/>
  <c r="FP98" i="2" s="1"/>
  <c r="FL255" i="2"/>
  <c r="FM255" i="2"/>
  <c r="FP255" i="2" s="1"/>
  <c r="FM276" i="2"/>
  <c r="FP276" i="2" s="1"/>
  <c r="FL276" i="2"/>
  <c r="FM324" i="2"/>
  <c r="FP324" i="2" s="1"/>
  <c r="FL324" i="2"/>
  <c r="FL353" i="2"/>
  <c r="FM353" i="2"/>
  <c r="FP353" i="2" s="1"/>
  <c r="FL17" i="2"/>
  <c r="FM17" i="2"/>
  <c r="FP17" i="2" s="1"/>
  <c r="FL24" i="2"/>
  <c r="FM24" i="2"/>
  <c r="FP24" i="2" s="1"/>
  <c r="FM27" i="2"/>
  <c r="FP27" i="2" s="1"/>
  <c r="FL27" i="2"/>
  <c r="FM41" i="2"/>
  <c r="FP41" i="2" s="1"/>
  <c r="FL41" i="2"/>
  <c r="FM44" i="2"/>
  <c r="FN44" i="2" s="1"/>
  <c r="FL44" i="2"/>
  <c r="FL84" i="2"/>
  <c r="FM84" i="2"/>
  <c r="FP84" i="2" s="1"/>
  <c r="FL87" i="2"/>
  <c r="FM87" i="2"/>
  <c r="FN87" i="2" s="1"/>
  <c r="FL117" i="2"/>
  <c r="FM117" i="2"/>
  <c r="FP117" i="2" s="1"/>
  <c r="FM125" i="2"/>
  <c r="FP125" i="2" s="1"/>
  <c r="FL125" i="2"/>
  <c r="FL132" i="2"/>
  <c r="FM132" i="2"/>
  <c r="FN132" i="2" s="1"/>
  <c r="FL146" i="2"/>
  <c r="FM146" i="2"/>
  <c r="FP146" i="2" s="1"/>
  <c r="FM153" i="2"/>
  <c r="FP153" i="2" s="1"/>
  <c r="FL153" i="2"/>
  <c r="FM156" i="2"/>
  <c r="FN156" i="2" s="1"/>
  <c r="FL156" i="2"/>
  <c r="FM188" i="2"/>
  <c r="FP188" i="2" s="1"/>
  <c r="FL188" i="2"/>
  <c r="FL214" i="2"/>
  <c r="FM214" i="2"/>
  <c r="FP214" i="2" s="1"/>
  <c r="FM238" i="2"/>
  <c r="FP238" i="2" s="1"/>
  <c r="FL238" i="2"/>
  <c r="FL102" i="2"/>
  <c r="FM102" i="2"/>
  <c r="FP102" i="2" s="1"/>
  <c r="FM390" i="2"/>
  <c r="FP390" i="2" s="1"/>
  <c r="FL390" i="2"/>
  <c r="FM293" i="2"/>
  <c r="FP293" i="2" s="1"/>
  <c r="FL293" i="2"/>
  <c r="FM296" i="2"/>
  <c r="FP296" i="2" s="1"/>
  <c r="FL296" i="2"/>
  <c r="FL349" i="2"/>
  <c r="FM349" i="2"/>
  <c r="FP349" i="2" s="1"/>
  <c r="FL367" i="2"/>
  <c r="FM367" i="2"/>
  <c r="FO367" i="2" s="1"/>
  <c r="GJ367" i="2" s="1"/>
  <c r="FL379" i="2"/>
  <c r="FM379" i="2"/>
  <c r="FN379" i="2" s="1"/>
  <c r="FL385" i="2"/>
  <c r="FM385" i="2"/>
  <c r="FM29" i="2"/>
  <c r="FP29" i="2" s="1"/>
  <c r="FL29" i="2"/>
  <c r="FM14" i="2"/>
  <c r="FP14" i="2" s="1"/>
  <c r="FL14" i="2"/>
  <c r="FL37" i="2"/>
  <c r="FM37" i="2"/>
  <c r="FP37" i="2" s="1"/>
  <c r="FL66" i="2"/>
  <c r="FM66" i="2"/>
  <c r="FP66" i="2" s="1"/>
  <c r="FM90" i="2"/>
  <c r="FP90" i="2" s="1"/>
  <c r="FL90" i="2"/>
  <c r="FL100" i="2"/>
  <c r="FM100" i="2"/>
  <c r="FP100" i="2" s="1"/>
  <c r="FM107" i="2"/>
  <c r="FP107" i="2" s="1"/>
  <c r="FL107" i="2"/>
  <c r="FL162" i="2"/>
  <c r="FM162" i="2"/>
  <c r="FP162" i="2" s="1"/>
  <c r="FM174" i="2"/>
  <c r="FP174" i="2" s="1"/>
  <c r="FL174" i="2"/>
  <c r="FL177" i="2"/>
  <c r="FM177" i="2"/>
  <c r="FP177" i="2" s="1"/>
  <c r="FM184" i="2"/>
  <c r="FP184" i="2" s="1"/>
  <c r="FL184" i="2"/>
  <c r="FL195" i="2"/>
  <c r="FM195" i="2"/>
  <c r="FP195" i="2" s="1"/>
  <c r="FL207" i="2"/>
  <c r="FM207" i="2"/>
  <c r="FM226" i="2"/>
  <c r="FN226" i="2" s="1"/>
  <c r="FL226" i="2"/>
  <c r="FL231" i="2"/>
  <c r="FM231" i="2"/>
  <c r="FN231" i="2" s="1"/>
  <c r="FL247" i="2"/>
  <c r="FM247" i="2"/>
  <c r="FP247" i="2" s="1"/>
  <c r="FM262" i="2"/>
  <c r="FP262" i="2" s="1"/>
  <c r="FL262" i="2"/>
  <c r="FL283" i="2"/>
  <c r="FM283" i="2"/>
  <c r="FP283" i="2" s="1"/>
  <c r="FL287" i="2"/>
  <c r="FM287" i="2"/>
  <c r="FP287" i="2" s="1"/>
  <c r="FL299" i="2"/>
  <c r="FM299" i="2"/>
  <c r="FM314" i="2"/>
  <c r="FP314" i="2" s="1"/>
  <c r="FL314" i="2"/>
  <c r="FL317" i="2"/>
  <c r="FM317" i="2"/>
  <c r="FP317" i="2" s="1"/>
  <c r="FM320" i="2"/>
  <c r="FP320" i="2" s="1"/>
  <c r="FL320" i="2"/>
  <c r="FL370" i="2"/>
  <c r="FM370" i="2"/>
  <c r="FO370" i="2" s="1"/>
  <c r="GJ370" i="2" s="1"/>
  <c r="FL382" i="2"/>
  <c r="FM382" i="2"/>
  <c r="FO382" i="2" s="1"/>
  <c r="GJ382" i="2" s="1"/>
  <c r="FM9" i="2"/>
  <c r="FP9" i="2" s="1"/>
  <c r="FL9" i="2"/>
  <c r="FM13" i="2"/>
  <c r="FP13" i="2" s="1"/>
  <c r="FL13" i="2"/>
  <c r="FL33" i="2"/>
  <c r="FM33" i="2"/>
  <c r="FP33" i="2" s="1"/>
  <c r="FL51" i="2"/>
  <c r="FM51" i="2"/>
  <c r="FN51" i="2" s="1"/>
  <c r="FM93" i="2"/>
  <c r="FP93" i="2" s="1"/>
  <c r="FL93" i="2"/>
  <c r="FM110" i="2"/>
  <c r="FP110" i="2" s="1"/>
  <c r="FL110" i="2"/>
  <c r="FL113" i="2"/>
  <c r="FM113" i="2"/>
  <c r="FP113" i="2" s="1"/>
  <c r="FM47" i="2"/>
  <c r="FP47" i="2" s="1"/>
  <c r="FL47" i="2"/>
  <c r="FL135" i="2"/>
  <c r="FM135" i="2"/>
  <c r="FP135" i="2" s="1"/>
  <c r="FM142" i="2"/>
  <c r="FP142" i="2" s="1"/>
  <c r="FL142" i="2"/>
  <c r="FL149" i="2"/>
  <c r="FM149" i="2"/>
  <c r="FP149" i="2" s="1"/>
  <c r="FL165" i="2"/>
  <c r="FM165" i="2"/>
  <c r="FP165" i="2" s="1"/>
  <c r="FL210" i="2"/>
  <c r="FM210" i="2"/>
  <c r="FN210" i="2" s="1"/>
  <c r="FL217" i="2"/>
  <c r="FM217" i="2"/>
  <c r="FP217" i="2" s="1"/>
  <c r="FM219" i="2"/>
  <c r="FN219" i="2" s="1"/>
  <c r="FL219" i="2"/>
  <c r="FM241" i="2"/>
  <c r="FP241" i="2" s="1"/>
  <c r="FL241" i="2"/>
  <c r="FL250" i="2"/>
  <c r="FM250" i="2"/>
  <c r="FP250" i="2" s="1"/>
  <c r="FM392" i="2"/>
  <c r="FP392" i="2" s="1"/>
  <c r="FL392" i="2"/>
  <c r="FL267" i="2"/>
  <c r="FM267" i="2"/>
  <c r="FN267" i="2" s="1"/>
  <c r="FL269" i="2"/>
  <c r="FM269" i="2"/>
  <c r="FP269" i="2" s="1"/>
  <c r="FM279" i="2"/>
  <c r="FP279" i="2" s="1"/>
  <c r="FL279" i="2"/>
  <c r="FL290" i="2"/>
  <c r="FM290" i="2"/>
  <c r="FP290" i="2" s="1"/>
  <c r="FL305" i="2"/>
  <c r="FM305" i="2"/>
  <c r="FP305" i="2" s="1"/>
  <c r="FM264" i="2"/>
  <c r="FP264" i="2" s="1"/>
  <c r="FL264" i="2"/>
  <c r="FL364" i="2"/>
  <c r="FM364" i="2"/>
  <c r="FN364" i="2" s="1"/>
  <c r="FM339" i="2"/>
  <c r="FP339" i="2" s="1"/>
  <c r="FL339" i="2"/>
  <c r="FM342" i="2"/>
  <c r="FP342" i="2" s="1"/>
  <c r="FL342" i="2"/>
  <c r="FM359" i="2"/>
  <c r="FP359" i="2" s="1"/>
  <c r="FL359" i="2"/>
  <c r="FL363" i="2"/>
  <c r="FM363" i="2"/>
  <c r="FP363" i="2" s="1"/>
  <c r="FM376" i="2"/>
  <c r="FO376" i="2" s="1"/>
  <c r="GJ376" i="2" s="1"/>
  <c r="FL376" i="2"/>
  <c r="FM388" i="2"/>
  <c r="FP388" i="2" s="1"/>
  <c r="FL388" i="2"/>
  <c r="FM295" i="2"/>
  <c r="FN295" i="2" s="1"/>
  <c r="FL295" i="2"/>
  <c r="FM60" i="2"/>
  <c r="FP60" i="2" s="1"/>
  <c r="FL60" i="2"/>
  <c r="FM63" i="2"/>
  <c r="FP63" i="2" s="1"/>
  <c r="FL63" i="2"/>
  <c r="FL69" i="2"/>
  <c r="FM69" i="2"/>
  <c r="FP69" i="2" s="1"/>
  <c r="FM73" i="2"/>
  <c r="FP73" i="2" s="1"/>
  <c r="FL73" i="2"/>
  <c r="FM77" i="2"/>
  <c r="FP77" i="2" s="1"/>
  <c r="FL77" i="2"/>
  <c r="FM96" i="2"/>
  <c r="FP96" i="2" s="1"/>
  <c r="FL96" i="2"/>
  <c r="FL120" i="2"/>
  <c r="FM120" i="2"/>
  <c r="FP120" i="2" s="1"/>
  <c r="FM138" i="2"/>
  <c r="FP138" i="2" s="1"/>
  <c r="FL138" i="2"/>
  <c r="FM159" i="2"/>
  <c r="FP159" i="2" s="1"/>
  <c r="FL159" i="2"/>
  <c r="FM11" i="2"/>
  <c r="FP11" i="2" s="1"/>
  <c r="FL11" i="2"/>
  <c r="FL180" i="2"/>
  <c r="FM180" i="2"/>
  <c r="FP180" i="2" s="1"/>
  <c r="FM203" i="2"/>
  <c r="FN203" i="2" s="1"/>
  <c r="FL203" i="2"/>
  <c r="FM222" i="2"/>
  <c r="FN222" i="2" s="1"/>
  <c r="FL222" i="2"/>
  <c r="FM257" i="2"/>
  <c r="FP257" i="2" s="1"/>
  <c r="FL257" i="2"/>
  <c r="FL259" i="2"/>
  <c r="FM259" i="2"/>
  <c r="FP259" i="2" s="1"/>
  <c r="FM272" i="2"/>
  <c r="FP272" i="2" s="1"/>
  <c r="FL272" i="2"/>
  <c r="FM275" i="2"/>
  <c r="FP275" i="2" s="1"/>
  <c r="FL275" i="2"/>
  <c r="FL302" i="2"/>
  <c r="FM302" i="2"/>
  <c r="FN302" i="2" s="1"/>
  <c r="FM327" i="2"/>
  <c r="FP327" i="2" s="1"/>
  <c r="FL327" i="2"/>
  <c r="FM330" i="2"/>
  <c r="FP330" i="2" s="1"/>
  <c r="FL330" i="2"/>
  <c r="FL333" i="2"/>
  <c r="FM333" i="2"/>
  <c r="FP333" i="2" s="1"/>
  <c r="FM336" i="2"/>
  <c r="FN336" i="2" s="1"/>
  <c r="FL336" i="2"/>
  <c r="FM345" i="2"/>
  <c r="FP345" i="2" s="1"/>
  <c r="FL345" i="2"/>
  <c r="FM373" i="2"/>
  <c r="FP373" i="2" s="1"/>
  <c r="FL373" i="2"/>
  <c r="FM16" i="2"/>
  <c r="FP16" i="2" s="1"/>
  <c r="FL16" i="2"/>
  <c r="FL20" i="2"/>
  <c r="FM20" i="2"/>
  <c r="FP20" i="2" s="1"/>
  <c r="FL40" i="2"/>
  <c r="FM40" i="2"/>
  <c r="FP40" i="2" s="1"/>
  <c r="FL54" i="2"/>
  <c r="FM54" i="2"/>
  <c r="FP54" i="2" s="1"/>
  <c r="FM57" i="2"/>
  <c r="FN57" i="2" s="1"/>
  <c r="FL57" i="2"/>
  <c r="FL103" i="2"/>
  <c r="FM103" i="2"/>
  <c r="FO103" i="2" s="1"/>
  <c r="GJ103" i="2" s="1"/>
  <c r="FM124" i="2"/>
  <c r="FN124" i="2" s="1"/>
  <c r="FL124" i="2"/>
  <c r="FL145" i="2"/>
  <c r="FM145" i="2"/>
  <c r="FP145" i="2" s="1"/>
  <c r="FM155" i="2"/>
  <c r="FP155" i="2" s="1"/>
  <c r="FL155" i="2"/>
  <c r="FM170" i="2"/>
  <c r="FP170" i="2" s="1"/>
  <c r="FL170" i="2"/>
  <c r="FM187" i="2"/>
  <c r="FP187" i="2" s="1"/>
  <c r="FL187" i="2"/>
  <c r="FL191" i="2"/>
  <c r="FM191" i="2"/>
  <c r="FP191" i="2" s="1"/>
  <c r="FL213" i="2"/>
  <c r="FM213" i="2"/>
  <c r="FP213" i="2" s="1"/>
  <c r="FL234" i="2"/>
  <c r="FM234" i="2"/>
  <c r="FP234" i="2" s="1"/>
  <c r="FM237" i="2"/>
  <c r="FN237" i="2" s="1"/>
  <c r="FL237" i="2"/>
  <c r="FL254" i="2"/>
  <c r="FM254" i="2"/>
  <c r="FP254" i="2" s="1"/>
  <c r="FL311" i="2"/>
  <c r="FM311" i="2"/>
  <c r="FP311" i="2" s="1"/>
  <c r="FM323" i="2"/>
  <c r="FP323" i="2" s="1"/>
  <c r="FL323" i="2"/>
  <c r="FL348" i="2"/>
  <c r="FM348" i="2"/>
  <c r="FN348" i="2" s="1"/>
  <c r="FM352" i="2"/>
  <c r="FP352" i="2" s="1"/>
  <c r="FL352" i="2"/>
  <c r="FL366" i="2"/>
  <c r="FM366" i="2"/>
  <c r="FP366" i="2" s="1"/>
  <c r="FM391" i="2"/>
  <c r="FP391" i="2" s="1"/>
  <c r="FL391" i="2"/>
  <c r="FL23" i="2"/>
  <c r="FM23" i="2"/>
  <c r="FP23" i="2" s="1"/>
  <c r="FM26" i="2"/>
  <c r="FP26" i="2" s="1"/>
  <c r="FL26" i="2"/>
  <c r="FL36" i="2"/>
  <c r="FM36" i="2"/>
  <c r="FP36" i="2" s="1"/>
  <c r="FM111" i="2"/>
  <c r="FN111" i="2" s="1"/>
  <c r="FL111" i="2"/>
  <c r="FL65" i="2"/>
  <c r="FM65" i="2"/>
  <c r="FP65" i="2" s="1"/>
  <c r="FM80" i="2"/>
  <c r="FP80" i="2" s="1"/>
  <c r="FL80" i="2"/>
  <c r="FL83" i="2"/>
  <c r="FM83" i="2"/>
  <c r="FO83" i="2" s="1"/>
  <c r="GJ83" i="2" s="1"/>
  <c r="FL86" i="2"/>
  <c r="FM86" i="2"/>
  <c r="FP86" i="2" s="1"/>
  <c r="FL99" i="2"/>
  <c r="FM99" i="2"/>
  <c r="FP99" i="2" s="1"/>
  <c r="FM106" i="2"/>
  <c r="FP106" i="2" s="1"/>
  <c r="FL106" i="2"/>
  <c r="FL198" i="2"/>
  <c r="FM198" i="2"/>
  <c r="FP198" i="2" s="1"/>
  <c r="FL131" i="2"/>
  <c r="FM131" i="2"/>
  <c r="FO131" i="2" s="1"/>
  <c r="GJ131" i="2" s="1"/>
  <c r="FL152" i="2"/>
  <c r="FM152" i="2"/>
  <c r="FO152" i="2" s="1"/>
  <c r="GJ152" i="2" s="1"/>
  <c r="FL176" i="2"/>
  <c r="FM176" i="2"/>
  <c r="FP176" i="2" s="1"/>
  <c r="FM183" i="2"/>
  <c r="FP183" i="2" s="1"/>
  <c r="FL183" i="2"/>
  <c r="FM225" i="2"/>
  <c r="FN225" i="2" s="1"/>
  <c r="FL225" i="2"/>
  <c r="FL230" i="2"/>
  <c r="FM230" i="2"/>
  <c r="FN230" i="2" s="1"/>
  <c r="FL246" i="2"/>
  <c r="FM246" i="2"/>
  <c r="FP246" i="2" s="1"/>
  <c r="FM308" i="2"/>
  <c r="FP308" i="2" s="1"/>
  <c r="FL308" i="2"/>
  <c r="FM282" i="2"/>
  <c r="FP282" i="2" s="1"/>
  <c r="FL282" i="2"/>
  <c r="FL286" i="2"/>
  <c r="FM286" i="2"/>
  <c r="FP286" i="2" s="1"/>
  <c r="FM355" i="2"/>
  <c r="FO355" i="2" s="1"/>
  <c r="GJ355" i="2" s="1"/>
  <c r="FL355" i="2"/>
  <c r="FM384" i="2"/>
  <c r="FL384" i="2"/>
  <c r="FL229" i="2"/>
  <c r="FM229" i="2"/>
  <c r="FN229" i="2" s="1"/>
  <c r="EV278" i="2"/>
  <c r="EY297" i="2"/>
  <c r="EY318" i="2"/>
  <c r="EY325" i="2"/>
  <c r="EY341" i="2"/>
  <c r="EX349" i="2"/>
  <c r="FQ357" i="2"/>
  <c r="FW357" i="2" s="1"/>
  <c r="FX357" i="2" s="1" a="1"/>
  <c r="FX357" i="2" s="1"/>
  <c r="FQ385" i="2"/>
  <c r="FW385" i="2" s="1"/>
  <c r="FX385" i="2" s="1" a="1"/>
  <c r="FX385" i="2" s="1"/>
  <c r="FQ43" i="2"/>
  <c r="FR43" i="2" s="1" a="1"/>
  <c r="FR43" i="2" s="1"/>
  <c r="EY158" i="2"/>
  <c r="EY186" i="2"/>
  <c r="EX270" i="2"/>
  <c r="EX386" i="2"/>
  <c r="EY371" i="2"/>
  <c r="EV378" i="2"/>
  <c r="FQ391" i="2"/>
  <c r="FW391" i="2" s="1"/>
  <c r="FX391" i="2" s="1" a="1"/>
  <c r="FX391" i="2" s="1"/>
  <c r="EY42" i="2"/>
  <c r="EY178" i="2"/>
  <c r="EY224" i="2"/>
  <c r="EY166" i="2"/>
  <c r="FQ93" i="2"/>
  <c r="FW93" i="2" s="1"/>
  <c r="FX93" i="2" s="1" a="1"/>
  <c r="FX93" i="2" s="1"/>
  <c r="EY127" i="2"/>
  <c r="EY142" i="2"/>
  <c r="EY157" i="2"/>
  <c r="EX170" i="2"/>
  <c r="EY185" i="2"/>
  <c r="EY263" i="2"/>
  <c r="EV277" i="2"/>
  <c r="EY296" i="2"/>
  <c r="EY304" i="2"/>
  <c r="EY324" i="2"/>
  <c r="EY340" i="2"/>
  <c r="EX348" i="2"/>
  <c r="FQ384" i="2"/>
  <c r="FW384" i="2" s="1"/>
  <c r="FX384" i="2" s="1" a="1"/>
  <c r="FX384" i="2" s="1"/>
  <c r="EY35" i="2"/>
  <c r="EY192" i="2"/>
  <c r="EX234" i="2"/>
  <c r="EY269" i="2"/>
  <c r="EY291" i="2"/>
  <c r="EY377" i="2"/>
  <c r="EY76" i="2"/>
  <c r="EY84" i="2"/>
  <c r="FQ92" i="2"/>
  <c r="FW92" i="2" s="1"/>
  <c r="FX92" i="2" s="1" a="1"/>
  <c r="FX92" i="2" s="1"/>
  <c r="FQ108" i="2"/>
  <c r="FR108" i="2" s="1" a="1"/>
  <c r="FR108" i="2" s="1"/>
  <c r="EX115" i="2"/>
  <c r="EY126" i="2"/>
  <c r="EX149" i="2"/>
  <c r="EY156" i="2"/>
  <c r="EX169" i="2"/>
  <c r="EY184" i="2"/>
  <c r="EV392" i="2"/>
  <c r="EV265" i="2"/>
  <c r="EX303" i="2"/>
  <c r="EY316" i="2"/>
  <c r="EY339" i="2"/>
  <c r="EY347" i="2"/>
  <c r="FQ355" i="2"/>
  <c r="FW355" i="2" s="1"/>
  <c r="FX355" i="2" s="1" a="1"/>
  <c r="FX355" i="2" s="1"/>
  <c r="EX363" i="2"/>
  <c r="EX370" i="2"/>
  <c r="FQ383" i="2"/>
  <c r="FW383" i="2" s="1"/>
  <c r="FX383" i="2" s="1" a="1"/>
  <c r="FX383" i="2" s="1"/>
  <c r="FQ78" i="2"/>
  <c r="FW78" i="2" s="1"/>
  <c r="FX78" i="2" s="1" a="1"/>
  <c r="FX78" i="2" s="1"/>
  <c r="EV16" i="2"/>
  <c r="EV32" i="2"/>
  <c r="EY295" i="2"/>
  <c r="EY62" i="2"/>
  <c r="EY67" i="2"/>
  <c r="EY141" i="2"/>
  <c r="EV203" i="2"/>
  <c r="EX217" i="2"/>
  <c r="EY222" i="2"/>
  <c r="EY233" i="2"/>
  <c r="EY268" i="2"/>
  <c r="EY376" i="2"/>
  <c r="FQ389" i="2"/>
  <c r="FW389" i="2" s="1"/>
  <c r="FX389" i="2" s="1" a="1"/>
  <c r="FX389" i="2" s="1"/>
  <c r="EY10" i="2"/>
  <c r="EV34" i="2"/>
  <c r="EY9" i="2"/>
  <c r="EV41" i="2"/>
  <c r="EY24" i="2"/>
  <c r="EX54" i="2"/>
  <c r="EY75" i="2"/>
  <c r="EY83" i="2"/>
  <c r="EX107" i="2"/>
  <c r="EY122" i="2"/>
  <c r="FQ133" i="2"/>
  <c r="FW133" i="2" s="1"/>
  <c r="FX133" i="2" s="1" a="1"/>
  <c r="FX133" i="2" s="1"/>
  <c r="EY155" i="2"/>
  <c r="EY183" i="2"/>
  <c r="EY251" i="2"/>
  <c r="FQ275" i="2"/>
  <c r="FW275" i="2" s="1"/>
  <c r="FX275" i="2" s="1" a="1"/>
  <c r="FX275" i="2" s="1"/>
  <c r="FQ290" i="2"/>
  <c r="FW290" i="2" s="1"/>
  <c r="FX290" i="2" s="1" a="1"/>
  <c r="FX290" i="2" s="1"/>
  <c r="EY309" i="2"/>
  <c r="EY346" i="2"/>
  <c r="EX362" i="2"/>
  <c r="EX369" i="2"/>
  <c r="EY17" i="2"/>
  <c r="EY48" i="2"/>
  <c r="EY15" i="2"/>
  <c r="EY31" i="2"/>
  <c r="EY61" i="2"/>
  <c r="EY140" i="2"/>
  <c r="EX216" i="2"/>
  <c r="EY232" i="2"/>
  <c r="EV238" i="2"/>
  <c r="FQ282" i="2"/>
  <c r="FW282" i="2" s="1"/>
  <c r="FX282" i="2" s="1" a="1"/>
  <c r="FX282" i="2" s="1"/>
  <c r="EY375" i="2"/>
  <c r="FQ382" i="2"/>
  <c r="FW382" i="2" s="1"/>
  <c r="FX382" i="2" s="1" a="1"/>
  <c r="FX382" i="2" s="1"/>
  <c r="EY26" i="2"/>
  <c r="EY23" i="2"/>
  <c r="EV39" i="2"/>
  <c r="EX53" i="2"/>
  <c r="EY66" i="2"/>
  <c r="EY74" i="2"/>
  <c r="EX113" i="2"/>
  <c r="EX121" i="2"/>
  <c r="EY124" i="2"/>
  <c r="FQ132" i="2"/>
  <c r="FW132" i="2" s="1"/>
  <c r="FX132" i="2" s="1" a="1"/>
  <c r="FX132" i="2" s="1"/>
  <c r="EY147" i="2"/>
  <c r="EY182" i="2"/>
  <c r="EY197" i="2"/>
  <c r="EY210" i="2"/>
  <c r="EY250" i="2"/>
  <c r="EY267" i="2"/>
  <c r="EV128" i="2"/>
  <c r="EV274" i="2"/>
  <c r="FQ289" i="2"/>
  <c r="FW289" i="2" s="1"/>
  <c r="FX289" i="2" s="1" a="1"/>
  <c r="FX289" i="2" s="1"/>
  <c r="EX294" i="2"/>
  <c r="EY314" i="2"/>
  <c r="FQ321" i="2"/>
  <c r="FW321" i="2" s="1"/>
  <c r="FX321" i="2" s="1" a="1"/>
  <c r="FX321" i="2" s="1"/>
  <c r="FQ329" i="2"/>
  <c r="FW329" i="2" s="1"/>
  <c r="FX329" i="2" s="1" a="1"/>
  <c r="FX329" i="2" s="1"/>
  <c r="EY337" i="2"/>
  <c r="EX368" i="2"/>
  <c r="FQ94" i="2"/>
  <c r="FW94" i="2" s="1"/>
  <c r="FX94" i="2" s="1" a="1"/>
  <c r="FX94" i="2" s="1"/>
  <c r="EY143" i="2"/>
  <c r="EX116" i="2"/>
  <c r="EY14" i="2"/>
  <c r="EY45" i="2"/>
  <c r="EY60" i="2"/>
  <c r="EY139" i="2"/>
  <c r="EY154" i="2"/>
  <c r="FQ220" i="2"/>
  <c r="FW220" i="2" s="1"/>
  <c r="FX220" i="2" s="1" a="1"/>
  <c r="FX220" i="2" s="1"/>
  <c r="EY231" i="2"/>
  <c r="EY264" i="2"/>
  <c r="EY374" i="2"/>
  <c r="FQ229" i="2"/>
  <c r="FR229" i="2" s="1" a="1"/>
  <c r="FR229" i="2" s="1"/>
  <c r="EY86" i="2"/>
  <c r="EY25" i="2"/>
  <c r="EY22" i="2"/>
  <c r="EV38" i="2"/>
  <c r="FQ52" i="2"/>
  <c r="FW52" i="2" s="1"/>
  <c r="FX52" i="2" s="1" a="1"/>
  <c r="FX52" i="2" s="1"/>
  <c r="EY65" i="2"/>
  <c r="EY73" i="2"/>
  <c r="EV81" i="2"/>
  <c r="EY89" i="2"/>
  <c r="EX105" i="2"/>
  <c r="EX112" i="2"/>
  <c r="EX120" i="2"/>
  <c r="EY123" i="2"/>
  <c r="EY146" i="2"/>
  <c r="EY181" i="2"/>
  <c r="EY189" i="2"/>
  <c r="EY196" i="2"/>
  <c r="EV288" i="2"/>
  <c r="FQ300" i="2"/>
  <c r="FW300" i="2" s="1"/>
  <c r="FX300" i="2" s="1" a="1"/>
  <c r="FX300" i="2" s="1"/>
  <c r="EY336" i="2"/>
  <c r="EX344" i="2"/>
  <c r="EX352" i="2"/>
  <c r="EX360" i="2"/>
  <c r="EX367" i="2"/>
  <c r="EY63" i="2"/>
  <c r="EX13" i="2"/>
  <c r="EY29" i="2"/>
  <c r="EY44" i="2"/>
  <c r="EY59" i="2"/>
  <c r="FQ219" i="2"/>
  <c r="FW219" i="2" s="1"/>
  <c r="FX219" i="2" s="1" a="1"/>
  <c r="FX219" i="2" s="1"/>
  <c r="EY320" i="2"/>
  <c r="EY373" i="2"/>
  <c r="EY381" i="2"/>
  <c r="FQ110" i="2"/>
  <c r="FW110" i="2" s="1"/>
  <c r="FX110" i="2" s="1" a="1"/>
  <c r="FX110" i="2" s="1"/>
  <c r="EY69" i="2"/>
  <c r="EY21" i="2"/>
  <c r="EV37" i="2"/>
  <c r="EX51" i="2"/>
  <c r="EY72" i="2"/>
  <c r="EY80" i="2"/>
  <c r="EY88" i="2"/>
  <c r="FQ96" i="2"/>
  <c r="FW96" i="2" s="1"/>
  <c r="FX96" i="2" s="1" a="1"/>
  <c r="FX96" i="2" s="1"/>
  <c r="EX119" i="2"/>
  <c r="EX130" i="2"/>
  <c r="EY138" i="2"/>
  <c r="EY145" i="2"/>
  <c r="EX153" i="2"/>
  <c r="EY180" i="2"/>
  <c r="EY188" i="2"/>
  <c r="EY195" i="2"/>
  <c r="EY299" i="2"/>
  <c r="EY307" i="2"/>
  <c r="EX312" i="2"/>
  <c r="FQ327" i="2"/>
  <c r="FR327" i="2" s="1" a="1"/>
  <c r="FR327" i="2" s="1"/>
  <c r="EY335" i="2"/>
  <c r="EX343" i="2"/>
  <c r="EX351" i="2"/>
  <c r="EX359" i="2"/>
  <c r="EX366" i="2"/>
  <c r="EX12" i="2"/>
  <c r="EY28" i="2"/>
  <c r="EY111" i="2"/>
  <c r="EY58" i="2"/>
  <c r="EY226" i="2"/>
  <c r="EY235" i="2"/>
  <c r="EY272" i="2"/>
  <c r="FQ393" i="2"/>
  <c r="FW393" i="2" s="1"/>
  <c r="FX393" i="2" s="1" a="1"/>
  <c r="FX393" i="2" s="1"/>
  <c r="EV33" i="2"/>
  <c r="EY20" i="2"/>
  <c r="EV36" i="2"/>
  <c r="EY71" i="2"/>
  <c r="EY79" i="2"/>
  <c r="FQ103" i="2"/>
  <c r="FW103" i="2" s="1"/>
  <c r="FX103" i="2" s="1" a="1"/>
  <c r="FX103" i="2" s="1"/>
  <c r="EX118" i="2"/>
  <c r="EX129" i="2"/>
  <c r="EY137" i="2"/>
  <c r="EY144" i="2"/>
  <c r="FQ152" i="2"/>
  <c r="FW152" i="2" s="1"/>
  <c r="FX152" i="2" s="1" a="1"/>
  <c r="FX152" i="2" s="1"/>
  <c r="EV159" i="2"/>
  <c r="EX172" i="2"/>
  <c r="EY179" i="2"/>
  <c r="EY187" i="2"/>
  <c r="EY194" i="2"/>
  <c r="EY306" i="2"/>
  <c r="EY319" i="2"/>
  <c r="EY334" i="2"/>
  <c r="EY342" i="2"/>
  <c r="EX350" i="2"/>
  <c r="FQ358" i="2"/>
  <c r="FW358" i="2" s="1"/>
  <c r="FX358" i="2" s="1" a="1"/>
  <c r="FX358" i="2" s="1"/>
  <c r="EX365" i="2"/>
  <c r="EY77" i="2"/>
  <c r="EX356" i="2"/>
  <c r="EY27" i="2"/>
  <c r="EY70" i="2"/>
  <c r="EY225" i="2"/>
  <c r="EX262" i="2"/>
  <c r="EY271" i="2"/>
  <c r="FQ286" i="2"/>
  <c r="FW286" i="2" s="1"/>
  <c r="FX286" i="2" s="1" a="1"/>
  <c r="FX286" i="2" s="1"/>
  <c r="DG64" i="2"/>
  <c r="DH64" i="2" s="1"/>
  <c r="CZ64" i="2"/>
  <c r="GO64" i="2"/>
  <c r="GS64" i="2"/>
  <c r="GS244" i="2"/>
  <c r="GS257" i="2"/>
  <c r="GH161" i="2"/>
  <c r="X161" i="2"/>
  <c r="AA161" i="2" s="1"/>
  <c r="AN161" i="2"/>
  <c r="BY395" i="2"/>
  <c r="EJ395" i="2"/>
  <c r="BJ395" i="2"/>
  <c r="S395" i="2"/>
  <c r="GM395" i="2"/>
  <c r="AM395" i="2"/>
  <c r="GS252" i="2"/>
  <c r="CZ201" i="2"/>
  <c r="GO201" i="2"/>
  <c r="GU201" i="2" s="1"/>
  <c r="DG292" i="2"/>
  <c r="DH292" i="2" s="1"/>
  <c r="CZ292" i="2"/>
  <c r="GO292" i="2"/>
  <c r="GT292" i="2" s="1"/>
  <c r="CG401" i="2"/>
  <c r="GH235" i="2"/>
  <c r="CG398" i="2"/>
  <c r="CG400" i="2"/>
  <c r="CZ167" i="2"/>
  <c r="GO167" i="2"/>
  <c r="EG378" i="2"/>
  <c r="DA372" i="2"/>
  <c r="DB372" i="2" s="1"/>
  <c r="CW372" i="2"/>
  <c r="GA203" i="2"/>
  <c r="DH220" i="2"/>
  <c r="FZ318" i="2"/>
  <c r="BK160" i="2"/>
  <c r="CL160" i="2" s="1"/>
  <c r="X56" i="2"/>
  <c r="AA56" i="2" s="1"/>
  <c r="DV224" i="2"/>
  <c r="DW224" i="2" s="1"/>
  <c r="CG83" i="2"/>
  <c r="EY366" i="2"/>
  <c r="DH109" i="2"/>
  <c r="CG268" i="2"/>
  <c r="CG276" i="2"/>
  <c r="CG50" i="2"/>
  <c r="BK381" i="2"/>
  <c r="CL381" i="2" s="1"/>
  <c r="X21" i="2"/>
  <c r="AA21" i="2" s="1"/>
  <c r="DG293" i="2"/>
  <c r="CG346" i="2"/>
  <c r="T308" i="2"/>
  <c r="U308" i="2" s="1"/>
  <c r="CW295" i="2"/>
  <c r="EX21" i="2"/>
  <c r="CR283" i="2"/>
  <c r="BK293" i="2"/>
  <c r="CL293" i="2" s="1"/>
  <c r="GA296" i="2"/>
  <c r="CG353" i="2"/>
  <c r="BK324" i="2"/>
  <c r="CL324" i="2" s="1"/>
  <c r="DU373" i="2"/>
  <c r="EG373" i="2" s="1"/>
  <c r="Y44" i="2"/>
  <c r="AB44" i="2" s="1"/>
  <c r="X140" i="2"/>
  <c r="AA140" i="2" s="1"/>
  <c r="DG72" i="2"/>
  <c r="FZ326" i="2"/>
  <c r="BK25" i="2"/>
  <c r="CL25" i="2" s="1"/>
  <c r="DG63" i="2"/>
  <c r="DH74" i="2"/>
  <c r="BM254" i="2"/>
  <c r="BN254" i="2" s="1"/>
  <c r="GA321" i="2"/>
  <c r="GT339" i="2"/>
  <c r="X391" i="2"/>
  <c r="AA391" i="2" s="1"/>
  <c r="DH182" i="2"/>
  <c r="GA235" i="2"/>
  <c r="DO324" i="2"/>
  <c r="DY324" i="2" s="1"/>
  <c r="DZ324" i="2" s="1"/>
  <c r="EA324" i="2" s="1"/>
  <c r="GA383" i="2"/>
  <c r="Y391" i="2"/>
  <c r="DH71" i="2"/>
  <c r="EY129" i="2"/>
  <c r="BM341" i="2"/>
  <c r="BN341" i="2" s="1"/>
  <c r="EX34" i="2"/>
  <c r="Y382" i="2"/>
  <c r="AB382" i="2" s="1"/>
  <c r="CG116" i="2"/>
  <c r="EV374" i="2"/>
  <c r="CR381" i="2"/>
  <c r="CG107" i="2"/>
  <c r="Y77" i="2"/>
  <c r="AB77" i="2" s="1"/>
  <c r="CW226" i="2"/>
  <c r="BK362" i="2"/>
  <c r="CL362" i="2" s="1"/>
  <c r="CR365" i="2"/>
  <c r="EX374" i="2"/>
  <c r="BK122" i="2"/>
  <c r="CL122" i="2" s="1"/>
  <c r="EX289" i="2"/>
  <c r="CG54" i="2"/>
  <c r="BM347" i="2"/>
  <c r="BN347" i="2" s="1"/>
  <c r="BM348" i="2"/>
  <c r="BN348" i="2" s="1"/>
  <c r="EV43" i="2"/>
  <c r="CG127" i="2"/>
  <c r="CG279" i="2"/>
  <c r="DG316" i="2"/>
  <c r="EV348" i="2"/>
  <c r="DH78" i="2"/>
  <c r="DH266" i="2"/>
  <c r="Y362" i="2"/>
  <c r="Z362" i="2" s="1"/>
  <c r="Y326" i="2"/>
  <c r="AB326" i="2" s="1"/>
  <c r="CW326" i="2"/>
  <c r="EY348" i="2"/>
  <c r="BK68" i="2"/>
  <c r="CL68" i="2" s="1"/>
  <c r="FZ280" i="2"/>
  <c r="BM294" i="2"/>
  <c r="BN294" i="2" s="1"/>
  <c r="CR324" i="2"/>
  <c r="CR325" i="2"/>
  <c r="CR361" i="2"/>
  <c r="Y53" i="2"/>
  <c r="AB53" i="2" s="1"/>
  <c r="CG275" i="2"/>
  <c r="FZ276" i="2"/>
  <c r="CR18" i="2"/>
  <c r="CR111" i="2"/>
  <c r="DG105" i="2"/>
  <c r="X134" i="2"/>
  <c r="AA134" i="2" s="1"/>
  <c r="CG134" i="2"/>
  <c r="DH191" i="2"/>
  <c r="Y197" i="2"/>
  <c r="AB197" i="2" s="1"/>
  <c r="BM181" i="2"/>
  <c r="BN181" i="2" s="1"/>
  <c r="Y202" i="2"/>
  <c r="AB202" i="2" s="1"/>
  <c r="EV210" i="2"/>
  <c r="GA180" i="2"/>
  <c r="EV189" i="2"/>
  <c r="DA42" i="2"/>
  <c r="DB42" i="2" s="1"/>
  <c r="CG87" i="2"/>
  <c r="Y129" i="2"/>
  <c r="AB129" i="2" s="1"/>
  <c r="EV156" i="2"/>
  <c r="DA213" i="2"/>
  <c r="DB213" i="2" s="1"/>
  <c r="BK222" i="2"/>
  <c r="CL222" i="2" s="1"/>
  <c r="EV225" i="2"/>
  <c r="Y392" i="2"/>
  <c r="AB392" i="2" s="1"/>
  <c r="CG297" i="2"/>
  <c r="X329" i="2"/>
  <c r="AA329" i="2" s="1"/>
  <c r="GA334" i="2"/>
  <c r="X347" i="2"/>
  <c r="Z347" i="2" s="1"/>
  <c r="BK352" i="2"/>
  <c r="CL352" i="2" s="1"/>
  <c r="CR366" i="2"/>
  <c r="BK27" i="2"/>
  <c r="CL27" i="2" s="1"/>
  <c r="FQ116" i="2"/>
  <c r="FW116" i="2" s="1"/>
  <c r="FX116" i="2" s="1" a="1"/>
  <c r="FX116" i="2" s="1"/>
  <c r="DA111" i="2"/>
  <c r="DB111" i="2" s="1"/>
  <c r="DA69" i="2"/>
  <c r="DB69" i="2" s="1"/>
  <c r="Y112" i="2"/>
  <c r="AB112" i="2" s="1"/>
  <c r="X159" i="2"/>
  <c r="AA159" i="2" s="1"/>
  <c r="X179" i="2"/>
  <c r="AA179" i="2" s="1"/>
  <c r="EV222" i="2"/>
  <c r="X251" i="2"/>
  <c r="AA251" i="2" s="1"/>
  <c r="DO30" i="2"/>
  <c r="DS30" i="2" s="1"/>
  <c r="X299" i="2"/>
  <c r="AA299" i="2" s="1"/>
  <c r="DS314" i="2"/>
  <c r="FZ333" i="2"/>
  <c r="Y348" i="2"/>
  <c r="AB348" i="2" s="1"/>
  <c r="DG383" i="2"/>
  <c r="DG61" i="2"/>
  <c r="Y14" i="2"/>
  <c r="AB14" i="2" s="1"/>
  <c r="BM103" i="2"/>
  <c r="BN103" i="2" s="1"/>
  <c r="Y163" i="2"/>
  <c r="AB163" i="2" s="1"/>
  <c r="X176" i="2"/>
  <c r="Z176" i="2" s="1"/>
  <c r="CW212" i="2"/>
  <c r="EY352" i="2"/>
  <c r="FZ361" i="2"/>
  <c r="DV378" i="2"/>
  <c r="DW378" i="2" s="1"/>
  <c r="GA335" i="2"/>
  <c r="X114" i="2"/>
  <c r="AA114" i="2" s="1"/>
  <c r="X117" i="2"/>
  <c r="AA117" i="2" s="1"/>
  <c r="X118" i="2"/>
  <c r="AA118" i="2" s="1"/>
  <c r="DG151" i="2"/>
  <c r="DG152" i="2"/>
  <c r="FZ162" i="2"/>
  <c r="FZ165" i="2"/>
  <c r="DH199" i="2"/>
  <c r="EY349" i="2"/>
  <c r="EY350" i="2"/>
  <c r="CG198" i="2"/>
  <c r="FQ169" i="2"/>
  <c r="FW169" i="2" s="1"/>
  <c r="FX169" i="2" s="1" a="1"/>
  <c r="FX169" i="2" s="1"/>
  <c r="GA201" i="2"/>
  <c r="FZ249" i="2"/>
  <c r="Y26" i="2"/>
  <c r="AB26" i="2" s="1"/>
  <c r="DU32" i="2"/>
  <c r="EG32" i="2" s="1"/>
  <c r="DG36" i="2"/>
  <c r="EX76" i="2"/>
  <c r="BK313" i="2"/>
  <c r="CL313" i="2" s="1"/>
  <c r="GA145" i="2"/>
  <c r="FQ225" i="2"/>
  <c r="FW225" i="2" s="1"/>
  <c r="FX225" i="2" s="1" a="1"/>
  <c r="FX225" i="2" s="1"/>
  <c r="DV230" i="2"/>
  <c r="DW230" i="2" s="1"/>
  <c r="CW238" i="2"/>
  <c r="GH392" i="2"/>
  <c r="X349" i="2"/>
  <c r="AA349" i="2" s="1"/>
  <c r="FZ355" i="2"/>
  <c r="BK60" i="2"/>
  <c r="CL60" i="2" s="1"/>
  <c r="EX78" i="2"/>
  <c r="EY99" i="2"/>
  <c r="CW43" i="2"/>
  <c r="EV103" i="2"/>
  <c r="DA113" i="2"/>
  <c r="DB113" i="2" s="1"/>
  <c r="FZ115" i="2"/>
  <c r="FZ118" i="2"/>
  <c r="FQ222" i="2"/>
  <c r="FW222" i="2" s="1"/>
  <c r="FX222" i="2" s="1" a="1"/>
  <c r="FX222" i="2" s="1"/>
  <c r="X260" i="2"/>
  <c r="AA260" i="2" s="1"/>
  <c r="DA287" i="2"/>
  <c r="DB287" i="2" s="1"/>
  <c r="GT363" i="2"/>
  <c r="CG58" i="2"/>
  <c r="EY78" i="2"/>
  <c r="CR141" i="2"/>
  <c r="FZ141" i="2"/>
  <c r="FZ205" i="2"/>
  <c r="BK217" i="2"/>
  <c r="CL217" i="2" s="1"/>
  <c r="BM376" i="2"/>
  <c r="BN376" i="2" s="1"/>
  <c r="EX59" i="2"/>
  <c r="EY103" i="2"/>
  <c r="EV217" i="2"/>
  <c r="DH288" i="2"/>
  <c r="EV320" i="2"/>
  <c r="BK368" i="2"/>
  <c r="CL368" i="2" s="1"/>
  <c r="GT121" i="2"/>
  <c r="DH262" i="2"/>
  <c r="FQ58" i="2"/>
  <c r="FW58" i="2" s="1"/>
  <c r="FX58" i="2" s="1" a="1"/>
  <c r="FX58" i="2" s="1"/>
  <c r="DA82" i="2"/>
  <c r="DB82" i="2" s="1"/>
  <c r="CW30" i="2"/>
  <c r="DU254" i="2"/>
  <c r="EG254" i="2" s="1"/>
  <c r="CR278" i="2"/>
  <c r="EX320" i="2"/>
  <c r="GA373" i="2"/>
  <c r="CG33" i="2"/>
  <c r="EY33" i="2"/>
  <c r="EX35" i="2"/>
  <c r="CG42" i="2"/>
  <c r="EX69" i="2"/>
  <c r="BM91" i="2"/>
  <c r="BN91" i="2" s="1"/>
  <c r="DA101" i="2"/>
  <c r="DB101" i="2" s="1"/>
  <c r="X104" i="2"/>
  <c r="AA104" i="2" s="1"/>
  <c r="CG104" i="2"/>
  <c r="BK47" i="2"/>
  <c r="CL47" i="2" s="1"/>
  <c r="X217" i="2"/>
  <c r="AA217" i="2" s="1"/>
  <c r="CW218" i="2"/>
  <c r="X231" i="2"/>
  <c r="AA231" i="2" s="1"/>
  <c r="CW231" i="2"/>
  <c r="DA98" i="2"/>
  <c r="DB98" i="2" s="1"/>
  <c r="CG323" i="2"/>
  <c r="Y370" i="2"/>
  <c r="AB370" i="2" s="1"/>
  <c r="Y383" i="2"/>
  <c r="AB383" i="2" s="1"/>
  <c r="Y19" i="2"/>
  <c r="AB19" i="2" s="1"/>
  <c r="X111" i="2"/>
  <c r="Z111" i="2" s="1"/>
  <c r="X46" i="2"/>
  <c r="AA46" i="2" s="1"/>
  <c r="EX94" i="2"/>
  <c r="CG218" i="2"/>
  <c r="FQ312" i="2"/>
  <c r="FW312" i="2" s="1"/>
  <c r="FX312" i="2" s="1" a="1"/>
  <c r="FX312" i="2" s="1"/>
  <c r="CW325" i="2"/>
  <c r="BM329" i="2"/>
  <c r="BN329" i="2" s="1"/>
  <c r="BM332" i="2"/>
  <c r="BN332" i="2" s="1"/>
  <c r="CW35" i="2"/>
  <c r="CR42" i="2"/>
  <c r="CG67" i="2"/>
  <c r="GT155" i="2"/>
  <c r="FQ231" i="2"/>
  <c r="FW231" i="2" s="1"/>
  <c r="FX231" i="2" s="1" a="1"/>
  <c r="FX231" i="2" s="1"/>
  <c r="FQ232" i="2"/>
  <c r="FW232" i="2" s="1"/>
  <c r="FX232" i="2" s="1" a="1"/>
  <c r="FX232" i="2" s="1"/>
  <c r="FQ319" i="2"/>
  <c r="FW319" i="2" s="1"/>
  <c r="FX319" i="2" s="1" a="1"/>
  <c r="FX319" i="2" s="1"/>
  <c r="CW386" i="2"/>
  <c r="X365" i="2"/>
  <c r="AA365" i="2" s="1"/>
  <c r="Y366" i="2"/>
  <c r="AB366" i="2" s="1"/>
  <c r="CW366" i="2"/>
  <c r="GA375" i="2"/>
  <c r="FQ378" i="2"/>
  <c r="FW378" i="2" s="1"/>
  <c r="FX378" i="2" s="1" a="1"/>
  <c r="FX378" i="2" s="1"/>
  <c r="DO41" i="2"/>
  <c r="EC41" i="2" s="1"/>
  <c r="DU41" i="2"/>
  <c r="EI41" i="2" s="1"/>
  <c r="CG49" i="2"/>
  <c r="BK50" i="2"/>
  <c r="CL50" i="2" s="1"/>
  <c r="DG58" i="2"/>
  <c r="FQ61" i="2"/>
  <c r="FW61" i="2" s="1"/>
  <c r="FX61" i="2" s="1" a="1"/>
  <c r="FX61" i="2" s="1"/>
  <c r="DA148" i="2"/>
  <c r="DB148" i="2" s="1"/>
  <c r="CW148" i="2"/>
  <c r="DA149" i="2"/>
  <c r="DB149" i="2" s="1"/>
  <c r="CG149" i="2"/>
  <c r="CW149" i="2"/>
  <c r="Y172" i="2"/>
  <c r="AB172" i="2" s="1"/>
  <c r="X172" i="2"/>
  <c r="AA172" i="2" s="1"/>
  <c r="EY221" i="2"/>
  <c r="EV221" i="2"/>
  <c r="FQ13" i="2"/>
  <c r="FW13" i="2" s="1"/>
  <c r="FX13" i="2" s="1" a="1"/>
  <c r="FX13" i="2" s="1"/>
  <c r="FZ18" i="2"/>
  <c r="GU22" i="2"/>
  <c r="DA84" i="2"/>
  <c r="DB84" i="2" s="1"/>
  <c r="Y148" i="2"/>
  <c r="AB148" i="2" s="1"/>
  <c r="FZ178" i="2"/>
  <c r="GA178" i="2"/>
  <c r="BM221" i="2"/>
  <c r="BN221" i="2" s="1"/>
  <c r="BK221" i="2"/>
  <c r="CL221" i="2" s="1"/>
  <c r="DH25" i="2"/>
  <c r="DA13" i="2"/>
  <c r="DB13" i="2" s="1"/>
  <c r="EX22" i="2"/>
  <c r="EX37" i="2"/>
  <c r="DG53" i="2"/>
  <c r="Y72" i="2"/>
  <c r="AB72" i="2" s="1"/>
  <c r="DQ156" i="2"/>
  <c r="DR156" i="2" s="1"/>
  <c r="DO184" i="2"/>
  <c r="EH184" i="2" s="1"/>
  <c r="EY223" i="2"/>
  <c r="FQ223" i="2"/>
  <c r="FW223" i="2" s="1"/>
  <c r="FX223" i="2" s="1" a="1"/>
  <c r="FX223" i="2" s="1"/>
  <c r="EX114" i="2"/>
  <c r="EY114" i="2"/>
  <c r="DA145" i="2"/>
  <c r="DB145" i="2" s="1"/>
  <c r="CR145" i="2"/>
  <c r="CR295" i="2"/>
  <c r="X50" i="2"/>
  <c r="AA50" i="2" s="1"/>
  <c r="DH60" i="2"/>
  <c r="DO70" i="2"/>
  <c r="EH70" i="2" s="1"/>
  <c r="CW114" i="2"/>
  <c r="CG114" i="2"/>
  <c r="DA122" i="2"/>
  <c r="DB122" i="2" s="1"/>
  <c r="CW122" i="2"/>
  <c r="EY191" i="2"/>
  <c r="FQ191" i="2"/>
  <c r="FR191" i="2" s="1" a="1"/>
  <c r="FR191" i="2" s="1"/>
  <c r="GA250" i="2"/>
  <c r="FZ250" i="2"/>
  <c r="GI44" i="2"/>
  <c r="GJ44" i="2" s="1"/>
  <c r="FQ72" i="2"/>
  <c r="FW72" i="2" s="1"/>
  <c r="FX72" i="2" s="1" a="1"/>
  <c r="FX72" i="2" s="1"/>
  <c r="BM99" i="2"/>
  <c r="BN99" i="2" s="1"/>
  <c r="BK99" i="2"/>
  <c r="CL99" i="2" s="1"/>
  <c r="BM292" i="2"/>
  <c r="BN292" i="2" s="1"/>
  <c r="BK292" i="2"/>
  <c r="DG19" i="2"/>
  <c r="FQ22" i="2"/>
  <c r="FW22" i="2" s="1"/>
  <c r="FX22" i="2" s="1" a="1"/>
  <c r="FX22" i="2" s="1"/>
  <c r="CG32" i="2"/>
  <c r="Y51" i="2"/>
  <c r="AB51" i="2" s="1"/>
  <c r="CG51" i="2"/>
  <c r="EV313" i="2"/>
  <c r="DO162" i="2"/>
  <c r="DS162" i="2" s="1"/>
  <c r="DU162" i="2"/>
  <c r="DV162" i="2" s="1"/>
  <c r="DW162" i="2" s="1"/>
  <c r="BK185" i="2"/>
  <c r="CL185" i="2" s="1"/>
  <c r="BM185" i="2"/>
  <c r="BN185" i="2" s="1"/>
  <c r="Y76" i="2"/>
  <c r="AB76" i="2" s="1"/>
  <c r="GU106" i="2"/>
  <c r="CW118" i="2"/>
  <c r="DA118" i="2"/>
  <c r="DB118" i="2" s="1"/>
  <c r="X132" i="2"/>
  <c r="AA132" i="2" s="1"/>
  <c r="Y132" i="2"/>
  <c r="AB132" i="2" s="1"/>
  <c r="EY230" i="2"/>
  <c r="FQ230" i="2"/>
  <c r="FW230" i="2" s="1"/>
  <c r="FX230" i="2" s="1" a="1"/>
  <c r="FX230" i="2" s="1"/>
  <c r="FQ24" i="2"/>
  <c r="FW24" i="2" s="1"/>
  <c r="FX24" i="2" s="1" a="1"/>
  <c r="FX24" i="2" s="1"/>
  <c r="EX33" i="2"/>
  <c r="BM56" i="2"/>
  <c r="BN56" i="2" s="1"/>
  <c r="BK66" i="2"/>
  <c r="CL66" i="2" s="1"/>
  <c r="GA72" i="2"/>
  <c r="Y78" i="2"/>
  <c r="AB78" i="2" s="1"/>
  <c r="FZ113" i="2"/>
  <c r="GA113" i="2"/>
  <c r="GA144" i="2"/>
  <c r="FZ144" i="2"/>
  <c r="BM230" i="2"/>
  <c r="BN230" i="2" s="1"/>
  <c r="BK230" i="2"/>
  <c r="CL230" i="2" s="1"/>
  <c r="EH244" i="2"/>
  <c r="DY244" i="2"/>
  <c r="DZ244" i="2" s="1"/>
  <c r="EA244" i="2" s="1"/>
  <c r="DQ244" i="2"/>
  <c r="DR244" i="2" s="1"/>
  <c r="FQ90" i="2"/>
  <c r="FW90" i="2" s="1"/>
  <c r="FX90" i="2" s="1" a="1"/>
  <c r="FX90" i="2" s="1"/>
  <c r="GU168" i="2"/>
  <c r="DG193" i="2"/>
  <c r="DH193" i="2"/>
  <c r="FQ32" i="2"/>
  <c r="FW32" i="2" s="1"/>
  <c r="FX32" i="2" s="1" a="1"/>
  <c r="FX32" i="2" s="1"/>
  <c r="EY34" i="2"/>
  <c r="BM35" i="2"/>
  <c r="BN35" i="2" s="1"/>
  <c r="DH38" i="2"/>
  <c r="CW53" i="2"/>
  <c r="FQ91" i="2"/>
  <c r="FW91" i="2" s="1"/>
  <c r="FX91" i="2" s="1" a="1"/>
  <c r="FX91" i="2" s="1"/>
  <c r="EY91" i="2"/>
  <c r="Y199" i="2"/>
  <c r="AB199" i="2" s="1"/>
  <c r="X199" i="2"/>
  <c r="AA199" i="2" s="1"/>
  <c r="CR217" i="2"/>
  <c r="CW217" i="2"/>
  <c r="DU22" i="2"/>
  <c r="EI22" i="2" s="1"/>
  <c r="CG53" i="2"/>
  <c r="EY53" i="2"/>
  <c r="EV88" i="2"/>
  <c r="X124" i="2"/>
  <c r="AA124" i="2" s="1"/>
  <c r="Y124" i="2"/>
  <c r="AB124" i="2" s="1"/>
  <c r="X252" i="2"/>
  <c r="AA252" i="2" s="1"/>
  <c r="Y252" i="2"/>
  <c r="AB252" i="2" s="1"/>
  <c r="DO361" i="2"/>
  <c r="EC361" i="2" s="1"/>
  <c r="DU361" i="2"/>
  <c r="EI361" i="2" s="1"/>
  <c r="FZ31" i="2"/>
  <c r="GA41" i="2"/>
  <c r="DH51" i="2"/>
  <c r="DG52" i="2"/>
  <c r="CG161" i="2"/>
  <c r="DG73" i="2"/>
  <c r="Y80" i="2"/>
  <c r="AB80" i="2" s="1"/>
  <c r="CG90" i="2"/>
  <c r="FZ190" i="2"/>
  <c r="GA190" i="2"/>
  <c r="Y10" i="2"/>
  <c r="AB10" i="2" s="1"/>
  <c r="FQ33" i="2"/>
  <c r="FW33" i="2" s="1"/>
  <c r="FX33" i="2" s="1" a="1"/>
  <c r="FX33" i="2" s="1"/>
  <c r="CG111" i="2"/>
  <c r="FZ55" i="2"/>
  <c r="FQ59" i="2"/>
  <c r="FW59" i="2" s="1"/>
  <c r="FX59" i="2" s="1" a="1"/>
  <c r="FX59" i="2" s="1"/>
  <c r="EX62" i="2"/>
  <c r="EX63" i="2"/>
  <c r="X83" i="2"/>
  <c r="AA83" i="2" s="1"/>
  <c r="DG114" i="2"/>
  <c r="X123" i="2"/>
  <c r="AA123" i="2" s="1"/>
  <c r="Y123" i="2"/>
  <c r="AB123" i="2" s="1"/>
  <c r="FZ132" i="2"/>
  <c r="GA133" i="2"/>
  <c r="FZ135" i="2"/>
  <c r="DU152" i="2"/>
  <c r="DV152" i="2" s="1"/>
  <c r="DW152" i="2" s="1"/>
  <c r="DO152" i="2"/>
  <c r="DS152" i="2" s="1"/>
  <c r="FQ95" i="2"/>
  <c r="FW95" i="2" s="1"/>
  <c r="FX95" i="2" s="1" a="1"/>
  <c r="FX95" i="2" s="1"/>
  <c r="EY95" i="2"/>
  <c r="Y13" i="2"/>
  <c r="AB13" i="2" s="1"/>
  <c r="GA12" i="2"/>
  <c r="EX19" i="2"/>
  <c r="DH23" i="2"/>
  <c r="CG36" i="2"/>
  <c r="Y88" i="2"/>
  <c r="AB88" i="2" s="1"/>
  <c r="BM172" i="2"/>
  <c r="BN172" i="2" s="1"/>
  <c r="BK172" i="2"/>
  <c r="CL172" i="2" s="1"/>
  <c r="DG237" i="2"/>
  <c r="DG281" i="2"/>
  <c r="GA297" i="2"/>
  <c r="BM302" i="2"/>
  <c r="BN302" i="2" s="1"/>
  <c r="GU303" i="2"/>
  <c r="BK369" i="2"/>
  <c r="CL369" i="2" s="1"/>
  <c r="BM372" i="2"/>
  <c r="BN372" i="2" s="1"/>
  <c r="DU346" i="2"/>
  <c r="EI346" i="2" s="1"/>
  <c r="GA347" i="2"/>
  <c r="BK365" i="2"/>
  <c r="CL365" i="2" s="1"/>
  <c r="GU372" i="2"/>
  <c r="EV376" i="2"/>
  <c r="CG121" i="2"/>
  <c r="CG145" i="2"/>
  <c r="CR170" i="2"/>
  <c r="EY217" i="2"/>
  <c r="X254" i="2"/>
  <c r="AA254" i="2" s="1"/>
  <c r="BM288" i="2"/>
  <c r="BN288" i="2" s="1"/>
  <c r="X301" i="2"/>
  <c r="Z301" i="2" s="1"/>
  <c r="DU314" i="2"/>
  <c r="DV314" i="2" s="1"/>
  <c r="DW314" i="2" s="1"/>
  <c r="FZ314" i="2"/>
  <c r="BK323" i="2"/>
  <c r="CL323" i="2" s="1"/>
  <c r="CR351" i="2"/>
  <c r="BK353" i="2"/>
  <c r="CL353" i="2" s="1"/>
  <c r="CR363" i="2"/>
  <c r="FQ367" i="2"/>
  <c r="FW367" i="2" s="1"/>
  <c r="FX367" i="2" s="1" a="1"/>
  <c r="FX367" i="2" s="1"/>
  <c r="X196" i="2"/>
  <c r="AA196" i="2" s="1"/>
  <c r="CW196" i="2"/>
  <c r="EX128" i="2"/>
  <c r="BM289" i="2"/>
  <c r="BN289" i="2" s="1"/>
  <c r="DA294" i="2"/>
  <c r="DB294" i="2" s="1"/>
  <c r="BM310" i="2"/>
  <c r="BN310" i="2" s="1"/>
  <c r="FZ315" i="2"/>
  <c r="Y317" i="2"/>
  <c r="AB317" i="2" s="1"/>
  <c r="CG386" i="2"/>
  <c r="DO374" i="2"/>
  <c r="EH374" i="2" s="1"/>
  <c r="FZ99" i="2"/>
  <c r="GU131" i="2"/>
  <c r="BK169" i="2"/>
  <c r="CL169" i="2" s="1"/>
  <c r="BM174" i="2"/>
  <c r="BN174" i="2" s="1"/>
  <c r="EV218" i="2"/>
  <c r="BK242" i="2"/>
  <c r="CL242" i="2" s="1"/>
  <c r="BM243" i="2"/>
  <c r="BN243" i="2" s="1"/>
  <c r="EY128" i="2"/>
  <c r="DS102" i="2"/>
  <c r="DG282" i="2"/>
  <c r="DG290" i="2"/>
  <c r="BK304" i="2"/>
  <c r="CL304" i="2" s="1"/>
  <c r="BK307" i="2"/>
  <c r="CL307" i="2" s="1"/>
  <c r="BM331" i="2"/>
  <c r="BN331" i="2" s="1"/>
  <c r="GT332" i="2"/>
  <c r="BM333" i="2"/>
  <c r="BN333" i="2" s="1"/>
  <c r="BK349" i="2"/>
  <c r="CL349" i="2" s="1"/>
  <c r="FZ121" i="2"/>
  <c r="CG146" i="2"/>
  <c r="EX154" i="2"/>
  <c r="DA170" i="2"/>
  <c r="DB170" i="2" s="1"/>
  <c r="BM179" i="2"/>
  <c r="BN179" i="2" s="1"/>
  <c r="BM180" i="2"/>
  <c r="BN180" i="2" s="1"/>
  <c r="BM184" i="2"/>
  <c r="BN184" i="2" s="1"/>
  <c r="DH187" i="2"/>
  <c r="X221" i="2"/>
  <c r="AA221" i="2" s="1"/>
  <c r="EV263" i="2"/>
  <c r="EX269" i="2"/>
  <c r="CR285" i="2"/>
  <c r="EV289" i="2"/>
  <c r="EX306" i="2"/>
  <c r="EX264" i="2"/>
  <c r="EX309" i="2"/>
  <c r="DU325" i="2"/>
  <c r="EI325" i="2" s="1"/>
  <c r="FQ371" i="2"/>
  <c r="FW371" i="2" s="1"/>
  <c r="FX371" i="2" s="1" a="1"/>
  <c r="FX371" i="2" s="1"/>
  <c r="EY43" i="2"/>
  <c r="DG104" i="2"/>
  <c r="DG198" i="2"/>
  <c r="DG117" i="2"/>
  <c r="CW153" i="2"/>
  <c r="CG154" i="2"/>
  <c r="GT158" i="2"/>
  <c r="FQ189" i="2"/>
  <c r="FR189" i="2" s="1" a="1"/>
  <c r="FR189" i="2" s="1"/>
  <c r="FQ217" i="2"/>
  <c r="FW217" i="2" s="1"/>
  <c r="FX217" i="2" s="1" a="1"/>
  <c r="FX217" i="2" s="1"/>
  <c r="X256" i="2"/>
  <c r="AA256" i="2" s="1"/>
  <c r="BM342" i="2"/>
  <c r="BN342" i="2" s="1"/>
  <c r="BM343" i="2"/>
  <c r="BN343" i="2" s="1"/>
  <c r="BM344" i="2"/>
  <c r="BN344" i="2" s="1"/>
  <c r="DA352" i="2"/>
  <c r="DB352" i="2" s="1"/>
  <c r="GA367" i="2"/>
  <c r="FQ376" i="2"/>
  <c r="FW376" i="2" s="1"/>
  <c r="FX376" i="2" s="1" a="1"/>
  <c r="FX376" i="2" s="1"/>
  <c r="EX378" i="2"/>
  <c r="FZ352" i="2"/>
  <c r="DH367" i="2"/>
  <c r="EY378" i="2"/>
  <c r="EY379" i="2"/>
  <c r="CR43" i="2"/>
  <c r="GT136" i="2"/>
  <c r="CG168" i="2"/>
  <c r="Y204" i="2"/>
  <c r="AB204" i="2" s="1"/>
  <c r="CW204" i="2"/>
  <c r="DV234" i="2"/>
  <c r="DW234" i="2" s="1"/>
  <c r="CW237" i="2"/>
  <c r="CW98" i="2"/>
  <c r="FN128" i="2"/>
  <c r="EX235" i="2"/>
  <c r="CG278" i="2"/>
  <c r="DG284" i="2"/>
  <c r="EY289" i="2"/>
  <c r="X304" i="2"/>
  <c r="Z304" i="2" s="1"/>
  <c r="FZ322" i="2"/>
  <c r="X340" i="2"/>
  <c r="AA340" i="2" s="1"/>
  <c r="CG343" i="2"/>
  <c r="EY343" i="2"/>
  <c r="FP372" i="2"/>
  <c r="CG169" i="2"/>
  <c r="EY169" i="2"/>
  <c r="FZ172" i="2"/>
  <c r="X206" i="2"/>
  <c r="AA206" i="2" s="1"/>
  <c r="EX210" i="2"/>
  <c r="CG243" i="2"/>
  <c r="FQ128" i="2"/>
  <c r="FW128" i="2" s="1"/>
  <c r="FX128" i="2" s="1" a="1"/>
  <c r="FX128" i="2" s="1"/>
  <c r="FQ269" i="2"/>
  <c r="FW269" i="2" s="1"/>
  <c r="FX269" i="2" s="1" a="1"/>
  <c r="FX269" i="2" s="1"/>
  <c r="CR275" i="2"/>
  <c r="CR364" i="2"/>
  <c r="EX318" i="2"/>
  <c r="DU321" i="2"/>
  <c r="DV321" i="2" s="1"/>
  <c r="DW321" i="2" s="1"/>
  <c r="EX324" i="2"/>
  <c r="X332" i="2"/>
  <c r="AA332" i="2" s="1"/>
  <c r="DH386" i="2"/>
  <c r="BM143" i="2"/>
  <c r="BN143" i="2" s="1"/>
  <c r="DH194" i="2"/>
  <c r="FZ208" i="2"/>
  <c r="CR30" i="2"/>
  <c r="FQ272" i="2"/>
  <c r="FW272" i="2" s="1"/>
  <c r="FX272" i="2" s="1" a="1"/>
  <c r="FX272" i="2" s="1"/>
  <c r="GU320" i="2"/>
  <c r="BK351" i="2"/>
  <c r="CL351" i="2" s="1"/>
  <c r="DH368" i="2"/>
  <c r="CG94" i="2"/>
  <c r="CG95" i="2"/>
  <c r="DG47" i="2"/>
  <c r="CR169" i="2"/>
  <c r="DO322" i="2"/>
  <c r="EH322" i="2" s="1"/>
  <c r="EV99" i="2"/>
  <c r="DH101" i="2"/>
  <c r="DG106" i="2"/>
  <c r="EX157" i="2"/>
  <c r="CG212" i="2"/>
  <c r="GA221" i="2"/>
  <c r="FQ235" i="2"/>
  <c r="FW235" i="2" s="1"/>
  <c r="FX235" i="2" s="1" a="1"/>
  <c r="FX235" i="2" s="1"/>
  <c r="EY282" i="2"/>
  <c r="CG298" i="2"/>
  <c r="EV299" i="2"/>
  <c r="BM300" i="2"/>
  <c r="BN300" i="2" s="1"/>
  <c r="DU317" i="2"/>
  <c r="EI317" i="2" s="1"/>
  <c r="BK386" i="2"/>
  <c r="CL386" i="2" s="1"/>
  <c r="GA365" i="2"/>
  <c r="BK367" i="2"/>
  <c r="CL367" i="2" s="1"/>
  <c r="BK64" i="2"/>
  <c r="BK228" i="2"/>
  <c r="CZ235" i="2"/>
  <c r="DA281" i="2"/>
  <c r="DB281" i="2" s="1"/>
  <c r="EX290" i="2"/>
  <c r="CG299" i="2"/>
  <c r="EV123" i="2"/>
  <c r="DQ155" i="2"/>
  <c r="DR155" i="2" s="1"/>
  <c r="X157" i="2"/>
  <c r="AA157" i="2" s="1"/>
  <c r="DU163" i="2"/>
  <c r="DV163" i="2" s="1"/>
  <c r="DW163" i="2" s="1"/>
  <c r="DA169" i="2"/>
  <c r="DB169" i="2" s="1"/>
  <c r="GA174" i="2"/>
  <c r="X214" i="2"/>
  <c r="AA214" i="2" s="1"/>
  <c r="CW214" i="2"/>
  <c r="CW232" i="2"/>
  <c r="GA237" i="2"/>
  <c r="DG273" i="2"/>
  <c r="FZ281" i="2"/>
  <c r="CR282" i="2"/>
  <c r="Y290" i="2"/>
  <c r="AB290" i="2" s="1"/>
  <c r="CG290" i="2"/>
  <c r="Y296" i="2"/>
  <c r="AB296" i="2" s="1"/>
  <c r="BK301" i="2"/>
  <c r="CL301" i="2" s="1"/>
  <c r="GA346" i="2"/>
  <c r="DG354" i="2"/>
  <c r="DH365" i="2"/>
  <c r="DO82" i="2"/>
  <c r="DQ82" i="2" s="1"/>
  <c r="DR82" i="2" s="1"/>
  <c r="DU82" i="2"/>
  <c r="EI82" i="2" s="1"/>
  <c r="DO33" i="2"/>
  <c r="DQ33" i="2" s="1"/>
  <c r="DR33" i="2" s="1"/>
  <c r="DU33" i="2"/>
  <c r="DV33" i="2" s="1"/>
  <c r="DW33" i="2" s="1"/>
  <c r="DO83" i="2"/>
  <c r="DQ83" i="2" s="1"/>
  <c r="DR83" i="2" s="1"/>
  <c r="DU83" i="2"/>
  <c r="EI83" i="2" s="1"/>
  <c r="DO20" i="2"/>
  <c r="EC20" i="2" s="1"/>
  <c r="DU20" i="2"/>
  <c r="DV20" i="2" s="1"/>
  <c r="DW20" i="2" s="1"/>
  <c r="DO47" i="2"/>
  <c r="EC47" i="2" s="1"/>
  <c r="DU47" i="2"/>
  <c r="EI47" i="2" s="1"/>
  <c r="DQ21" i="2"/>
  <c r="DR21" i="2" s="1"/>
  <c r="EC21" i="2"/>
  <c r="DS21" i="2"/>
  <c r="DU48" i="2"/>
  <c r="EG48" i="2" s="1"/>
  <c r="DO48" i="2"/>
  <c r="EH48" i="2" s="1"/>
  <c r="EH133" i="2"/>
  <c r="DQ133" i="2"/>
  <c r="DR133" i="2" s="1"/>
  <c r="EH51" i="2"/>
  <c r="EC51" i="2"/>
  <c r="DY51" i="2"/>
  <c r="DZ51" i="2" s="1"/>
  <c r="EA51" i="2" s="1"/>
  <c r="DS51" i="2"/>
  <c r="DO104" i="2"/>
  <c r="DY104" i="2" s="1"/>
  <c r="DZ104" i="2" s="1"/>
  <c r="EA104" i="2" s="1"/>
  <c r="DU104" i="2"/>
  <c r="EI104" i="2" s="1"/>
  <c r="DO10" i="2"/>
  <c r="DY10" i="2" s="1"/>
  <c r="DZ10" i="2" s="1"/>
  <c r="EA10" i="2" s="1"/>
  <c r="DU10" i="2"/>
  <c r="DV10" i="2" s="1"/>
  <c r="DW10" i="2" s="1"/>
  <c r="DO23" i="2"/>
  <c r="EC23" i="2" s="1"/>
  <c r="DU23" i="2"/>
  <c r="EG23" i="2" s="1"/>
  <c r="CG183" i="2"/>
  <c r="CR183" i="2"/>
  <c r="BK124" i="2"/>
  <c r="CL124" i="2" s="1"/>
  <c r="DG127" i="2"/>
  <c r="BM140" i="2"/>
  <c r="BN140" i="2" s="1"/>
  <c r="FZ142" i="2"/>
  <c r="GA164" i="2"/>
  <c r="FZ164" i="2"/>
  <c r="DS200" i="2"/>
  <c r="DQ200" i="2"/>
  <c r="DR200" i="2" s="1"/>
  <c r="EC200" i="2"/>
  <c r="DG111" i="2"/>
  <c r="DH49" i="2"/>
  <c r="BM111" i="2"/>
  <c r="BN111" i="2" s="1"/>
  <c r="GU48" i="2"/>
  <c r="GA50" i="2"/>
  <c r="BK161" i="2"/>
  <c r="CL161" i="2" s="1"/>
  <c r="CR66" i="2"/>
  <c r="CR70" i="2"/>
  <c r="EX70" i="2"/>
  <c r="Y73" i="2"/>
  <c r="AB73" i="2" s="1"/>
  <c r="BK87" i="2"/>
  <c r="CL87" i="2" s="1"/>
  <c r="EX90" i="2"/>
  <c r="EY94" i="2"/>
  <c r="BM101" i="2"/>
  <c r="BN101" i="2" s="1"/>
  <c r="GA198" i="2"/>
  <c r="DA120" i="2"/>
  <c r="DB120" i="2" s="1"/>
  <c r="FZ120" i="2"/>
  <c r="X133" i="2"/>
  <c r="AA133" i="2" s="1"/>
  <c r="CG143" i="2"/>
  <c r="CG150" i="2"/>
  <c r="EV157" i="2"/>
  <c r="BK158" i="2"/>
  <c r="CL158" i="2" s="1"/>
  <c r="CG197" i="2"/>
  <c r="DA197" i="2"/>
  <c r="DB197" i="2" s="1"/>
  <c r="CR197" i="2"/>
  <c r="CW197" i="2"/>
  <c r="EV205" i="2"/>
  <c r="CR220" i="2"/>
  <c r="CW220" i="2"/>
  <c r="CW83" i="2"/>
  <c r="CW313" i="2"/>
  <c r="EY313" i="2"/>
  <c r="CR100" i="2"/>
  <c r="GT105" i="2"/>
  <c r="X113" i="2"/>
  <c r="AA113" i="2" s="1"/>
  <c r="GT115" i="2"/>
  <c r="GT118" i="2"/>
  <c r="EX126" i="2"/>
  <c r="Y139" i="2"/>
  <c r="AB139" i="2" s="1"/>
  <c r="CW151" i="2"/>
  <c r="BM11" i="2"/>
  <c r="BN11" i="2" s="1"/>
  <c r="BK11" i="2"/>
  <c r="CL11" i="2" s="1"/>
  <c r="Y168" i="2"/>
  <c r="AB168" i="2" s="1"/>
  <c r="GA171" i="2"/>
  <c r="FZ171" i="2"/>
  <c r="EY172" i="2"/>
  <c r="DH24" i="2"/>
  <c r="GA24" i="2"/>
  <c r="FP35" i="2"/>
  <c r="Y38" i="2"/>
  <c r="AB38" i="2" s="1"/>
  <c r="Y41" i="2"/>
  <c r="AB41" i="2" s="1"/>
  <c r="Y48" i="2"/>
  <c r="AB48" i="2" s="1"/>
  <c r="Y57" i="2"/>
  <c r="AB57" i="2" s="1"/>
  <c r="Y60" i="2"/>
  <c r="AB60" i="2" s="1"/>
  <c r="BK65" i="2"/>
  <c r="CL65" i="2" s="1"/>
  <c r="DG76" i="2"/>
  <c r="FQ76" i="2"/>
  <c r="FW76" i="2" s="1"/>
  <c r="FX76" i="2" s="1" a="1"/>
  <c r="FX76" i="2" s="1"/>
  <c r="X81" i="2"/>
  <c r="AA81" i="2" s="1"/>
  <c r="BK92" i="2"/>
  <c r="CL92" i="2" s="1"/>
  <c r="X105" i="2"/>
  <c r="AA105" i="2" s="1"/>
  <c r="X130" i="2"/>
  <c r="AA130" i="2" s="1"/>
  <c r="CG130" i="2"/>
  <c r="GA138" i="2"/>
  <c r="CR143" i="2"/>
  <c r="X144" i="2"/>
  <c r="AA144" i="2" s="1"/>
  <c r="CR150" i="2"/>
  <c r="DU156" i="2"/>
  <c r="EI156" i="2" s="1"/>
  <c r="GA160" i="2"/>
  <c r="X64" i="2"/>
  <c r="AA64" i="2" s="1"/>
  <c r="X11" i="2"/>
  <c r="AA11" i="2" s="1"/>
  <c r="Y11" i="2"/>
  <c r="AB11" i="2" s="1"/>
  <c r="BK32" i="2"/>
  <c r="CL32" i="2" s="1"/>
  <c r="FZ356" i="2"/>
  <c r="FQ12" i="2"/>
  <c r="FW12" i="2" s="1"/>
  <c r="FX12" i="2" s="1" a="1"/>
  <c r="FX12" i="2" s="1"/>
  <c r="FQ21" i="2"/>
  <c r="FW21" i="2" s="1"/>
  <c r="FX21" i="2" s="1" a="1"/>
  <c r="FX21" i="2" s="1"/>
  <c r="DG40" i="2"/>
  <c r="GA59" i="2"/>
  <c r="EX60" i="2"/>
  <c r="FZ106" i="2"/>
  <c r="GA114" i="2"/>
  <c r="CG115" i="2"/>
  <c r="EY115" i="2"/>
  <c r="DA121" i="2"/>
  <c r="DB121" i="2" s="1"/>
  <c r="Y122" i="2"/>
  <c r="AB122" i="2" s="1"/>
  <c r="FQ123" i="2"/>
  <c r="FW123" i="2" s="1"/>
  <c r="FX123" i="2" s="1" a="1"/>
  <c r="FX123" i="2" s="1"/>
  <c r="CG147" i="2"/>
  <c r="CG151" i="2"/>
  <c r="GU151" i="2"/>
  <c r="DH165" i="2"/>
  <c r="DG165" i="2"/>
  <c r="Y208" i="2"/>
  <c r="AB208" i="2" s="1"/>
  <c r="X208" i="2"/>
  <c r="AA208" i="2" s="1"/>
  <c r="FZ295" i="2"/>
  <c r="Y23" i="2"/>
  <c r="AB23" i="2" s="1"/>
  <c r="DA356" i="2"/>
  <c r="DB356" i="2" s="1"/>
  <c r="EX20" i="2"/>
  <c r="GA26" i="2"/>
  <c r="Y28" i="2"/>
  <c r="AB28" i="2" s="1"/>
  <c r="EX36" i="2"/>
  <c r="DG37" i="2"/>
  <c r="GA37" i="2"/>
  <c r="EX41" i="2"/>
  <c r="EV45" i="2"/>
  <c r="FQ51" i="2"/>
  <c r="FW51" i="2" s="1"/>
  <c r="FX51" i="2" s="1" a="1"/>
  <c r="FX51" i="2" s="1"/>
  <c r="CG57" i="2"/>
  <c r="FQ63" i="2"/>
  <c r="FW63" i="2" s="1"/>
  <c r="FX63" i="2" s="1" a="1"/>
  <c r="FX63" i="2" s="1"/>
  <c r="Y74" i="2"/>
  <c r="AB74" i="2" s="1"/>
  <c r="CR83" i="2"/>
  <c r="CR313" i="2"/>
  <c r="CG99" i="2"/>
  <c r="GT85" i="2"/>
  <c r="CW124" i="2"/>
  <c r="EX124" i="2"/>
  <c r="FZ139" i="2"/>
  <c r="X178" i="2"/>
  <c r="AA178" i="2" s="1"/>
  <c r="Y178" i="2"/>
  <c r="AB178" i="2" s="1"/>
  <c r="CG186" i="2"/>
  <c r="DH189" i="2"/>
  <c r="DG189" i="2"/>
  <c r="EY211" i="2"/>
  <c r="EV211" i="2"/>
  <c r="BM48" i="2"/>
  <c r="BN48" i="2" s="1"/>
  <c r="FO35" i="2"/>
  <c r="GJ35" i="2" s="1"/>
  <c r="Y17" i="2"/>
  <c r="AB17" i="2" s="1"/>
  <c r="CG24" i="2"/>
  <c r="EX32" i="2"/>
  <c r="EY36" i="2"/>
  <c r="EY41" i="2"/>
  <c r="FQ53" i="2"/>
  <c r="FR53" i="2" s="1" a="1"/>
  <c r="FR53" i="2" s="1"/>
  <c r="X65" i="2"/>
  <c r="AA65" i="2" s="1"/>
  <c r="GA73" i="2"/>
  <c r="CG77" i="2"/>
  <c r="CG82" i="2"/>
  <c r="BK166" i="2"/>
  <c r="CL166" i="2" s="1"/>
  <c r="CG88" i="2"/>
  <c r="EX92" i="2"/>
  <c r="CW103" i="2"/>
  <c r="GT109" i="2"/>
  <c r="BK125" i="2"/>
  <c r="CL125" i="2" s="1"/>
  <c r="Y127" i="2"/>
  <c r="AB127" i="2" s="1"/>
  <c r="CW127" i="2"/>
  <c r="GA130" i="2"/>
  <c r="Y131" i="2"/>
  <c r="AB131" i="2" s="1"/>
  <c r="CG140" i="2"/>
  <c r="DS154" i="2"/>
  <c r="EV158" i="2"/>
  <c r="FQ172" i="2"/>
  <c r="FW172" i="2" s="1"/>
  <c r="FX172" i="2" s="1" a="1"/>
  <c r="FX172" i="2" s="1"/>
  <c r="X177" i="2"/>
  <c r="AA177" i="2" s="1"/>
  <c r="DO179" i="2"/>
  <c r="EC179" i="2" s="1"/>
  <c r="BK28" i="2"/>
  <c r="CL28" i="2" s="1"/>
  <c r="AA44" i="2"/>
  <c r="Y27" i="2"/>
  <c r="AB27" i="2" s="1"/>
  <c r="Y29" i="2"/>
  <c r="AB29" i="2" s="1"/>
  <c r="EY32" i="2"/>
  <c r="GU39" i="2"/>
  <c r="DO46" i="2"/>
  <c r="EC46" i="2" s="1"/>
  <c r="FQ48" i="2"/>
  <c r="FW48" i="2" s="1"/>
  <c r="FX48" i="2" s="1" a="1"/>
  <c r="FX48" i="2" s="1"/>
  <c r="GT50" i="2"/>
  <c r="Y58" i="2"/>
  <c r="AB58" i="2" s="1"/>
  <c r="DH66" i="2"/>
  <c r="DA67" i="2"/>
  <c r="DB67" i="2" s="1"/>
  <c r="DH70" i="2"/>
  <c r="FQ74" i="2"/>
  <c r="FW74" i="2" s="1"/>
  <c r="FX74" i="2" s="1" a="1"/>
  <c r="FX74" i="2" s="1"/>
  <c r="EV78" i="2"/>
  <c r="EY92" i="2"/>
  <c r="CG96" i="2"/>
  <c r="EX99" i="2"/>
  <c r="EY101" i="2"/>
  <c r="BK43" i="2"/>
  <c r="CL43" i="2" s="1"/>
  <c r="CG103" i="2"/>
  <c r="EX103" i="2"/>
  <c r="DA130" i="2"/>
  <c r="DB130" i="2" s="1"/>
  <c r="CR151" i="2"/>
  <c r="Y210" i="2"/>
  <c r="AB210" i="2" s="1"/>
  <c r="FZ111" i="2"/>
  <c r="DA83" i="2"/>
  <c r="DB83" i="2" s="1"/>
  <c r="CG137" i="2"/>
  <c r="FZ147" i="2"/>
  <c r="CW152" i="2"/>
  <c r="GT156" i="2"/>
  <c r="EX158" i="2"/>
  <c r="DG184" i="2"/>
  <c r="DH184" i="2"/>
  <c r="DG190" i="2"/>
  <c r="DH190" i="2"/>
  <c r="DO213" i="2"/>
  <c r="EC213" i="2" s="1"/>
  <c r="DU213" i="2"/>
  <c r="DV213" i="2" s="1"/>
  <c r="DW213" i="2" s="1"/>
  <c r="DG16" i="2"/>
  <c r="FQ20" i="2"/>
  <c r="FW20" i="2" s="1"/>
  <c r="FX20" i="2" s="1" a="1"/>
  <c r="FX20" i="2" s="1"/>
  <c r="BK33" i="2"/>
  <c r="CL33" i="2" s="1"/>
  <c r="GA34" i="2"/>
  <c r="Z35" i="2"/>
  <c r="EV35" i="2"/>
  <c r="DH41" i="2"/>
  <c r="EV111" i="2"/>
  <c r="GA44" i="2"/>
  <c r="FZ46" i="2"/>
  <c r="GA51" i="2"/>
  <c r="CG52" i="2"/>
  <c r="FZ53" i="2"/>
  <c r="X54" i="2"/>
  <c r="Z54" i="2" s="1"/>
  <c r="EX58" i="2"/>
  <c r="BK70" i="2"/>
  <c r="CL70" i="2" s="1"/>
  <c r="CG89" i="2"/>
  <c r="EY96" i="2"/>
  <c r="GU97" i="2"/>
  <c r="FZ313" i="2"/>
  <c r="CG108" i="2"/>
  <c r="DA115" i="2"/>
  <c r="DB115" i="2" s="1"/>
  <c r="DG126" i="2"/>
  <c r="CG131" i="2"/>
  <c r="BM164" i="2"/>
  <c r="BN164" i="2" s="1"/>
  <c r="BK164" i="2"/>
  <c r="CL164" i="2" s="1"/>
  <c r="FZ209" i="2"/>
  <c r="GA209" i="2"/>
  <c r="FQ9" i="2"/>
  <c r="FW9" i="2" s="1"/>
  <c r="FX9" i="2" s="1" a="1"/>
  <c r="FX9" i="2" s="1"/>
  <c r="EV116" i="2"/>
  <c r="FN29" i="2"/>
  <c r="GA38" i="2"/>
  <c r="Y39" i="2"/>
  <c r="AB39" i="2" s="1"/>
  <c r="CG40" i="2"/>
  <c r="CI40" i="2" s="1"/>
  <c r="FQ41" i="2"/>
  <c r="FW41" i="2" s="1"/>
  <c r="FX41" i="2" s="1" a="1"/>
  <c r="FX41" i="2" s="1"/>
  <c r="DG44" i="2"/>
  <c r="EV295" i="2"/>
  <c r="CH65" i="2"/>
  <c r="DO67" i="2"/>
  <c r="EH67" i="2" s="1"/>
  <c r="GA74" i="2"/>
  <c r="FQ75" i="2"/>
  <c r="FW75" i="2" s="1"/>
  <c r="FX75" i="2" s="1" a="1"/>
  <c r="FX75" i="2" s="1"/>
  <c r="GA77" i="2"/>
  <c r="EV89" i="2"/>
  <c r="FQ124" i="2"/>
  <c r="FW124" i="2" s="1"/>
  <c r="FX124" i="2" s="1" a="1"/>
  <c r="FX124" i="2" s="1"/>
  <c r="CR135" i="2"/>
  <c r="CG138" i="2"/>
  <c r="FZ140" i="2"/>
  <c r="GT146" i="2"/>
  <c r="X156" i="2"/>
  <c r="AA156" i="2" s="1"/>
  <c r="DU157" i="2"/>
  <c r="EG157" i="2" s="1"/>
  <c r="X164" i="2"/>
  <c r="AA164" i="2" s="1"/>
  <c r="Y164" i="2"/>
  <c r="AB164" i="2" s="1"/>
  <c r="CR186" i="2"/>
  <c r="DH197" i="2"/>
  <c r="DG197" i="2"/>
  <c r="GU82" i="2"/>
  <c r="X198" i="2"/>
  <c r="AA198" i="2" s="1"/>
  <c r="CW125" i="2"/>
  <c r="GT133" i="2"/>
  <c r="GT139" i="2"/>
  <c r="EY160" i="2"/>
  <c r="EV160" i="2"/>
  <c r="GT51" i="2"/>
  <c r="EY116" i="2"/>
  <c r="GU26" i="2"/>
  <c r="DG32" i="2"/>
  <c r="FN32" i="2"/>
  <c r="GU33" i="2"/>
  <c r="FQ36" i="2"/>
  <c r="FW36" i="2" s="1"/>
  <c r="FX36" i="2" s="1" a="1"/>
  <c r="FX36" i="2" s="1"/>
  <c r="Y55" i="2"/>
  <c r="AB55" i="2" s="1"/>
  <c r="BP56" i="2"/>
  <c r="CG62" i="2"/>
  <c r="DG161" i="2"/>
  <c r="DH68" i="2"/>
  <c r="GA71" i="2"/>
  <c r="DG77" i="2"/>
  <c r="EX166" i="2"/>
  <c r="BK90" i="2"/>
  <c r="CL90" i="2" s="1"/>
  <c r="BK94" i="2"/>
  <c r="CL94" i="2" s="1"/>
  <c r="CG97" i="2"/>
  <c r="FQ99" i="2"/>
  <c r="FR99" i="2" s="1" a="1"/>
  <c r="FR99" i="2" s="1"/>
  <c r="DG124" i="2"/>
  <c r="FZ228" i="2"/>
  <c r="Y171" i="2"/>
  <c r="AB171" i="2" s="1"/>
  <c r="X171" i="2"/>
  <c r="AA171" i="2" s="1"/>
  <c r="DU181" i="2"/>
  <c r="DV181" i="2" s="1"/>
  <c r="DW181" i="2" s="1"/>
  <c r="DO181" i="2"/>
  <c r="EH181" i="2" s="1"/>
  <c r="BK182" i="2"/>
  <c r="CL182" i="2" s="1"/>
  <c r="BM182" i="2"/>
  <c r="BN182" i="2" s="1"/>
  <c r="EY193" i="2"/>
  <c r="FQ193" i="2"/>
  <c r="FW193" i="2" s="1"/>
  <c r="FX193" i="2" s="1" a="1"/>
  <c r="FX193" i="2" s="1"/>
  <c r="DH209" i="2"/>
  <c r="DG209" i="2"/>
  <c r="DO214" i="2"/>
  <c r="DS214" i="2" s="1"/>
  <c r="DU214" i="2"/>
  <c r="DV214" i="2" s="1"/>
  <c r="DW214" i="2" s="1"/>
  <c r="DO215" i="2"/>
  <c r="DY215" i="2" s="1"/>
  <c r="DZ215" i="2" s="1"/>
  <c r="EA215" i="2" s="1"/>
  <c r="DU215" i="2"/>
  <c r="DV215" i="2" s="1"/>
  <c r="DW215" i="2" s="1"/>
  <c r="CG25" i="2"/>
  <c r="EV56" i="2"/>
  <c r="CG80" i="2"/>
  <c r="CG125" i="2"/>
  <c r="DG148" i="2"/>
  <c r="GA163" i="2"/>
  <c r="FZ163" i="2"/>
  <c r="DO165" i="2"/>
  <c r="DQ165" i="2" s="1"/>
  <c r="DR165" i="2" s="1"/>
  <c r="DU165" i="2"/>
  <c r="EI165" i="2" s="1"/>
  <c r="EY190" i="2"/>
  <c r="FQ190" i="2"/>
  <c r="FR190" i="2" s="1" a="1"/>
  <c r="FR190" i="2" s="1"/>
  <c r="EV190" i="2"/>
  <c r="BM194" i="2"/>
  <c r="BN194" i="2" s="1"/>
  <c r="BK194" i="2"/>
  <c r="CL194" i="2" s="1"/>
  <c r="BM12" i="2"/>
  <c r="BN12" i="2" s="1"/>
  <c r="GA13" i="2"/>
  <c r="DG17" i="2"/>
  <c r="DH22" i="2"/>
  <c r="BK23" i="2"/>
  <c r="CL23" i="2" s="1"/>
  <c r="GA29" i="2"/>
  <c r="DU36" i="2"/>
  <c r="DV36" i="2" s="1"/>
  <c r="DW36" i="2" s="1"/>
  <c r="Y42" i="2"/>
  <c r="AB42" i="2" s="1"/>
  <c r="FZ45" i="2"/>
  <c r="GT57" i="2"/>
  <c r="Y59" i="2"/>
  <c r="AB59" i="2" s="1"/>
  <c r="DG75" i="2"/>
  <c r="BM86" i="2"/>
  <c r="BN86" i="2" s="1"/>
  <c r="GU114" i="2"/>
  <c r="DG118" i="2"/>
  <c r="EY121" i="2"/>
  <c r="DG122" i="2"/>
  <c r="Y47" i="2"/>
  <c r="AB47" i="2" s="1"/>
  <c r="X143" i="2"/>
  <c r="AA143" i="2" s="1"/>
  <c r="BM147" i="2"/>
  <c r="BN147" i="2" s="1"/>
  <c r="CR153" i="2"/>
  <c r="EV154" i="2"/>
  <c r="BK155" i="2"/>
  <c r="CL155" i="2" s="1"/>
  <c r="DU155" i="2"/>
  <c r="EI155" i="2" s="1"/>
  <c r="GT157" i="2"/>
  <c r="GA158" i="2"/>
  <c r="X160" i="2"/>
  <c r="AA160" i="2" s="1"/>
  <c r="Y180" i="2"/>
  <c r="AB180" i="2" s="1"/>
  <c r="X180" i="2"/>
  <c r="X193" i="2"/>
  <c r="AA193" i="2" s="1"/>
  <c r="Y193" i="2"/>
  <c r="AB193" i="2" s="1"/>
  <c r="GU226" i="2"/>
  <c r="Y300" i="2"/>
  <c r="AB300" i="2" s="1"/>
  <c r="X300" i="2"/>
  <c r="AA300" i="2" s="1"/>
  <c r="GA207" i="2"/>
  <c r="DH240" i="2"/>
  <c r="Y242" i="2"/>
  <c r="AB242" i="2" s="1"/>
  <c r="BK308" i="2"/>
  <c r="CL308" i="2" s="1"/>
  <c r="BM308" i="2"/>
  <c r="BN308" i="2" s="1"/>
  <c r="DU348" i="2"/>
  <c r="EI348" i="2" s="1"/>
  <c r="DO348" i="2"/>
  <c r="EH348" i="2" s="1"/>
  <c r="EV216" i="2"/>
  <c r="FQ234" i="2"/>
  <c r="FW234" i="2" s="1"/>
  <c r="FX234" i="2" s="1" a="1"/>
  <c r="FX234" i="2" s="1"/>
  <c r="DH30" i="2"/>
  <c r="DG30" i="2"/>
  <c r="FZ204" i="2"/>
  <c r="Y205" i="2"/>
  <c r="AB205" i="2" s="1"/>
  <c r="X211" i="2"/>
  <c r="AA211" i="2" s="1"/>
  <c r="CR212" i="2"/>
  <c r="EX212" i="2"/>
  <c r="X216" i="2"/>
  <c r="AA216" i="2" s="1"/>
  <c r="GA225" i="2"/>
  <c r="DH231" i="2"/>
  <c r="BK236" i="2"/>
  <c r="CL236" i="2" s="1"/>
  <c r="GA241" i="2"/>
  <c r="CG242" i="2"/>
  <c r="X257" i="2"/>
  <c r="AA257" i="2" s="1"/>
  <c r="X167" i="2"/>
  <c r="AA167" i="2" s="1"/>
  <c r="GH267" i="2"/>
  <c r="AN390" i="2"/>
  <c r="T390" i="2"/>
  <c r="U390" i="2" s="1"/>
  <c r="EY287" i="2"/>
  <c r="EX287" i="2"/>
  <c r="GU184" i="2"/>
  <c r="BK188" i="2"/>
  <c r="CL188" i="2" s="1"/>
  <c r="CW205" i="2"/>
  <c r="GT209" i="2"/>
  <c r="EY212" i="2"/>
  <c r="CW216" i="2"/>
  <c r="X230" i="2"/>
  <c r="AA230" i="2" s="1"/>
  <c r="EV230" i="2"/>
  <c r="GT247" i="2"/>
  <c r="CG252" i="2"/>
  <c r="BK30" i="2"/>
  <c r="CL30" i="2" s="1"/>
  <c r="BM30" i="2"/>
  <c r="BN30" i="2" s="1"/>
  <c r="EV273" i="2"/>
  <c r="FQ273" i="2"/>
  <c r="FW273" i="2" s="1"/>
  <c r="FX273" i="2" s="1" a="1"/>
  <c r="FX273" i="2" s="1"/>
  <c r="EY273" i="2"/>
  <c r="EX273" i="2"/>
  <c r="BM303" i="2"/>
  <c r="BN303" i="2" s="1"/>
  <c r="BK303" i="2"/>
  <c r="CL303" i="2" s="1"/>
  <c r="X200" i="2"/>
  <c r="AA200" i="2" s="1"/>
  <c r="FZ202" i="2"/>
  <c r="DG204" i="2"/>
  <c r="X209" i="2"/>
  <c r="AA209" i="2" s="1"/>
  <c r="CW230" i="2"/>
  <c r="EV233" i="2"/>
  <c r="GA234" i="2"/>
  <c r="GA238" i="2"/>
  <c r="CG267" i="2"/>
  <c r="EV267" i="2"/>
  <c r="X308" i="2"/>
  <c r="AA308" i="2" s="1"/>
  <c r="Y308" i="2"/>
  <c r="AB308" i="2" s="1"/>
  <c r="BM271" i="2"/>
  <c r="BN271" i="2" s="1"/>
  <c r="BK271" i="2"/>
  <c r="CL271" i="2" s="1"/>
  <c r="CG176" i="2"/>
  <c r="X203" i="2"/>
  <c r="AA203" i="2" s="1"/>
  <c r="BK215" i="2"/>
  <c r="CL215" i="2" s="1"/>
  <c r="FQ226" i="2"/>
  <c r="FW226" i="2" s="1"/>
  <c r="FX226" i="2" s="1" a="1"/>
  <c r="FX226" i="2" s="1"/>
  <c r="DV233" i="2"/>
  <c r="DW233" i="2" s="1"/>
  <c r="CG167" i="2"/>
  <c r="GA255" i="2"/>
  <c r="FZ255" i="2"/>
  <c r="Y276" i="2"/>
  <c r="AB276" i="2" s="1"/>
  <c r="X276" i="2"/>
  <c r="AA276" i="2" s="1"/>
  <c r="CG303" i="2"/>
  <c r="CR303" i="2"/>
  <c r="Y203" i="2"/>
  <c r="AB203" i="2" s="1"/>
  <c r="GT207" i="2"/>
  <c r="GT222" i="2"/>
  <c r="Y236" i="2"/>
  <c r="AB236" i="2" s="1"/>
  <c r="X243" i="2"/>
  <c r="AA243" i="2" s="1"/>
  <c r="BP392" i="2"/>
  <c r="X267" i="2"/>
  <c r="Z267" i="2" s="1"/>
  <c r="DG299" i="2"/>
  <c r="DH299" i="2"/>
  <c r="DS365" i="2"/>
  <c r="DQ365" i="2"/>
  <c r="DR365" i="2" s="1"/>
  <c r="GU181" i="2"/>
  <c r="GU185" i="2"/>
  <c r="DH186" i="2"/>
  <c r="X224" i="2"/>
  <c r="AA224" i="2" s="1"/>
  <c r="GA232" i="2"/>
  <c r="BK234" i="2"/>
  <c r="CL234" i="2" s="1"/>
  <c r="DH315" i="2"/>
  <c r="DG315" i="2"/>
  <c r="CG195" i="2"/>
  <c r="X215" i="2"/>
  <c r="AA215" i="2" s="1"/>
  <c r="X220" i="2"/>
  <c r="AA220" i="2" s="1"/>
  <c r="DH242" i="2"/>
  <c r="GA246" i="2"/>
  <c r="DA258" i="2"/>
  <c r="DB258" i="2" s="1"/>
  <c r="CR258" i="2"/>
  <c r="GA260" i="2"/>
  <c r="FZ260" i="2"/>
  <c r="GA327" i="2"/>
  <c r="FZ327" i="2"/>
  <c r="X170" i="2"/>
  <c r="Z170" i="2" s="1"/>
  <c r="CR173" i="2"/>
  <c r="X181" i="2"/>
  <c r="AA181" i="2" s="1"/>
  <c r="BM186" i="2"/>
  <c r="BN186" i="2" s="1"/>
  <c r="EV191" i="2"/>
  <c r="BK212" i="2"/>
  <c r="CL212" i="2" s="1"/>
  <c r="DH212" i="2"/>
  <c r="X213" i="2"/>
  <c r="AA213" i="2" s="1"/>
  <c r="CW213" i="2"/>
  <c r="CW215" i="2"/>
  <c r="DV231" i="2"/>
  <c r="DW231" i="2" s="1"/>
  <c r="DU246" i="2"/>
  <c r="EI246" i="2" s="1"/>
  <c r="Y249" i="2"/>
  <c r="AB249" i="2" s="1"/>
  <c r="Y258" i="2"/>
  <c r="AB258" i="2" s="1"/>
  <c r="X258" i="2"/>
  <c r="AA258" i="2" s="1"/>
  <c r="FZ274" i="2"/>
  <c r="GA274" i="2"/>
  <c r="DH285" i="2"/>
  <c r="DG285" i="2"/>
  <c r="DG162" i="2"/>
  <c r="FQ224" i="2"/>
  <c r="FW224" i="2" s="1"/>
  <c r="FX224" i="2" s="1" a="1"/>
  <c r="FX224" i="2" s="1"/>
  <c r="DH230" i="2"/>
  <c r="EV231" i="2"/>
  <c r="BK232" i="2"/>
  <c r="CL232" i="2" s="1"/>
  <c r="FQ233" i="2"/>
  <c r="FW233" i="2" s="1"/>
  <c r="FX233" i="2" s="1" a="1"/>
  <c r="FX233" i="2" s="1"/>
  <c r="EV234" i="2"/>
  <c r="X241" i="2"/>
  <c r="Z241" i="2" s="1"/>
  <c r="DU242" i="2"/>
  <c r="EI242" i="2" s="1"/>
  <c r="Y250" i="2"/>
  <c r="AB250" i="2" s="1"/>
  <c r="CG392" i="2"/>
  <c r="GA259" i="2"/>
  <c r="FZ259" i="2"/>
  <c r="EY298" i="2"/>
  <c r="BK214" i="2"/>
  <c r="CL214" i="2" s="1"/>
  <c r="BK226" i="2"/>
  <c r="CL226" i="2" s="1"/>
  <c r="CW234" i="2"/>
  <c r="CG253" i="2"/>
  <c r="AA296" i="2"/>
  <c r="DU299" i="2"/>
  <c r="DV299" i="2" s="1"/>
  <c r="DW299" i="2" s="1"/>
  <c r="DO299" i="2"/>
  <c r="EH299" i="2" s="1"/>
  <c r="DS362" i="2"/>
  <c r="DQ362" i="2"/>
  <c r="DR362" i="2" s="1"/>
  <c r="CG170" i="2"/>
  <c r="EY170" i="2"/>
  <c r="CG199" i="2"/>
  <c r="EY234" i="2"/>
  <c r="CZ265" i="2"/>
  <c r="X297" i="2"/>
  <c r="AA297" i="2" s="1"/>
  <c r="Y297" i="2"/>
  <c r="AB297" i="2" s="1"/>
  <c r="DO351" i="2"/>
  <c r="DY351" i="2" s="1"/>
  <c r="DZ351" i="2" s="1"/>
  <c r="EA351" i="2" s="1"/>
  <c r="DU351" i="2"/>
  <c r="EI351" i="2" s="1"/>
  <c r="BK216" i="2"/>
  <c r="CL216" i="2" s="1"/>
  <c r="DA217" i="2"/>
  <c r="DB217" i="2" s="1"/>
  <c r="GA224" i="2"/>
  <c r="X238" i="2"/>
  <c r="AA238" i="2" s="1"/>
  <c r="DU239" i="2"/>
  <c r="EI239" i="2" s="1"/>
  <c r="GA258" i="2"/>
  <c r="FZ258" i="2"/>
  <c r="GT291" i="2"/>
  <c r="FO128" i="2"/>
  <c r="GJ128" i="2" s="1"/>
  <c r="DA278" i="2"/>
  <c r="DB278" i="2" s="1"/>
  <c r="EX286" i="2"/>
  <c r="CG296" i="2"/>
  <c r="EX299" i="2"/>
  <c r="FZ320" i="2"/>
  <c r="DV322" i="2"/>
  <c r="DW322" i="2" s="1"/>
  <c r="CG325" i="2"/>
  <c r="EY344" i="2"/>
  <c r="DH352" i="2"/>
  <c r="GU353" i="2"/>
  <c r="X357" i="2"/>
  <c r="AA357" i="2" s="1"/>
  <c r="CG359" i="2"/>
  <c r="GT360" i="2"/>
  <c r="CG362" i="2"/>
  <c r="CG366" i="2"/>
  <c r="Y369" i="2"/>
  <c r="AB369" i="2" s="1"/>
  <c r="BM378" i="2"/>
  <c r="BN378" i="2" s="1"/>
  <c r="GA378" i="2"/>
  <c r="FZ385" i="2"/>
  <c r="BM98" i="2"/>
  <c r="BN98" i="2" s="1"/>
  <c r="X263" i="2"/>
  <c r="AA263" i="2" s="1"/>
  <c r="DG272" i="2"/>
  <c r="Y273" i="2"/>
  <c r="AB273" i="2" s="1"/>
  <c r="EY286" i="2"/>
  <c r="EX316" i="2"/>
  <c r="FQ318" i="2"/>
  <c r="FW318" i="2" s="1"/>
  <c r="FX318" i="2" s="1" a="1"/>
  <c r="FX318" i="2" s="1"/>
  <c r="EX321" i="2"/>
  <c r="CW323" i="2"/>
  <c r="CG354" i="2"/>
  <c r="CG358" i="2"/>
  <c r="EY370" i="2"/>
  <c r="CW373" i="2"/>
  <c r="FZ372" i="2"/>
  <c r="EV375" i="2"/>
  <c r="DG381" i="2"/>
  <c r="FZ389" i="2"/>
  <c r="DQ235" i="2"/>
  <c r="DR235" i="2" s="1"/>
  <c r="DA283" i="2"/>
  <c r="DB283" i="2" s="1"/>
  <c r="CG333" i="2"/>
  <c r="GT346" i="2"/>
  <c r="X358" i="2"/>
  <c r="AA358" i="2" s="1"/>
  <c r="DA386" i="2"/>
  <c r="DB386" i="2" s="1"/>
  <c r="FQ366" i="2"/>
  <c r="FW366" i="2" s="1"/>
  <c r="FX366" i="2" s="1" a="1"/>
  <c r="FX366" i="2" s="1"/>
  <c r="EX371" i="2"/>
  <c r="CG380" i="2"/>
  <c r="DG389" i="2"/>
  <c r="DU235" i="2"/>
  <c r="EI235" i="2" s="1"/>
  <c r="EX268" i="2"/>
  <c r="EX271" i="2"/>
  <c r="DG275" i="2"/>
  <c r="DA279" i="2"/>
  <c r="DB279" i="2" s="1"/>
  <c r="FZ283" i="2"/>
  <c r="FQ299" i="2"/>
  <c r="FW299" i="2" s="1"/>
  <c r="FX299" i="2" s="1" a="1"/>
  <c r="FX299" i="2" s="1"/>
  <c r="Y319" i="2"/>
  <c r="AB319" i="2" s="1"/>
  <c r="EV319" i="2"/>
  <c r="FQ359" i="2"/>
  <c r="FW359" i="2" s="1"/>
  <c r="FX359" i="2" s="1" a="1"/>
  <c r="FX359" i="2" s="1"/>
  <c r="FQ370" i="2"/>
  <c r="FW370" i="2" s="1"/>
  <c r="FX370" i="2" s="1" a="1"/>
  <c r="FX370" i="2" s="1"/>
  <c r="EV373" i="2"/>
  <c r="EX375" i="2"/>
  <c r="X378" i="2"/>
  <c r="AA378" i="2" s="1"/>
  <c r="Y229" i="2"/>
  <c r="AB229" i="2" s="1"/>
  <c r="FZ394" i="2"/>
  <c r="FQ263" i="2"/>
  <c r="FW263" i="2" s="1"/>
  <c r="FX263" i="2" s="1" a="1"/>
  <c r="FX263" i="2" s="1"/>
  <c r="BK269" i="2"/>
  <c r="CL269" i="2" s="1"/>
  <c r="BK272" i="2"/>
  <c r="CL272" i="2" s="1"/>
  <c r="FN266" i="2"/>
  <c r="FQ316" i="2"/>
  <c r="FW316" i="2" s="1"/>
  <c r="FX316" i="2" s="1" a="1"/>
  <c r="FX316" i="2" s="1"/>
  <c r="GT322" i="2"/>
  <c r="X328" i="2"/>
  <c r="AA328" i="2" s="1"/>
  <c r="DH349" i="2"/>
  <c r="FZ349" i="2"/>
  <c r="X350" i="2"/>
  <c r="AA350" i="2" s="1"/>
  <c r="GT361" i="2"/>
  <c r="X367" i="2"/>
  <c r="AA367" i="2" s="1"/>
  <c r="CR373" i="2"/>
  <c r="EG374" i="2"/>
  <c r="CR380" i="2"/>
  <c r="X381" i="2"/>
  <c r="AA381" i="2" s="1"/>
  <c r="EC235" i="2"/>
  <c r="DU275" i="2"/>
  <c r="DV275" i="2" s="1"/>
  <c r="DW275" i="2" s="1"/>
  <c r="CG304" i="2"/>
  <c r="EX319" i="2"/>
  <c r="GT320" i="2"/>
  <c r="EV324" i="2"/>
  <c r="X346" i="2"/>
  <c r="AA346" i="2" s="1"/>
  <c r="CG350" i="2"/>
  <c r="DG353" i="2"/>
  <c r="GA353" i="2"/>
  <c r="X363" i="2"/>
  <c r="AA363" i="2" s="1"/>
  <c r="CG365" i="2"/>
  <c r="GA366" i="2"/>
  <c r="DG394" i="2"/>
  <c r="EV308" i="2"/>
  <c r="BM128" i="2"/>
  <c r="BN128" i="2" s="1"/>
  <c r="DA276" i="2"/>
  <c r="DB276" i="2" s="1"/>
  <c r="CR284" i="2"/>
  <c r="FZ286" i="2"/>
  <c r="CG301" i="2"/>
  <c r="GA323" i="2"/>
  <c r="DH351" i="2"/>
  <c r="FZ351" i="2"/>
  <c r="CG352" i="2"/>
  <c r="Y355" i="2"/>
  <c r="AB355" i="2" s="1"/>
  <c r="DA359" i="2"/>
  <c r="DB359" i="2" s="1"/>
  <c r="CR360" i="2"/>
  <c r="FQ360" i="2"/>
  <c r="FW360" i="2" s="1"/>
  <c r="FX360" i="2" s="1" a="1"/>
  <c r="FX360" i="2" s="1"/>
  <c r="DH377" i="2"/>
  <c r="CW308" i="2"/>
  <c r="CG30" i="2"/>
  <c r="BM256" i="2"/>
  <c r="BN256" i="2" s="1"/>
  <c r="GA263" i="2"/>
  <c r="X262" i="2"/>
  <c r="AA262" i="2" s="1"/>
  <c r="BK235" i="2"/>
  <c r="FQ314" i="2"/>
  <c r="CG340" i="2"/>
  <c r="DS353" i="2"/>
  <c r="FQ375" i="2"/>
  <c r="FW375" i="2" s="1"/>
  <c r="FX375" i="2" s="1" a="1"/>
  <c r="FX375" i="2" s="1"/>
  <c r="GU378" i="2"/>
  <c r="DQ102" i="2"/>
  <c r="DR102" i="2" s="1"/>
  <c r="GT260" i="2"/>
  <c r="FQ268" i="2"/>
  <c r="FW268" i="2" s="1"/>
  <c r="FX268" i="2" s="1" a="1"/>
  <c r="FX268" i="2" s="1"/>
  <c r="GT272" i="2"/>
  <c r="GT285" i="2"/>
  <c r="GT302" i="2"/>
  <c r="GT307" i="2"/>
  <c r="GU322" i="2"/>
  <c r="BK325" i="2"/>
  <c r="CL325" i="2" s="1"/>
  <c r="GA328" i="2"/>
  <c r="CR352" i="2"/>
  <c r="CR355" i="2"/>
  <c r="DG229" i="2"/>
  <c r="DH229" i="2" s="1"/>
  <c r="GT279" i="2"/>
  <c r="GU289" i="2"/>
  <c r="DH323" i="2"/>
  <c r="DH345" i="2"/>
  <c r="EV347" i="2"/>
  <c r="EC353" i="2"/>
  <c r="FZ363" i="2"/>
  <c r="BK379" i="2"/>
  <c r="CL379" i="2" s="1"/>
  <c r="GU379" i="2"/>
  <c r="DG391" i="2"/>
  <c r="EX272" i="2"/>
  <c r="CR277" i="2"/>
  <c r="DG280" i="2"/>
  <c r="FZ284" i="2"/>
  <c r="CG307" i="2"/>
  <c r="BM264" i="2"/>
  <c r="BN264" i="2" s="1"/>
  <c r="EV318" i="2"/>
  <c r="CG342" i="2"/>
  <c r="X386" i="2"/>
  <c r="AA386" i="2" s="1"/>
  <c r="X368" i="2"/>
  <c r="DG371" i="2"/>
  <c r="X376" i="2"/>
  <c r="Z376" i="2" s="1"/>
  <c r="EG377" i="2"/>
  <c r="CG381" i="2"/>
  <c r="DU312" i="2"/>
  <c r="DV312" i="2" s="1"/>
  <c r="DW312" i="2" s="1"/>
  <c r="DG319" i="2"/>
  <c r="FZ319" i="2"/>
  <c r="FQ324" i="2"/>
  <c r="FW324" i="2" s="1"/>
  <c r="FX324" i="2" s="1" a="1"/>
  <c r="FX324" i="2" s="1"/>
  <c r="Y325" i="2"/>
  <c r="AB325" i="2" s="1"/>
  <c r="X330" i="2"/>
  <c r="AA330" i="2" s="1"/>
  <c r="FZ350" i="2"/>
  <c r="X351" i="2"/>
  <c r="AA351" i="2" s="1"/>
  <c r="Y386" i="2"/>
  <c r="AB386" i="2" s="1"/>
  <c r="GU374" i="2"/>
  <c r="DO378" i="2"/>
  <c r="DQ378" i="2" s="1"/>
  <c r="DR378" i="2" s="1"/>
  <c r="DG393" i="2"/>
  <c r="GT290" i="2"/>
  <c r="CG294" i="2"/>
  <c r="GU299" i="2"/>
  <c r="GT309" i="2"/>
  <c r="DO26" i="2"/>
  <c r="EC26" i="2" s="1"/>
  <c r="DU26" i="2"/>
  <c r="EG26" i="2" s="1"/>
  <c r="DO37" i="2"/>
  <c r="EC37" i="2" s="1"/>
  <c r="DU37" i="2"/>
  <c r="EI37" i="2" s="1"/>
  <c r="AA23" i="2"/>
  <c r="DO27" i="2"/>
  <c r="EC27" i="2" s="1"/>
  <c r="DU27" i="2"/>
  <c r="EG27" i="2" s="1"/>
  <c r="DU35" i="2"/>
  <c r="DO35" i="2"/>
  <c r="EH35" i="2" s="1"/>
  <c r="DO28" i="2"/>
  <c r="EC28" i="2" s="1"/>
  <c r="DU28" i="2"/>
  <c r="EI28" i="2" s="1"/>
  <c r="DO34" i="2"/>
  <c r="EH34" i="2" s="1"/>
  <c r="DU34" i="2"/>
  <c r="EI34" i="2" s="1"/>
  <c r="DU116" i="2"/>
  <c r="DV116" i="2" s="1"/>
  <c r="DW116" i="2" s="1"/>
  <c r="DO116" i="2"/>
  <c r="EH116" i="2" s="1"/>
  <c r="DO25" i="2"/>
  <c r="EC25" i="2" s="1"/>
  <c r="EE25" i="2" s="1"/>
  <c r="EF25" i="2" s="1"/>
  <c r="DU25" i="2"/>
  <c r="DO24" i="2"/>
  <c r="EC24" i="2" s="1"/>
  <c r="DU24" i="2"/>
  <c r="EG24" i="2" s="1"/>
  <c r="DO9" i="2"/>
  <c r="DY9" i="2" s="1"/>
  <c r="DZ9" i="2" s="1"/>
  <c r="EA9" i="2" s="1"/>
  <c r="DU9" i="2"/>
  <c r="DV9" i="2" s="1"/>
  <c r="DW9" i="2" s="1"/>
  <c r="DU45" i="2"/>
  <c r="EI45" i="2" s="1"/>
  <c r="DO45" i="2"/>
  <c r="EH45" i="2" s="1"/>
  <c r="GT116" i="2"/>
  <c r="DO39" i="2"/>
  <c r="DY39" i="2" s="1"/>
  <c r="DZ39" i="2" s="1"/>
  <c r="EA39" i="2" s="1"/>
  <c r="DU39" i="2"/>
  <c r="EI39" i="2" s="1"/>
  <c r="GU18" i="2"/>
  <c r="DA126" i="2"/>
  <c r="DB126" i="2" s="1"/>
  <c r="CG126" i="2"/>
  <c r="CW126" i="2"/>
  <c r="BM16" i="2"/>
  <c r="BN16" i="2" s="1"/>
  <c r="BK67" i="2"/>
  <c r="CL67" i="2" s="1"/>
  <c r="DU78" i="2"/>
  <c r="EG78" i="2" s="1"/>
  <c r="GU78" i="2"/>
  <c r="Y82" i="2"/>
  <c r="AB82" i="2" s="1"/>
  <c r="X82" i="2"/>
  <c r="AA82" i="2" s="1"/>
  <c r="FQ10" i="2"/>
  <c r="FW10" i="2" s="1"/>
  <c r="FX10" i="2" s="1" a="1"/>
  <c r="FX10" i="2" s="1"/>
  <c r="DA116" i="2"/>
  <c r="DB116" i="2" s="1"/>
  <c r="FZ15" i="2"/>
  <c r="X18" i="2"/>
  <c r="AA18" i="2" s="1"/>
  <c r="Y22" i="2"/>
  <c r="AB22" i="2" s="1"/>
  <c r="CG23" i="2"/>
  <c r="Y25" i="2"/>
  <c r="AB25" i="2" s="1"/>
  <c r="DG33" i="2"/>
  <c r="DG34" i="2"/>
  <c r="GU36" i="2"/>
  <c r="EY37" i="2"/>
  <c r="EX38" i="2"/>
  <c r="Y40" i="2"/>
  <c r="AB40" i="2" s="1"/>
  <c r="EV42" i="2"/>
  <c r="CG44" i="2"/>
  <c r="EV44" i="2"/>
  <c r="Y295" i="2"/>
  <c r="AB295" i="2" s="1"/>
  <c r="EY57" i="2"/>
  <c r="FQ57" i="2"/>
  <c r="FW57" i="2" s="1"/>
  <c r="FX57" i="2" s="1" a="1"/>
  <c r="FX57" i="2" s="1"/>
  <c r="EX57" i="2"/>
  <c r="Y84" i="2"/>
  <c r="AB84" i="2" s="1"/>
  <c r="X84" i="2"/>
  <c r="AA84" i="2" s="1"/>
  <c r="GA39" i="2"/>
  <c r="GA40" i="2"/>
  <c r="Y24" i="2"/>
  <c r="AB24" i="2" s="1"/>
  <c r="CG35" i="2"/>
  <c r="EY38" i="2"/>
  <c r="EV40" i="2"/>
  <c r="FQ40" i="2"/>
  <c r="FW40" i="2" s="1"/>
  <c r="FX40" i="2" s="1" a="1"/>
  <c r="FX40" i="2" s="1"/>
  <c r="CH111" i="2"/>
  <c r="CH44" i="2"/>
  <c r="BK46" i="2"/>
  <c r="CL46" i="2" s="1"/>
  <c r="BM46" i="2"/>
  <c r="BN46" i="2" s="1"/>
  <c r="BM49" i="2"/>
  <c r="BN49" i="2" s="1"/>
  <c r="BK49" i="2"/>
  <c r="CL49" i="2" s="1"/>
  <c r="DU57" i="2"/>
  <c r="DV57" i="2" s="1"/>
  <c r="DW57" i="2" s="1"/>
  <c r="DO57" i="2"/>
  <c r="EH57" i="2" s="1"/>
  <c r="X12" i="2"/>
  <c r="AA12" i="2" s="1"/>
  <c r="BM13" i="2"/>
  <c r="BN13" i="2" s="1"/>
  <c r="DO15" i="2"/>
  <c r="EH15" i="2" s="1"/>
  <c r="GA23" i="2"/>
  <c r="GU29" i="2"/>
  <c r="EX39" i="2"/>
  <c r="DG45" i="2"/>
  <c r="AB49" i="2"/>
  <c r="EY49" i="2"/>
  <c r="FQ49" i="2"/>
  <c r="FW49" i="2" s="1"/>
  <c r="FX49" i="2" s="1" a="1"/>
  <c r="FX49" i="2" s="1"/>
  <c r="EX49" i="2"/>
  <c r="EV49" i="2"/>
  <c r="FZ75" i="2"/>
  <c r="GA75" i="2"/>
  <c r="Y79" i="2"/>
  <c r="AB79" i="2" s="1"/>
  <c r="X79" i="2"/>
  <c r="AA79" i="2" s="1"/>
  <c r="X9" i="2"/>
  <c r="Z9" i="2" s="1"/>
  <c r="GU116" i="2"/>
  <c r="CR35" i="2"/>
  <c r="GU37" i="2"/>
  <c r="GT38" i="2"/>
  <c r="EY39" i="2"/>
  <c r="CR44" i="2"/>
  <c r="DA46" i="2"/>
  <c r="DB46" i="2" s="1"/>
  <c r="CR46" i="2"/>
  <c r="GA100" i="2"/>
  <c r="FZ100" i="2"/>
  <c r="EV9" i="2"/>
  <c r="GA9" i="2"/>
  <c r="BP13" i="2"/>
  <c r="X116" i="2"/>
  <c r="BM116" i="2"/>
  <c r="BN116" i="2" s="1"/>
  <c r="X20" i="2"/>
  <c r="AA20" i="2" s="1"/>
  <c r="GU25" i="2"/>
  <c r="GU27" i="2"/>
  <c r="GU28" i="2"/>
  <c r="DG29" i="2"/>
  <c r="FQ29" i="2"/>
  <c r="FW29" i="2" s="1"/>
  <c r="FX29" i="2" s="1" a="1"/>
  <c r="FX29" i="2" s="1"/>
  <c r="DG31" i="2"/>
  <c r="Y32" i="2"/>
  <c r="AB32" i="2" s="1"/>
  <c r="BK34" i="2"/>
  <c r="CL34" i="2" s="1"/>
  <c r="FQ34" i="2"/>
  <c r="FW34" i="2" s="1"/>
  <c r="FX34" i="2" s="1" a="1"/>
  <c r="FX34" i="2" s="1"/>
  <c r="BK37" i="2"/>
  <c r="CL37" i="2" s="1"/>
  <c r="BM93" i="2"/>
  <c r="BN93" i="2" s="1"/>
  <c r="BK93" i="2"/>
  <c r="CL93" i="2" s="1"/>
  <c r="DO124" i="2"/>
  <c r="EC124" i="2" s="1"/>
  <c r="DU124" i="2"/>
  <c r="CG9" i="2"/>
  <c r="EV10" i="2"/>
  <c r="GA10" i="2"/>
  <c r="X356" i="2"/>
  <c r="AA356" i="2" s="1"/>
  <c r="CG16" i="2"/>
  <c r="CW17" i="2"/>
  <c r="GU20" i="2"/>
  <c r="DG21" i="2"/>
  <c r="DG26" i="2"/>
  <c r="FZ14" i="2"/>
  <c r="DG39" i="2"/>
  <c r="EX40" i="2"/>
  <c r="BK45" i="2"/>
  <c r="CL45" i="2" s="1"/>
  <c r="BM45" i="2"/>
  <c r="BN45" i="2" s="1"/>
  <c r="DU295" i="2"/>
  <c r="EG295" i="2" s="1"/>
  <c r="DO295" i="2"/>
  <c r="EH295" i="2" s="1"/>
  <c r="Y161" i="2"/>
  <c r="AB161" i="2" s="1"/>
  <c r="EY68" i="2"/>
  <c r="EX68" i="2"/>
  <c r="GU68" i="2"/>
  <c r="FQ97" i="2"/>
  <c r="FW97" i="2" s="1"/>
  <c r="FX97" i="2" s="1" a="1"/>
  <c r="FX97" i="2" s="1"/>
  <c r="EY97" i="2"/>
  <c r="EX97" i="2"/>
  <c r="CW117" i="2"/>
  <c r="DA117" i="2"/>
  <c r="DB117" i="2" s="1"/>
  <c r="EX9" i="2"/>
  <c r="CG10" i="2"/>
  <c r="FZ116" i="2"/>
  <c r="CG15" i="2"/>
  <c r="GT16" i="2"/>
  <c r="EV17" i="2"/>
  <c r="CG18" i="2"/>
  <c r="CI18" i="2" s="1"/>
  <c r="DS19" i="2"/>
  <c r="EX24" i="2"/>
  <c r="DG27" i="2"/>
  <c r="DG28" i="2"/>
  <c r="BP31" i="2"/>
  <c r="CG34" i="2"/>
  <c r="Y36" i="2"/>
  <c r="AB36" i="2" s="1"/>
  <c r="CG37" i="2"/>
  <c r="FQ37" i="2"/>
  <c r="FW37" i="2" s="1"/>
  <c r="FX37" i="2" s="1" a="1"/>
  <c r="FX37" i="2" s="1"/>
  <c r="DU38" i="2"/>
  <c r="EI38" i="2" s="1"/>
  <c r="DA40" i="2"/>
  <c r="DB40" i="2" s="1"/>
  <c r="EY40" i="2"/>
  <c r="GU41" i="2"/>
  <c r="DA44" i="2"/>
  <c r="DB44" i="2" s="1"/>
  <c r="CW46" i="2"/>
  <c r="EY46" i="2"/>
  <c r="EV46" i="2"/>
  <c r="X49" i="2"/>
  <c r="AA49" i="2" s="1"/>
  <c r="EV50" i="2"/>
  <c r="FQ50" i="2"/>
  <c r="FW50" i="2" s="1"/>
  <c r="FX50" i="2" s="1" a="1"/>
  <c r="FX50" i="2" s="1"/>
  <c r="EY50" i="2"/>
  <c r="EX50" i="2"/>
  <c r="BM104" i="2"/>
  <c r="BN104" i="2" s="1"/>
  <c r="BK104" i="2"/>
  <c r="CL104" i="2" s="1"/>
  <c r="GA21" i="2"/>
  <c r="EX10" i="2"/>
  <c r="CG12" i="2"/>
  <c r="EV12" i="2"/>
  <c r="EX16" i="2"/>
  <c r="GU21" i="2"/>
  <c r="EX23" i="2"/>
  <c r="FQ26" i="2"/>
  <c r="FW26" i="2" s="1"/>
  <c r="FX26" i="2" s="1" a="1"/>
  <c r="FX26" i="2" s="1"/>
  <c r="X31" i="2"/>
  <c r="Z31" i="2" s="1"/>
  <c r="CG31" i="2"/>
  <c r="Y33" i="2"/>
  <c r="AB33" i="2" s="1"/>
  <c r="FQ38" i="2"/>
  <c r="FW38" i="2" s="1"/>
  <c r="FX38" i="2" s="1" a="1"/>
  <c r="FX38" i="2" s="1"/>
  <c r="Y45" i="2"/>
  <c r="AB45" i="2" s="1"/>
  <c r="CG46" i="2"/>
  <c r="DH48" i="2"/>
  <c r="DG48" i="2"/>
  <c r="FO101" i="2"/>
  <c r="GJ101" i="2" s="1"/>
  <c r="BK142" i="2"/>
  <c r="CL142" i="2" s="1"/>
  <c r="BM142" i="2"/>
  <c r="BN142" i="2" s="1"/>
  <c r="GU35" i="2"/>
  <c r="CG356" i="2"/>
  <c r="EV356" i="2"/>
  <c r="CG13" i="2"/>
  <c r="EV13" i="2"/>
  <c r="X15" i="2"/>
  <c r="AA15" i="2" s="1"/>
  <c r="GT15" i="2"/>
  <c r="EY16" i="2"/>
  <c r="GU24" i="2"/>
  <c r="FQ25" i="2"/>
  <c r="FW25" i="2" s="1"/>
  <c r="FX25" i="2" s="1" a="1"/>
  <c r="FX25" i="2" s="1"/>
  <c r="FQ27" i="2"/>
  <c r="FW27" i="2" s="1"/>
  <c r="FX27" i="2" s="1" a="1"/>
  <c r="FX27" i="2" s="1"/>
  <c r="FQ28" i="2"/>
  <c r="FW28" i="2" s="1"/>
  <c r="FX28" i="2" s="1" a="1"/>
  <c r="FX28" i="2" s="1"/>
  <c r="GA32" i="2"/>
  <c r="GA33" i="2"/>
  <c r="Y34" i="2"/>
  <c r="AB34" i="2" s="1"/>
  <c r="GA36" i="2"/>
  <c r="Y37" i="2"/>
  <c r="AB37" i="2" s="1"/>
  <c r="CG38" i="2"/>
  <c r="CI38" i="2" s="1"/>
  <c r="GU40" i="2"/>
  <c r="BM42" i="2"/>
  <c r="BN42" i="2" s="1"/>
  <c r="DG42" i="2"/>
  <c r="AA45" i="2"/>
  <c r="CR45" i="2"/>
  <c r="CW45" i="2"/>
  <c r="X61" i="2"/>
  <c r="AA61" i="2" s="1"/>
  <c r="Y61" i="2"/>
  <c r="AB61" i="2" s="1"/>
  <c r="FZ79" i="2"/>
  <c r="Y90" i="2"/>
  <c r="AB90" i="2" s="1"/>
  <c r="FQ100" i="2"/>
  <c r="EY100" i="2"/>
  <c r="EX100" i="2"/>
  <c r="EV100" i="2"/>
  <c r="GA22" i="2"/>
  <c r="GU32" i="2"/>
  <c r="EY12" i="2"/>
  <c r="GU23" i="2"/>
  <c r="DO40" i="2"/>
  <c r="EC40" i="2" s="1"/>
  <c r="DU40" i="2"/>
  <c r="EI40" i="2" s="1"/>
  <c r="DH99" i="2"/>
  <c r="DG99" i="2"/>
  <c r="DO137" i="2"/>
  <c r="EH137" i="2" s="1"/>
  <c r="DU137" i="2"/>
  <c r="EG137" i="2" s="1"/>
  <c r="DH46" i="2"/>
  <c r="DG46" i="2"/>
  <c r="CR200" i="2"/>
  <c r="CW200" i="2"/>
  <c r="BM17" i="2"/>
  <c r="BN17" i="2" s="1"/>
  <c r="GT9" i="2"/>
  <c r="EY356" i="2"/>
  <c r="EY13" i="2"/>
  <c r="DU21" i="2"/>
  <c r="EI21" i="2" s="1"/>
  <c r="CG26" i="2"/>
  <c r="CG29" i="2"/>
  <c r="BP14" i="2"/>
  <c r="CG39" i="2"/>
  <c r="FQ39" i="2"/>
  <c r="FW39" i="2" s="1"/>
  <c r="FX39" i="2" s="1" a="1"/>
  <c r="FX39" i="2" s="1"/>
  <c r="FZ42" i="2"/>
  <c r="BK44" i="2"/>
  <c r="CL44" i="2" s="1"/>
  <c r="BM44" i="2"/>
  <c r="BN44" i="2" s="1"/>
  <c r="EY87" i="2"/>
  <c r="EV87" i="2"/>
  <c r="GT18" i="2"/>
  <c r="CG27" i="2"/>
  <c r="CG28" i="2"/>
  <c r="CG14" i="2"/>
  <c r="GT31" i="2"/>
  <c r="GT56" i="2"/>
  <c r="X75" i="2"/>
  <c r="Y75" i="2"/>
  <c r="AB75" i="2" s="1"/>
  <c r="CG81" i="2"/>
  <c r="DA81" i="2"/>
  <c r="DB81" i="2" s="1"/>
  <c r="CR81" i="2"/>
  <c r="CW81" i="2"/>
  <c r="BM154" i="2"/>
  <c r="BN154" i="2" s="1"/>
  <c r="BK154" i="2"/>
  <c r="CL154" i="2" s="1"/>
  <c r="GU19" i="2"/>
  <c r="BK22" i="2"/>
  <c r="CL22" i="2" s="1"/>
  <c r="BK295" i="2"/>
  <c r="CL295" i="2" s="1"/>
  <c r="BM295" i="2"/>
  <c r="BN295" i="2" s="1"/>
  <c r="FP127" i="2"/>
  <c r="FO127" i="2"/>
  <c r="GJ127" i="2" s="1"/>
  <c r="DV149" i="2"/>
  <c r="DW149" i="2" s="1"/>
  <c r="EI149" i="2"/>
  <c r="DA12" i="2"/>
  <c r="DB12" i="2" s="1"/>
  <c r="FO15" i="2"/>
  <c r="GJ15" i="2" s="1"/>
  <c r="FQ16" i="2"/>
  <c r="FW16" i="2" s="1"/>
  <c r="FX16" i="2" s="1" a="1"/>
  <c r="FX16" i="2" s="1"/>
  <c r="FQ23" i="2"/>
  <c r="FW23" i="2" s="1"/>
  <c r="FX23" i="2" s="1" a="1"/>
  <c r="FX23" i="2" s="1"/>
  <c r="GA25" i="2"/>
  <c r="GA27" i="2"/>
  <c r="GA28" i="2"/>
  <c r="DH35" i="2"/>
  <c r="AA295" i="2"/>
  <c r="DA48" i="2"/>
  <c r="DB48" i="2" s="1"/>
  <c r="CW48" i="2"/>
  <c r="GU62" i="2"/>
  <c r="GU66" i="2"/>
  <c r="DH67" i="2"/>
  <c r="FN127" i="2"/>
  <c r="GU72" i="2"/>
  <c r="GT99" i="2"/>
  <c r="DO122" i="2"/>
  <c r="EC122" i="2" s="1"/>
  <c r="DU122" i="2"/>
  <c r="DH123" i="2"/>
  <c r="DG123" i="2"/>
  <c r="GU132" i="2"/>
  <c r="Y142" i="2"/>
  <c r="AB142" i="2" s="1"/>
  <c r="X142" i="2"/>
  <c r="AA142" i="2" s="1"/>
  <c r="EY148" i="2"/>
  <c r="FQ148" i="2"/>
  <c r="FW148" i="2" s="1"/>
  <c r="FX148" i="2" s="1" a="1"/>
  <c r="FX148" i="2" s="1"/>
  <c r="EX148" i="2"/>
  <c r="EV148" i="2"/>
  <c r="GT295" i="2"/>
  <c r="EY56" i="2"/>
  <c r="GU57" i="2"/>
  <c r="DG59" i="2"/>
  <c r="GA60" i="2"/>
  <c r="GT65" i="2"/>
  <c r="CG70" i="2"/>
  <c r="CG71" i="2"/>
  <c r="EX72" i="2"/>
  <c r="FQ73" i="2"/>
  <c r="FW73" i="2" s="1"/>
  <c r="FX73" i="2" s="1" a="1"/>
  <c r="FX73" i="2" s="1"/>
  <c r="CG76" i="2"/>
  <c r="DU81" i="2"/>
  <c r="EI81" i="2" s="1"/>
  <c r="CG84" i="2"/>
  <c r="EX91" i="2"/>
  <c r="BK96" i="2"/>
  <c r="CL96" i="2" s="1"/>
  <c r="CG101" i="2"/>
  <c r="FQ101" i="2"/>
  <c r="EH105" i="2"/>
  <c r="DY105" i="2"/>
  <c r="DZ105" i="2" s="1"/>
  <c r="EA105" i="2" s="1"/>
  <c r="DS105" i="2"/>
  <c r="FQ107" i="2"/>
  <c r="FW107" i="2" s="1"/>
  <c r="FX107" i="2" s="1" a="1"/>
  <c r="FX107" i="2" s="1"/>
  <c r="DG119" i="2"/>
  <c r="FZ119" i="2"/>
  <c r="DO126" i="2"/>
  <c r="DY126" i="2" s="1"/>
  <c r="DZ126" i="2" s="1"/>
  <c r="EA126" i="2" s="1"/>
  <c r="DU126" i="2"/>
  <c r="Y138" i="2"/>
  <c r="AB138" i="2" s="1"/>
  <c r="X138" i="2"/>
  <c r="AA138" i="2" s="1"/>
  <c r="GT145" i="2"/>
  <c r="DO149" i="2"/>
  <c r="EC149" i="2" s="1"/>
  <c r="BM191" i="2"/>
  <c r="BN191" i="2" s="1"/>
  <c r="BK191" i="2"/>
  <c r="CL191" i="2" s="1"/>
  <c r="CG48" i="2"/>
  <c r="GT52" i="2"/>
  <c r="EV54" i="2"/>
  <c r="CR68" i="2"/>
  <c r="FO99" i="2"/>
  <c r="GJ99" i="2" s="1"/>
  <c r="DH108" i="2"/>
  <c r="DG108" i="2"/>
  <c r="EX85" i="2"/>
  <c r="EY85" i="2"/>
  <c r="GU11" i="2"/>
  <c r="DU188" i="2"/>
  <c r="EI188" i="2" s="1"/>
  <c r="DO188" i="2"/>
  <c r="EC188" i="2" s="1"/>
  <c r="DG295" i="2"/>
  <c r="EX52" i="2"/>
  <c r="CR53" i="2"/>
  <c r="GT61" i="2"/>
  <c r="FQ62" i="2"/>
  <c r="FW62" i="2" s="1"/>
  <c r="FX62" i="2" s="1" a="1"/>
  <c r="FX62" i="2" s="1"/>
  <c r="GA63" i="2"/>
  <c r="CR65" i="2"/>
  <c r="EX65" i="2"/>
  <c r="BK69" i="2"/>
  <c r="CL69" i="2" s="1"/>
  <c r="DH69" i="2"/>
  <c r="GU77" i="2"/>
  <c r="CW79" i="2"/>
  <c r="CW80" i="2"/>
  <c r="DA88" i="2"/>
  <c r="DB88" i="2" s="1"/>
  <c r="CG93" i="2"/>
  <c r="DH43" i="2"/>
  <c r="FZ103" i="2"/>
  <c r="BP114" i="2"/>
  <c r="BP118" i="2"/>
  <c r="EY47" i="2"/>
  <c r="EX47" i="2"/>
  <c r="EV47" i="2"/>
  <c r="BP130" i="2"/>
  <c r="DO138" i="2"/>
  <c r="EC138" i="2" s="1"/>
  <c r="DU138" i="2"/>
  <c r="EG138" i="2" s="1"/>
  <c r="CG45" i="2"/>
  <c r="FO295" i="2"/>
  <c r="GJ295" i="2" s="1"/>
  <c r="EV53" i="2"/>
  <c r="DA57" i="2"/>
  <c r="DB57" i="2" s="1"/>
  <c r="DG62" i="2"/>
  <c r="CG63" i="2"/>
  <c r="DO69" i="2"/>
  <c r="EC69" i="2" s="1"/>
  <c r="EX71" i="2"/>
  <c r="CG75" i="2"/>
  <c r="EX77" i="2"/>
  <c r="EV84" i="2"/>
  <c r="DO107" i="2"/>
  <c r="DU107" i="2"/>
  <c r="EI107" i="2" s="1"/>
  <c r="CW85" i="2"/>
  <c r="DA85" i="2"/>
  <c r="DB85" i="2" s="1"/>
  <c r="EX198" i="2"/>
  <c r="EY198" i="2"/>
  <c r="FP295" i="2"/>
  <c r="BK59" i="2"/>
  <c r="CL59" i="2" s="1"/>
  <c r="EX61" i="2"/>
  <c r="GU76" i="2"/>
  <c r="EV80" i="2"/>
  <c r="X89" i="2"/>
  <c r="AA89" i="2" s="1"/>
  <c r="BK95" i="2"/>
  <c r="CL95" i="2" s="1"/>
  <c r="CW99" i="2"/>
  <c r="FP105" i="2"/>
  <c r="FN105" i="2"/>
  <c r="GT114" i="2"/>
  <c r="BM123" i="2"/>
  <c r="BN123" i="2" s="1"/>
  <c r="BK123" i="2"/>
  <c r="CL123" i="2" s="1"/>
  <c r="BK135" i="2"/>
  <c r="CL135" i="2" s="1"/>
  <c r="BM135" i="2"/>
  <c r="BN135" i="2" s="1"/>
  <c r="CG69" i="2"/>
  <c r="CG74" i="2"/>
  <c r="BK100" i="2"/>
  <c r="CL100" i="2" s="1"/>
  <c r="FZ101" i="2"/>
  <c r="GA43" i="2"/>
  <c r="FZ43" i="2"/>
  <c r="EY125" i="2"/>
  <c r="FQ125" i="2"/>
  <c r="FW125" i="2" s="1"/>
  <c r="FX125" i="2" s="1" a="1"/>
  <c r="FX125" i="2" s="1"/>
  <c r="EX125" i="2"/>
  <c r="EV125" i="2"/>
  <c r="AA163" i="2"/>
  <c r="GT46" i="2"/>
  <c r="GU50" i="2"/>
  <c r="GU51" i="2"/>
  <c r="FZ56" i="2"/>
  <c r="BK58" i="2"/>
  <c r="CL58" i="2" s="1"/>
  <c r="GA62" i="2"/>
  <c r="Y63" i="2"/>
  <c r="AB63" i="2" s="1"/>
  <c r="EX67" i="2"/>
  <c r="GT70" i="2"/>
  <c r="GU75" i="2"/>
  <c r="CR79" i="2"/>
  <c r="CR80" i="2"/>
  <c r="CW82" i="2"/>
  <c r="CR84" i="2"/>
  <c r="CW89" i="2"/>
  <c r="EY90" i="2"/>
  <c r="EX93" i="2"/>
  <c r="DG100" i="2"/>
  <c r="CR101" i="2"/>
  <c r="FZ105" i="2"/>
  <c r="GA105" i="2"/>
  <c r="CG85" i="2"/>
  <c r="CW112" i="2"/>
  <c r="DA112" i="2"/>
  <c r="DB112" i="2" s="1"/>
  <c r="CG112" i="2"/>
  <c r="GU158" i="2"/>
  <c r="DO64" i="2"/>
  <c r="EH64" i="2" s="1"/>
  <c r="DU64" i="2"/>
  <c r="DV64" i="2" s="1"/>
  <c r="DW64" i="2" s="1"/>
  <c r="DU177" i="2"/>
  <c r="DV177" i="2" s="1"/>
  <c r="DW177" i="2" s="1"/>
  <c r="DO177" i="2"/>
  <c r="EC177" i="2" s="1"/>
  <c r="CG41" i="2"/>
  <c r="CG295" i="2"/>
  <c r="EV48" i="2"/>
  <c r="DH50" i="2"/>
  <c r="CG66" i="2"/>
  <c r="CR67" i="2"/>
  <c r="FQ71" i="2"/>
  <c r="FW71" i="2" s="1"/>
  <c r="FX71" i="2" s="1" a="1"/>
  <c r="FX71" i="2" s="1"/>
  <c r="EX75" i="2"/>
  <c r="FQ77" i="2"/>
  <c r="FW77" i="2" s="1"/>
  <c r="FX77" i="2" s="1" a="1"/>
  <c r="FX77" i="2" s="1"/>
  <c r="EV83" i="2"/>
  <c r="CG86" i="2"/>
  <c r="CG92" i="2"/>
  <c r="EY93" i="2"/>
  <c r="EX96" i="2"/>
  <c r="GT313" i="2"/>
  <c r="CR99" i="2"/>
  <c r="EV101" i="2"/>
  <c r="EX43" i="2"/>
  <c r="DO114" i="2"/>
  <c r="DY114" i="2" s="1"/>
  <c r="DZ114" i="2" s="1"/>
  <c r="EA114" i="2" s="1"/>
  <c r="DU114" i="2"/>
  <c r="DV114" i="2" s="1"/>
  <c r="DW114" i="2" s="1"/>
  <c r="Y119" i="2"/>
  <c r="AB119" i="2" s="1"/>
  <c r="X119" i="2"/>
  <c r="AA119" i="2" s="1"/>
  <c r="DO123" i="2"/>
  <c r="DY123" i="2" s="1"/>
  <c r="DZ123" i="2" s="1"/>
  <c r="EA123" i="2" s="1"/>
  <c r="DU123" i="2"/>
  <c r="Y135" i="2"/>
  <c r="AB135" i="2" s="1"/>
  <c r="X135" i="2"/>
  <c r="AA135" i="2" s="1"/>
  <c r="EC135" i="2"/>
  <c r="DQ135" i="2"/>
  <c r="DR135" i="2" s="1"/>
  <c r="Y155" i="2"/>
  <c r="AB155" i="2" s="1"/>
  <c r="X155" i="2"/>
  <c r="AA155" i="2" s="1"/>
  <c r="GU165" i="2"/>
  <c r="BK201" i="2"/>
  <c r="BM201" i="2"/>
  <c r="BN201" i="2" s="1"/>
  <c r="GU83" i="2"/>
  <c r="DO108" i="2"/>
  <c r="EH108" i="2" s="1"/>
  <c r="DU108" i="2"/>
  <c r="BK136" i="2"/>
  <c r="CL136" i="2" s="1"/>
  <c r="BM136" i="2"/>
  <c r="BN136" i="2" s="1"/>
  <c r="GU149" i="2"/>
  <c r="CW172" i="2"/>
  <c r="DA172" i="2"/>
  <c r="DB172" i="2" s="1"/>
  <c r="CR172" i="2"/>
  <c r="DH173" i="2"/>
  <c r="DG173" i="2"/>
  <c r="EG201" i="2"/>
  <c r="EI201" i="2"/>
  <c r="DQ50" i="2"/>
  <c r="DR50" i="2" s="1"/>
  <c r="FZ54" i="2"/>
  <c r="GU63" i="2"/>
  <c r="DH65" i="2"/>
  <c r="CG73" i="2"/>
  <c r="EX74" i="2"/>
  <c r="GU81" i="2"/>
  <c r="CR89" i="2"/>
  <c r="DG313" i="2"/>
  <c r="CG100" i="2"/>
  <c r="EX101" i="2"/>
  <c r="DU105" i="2"/>
  <c r="EG105" i="2" s="1"/>
  <c r="EH106" i="2"/>
  <c r="EC106" i="2"/>
  <c r="DG107" i="2"/>
  <c r="BM109" i="2"/>
  <c r="BN109" i="2" s="1"/>
  <c r="BK109" i="2"/>
  <c r="CL109" i="2" s="1"/>
  <c r="GA85" i="2"/>
  <c r="FZ85" i="2"/>
  <c r="GU147" i="2"/>
  <c r="X152" i="2"/>
  <c r="AA152" i="2" s="1"/>
  <c r="Y152" i="2"/>
  <c r="AB152" i="2" s="1"/>
  <c r="DQ51" i="2"/>
  <c r="DR51" i="2" s="1"/>
  <c r="CG65" i="2"/>
  <c r="DA80" i="2"/>
  <c r="DB80" i="2" s="1"/>
  <c r="GU80" i="2"/>
  <c r="GT106" i="2"/>
  <c r="DH110" i="2"/>
  <c r="DG110" i="2"/>
  <c r="DU136" i="2"/>
  <c r="EI136" i="2" s="1"/>
  <c r="DO136" i="2"/>
  <c r="DU147" i="2"/>
  <c r="EG147" i="2" s="1"/>
  <c r="DO147" i="2"/>
  <c r="EH147" i="2" s="1"/>
  <c r="DU158" i="2"/>
  <c r="DV158" i="2" s="1"/>
  <c r="DW158" i="2" s="1"/>
  <c r="GT169" i="2"/>
  <c r="CG56" i="2"/>
  <c r="CG68" i="2"/>
  <c r="GU73" i="2"/>
  <c r="CW88" i="2"/>
  <c r="BK97" i="2"/>
  <c r="CL97" i="2" s="1"/>
  <c r="CG313" i="2"/>
  <c r="DO127" i="2"/>
  <c r="EC127" i="2" s="1"/>
  <c r="DU127" i="2"/>
  <c r="Y136" i="2"/>
  <c r="AB136" i="2" s="1"/>
  <c r="X136" i="2"/>
  <c r="AA136" i="2" s="1"/>
  <c r="GT137" i="2"/>
  <c r="DA144" i="2"/>
  <c r="DB144" i="2" s="1"/>
  <c r="CR144" i="2"/>
  <c r="CG144" i="2"/>
  <c r="GT45" i="2"/>
  <c r="AA48" i="2"/>
  <c r="FQ60" i="2"/>
  <c r="FW60" i="2" s="1"/>
  <c r="FX60" i="2" s="1" a="1"/>
  <c r="FX60" i="2" s="1"/>
  <c r="GA61" i="2"/>
  <c r="Y62" i="2"/>
  <c r="AB62" i="2" s="1"/>
  <c r="EX66" i="2"/>
  <c r="CG72" i="2"/>
  <c r="EX73" i="2"/>
  <c r="GA76" i="2"/>
  <c r="CG78" i="2"/>
  <c r="CG166" i="2"/>
  <c r="EX86" i="2"/>
  <c r="CG91" i="2"/>
  <c r="EX95" i="2"/>
  <c r="FQ313" i="2"/>
  <c r="DA99" i="2"/>
  <c r="DB99" i="2" s="1"/>
  <c r="CW100" i="2"/>
  <c r="GT101" i="2"/>
  <c r="GT43" i="2"/>
  <c r="BK107" i="2"/>
  <c r="CL107" i="2" s="1"/>
  <c r="EX117" i="2"/>
  <c r="EY117" i="2"/>
  <c r="Y120" i="2"/>
  <c r="AB120" i="2" s="1"/>
  <c r="X120" i="2"/>
  <c r="AA120" i="2" s="1"/>
  <c r="CW129" i="2"/>
  <c r="DA129" i="2"/>
  <c r="DB129" i="2" s="1"/>
  <c r="Y158" i="2"/>
  <c r="AB158" i="2" s="1"/>
  <c r="X158" i="2"/>
  <c r="AA158" i="2" s="1"/>
  <c r="GU159" i="2"/>
  <c r="FQ122" i="2"/>
  <c r="FW122" i="2" s="1"/>
  <c r="FX122" i="2" s="1" a="1"/>
  <c r="FX122" i="2" s="1"/>
  <c r="EX123" i="2"/>
  <c r="CG124" i="2"/>
  <c r="Y126" i="2"/>
  <c r="AB126" i="2" s="1"/>
  <c r="DU133" i="2"/>
  <c r="DV133" i="2" s="1"/>
  <c r="DW133" i="2" s="1"/>
  <c r="CG139" i="2"/>
  <c r="GT144" i="2"/>
  <c r="CR148" i="2"/>
  <c r="BM159" i="2"/>
  <c r="BN159" i="2" s="1"/>
  <c r="BK159" i="2"/>
  <c r="CL159" i="2" s="1"/>
  <c r="DH164" i="2"/>
  <c r="DG164" i="2"/>
  <c r="DO228" i="2"/>
  <c r="DS228" i="2" s="1"/>
  <c r="DU228" i="2"/>
  <c r="EI228" i="2" s="1"/>
  <c r="GA176" i="2"/>
  <c r="FZ176" i="2"/>
  <c r="CG181" i="2"/>
  <c r="CR181" i="2"/>
  <c r="BK106" i="2"/>
  <c r="CL106" i="2" s="1"/>
  <c r="GT108" i="2"/>
  <c r="BK110" i="2"/>
  <c r="CL110" i="2" s="1"/>
  <c r="FZ110" i="2"/>
  <c r="GU115" i="2"/>
  <c r="CG117" i="2"/>
  <c r="CI117" i="2" s="1"/>
  <c r="BP119" i="2"/>
  <c r="DG120" i="2"/>
  <c r="CG129" i="2"/>
  <c r="CR140" i="2"/>
  <c r="CR147" i="2"/>
  <c r="EY159" i="2"/>
  <c r="EX159" i="2"/>
  <c r="DH183" i="2"/>
  <c r="EX213" i="2"/>
  <c r="FQ213" i="2"/>
  <c r="FW213" i="2" s="1"/>
  <c r="FX213" i="2" s="1" a="1"/>
  <c r="FX213" i="2" s="1"/>
  <c r="EY213" i="2"/>
  <c r="EV213" i="2"/>
  <c r="GT123" i="2"/>
  <c r="CR146" i="2"/>
  <c r="FQ153" i="2"/>
  <c r="FW153" i="2" s="1"/>
  <c r="FX153" i="2" s="1" a="1"/>
  <c r="FX153" i="2" s="1"/>
  <c r="GU162" i="2"/>
  <c r="EX171" i="2"/>
  <c r="FQ171" i="2"/>
  <c r="FW171" i="2" s="1"/>
  <c r="FX171" i="2" s="1" a="1"/>
  <c r="FX171" i="2" s="1"/>
  <c r="EY171" i="2"/>
  <c r="DO176" i="2"/>
  <c r="EC176" i="2" s="1"/>
  <c r="GU103" i="2"/>
  <c r="GT107" i="2"/>
  <c r="DG125" i="2"/>
  <c r="GT47" i="2"/>
  <c r="GT138" i="2"/>
  <c r="BM141" i="2"/>
  <c r="BN141" i="2" s="1"/>
  <c r="GU143" i="2"/>
  <c r="DG150" i="2"/>
  <c r="FZ151" i="2"/>
  <c r="DG153" i="2"/>
  <c r="DU164" i="2"/>
  <c r="DV164" i="2" s="1"/>
  <c r="DW164" i="2" s="1"/>
  <c r="EX168" i="2"/>
  <c r="FQ168" i="2"/>
  <c r="FW168" i="2" s="1"/>
  <c r="FX168" i="2" s="1" a="1"/>
  <c r="FX168" i="2" s="1"/>
  <c r="EY168" i="2"/>
  <c r="BM176" i="2"/>
  <c r="BN176" i="2" s="1"/>
  <c r="CG43" i="2"/>
  <c r="DA103" i="2"/>
  <c r="DB103" i="2" s="1"/>
  <c r="CG105" i="2"/>
  <c r="X106" i="2"/>
  <c r="AA106" i="2" s="1"/>
  <c r="BK108" i="2"/>
  <c r="CL108" i="2" s="1"/>
  <c r="EY112" i="2"/>
  <c r="CG113" i="2"/>
  <c r="DA198" i="2"/>
  <c r="DB198" i="2" s="1"/>
  <c r="GU117" i="2"/>
  <c r="CG118" i="2"/>
  <c r="DG121" i="2"/>
  <c r="EV122" i="2"/>
  <c r="CR139" i="2"/>
  <c r="CR149" i="2"/>
  <c r="Y153" i="2"/>
  <c r="AB153" i="2" s="1"/>
  <c r="DO159" i="2"/>
  <c r="DS159" i="2" s="1"/>
  <c r="DU159" i="2"/>
  <c r="DV159" i="2" s="1"/>
  <c r="DW159" i="2" s="1"/>
  <c r="DH163" i="2"/>
  <c r="DG163" i="2"/>
  <c r="CW171" i="2"/>
  <c r="DA171" i="2"/>
  <c r="DB171" i="2" s="1"/>
  <c r="CR171" i="2"/>
  <c r="DU182" i="2"/>
  <c r="EG182" i="2" s="1"/>
  <c r="DO182" i="2"/>
  <c r="EH182" i="2" s="1"/>
  <c r="BM183" i="2"/>
  <c r="BN183" i="2" s="1"/>
  <c r="BK183" i="2"/>
  <c r="CL183" i="2" s="1"/>
  <c r="BM199" i="2"/>
  <c r="BN199" i="2" s="1"/>
  <c r="BK199" i="2"/>
  <c r="CL199" i="2" s="1"/>
  <c r="GT104" i="2"/>
  <c r="EY113" i="2"/>
  <c r="GT113" i="2"/>
  <c r="CG119" i="2"/>
  <c r="CW123" i="2"/>
  <c r="GT142" i="2"/>
  <c r="DH11" i="2"/>
  <c r="DG11" i="2"/>
  <c r="GA200" i="2"/>
  <c r="FZ200" i="2"/>
  <c r="FZ108" i="2"/>
  <c r="GU113" i="2"/>
  <c r="X115" i="2"/>
  <c r="AA115" i="2" s="1"/>
  <c r="DG115" i="2"/>
  <c r="EY118" i="2"/>
  <c r="X121" i="2"/>
  <c r="AA121" i="2" s="1"/>
  <c r="EX122" i="2"/>
  <c r="Y125" i="2"/>
  <c r="AB125" i="2" s="1"/>
  <c r="DU125" i="2"/>
  <c r="FQ126" i="2"/>
  <c r="FW126" i="2" s="1"/>
  <c r="FX126" i="2" s="1" a="1"/>
  <c r="FX126" i="2" s="1"/>
  <c r="BK127" i="2"/>
  <c r="CL127" i="2" s="1"/>
  <c r="EV127" i="2"/>
  <c r="CW47" i="2"/>
  <c r="EY130" i="2"/>
  <c r="DG132" i="2"/>
  <c r="X141" i="2"/>
  <c r="AA141" i="2" s="1"/>
  <c r="BM146" i="2"/>
  <c r="BN146" i="2" s="1"/>
  <c r="FZ146" i="2"/>
  <c r="CW150" i="2"/>
  <c r="EV155" i="2"/>
  <c r="EX156" i="2"/>
  <c r="GT162" i="2"/>
  <c r="GU104" i="2"/>
  <c r="GT110" i="2"/>
  <c r="GU118" i="2"/>
  <c r="CG123" i="2"/>
  <c r="EV124" i="2"/>
  <c r="X137" i="2"/>
  <c r="Z137" i="2" s="1"/>
  <c r="GU148" i="2"/>
  <c r="CG152" i="2"/>
  <c r="CI152" i="2" s="1"/>
  <c r="CG153" i="2"/>
  <c r="GA169" i="2"/>
  <c r="FZ169" i="2"/>
  <c r="GU173" i="2"/>
  <c r="DO202" i="2"/>
  <c r="DS202" i="2" s="1"/>
  <c r="DU202" i="2"/>
  <c r="GA107" i="2"/>
  <c r="CG110" i="2"/>
  <c r="EY119" i="2"/>
  <c r="CG120" i="2"/>
  <c r="EX127" i="2"/>
  <c r="CG47" i="2"/>
  <c r="CG135" i="2"/>
  <c r="CG136" i="2"/>
  <c r="BM139" i="2"/>
  <c r="BN139" i="2" s="1"/>
  <c r="GT141" i="2"/>
  <c r="CG142" i="2"/>
  <c r="BM145" i="2"/>
  <c r="BN145" i="2" s="1"/>
  <c r="X147" i="2"/>
  <c r="AA147" i="2" s="1"/>
  <c r="X148" i="2"/>
  <c r="AA148" i="2" s="1"/>
  <c r="EX155" i="2"/>
  <c r="FN64" i="2"/>
  <c r="DA193" i="2"/>
  <c r="DB193" i="2" s="1"/>
  <c r="CG193" i="2"/>
  <c r="GU119" i="2"/>
  <c r="GU135" i="2"/>
  <c r="X146" i="2"/>
  <c r="AA146" i="2" s="1"/>
  <c r="GU155" i="2"/>
  <c r="GU156" i="2"/>
  <c r="X162" i="2"/>
  <c r="CG180" i="2"/>
  <c r="CR180" i="2"/>
  <c r="FZ117" i="2"/>
  <c r="DA119" i="2"/>
  <c r="DB119" i="2" s="1"/>
  <c r="DG129" i="2"/>
  <c r="FZ131" i="2"/>
  <c r="BM144" i="2"/>
  <c r="BN144" i="2" s="1"/>
  <c r="GU157" i="2"/>
  <c r="FZ159" i="2"/>
  <c r="GA159" i="2"/>
  <c r="BK163" i="2"/>
  <c r="CL163" i="2" s="1"/>
  <c r="EG176" i="2"/>
  <c r="EI176" i="2"/>
  <c r="DG112" i="2"/>
  <c r="FZ112" i="2"/>
  <c r="DA114" i="2"/>
  <c r="DB114" i="2" s="1"/>
  <c r="EY120" i="2"/>
  <c r="EV126" i="2"/>
  <c r="FZ129" i="2"/>
  <c r="CG141" i="2"/>
  <c r="FZ143" i="2"/>
  <c r="X145" i="2"/>
  <c r="AA145" i="2" s="1"/>
  <c r="DG149" i="2"/>
  <c r="GU150" i="2"/>
  <c r="BK156" i="2"/>
  <c r="CL156" i="2" s="1"/>
  <c r="BK157" i="2"/>
  <c r="CL157" i="2" s="1"/>
  <c r="DQ157" i="2"/>
  <c r="DR157" i="2" s="1"/>
  <c r="BM165" i="2"/>
  <c r="BN165" i="2" s="1"/>
  <c r="BK165" i="2"/>
  <c r="CL165" i="2" s="1"/>
  <c r="GU120" i="2"/>
  <c r="CG122" i="2"/>
  <c r="BK126" i="2"/>
  <c r="CL126" i="2" s="1"/>
  <c r="DG130" i="2"/>
  <c r="DG131" i="2"/>
  <c r="CR136" i="2"/>
  <c r="GU140" i="2"/>
  <c r="CR142" i="2"/>
  <c r="CG148" i="2"/>
  <c r="CR152" i="2"/>
  <c r="GA64" i="2"/>
  <c r="FZ64" i="2"/>
  <c r="DO11" i="2"/>
  <c r="EH11" i="2" s="1"/>
  <c r="DU11" i="2"/>
  <c r="DV11" i="2" s="1"/>
  <c r="DW11" i="2" s="1"/>
  <c r="GU205" i="2"/>
  <c r="DG232" i="2"/>
  <c r="DH232" i="2"/>
  <c r="CW168" i="2"/>
  <c r="GT170" i="2"/>
  <c r="X201" i="2"/>
  <c r="DH185" i="2"/>
  <c r="FZ185" i="2"/>
  <c r="GA192" i="2"/>
  <c r="GA193" i="2"/>
  <c r="FZ194" i="2"/>
  <c r="DU199" i="2"/>
  <c r="DV199" i="2" s="1"/>
  <c r="DW199" i="2" s="1"/>
  <c r="FZ206" i="2"/>
  <c r="DG210" i="2"/>
  <c r="EX211" i="2"/>
  <c r="EX215" i="2"/>
  <c r="FQ215" i="2"/>
  <c r="FW215" i="2" s="1"/>
  <c r="FX215" i="2" s="1" a="1"/>
  <c r="FX215" i="2" s="1"/>
  <c r="EY215" i="2"/>
  <c r="EV215" i="2"/>
  <c r="DG226" i="2"/>
  <c r="DH226" i="2"/>
  <c r="CG171" i="2"/>
  <c r="Y194" i="2"/>
  <c r="AB194" i="2" s="1"/>
  <c r="CR196" i="2"/>
  <c r="GT203" i="2"/>
  <c r="X207" i="2"/>
  <c r="Z207" i="2" s="1"/>
  <c r="GU210" i="2"/>
  <c r="X169" i="2"/>
  <c r="AA169" i="2" s="1"/>
  <c r="FZ173" i="2"/>
  <c r="BM177" i="2"/>
  <c r="BN177" i="2" s="1"/>
  <c r="FZ177" i="2"/>
  <c r="GA189" i="2"/>
  <c r="Y190" i="2"/>
  <c r="AB190" i="2" s="1"/>
  <c r="Y191" i="2"/>
  <c r="AB191" i="2" s="1"/>
  <c r="GA191" i="2"/>
  <c r="CG194" i="2"/>
  <c r="Y195" i="2"/>
  <c r="AB195" i="2" s="1"/>
  <c r="GU203" i="2"/>
  <c r="DG211" i="2"/>
  <c r="GT218" i="2"/>
  <c r="GT241" i="2"/>
  <c r="GT250" i="2"/>
  <c r="FQ170" i="2"/>
  <c r="FW170" i="2" s="1"/>
  <c r="FX170" i="2" s="1" a="1"/>
  <c r="FX170" i="2" s="1"/>
  <c r="GT171" i="2"/>
  <c r="BK173" i="2"/>
  <c r="CL173" i="2" s="1"/>
  <c r="X174" i="2"/>
  <c r="Z174" i="2" s="1"/>
  <c r="CG185" i="2"/>
  <c r="Y192" i="2"/>
  <c r="AB192" i="2" s="1"/>
  <c r="EV193" i="2"/>
  <c r="DU210" i="2"/>
  <c r="EG210" i="2" s="1"/>
  <c r="BP214" i="2"/>
  <c r="DG219" i="2"/>
  <c r="DH219" i="2"/>
  <c r="GU163" i="2"/>
  <c r="Y165" i="2"/>
  <c r="AB165" i="2" s="1"/>
  <c r="FZ11" i="2"/>
  <c r="BK170" i="2"/>
  <c r="CL170" i="2" s="1"/>
  <c r="CG172" i="2"/>
  <c r="X173" i="2"/>
  <c r="AA173" i="2" s="1"/>
  <c r="BM178" i="2"/>
  <c r="BN178" i="2" s="1"/>
  <c r="DO178" i="2"/>
  <c r="EC178" i="2" s="1"/>
  <c r="DH188" i="2"/>
  <c r="FZ188" i="2"/>
  <c r="Y189" i="2"/>
  <c r="AB189" i="2" s="1"/>
  <c r="CG190" i="2"/>
  <c r="CG191" i="2"/>
  <c r="CG192" i="2"/>
  <c r="EV194" i="2"/>
  <c r="GT202" i="2"/>
  <c r="CW207" i="2"/>
  <c r="GU207" i="2"/>
  <c r="FQ210" i="2"/>
  <c r="FW210" i="2" s="1"/>
  <c r="FX210" i="2" s="1" a="1"/>
  <c r="FX210" i="2" s="1"/>
  <c r="FQ211" i="2"/>
  <c r="FW211" i="2" s="1"/>
  <c r="FX211" i="2" s="1" a="1"/>
  <c r="FX211" i="2" s="1"/>
  <c r="GT216" i="2"/>
  <c r="DO218" i="2"/>
  <c r="EC218" i="2" s="1"/>
  <c r="DU218" i="2"/>
  <c r="EI218" i="2" s="1"/>
  <c r="DG233" i="2"/>
  <c r="DH233" i="2"/>
  <c r="BK162" i="2"/>
  <c r="CL162" i="2" s="1"/>
  <c r="CR168" i="2"/>
  <c r="CG177" i="2"/>
  <c r="CG189" i="2"/>
  <c r="EV192" i="2"/>
  <c r="GT200" i="2"/>
  <c r="BP216" i="2"/>
  <c r="DH239" i="2"/>
  <c r="DG239" i="2"/>
  <c r="EX214" i="2"/>
  <c r="FQ214" i="2"/>
  <c r="FW214" i="2" s="1"/>
  <c r="FX214" i="2" s="1" a="1"/>
  <c r="FX214" i="2" s="1"/>
  <c r="EY214" i="2"/>
  <c r="EV214" i="2"/>
  <c r="Y228" i="2"/>
  <c r="AB228" i="2" s="1"/>
  <c r="FZ170" i="2"/>
  <c r="CG178" i="2"/>
  <c r="FZ179" i="2"/>
  <c r="CG182" i="2"/>
  <c r="BK187" i="2"/>
  <c r="CL187" i="2" s="1"/>
  <c r="FZ187" i="2"/>
  <c r="CG188" i="2"/>
  <c r="DG196" i="2"/>
  <c r="CR199" i="2"/>
  <c r="BK211" i="2"/>
  <c r="CL211" i="2" s="1"/>
  <c r="DO216" i="2"/>
  <c r="DS216" i="2" s="1"/>
  <c r="DU216" i="2"/>
  <c r="DV216" i="2" s="1"/>
  <c r="DW216" i="2" s="1"/>
  <c r="AA242" i="2"/>
  <c r="GT168" i="2"/>
  <c r="GT172" i="2"/>
  <c r="EI178" i="2"/>
  <c r="GA210" i="2"/>
  <c r="GA211" i="2"/>
  <c r="BM219" i="2"/>
  <c r="BN219" i="2" s="1"/>
  <c r="BK219" i="2"/>
  <c r="CL219" i="2" s="1"/>
  <c r="BM233" i="2"/>
  <c r="BN233" i="2" s="1"/>
  <c r="BK233" i="2"/>
  <c r="CL233" i="2" s="1"/>
  <c r="DU238" i="2"/>
  <c r="EI238" i="2" s="1"/>
  <c r="DO238" i="2"/>
  <c r="EC238" i="2" s="1"/>
  <c r="DY242" i="2"/>
  <c r="DZ242" i="2" s="1"/>
  <c r="EA242" i="2" s="1"/>
  <c r="DS242" i="2"/>
  <c r="EC242" i="2"/>
  <c r="CG184" i="2"/>
  <c r="CG196" i="2"/>
  <c r="Y219" i="2"/>
  <c r="AB219" i="2" s="1"/>
  <c r="X219" i="2"/>
  <c r="AA219" i="2" s="1"/>
  <c r="BM239" i="2"/>
  <c r="BN239" i="2" s="1"/>
  <c r="BK239" i="2"/>
  <c r="CL239" i="2" s="1"/>
  <c r="EX160" i="2"/>
  <c r="BK168" i="2"/>
  <c r="CL168" i="2" s="1"/>
  <c r="BK171" i="2"/>
  <c r="CL171" i="2" s="1"/>
  <c r="CG173" i="2"/>
  <c r="DG192" i="2"/>
  <c r="DU237" i="2"/>
  <c r="DV237" i="2" s="1"/>
  <c r="DW237" i="2" s="1"/>
  <c r="GT11" i="2"/>
  <c r="CG179" i="2"/>
  <c r="DH181" i="2"/>
  <c r="GT182" i="2"/>
  <c r="FZ186" i="2"/>
  <c r="CG187" i="2"/>
  <c r="FQ192" i="2"/>
  <c r="BK193" i="2"/>
  <c r="CL193" i="2" s="1"/>
  <c r="FQ194" i="2"/>
  <c r="DO195" i="2"/>
  <c r="EH195" i="2" s="1"/>
  <c r="DU200" i="2"/>
  <c r="BM213" i="2"/>
  <c r="BN213" i="2" s="1"/>
  <c r="BK213" i="2"/>
  <c r="CL213" i="2" s="1"/>
  <c r="DG234" i="2"/>
  <c r="DH234" i="2"/>
  <c r="EY236" i="2"/>
  <c r="FQ236" i="2"/>
  <c r="FW236" i="2" s="1"/>
  <c r="FX236" i="2" s="1" a="1"/>
  <c r="FX236" i="2" s="1"/>
  <c r="EX236" i="2"/>
  <c r="Y239" i="2"/>
  <c r="AB239" i="2" s="1"/>
  <c r="X239" i="2"/>
  <c r="AA239" i="2" s="1"/>
  <c r="GU169" i="2"/>
  <c r="DV201" i="2"/>
  <c r="DW201" i="2" s="1"/>
  <c r="GT206" i="2"/>
  <c r="GU209" i="2"/>
  <c r="BP215" i="2"/>
  <c r="GU223" i="2"/>
  <c r="DH128" i="2"/>
  <c r="DG128" i="2"/>
  <c r="EY216" i="2"/>
  <c r="DH225" i="2"/>
  <c r="FZ239" i="2"/>
  <c r="Y240" i="2"/>
  <c r="AB240" i="2" s="1"/>
  <c r="BM240" i="2"/>
  <c r="BN240" i="2" s="1"/>
  <c r="GU245" i="2"/>
  <c r="GU212" i="2"/>
  <c r="GT214" i="2"/>
  <c r="GT221" i="2"/>
  <c r="GU222" i="2"/>
  <c r="GT224" i="2"/>
  <c r="GU241" i="2"/>
  <c r="CG257" i="2"/>
  <c r="GT223" i="2"/>
  <c r="DH224" i="2"/>
  <c r="BK231" i="2"/>
  <c r="CL231" i="2" s="1"/>
  <c r="X233" i="2"/>
  <c r="AA233" i="2" s="1"/>
  <c r="GA233" i="2"/>
  <c r="GA308" i="2"/>
  <c r="FZ308" i="2"/>
  <c r="DA216" i="2"/>
  <c r="DB216" i="2" s="1"/>
  <c r="FQ218" i="2"/>
  <c r="FW218" i="2" s="1"/>
  <c r="FX218" i="2" s="1" a="1"/>
  <c r="FX218" i="2" s="1"/>
  <c r="DH223" i="2"/>
  <c r="BK225" i="2"/>
  <c r="CL225" i="2" s="1"/>
  <c r="X226" i="2"/>
  <c r="AA226" i="2" s="1"/>
  <c r="X234" i="2"/>
  <c r="AA234" i="2" s="1"/>
  <c r="GT237" i="2"/>
  <c r="FZ248" i="2"/>
  <c r="GU249" i="2"/>
  <c r="FZ251" i="2"/>
  <c r="GT267" i="2"/>
  <c r="DA214" i="2"/>
  <c r="DB214" i="2" s="1"/>
  <c r="DA215" i="2"/>
  <c r="DB215" i="2" s="1"/>
  <c r="GU216" i="2"/>
  <c r="BK218" i="2"/>
  <c r="CL218" i="2" s="1"/>
  <c r="DH218" i="2"/>
  <c r="BK224" i="2"/>
  <c r="CL224" i="2" s="1"/>
  <c r="GA231" i="2"/>
  <c r="FZ243" i="2"/>
  <c r="DS245" i="2"/>
  <c r="FO246" i="2"/>
  <c r="GJ246" i="2" s="1"/>
  <c r="DS247" i="2"/>
  <c r="CZ257" i="2"/>
  <c r="FZ392" i="2"/>
  <c r="GA392" i="2" s="1"/>
  <c r="CW267" i="2"/>
  <c r="FQ212" i="2"/>
  <c r="FW212" i="2" s="1"/>
  <c r="FX212" i="2" s="1" a="1"/>
  <c r="FX212" i="2" s="1"/>
  <c r="FQ216" i="2"/>
  <c r="FW216" i="2" s="1"/>
  <c r="FX216" i="2" s="1" a="1"/>
  <c r="FX216" i="2" s="1"/>
  <c r="CW219" i="2"/>
  <c r="GU220" i="2"/>
  <c r="X232" i="2"/>
  <c r="AA232" i="2" s="1"/>
  <c r="CW233" i="2"/>
  <c r="CG239" i="2"/>
  <c r="GT242" i="2"/>
  <c r="DU245" i="2"/>
  <c r="DS246" i="2"/>
  <c r="DU247" i="2"/>
  <c r="DV247" i="2" s="1"/>
  <c r="DW247" i="2" s="1"/>
  <c r="GA257" i="2"/>
  <c r="FZ257" i="2"/>
  <c r="GU213" i="2"/>
  <c r="GU214" i="2"/>
  <c r="GU215" i="2"/>
  <c r="GT238" i="2"/>
  <c r="X218" i="2"/>
  <c r="AA218" i="2" s="1"/>
  <c r="X292" i="2"/>
  <c r="CG219" i="2"/>
  <c r="DH221" i="2"/>
  <c r="FQ221" i="2"/>
  <c r="FW221" i="2" s="1"/>
  <c r="FX221" i="2" s="1" a="1"/>
  <c r="FX221" i="2" s="1"/>
  <c r="DH222" i="2"/>
  <c r="BK223" i="2"/>
  <c r="CL223" i="2" s="1"/>
  <c r="GA223" i="2"/>
  <c r="X225" i="2"/>
  <c r="AA225" i="2" s="1"/>
  <c r="EV226" i="2"/>
  <c r="GT226" i="2"/>
  <c r="EV232" i="2"/>
  <c r="BK237" i="2"/>
  <c r="CL237" i="2" s="1"/>
  <c r="GU239" i="2"/>
  <c r="FZ245" i="2"/>
  <c r="FZ247" i="2"/>
  <c r="BP251" i="2"/>
  <c r="BK265" i="2"/>
  <c r="CL265" i="2" s="1"/>
  <c r="BM265" i="2"/>
  <c r="BN265" i="2" s="1"/>
  <c r="CR128" i="2"/>
  <c r="DA128" i="2"/>
  <c r="DB128" i="2" s="1"/>
  <c r="CG128" i="2"/>
  <c r="CI128" i="2" s="1"/>
  <c r="CW128" i="2"/>
  <c r="GT220" i="2"/>
  <c r="GT225" i="2"/>
  <c r="GT233" i="2"/>
  <c r="DH241" i="2"/>
  <c r="BP245" i="2"/>
  <c r="BK246" i="2"/>
  <c r="CL246" i="2" s="1"/>
  <c r="X245" i="2"/>
  <c r="AA245" i="2" s="1"/>
  <c r="X246" i="2"/>
  <c r="X247" i="2"/>
  <c r="AA247" i="2" s="1"/>
  <c r="X248" i="2"/>
  <c r="AA248" i="2" s="1"/>
  <c r="CR219" i="2"/>
  <c r="GT219" i="2"/>
  <c r="X223" i="2"/>
  <c r="AA223" i="2" s="1"/>
  <c r="GT231" i="2"/>
  <c r="DU241" i="2"/>
  <c r="EI241" i="2" s="1"/>
  <c r="BP246" i="2"/>
  <c r="FQ267" i="2"/>
  <c r="FW267" i="2" s="1"/>
  <c r="FX267" i="2" s="1" a="1"/>
  <c r="FX267" i="2" s="1"/>
  <c r="GT243" i="2"/>
  <c r="GU248" i="2"/>
  <c r="GT251" i="2"/>
  <c r="EV279" i="2"/>
  <c r="FQ279" i="2"/>
  <c r="FW279" i="2" s="1"/>
  <c r="FX279" i="2" s="1" a="1"/>
  <c r="FX279" i="2" s="1"/>
  <c r="EX279" i="2"/>
  <c r="BK220" i="2"/>
  <c r="CL220" i="2" s="1"/>
  <c r="X222" i="2"/>
  <c r="AA222" i="2" s="1"/>
  <c r="EV223" i="2"/>
  <c r="EV224" i="2"/>
  <c r="AA236" i="2"/>
  <c r="CG251" i="2"/>
  <c r="GU251" i="2"/>
  <c r="BP257" i="2"/>
  <c r="X265" i="2"/>
  <c r="AA265" i="2" s="1"/>
  <c r="CW273" i="2"/>
  <c r="CR273" i="2"/>
  <c r="CG273" i="2"/>
  <c r="DA273" i="2"/>
  <c r="DB273" i="2" s="1"/>
  <c r="DO296" i="2"/>
  <c r="EC296" i="2" s="1"/>
  <c r="DU296" i="2"/>
  <c r="BP312" i="2"/>
  <c r="Y261" i="2"/>
  <c r="AB261" i="2" s="1"/>
  <c r="X261" i="2"/>
  <c r="AA261" i="2" s="1"/>
  <c r="FQ283" i="2"/>
  <c r="EY283" i="2"/>
  <c r="FQ285" i="2"/>
  <c r="EY285" i="2"/>
  <c r="CW266" i="2"/>
  <c r="DA266" i="2"/>
  <c r="DB266" i="2" s="1"/>
  <c r="DU323" i="2"/>
  <c r="EG323" i="2" s="1"/>
  <c r="DO323" i="2"/>
  <c r="EH323" i="2" s="1"/>
  <c r="Y257" i="2"/>
  <c r="AB257" i="2" s="1"/>
  <c r="BM298" i="2"/>
  <c r="BN298" i="2" s="1"/>
  <c r="BK298" i="2"/>
  <c r="CL298" i="2" s="1"/>
  <c r="DU303" i="2"/>
  <c r="EG303" i="2" s="1"/>
  <c r="DO303" i="2"/>
  <c r="EC303" i="2" s="1"/>
  <c r="BM305" i="2"/>
  <c r="BN305" i="2" s="1"/>
  <c r="BK305" i="2"/>
  <c r="CL305" i="2" s="1"/>
  <c r="EY305" i="2"/>
  <c r="EX305" i="2"/>
  <c r="EV98" i="2"/>
  <c r="GU262" i="2"/>
  <c r="Y312" i="2"/>
  <c r="AB312" i="2" s="1"/>
  <c r="X312" i="2"/>
  <c r="AA312" i="2" s="1"/>
  <c r="EX283" i="2"/>
  <c r="EX285" i="2"/>
  <c r="CG266" i="2"/>
  <c r="Y298" i="2"/>
  <c r="AB298" i="2" s="1"/>
  <c r="X298" i="2"/>
  <c r="AA298" i="2" s="1"/>
  <c r="CG305" i="2"/>
  <c r="CR305" i="2"/>
  <c r="GU305" i="2"/>
  <c r="EY317" i="2"/>
  <c r="EX317" i="2"/>
  <c r="FQ317" i="2"/>
  <c r="FW317" i="2" s="1"/>
  <c r="FX317" i="2" s="1" a="1"/>
  <c r="FX317" i="2" s="1"/>
  <c r="EV317" i="2"/>
  <c r="EX98" i="2"/>
  <c r="FP303" i="2"/>
  <c r="FO303" i="2"/>
  <c r="GJ303" i="2" s="1"/>
  <c r="FN303" i="2"/>
  <c r="EY98" i="2"/>
  <c r="DY346" i="2"/>
  <c r="DZ346" i="2" s="1"/>
  <c r="EA346" i="2" s="1"/>
  <c r="EH346" i="2"/>
  <c r="CW265" i="2"/>
  <c r="EX308" i="2"/>
  <c r="EV30" i="2"/>
  <c r="GA254" i="2"/>
  <c r="FZ254" i="2"/>
  <c r="FQ281" i="2"/>
  <c r="FW281" i="2" s="1"/>
  <c r="FX281" i="2" s="1" a="1"/>
  <c r="FX281" i="2" s="1"/>
  <c r="EY281" i="2"/>
  <c r="EX281" i="2"/>
  <c r="X289" i="2"/>
  <c r="DH321" i="2"/>
  <c r="DG321" i="2"/>
  <c r="GU330" i="2"/>
  <c r="FQ284" i="2"/>
  <c r="EY284" i="2"/>
  <c r="FP319" i="2"/>
  <c r="FN319" i="2"/>
  <c r="DG98" i="2"/>
  <c r="DA259" i="2"/>
  <c r="DB259" i="2" s="1"/>
  <c r="CR259" i="2"/>
  <c r="EY315" i="2"/>
  <c r="EX315" i="2"/>
  <c r="FQ315" i="2"/>
  <c r="FW315" i="2" s="1"/>
  <c r="FX315" i="2" s="1" a="1"/>
  <c r="FX315" i="2" s="1"/>
  <c r="BK290" i="2"/>
  <c r="CL290" i="2" s="1"/>
  <c r="BM290" i="2"/>
  <c r="BN290" i="2" s="1"/>
  <c r="GU290" i="2"/>
  <c r="GA300" i="2"/>
  <c r="FZ300" i="2"/>
  <c r="DG308" i="2"/>
  <c r="Y259" i="2"/>
  <c r="AB259" i="2" s="1"/>
  <c r="X259" i="2"/>
  <c r="AA259" i="2" s="1"/>
  <c r="DO274" i="2"/>
  <c r="DU274" i="2"/>
  <c r="EG274" i="2" s="1"/>
  <c r="FZ298" i="2"/>
  <c r="GA298" i="2"/>
  <c r="DU307" i="2"/>
  <c r="EI307" i="2" s="1"/>
  <c r="DO307" i="2"/>
  <c r="DQ307" i="2" s="1"/>
  <c r="DR307" i="2" s="1"/>
  <c r="GA312" i="2"/>
  <c r="FZ312" i="2"/>
  <c r="GT318" i="2"/>
  <c r="Y167" i="2"/>
  <c r="AB167" i="2" s="1"/>
  <c r="FO392" i="2"/>
  <c r="CG308" i="2"/>
  <c r="CG98" i="2"/>
  <c r="GU253" i="2"/>
  <c r="GU260" i="2"/>
  <c r="EX284" i="2"/>
  <c r="BP314" i="2"/>
  <c r="GU318" i="2"/>
  <c r="X321" i="2"/>
  <c r="AA321" i="2" s="1"/>
  <c r="Y321" i="2"/>
  <c r="AB321" i="2" s="1"/>
  <c r="FQ98" i="2"/>
  <c r="FW98" i="2" s="1"/>
  <c r="FX98" i="2" s="1" a="1"/>
  <c r="FX98" i="2" s="1"/>
  <c r="CG259" i="2"/>
  <c r="EY270" i="2"/>
  <c r="FQ270" i="2"/>
  <c r="FW270" i="2" s="1"/>
  <c r="FX270" i="2" s="1" a="1"/>
  <c r="FX270" i="2" s="1"/>
  <c r="EC275" i="2"/>
  <c r="DY275" i="2"/>
  <c r="DZ275" i="2" s="1"/>
  <c r="EA275" i="2" s="1"/>
  <c r="FP277" i="2"/>
  <c r="FN277" i="2"/>
  <c r="EY288" i="2"/>
  <c r="EX288" i="2"/>
  <c r="FQ288" i="2"/>
  <c r="DG300" i="2"/>
  <c r="DH300" i="2"/>
  <c r="GT303" i="2"/>
  <c r="GU309" i="2"/>
  <c r="CG390" i="2"/>
  <c r="GT280" i="2"/>
  <c r="FQ287" i="2"/>
  <c r="FW287" i="2" s="1"/>
  <c r="FX287" i="2" s="1" a="1"/>
  <c r="FX287" i="2" s="1"/>
  <c r="X318" i="2"/>
  <c r="AA318" i="2" s="1"/>
  <c r="Y318" i="2"/>
  <c r="AB318" i="2" s="1"/>
  <c r="DO366" i="2"/>
  <c r="DS366" i="2" s="1"/>
  <c r="DU366" i="2"/>
  <c r="DV366" i="2" s="1"/>
  <c r="DW366" i="2" s="1"/>
  <c r="AA370" i="2"/>
  <c r="X102" i="2"/>
  <c r="AA102" i="2" s="1"/>
  <c r="DU102" i="2"/>
  <c r="EI102" i="2" s="1"/>
  <c r="FZ256" i="2"/>
  <c r="X311" i="2"/>
  <c r="AA311" i="2" s="1"/>
  <c r="CG311" i="2"/>
  <c r="GU269" i="2"/>
  <c r="GT273" i="2"/>
  <c r="FZ266" i="2"/>
  <c r="DG294" i="2"/>
  <c r="BK296" i="2"/>
  <c r="CL296" i="2" s="1"/>
  <c r="BK297" i="2"/>
  <c r="CL297" i="2" s="1"/>
  <c r="BK306" i="2"/>
  <c r="CL306" i="2" s="1"/>
  <c r="BK309" i="2"/>
  <c r="CL309" i="2" s="1"/>
  <c r="BM364" i="2"/>
  <c r="BN364" i="2" s="1"/>
  <c r="GU314" i="2"/>
  <c r="FZ316" i="2"/>
  <c r="BP317" i="2"/>
  <c r="DH326" i="2"/>
  <c r="AB365" i="2"/>
  <c r="X390" i="2"/>
  <c r="Z390" i="2" s="1"/>
  <c r="GT268" i="2"/>
  <c r="BK270" i="2"/>
  <c r="CL270" i="2" s="1"/>
  <c r="CG271" i="2"/>
  <c r="GT271" i="2"/>
  <c r="DG274" i="2"/>
  <c r="CR280" i="2"/>
  <c r="FZ285" i="2"/>
  <c r="CG287" i="2"/>
  <c r="CG291" i="2"/>
  <c r="GU300" i="2"/>
  <c r="FN264" i="2"/>
  <c r="GU312" i="2"/>
  <c r="DG314" i="2"/>
  <c r="FZ317" i="2"/>
  <c r="CG324" i="2"/>
  <c r="X327" i="2"/>
  <c r="AA327" i="2" s="1"/>
  <c r="GU327" i="2"/>
  <c r="BK330" i="2"/>
  <c r="CL330" i="2" s="1"/>
  <c r="X335" i="2"/>
  <c r="AA335" i="2" s="1"/>
  <c r="BK336" i="2"/>
  <c r="CL336" i="2" s="1"/>
  <c r="BM336" i="2"/>
  <c r="BN336" i="2" s="1"/>
  <c r="BM363" i="2"/>
  <c r="BN363" i="2" s="1"/>
  <c r="BK363" i="2"/>
  <c r="CL363" i="2" s="1"/>
  <c r="GU254" i="2"/>
  <c r="CG286" i="2"/>
  <c r="EV287" i="2"/>
  <c r="EV290" i="2"/>
  <c r="FO264" i="2"/>
  <c r="GJ264" i="2" s="1"/>
  <c r="X316" i="2"/>
  <c r="AA316" i="2" s="1"/>
  <c r="Y316" i="2"/>
  <c r="AB316" i="2" s="1"/>
  <c r="Y336" i="2"/>
  <c r="AB336" i="2" s="1"/>
  <c r="X336" i="2"/>
  <c r="EC355" i="2"/>
  <c r="DS355" i="2"/>
  <c r="DQ355" i="2"/>
  <c r="DR355" i="2" s="1"/>
  <c r="DA371" i="2"/>
  <c r="DB371" i="2" s="1"/>
  <c r="CR371" i="2"/>
  <c r="CW371" i="2"/>
  <c r="CG102" i="2"/>
  <c r="CG258" i="2"/>
  <c r="CG270" i="2"/>
  <c r="FZ275" i="2"/>
  <c r="CG277" i="2"/>
  <c r="GT277" i="2"/>
  <c r="FQ278" i="2"/>
  <c r="FW278" i="2" s="1"/>
  <c r="FX278" i="2" s="1" a="1"/>
  <c r="FX278" i="2" s="1"/>
  <c r="FZ282" i="2"/>
  <c r="CG284" i="2"/>
  <c r="CG285" i="2"/>
  <c r="FQ291" i="2"/>
  <c r="FW291" i="2" s="1"/>
  <c r="FX291" i="2" s="1" a="1"/>
  <c r="FX291" i="2" s="1"/>
  <c r="CG293" i="2"/>
  <c r="FZ294" i="2"/>
  <c r="GU297" i="2"/>
  <c r="FZ301" i="2"/>
  <c r="CG302" i="2"/>
  <c r="EX304" i="2"/>
  <c r="CG306" i="2"/>
  <c r="EX307" i="2"/>
  <c r="CG309" i="2"/>
  <c r="GU364" i="2"/>
  <c r="CR323" i="2"/>
  <c r="FZ325" i="2"/>
  <c r="CR327" i="2"/>
  <c r="FZ348" i="2"/>
  <c r="GA348" i="2"/>
  <c r="GU363" i="2"/>
  <c r="DQ261" i="2"/>
  <c r="DR261" i="2" s="1"/>
  <c r="CG256" i="2"/>
  <c r="DU259" i="2"/>
  <c r="EI259" i="2" s="1"/>
  <c r="DS244" i="2"/>
  <c r="EX277" i="2"/>
  <c r="DA280" i="2"/>
  <c r="DB280" i="2" s="1"/>
  <c r="CR286" i="2"/>
  <c r="DA290" i="2"/>
  <c r="DB290" i="2" s="1"/>
  <c r="EY290" i="2"/>
  <c r="CR307" i="2"/>
  <c r="CG364" i="2"/>
  <c r="GU319" i="2"/>
  <c r="FQ320" i="2"/>
  <c r="FW320" i="2" s="1"/>
  <c r="FX320" i="2" s="1" a="1"/>
  <c r="FX320" i="2" s="1"/>
  <c r="EY323" i="2"/>
  <c r="BM328" i="2"/>
  <c r="BN328" i="2" s="1"/>
  <c r="BK328" i="2"/>
  <c r="CL328" i="2" s="1"/>
  <c r="GU333" i="2"/>
  <c r="BM337" i="2"/>
  <c r="BN337" i="2" s="1"/>
  <c r="DO363" i="2"/>
  <c r="DY363" i="2" s="1"/>
  <c r="DZ363" i="2" s="1"/>
  <c r="EA363" i="2" s="1"/>
  <c r="DU363" i="2"/>
  <c r="EI363" i="2" s="1"/>
  <c r="DO367" i="2"/>
  <c r="EC367" i="2" s="1"/>
  <c r="DU367" i="2"/>
  <c r="DV367" i="2" s="1"/>
  <c r="DW367" i="2" s="1"/>
  <c r="GU102" i="2"/>
  <c r="DS261" i="2"/>
  <c r="CR390" i="2"/>
  <c r="X253" i="2"/>
  <c r="AA253" i="2" s="1"/>
  <c r="BM255" i="2"/>
  <c r="BN255" i="2" s="1"/>
  <c r="CW262" i="2"/>
  <c r="DU244" i="2"/>
  <c r="GT286" i="2"/>
  <c r="DV289" i="2"/>
  <c r="DW289" i="2" s="1"/>
  <c r="CR293" i="2"/>
  <c r="CR304" i="2"/>
  <c r="EY338" i="2"/>
  <c r="DO352" i="2"/>
  <c r="DY352" i="2" s="1"/>
  <c r="DZ352" i="2" s="1"/>
  <c r="EA352" i="2" s="1"/>
  <c r="DU352" i="2"/>
  <c r="EI352" i="2" s="1"/>
  <c r="DU261" i="2"/>
  <c r="EI261" i="2" s="1"/>
  <c r="GT270" i="2"/>
  <c r="GA299" i="2"/>
  <c r="BP315" i="2"/>
  <c r="DG320" i="2"/>
  <c r="BM338" i="2"/>
  <c r="BN338" i="2" s="1"/>
  <c r="GT345" i="2"/>
  <c r="GT368" i="2"/>
  <c r="Y338" i="2"/>
  <c r="AB338" i="2" s="1"/>
  <c r="X338" i="2"/>
  <c r="AA338" i="2" s="1"/>
  <c r="DU338" i="2"/>
  <c r="EG338" i="2" s="1"/>
  <c r="DO338" i="2"/>
  <c r="EH338" i="2" s="1"/>
  <c r="AB385" i="2"/>
  <c r="CG255" i="2"/>
  <c r="EC244" i="2"/>
  <c r="FQ271" i="2"/>
  <c r="FW271" i="2" s="1"/>
  <c r="FX271" i="2" s="1" a="1"/>
  <c r="FX271" i="2" s="1"/>
  <c r="GT275" i="2"/>
  <c r="CR279" i="2"/>
  <c r="EX282" i="2"/>
  <c r="GT284" i="2"/>
  <c r="DA286" i="2"/>
  <c r="DB286" i="2" s="1"/>
  <c r="DA291" i="2"/>
  <c r="DB291" i="2" s="1"/>
  <c r="EV291" i="2"/>
  <c r="CR294" i="2"/>
  <c r="CR302" i="2"/>
  <c r="CR306" i="2"/>
  <c r="CR309" i="2"/>
  <c r="Y315" i="2"/>
  <c r="AB315" i="2" s="1"/>
  <c r="GU316" i="2"/>
  <c r="Y322" i="2"/>
  <c r="AB322" i="2" s="1"/>
  <c r="GU324" i="2"/>
  <c r="BM334" i="2"/>
  <c r="BN334" i="2" s="1"/>
  <c r="X337" i="2"/>
  <c r="AA337" i="2" s="1"/>
  <c r="BK339" i="2"/>
  <c r="CL339" i="2" s="1"/>
  <c r="BM339" i="2"/>
  <c r="BN339" i="2" s="1"/>
  <c r="DU381" i="2"/>
  <c r="EI381" i="2" s="1"/>
  <c r="DO381" i="2"/>
  <c r="EH381" i="2" s="1"/>
  <c r="CR253" i="2"/>
  <c r="X255" i="2"/>
  <c r="AA255" i="2" s="1"/>
  <c r="EX263" i="2"/>
  <c r="CG269" i="2"/>
  <c r="CG272" i="2"/>
  <c r="CR276" i="2"/>
  <c r="DA277" i="2"/>
  <c r="DB277" i="2" s="1"/>
  <c r="FQ277" i="2"/>
  <c r="FW277" i="2" s="1"/>
  <c r="FX277" i="2" s="1" a="1"/>
  <c r="FX277" i="2" s="1"/>
  <c r="DA284" i="2"/>
  <c r="DB284" i="2" s="1"/>
  <c r="DA285" i="2"/>
  <c r="DB285" i="2" s="1"/>
  <c r="DA293" i="2"/>
  <c r="DB293" i="2" s="1"/>
  <c r="GT294" i="2"/>
  <c r="GU296" i="2"/>
  <c r="GU306" i="2"/>
  <c r="CG264" i="2"/>
  <c r="GU317" i="2"/>
  <c r="FZ330" i="2"/>
  <c r="GA330" i="2"/>
  <c r="GT331" i="2"/>
  <c r="GU349" i="2"/>
  <c r="GT281" i="2"/>
  <c r="EX291" i="2"/>
  <c r="EY294" i="2"/>
  <c r="DA364" i="2"/>
  <c r="DB364" i="2" s="1"/>
  <c r="X331" i="2"/>
  <c r="AA331" i="2" s="1"/>
  <c r="GU332" i="2"/>
  <c r="X334" i="2"/>
  <c r="AA334" i="2" s="1"/>
  <c r="FZ336" i="2"/>
  <c r="GA336" i="2"/>
  <c r="CG339" i="2"/>
  <c r="BM346" i="2"/>
  <c r="BN346" i="2" s="1"/>
  <c r="BK346" i="2"/>
  <c r="CL346" i="2" s="1"/>
  <c r="DO349" i="2"/>
  <c r="DY349" i="2" s="1"/>
  <c r="DZ349" i="2" s="1"/>
  <c r="EA349" i="2" s="1"/>
  <c r="DU349" i="2"/>
  <c r="EG349" i="2" s="1"/>
  <c r="CH351" i="2"/>
  <c r="GU351" i="2"/>
  <c r="GU386" i="2"/>
  <c r="DV382" i="2"/>
  <c r="DW382" i="2" s="1"/>
  <c r="EI382" i="2"/>
  <c r="BK268" i="2"/>
  <c r="CL268" i="2" s="1"/>
  <c r="CR281" i="2"/>
  <c r="DA282" i="2"/>
  <c r="DB282" i="2" s="1"/>
  <c r="DG286" i="2"/>
  <c r="DG291" i="2"/>
  <c r="EY310" i="2"/>
  <c r="EX310" i="2"/>
  <c r="FZ364" i="2"/>
  <c r="DG317" i="2"/>
  <c r="DG318" i="2"/>
  <c r="EY321" i="2"/>
  <c r="EV321" i="2"/>
  <c r="BP324" i="2"/>
  <c r="BM327" i="2"/>
  <c r="BN327" i="2" s="1"/>
  <c r="BK327" i="2"/>
  <c r="CL327" i="2" s="1"/>
  <c r="DO357" i="2"/>
  <c r="EH357" i="2" s="1"/>
  <c r="DU357" i="2"/>
  <c r="EI357" i="2" s="1"/>
  <c r="GT362" i="2"/>
  <c r="DG363" i="2"/>
  <c r="DH363" i="2"/>
  <c r="AA369" i="2"/>
  <c r="DU390" i="2"/>
  <c r="EI390" i="2" s="1"/>
  <c r="CG254" i="2"/>
  <c r="BM311" i="2"/>
  <c r="BN311" i="2" s="1"/>
  <c r="DG270" i="2"/>
  <c r="GU298" i="2"/>
  <c r="CG310" i="2"/>
  <c r="DH364" i="2"/>
  <c r="DG364" i="2"/>
  <c r="BM335" i="2"/>
  <c r="BN335" i="2" s="1"/>
  <c r="BK340" i="2"/>
  <c r="CL340" i="2" s="1"/>
  <c r="BM340" i="2"/>
  <c r="BN340" i="2" s="1"/>
  <c r="DO358" i="2"/>
  <c r="DQ358" i="2" s="1"/>
  <c r="DR358" i="2" s="1"/>
  <c r="DU358" i="2"/>
  <c r="EG358" i="2" s="1"/>
  <c r="GT366" i="2"/>
  <c r="GT274" i="2"/>
  <c r="DA275" i="2"/>
  <c r="DB275" i="2" s="1"/>
  <c r="EX278" i="2"/>
  <c r="DG283" i="2"/>
  <c r="DO291" i="2"/>
  <c r="DS291" i="2" s="1"/>
  <c r="FZ293" i="2"/>
  <c r="DH296" i="2"/>
  <c r="GU301" i="2"/>
  <c r="Y320" i="2"/>
  <c r="AB320" i="2" s="1"/>
  <c r="DH333" i="2"/>
  <c r="DG333" i="2"/>
  <c r="GU362" i="2"/>
  <c r="GU366" i="2"/>
  <c r="GA362" i="2"/>
  <c r="BM377" i="2"/>
  <c r="BN377" i="2" s="1"/>
  <c r="GU377" i="2"/>
  <c r="GT350" i="2"/>
  <c r="X353" i="2"/>
  <c r="AA353" i="2" s="1"/>
  <c r="GU359" i="2"/>
  <c r="GT386" i="2"/>
  <c r="DU365" i="2"/>
  <c r="EI365" i="2" s="1"/>
  <c r="FQ365" i="2"/>
  <c r="FW365" i="2" s="1"/>
  <c r="FX365" i="2" s="1" a="1"/>
  <c r="FX365" i="2" s="1"/>
  <c r="EY369" i="2"/>
  <c r="DH378" i="2"/>
  <c r="GT379" i="2"/>
  <c r="X389" i="2"/>
  <c r="AA389" i="2" s="1"/>
  <c r="DA350" i="2"/>
  <c r="DB350" i="2" s="1"/>
  <c r="EY351" i="2"/>
  <c r="X354" i="2"/>
  <c r="AA354" i="2" s="1"/>
  <c r="FQ377" i="2"/>
  <c r="FW377" i="2" s="1"/>
  <c r="FX377" i="2" s="1" a="1"/>
  <c r="FX377" i="2" s="1"/>
  <c r="DG388" i="2"/>
  <c r="FZ388" i="2"/>
  <c r="Y389" i="2"/>
  <c r="AB389" i="2" s="1"/>
  <c r="GU337" i="2"/>
  <c r="X341" i="2"/>
  <c r="AA341" i="2" s="1"/>
  <c r="CG341" i="2"/>
  <c r="CG344" i="2"/>
  <c r="CW346" i="2"/>
  <c r="GT351" i="2"/>
  <c r="GT354" i="2"/>
  <c r="DU359" i="2"/>
  <c r="EG359" i="2" s="1"/>
  <c r="CG360" i="2"/>
  <c r="DH370" i="2"/>
  <c r="CR358" i="2"/>
  <c r="EY368" i="2"/>
  <c r="FQ369" i="2"/>
  <c r="FW369" i="2" s="1"/>
  <c r="FX369" i="2" s="1" a="1"/>
  <c r="FX369" i="2" s="1"/>
  <c r="GT373" i="2"/>
  <c r="GT374" i="2"/>
  <c r="GT378" i="2"/>
  <c r="DG384" i="2"/>
  <c r="X388" i="2"/>
  <c r="AA388" i="2" s="1"/>
  <c r="X339" i="2"/>
  <c r="AA339" i="2" s="1"/>
  <c r="BK350" i="2"/>
  <c r="CL350" i="2" s="1"/>
  <c r="DH350" i="2"/>
  <c r="DA351" i="2"/>
  <c r="DB351" i="2" s="1"/>
  <c r="GT352" i="2"/>
  <c r="CR357" i="2"/>
  <c r="X360" i="2"/>
  <c r="AA360" i="2" s="1"/>
  <c r="EY360" i="2"/>
  <c r="DH366" i="2"/>
  <c r="GT367" i="2"/>
  <c r="GT381" i="2"/>
  <c r="DG385" i="2"/>
  <c r="DG387" i="2"/>
  <c r="FZ387" i="2"/>
  <c r="Y388" i="2"/>
  <c r="CZ229" i="2"/>
  <c r="BK366" i="2"/>
  <c r="CL366" i="2" s="1"/>
  <c r="DH369" i="2"/>
  <c r="BK370" i="2"/>
  <c r="CL370" i="2" s="1"/>
  <c r="FZ371" i="2"/>
  <c r="DG373" i="2"/>
  <c r="EX376" i="2"/>
  <c r="DG379" i="2"/>
  <c r="DA380" i="2"/>
  <c r="DB380" i="2" s="1"/>
  <c r="FZ384" i="2"/>
  <c r="BM387" i="2"/>
  <c r="BN387" i="2" s="1"/>
  <c r="CG349" i="2"/>
  <c r="DU350" i="2"/>
  <c r="EI350" i="2" s="1"/>
  <c r="GT353" i="2"/>
  <c r="DA358" i="2"/>
  <c r="DB358" i="2" s="1"/>
  <c r="CW363" i="2"/>
  <c r="EV365" i="2"/>
  <c r="EY367" i="2"/>
  <c r="Y372" i="2"/>
  <c r="AB372" i="2" s="1"/>
  <c r="DG372" i="2"/>
  <c r="DH375" i="2"/>
  <c r="X385" i="2"/>
  <c r="AA385" i="2" s="1"/>
  <c r="X387" i="2"/>
  <c r="AA387" i="2" s="1"/>
  <c r="Y394" i="2"/>
  <c r="AB394" i="2" s="1"/>
  <c r="GU348" i="2"/>
  <c r="FQ368" i="2"/>
  <c r="FW368" i="2" s="1"/>
  <c r="FX368" i="2" s="1" a="1"/>
  <c r="FX368" i="2" s="1"/>
  <c r="EV371" i="2"/>
  <c r="FQ374" i="2"/>
  <c r="FW374" i="2" s="1"/>
  <c r="FX374" i="2" s="1" a="1"/>
  <c r="FX374" i="2" s="1"/>
  <c r="GT375" i="2"/>
  <c r="EV377" i="2"/>
  <c r="DO379" i="2"/>
  <c r="DY379" i="2" s="1"/>
  <c r="DZ379" i="2" s="1"/>
  <c r="EA379" i="2" s="1"/>
  <c r="X380" i="2"/>
  <c r="BK380" i="2"/>
  <c r="CL380" i="2" s="1"/>
  <c r="DA381" i="2"/>
  <c r="DB381" i="2" s="1"/>
  <c r="DH382" i="2"/>
  <c r="FZ382" i="2"/>
  <c r="X384" i="2"/>
  <c r="AA384" i="2" s="1"/>
  <c r="Y387" i="2"/>
  <c r="AB387" i="2" s="1"/>
  <c r="BM393" i="2"/>
  <c r="BN393" i="2" s="1"/>
  <c r="FZ393" i="2"/>
  <c r="FZ229" i="2"/>
  <c r="GU325" i="2"/>
  <c r="GI336" i="2"/>
  <c r="GJ336" i="2" s="1"/>
  <c r="X359" i="2"/>
  <c r="AA359" i="2" s="1"/>
  <c r="CG363" i="2"/>
  <c r="DA365" i="2"/>
  <c r="DB365" i="2" s="1"/>
  <c r="EY365" i="2"/>
  <c r="Y373" i="2"/>
  <c r="AB373" i="2" s="1"/>
  <c r="CG373" i="2"/>
  <c r="BK374" i="2"/>
  <c r="CL374" i="2" s="1"/>
  <c r="BK375" i="2"/>
  <c r="CL375" i="2" s="1"/>
  <c r="DV375" i="2"/>
  <c r="DW375" i="2" s="1"/>
  <c r="DH380" i="2"/>
  <c r="GT394" i="2"/>
  <c r="CG338" i="2"/>
  <c r="EV346" i="2"/>
  <c r="CR349" i="2"/>
  <c r="FO354" i="2"/>
  <c r="GJ354" i="2" s="1"/>
  <c r="GU357" i="2"/>
  <c r="EY359" i="2"/>
  <c r="EX377" i="2"/>
  <c r="BM383" i="2"/>
  <c r="BN383" i="2" s="1"/>
  <c r="Y393" i="2"/>
  <c r="AB393" i="2" s="1"/>
  <c r="GT338" i="2"/>
  <c r="GT349" i="2"/>
  <c r="FN353" i="2"/>
  <c r="DU354" i="2"/>
  <c r="DV354" i="2" s="1"/>
  <c r="DW354" i="2" s="1"/>
  <c r="CR359" i="2"/>
  <c r="CG361" i="2"/>
  <c r="DU362" i="2"/>
  <c r="DU386" i="2"/>
  <c r="EI386" i="2" s="1"/>
  <c r="EG375" i="2"/>
  <c r="DO377" i="2"/>
  <c r="DS377" i="2" s="1"/>
  <c r="FZ391" i="2"/>
  <c r="GT355" i="2"/>
  <c r="GT369" i="2"/>
  <c r="GT371" i="2"/>
  <c r="GT377" i="2"/>
  <c r="EX314" i="2"/>
  <c r="GT321" i="2"/>
  <c r="GT323" i="2"/>
  <c r="GU336" i="2"/>
  <c r="GU343" i="2"/>
  <c r="DA349" i="2"/>
  <c r="DB349" i="2" s="1"/>
  <c r="CR350" i="2"/>
  <c r="CG351" i="2"/>
  <c r="X352" i="2"/>
  <c r="AA352" i="2" s="1"/>
  <c r="DQ353" i="2"/>
  <c r="DR353" i="2" s="1"/>
  <c r="DY354" i="2"/>
  <c r="DZ354" i="2" s="1"/>
  <c r="EA354" i="2" s="1"/>
  <c r="GU355" i="2"/>
  <c r="X361" i="2"/>
  <c r="AA361" i="2" s="1"/>
  <c r="GU370" i="2"/>
  <c r="X379" i="2"/>
  <c r="AA379" i="2" s="1"/>
  <c r="CR229" i="2"/>
  <c r="CX229" i="2" s="1"/>
  <c r="GS261" i="2"/>
  <c r="GU261" i="2" s="1"/>
  <c r="GQ252" i="2"/>
  <c r="GO244" i="2"/>
  <c r="GO228" i="2"/>
  <c r="GU228" i="2" s="1"/>
  <c r="GS30" i="2"/>
  <c r="GT30" i="2" s="1"/>
  <c r="GS392" i="2"/>
  <c r="GT392" i="2" s="1"/>
  <c r="GS390" i="2"/>
  <c r="GT390" i="2" s="1"/>
  <c r="GO235" i="2"/>
  <c r="GU235" i="2" s="1"/>
  <c r="GO311" i="2"/>
  <c r="GO265" i="2"/>
  <c r="GQ266" i="2"/>
  <c r="GQ265" i="2"/>
  <c r="DU265" i="2" s="1"/>
  <c r="GS311" i="2"/>
  <c r="GQ258" i="2"/>
  <c r="GO257" i="2"/>
  <c r="GS265" i="2"/>
  <c r="GQ263" i="2"/>
  <c r="GS266" i="2"/>
  <c r="GS167" i="2"/>
  <c r="GS258" i="2"/>
  <c r="GO229" i="2"/>
  <c r="GU229" i="2" s="1"/>
  <c r="GT13" i="2"/>
  <c r="GU13" i="2"/>
  <c r="DU13" i="2"/>
  <c r="DO13" i="2"/>
  <c r="DV15" i="2"/>
  <c r="DW15" i="2" s="1"/>
  <c r="EG15" i="2"/>
  <c r="EI15" i="2"/>
  <c r="DV16" i="2"/>
  <c r="DW16" i="2" s="1"/>
  <c r="EG16" i="2"/>
  <c r="EI16" i="2"/>
  <c r="GT20" i="2"/>
  <c r="DU44" i="2"/>
  <c r="DO44" i="2"/>
  <c r="GU16" i="2"/>
  <c r="DV17" i="2"/>
  <c r="DW17" i="2" s="1"/>
  <c r="EG17" i="2"/>
  <c r="EI17" i="2"/>
  <c r="GU15" i="2"/>
  <c r="GT17" i="2"/>
  <c r="GU17" i="2"/>
  <c r="DU42" i="2"/>
  <c r="DO42" i="2"/>
  <c r="DU12" i="2"/>
  <c r="DO12" i="2"/>
  <c r="GT19" i="2"/>
  <c r="DV18" i="2"/>
  <c r="DW18" i="2" s="1"/>
  <c r="EG18" i="2"/>
  <c r="EI18" i="2"/>
  <c r="GU9" i="2"/>
  <c r="GT356" i="2"/>
  <c r="GT10" i="2"/>
  <c r="GU356" i="2"/>
  <c r="GU10" i="2"/>
  <c r="DU356" i="2"/>
  <c r="DO356" i="2"/>
  <c r="GT12" i="2"/>
  <c r="GU12" i="2"/>
  <c r="T12" i="2"/>
  <c r="DH80" i="2"/>
  <c r="DG80" i="2"/>
  <c r="DU91" i="2"/>
  <c r="DO91" i="2"/>
  <c r="BM15" i="2"/>
  <c r="BN15" i="2" s="1"/>
  <c r="FP15" i="2"/>
  <c r="GA16" i="2"/>
  <c r="GA17" i="2"/>
  <c r="DG18" i="2"/>
  <c r="EY18" i="2"/>
  <c r="EX18" i="2"/>
  <c r="FQ18" i="2"/>
  <c r="FW18" i="2" s="1"/>
  <c r="FX18" i="2" s="1" a="1"/>
  <c r="FX18" i="2" s="1"/>
  <c r="DY19" i="2"/>
  <c r="DZ19" i="2" s="1"/>
  <c r="EA19" i="2" s="1"/>
  <c r="GA19" i="2"/>
  <c r="BP21" i="2"/>
  <c r="BK26" i="2"/>
  <c r="CL26" i="2" s="1"/>
  <c r="GT27" i="2"/>
  <c r="DG14" i="2"/>
  <c r="DU31" i="2"/>
  <c r="DO31" i="2"/>
  <c r="GA49" i="2"/>
  <c r="FZ49" i="2"/>
  <c r="T54" i="2"/>
  <c r="FQ15" i="2"/>
  <c r="DO18" i="2"/>
  <c r="AA19" i="2"/>
  <c r="EC19" i="2"/>
  <c r="CG21" i="2"/>
  <c r="CI21" i="2" s="1"/>
  <c r="DA21" i="2"/>
  <c r="DB21" i="2" s="1"/>
  <c r="CW21" i="2"/>
  <c r="CR21" i="2"/>
  <c r="AA14" i="2"/>
  <c r="BM31" i="2"/>
  <c r="BN31" i="2" s="1"/>
  <c r="BK31" i="2"/>
  <c r="CL31" i="2" s="1"/>
  <c r="GT32" i="2"/>
  <c r="GT36" i="2"/>
  <c r="GU38" i="2"/>
  <c r="BP50" i="2"/>
  <c r="DO54" i="2"/>
  <c r="DH9" i="2"/>
  <c r="DG12" i="2"/>
  <c r="DG13" i="2"/>
  <c r="DG116" i="2"/>
  <c r="EV15" i="2"/>
  <c r="DO16" i="2"/>
  <c r="BK36" i="2"/>
  <c r="CL36" i="2" s="1"/>
  <c r="GT41" i="2"/>
  <c r="GT48" i="2"/>
  <c r="BP59" i="2"/>
  <c r="CG60" i="2"/>
  <c r="CI60" i="2" s="1"/>
  <c r="DA60" i="2"/>
  <c r="DB60" i="2" s="1"/>
  <c r="CW60" i="2"/>
  <c r="CR60" i="2"/>
  <c r="AB65" i="2"/>
  <c r="T13" i="2"/>
  <c r="BK9" i="2"/>
  <c r="CL9" i="2" s="1"/>
  <c r="BK10" i="2"/>
  <c r="CL10" i="2" s="1"/>
  <c r="DH10" i="2"/>
  <c r="DG356" i="2"/>
  <c r="BK356" i="2"/>
  <c r="CL356" i="2" s="1"/>
  <c r="CR15" i="2"/>
  <c r="X16" i="2"/>
  <c r="CG17" i="2"/>
  <c r="CI17" i="2" s="1"/>
  <c r="EV18" i="2"/>
  <c r="CG19" i="2"/>
  <c r="CI19" i="2" s="1"/>
  <c r="DA19" i="2"/>
  <c r="DB19" i="2" s="1"/>
  <c r="CW19" i="2"/>
  <c r="BK20" i="2"/>
  <c r="CL20" i="2" s="1"/>
  <c r="CG22" i="2"/>
  <c r="CI22" i="2" s="1"/>
  <c r="DA22" i="2"/>
  <c r="DB22" i="2" s="1"/>
  <c r="CW22" i="2"/>
  <c r="CR22" i="2"/>
  <c r="DS22" i="2"/>
  <c r="GT28" i="2"/>
  <c r="EC38" i="2"/>
  <c r="DY38" i="2"/>
  <c r="DZ38" i="2" s="1"/>
  <c r="EA38" i="2" s="1"/>
  <c r="DS38" i="2"/>
  <c r="DQ38" i="2"/>
  <c r="DR38" i="2" s="1"/>
  <c r="EH38" i="2"/>
  <c r="BK41" i="2"/>
  <c r="CL41" i="2" s="1"/>
  <c r="AB50" i="2"/>
  <c r="BK51" i="2"/>
  <c r="CL51" i="2" s="1"/>
  <c r="DA59" i="2"/>
  <c r="DB59" i="2" s="1"/>
  <c r="CW59" i="2"/>
  <c r="CR59" i="2"/>
  <c r="CG59" i="2"/>
  <c r="CI59" i="2" s="1"/>
  <c r="EX15" i="2"/>
  <c r="GT24" i="2"/>
  <c r="DU56" i="2"/>
  <c r="DO56" i="2"/>
  <c r="DU68" i="2"/>
  <c r="DO68" i="2"/>
  <c r="AA78" i="2"/>
  <c r="BK78" i="2"/>
  <c r="CL78" i="2" s="1"/>
  <c r="T17" i="2"/>
  <c r="DO17" i="2"/>
  <c r="Y20" i="2"/>
  <c r="AB20" i="2" s="1"/>
  <c r="BP20" i="2"/>
  <c r="GT22" i="2"/>
  <c r="BK24" i="2"/>
  <c r="CL24" i="2" s="1"/>
  <c r="EC32" i="2"/>
  <c r="DY32" i="2"/>
  <c r="DZ32" i="2" s="1"/>
  <c r="EA32" i="2" s="1"/>
  <c r="DS32" i="2"/>
  <c r="DQ32" i="2"/>
  <c r="DR32" i="2" s="1"/>
  <c r="EH32" i="2"/>
  <c r="GT33" i="2"/>
  <c r="EC36" i="2"/>
  <c r="DY36" i="2"/>
  <c r="DZ36" i="2" s="1"/>
  <c r="EA36" i="2" s="1"/>
  <c r="DS36" i="2"/>
  <c r="DQ36" i="2"/>
  <c r="DR36" i="2" s="1"/>
  <c r="EH36" i="2"/>
  <c r="DO52" i="2"/>
  <c r="DU52" i="2"/>
  <c r="BK21" i="2"/>
  <c r="CL21" i="2" s="1"/>
  <c r="BP9" i="2"/>
  <c r="CR9" i="2"/>
  <c r="BP10" i="2"/>
  <c r="CR10" i="2"/>
  <c r="FQ17" i="2"/>
  <c r="FW17" i="2" s="1"/>
  <c r="FX17" i="2" s="1" a="1"/>
  <c r="FX17" i="2" s="1"/>
  <c r="BM18" i="2"/>
  <c r="BN18" i="2" s="1"/>
  <c r="CG20" i="2"/>
  <c r="CI20" i="2" s="1"/>
  <c r="DA20" i="2"/>
  <c r="DB20" i="2" s="1"/>
  <c r="CW20" i="2"/>
  <c r="CR20" i="2"/>
  <c r="BK39" i="2"/>
  <c r="CL39" i="2" s="1"/>
  <c r="GT39" i="2"/>
  <c r="CR55" i="2"/>
  <c r="CG55" i="2"/>
  <c r="CI55" i="2" s="1"/>
  <c r="DA55" i="2"/>
  <c r="DB55" i="2" s="1"/>
  <c r="CW55" i="2"/>
  <c r="GU61" i="2"/>
  <c r="EC97" i="2"/>
  <c r="DY97" i="2"/>
  <c r="DZ97" i="2" s="1"/>
  <c r="EA97" i="2" s="1"/>
  <c r="DS97" i="2"/>
  <c r="DQ97" i="2"/>
  <c r="DR97" i="2" s="1"/>
  <c r="EH97" i="2"/>
  <c r="AB379" i="2"/>
  <c r="CR356" i="2"/>
  <c r="CR12" i="2"/>
  <c r="CR13" i="2"/>
  <c r="CR116" i="2"/>
  <c r="CW15" i="2"/>
  <c r="CR16" i="2"/>
  <c r="EY19" i="2"/>
  <c r="EV19" i="2"/>
  <c r="FQ19" i="2"/>
  <c r="GT29" i="2"/>
  <c r="GT49" i="2"/>
  <c r="GT60" i="2"/>
  <c r="GT25" i="2"/>
  <c r="GT37" i="2"/>
  <c r="X52" i="2"/>
  <c r="Y52" i="2"/>
  <c r="AB52" i="2" s="1"/>
  <c r="DU55" i="2"/>
  <c r="DO55" i="2"/>
  <c r="DA15" i="2"/>
  <c r="DB15" i="2" s="1"/>
  <c r="BP18" i="2"/>
  <c r="DG20" i="2"/>
  <c r="DY22" i="2"/>
  <c r="DZ22" i="2" s="1"/>
  <c r="EA22" i="2" s="1"/>
  <c r="DQ22" i="2"/>
  <c r="DR22" i="2" s="1"/>
  <c r="EH22" i="2"/>
  <c r="DU29" i="2"/>
  <c r="DO29" i="2"/>
  <c r="GU46" i="2"/>
  <c r="GU295" i="2"/>
  <c r="GU49" i="2"/>
  <c r="GA52" i="2"/>
  <c r="FZ52" i="2"/>
  <c r="DO88" i="2"/>
  <c r="DU88" i="2"/>
  <c r="BM14" i="2"/>
  <c r="BN14" i="2" s="1"/>
  <c r="BK14" i="2"/>
  <c r="CL14" i="2" s="1"/>
  <c r="GU42" i="2"/>
  <c r="BK38" i="2"/>
  <c r="CL38" i="2" s="1"/>
  <c r="CW9" i="2"/>
  <c r="CW10" i="2"/>
  <c r="EX17" i="2"/>
  <c r="DQ19" i="2"/>
  <c r="DR19" i="2" s="1"/>
  <c r="DY21" i="2"/>
  <c r="DZ21" i="2" s="1"/>
  <c r="EA21" i="2" s="1"/>
  <c r="EH21" i="2"/>
  <c r="BK29" i="2"/>
  <c r="CL29" i="2" s="1"/>
  <c r="GT14" i="2"/>
  <c r="GT34" i="2"/>
  <c r="GT44" i="2"/>
  <c r="GU45" i="2"/>
  <c r="EG111" i="2"/>
  <c r="DV111" i="2"/>
  <c r="DW111" i="2" s="1"/>
  <c r="CW16" i="2"/>
  <c r="CR17" i="2"/>
  <c r="GU14" i="2"/>
  <c r="GT35" i="2"/>
  <c r="DO111" i="2"/>
  <c r="GT111" i="2"/>
  <c r="GU44" i="2"/>
  <c r="EG46" i="2"/>
  <c r="DV46" i="2"/>
  <c r="DW46" i="2" s="1"/>
  <c r="GA48" i="2"/>
  <c r="FZ48" i="2"/>
  <c r="DO49" i="2"/>
  <c r="DU49" i="2"/>
  <c r="DU53" i="2"/>
  <c r="DO53" i="2"/>
  <c r="DH57" i="2"/>
  <c r="DG57" i="2"/>
  <c r="DV60" i="2"/>
  <c r="DW60" i="2" s="1"/>
  <c r="EI60" i="2"/>
  <c r="EG60" i="2"/>
  <c r="GT72" i="2"/>
  <c r="GU74" i="2"/>
  <c r="GT75" i="2"/>
  <c r="FQ356" i="2"/>
  <c r="FW356" i="2" s="1"/>
  <c r="FX356" i="2" s="1" a="1"/>
  <c r="FX356" i="2" s="1"/>
  <c r="GT21" i="2"/>
  <c r="GT26" i="2"/>
  <c r="DU14" i="2"/>
  <c r="DO14" i="2"/>
  <c r="GU34" i="2"/>
  <c r="GT40" i="2"/>
  <c r="GU111" i="2"/>
  <c r="BP49" i="2"/>
  <c r="GU71" i="2"/>
  <c r="DV54" i="2"/>
  <c r="DW54" i="2" s="1"/>
  <c r="EG54" i="2"/>
  <c r="EI54" i="2"/>
  <c r="DV71" i="2"/>
  <c r="DW71" i="2" s="1"/>
  <c r="EI71" i="2"/>
  <c r="EG71" i="2"/>
  <c r="CG64" i="2"/>
  <c r="DA64" i="2"/>
  <c r="DB64" i="2" s="1"/>
  <c r="CW64" i="2"/>
  <c r="FN15" i="2"/>
  <c r="T15" i="2"/>
  <c r="DG15" i="2"/>
  <c r="CW18" i="2"/>
  <c r="DU19" i="2"/>
  <c r="GA20" i="2"/>
  <c r="GT23" i="2"/>
  <c r="BK40" i="2"/>
  <c r="CL40" i="2" s="1"/>
  <c r="GT42" i="2"/>
  <c r="GU54" i="2"/>
  <c r="GT54" i="2"/>
  <c r="CR49" i="2"/>
  <c r="CR50" i="2"/>
  <c r="DS50" i="2"/>
  <c r="GU65" i="2"/>
  <c r="DO84" i="2"/>
  <c r="DU84" i="2"/>
  <c r="EC96" i="2"/>
  <c r="DY96" i="2"/>
  <c r="DZ96" i="2" s="1"/>
  <c r="EA96" i="2" s="1"/>
  <c r="DS96" i="2"/>
  <c r="DQ96" i="2"/>
  <c r="DR96" i="2" s="1"/>
  <c r="EH96" i="2"/>
  <c r="GU100" i="2"/>
  <c r="DU50" i="2"/>
  <c r="EY54" i="2"/>
  <c r="GT62" i="2"/>
  <c r="DV65" i="2"/>
  <c r="DW65" i="2" s="1"/>
  <c r="EI65" i="2"/>
  <c r="GT69" i="2"/>
  <c r="BK75" i="2"/>
  <c r="CL75" i="2" s="1"/>
  <c r="DU100" i="2"/>
  <c r="DO100" i="2"/>
  <c r="BP35" i="2"/>
  <c r="FZ35" i="2"/>
  <c r="BK52" i="2"/>
  <c r="CL52" i="2" s="1"/>
  <c r="BM54" i="2"/>
  <c r="BN54" i="2" s="1"/>
  <c r="CR56" i="2"/>
  <c r="GA57" i="2"/>
  <c r="FP58" i="2"/>
  <c r="FO58" i="2"/>
  <c r="GJ58" i="2" s="1"/>
  <c r="DV61" i="2"/>
  <c r="DW61" i="2" s="1"/>
  <c r="EI61" i="2"/>
  <c r="DO65" i="2"/>
  <c r="BK72" i="2"/>
  <c r="CL72" i="2" s="1"/>
  <c r="DV75" i="2"/>
  <c r="DW75" i="2" s="1"/>
  <c r="EI75" i="2"/>
  <c r="CH100" i="2"/>
  <c r="BP22" i="2"/>
  <c r="BP23" i="2"/>
  <c r="CR23" i="2"/>
  <c r="BP24" i="2"/>
  <c r="CR24" i="2"/>
  <c r="BP25" i="2"/>
  <c r="CR25" i="2"/>
  <c r="BP26" i="2"/>
  <c r="CR26" i="2"/>
  <c r="BP27" i="2"/>
  <c r="CR27" i="2"/>
  <c r="BP28" i="2"/>
  <c r="CR28" i="2"/>
  <c r="BP29" i="2"/>
  <c r="CR29" i="2"/>
  <c r="BP32" i="2"/>
  <c r="CR32" i="2"/>
  <c r="CR33" i="2"/>
  <c r="CR34" i="2"/>
  <c r="CR36" i="2"/>
  <c r="CR37" i="2"/>
  <c r="CR38" i="2"/>
  <c r="CR39" i="2"/>
  <c r="CR40" i="2"/>
  <c r="CR41" i="2"/>
  <c r="DA51" i="2"/>
  <c r="DB51" i="2" s="1"/>
  <c r="CW51" i="2"/>
  <c r="T57" i="2"/>
  <c r="FN58" i="2"/>
  <c r="BK61" i="2"/>
  <c r="CL61" i="2" s="1"/>
  <c r="GT66" i="2"/>
  <c r="GU69" i="2"/>
  <c r="DV72" i="2"/>
  <c r="DW72" i="2" s="1"/>
  <c r="EI72" i="2"/>
  <c r="GT76" i="2"/>
  <c r="CR14" i="2"/>
  <c r="CR31" i="2"/>
  <c r="CW49" i="2"/>
  <c r="CW50" i="2"/>
  <c r="DY50" i="2"/>
  <c r="DZ50" i="2" s="1"/>
  <c r="EA50" i="2" s="1"/>
  <c r="CR54" i="2"/>
  <c r="EX55" i="2"/>
  <c r="FQ55" i="2"/>
  <c r="GU55" i="2"/>
  <c r="GU58" i="2"/>
  <c r="GU59" i="2"/>
  <c r="GT63" i="2"/>
  <c r="DV69" i="2"/>
  <c r="DW69" i="2" s="1"/>
  <c r="EI69" i="2"/>
  <c r="GT73" i="2"/>
  <c r="EC95" i="2"/>
  <c r="DY95" i="2"/>
  <c r="DZ95" i="2" s="1"/>
  <c r="EA95" i="2" s="1"/>
  <c r="DS95" i="2"/>
  <c r="DQ95" i="2"/>
  <c r="DR95" i="2" s="1"/>
  <c r="EH95" i="2"/>
  <c r="GT117" i="2"/>
  <c r="GU53" i="2"/>
  <c r="CG61" i="2"/>
  <c r="CI61" i="2" s="1"/>
  <c r="DA61" i="2"/>
  <c r="DB61" i="2" s="1"/>
  <c r="CW61" i="2"/>
  <c r="CR61" i="2"/>
  <c r="DV62" i="2"/>
  <c r="DW62" i="2" s="1"/>
  <c r="EI62" i="2"/>
  <c r="EV104" i="2"/>
  <c r="EY104" i="2"/>
  <c r="EX104" i="2"/>
  <c r="FQ104" i="2"/>
  <c r="FW104" i="2" s="1"/>
  <c r="FX104" i="2" s="1" a="1"/>
  <c r="FX104" i="2" s="1"/>
  <c r="FN14" i="2"/>
  <c r="FO32" i="2"/>
  <c r="GJ32" i="2" s="1"/>
  <c r="FQ42" i="2"/>
  <c r="FW42" i="2" s="1"/>
  <c r="FX42" i="2" s="1" a="1"/>
  <c r="FX42" i="2" s="1"/>
  <c r="FQ111" i="2"/>
  <c r="FW111" i="2" s="1"/>
  <c r="FX111" i="2" s="1" a="1"/>
  <c r="FX111" i="2" s="1"/>
  <c r="FQ44" i="2"/>
  <c r="FW44" i="2" s="1"/>
  <c r="FX44" i="2" s="1" a="1"/>
  <c r="FX44" i="2" s="1"/>
  <c r="FQ45" i="2"/>
  <c r="FW45" i="2" s="1"/>
  <c r="FX45" i="2" s="1" a="1"/>
  <c r="FX45" i="2" s="1"/>
  <c r="FQ46" i="2"/>
  <c r="FW46" i="2" s="1"/>
  <c r="FX46" i="2" s="1" a="1"/>
  <c r="FX46" i="2" s="1"/>
  <c r="FQ295" i="2"/>
  <c r="FW295" i="2" s="1"/>
  <c r="FX295" i="2" s="1" a="1"/>
  <c r="FX295" i="2" s="1"/>
  <c r="DA52" i="2"/>
  <c r="DB52" i="2" s="1"/>
  <c r="CW52" i="2"/>
  <c r="FP52" i="2"/>
  <c r="FO52" i="2"/>
  <c r="GJ52" i="2" s="1"/>
  <c r="T53" i="2"/>
  <c r="DG55" i="2"/>
  <c r="BM57" i="2"/>
  <c r="BN57" i="2" s="1"/>
  <c r="BP58" i="2"/>
  <c r="DY58" i="2"/>
  <c r="DZ58" i="2" s="1"/>
  <c r="EA58" i="2" s="1"/>
  <c r="EH58" i="2"/>
  <c r="DU59" i="2"/>
  <c r="DO59" i="2"/>
  <c r="BK62" i="2"/>
  <c r="CL62" i="2" s="1"/>
  <c r="DV66" i="2"/>
  <c r="DW66" i="2" s="1"/>
  <c r="EI66" i="2"/>
  <c r="BK76" i="2"/>
  <c r="CL76" i="2" s="1"/>
  <c r="EV20" i="2"/>
  <c r="EV21" i="2"/>
  <c r="EV22" i="2"/>
  <c r="CW23" i="2"/>
  <c r="EV23" i="2"/>
  <c r="CW24" i="2"/>
  <c r="EV24" i="2"/>
  <c r="CW25" i="2"/>
  <c r="EV25" i="2"/>
  <c r="CW26" i="2"/>
  <c r="EV26" i="2"/>
  <c r="CW27" i="2"/>
  <c r="EV27" i="2"/>
  <c r="CW28" i="2"/>
  <c r="EV28" i="2"/>
  <c r="CW29" i="2"/>
  <c r="EV29" i="2"/>
  <c r="FO14" i="2"/>
  <c r="GJ14" i="2" s="1"/>
  <c r="CW32" i="2"/>
  <c r="CW33" i="2"/>
  <c r="CW34" i="2"/>
  <c r="FQ35" i="2"/>
  <c r="FW35" i="2" s="1"/>
  <c r="FX35" i="2" s="1" a="1"/>
  <c r="FX35" i="2" s="1"/>
  <c r="CW36" i="2"/>
  <c r="CW37" i="2"/>
  <c r="CW38" i="2"/>
  <c r="CW39" i="2"/>
  <c r="CW40" i="2"/>
  <c r="CW41" i="2"/>
  <c r="EX42" i="2"/>
  <c r="EX111" i="2"/>
  <c r="EX44" i="2"/>
  <c r="EX45" i="2"/>
  <c r="EX46" i="2"/>
  <c r="EX295" i="2"/>
  <c r="EX48" i="2"/>
  <c r="DA49" i="2"/>
  <c r="DB49" i="2" s="1"/>
  <c r="EC50" i="2"/>
  <c r="EY51" i="2"/>
  <c r="EV51" i="2"/>
  <c r="FN52" i="2"/>
  <c r="EV55" i="2"/>
  <c r="DA56" i="2"/>
  <c r="DB56" i="2" s="1"/>
  <c r="AA57" i="2"/>
  <c r="CR57" i="2"/>
  <c r="DA58" i="2"/>
  <c r="DB58" i="2" s="1"/>
  <c r="CW58" i="2"/>
  <c r="CR58" i="2"/>
  <c r="DO66" i="2"/>
  <c r="GT67" i="2"/>
  <c r="BK73" i="2"/>
  <c r="CL73" i="2" s="1"/>
  <c r="DV76" i="2"/>
  <c r="DW76" i="2" s="1"/>
  <c r="EI76" i="2"/>
  <c r="GT77" i="2"/>
  <c r="CW14" i="2"/>
  <c r="EV14" i="2"/>
  <c r="CW31" i="2"/>
  <c r="EV31" i="2"/>
  <c r="CW56" i="2"/>
  <c r="GT58" i="2"/>
  <c r="GT59" i="2"/>
  <c r="DV63" i="2"/>
  <c r="DW63" i="2" s="1"/>
  <c r="EI63" i="2"/>
  <c r="GT161" i="2"/>
  <c r="GU70" i="2"/>
  <c r="DV73" i="2"/>
  <c r="DW73" i="2" s="1"/>
  <c r="EI73" i="2"/>
  <c r="BP83" i="2"/>
  <c r="DU94" i="2"/>
  <c r="DO94" i="2"/>
  <c r="EX25" i="2"/>
  <c r="EX26" i="2"/>
  <c r="EX27" i="2"/>
  <c r="EX28" i="2"/>
  <c r="EX29" i="2"/>
  <c r="FQ14" i="2"/>
  <c r="FW14" i="2" s="1"/>
  <c r="FX14" i="2" s="1" a="1"/>
  <c r="FX14" i="2" s="1"/>
  <c r="FQ31" i="2"/>
  <c r="FW31" i="2" s="1"/>
  <c r="FX31" i="2" s="1" a="1"/>
  <c r="FX31" i="2" s="1"/>
  <c r="BM53" i="2"/>
  <c r="BN53" i="2" s="1"/>
  <c r="CW54" i="2"/>
  <c r="DA54" i="2"/>
  <c r="DB54" i="2" s="1"/>
  <c r="EY55" i="2"/>
  <c r="GT55" i="2"/>
  <c r="EX56" i="2"/>
  <c r="FQ56" i="2"/>
  <c r="GU56" i="2"/>
  <c r="BK63" i="2"/>
  <c r="CL63" i="2" s="1"/>
  <c r="GU67" i="2"/>
  <c r="EG69" i="2"/>
  <c r="DV70" i="2"/>
  <c r="DW70" i="2" s="1"/>
  <c r="EI70" i="2"/>
  <c r="GT74" i="2"/>
  <c r="GU79" i="2"/>
  <c r="DU90" i="2"/>
  <c r="DO90" i="2"/>
  <c r="DA23" i="2"/>
  <c r="DB23" i="2" s="1"/>
  <c r="DA24" i="2"/>
  <c r="DB24" i="2" s="1"/>
  <c r="DA25" i="2"/>
  <c r="DB25" i="2" s="1"/>
  <c r="DA26" i="2"/>
  <c r="DB26" i="2" s="1"/>
  <c r="DA27" i="2"/>
  <c r="DB27" i="2" s="1"/>
  <c r="DA28" i="2"/>
  <c r="DB28" i="2" s="1"/>
  <c r="DA29" i="2"/>
  <c r="DB29" i="2" s="1"/>
  <c r="EX14" i="2"/>
  <c r="EX31" i="2"/>
  <c r="DA32" i="2"/>
  <c r="DB32" i="2" s="1"/>
  <c r="DA33" i="2"/>
  <c r="DB33" i="2" s="1"/>
  <c r="DA34" i="2"/>
  <c r="DB34" i="2" s="1"/>
  <c r="DA36" i="2"/>
  <c r="DB36" i="2" s="1"/>
  <c r="EY52" i="2"/>
  <c r="EV52" i="2"/>
  <c r="GT53" i="2"/>
  <c r="EI67" i="2"/>
  <c r="GT71" i="2"/>
  <c r="BM77" i="2"/>
  <c r="BN77" i="2" s="1"/>
  <c r="BK77" i="2"/>
  <c r="CL77" i="2" s="1"/>
  <c r="DA14" i="2"/>
  <c r="DB14" i="2" s="1"/>
  <c r="DA31" i="2"/>
  <c r="DB31" i="2" s="1"/>
  <c r="FQ54" i="2"/>
  <c r="BM55" i="2"/>
  <c r="BN55" i="2" s="1"/>
  <c r="DG56" i="2"/>
  <c r="DQ58" i="2"/>
  <c r="DR58" i="2" s="1"/>
  <c r="GA58" i="2"/>
  <c r="EG62" i="2"/>
  <c r="DU161" i="2"/>
  <c r="DO161" i="2"/>
  <c r="EG66" i="2"/>
  <c r="DV77" i="2"/>
  <c r="DW77" i="2" s="1"/>
  <c r="EI77" i="2"/>
  <c r="FZ78" i="2"/>
  <c r="GU52" i="2"/>
  <c r="AA55" i="2"/>
  <c r="DS58" i="2"/>
  <c r="GU60" i="2"/>
  <c r="GT68" i="2"/>
  <c r="BK74" i="2"/>
  <c r="CL74" i="2" s="1"/>
  <c r="DU93" i="2"/>
  <c r="GT93" i="2"/>
  <c r="DO93" i="2"/>
  <c r="T51" i="2"/>
  <c r="DU51" i="2"/>
  <c r="DG54" i="2"/>
  <c r="DU58" i="2"/>
  <c r="BK71" i="2"/>
  <c r="CL71" i="2" s="1"/>
  <c r="EG73" i="2"/>
  <c r="DV74" i="2"/>
  <c r="DW74" i="2" s="1"/>
  <c r="EI74" i="2"/>
  <c r="DO89" i="2"/>
  <c r="DU89" i="2"/>
  <c r="DO60" i="2"/>
  <c r="DO61" i="2"/>
  <c r="DO62" i="2"/>
  <c r="DO63" i="2"/>
  <c r="DO71" i="2"/>
  <c r="DO72" i="2"/>
  <c r="DO73" i="2"/>
  <c r="DO74" i="2"/>
  <c r="DO75" i="2"/>
  <c r="DO76" i="2"/>
  <c r="DO77" i="2"/>
  <c r="DO78" i="2"/>
  <c r="GT79" i="2"/>
  <c r="GT84" i="2"/>
  <c r="GA87" i="2"/>
  <c r="FZ87" i="2"/>
  <c r="BP88" i="2"/>
  <c r="GT89" i="2"/>
  <c r="AA129" i="2"/>
  <c r="GT147" i="2"/>
  <c r="GU84" i="2"/>
  <c r="GU89" i="2"/>
  <c r="DU97" i="2"/>
  <c r="GT97" i="2"/>
  <c r="BM113" i="2"/>
  <c r="BN113" i="2" s="1"/>
  <c r="BK113" i="2"/>
  <c r="CL113" i="2" s="1"/>
  <c r="T198" i="2"/>
  <c r="BP65" i="2"/>
  <c r="FZ65" i="2"/>
  <c r="BP66" i="2"/>
  <c r="FZ66" i="2"/>
  <c r="BP67" i="2"/>
  <c r="FZ67" i="2"/>
  <c r="BP68" i="2"/>
  <c r="FZ68" i="2"/>
  <c r="BP69" i="2"/>
  <c r="FZ69" i="2"/>
  <c r="BP70" i="2"/>
  <c r="FZ70" i="2"/>
  <c r="T79" i="2"/>
  <c r="BP81" i="2"/>
  <c r="GT82" i="2"/>
  <c r="DO92" i="2"/>
  <c r="GU92" i="2"/>
  <c r="GT92" i="2"/>
  <c r="CH99" i="2"/>
  <c r="GU99" i="2"/>
  <c r="BP60" i="2"/>
  <c r="BP61" i="2"/>
  <c r="BP62" i="2"/>
  <c r="CR62" i="2"/>
  <c r="BP63" i="2"/>
  <c r="CR63" i="2"/>
  <c r="CR161" i="2"/>
  <c r="BP71" i="2"/>
  <c r="CR71" i="2"/>
  <c r="BP72" i="2"/>
  <c r="CR72" i="2"/>
  <c r="BP73" i="2"/>
  <c r="CR73" i="2"/>
  <c r="BP74" i="2"/>
  <c r="CR74" i="2"/>
  <c r="BP75" i="2"/>
  <c r="CR75" i="2"/>
  <c r="BP76" i="2"/>
  <c r="CR76" i="2"/>
  <c r="CR77" i="2"/>
  <c r="BP78" i="2"/>
  <c r="CR78" i="2"/>
  <c r="BM79" i="2"/>
  <c r="BN79" i="2" s="1"/>
  <c r="BK79" i="2"/>
  <c r="CL79" i="2" s="1"/>
  <c r="EH79" i="2"/>
  <c r="EC79" i="2"/>
  <c r="DY79" i="2"/>
  <c r="DZ79" i="2" s="1"/>
  <c r="EA79" i="2" s="1"/>
  <c r="DS79" i="2"/>
  <c r="DU80" i="2"/>
  <c r="GA88" i="2"/>
  <c r="FZ88" i="2"/>
  <c r="BP89" i="2"/>
  <c r="GU95" i="2"/>
  <c r="DU99" i="2"/>
  <c r="DO99" i="2"/>
  <c r="GU43" i="2"/>
  <c r="BP132" i="2"/>
  <c r="GT81" i="2"/>
  <c r="GT166" i="2"/>
  <c r="EG92" i="2"/>
  <c r="DV92" i="2"/>
  <c r="DW92" i="2" s="1"/>
  <c r="DU43" i="2"/>
  <c r="DO43" i="2"/>
  <c r="FO67" i="2"/>
  <c r="GJ67" i="2" s="1"/>
  <c r="EX79" i="2"/>
  <c r="FQ79" i="2"/>
  <c r="FW79" i="2" s="1"/>
  <c r="FX79" i="2" s="1" a="1"/>
  <c r="FX79" i="2" s="1"/>
  <c r="GT80" i="2"/>
  <c r="GA83" i="2"/>
  <c r="FZ83" i="2"/>
  <c r="BP84" i="2"/>
  <c r="GU166" i="2"/>
  <c r="DU95" i="2"/>
  <c r="GT95" i="2"/>
  <c r="EV161" i="2"/>
  <c r="FZ161" i="2" s="1"/>
  <c r="GA161" i="2" s="1"/>
  <c r="CW65" i="2"/>
  <c r="EV65" i="2"/>
  <c r="CW66" i="2"/>
  <c r="EV66" i="2"/>
  <c r="CW67" i="2"/>
  <c r="EV67" i="2"/>
  <c r="CW68" i="2"/>
  <c r="EV68" i="2"/>
  <c r="CW69" i="2"/>
  <c r="EV69" i="2"/>
  <c r="CW70" i="2"/>
  <c r="EV70" i="2"/>
  <c r="DO166" i="2"/>
  <c r="GU313" i="2"/>
  <c r="CH43" i="2"/>
  <c r="GU105" i="2"/>
  <c r="DV109" i="2"/>
  <c r="DW109" i="2" s="1"/>
  <c r="EI109" i="2"/>
  <c r="GU85" i="2"/>
  <c r="EV57" i="2"/>
  <c r="EV58" i="2"/>
  <c r="EV59" i="2"/>
  <c r="EV60" i="2"/>
  <c r="EV61" i="2"/>
  <c r="CW62" i="2"/>
  <c r="EV62" i="2"/>
  <c r="CW63" i="2"/>
  <c r="EV63" i="2"/>
  <c r="CW161" i="2"/>
  <c r="FQ65" i="2"/>
  <c r="FW65" i="2" s="1"/>
  <c r="FX65" i="2" s="1" a="1"/>
  <c r="FX65" i="2" s="1"/>
  <c r="FQ66" i="2"/>
  <c r="FW66" i="2" s="1"/>
  <c r="FX66" i="2" s="1" a="1"/>
  <c r="FX66" i="2" s="1"/>
  <c r="FQ67" i="2"/>
  <c r="FW67" i="2" s="1"/>
  <c r="FX67" i="2" s="1" a="1"/>
  <c r="FX67" i="2" s="1"/>
  <c r="FQ68" i="2"/>
  <c r="FW68" i="2" s="1"/>
  <c r="FX68" i="2" s="1" a="1"/>
  <c r="FX68" i="2" s="1"/>
  <c r="FQ69" i="2"/>
  <c r="FW69" i="2" s="1"/>
  <c r="FX69" i="2" s="1" a="1"/>
  <c r="FX69" i="2" s="1"/>
  <c r="FQ70" i="2"/>
  <c r="FW70" i="2" s="1"/>
  <c r="FX70" i="2" s="1" a="1"/>
  <c r="FX70" i="2" s="1"/>
  <c r="CW71" i="2"/>
  <c r="EV71" i="2"/>
  <c r="CW72" i="2"/>
  <c r="EV72" i="2"/>
  <c r="CW73" i="2"/>
  <c r="EV73" i="2"/>
  <c r="CW74" i="2"/>
  <c r="EV74" i="2"/>
  <c r="CW75" i="2"/>
  <c r="EV75" i="2"/>
  <c r="CW76" i="2"/>
  <c r="EV76" i="2"/>
  <c r="CW77" i="2"/>
  <c r="EV77" i="2"/>
  <c r="CW78" i="2"/>
  <c r="CG79" i="2"/>
  <c r="CI79" i="2" s="1"/>
  <c r="EV79" i="2"/>
  <c r="EH81" i="2"/>
  <c r="EC81" i="2"/>
  <c r="DY81" i="2"/>
  <c r="DZ81" i="2" s="1"/>
  <c r="EA81" i="2" s="1"/>
  <c r="DS81" i="2"/>
  <c r="EG166" i="2"/>
  <c r="DV166" i="2"/>
  <c r="DW166" i="2" s="1"/>
  <c r="GU90" i="2"/>
  <c r="GT90" i="2"/>
  <c r="EI92" i="2"/>
  <c r="DU313" i="2"/>
  <c r="DO313" i="2"/>
  <c r="GT78" i="2"/>
  <c r="EH80" i="2"/>
  <c r="EC80" i="2"/>
  <c r="DY80" i="2"/>
  <c r="DZ80" i="2" s="1"/>
  <c r="EA80" i="2" s="1"/>
  <c r="DS80" i="2"/>
  <c r="GA84" i="2"/>
  <c r="FZ84" i="2"/>
  <c r="GT86" i="2"/>
  <c r="GT87" i="2"/>
  <c r="GA89" i="2"/>
  <c r="FZ89" i="2"/>
  <c r="CH313" i="2"/>
  <c r="DY125" i="2"/>
  <c r="DZ125" i="2" s="1"/>
  <c r="EA125" i="2" s="1"/>
  <c r="DS125" i="2"/>
  <c r="DQ125" i="2"/>
  <c r="DR125" i="2" s="1"/>
  <c r="EH125" i="2"/>
  <c r="EC125" i="2"/>
  <c r="DG79" i="2"/>
  <c r="GU86" i="2"/>
  <c r="GU87" i="2"/>
  <c r="GU96" i="2"/>
  <c r="DA62" i="2"/>
  <c r="DB62" i="2" s="1"/>
  <c r="DA63" i="2"/>
  <c r="DB63" i="2" s="1"/>
  <c r="DA161" i="2"/>
  <c r="DB161" i="2" s="1"/>
  <c r="T80" i="2"/>
  <c r="EX80" i="2"/>
  <c r="FQ80" i="2"/>
  <c r="FW80" i="2" s="1"/>
  <c r="FX80" i="2" s="1" a="1"/>
  <c r="FX80" i="2" s="1"/>
  <c r="FZ82" i="2"/>
  <c r="DO86" i="2"/>
  <c r="CH101" i="2"/>
  <c r="GU101" i="2"/>
  <c r="GT103" i="2"/>
  <c r="T119" i="2"/>
  <c r="EY82" i="2"/>
  <c r="EX82" i="2"/>
  <c r="FQ82" i="2"/>
  <c r="FW82" i="2" s="1"/>
  <c r="FX82" i="2" s="1" a="1"/>
  <c r="FX82" i="2" s="1"/>
  <c r="EG86" i="2"/>
  <c r="DV86" i="2"/>
  <c r="DW86" i="2" s="1"/>
  <c r="DO87" i="2"/>
  <c r="DU87" i="2"/>
  <c r="GT88" i="2"/>
  <c r="GU93" i="2"/>
  <c r="DU96" i="2"/>
  <c r="GT96" i="2"/>
  <c r="DU101" i="2"/>
  <c r="DO101" i="2"/>
  <c r="DO134" i="2"/>
  <c r="DU134" i="2"/>
  <c r="X66" i="2"/>
  <c r="X67" i="2"/>
  <c r="X68" i="2"/>
  <c r="X69" i="2"/>
  <c r="X70" i="2"/>
  <c r="X71" i="2"/>
  <c r="AA80" i="2"/>
  <c r="FZ81" i="2"/>
  <c r="GU88" i="2"/>
  <c r="GT100" i="2"/>
  <c r="DU103" i="2"/>
  <c r="DO103" i="2"/>
  <c r="GU129" i="2"/>
  <c r="GT129" i="2"/>
  <c r="DU79" i="2"/>
  <c r="FZ80" i="2"/>
  <c r="EY81" i="2"/>
  <c r="EX81" i="2"/>
  <c r="FQ81" i="2"/>
  <c r="FW81" i="2" s="1"/>
  <c r="FX81" i="2" s="1" a="1"/>
  <c r="FX81" i="2" s="1"/>
  <c r="EV82" i="2"/>
  <c r="GT83" i="2"/>
  <c r="GU91" i="2"/>
  <c r="GT91" i="2"/>
  <c r="GU94" i="2"/>
  <c r="GT94" i="2"/>
  <c r="CR87" i="2"/>
  <c r="CW109" i="2"/>
  <c r="DA109" i="2"/>
  <c r="DB109" i="2" s="1"/>
  <c r="EV109" i="2"/>
  <c r="EY109" i="2"/>
  <c r="DU112" i="2"/>
  <c r="GT119" i="2"/>
  <c r="AA47" i="2"/>
  <c r="GU134" i="2"/>
  <c r="BP166" i="2"/>
  <c r="CR166" i="2"/>
  <c r="FZ166" i="2"/>
  <c r="BP86" i="2"/>
  <c r="CR86" i="2"/>
  <c r="FZ86" i="2"/>
  <c r="BP87" i="2"/>
  <c r="BP90" i="2"/>
  <c r="CR90" i="2"/>
  <c r="FZ90" i="2"/>
  <c r="BP91" i="2"/>
  <c r="CR91" i="2"/>
  <c r="FZ91" i="2"/>
  <c r="BP92" i="2"/>
  <c r="CR92" i="2"/>
  <c r="FZ92" i="2"/>
  <c r="BP93" i="2"/>
  <c r="CR93" i="2"/>
  <c r="FZ93" i="2"/>
  <c r="BP94" i="2"/>
  <c r="CR94" i="2"/>
  <c r="FZ94" i="2"/>
  <c r="BP95" i="2"/>
  <c r="CR95" i="2"/>
  <c r="FZ95" i="2"/>
  <c r="BP96" i="2"/>
  <c r="CR96" i="2"/>
  <c r="FZ96" i="2"/>
  <c r="BP97" i="2"/>
  <c r="CR97" i="2"/>
  <c r="FZ97" i="2"/>
  <c r="EX313" i="2"/>
  <c r="BK105" i="2"/>
  <c r="CL105" i="2" s="1"/>
  <c r="BP106" i="2"/>
  <c r="GU110" i="2"/>
  <c r="DV117" i="2"/>
  <c r="DW117" i="2" s="1"/>
  <c r="EI117" i="2"/>
  <c r="EG117" i="2"/>
  <c r="DV129" i="2"/>
  <c r="DW129" i="2" s="1"/>
  <c r="EI129" i="2"/>
  <c r="EG129" i="2"/>
  <c r="DU153" i="2"/>
  <c r="DO153" i="2"/>
  <c r="CW106" i="2"/>
  <c r="DA106" i="2"/>
  <c r="DB106" i="2" s="1"/>
  <c r="Y107" i="2"/>
  <c r="AB107" i="2" s="1"/>
  <c r="X107" i="2"/>
  <c r="Y108" i="2"/>
  <c r="AB108" i="2" s="1"/>
  <c r="X108" i="2"/>
  <c r="DY85" i="2"/>
  <c r="DZ85" i="2" s="1"/>
  <c r="EA85" i="2" s="1"/>
  <c r="DS85" i="2"/>
  <c r="DQ85" i="2"/>
  <c r="DR85" i="2" s="1"/>
  <c r="EH85" i="2"/>
  <c r="EC85" i="2"/>
  <c r="BM114" i="2"/>
  <c r="BN114" i="2" s="1"/>
  <c r="BK114" i="2"/>
  <c r="CL114" i="2" s="1"/>
  <c r="GT122" i="2"/>
  <c r="AA125" i="2"/>
  <c r="AA126" i="2"/>
  <c r="AA127" i="2"/>
  <c r="GU133" i="2"/>
  <c r="T103" i="2"/>
  <c r="FZ109" i="2"/>
  <c r="DV110" i="2"/>
  <c r="DW110" i="2" s="1"/>
  <c r="EI110" i="2"/>
  <c r="DG113" i="2"/>
  <c r="DV119" i="2"/>
  <c r="DW119" i="2" s="1"/>
  <c r="EI119" i="2"/>
  <c r="EG119" i="2"/>
  <c r="EY131" i="2"/>
  <c r="EV131" i="2"/>
  <c r="EX131" i="2"/>
  <c r="GU137" i="2"/>
  <c r="BK153" i="2"/>
  <c r="CL153" i="2" s="1"/>
  <c r="BM153" i="2"/>
  <c r="BN153" i="2" s="1"/>
  <c r="Y110" i="2"/>
  <c r="AB110" i="2" s="1"/>
  <c r="X110" i="2"/>
  <c r="GT112" i="2"/>
  <c r="GU122" i="2"/>
  <c r="FQ83" i="2"/>
  <c r="FW83" i="2" s="1"/>
  <c r="FX83" i="2" s="1" a="1"/>
  <c r="FX83" i="2" s="1"/>
  <c r="FQ84" i="2"/>
  <c r="FW84" i="2" s="1"/>
  <c r="FX84" i="2" s="1" a="1"/>
  <c r="FX84" i="2" s="1"/>
  <c r="CW166" i="2"/>
  <c r="EV166" i="2"/>
  <c r="CW86" i="2"/>
  <c r="EV86" i="2"/>
  <c r="CW87" i="2"/>
  <c r="FQ87" i="2"/>
  <c r="FW87" i="2" s="1"/>
  <c r="FX87" i="2" s="1" a="1"/>
  <c r="FX87" i="2" s="1"/>
  <c r="FQ88" i="2"/>
  <c r="FW88" i="2" s="1"/>
  <c r="FX88" i="2" s="1" a="1"/>
  <c r="FX88" i="2" s="1"/>
  <c r="FQ89" i="2"/>
  <c r="FW89" i="2" s="1"/>
  <c r="FX89" i="2" s="1" a="1"/>
  <c r="FX89" i="2" s="1"/>
  <c r="CW90" i="2"/>
  <c r="EV90" i="2"/>
  <c r="CW91" i="2"/>
  <c r="EV91" i="2"/>
  <c r="CW92" i="2"/>
  <c r="EV92" i="2"/>
  <c r="CW93" i="2"/>
  <c r="EV93" i="2"/>
  <c r="CW94" i="2"/>
  <c r="EV94" i="2"/>
  <c r="CW95" i="2"/>
  <c r="EV95" i="2"/>
  <c r="CW96" i="2"/>
  <c r="EV96" i="2"/>
  <c r="CW97" i="2"/>
  <c r="EV97" i="2"/>
  <c r="X99" i="2"/>
  <c r="X100" i="2"/>
  <c r="X101" i="2"/>
  <c r="X43" i="2"/>
  <c r="X103" i="2"/>
  <c r="DG103" i="2"/>
  <c r="CW105" i="2"/>
  <c r="DA105" i="2"/>
  <c r="DB105" i="2" s="1"/>
  <c r="BP108" i="2"/>
  <c r="GU108" i="2"/>
  <c r="EX109" i="2"/>
  <c r="BM85" i="2"/>
  <c r="BN85" i="2" s="1"/>
  <c r="BK85" i="2"/>
  <c r="CL85" i="2" s="1"/>
  <c r="DU113" i="2"/>
  <c r="GT198" i="2"/>
  <c r="DV121" i="2"/>
  <c r="DW121" i="2" s="1"/>
  <c r="EI121" i="2"/>
  <c r="EG121" i="2"/>
  <c r="EX83" i="2"/>
  <c r="EX84" i="2"/>
  <c r="FQ166" i="2"/>
  <c r="FQ86" i="2"/>
  <c r="EX87" i="2"/>
  <c r="EX88" i="2"/>
  <c r="EX89" i="2"/>
  <c r="EC105" i="2"/>
  <c r="CW108" i="2"/>
  <c r="DA108" i="2"/>
  <c r="DB108" i="2" s="1"/>
  <c r="CG109" i="2"/>
  <c r="CI109" i="2" s="1"/>
  <c r="GU198" i="2"/>
  <c r="GT131" i="2"/>
  <c r="GU136" i="2"/>
  <c r="DA87" i="2"/>
  <c r="DB87" i="2" s="1"/>
  <c r="EV110" i="2"/>
  <c r="EY110" i="2"/>
  <c r="Y85" i="2"/>
  <c r="AB85" i="2" s="1"/>
  <c r="X85" i="2"/>
  <c r="DY112" i="2"/>
  <c r="DZ112" i="2" s="1"/>
  <c r="EA112" i="2" s="1"/>
  <c r="DS112" i="2"/>
  <c r="DQ112" i="2"/>
  <c r="DR112" i="2" s="1"/>
  <c r="EH112" i="2"/>
  <c r="EC112" i="2"/>
  <c r="GU130" i="2"/>
  <c r="GT130" i="2"/>
  <c r="DU132" i="2"/>
  <c r="DO132" i="2"/>
  <c r="DA166" i="2"/>
  <c r="DB166" i="2" s="1"/>
  <c r="DA86" i="2"/>
  <c r="DB86" i="2" s="1"/>
  <c r="DA90" i="2"/>
  <c r="DB90" i="2" s="1"/>
  <c r="DA91" i="2"/>
  <c r="DB91" i="2" s="1"/>
  <c r="DA92" i="2"/>
  <c r="DB92" i="2" s="1"/>
  <c r="DA93" i="2"/>
  <c r="DB93" i="2" s="1"/>
  <c r="DA94" i="2"/>
  <c r="DB94" i="2" s="1"/>
  <c r="DA95" i="2"/>
  <c r="DB95" i="2" s="1"/>
  <c r="DA96" i="2"/>
  <c r="DB96" i="2" s="1"/>
  <c r="DA97" i="2"/>
  <c r="DB97" i="2" s="1"/>
  <c r="CW104" i="2"/>
  <c r="DA104" i="2"/>
  <c r="DB104" i="2" s="1"/>
  <c r="CG106" i="2"/>
  <c r="CI106" i="2" s="1"/>
  <c r="EV106" i="2"/>
  <c r="EY106" i="2"/>
  <c r="FQ106" i="2"/>
  <c r="FW106" i="2" s="1"/>
  <c r="FX106" i="2" s="1" a="1"/>
  <c r="FX106" i="2" s="1"/>
  <c r="CW107" i="2"/>
  <c r="DA107" i="2"/>
  <c r="DB107" i="2" s="1"/>
  <c r="EV108" i="2"/>
  <c r="EY108" i="2"/>
  <c r="CW110" i="2"/>
  <c r="DA110" i="2"/>
  <c r="DB110" i="2" s="1"/>
  <c r="DU198" i="2"/>
  <c r="DO198" i="2"/>
  <c r="DU131" i="2"/>
  <c r="DO131" i="2"/>
  <c r="GU142" i="2"/>
  <c r="FZ104" i="2"/>
  <c r="CH106" i="2"/>
  <c r="DG85" i="2"/>
  <c r="T112" i="2"/>
  <c r="T120" i="2"/>
  <c r="GT120" i="2"/>
  <c r="AA122" i="2"/>
  <c r="GT127" i="2"/>
  <c r="GU47" i="2"/>
  <c r="DV130" i="2"/>
  <c r="DW130" i="2" s="1"/>
  <c r="EI130" i="2"/>
  <c r="EG130" i="2"/>
  <c r="FQ131" i="2"/>
  <c r="GT132" i="2"/>
  <c r="DQ106" i="2"/>
  <c r="DR106" i="2" s="1"/>
  <c r="CR109" i="2"/>
  <c r="BM112" i="2"/>
  <c r="BN112" i="2" s="1"/>
  <c r="BK112" i="2"/>
  <c r="CL112" i="2" s="1"/>
  <c r="GU112" i="2"/>
  <c r="DY113" i="2"/>
  <c r="DZ113" i="2" s="1"/>
  <c r="EA113" i="2" s="1"/>
  <c r="DS113" i="2"/>
  <c r="DQ113" i="2"/>
  <c r="DR113" i="2" s="1"/>
  <c r="EH113" i="2"/>
  <c r="EC113" i="2"/>
  <c r="DU115" i="2"/>
  <c r="DO115" i="2"/>
  <c r="DV118" i="2"/>
  <c r="DW118" i="2" s="1"/>
  <c r="EI118" i="2"/>
  <c r="EG118" i="2"/>
  <c r="DG81" i="2"/>
  <c r="DG82" i="2"/>
  <c r="DG83" i="2"/>
  <c r="DG84" i="2"/>
  <c r="X166" i="2"/>
  <c r="X86" i="2"/>
  <c r="X87" i="2"/>
  <c r="DG87" i="2"/>
  <c r="DG88" i="2"/>
  <c r="DG89" i="2"/>
  <c r="X90" i="2"/>
  <c r="X91" i="2"/>
  <c r="X92" i="2"/>
  <c r="X93" i="2"/>
  <c r="X94" i="2"/>
  <c r="X95" i="2"/>
  <c r="X96" i="2"/>
  <c r="X97" i="2"/>
  <c r="GU107" i="2"/>
  <c r="EX110" i="2"/>
  <c r="DU85" i="2"/>
  <c r="AA112" i="2"/>
  <c r="GT124" i="2"/>
  <c r="GT125" i="2"/>
  <c r="GT126" i="2"/>
  <c r="GU127" i="2"/>
  <c r="BK80" i="2"/>
  <c r="CL80" i="2" s="1"/>
  <c r="BK81" i="2"/>
  <c r="CL81" i="2" s="1"/>
  <c r="BK82" i="2"/>
  <c r="CL82" i="2" s="1"/>
  <c r="BK83" i="2"/>
  <c r="CL83" i="2" s="1"/>
  <c r="BK84" i="2"/>
  <c r="CL84" i="2" s="1"/>
  <c r="DG166" i="2"/>
  <c r="DG86" i="2"/>
  <c r="BK88" i="2"/>
  <c r="CL88" i="2" s="1"/>
  <c r="BK89" i="2"/>
  <c r="CL89" i="2" s="1"/>
  <c r="DG90" i="2"/>
  <c r="DG91" i="2"/>
  <c r="DG92" i="2"/>
  <c r="DG93" i="2"/>
  <c r="DG94" i="2"/>
  <c r="DG95" i="2"/>
  <c r="DG96" i="2"/>
  <c r="DG97" i="2"/>
  <c r="EV105" i="2"/>
  <c r="EY105" i="2"/>
  <c r="FO105" i="2"/>
  <c r="GJ105" i="2" s="1"/>
  <c r="DS106" i="2"/>
  <c r="EV107" i="2"/>
  <c r="EY107" i="2"/>
  <c r="Y109" i="2"/>
  <c r="AB109" i="2" s="1"/>
  <c r="X109" i="2"/>
  <c r="DV120" i="2"/>
  <c r="DW120" i="2" s="1"/>
  <c r="EI120" i="2"/>
  <c r="EG120" i="2"/>
  <c r="GT134" i="2"/>
  <c r="FQ105" i="2"/>
  <c r="DU106" i="2"/>
  <c r="EX106" i="2"/>
  <c r="EX108" i="2"/>
  <c r="FQ109" i="2"/>
  <c r="GU109" i="2"/>
  <c r="GU123" i="2"/>
  <c r="GU124" i="2"/>
  <c r="GU125" i="2"/>
  <c r="GU126" i="2"/>
  <c r="GT135" i="2"/>
  <c r="GA148" i="2"/>
  <c r="FZ148" i="2"/>
  <c r="CH85" i="2"/>
  <c r="CH112" i="2"/>
  <c r="CH113" i="2"/>
  <c r="CH114" i="2"/>
  <c r="CH115" i="2"/>
  <c r="CH198" i="2"/>
  <c r="CH117" i="2"/>
  <c r="CH118" i="2"/>
  <c r="CH119" i="2"/>
  <c r="CH120" i="2"/>
  <c r="CH121" i="2"/>
  <c r="CH129" i="2"/>
  <c r="CH130" i="2"/>
  <c r="CH131" i="2"/>
  <c r="DY135" i="2"/>
  <c r="DZ135" i="2" s="1"/>
  <c r="EA135" i="2" s="1"/>
  <c r="DS135" i="2"/>
  <c r="EH135" i="2"/>
  <c r="GU145" i="2"/>
  <c r="CG165" i="2"/>
  <c r="CI165" i="2" s="1"/>
  <c r="DA165" i="2"/>
  <c r="DB165" i="2" s="1"/>
  <c r="CW165" i="2"/>
  <c r="CR165" i="2"/>
  <c r="EG179" i="2"/>
  <c r="DV179" i="2"/>
  <c r="DW179" i="2" s="1"/>
  <c r="EI179" i="2"/>
  <c r="DA132" i="2"/>
  <c r="DB132" i="2" s="1"/>
  <c r="CW132" i="2"/>
  <c r="DS133" i="2"/>
  <c r="EY134" i="2"/>
  <c r="EX134" i="2"/>
  <c r="FQ134" i="2"/>
  <c r="FW134" i="2" s="1"/>
  <c r="FX134" i="2" s="1" a="1"/>
  <c r="FX134" i="2" s="1"/>
  <c r="EV134" i="2"/>
  <c r="DH137" i="2"/>
  <c r="DG137" i="2"/>
  <c r="GU138" i="2"/>
  <c r="DV142" i="2"/>
  <c r="DW142" i="2" s="1"/>
  <c r="EI142" i="2"/>
  <c r="EG142" i="2"/>
  <c r="DH138" i="2"/>
  <c r="DG138" i="2"/>
  <c r="DV145" i="2"/>
  <c r="DW145" i="2" s="1"/>
  <c r="EI145" i="2"/>
  <c r="EG145" i="2"/>
  <c r="DV169" i="2"/>
  <c r="DW169" i="2" s="1"/>
  <c r="EI169" i="2"/>
  <c r="EG169" i="2"/>
  <c r="BP197" i="2"/>
  <c r="BK115" i="2"/>
  <c r="CL115" i="2" s="1"/>
  <c r="BK198" i="2"/>
  <c r="CL198" i="2" s="1"/>
  <c r="BK117" i="2"/>
  <c r="CL117" i="2" s="1"/>
  <c r="BK118" i="2"/>
  <c r="CL118" i="2" s="1"/>
  <c r="BK119" i="2"/>
  <c r="CL119" i="2" s="1"/>
  <c r="BK120" i="2"/>
  <c r="CL120" i="2" s="1"/>
  <c r="BK121" i="2"/>
  <c r="CL121" i="2" s="1"/>
  <c r="BK129" i="2"/>
  <c r="CL129" i="2" s="1"/>
  <c r="BK130" i="2"/>
  <c r="CL130" i="2" s="1"/>
  <c r="BK131" i="2"/>
  <c r="CL131" i="2" s="1"/>
  <c r="BM133" i="2"/>
  <c r="BN133" i="2" s="1"/>
  <c r="BK133" i="2"/>
  <c r="CL133" i="2" s="1"/>
  <c r="BP134" i="2"/>
  <c r="FZ134" i="2"/>
  <c r="GU139" i="2"/>
  <c r="GT143" i="2"/>
  <c r="BM148" i="2"/>
  <c r="BN148" i="2" s="1"/>
  <c r="BK148" i="2"/>
  <c r="CL148" i="2" s="1"/>
  <c r="EY151" i="2"/>
  <c r="EV151" i="2"/>
  <c r="FQ151" i="2"/>
  <c r="FW151" i="2" s="1"/>
  <c r="FX151" i="2" s="1" a="1"/>
  <c r="FX151" i="2" s="1"/>
  <c r="EX151" i="2"/>
  <c r="FZ152" i="2"/>
  <c r="GU164" i="2"/>
  <c r="GT164" i="2"/>
  <c r="GA196" i="2"/>
  <c r="FZ196" i="2"/>
  <c r="DO117" i="2"/>
  <c r="DO118" i="2"/>
  <c r="DO119" i="2"/>
  <c r="DO120" i="2"/>
  <c r="DO121" i="2"/>
  <c r="DO129" i="2"/>
  <c r="DO130" i="2"/>
  <c r="GI132" i="2"/>
  <c r="GJ132" i="2" s="1"/>
  <c r="DY133" i="2"/>
  <c r="DZ133" i="2" s="1"/>
  <c r="EA133" i="2" s="1"/>
  <c r="DA134" i="2"/>
  <c r="DB134" i="2" s="1"/>
  <c r="CW134" i="2"/>
  <c r="EY135" i="2"/>
  <c r="EX135" i="2"/>
  <c r="FQ135" i="2"/>
  <c r="FW135" i="2" s="1"/>
  <c r="FX135" i="2" s="1" a="1"/>
  <c r="FX135" i="2" s="1"/>
  <c r="EV135" i="2"/>
  <c r="EY150" i="2"/>
  <c r="EV150" i="2"/>
  <c r="FQ150" i="2"/>
  <c r="FW150" i="2" s="1"/>
  <c r="FX150" i="2" s="1" a="1"/>
  <c r="FX150" i="2" s="1"/>
  <c r="EX150" i="2"/>
  <c r="CH162" i="2"/>
  <c r="GU174" i="2"/>
  <c r="DH134" i="2"/>
  <c r="DG134" i="2"/>
  <c r="DV139" i="2"/>
  <c r="DW139" i="2" s="1"/>
  <c r="EI139" i="2"/>
  <c r="EG139" i="2"/>
  <c r="GT148" i="2"/>
  <c r="DU174" i="2"/>
  <c r="DO174" i="2"/>
  <c r="DO109" i="2"/>
  <c r="DO110" i="2"/>
  <c r="BP122" i="2"/>
  <c r="CR122" i="2"/>
  <c r="FZ122" i="2"/>
  <c r="BP123" i="2"/>
  <c r="CR123" i="2"/>
  <c r="FZ123" i="2"/>
  <c r="BP124" i="2"/>
  <c r="CR124" i="2"/>
  <c r="FZ124" i="2"/>
  <c r="BP125" i="2"/>
  <c r="CR125" i="2"/>
  <c r="FZ125" i="2"/>
  <c r="BP126" i="2"/>
  <c r="CR126" i="2"/>
  <c r="FZ126" i="2"/>
  <c r="BP127" i="2"/>
  <c r="CR127" i="2"/>
  <c r="FZ127" i="2"/>
  <c r="BP47" i="2"/>
  <c r="CR47" i="2"/>
  <c r="FZ47" i="2"/>
  <c r="BP133" i="2"/>
  <c r="EC133" i="2"/>
  <c r="GA136" i="2"/>
  <c r="DV143" i="2"/>
  <c r="DW143" i="2" s="1"/>
  <c r="EI143" i="2"/>
  <c r="EG143" i="2"/>
  <c r="GU146" i="2"/>
  <c r="DU151" i="2"/>
  <c r="DO151" i="2"/>
  <c r="CH156" i="2"/>
  <c r="CR85" i="2"/>
  <c r="CR112" i="2"/>
  <c r="CR113" i="2"/>
  <c r="CR114" i="2"/>
  <c r="CR115" i="2"/>
  <c r="CR198" i="2"/>
  <c r="CR117" i="2"/>
  <c r="CR118" i="2"/>
  <c r="CR119" i="2"/>
  <c r="CR120" i="2"/>
  <c r="CR121" i="2"/>
  <c r="CR129" i="2"/>
  <c r="CR130" i="2"/>
  <c r="CR131" i="2"/>
  <c r="CG132" i="2"/>
  <c r="CI132" i="2" s="1"/>
  <c r="EY132" i="2"/>
  <c r="EV132" i="2"/>
  <c r="DA133" i="2"/>
  <c r="DB133" i="2" s="1"/>
  <c r="CW133" i="2"/>
  <c r="GT140" i="2"/>
  <c r="DU150" i="2"/>
  <c r="DO150" i="2"/>
  <c r="CH157" i="2"/>
  <c r="GU170" i="2"/>
  <c r="BM189" i="2"/>
  <c r="BN189" i="2" s="1"/>
  <c r="BK189" i="2"/>
  <c r="CL189" i="2" s="1"/>
  <c r="EY136" i="2"/>
  <c r="EX136" i="2"/>
  <c r="FQ136" i="2"/>
  <c r="FW136" i="2" s="1"/>
  <c r="FX136" i="2" s="1" a="1"/>
  <c r="FX136" i="2" s="1"/>
  <c r="EV136" i="2"/>
  <c r="DV146" i="2"/>
  <c r="DW146" i="2" s="1"/>
  <c r="EI146" i="2"/>
  <c r="EG146" i="2"/>
  <c r="DU148" i="2"/>
  <c r="DO148" i="2"/>
  <c r="FN130" i="2"/>
  <c r="DH135" i="2"/>
  <c r="DG135" i="2"/>
  <c r="AA139" i="2"/>
  <c r="DV173" i="2"/>
  <c r="DW173" i="2" s="1"/>
  <c r="EI173" i="2"/>
  <c r="EG173" i="2"/>
  <c r="FO119" i="2"/>
  <c r="GJ119" i="2" s="1"/>
  <c r="FO120" i="2"/>
  <c r="GJ120" i="2" s="1"/>
  <c r="FO130" i="2"/>
  <c r="GJ130" i="2" s="1"/>
  <c r="EY133" i="2"/>
  <c r="EX133" i="2"/>
  <c r="EV133" i="2"/>
  <c r="DH136" i="2"/>
  <c r="DG136" i="2"/>
  <c r="DV140" i="2"/>
  <c r="DW140" i="2" s="1"/>
  <c r="EI140" i="2"/>
  <c r="EG140" i="2"/>
  <c r="GU144" i="2"/>
  <c r="CH158" i="2"/>
  <c r="DU186" i="2"/>
  <c r="DO186" i="2"/>
  <c r="EV85" i="2"/>
  <c r="EV112" i="2"/>
  <c r="EV113" i="2"/>
  <c r="EV114" i="2"/>
  <c r="EV115" i="2"/>
  <c r="EV198" i="2"/>
  <c r="EV117" i="2"/>
  <c r="EV118" i="2"/>
  <c r="EV119" i="2"/>
  <c r="EV120" i="2"/>
  <c r="EV121" i="2"/>
  <c r="FQ127" i="2"/>
  <c r="FW127" i="2" s="1"/>
  <c r="FX127" i="2" s="1" a="1"/>
  <c r="FX127" i="2" s="1"/>
  <c r="FQ47" i="2"/>
  <c r="FW47" i="2" s="1"/>
  <c r="FX47" i="2" s="1" a="1"/>
  <c r="FX47" i="2" s="1"/>
  <c r="EV129" i="2"/>
  <c r="EV130" i="2"/>
  <c r="CW131" i="2"/>
  <c r="EX132" i="2"/>
  <c r="GU141" i="2"/>
  <c r="GU154" i="2"/>
  <c r="GT154" i="2"/>
  <c r="FQ85" i="2"/>
  <c r="FW85" i="2" s="1"/>
  <c r="FX85" i="2" s="1" a="1"/>
  <c r="FX85" i="2" s="1"/>
  <c r="FQ112" i="2"/>
  <c r="FW112" i="2" s="1"/>
  <c r="FX112" i="2" s="1" a="1"/>
  <c r="FX112" i="2" s="1"/>
  <c r="FQ113" i="2"/>
  <c r="FW113" i="2" s="1"/>
  <c r="FX113" i="2" s="1" a="1"/>
  <c r="FX113" i="2" s="1"/>
  <c r="FQ114" i="2"/>
  <c r="FW114" i="2" s="1"/>
  <c r="FX114" i="2" s="1" a="1"/>
  <c r="FX114" i="2" s="1"/>
  <c r="FQ115" i="2"/>
  <c r="FW115" i="2" s="1"/>
  <c r="FX115" i="2" s="1" a="1"/>
  <c r="FX115" i="2" s="1"/>
  <c r="FQ198" i="2"/>
  <c r="FW198" i="2" s="1"/>
  <c r="FX198" i="2" s="1" a="1"/>
  <c r="FX198" i="2" s="1"/>
  <c r="FQ117" i="2"/>
  <c r="FW117" i="2" s="1"/>
  <c r="FX117" i="2" s="1" a="1"/>
  <c r="FX117" i="2" s="1"/>
  <c r="FQ118" i="2"/>
  <c r="FW118" i="2" s="1"/>
  <c r="FX118" i="2" s="1" a="1"/>
  <c r="FX118" i="2" s="1"/>
  <c r="FQ119" i="2"/>
  <c r="FW119" i="2" s="1"/>
  <c r="FX119" i="2" s="1" a="1"/>
  <c r="FX119" i="2" s="1"/>
  <c r="FQ120" i="2"/>
  <c r="FW120" i="2" s="1"/>
  <c r="FX120" i="2" s="1" a="1"/>
  <c r="FX120" i="2" s="1"/>
  <c r="FQ121" i="2"/>
  <c r="FW121" i="2" s="1"/>
  <c r="FX121" i="2" s="1" a="1"/>
  <c r="FX121" i="2" s="1"/>
  <c r="FQ129" i="2"/>
  <c r="FW129" i="2" s="1"/>
  <c r="FX129" i="2" s="1" a="1"/>
  <c r="FX129" i="2" s="1"/>
  <c r="FQ130" i="2"/>
  <c r="FW130" i="2" s="1"/>
  <c r="FX130" i="2" s="1" a="1"/>
  <c r="FX130" i="2" s="1"/>
  <c r="FP131" i="2"/>
  <c r="FO134" i="2"/>
  <c r="GJ134" i="2" s="1"/>
  <c r="DV144" i="2"/>
  <c r="DW144" i="2" s="1"/>
  <c r="EI144" i="2"/>
  <c r="EG144" i="2"/>
  <c r="BM132" i="2"/>
  <c r="BN132" i="2" s="1"/>
  <c r="CG133" i="2"/>
  <c r="CI133" i="2" s="1"/>
  <c r="DG133" i="2"/>
  <c r="FN134" i="2"/>
  <c r="DU135" i="2"/>
  <c r="DV141" i="2"/>
  <c r="DW141" i="2" s="1"/>
  <c r="EI141" i="2"/>
  <c r="EG141" i="2"/>
  <c r="GU153" i="2"/>
  <c r="EY163" i="2"/>
  <c r="EX163" i="2"/>
  <c r="FQ163" i="2"/>
  <c r="FW163" i="2" s="1"/>
  <c r="FX163" i="2" s="1" a="1"/>
  <c r="FX163" i="2" s="1"/>
  <c r="EV163" i="2"/>
  <c r="DG228" i="2"/>
  <c r="DH228" i="2" s="1"/>
  <c r="CG228" i="2"/>
  <c r="DA228" i="2"/>
  <c r="DB228" i="2" s="1"/>
  <c r="CW228" i="2"/>
  <c r="DV168" i="2"/>
  <c r="DW168" i="2" s="1"/>
  <c r="EI168" i="2"/>
  <c r="EG168" i="2"/>
  <c r="DH177" i="2"/>
  <c r="DG177" i="2"/>
  <c r="AA189" i="2"/>
  <c r="BK137" i="2"/>
  <c r="CL137" i="2" s="1"/>
  <c r="BK138" i="2"/>
  <c r="CL138" i="2" s="1"/>
  <c r="DG139" i="2"/>
  <c r="DG140" i="2"/>
  <c r="DG141" i="2"/>
  <c r="DG142" i="2"/>
  <c r="DG143" i="2"/>
  <c r="DG144" i="2"/>
  <c r="DG145" i="2"/>
  <c r="DG146" i="2"/>
  <c r="DG147" i="2"/>
  <c r="X150" i="2"/>
  <c r="DQ154" i="2"/>
  <c r="DR154" i="2" s="1"/>
  <c r="EH154" i="2"/>
  <c r="DY154" i="2"/>
  <c r="DZ154" i="2" s="1"/>
  <c r="EA154" i="2" s="1"/>
  <c r="CH64" i="2"/>
  <c r="CH165" i="2"/>
  <c r="GT165" i="2"/>
  <c r="DV170" i="2"/>
  <c r="DW170" i="2" s="1"/>
  <c r="EI170" i="2"/>
  <c r="EG170" i="2"/>
  <c r="GU171" i="2"/>
  <c r="BK134" i="2"/>
  <c r="CL134" i="2" s="1"/>
  <c r="FZ149" i="2"/>
  <c r="BP153" i="2"/>
  <c r="EH155" i="2"/>
  <c r="EC155" i="2"/>
  <c r="EE155" i="2" s="1"/>
  <c r="EF155" i="2" s="1"/>
  <c r="DY155" i="2"/>
  <c r="DZ155" i="2" s="1"/>
  <c r="EA155" i="2" s="1"/>
  <c r="EH157" i="2"/>
  <c r="EC157" i="2"/>
  <c r="DY157" i="2"/>
  <c r="DZ157" i="2" s="1"/>
  <c r="EA157" i="2" s="1"/>
  <c r="CR160" i="2"/>
  <c r="CG160" i="2"/>
  <c r="CI160" i="2" s="1"/>
  <c r="DA160" i="2"/>
  <c r="DB160" i="2" s="1"/>
  <c r="CH228" i="2"/>
  <c r="GU199" i="2"/>
  <c r="DO139" i="2"/>
  <c r="DO140" i="2"/>
  <c r="DO141" i="2"/>
  <c r="DO142" i="2"/>
  <c r="DO143" i="2"/>
  <c r="DO144" i="2"/>
  <c r="DO145" i="2"/>
  <c r="DO146" i="2"/>
  <c r="EY153" i="2"/>
  <c r="EV153" i="2"/>
  <c r="EH156" i="2"/>
  <c r="EC156" i="2"/>
  <c r="DY156" i="2"/>
  <c r="DZ156" i="2" s="1"/>
  <c r="EA156" i="2" s="1"/>
  <c r="DU160" i="2"/>
  <c r="EY162" i="2"/>
  <c r="EX162" i="2"/>
  <c r="FQ162" i="2"/>
  <c r="FW162" i="2" s="1"/>
  <c r="FX162" i="2" s="1" a="1"/>
  <c r="FX162" i="2" s="1"/>
  <c r="EV162" i="2"/>
  <c r="DQ164" i="2"/>
  <c r="DR164" i="2" s="1"/>
  <c r="EH164" i="2"/>
  <c r="EC164" i="2"/>
  <c r="DY164" i="2"/>
  <c r="DZ164" i="2" s="1"/>
  <c r="EA164" i="2" s="1"/>
  <c r="DV171" i="2"/>
  <c r="DW171" i="2" s="1"/>
  <c r="EI171" i="2"/>
  <c r="EG171" i="2"/>
  <c r="GU172" i="2"/>
  <c r="EY199" i="2"/>
  <c r="EX199" i="2"/>
  <c r="FQ199" i="2"/>
  <c r="FW199" i="2" s="1"/>
  <c r="FX199" i="2" s="1" a="1"/>
  <c r="FX199" i="2" s="1"/>
  <c r="EV199" i="2"/>
  <c r="X151" i="2"/>
  <c r="CH160" i="2"/>
  <c r="DQ160" i="2"/>
  <c r="DR160" i="2" s="1"/>
  <c r="EH160" i="2"/>
  <c r="EC160" i="2"/>
  <c r="DY160" i="2"/>
  <c r="DZ160" i="2" s="1"/>
  <c r="EA160" i="2" s="1"/>
  <c r="CG164" i="2"/>
  <c r="CI164" i="2" s="1"/>
  <c r="DA164" i="2"/>
  <c r="DB164" i="2" s="1"/>
  <c r="CW164" i="2"/>
  <c r="GU191" i="2"/>
  <c r="GT191" i="2"/>
  <c r="GU192" i="2"/>
  <c r="GT192" i="2"/>
  <c r="EH199" i="2"/>
  <c r="EC199" i="2"/>
  <c r="DY199" i="2"/>
  <c r="DZ199" i="2" s="1"/>
  <c r="EA199" i="2" s="1"/>
  <c r="DS199" i="2"/>
  <c r="DQ199" i="2"/>
  <c r="DR199" i="2" s="1"/>
  <c r="GU208" i="2"/>
  <c r="GT208" i="2"/>
  <c r="BP137" i="2"/>
  <c r="CR137" i="2"/>
  <c r="FZ137" i="2"/>
  <c r="BP138" i="2"/>
  <c r="CR138" i="2"/>
  <c r="AE139" i="2"/>
  <c r="AF139" i="2" s="1"/>
  <c r="EG149" i="2"/>
  <c r="Y150" i="2"/>
  <c r="AB150" i="2" s="1"/>
  <c r="BK150" i="2"/>
  <c r="CL150" i="2" s="1"/>
  <c r="FZ150" i="2"/>
  <c r="BM152" i="2"/>
  <c r="BN152" i="2" s="1"/>
  <c r="GT152" i="2"/>
  <c r="CG11" i="2"/>
  <c r="CI11" i="2" s="1"/>
  <c r="DA11" i="2"/>
  <c r="DB11" i="2" s="1"/>
  <c r="CW11" i="2"/>
  <c r="EY228" i="2"/>
  <c r="EX228" i="2"/>
  <c r="FQ228" i="2"/>
  <c r="FW228" i="2" s="1"/>
  <c r="FX228" i="2" s="1" a="1"/>
  <c r="FX228" i="2" s="1"/>
  <c r="EV228" i="2"/>
  <c r="T169" i="2"/>
  <c r="T170" i="2"/>
  <c r="DV172" i="2"/>
  <c r="DW172" i="2" s="1"/>
  <c r="EI172" i="2"/>
  <c r="EG172" i="2"/>
  <c r="DU191" i="2"/>
  <c r="DO191" i="2"/>
  <c r="CH149" i="2"/>
  <c r="GU152" i="2"/>
  <c r="GT160" i="2"/>
  <c r="EY64" i="2"/>
  <c r="EX64" i="2"/>
  <c r="FQ64" i="2"/>
  <c r="FW64" i="2" s="1"/>
  <c r="FX64" i="2" s="1" a="1"/>
  <c r="FX64" i="2" s="1"/>
  <c r="EV64" i="2"/>
  <c r="CH164" i="2"/>
  <c r="EY165" i="2"/>
  <c r="EX165" i="2"/>
  <c r="FQ165" i="2"/>
  <c r="FW165" i="2" s="1"/>
  <c r="FX165" i="2" s="1" a="1"/>
  <c r="FX165" i="2" s="1"/>
  <c r="EV165" i="2"/>
  <c r="AA168" i="2"/>
  <c r="FN138" i="2"/>
  <c r="FZ153" i="2"/>
  <c r="GA154" i="2"/>
  <c r="CR159" i="2"/>
  <c r="CG159" i="2"/>
  <c r="CI159" i="2" s="1"/>
  <c r="DA159" i="2"/>
  <c r="DB159" i="2" s="1"/>
  <c r="GU160" i="2"/>
  <c r="CH11" i="2"/>
  <c r="DH169" i="2"/>
  <c r="DG169" i="2"/>
  <c r="DH178" i="2"/>
  <c r="DG178" i="2"/>
  <c r="GT179" i="2"/>
  <c r="EY207" i="2"/>
  <c r="EX207" i="2"/>
  <c r="FQ207" i="2"/>
  <c r="FW207" i="2" s="1"/>
  <c r="FX207" i="2" s="1" a="1"/>
  <c r="FX207" i="2" s="1"/>
  <c r="EV207" i="2"/>
  <c r="FO138" i="2"/>
  <c r="GJ138" i="2" s="1"/>
  <c r="FN144" i="2"/>
  <c r="X149" i="2"/>
  <c r="GT149" i="2"/>
  <c r="Y151" i="2"/>
  <c r="AB151" i="2" s="1"/>
  <c r="BK151" i="2"/>
  <c r="CL151" i="2" s="1"/>
  <c r="BP152" i="2"/>
  <c r="Y154" i="2"/>
  <c r="AB154" i="2" s="1"/>
  <c r="GA155" i="2"/>
  <c r="GA157" i="2"/>
  <c r="DQ163" i="2"/>
  <c r="DR163" i="2" s="1"/>
  <c r="EH163" i="2"/>
  <c r="EC163" i="2"/>
  <c r="DY163" i="2"/>
  <c r="DZ163" i="2" s="1"/>
  <c r="EA163" i="2" s="1"/>
  <c r="DH168" i="2"/>
  <c r="DG168" i="2"/>
  <c r="GU179" i="2"/>
  <c r="CW137" i="2"/>
  <c r="EV137" i="2"/>
  <c r="CW138" i="2"/>
  <c r="EV138" i="2"/>
  <c r="FO144" i="2"/>
  <c r="GJ144" i="2" s="1"/>
  <c r="Y149" i="2"/>
  <c r="AB149" i="2" s="1"/>
  <c r="BK149" i="2"/>
  <c r="CL149" i="2" s="1"/>
  <c r="EY149" i="2"/>
  <c r="EV149" i="2"/>
  <c r="FQ149" i="2"/>
  <c r="FW149" i="2" s="1"/>
  <c r="FX149" i="2" s="1" a="1"/>
  <c r="FX149" i="2" s="1"/>
  <c r="BP150" i="2"/>
  <c r="AA154" i="2"/>
  <c r="DA154" i="2"/>
  <c r="DB154" i="2" s="1"/>
  <c r="CW154" i="2"/>
  <c r="GA156" i="2"/>
  <c r="CH159" i="2"/>
  <c r="CG163" i="2"/>
  <c r="CI163" i="2" s="1"/>
  <c r="DA163" i="2"/>
  <c r="DB163" i="2" s="1"/>
  <c r="CW163" i="2"/>
  <c r="DS163" i="2"/>
  <c r="CR164" i="2"/>
  <c r="CZ228" i="2"/>
  <c r="DH170" i="2"/>
  <c r="DG170" i="2"/>
  <c r="EY174" i="2"/>
  <c r="EX174" i="2"/>
  <c r="FQ174" i="2"/>
  <c r="FW174" i="2" s="1"/>
  <c r="FX174" i="2" s="1" a="1"/>
  <c r="FX174" i="2" s="1"/>
  <c r="EV174" i="2"/>
  <c r="DO197" i="2"/>
  <c r="DU197" i="2"/>
  <c r="DH203" i="2"/>
  <c r="DG203" i="2"/>
  <c r="CW135" i="2"/>
  <c r="CW136" i="2"/>
  <c r="FQ137" i="2"/>
  <c r="FW137" i="2" s="1"/>
  <c r="FX137" i="2" s="1" a="1"/>
  <c r="FX137" i="2" s="1"/>
  <c r="FQ138" i="2"/>
  <c r="FW138" i="2" s="1"/>
  <c r="FX138" i="2" s="1" a="1"/>
  <c r="FX138" i="2" s="1"/>
  <c r="CW139" i="2"/>
  <c r="EV139" i="2"/>
  <c r="CW140" i="2"/>
  <c r="EV140" i="2"/>
  <c r="CW141" i="2"/>
  <c r="EV141" i="2"/>
  <c r="CW142" i="2"/>
  <c r="EV142" i="2"/>
  <c r="CW143" i="2"/>
  <c r="EV143" i="2"/>
  <c r="CW144" i="2"/>
  <c r="EV144" i="2"/>
  <c r="CW145" i="2"/>
  <c r="EV145" i="2"/>
  <c r="CW146" i="2"/>
  <c r="EV146" i="2"/>
  <c r="CW147" i="2"/>
  <c r="EV147" i="2"/>
  <c r="GT151" i="2"/>
  <c r="EY152" i="2"/>
  <c r="EV152" i="2"/>
  <c r="BP155" i="2"/>
  <c r="CW159" i="2"/>
  <c r="GT159" i="2"/>
  <c r="AA165" i="2"/>
  <c r="CR11" i="2"/>
  <c r="CG201" i="2"/>
  <c r="DA201" i="2"/>
  <c r="DB201" i="2" s="1"/>
  <c r="CW201" i="2"/>
  <c r="DH176" i="2"/>
  <c r="DG176" i="2"/>
  <c r="EX137" i="2"/>
  <c r="EX138" i="2"/>
  <c r="FQ139" i="2"/>
  <c r="FW139" i="2" s="1"/>
  <c r="FX139" i="2" s="1" a="1"/>
  <c r="FX139" i="2" s="1"/>
  <c r="FQ140" i="2"/>
  <c r="FW140" i="2" s="1"/>
  <c r="FX140" i="2" s="1" a="1"/>
  <c r="FX140" i="2" s="1"/>
  <c r="FQ141" i="2"/>
  <c r="FW141" i="2" s="1"/>
  <c r="FX141" i="2" s="1" a="1"/>
  <c r="FX141" i="2" s="1"/>
  <c r="FQ142" i="2"/>
  <c r="FW142" i="2" s="1"/>
  <c r="FX142" i="2" s="1" a="1"/>
  <c r="FX142" i="2" s="1"/>
  <c r="FQ143" i="2"/>
  <c r="FW143" i="2" s="1"/>
  <c r="FX143" i="2" s="1" a="1"/>
  <c r="FX143" i="2" s="1"/>
  <c r="FQ144" i="2"/>
  <c r="FW144" i="2" s="1"/>
  <c r="FX144" i="2" s="1" a="1"/>
  <c r="FX144" i="2" s="1"/>
  <c r="FQ145" i="2"/>
  <c r="FQ146" i="2"/>
  <c r="FQ147" i="2"/>
  <c r="GT150" i="2"/>
  <c r="CR155" i="2"/>
  <c r="CG155" i="2"/>
  <c r="CI155" i="2" s="1"/>
  <c r="DA155" i="2"/>
  <c r="DB155" i="2" s="1"/>
  <c r="DH155" i="2"/>
  <c r="DG155" i="2"/>
  <c r="BP156" i="2"/>
  <c r="CH163" i="2"/>
  <c r="GT163" i="2"/>
  <c r="EY164" i="2"/>
  <c r="EX164" i="2"/>
  <c r="FQ164" i="2"/>
  <c r="FW164" i="2" s="1"/>
  <c r="FX164" i="2" s="1" a="1"/>
  <c r="FX164" i="2" s="1"/>
  <c r="EV164" i="2"/>
  <c r="AA228" i="2"/>
  <c r="DH171" i="2"/>
  <c r="DG171" i="2"/>
  <c r="GT186" i="2"/>
  <c r="BM202" i="2"/>
  <c r="BN202" i="2" s="1"/>
  <c r="BK202" i="2"/>
  <c r="CL202" i="2" s="1"/>
  <c r="DA137" i="2"/>
  <c r="DB137" i="2" s="1"/>
  <c r="DA138" i="2"/>
  <c r="DB138" i="2" s="1"/>
  <c r="EX139" i="2"/>
  <c r="EX140" i="2"/>
  <c r="EX141" i="2"/>
  <c r="EX142" i="2"/>
  <c r="EX143" i="2"/>
  <c r="EX144" i="2"/>
  <c r="EX145" i="2"/>
  <c r="EX146" i="2"/>
  <c r="EX147" i="2"/>
  <c r="CR156" i="2"/>
  <c r="CG156" i="2"/>
  <c r="CI156" i="2" s="1"/>
  <c r="DA156" i="2"/>
  <c r="DB156" i="2" s="1"/>
  <c r="DH156" i="2"/>
  <c r="DG156" i="2"/>
  <c r="BP157" i="2"/>
  <c r="CR158" i="2"/>
  <c r="CG158" i="2"/>
  <c r="CI158" i="2" s="1"/>
  <c r="DA158" i="2"/>
  <c r="DB158" i="2" s="1"/>
  <c r="CG162" i="2"/>
  <c r="CI162" i="2" s="1"/>
  <c r="DA162" i="2"/>
  <c r="DB162" i="2" s="1"/>
  <c r="CW162" i="2"/>
  <c r="EY11" i="2"/>
  <c r="EX11" i="2"/>
  <c r="FQ11" i="2"/>
  <c r="FW11" i="2" s="1"/>
  <c r="FX11" i="2" s="1" a="1"/>
  <c r="FX11" i="2" s="1"/>
  <c r="EV11" i="2"/>
  <c r="GT173" i="2"/>
  <c r="CH201" i="2"/>
  <c r="DU180" i="2"/>
  <c r="DO180" i="2"/>
  <c r="GT181" i="2"/>
  <c r="GU188" i="2"/>
  <c r="BP149" i="2"/>
  <c r="EX152" i="2"/>
  <c r="GT153" i="2"/>
  <c r="DU154" i="2"/>
  <c r="CR157" i="2"/>
  <c r="CG157" i="2"/>
  <c r="CI157" i="2" s="1"/>
  <c r="DA157" i="2"/>
  <c r="DB157" i="2" s="1"/>
  <c r="DH157" i="2"/>
  <c r="DG157" i="2"/>
  <c r="DQ158" i="2"/>
  <c r="DR158" i="2" s="1"/>
  <c r="EH158" i="2"/>
  <c r="EC158" i="2"/>
  <c r="DY158" i="2"/>
  <c r="DZ158" i="2" s="1"/>
  <c r="EA158" i="2" s="1"/>
  <c r="DH172" i="2"/>
  <c r="DG172" i="2"/>
  <c r="GT174" i="2"/>
  <c r="GU186" i="2"/>
  <c r="GU189" i="2"/>
  <c r="GT189" i="2"/>
  <c r="AA194" i="2"/>
  <c r="GU194" i="2"/>
  <c r="GT194" i="2"/>
  <c r="FQ154" i="2"/>
  <c r="FW154" i="2" s="1"/>
  <c r="FX154" i="2" s="1" a="1"/>
  <c r="FX154" i="2" s="1"/>
  <c r="FQ155" i="2"/>
  <c r="FW155" i="2" s="1"/>
  <c r="FX155" i="2" s="1" a="1"/>
  <c r="FX155" i="2" s="1"/>
  <c r="FQ156" i="2"/>
  <c r="FW156" i="2" s="1"/>
  <c r="FX156" i="2" s="1" a="1"/>
  <c r="FX156" i="2" s="1"/>
  <c r="FQ157" i="2"/>
  <c r="FW157" i="2" s="1"/>
  <c r="FX157" i="2" s="1" a="1"/>
  <c r="FX157" i="2" s="1"/>
  <c r="FQ158" i="2"/>
  <c r="FW158" i="2" s="1"/>
  <c r="FX158" i="2" s="1" a="1"/>
  <c r="FX158" i="2" s="1"/>
  <c r="FQ159" i="2"/>
  <c r="FW159" i="2" s="1"/>
  <c r="FX159" i="2" s="1" a="1"/>
  <c r="FX159" i="2" s="1"/>
  <c r="FQ160" i="2"/>
  <c r="FW160" i="2" s="1"/>
  <c r="FX160" i="2" s="1" a="1"/>
  <c r="FX160" i="2" s="1"/>
  <c r="DU194" i="2"/>
  <c r="DO194" i="2"/>
  <c r="GU195" i="2"/>
  <c r="GT195" i="2"/>
  <c r="DO173" i="2"/>
  <c r="EY173" i="2"/>
  <c r="EX173" i="2"/>
  <c r="FQ173" i="2"/>
  <c r="FW173" i="2" s="1"/>
  <c r="FX173" i="2" s="1" a="1"/>
  <c r="FX173" i="2" s="1"/>
  <c r="EV173" i="2"/>
  <c r="BP174" i="2"/>
  <c r="DV176" i="2"/>
  <c r="DW176" i="2" s="1"/>
  <c r="GT176" i="2"/>
  <c r="GT177" i="2"/>
  <c r="DV178" i="2"/>
  <c r="DW178" i="2" s="1"/>
  <c r="GT178" i="2"/>
  <c r="GU182" i="2"/>
  <c r="GT183" i="2"/>
  <c r="GA197" i="2"/>
  <c r="FZ197" i="2"/>
  <c r="GU200" i="2"/>
  <c r="DO168" i="2"/>
  <c r="DO169" i="2"/>
  <c r="DO170" i="2"/>
  <c r="DO171" i="2"/>
  <c r="DO172" i="2"/>
  <c r="CG174" i="2"/>
  <c r="CI174" i="2" s="1"/>
  <c r="DA174" i="2"/>
  <c r="DB174" i="2" s="1"/>
  <c r="CW174" i="2"/>
  <c r="DH174" i="2"/>
  <c r="DG174" i="2"/>
  <c r="CH176" i="2"/>
  <c r="GU176" i="2"/>
  <c r="CH177" i="2"/>
  <c r="GU177" i="2"/>
  <c r="CH178" i="2"/>
  <c r="GU178" i="2"/>
  <c r="GT187" i="2"/>
  <c r="DU189" i="2"/>
  <c r="DO189" i="2"/>
  <c r="BK192" i="2"/>
  <c r="CL192" i="2" s="1"/>
  <c r="EG195" i="2"/>
  <c r="DV195" i="2"/>
  <c r="DW195" i="2" s="1"/>
  <c r="GU183" i="2"/>
  <c r="GT184" i="2"/>
  <c r="DU192" i="2"/>
  <c r="DO192" i="2"/>
  <c r="DV183" i="2"/>
  <c r="DW183" i="2" s="1"/>
  <c r="EI183" i="2"/>
  <c r="GU187" i="2"/>
  <c r="FZ168" i="2"/>
  <c r="EY201" i="2"/>
  <c r="EX201" i="2"/>
  <c r="FQ201" i="2"/>
  <c r="FW201" i="2" s="1"/>
  <c r="FX201" i="2" s="1" a="1"/>
  <c r="FX201" i="2" s="1"/>
  <c r="EV201" i="2"/>
  <c r="DV187" i="2"/>
  <c r="DW187" i="2" s="1"/>
  <c r="EI187" i="2"/>
  <c r="GU196" i="2"/>
  <c r="GT196" i="2"/>
  <c r="FZ199" i="2"/>
  <c r="CG203" i="2"/>
  <c r="CI203" i="2" s="1"/>
  <c r="DA203" i="2"/>
  <c r="DB203" i="2" s="1"/>
  <c r="CR203" i="2"/>
  <c r="CW203" i="2"/>
  <c r="DG158" i="2"/>
  <c r="DG159" i="2"/>
  <c r="DG160" i="2"/>
  <c r="GT180" i="2"/>
  <c r="DV184" i="2"/>
  <c r="DW184" i="2" s="1"/>
  <c r="EI184" i="2"/>
  <c r="GT185" i="2"/>
  <c r="BK190" i="2"/>
  <c r="CL190" i="2" s="1"/>
  <c r="BK195" i="2"/>
  <c r="CL195" i="2" s="1"/>
  <c r="DG208" i="2"/>
  <c r="EY176" i="2"/>
  <c r="EX176" i="2"/>
  <c r="FQ176" i="2"/>
  <c r="FW176" i="2" s="1"/>
  <c r="FX176" i="2" s="1" a="1"/>
  <c r="FX176" i="2" s="1"/>
  <c r="EV176" i="2"/>
  <c r="EY177" i="2"/>
  <c r="EX177" i="2"/>
  <c r="FQ177" i="2"/>
  <c r="FW177" i="2" s="1"/>
  <c r="FX177" i="2" s="1" a="1"/>
  <c r="FX177" i="2" s="1"/>
  <c r="EV177" i="2"/>
  <c r="GU180" i="2"/>
  <c r="DO183" i="2"/>
  <c r="DO187" i="2"/>
  <c r="GU190" i="2"/>
  <c r="GT190" i="2"/>
  <c r="GA195" i="2"/>
  <c r="FZ195" i="2"/>
  <c r="BP196" i="2"/>
  <c r="DO196" i="2"/>
  <c r="DU196" i="2"/>
  <c r="GT205" i="2"/>
  <c r="DU190" i="2"/>
  <c r="DO190" i="2"/>
  <c r="GU193" i="2"/>
  <c r="GT193" i="2"/>
  <c r="EV168" i="2"/>
  <c r="EV169" i="2"/>
  <c r="EV170" i="2"/>
  <c r="EV171" i="2"/>
  <c r="EV172" i="2"/>
  <c r="CW173" i="2"/>
  <c r="DV185" i="2"/>
  <c r="DW185" i="2" s="1"/>
  <c r="EI185" i="2"/>
  <c r="GT188" i="2"/>
  <c r="DU193" i="2"/>
  <c r="DO193" i="2"/>
  <c r="CH200" i="2"/>
  <c r="BM208" i="2"/>
  <c r="BN208" i="2" s="1"/>
  <c r="BK208" i="2"/>
  <c r="CL208" i="2" s="1"/>
  <c r="DG201" i="2"/>
  <c r="DH201" i="2" s="1"/>
  <c r="GU197" i="2"/>
  <c r="GT197" i="2"/>
  <c r="DO204" i="2"/>
  <c r="DU204" i="2"/>
  <c r="GT204" i="2"/>
  <c r="DO201" i="2"/>
  <c r="EG183" i="2"/>
  <c r="DO185" i="2"/>
  <c r="EG187" i="2"/>
  <c r="GT199" i="2"/>
  <c r="GU202" i="2"/>
  <c r="DQ208" i="2"/>
  <c r="DR208" i="2" s="1"/>
  <c r="EH208" i="2"/>
  <c r="EC208" i="2"/>
  <c r="DY208" i="2"/>
  <c r="DZ208" i="2" s="1"/>
  <c r="EA208" i="2" s="1"/>
  <c r="DG200" i="2"/>
  <c r="EY200" i="2"/>
  <c r="EX200" i="2"/>
  <c r="AA202" i="2"/>
  <c r="CH203" i="2"/>
  <c r="BM204" i="2"/>
  <c r="BN204" i="2" s="1"/>
  <c r="BK204" i="2"/>
  <c r="CL204" i="2" s="1"/>
  <c r="EY204" i="2"/>
  <c r="EX204" i="2"/>
  <c r="FQ204" i="2"/>
  <c r="FW204" i="2" s="1"/>
  <c r="FX204" i="2" s="1" a="1"/>
  <c r="FX204" i="2" s="1"/>
  <c r="DQ205" i="2"/>
  <c r="DR205" i="2" s="1"/>
  <c r="EH205" i="2"/>
  <c r="EC205" i="2"/>
  <c r="DY205" i="2"/>
  <c r="DZ205" i="2" s="1"/>
  <c r="EA205" i="2" s="1"/>
  <c r="DQ211" i="2"/>
  <c r="DR211" i="2" s="1"/>
  <c r="EH211" i="2"/>
  <c r="EC211" i="2"/>
  <c r="DY211" i="2"/>
  <c r="DZ211" i="2" s="1"/>
  <c r="EA211" i="2" s="1"/>
  <c r="BP181" i="2"/>
  <c r="FZ181" i="2"/>
  <c r="BP182" i="2"/>
  <c r="FZ182" i="2"/>
  <c r="BP183" i="2"/>
  <c r="FZ183" i="2"/>
  <c r="BP184" i="2"/>
  <c r="FZ184" i="2"/>
  <c r="BP185" i="2"/>
  <c r="CR195" i="2"/>
  <c r="FQ200" i="2"/>
  <c r="FW200" i="2" s="1"/>
  <c r="FX200" i="2" s="1" a="1"/>
  <c r="FX200" i="2" s="1"/>
  <c r="EY202" i="2"/>
  <c r="EX202" i="2"/>
  <c r="FQ202" i="2"/>
  <c r="FW202" i="2" s="1"/>
  <c r="FX202" i="2" s="1" a="1"/>
  <c r="FX202" i="2" s="1"/>
  <c r="EY206" i="2"/>
  <c r="EX206" i="2"/>
  <c r="FQ206" i="2"/>
  <c r="FW206" i="2" s="1"/>
  <c r="FX206" i="2" s="1" a="1"/>
  <c r="FX206" i="2" s="1"/>
  <c r="CG208" i="2"/>
  <c r="CI208" i="2" s="1"/>
  <c r="DA208" i="2"/>
  <c r="DB208" i="2" s="1"/>
  <c r="CW208" i="2"/>
  <c r="DS208" i="2"/>
  <c r="DU211" i="2"/>
  <c r="BP189" i="2"/>
  <c r="CR189" i="2"/>
  <c r="BP190" i="2"/>
  <c r="CR190" i="2"/>
  <c r="BP191" i="2"/>
  <c r="CR191" i="2"/>
  <c r="BP192" i="2"/>
  <c r="CR192" i="2"/>
  <c r="BP193" i="2"/>
  <c r="CR193" i="2"/>
  <c r="BP194" i="2"/>
  <c r="CR194" i="2"/>
  <c r="CW199" i="2"/>
  <c r="CG202" i="2"/>
  <c r="CI202" i="2" s="1"/>
  <c r="DA202" i="2"/>
  <c r="DB202" i="2" s="1"/>
  <c r="AA204" i="2"/>
  <c r="BM207" i="2"/>
  <c r="BN207" i="2" s="1"/>
  <c r="BK207" i="2"/>
  <c r="CL207" i="2" s="1"/>
  <c r="CR211" i="2"/>
  <c r="CG211" i="2"/>
  <c r="CI211" i="2" s="1"/>
  <c r="DA211" i="2"/>
  <c r="DB211" i="2" s="1"/>
  <c r="CW211" i="2"/>
  <c r="GT211" i="2"/>
  <c r="EV195" i="2"/>
  <c r="EV196" i="2"/>
  <c r="EV197" i="2"/>
  <c r="DQ209" i="2"/>
  <c r="DR209" i="2" s="1"/>
  <c r="EH209" i="2"/>
  <c r="EC209" i="2"/>
  <c r="DY209" i="2"/>
  <c r="DZ209" i="2" s="1"/>
  <c r="EA209" i="2" s="1"/>
  <c r="GU211" i="2"/>
  <c r="CW176" i="2"/>
  <c r="CW177" i="2"/>
  <c r="CW178" i="2"/>
  <c r="EV178" i="2"/>
  <c r="CW179" i="2"/>
  <c r="EV179" i="2"/>
  <c r="CW180" i="2"/>
  <c r="EV180" i="2"/>
  <c r="FO181" i="2"/>
  <c r="GJ181" i="2" s="1"/>
  <c r="FO182" i="2"/>
  <c r="GJ182" i="2" s="1"/>
  <c r="FN189" i="2"/>
  <c r="FQ195" i="2"/>
  <c r="FW195" i="2" s="1"/>
  <c r="FX195" i="2" s="1" a="1"/>
  <c r="FX195" i="2" s="1"/>
  <c r="FQ196" i="2"/>
  <c r="FW196" i="2" s="1"/>
  <c r="FX196" i="2" s="1" a="1"/>
  <c r="FX196" i="2" s="1"/>
  <c r="FQ197" i="2"/>
  <c r="FW197" i="2" s="1"/>
  <c r="FX197" i="2" s="1" a="1"/>
  <c r="FX197" i="2" s="1"/>
  <c r="EV200" i="2"/>
  <c r="DG202" i="2"/>
  <c r="CG204" i="2"/>
  <c r="CI204" i="2" s="1"/>
  <c r="DA204" i="2"/>
  <c r="DB204" i="2" s="1"/>
  <c r="EV204" i="2"/>
  <c r="DG207" i="2"/>
  <c r="BM209" i="2"/>
  <c r="BN209" i="2" s="1"/>
  <c r="BK209" i="2"/>
  <c r="CL209" i="2" s="1"/>
  <c r="FQ178" i="2"/>
  <c r="FW178" i="2" s="1"/>
  <c r="FX178" i="2" s="1" a="1"/>
  <c r="FX178" i="2" s="1"/>
  <c r="FQ179" i="2"/>
  <c r="FW179" i="2" s="1"/>
  <c r="FX179" i="2" s="1" a="1"/>
  <c r="FX179" i="2" s="1"/>
  <c r="FQ180" i="2"/>
  <c r="FW180" i="2" s="1"/>
  <c r="FX180" i="2" s="1" a="1"/>
  <c r="FX180" i="2" s="1"/>
  <c r="CW181" i="2"/>
  <c r="EV181" i="2"/>
  <c r="CW182" i="2"/>
  <c r="EV182" i="2"/>
  <c r="CW183" i="2"/>
  <c r="EV183" i="2"/>
  <c r="CW184" i="2"/>
  <c r="EV184" i="2"/>
  <c r="CW185" i="2"/>
  <c r="EV185" i="2"/>
  <c r="CW186" i="2"/>
  <c r="EV186" i="2"/>
  <c r="CW187" i="2"/>
  <c r="EV187" i="2"/>
  <c r="CW188" i="2"/>
  <c r="EV188" i="2"/>
  <c r="FO189" i="2"/>
  <c r="GJ189" i="2" s="1"/>
  <c r="CW195" i="2"/>
  <c r="EX195" i="2"/>
  <c r="EX196" i="2"/>
  <c r="EX197" i="2"/>
  <c r="DA199" i="2"/>
  <c r="DB199" i="2" s="1"/>
  <c r="EH200" i="2"/>
  <c r="DY200" i="2"/>
  <c r="DZ200" i="2" s="1"/>
  <c r="EA200" i="2" s="1"/>
  <c r="CW202" i="2"/>
  <c r="EV202" i="2"/>
  <c r="EY205" i="2"/>
  <c r="EX205" i="2"/>
  <c r="FQ205" i="2"/>
  <c r="FW205" i="2" s="1"/>
  <c r="FX205" i="2" s="1" a="1"/>
  <c r="FX205" i="2" s="1"/>
  <c r="EV206" i="2"/>
  <c r="CG207" i="2"/>
  <c r="CI207" i="2" s="1"/>
  <c r="DA207" i="2"/>
  <c r="DB207" i="2" s="1"/>
  <c r="EX178" i="2"/>
  <c r="EX179" i="2"/>
  <c r="EX180" i="2"/>
  <c r="FQ181" i="2"/>
  <c r="FW181" i="2" s="1"/>
  <c r="FX181" i="2" s="1" a="1"/>
  <c r="FX181" i="2" s="1"/>
  <c r="FQ182" i="2"/>
  <c r="FW182" i="2" s="1"/>
  <c r="FX182" i="2" s="1" a="1"/>
  <c r="FX182" i="2" s="1"/>
  <c r="FQ183" i="2"/>
  <c r="FW183" i="2" s="1"/>
  <c r="FX183" i="2" s="1" a="1"/>
  <c r="FX183" i="2" s="1"/>
  <c r="FQ184" i="2"/>
  <c r="FW184" i="2" s="1"/>
  <c r="FX184" i="2" s="1" a="1"/>
  <c r="FX184" i="2" s="1"/>
  <c r="FQ185" i="2"/>
  <c r="FW185" i="2" s="1"/>
  <c r="FX185" i="2" s="1" a="1"/>
  <c r="FX185" i="2" s="1"/>
  <c r="FQ186" i="2"/>
  <c r="FW186" i="2" s="1"/>
  <c r="FX186" i="2" s="1" a="1"/>
  <c r="FX186" i="2" s="1"/>
  <c r="FQ187" i="2"/>
  <c r="FW187" i="2" s="1"/>
  <c r="FX187" i="2" s="1" a="1"/>
  <c r="FX187" i="2" s="1"/>
  <c r="FQ188" i="2"/>
  <c r="FW188" i="2" s="1"/>
  <c r="FX188" i="2" s="1" a="1"/>
  <c r="FX188" i="2" s="1"/>
  <c r="CW189" i="2"/>
  <c r="CW190" i="2"/>
  <c r="CW191" i="2"/>
  <c r="CW192" i="2"/>
  <c r="CW193" i="2"/>
  <c r="CW194" i="2"/>
  <c r="CH204" i="2"/>
  <c r="BM205" i="2"/>
  <c r="BN205" i="2" s="1"/>
  <c r="BK205" i="2"/>
  <c r="CL205" i="2" s="1"/>
  <c r="BM206" i="2"/>
  <c r="BN206" i="2" s="1"/>
  <c r="BK206" i="2"/>
  <c r="CL206" i="2" s="1"/>
  <c r="FO207" i="2"/>
  <c r="GJ207" i="2" s="1"/>
  <c r="FN207" i="2"/>
  <c r="EY208" i="2"/>
  <c r="EX208" i="2"/>
  <c r="FQ208" i="2"/>
  <c r="FW208" i="2" s="1"/>
  <c r="FX208" i="2" s="1" a="1"/>
  <c r="FX208" i="2" s="1"/>
  <c r="EV208" i="2"/>
  <c r="DA176" i="2"/>
  <c r="DB176" i="2" s="1"/>
  <c r="DA177" i="2"/>
  <c r="DB177" i="2" s="1"/>
  <c r="DA178" i="2"/>
  <c r="DB178" i="2" s="1"/>
  <c r="DA179" i="2"/>
  <c r="DB179" i="2" s="1"/>
  <c r="DA180" i="2"/>
  <c r="DB180" i="2" s="1"/>
  <c r="EX181" i="2"/>
  <c r="EX182" i="2"/>
  <c r="EX183" i="2"/>
  <c r="EX184" i="2"/>
  <c r="EX185" i="2"/>
  <c r="EX186" i="2"/>
  <c r="EX187" i="2"/>
  <c r="EX188" i="2"/>
  <c r="FP207" i="2"/>
  <c r="CG209" i="2"/>
  <c r="CI209" i="2" s="1"/>
  <c r="DA209" i="2"/>
  <c r="DB209" i="2" s="1"/>
  <c r="CW209" i="2"/>
  <c r="DA181" i="2"/>
  <c r="DB181" i="2" s="1"/>
  <c r="DA182" i="2"/>
  <c r="DB182" i="2" s="1"/>
  <c r="DA183" i="2"/>
  <c r="DB183" i="2" s="1"/>
  <c r="DA184" i="2"/>
  <c r="DB184" i="2" s="1"/>
  <c r="DA185" i="2"/>
  <c r="DB185" i="2" s="1"/>
  <c r="DA186" i="2"/>
  <c r="DB186" i="2" s="1"/>
  <c r="DA187" i="2"/>
  <c r="DB187" i="2" s="1"/>
  <c r="DA188" i="2"/>
  <c r="DB188" i="2" s="1"/>
  <c r="EX189" i="2"/>
  <c r="EX190" i="2"/>
  <c r="EX191" i="2"/>
  <c r="EX192" i="2"/>
  <c r="EX193" i="2"/>
  <c r="EX194" i="2"/>
  <c r="DA195" i="2"/>
  <c r="DB195" i="2" s="1"/>
  <c r="BK200" i="2"/>
  <c r="CL200" i="2" s="1"/>
  <c r="DO203" i="2"/>
  <c r="DU203" i="2"/>
  <c r="AA205" i="2"/>
  <c r="DG206" i="2"/>
  <c r="DQ207" i="2"/>
  <c r="DR207" i="2" s="1"/>
  <c r="EH207" i="2"/>
  <c r="EC207" i="2"/>
  <c r="DY207" i="2"/>
  <c r="DZ207" i="2" s="1"/>
  <c r="EA207" i="2" s="1"/>
  <c r="CG206" i="2"/>
  <c r="CI206" i="2" s="1"/>
  <c r="DA206" i="2"/>
  <c r="DB206" i="2" s="1"/>
  <c r="DQ210" i="2"/>
  <c r="DR210" i="2" s="1"/>
  <c r="EH210" i="2"/>
  <c r="EC210" i="2"/>
  <c r="DY210" i="2"/>
  <c r="DZ210" i="2" s="1"/>
  <c r="EA210" i="2" s="1"/>
  <c r="BM203" i="2"/>
  <c r="BN203" i="2" s="1"/>
  <c r="BK203" i="2"/>
  <c r="CL203" i="2" s="1"/>
  <c r="EY203" i="2"/>
  <c r="EX203" i="2"/>
  <c r="FQ203" i="2"/>
  <c r="FW203" i="2" s="1"/>
  <c r="FX203" i="2" s="1" a="1"/>
  <c r="FX203" i="2" s="1"/>
  <c r="CG205" i="2"/>
  <c r="CI205" i="2" s="1"/>
  <c r="DA205" i="2"/>
  <c r="DB205" i="2" s="1"/>
  <c r="GU206" i="2"/>
  <c r="DG179" i="2"/>
  <c r="DG180" i="2"/>
  <c r="X182" i="2"/>
  <c r="X183" i="2"/>
  <c r="X184" i="2"/>
  <c r="X185" i="2"/>
  <c r="X186" i="2"/>
  <c r="X187" i="2"/>
  <c r="X188" i="2"/>
  <c r="BK196" i="2"/>
  <c r="CL196" i="2" s="1"/>
  <c r="BK197" i="2"/>
  <c r="CL197" i="2" s="1"/>
  <c r="BP200" i="2"/>
  <c r="DG205" i="2"/>
  <c r="CR210" i="2"/>
  <c r="CG210" i="2"/>
  <c r="CI210" i="2" s="1"/>
  <c r="DA210" i="2"/>
  <c r="DB210" i="2" s="1"/>
  <c r="CW210" i="2"/>
  <c r="GT210" i="2"/>
  <c r="AB218" i="2"/>
  <c r="CG200" i="2"/>
  <c r="CI200" i="2" s="1"/>
  <c r="DA200" i="2"/>
  <c r="DB200" i="2" s="1"/>
  <c r="CR202" i="2"/>
  <c r="GU204" i="2"/>
  <c r="CH205" i="2"/>
  <c r="CW206" i="2"/>
  <c r="DQ206" i="2"/>
  <c r="DR206" i="2" s="1"/>
  <c r="EH206" i="2"/>
  <c r="EC206" i="2"/>
  <c r="DY206" i="2"/>
  <c r="DZ206" i="2" s="1"/>
  <c r="EA206" i="2" s="1"/>
  <c r="EY209" i="2"/>
  <c r="EX209" i="2"/>
  <c r="FQ209" i="2"/>
  <c r="FW209" i="2" s="1"/>
  <c r="FX209" i="2" s="1" a="1"/>
  <c r="FX209" i="2" s="1"/>
  <c r="EV209" i="2"/>
  <c r="DU205" i="2"/>
  <c r="DU206" i="2"/>
  <c r="DU207" i="2"/>
  <c r="DU208" i="2"/>
  <c r="DU209" i="2"/>
  <c r="DG243" i="2"/>
  <c r="EY247" i="2"/>
  <c r="EX247" i="2"/>
  <c r="FQ247" i="2"/>
  <c r="FW247" i="2" s="1"/>
  <c r="FX247" i="2" s="1" a="1"/>
  <c r="FX247" i="2" s="1"/>
  <c r="EV247" i="2"/>
  <c r="GT215" i="2"/>
  <c r="AB220" i="2"/>
  <c r="CH234" i="2"/>
  <c r="CH230" i="2"/>
  <c r="GT212" i="2"/>
  <c r="BP292" i="2"/>
  <c r="CH206" i="2"/>
  <c r="CH207" i="2"/>
  <c r="CH208" i="2"/>
  <c r="CH209" i="2"/>
  <c r="GT217" i="2"/>
  <c r="DS212" i="2"/>
  <c r="DQ212" i="2"/>
  <c r="DR212" i="2" s="1"/>
  <c r="EH212" i="2"/>
  <c r="EC212" i="2"/>
  <c r="DY212" i="2"/>
  <c r="DZ212" i="2" s="1"/>
  <c r="EA212" i="2" s="1"/>
  <c r="EI232" i="2"/>
  <c r="EG232" i="2"/>
  <c r="DV232" i="2"/>
  <c r="DW232" i="2" s="1"/>
  <c r="BM245" i="2"/>
  <c r="BN245" i="2" s="1"/>
  <c r="BK245" i="2"/>
  <c r="CL245" i="2" s="1"/>
  <c r="CH226" i="2"/>
  <c r="DU217" i="2"/>
  <c r="DO217" i="2"/>
  <c r="CR223" i="2"/>
  <c r="CG223" i="2"/>
  <c r="CI223" i="2" s="1"/>
  <c r="DA223" i="2"/>
  <c r="DB223" i="2" s="1"/>
  <c r="CW223" i="2"/>
  <c r="BK238" i="2"/>
  <c r="CL238" i="2" s="1"/>
  <c r="CH212" i="2"/>
  <c r="DU212" i="2"/>
  <c r="GT213" i="2"/>
  <c r="GU217" i="2"/>
  <c r="CH222" i="2"/>
  <c r="DU240" i="2"/>
  <c r="DO240" i="2"/>
  <c r="EV212" i="2"/>
  <c r="GU218" i="2"/>
  <c r="DU220" i="2"/>
  <c r="DO220" i="2"/>
  <c r="AB225" i="2"/>
  <c r="GU246" i="2"/>
  <c r="GT246" i="2"/>
  <c r="GT249" i="2"/>
  <c r="BM267" i="2"/>
  <c r="BN267" i="2" s="1"/>
  <c r="BK267" i="2"/>
  <c r="CL267" i="2" s="1"/>
  <c r="GU221" i="2"/>
  <c r="EI223" i="2"/>
  <c r="EG223" i="2"/>
  <c r="GU225" i="2"/>
  <c r="CH231" i="2"/>
  <c r="AB232" i="2"/>
  <c r="T213" i="2"/>
  <c r="CG213" i="2"/>
  <c r="CI213" i="2" s="1"/>
  <c r="T214" i="2"/>
  <c r="CG214" i="2"/>
  <c r="CI214" i="2" s="1"/>
  <c r="T215" i="2"/>
  <c r="CG215" i="2"/>
  <c r="CI215" i="2" s="1"/>
  <c r="T216" i="2"/>
  <c r="CG216" i="2"/>
  <c r="CI216" i="2" s="1"/>
  <c r="T217" i="2"/>
  <c r="CG217" i="2"/>
  <c r="CI217" i="2" s="1"/>
  <c r="DV223" i="2"/>
  <c r="DW223" i="2" s="1"/>
  <c r="GU233" i="2"/>
  <c r="DU249" i="2"/>
  <c r="DO249" i="2"/>
  <c r="DH252" i="2"/>
  <c r="DG252" i="2"/>
  <c r="EG30" i="2"/>
  <c r="EI30" i="2"/>
  <c r="DV30" i="2"/>
  <c r="DW30" i="2" s="1"/>
  <c r="EY220" i="2"/>
  <c r="EX220" i="2"/>
  <c r="DU221" i="2"/>
  <c r="DO221" i="2"/>
  <c r="EI225" i="2"/>
  <c r="EG225" i="2"/>
  <c r="GU238" i="2"/>
  <c r="GA242" i="2"/>
  <c r="FZ242" i="2"/>
  <c r="DG246" i="2"/>
  <c r="GT248" i="2"/>
  <c r="CW292" i="2"/>
  <c r="EY292" i="2"/>
  <c r="EX292" i="2"/>
  <c r="DU222" i="2"/>
  <c r="DO222" i="2"/>
  <c r="CR225" i="2"/>
  <c r="CG225" i="2"/>
  <c r="CI225" i="2" s="1"/>
  <c r="DA225" i="2"/>
  <c r="DB225" i="2" s="1"/>
  <c r="GT230" i="2"/>
  <c r="AB233" i="2"/>
  <c r="EI233" i="2"/>
  <c r="EG233" i="2"/>
  <c r="DY241" i="2"/>
  <c r="DZ241" i="2" s="1"/>
  <c r="EA241" i="2" s="1"/>
  <c r="DS241" i="2"/>
  <c r="DQ241" i="2"/>
  <c r="DR241" i="2" s="1"/>
  <c r="EH241" i="2"/>
  <c r="DG213" i="2"/>
  <c r="DG214" i="2"/>
  <c r="DG215" i="2"/>
  <c r="DG216" i="2"/>
  <c r="DG217" i="2"/>
  <c r="CR218" i="2"/>
  <c r="FZ218" i="2"/>
  <c r="FQ292" i="2"/>
  <c r="FW292" i="2" s="1"/>
  <c r="FX292" i="2" s="1" a="1"/>
  <c r="FX292" i="2" s="1"/>
  <c r="BP219" i="2"/>
  <c r="CG220" i="2"/>
  <c r="CI220" i="2" s="1"/>
  <c r="DA220" i="2"/>
  <c r="DB220" i="2" s="1"/>
  <c r="DV225" i="2"/>
  <c r="DW225" i="2" s="1"/>
  <c r="CH232" i="2"/>
  <c r="GU236" i="2"/>
  <c r="EY237" i="2"/>
  <c r="EX237" i="2"/>
  <c r="FQ237" i="2"/>
  <c r="FW237" i="2" s="1"/>
  <c r="FX237" i="2" s="1" a="1"/>
  <c r="FX237" i="2" s="1"/>
  <c r="EV237" i="2"/>
  <c r="BP240" i="2"/>
  <c r="GA240" i="2"/>
  <c r="FZ240" i="2"/>
  <c r="DU248" i="2"/>
  <c r="DO248" i="2"/>
  <c r="DH251" i="2"/>
  <c r="DG251" i="2"/>
  <c r="X212" i="2"/>
  <c r="GU219" i="2"/>
  <c r="GA220" i="2"/>
  <c r="CH225" i="2"/>
  <c r="GU230" i="2"/>
  <c r="GT234" i="2"/>
  <c r="DO236" i="2"/>
  <c r="GT236" i="2"/>
  <c r="DU236" i="2"/>
  <c r="BP218" i="2"/>
  <c r="CG292" i="2"/>
  <c r="EV220" i="2"/>
  <c r="AB224" i="2"/>
  <c r="CW225" i="2"/>
  <c r="CH243" i="2"/>
  <c r="EY243" i="2"/>
  <c r="EX243" i="2"/>
  <c r="FQ243" i="2"/>
  <c r="FW243" i="2" s="1"/>
  <c r="FX243" i="2" s="1" a="1"/>
  <c r="FX243" i="2" s="1"/>
  <c r="EV243" i="2"/>
  <c r="BM247" i="2"/>
  <c r="BN247" i="2" s="1"/>
  <c r="BK247" i="2"/>
  <c r="CL247" i="2" s="1"/>
  <c r="CH292" i="2"/>
  <c r="EV292" i="2"/>
  <c r="DU292" i="2"/>
  <c r="DO292" i="2"/>
  <c r="EY219" i="2"/>
  <c r="EX219" i="2"/>
  <c r="DU219" i="2"/>
  <c r="DO219" i="2"/>
  <c r="GU224" i="2"/>
  <c r="EI230" i="2"/>
  <c r="EG230" i="2"/>
  <c r="GU234" i="2"/>
  <c r="GT239" i="2"/>
  <c r="DA241" i="2"/>
  <c r="DB241" i="2" s="1"/>
  <c r="CW241" i="2"/>
  <c r="CR241" i="2"/>
  <c r="CG241" i="2"/>
  <c r="CI241" i="2" s="1"/>
  <c r="BP221" i="2"/>
  <c r="AB226" i="2"/>
  <c r="EI226" i="2"/>
  <c r="EG226" i="2"/>
  <c r="AB234" i="2"/>
  <c r="Y237" i="2"/>
  <c r="AB237" i="2" s="1"/>
  <c r="X237" i="2"/>
  <c r="FZ213" i="2"/>
  <c r="FZ214" i="2"/>
  <c r="FZ215" i="2"/>
  <c r="FZ216" i="2"/>
  <c r="FZ217" i="2"/>
  <c r="CR221" i="2"/>
  <c r="CG221" i="2"/>
  <c r="CI221" i="2" s="1"/>
  <c r="DA221" i="2"/>
  <c r="DB221" i="2" s="1"/>
  <c r="GA222" i="2"/>
  <c r="BP224" i="2"/>
  <c r="EI224" i="2"/>
  <c r="EG224" i="2"/>
  <c r="AB230" i="2"/>
  <c r="GU231" i="2"/>
  <c r="CH233" i="2"/>
  <c r="EI234" i="2"/>
  <c r="EG234" i="2"/>
  <c r="GU237" i="2"/>
  <c r="EC241" i="2"/>
  <c r="DA246" i="2"/>
  <c r="DB246" i="2" s="1"/>
  <c r="CW246" i="2"/>
  <c r="CR246" i="2"/>
  <c r="CG246" i="2"/>
  <c r="CI246" i="2" s="1"/>
  <c r="CR224" i="2"/>
  <c r="CG224" i="2"/>
  <c r="CI224" i="2" s="1"/>
  <c r="DA224" i="2"/>
  <c r="DB224" i="2" s="1"/>
  <c r="GT232" i="2"/>
  <c r="DY239" i="2"/>
  <c r="DZ239" i="2" s="1"/>
  <c r="EA239" i="2" s="1"/>
  <c r="DQ239" i="2"/>
  <c r="DR239" i="2" s="1"/>
  <c r="EH239" i="2"/>
  <c r="EC239" i="2"/>
  <c r="GT240" i="2"/>
  <c r="GU242" i="2"/>
  <c r="FZ212" i="2"/>
  <c r="FZ292" i="2"/>
  <c r="EV219" i="2"/>
  <c r="FZ219" i="2"/>
  <c r="BP222" i="2"/>
  <c r="DV226" i="2"/>
  <c r="DW226" i="2" s="1"/>
  <c r="EI231" i="2"/>
  <c r="EG231" i="2"/>
  <c r="DY237" i="2"/>
  <c r="DZ237" i="2" s="1"/>
  <c r="EA237" i="2" s="1"/>
  <c r="EH237" i="2"/>
  <c r="EC237" i="2"/>
  <c r="DS237" i="2"/>
  <c r="GU243" i="2"/>
  <c r="CH246" i="2"/>
  <c r="EY218" i="2"/>
  <c r="EX218" i="2"/>
  <c r="CR292" i="2"/>
  <c r="CX292" i="2" s="1"/>
  <c r="CW221" i="2"/>
  <c r="CR222" i="2"/>
  <c r="CG222" i="2"/>
  <c r="CI222" i="2" s="1"/>
  <c r="DA222" i="2"/>
  <c r="DB222" i="2" s="1"/>
  <c r="BP223" i="2"/>
  <c r="CH224" i="2"/>
  <c r="AB231" i="2"/>
  <c r="GU232" i="2"/>
  <c r="GU240" i="2"/>
  <c r="EI243" i="2"/>
  <c r="EG243" i="2"/>
  <c r="DV243" i="2"/>
  <c r="DW243" i="2" s="1"/>
  <c r="GT245" i="2"/>
  <c r="DG267" i="2"/>
  <c r="GH292" i="2"/>
  <c r="EX221" i="2"/>
  <c r="EX222" i="2"/>
  <c r="EX223" i="2"/>
  <c r="EX224" i="2"/>
  <c r="EX225" i="2"/>
  <c r="EX226" i="2"/>
  <c r="EX230" i="2"/>
  <c r="EX231" i="2"/>
  <c r="EX232" i="2"/>
  <c r="EX233" i="2"/>
  <c r="EV236" i="2"/>
  <c r="DO243" i="2"/>
  <c r="EY245" i="2"/>
  <c r="EX245" i="2"/>
  <c r="FQ245" i="2"/>
  <c r="FW245" i="2" s="1"/>
  <c r="FX245" i="2" s="1" a="1"/>
  <c r="FX245" i="2" s="1"/>
  <c r="EV245" i="2"/>
  <c r="DY245" i="2"/>
  <c r="DZ245" i="2" s="1"/>
  <c r="EA245" i="2" s="1"/>
  <c r="DQ245" i="2"/>
  <c r="DR245" i="2" s="1"/>
  <c r="EH245" i="2"/>
  <c r="DU251" i="2"/>
  <c r="DO251" i="2"/>
  <c r="AA392" i="2"/>
  <c r="DU267" i="2"/>
  <c r="DO267" i="2"/>
  <c r="DA226" i="2"/>
  <c r="DB226" i="2" s="1"/>
  <c r="DA230" i="2"/>
  <c r="DB230" i="2" s="1"/>
  <c r="DA231" i="2"/>
  <c r="DB231" i="2" s="1"/>
  <c r="DA232" i="2"/>
  <c r="DB232" i="2" s="1"/>
  <c r="DA233" i="2"/>
  <c r="DB233" i="2" s="1"/>
  <c r="DA234" i="2"/>
  <c r="DB234" i="2" s="1"/>
  <c r="DA240" i="2"/>
  <c r="DB240" i="2" s="1"/>
  <c r="CW240" i="2"/>
  <c r="DA245" i="2"/>
  <c r="DB245" i="2" s="1"/>
  <c r="CW245" i="2"/>
  <c r="GU267" i="2"/>
  <c r="DU308" i="2"/>
  <c r="DO308" i="2"/>
  <c r="CG226" i="2"/>
  <c r="CI226" i="2" s="1"/>
  <c r="CG230" i="2"/>
  <c r="CI230" i="2" s="1"/>
  <c r="CG231" i="2"/>
  <c r="CI231" i="2" s="1"/>
  <c r="CG232" i="2"/>
  <c r="CI232" i="2" s="1"/>
  <c r="CG233" i="2"/>
  <c r="CI233" i="2" s="1"/>
  <c r="CG234" i="2"/>
  <c r="CI234" i="2" s="1"/>
  <c r="CG236" i="2"/>
  <c r="CI236" i="2" s="1"/>
  <c r="DA236" i="2"/>
  <c r="DB236" i="2" s="1"/>
  <c r="DG245" i="2"/>
  <c r="DA247" i="2"/>
  <c r="DB247" i="2" s="1"/>
  <c r="CW247" i="2"/>
  <c r="EY248" i="2"/>
  <c r="EX248" i="2"/>
  <c r="FQ248" i="2"/>
  <c r="FW248" i="2" s="1"/>
  <c r="FX248" i="2" s="1" a="1"/>
  <c r="FX248" i="2" s="1"/>
  <c r="EV248" i="2"/>
  <c r="EY241" i="2"/>
  <c r="EX241" i="2"/>
  <c r="FQ241" i="2"/>
  <c r="FW241" i="2" s="1"/>
  <c r="FX241" i="2" s="1" a="1"/>
  <c r="FX241" i="2" s="1"/>
  <c r="EV241" i="2"/>
  <c r="DG247" i="2"/>
  <c r="BM248" i="2"/>
  <c r="BN248" i="2" s="1"/>
  <c r="BK248" i="2"/>
  <c r="CL248" i="2" s="1"/>
  <c r="EY249" i="2"/>
  <c r="EX249" i="2"/>
  <c r="FQ249" i="2"/>
  <c r="FW249" i="2" s="1"/>
  <c r="FX249" i="2" s="1" a="1"/>
  <c r="FX249" i="2" s="1"/>
  <c r="EV249" i="2"/>
  <c r="DG257" i="2"/>
  <c r="DH257" i="2" s="1"/>
  <c r="CG238" i="2"/>
  <c r="CI238" i="2" s="1"/>
  <c r="DA238" i="2"/>
  <c r="DB238" i="2" s="1"/>
  <c r="DA239" i="2"/>
  <c r="DB239" i="2" s="1"/>
  <c r="CW239" i="2"/>
  <c r="BP242" i="2"/>
  <c r="DU257" i="2"/>
  <c r="DO257" i="2"/>
  <c r="CW236" i="2"/>
  <c r="BP237" i="2"/>
  <c r="CG240" i="2"/>
  <c r="CI240" i="2" s="1"/>
  <c r="DA242" i="2"/>
  <c r="DB242" i="2" s="1"/>
  <c r="CW242" i="2"/>
  <c r="CG245" i="2"/>
  <c r="CI245" i="2" s="1"/>
  <c r="BM249" i="2"/>
  <c r="BN249" i="2" s="1"/>
  <c r="BK249" i="2"/>
  <c r="CL249" i="2" s="1"/>
  <c r="CG237" i="2"/>
  <c r="CI237" i="2" s="1"/>
  <c r="DA237" i="2"/>
  <c r="DB237" i="2" s="1"/>
  <c r="CH240" i="2"/>
  <c r="CG247" i="2"/>
  <c r="CI247" i="2" s="1"/>
  <c r="DA248" i="2"/>
  <c r="DB248" i="2" s="1"/>
  <c r="CW248" i="2"/>
  <c r="DH250" i="2"/>
  <c r="DG250" i="2"/>
  <c r="DO223" i="2"/>
  <c r="DO224" i="2"/>
  <c r="DO225" i="2"/>
  <c r="DO226" i="2"/>
  <c r="DO230" i="2"/>
  <c r="DO231" i="2"/>
  <c r="DO232" i="2"/>
  <c r="DO233" i="2"/>
  <c r="DO234" i="2"/>
  <c r="EY240" i="2"/>
  <c r="EX240" i="2"/>
  <c r="FQ240" i="2"/>
  <c r="FW240" i="2" s="1"/>
  <c r="FX240" i="2" s="1" a="1"/>
  <c r="FX240" i="2" s="1"/>
  <c r="EV240" i="2"/>
  <c r="EH242" i="2"/>
  <c r="DY246" i="2"/>
  <c r="DZ246" i="2" s="1"/>
  <c r="EA246" i="2" s="1"/>
  <c r="DQ246" i="2"/>
  <c r="DR246" i="2" s="1"/>
  <c r="EH246" i="2"/>
  <c r="CH247" i="2"/>
  <c r="DG248" i="2"/>
  <c r="AA249" i="2"/>
  <c r="DA249" i="2"/>
  <c r="DB249" i="2" s="1"/>
  <c r="CW249" i="2"/>
  <c r="AA250" i="2"/>
  <c r="DA250" i="2"/>
  <c r="DB250" i="2" s="1"/>
  <c r="CW250" i="2"/>
  <c r="CR250" i="2"/>
  <c r="DG167" i="2"/>
  <c r="DH167" i="2" s="1"/>
  <c r="DU167" i="2"/>
  <c r="DO167" i="2"/>
  <c r="DG236" i="2"/>
  <c r="FZ236" i="2"/>
  <c r="DG238" i="2"/>
  <c r="BK241" i="2"/>
  <c r="CL241" i="2" s="1"/>
  <c r="EY242" i="2"/>
  <c r="EX242" i="2"/>
  <c r="FQ242" i="2"/>
  <c r="FW242" i="2" s="1"/>
  <c r="FX242" i="2" s="1" a="1"/>
  <c r="FX242" i="2" s="1"/>
  <c r="EV242" i="2"/>
  <c r="DG249" i="2"/>
  <c r="GU250" i="2"/>
  <c r="CH265" i="2"/>
  <c r="FZ265" i="2"/>
  <c r="GA265" i="2" s="1"/>
  <c r="FZ226" i="2"/>
  <c r="FZ230" i="2"/>
  <c r="EY239" i="2"/>
  <c r="EX239" i="2"/>
  <c r="FQ239" i="2"/>
  <c r="FW239" i="2" s="1"/>
  <c r="FX239" i="2" s="1" a="1"/>
  <c r="FX239" i="2" s="1"/>
  <c r="EV239" i="2"/>
  <c r="BP243" i="2"/>
  <c r="CR245" i="2"/>
  <c r="EY246" i="2"/>
  <c r="EX246" i="2"/>
  <c r="FQ246" i="2"/>
  <c r="FW246" i="2" s="1"/>
  <c r="FX246" i="2" s="1" a="1"/>
  <c r="FX246" i="2" s="1"/>
  <c r="EV246" i="2"/>
  <c r="CG248" i="2"/>
  <c r="CI248" i="2" s="1"/>
  <c r="DU250" i="2"/>
  <c r="DO250" i="2"/>
  <c r="EY238" i="2"/>
  <c r="EX238" i="2"/>
  <c r="FQ238" i="2"/>
  <c r="FW238" i="2" s="1"/>
  <c r="FX238" i="2" s="1" a="1"/>
  <c r="FX238" i="2" s="1"/>
  <c r="DA243" i="2"/>
  <c r="DB243" i="2" s="1"/>
  <c r="CW243" i="2"/>
  <c r="GU247" i="2"/>
  <c r="DU392" i="2"/>
  <c r="DO392" i="2"/>
  <c r="DQ242" i="2"/>
  <c r="DR242" i="2" s="1"/>
  <c r="DY247" i="2"/>
  <c r="DZ247" i="2" s="1"/>
  <c r="EA247" i="2" s="1"/>
  <c r="DQ247" i="2"/>
  <c r="DR247" i="2" s="1"/>
  <c r="EH247" i="2"/>
  <c r="CG249" i="2"/>
  <c r="CI249" i="2" s="1"/>
  <c r="CG250" i="2"/>
  <c r="CI250" i="2" s="1"/>
  <c r="DH392" i="2"/>
  <c r="DG392" i="2"/>
  <c r="BK250" i="2"/>
  <c r="CL250" i="2" s="1"/>
  <c r="BK251" i="2"/>
  <c r="CL251" i="2" s="1"/>
  <c r="BK252" i="2"/>
  <c r="CL252" i="2" s="1"/>
  <c r="BK257" i="2"/>
  <c r="CL257" i="2" s="1"/>
  <c r="BK167" i="2"/>
  <c r="BK392" i="2"/>
  <c r="CL392" i="2" s="1"/>
  <c r="GA267" i="2"/>
  <c r="DG265" i="2"/>
  <c r="DH265" i="2" s="1"/>
  <c r="GT98" i="2"/>
  <c r="BP267" i="2"/>
  <c r="CR267" i="2"/>
  <c r="GU98" i="2"/>
  <c r="CR251" i="2"/>
  <c r="CR252" i="2"/>
  <c r="CR257" i="2"/>
  <c r="CR167" i="2"/>
  <c r="CX167" i="2" s="1"/>
  <c r="CR392" i="2"/>
  <c r="DU98" i="2"/>
  <c r="DO98" i="2"/>
  <c r="EV250" i="2"/>
  <c r="CW251" i="2"/>
  <c r="EV251" i="2"/>
  <c r="CW252" i="2"/>
  <c r="EV252" i="2"/>
  <c r="FZ252" i="2" s="1"/>
  <c r="GA252" i="2" s="1"/>
  <c r="CW257" i="2"/>
  <c r="EV257" i="2"/>
  <c r="CW167" i="2"/>
  <c r="EV167" i="2"/>
  <c r="FZ167" i="2" s="1"/>
  <c r="GA167" i="2" s="1"/>
  <c r="CW392" i="2"/>
  <c r="EX267" i="2"/>
  <c r="EX265" i="2"/>
  <c r="EY265" i="2" s="1"/>
  <c r="BP261" i="2"/>
  <c r="FQ250" i="2"/>
  <c r="FW250" i="2" s="1"/>
  <c r="FX250" i="2" s="1" a="1"/>
  <c r="FX250" i="2" s="1"/>
  <c r="FQ251" i="2"/>
  <c r="FW251" i="2" s="1"/>
  <c r="FX251" i="2" s="1" a="1"/>
  <c r="FX251" i="2" s="1"/>
  <c r="DA261" i="2"/>
  <c r="DB261" i="2" s="1"/>
  <c r="CW261" i="2"/>
  <c r="CG261" i="2"/>
  <c r="CI261" i="2" s="1"/>
  <c r="CR261" i="2"/>
  <c r="EX250" i="2"/>
  <c r="EX251" i="2"/>
  <c r="DA267" i="2"/>
  <c r="DB267" i="2" s="1"/>
  <c r="CG265" i="2"/>
  <c r="CI265" i="2" s="1"/>
  <c r="GU308" i="2"/>
  <c r="DU128" i="2"/>
  <c r="DO128" i="2"/>
  <c r="GU128" i="2"/>
  <c r="EH390" i="2"/>
  <c r="DY390" i="2"/>
  <c r="DZ390" i="2" s="1"/>
  <c r="EA390" i="2" s="1"/>
  <c r="DS390" i="2"/>
  <c r="EC390" i="2"/>
  <c r="CH308" i="2"/>
  <c r="DH253" i="2"/>
  <c r="DG253" i="2"/>
  <c r="EY255" i="2"/>
  <c r="EX255" i="2"/>
  <c r="FQ255" i="2"/>
  <c r="FW255" i="2" s="1"/>
  <c r="FX255" i="2" s="1" a="1"/>
  <c r="FX255" i="2" s="1"/>
  <c r="EV255" i="2"/>
  <c r="GT128" i="2"/>
  <c r="GA102" i="2"/>
  <c r="FZ102" i="2"/>
  <c r="BP253" i="2"/>
  <c r="GU259" i="2"/>
  <c r="CH98" i="2"/>
  <c r="CH128" i="2"/>
  <c r="EV261" i="2"/>
  <c r="GH308" i="2"/>
  <c r="GT102" i="2"/>
  <c r="DO311" i="2"/>
  <c r="DU311" i="2"/>
  <c r="DO253" i="2"/>
  <c r="DU253" i="2"/>
  <c r="EI262" i="2"/>
  <c r="EG262" i="2"/>
  <c r="DV262" i="2"/>
  <c r="DW262" i="2" s="1"/>
  <c r="GT308" i="2"/>
  <c r="DQ390" i="2"/>
  <c r="DR390" i="2" s="1"/>
  <c r="CH30" i="2"/>
  <c r="GT254" i="2"/>
  <c r="EY256" i="2"/>
  <c r="EX256" i="2"/>
  <c r="FQ256" i="2"/>
  <c r="FW256" i="2" s="1"/>
  <c r="FX256" i="2" s="1" a="1"/>
  <c r="FX256" i="2" s="1"/>
  <c r="EV256" i="2"/>
  <c r="EV258" i="2"/>
  <c r="EY259" i="2"/>
  <c r="EX259" i="2"/>
  <c r="FQ259" i="2"/>
  <c r="FW259" i="2" s="1"/>
  <c r="FX259" i="2" s="1" a="1"/>
  <c r="FX259" i="2" s="1"/>
  <c r="EV259" i="2"/>
  <c r="GT259" i="2"/>
  <c r="BP271" i="2"/>
  <c r="FQ308" i="2"/>
  <c r="EH254" i="2"/>
  <c r="EC254" i="2"/>
  <c r="DY254" i="2"/>
  <c r="DZ254" i="2" s="1"/>
  <c r="EA254" i="2" s="1"/>
  <c r="DS254" i="2"/>
  <c r="GT255" i="2"/>
  <c r="GT256" i="2"/>
  <c r="GH30" i="2"/>
  <c r="DH261" i="2"/>
  <c r="DG261" i="2"/>
  <c r="GU255" i="2"/>
  <c r="GU256" i="2"/>
  <c r="EH259" i="2"/>
  <c r="EC259" i="2"/>
  <c r="DY259" i="2"/>
  <c r="DZ259" i="2" s="1"/>
  <c r="EA259" i="2" s="1"/>
  <c r="DS259" i="2"/>
  <c r="DA308" i="2"/>
  <c r="DB308" i="2" s="1"/>
  <c r="EY308" i="2"/>
  <c r="DO255" i="2"/>
  <c r="DU255" i="2"/>
  <c r="DO256" i="2"/>
  <c r="DU256" i="2"/>
  <c r="CR311" i="2"/>
  <c r="GU273" i="2"/>
  <c r="BP258" i="2"/>
  <c r="DA244" i="2"/>
  <c r="DB244" i="2" s="1"/>
  <c r="CW244" i="2"/>
  <c r="CR244" i="2"/>
  <c r="DG244" i="2"/>
  <c r="DH244" i="2" s="1"/>
  <c r="CG244" i="2"/>
  <c r="CI244" i="2" s="1"/>
  <c r="CZ244" i="2"/>
  <c r="FN102" i="2"/>
  <c r="EV390" i="2"/>
  <c r="FZ253" i="2"/>
  <c r="CR263" i="2"/>
  <c r="CG263" i="2"/>
  <c r="CI263" i="2" s="1"/>
  <c r="DA263" i="2"/>
  <c r="DB263" i="2" s="1"/>
  <c r="CW263" i="2"/>
  <c r="X30" i="2"/>
  <c r="X98" i="2"/>
  <c r="X128" i="2"/>
  <c r="FO102" i="2"/>
  <c r="GJ102" i="2" s="1"/>
  <c r="EH102" i="2"/>
  <c r="DY102" i="2"/>
  <c r="DZ102" i="2" s="1"/>
  <c r="EA102" i="2" s="1"/>
  <c r="EH261" i="2"/>
  <c r="DY261" i="2"/>
  <c r="DZ261" i="2" s="1"/>
  <c r="EA261" i="2" s="1"/>
  <c r="BP254" i="2"/>
  <c r="DQ254" i="2"/>
  <c r="DR254" i="2" s="1"/>
  <c r="BP259" i="2"/>
  <c r="CG260" i="2"/>
  <c r="CI260" i="2" s="1"/>
  <c r="DA260" i="2"/>
  <c r="DB260" i="2" s="1"/>
  <c r="CW260" i="2"/>
  <c r="EY260" i="2"/>
  <c r="EX260" i="2"/>
  <c r="FQ260" i="2"/>
  <c r="FW260" i="2" s="1"/>
  <c r="FX260" i="2" s="1" a="1"/>
  <c r="FX260" i="2" s="1"/>
  <c r="EV260" i="2"/>
  <c r="CH262" i="2"/>
  <c r="EY102" i="2"/>
  <c r="EX102" i="2"/>
  <c r="FQ102" i="2"/>
  <c r="FW102" i="2" s="1"/>
  <c r="FX102" i="2" s="1" a="1"/>
  <c r="FX102" i="2" s="1"/>
  <c r="EV102" i="2"/>
  <c r="EY253" i="2"/>
  <c r="EX253" i="2"/>
  <c r="FQ253" i="2"/>
  <c r="FW253" i="2" s="1"/>
  <c r="FX253" i="2" s="1" a="1"/>
  <c r="FX253" i="2" s="1"/>
  <c r="EV253" i="2"/>
  <c r="BP272" i="2"/>
  <c r="EV276" i="2"/>
  <c r="EY276" i="2"/>
  <c r="FQ276" i="2"/>
  <c r="EX276" i="2"/>
  <c r="DA102" i="2"/>
  <c r="DB102" i="2" s="1"/>
  <c r="CW102" i="2"/>
  <c r="DO260" i="2"/>
  <c r="DU260" i="2"/>
  <c r="FZ98" i="2"/>
  <c r="FZ128" i="2"/>
  <c r="DH390" i="2"/>
  <c r="DG390" i="2"/>
  <c r="GT253" i="2"/>
  <c r="EY254" i="2"/>
  <c r="EX254" i="2"/>
  <c r="FQ254" i="2"/>
  <c r="FW254" i="2" s="1"/>
  <c r="FX254" i="2" s="1" a="1"/>
  <c r="FX254" i="2" s="1"/>
  <c r="EV254" i="2"/>
  <c r="GT262" i="2"/>
  <c r="DH102" i="2"/>
  <c r="DG102" i="2"/>
  <c r="EV311" i="2"/>
  <c r="CR260" i="2"/>
  <c r="FP260" i="2"/>
  <c r="FO260" i="2"/>
  <c r="GJ260" i="2" s="1"/>
  <c r="GA270" i="2"/>
  <c r="FZ270" i="2"/>
  <c r="AA273" i="2"/>
  <c r="GU274" i="2"/>
  <c r="DV287" i="2"/>
  <c r="DW287" i="2" s="1"/>
  <c r="EI287" i="2"/>
  <c r="EG287" i="2"/>
  <c r="GA271" i="2"/>
  <c r="FZ271" i="2"/>
  <c r="DO273" i="2"/>
  <c r="DU273" i="2"/>
  <c r="FO259" i="2"/>
  <c r="GJ259" i="2" s="1"/>
  <c r="GT269" i="2"/>
  <c r="FZ272" i="2"/>
  <c r="FQ280" i="2"/>
  <c r="EV280" i="2"/>
  <c r="EY280" i="2"/>
  <c r="EX280" i="2"/>
  <c r="FR300" i="2" a="1"/>
  <c r="FR300" i="2" s="1"/>
  <c r="DH303" i="2"/>
  <c r="DG303" i="2"/>
  <c r="CW390" i="2"/>
  <c r="CW253" i="2"/>
  <c r="CW254" i="2"/>
  <c r="CW255" i="2"/>
  <c r="CW256" i="2"/>
  <c r="CW311" i="2"/>
  <c r="CW258" i="2"/>
  <c r="CW259" i="2"/>
  <c r="FZ262" i="2"/>
  <c r="EH268" i="2"/>
  <c r="EC268" i="2"/>
  <c r="DY268" i="2"/>
  <c r="DZ268" i="2" s="1"/>
  <c r="EA268" i="2" s="1"/>
  <c r="DS268" i="2"/>
  <c r="CG262" i="2"/>
  <c r="CI262" i="2" s="1"/>
  <c r="DU268" i="2"/>
  <c r="DU282" i="2"/>
  <c r="DO282" i="2"/>
  <c r="GU286" i="2"/>
  <c r="GH261" i="2"/>
  <c r="GH390" i="2"/>
  <c r="CZ311" i="2"/>
  <c r="GH311" i="2"/>
  <c r="GH259" i="2"/>
  <c r="BP235" i="2"/>
  <c r="BP268" i="2"/>
  <c r="GU268" i="2"/>
  <c r="CW274" i="2"/>
  <c r="CR274" i="2"/>
  <c r="CG274" i="2"/>
  <c r="CI274" i="2" s="1"/>
  <c r="DA274" i="2"/>
  <c r="DB274" i="2" s="1"/>
  <c r="Y275" i="2"/>
  <c r="AB275" i="2" s="1"/>
  <c r="X275" i="2"/>
  <c r="DA390" i="2"/>
  <c r="DB390" i="2" s="1"/>
  <c r="DA253" i="2"/>
  <c r="DB253" i="2" s="1"/>
  <c r="DA254" i="2"/>
  <c r="DB254" i="2" s="1"/>
  <c r="DA255" i="2"/>
  <c r="DB255" i="2" s="1"/>
  <c r="DA256" i="2"/>
  <c r="DB256" i="2" s="1"/>
  <c r="DA311" i="2"/>
  <c r="DB311" i="2" s="1"/>
  <c r="CH263" i="2"/>
  <c r="CH244" i="2"/>
  <c r="EV244" i="2"/>
  <c r="GH244" i="2"/>
  <c r="DG235" i="2"/>
  <c r="DH235" i="2" s="1"/>
  <c r="CG235" i="2"/>
  <c r="DA235" i="2"/>
  <c r="DB235" i="2" s="1"/>
  <c r="CW235" i="2"/>
  <c r="DO269" i="2"/>
  <c r="DU269" i="2"/>
  <c r="CH260" i="2"/>
  <c r="DG263" i="2"/>
  <c r="BK262" i="2"/>
  <c r="CL262" i="2" s="1"/>
  <c r="DO262" i="2"/>
  <c r="GU271" i="2"/>
  <c r="GA273" i="2"/>
  <c r="FZ273" i="2"/>
  <c r="Y282" i="2"/>
  <c r="AB282" i="2" s="1"/>
  <c r="X282" i="2"/>
  <c r="DG260" i="2"/>
  <c r="BK263" i="2"/>
  <c r="CL263" i="2" s="1"/>
  <c r="EY262" i="2"/>
  <c r="EV262" i="2"/>
  <c r="EH235" i="2"/>
  <c r="DY235" i="2"/>
  <c r="DZ235" i="2" s="1"/>
  <c r="EA235" i="2" s="1"/>
  <c r="GA268" i="2"/>
  <c r="FZ268" i="2"/>
  <c r="BP269" i="2"/>
  <c r="T282" i="2"/>
  <c r="DG254" i="2"/>
  <c r="DG255" i="2"/>
  <c r="DG256" i="2"/>
  <c r="DG311" i="2"/>
  <c r="DH311" i="2" s="1"/>
  <c r="DG258" i="2"/>
  <c r="DG259" i="2"/>
  <c r="FQ262" i="2"/>
  <c r="FW262" i="2" s="1"/>
  <c r="FX262" i="2" s="1" a="1"/>
  <c r="FX262" i="2" s="1"/>
  <c r="DO270" i="2"/>
  <c r="DU270" i="2"/>
  <c r="DO271" i="2"/>
  <c r="DU271" i="2"/>
  <c r="BP276" i="2"/>
  <c r="GA277" i="2"/>
  <c r="FZ277" i="2"/>
  <c r="CW289" i="2"/>
  <c r="CR289" i="2"/>
  <c r="CG289" i="2"/>
  <c r="CI289" i="2" s="1"/>
  <c r="DA289" i="2"/>
  <c r="DB289" i="2" s="1"/>
  <c r="BK102" i="2"/>
  <c r="CL102" i="2" s="1"/>
  <c r="BK261" i="2"/>
  <c r="CL261" i="2" s="1"/>
  <c r="BK390" i="2"/>
  <c r="CL390" i="2" s="1"/>
  <c r="BK253" i="2"/>
  <c r="CL253" i="2" s="1"/>
  <c r="BK258" i="2"/>
  <c r="CL258" i="2" s="1"/>
  <c r="BK259" i="2"/>
  <c r="CL259" i="2" s="1"/>
  <c r="BK260" i="2"/>
  <c r="CL260" i="2" s="1"/>
  <c r="X244" i="2"/>
  <c r="BK244" i="2"/>
  <c r="CL244" i="2" s="1"/>
  <c r="BP270" i="2"/>
  <c r="GU270" i="2"/>
  <c r="DO272" i="2"/>
  <c r="DU272" i="2"/>
  <c r="BP262" i="2"/>
  <c r="CR262" i="2"/>
  <c r="GA269" i="2"/>
  <c r="FZ269" i="2"/>
  <c r="GU272" i="2"/>
  <c r="DV278" i="2"/>
  <c r="DW278" i="2" s="1"/>
  <c r="EI278" i="2"/>
  <c r="EG278" i="2"/>
  <c r="CR268" i="2"/>
  <c r="CR269" i="2"/>
  <c r="CR270" i="2"/>
  <c r="CR271" i="2"/>
  <c r="CR272" i="2"/>
  <c r="Y277" i="2"/>
  <c r="AB277" i="2" s="1"/>
  <c r="X277" i="2"/>
  <c r="GU279" i="2"/>
  <c r="GT283" i="2"/>
  <c r="Y286" i="2"/>
  <c r="AB286" i="2" s="1"/>
  <c r="X286" i="2"/>
  <c r="DU286" i="2"/>
  <c r="DO286" i="2"/>
  <c r="BP279" i="2"/>
  <c r="GU283" i="2"/>
  <c r="T286" i="2"/>
  <c r="BM275" i="2"/>
  <c r="BN275" i="2" s="1"/>
  <c r="BK275" i="2"/>
  <c r="CL275" i="2" s="1"/>
  <c r="Y279" i="2"/>
  <c r="AB279" i="2" s="1"/>
  <c r="X279" i="2"/>
  <c r="DV279" i="2"/>
  <c r="DW279" i="2" s="1"/>
  <c r="EI279" i="2"/>
  <c r="EG279" i="2"/>
  <c r="Y283" i="2"/>
  <c r="AB283" i="2" s="1"/>
  <c r="X283" i="2"/>
  <c r="DU283" i="2"/>
  <c r="DO283" i="2"/>
  <c r="FO271" i="2"/>
  <c r="GJ271" i="2" s="1"/>
  <c r="DH276" i="2"/>
  <c r="DG276" i="2"/>
  <c r="BP277" i="2"/>
  <c r="T283" i="2"/>
  <c r="GT288" i="2"/>
  <c r="FP299" i="2"/>
  <c r="FO299" i="2"/>
  <c r="GJ299" i="2" s="1"/>
  <c r="FN299" i="2"/>
  <c r="EV235" i="2"/>
  <c r="CW268" i="2"/>
  <c r="EV268" i="2"/>
  <c r="CW269" i="2"/>
  <c r="EV269" i="2"/>
  <c r="CW270" i="2"/>
  <c r="EV270" i="2"/>
  <c r="CW271" i="2"/>
  <c r="EV271" i="2"/>
  <c r="CW272" i="2"/>
  <c r="EV272" i="2"/>
  <c r="FQ274" i="2"/>
  <c r="Y287" i="2"/>
  <c r="AB287" i="2" s="1"/>
  <c r="X287" i="2"/>
  <c r="GU288" i="2"/>
  <c r="GT297" i="2"/>
  <c r="GA278" i="2"/>
  <c r="FZ278" i="2"/>
  <c r="Y280" i="2"/>
  <c r="AB280" i="2" s="1"/>
  <c r="X280" i="2"/>
  <c r="T287" i="2"/>
  <c r="DU288" i="2"/>
  <c r="DO288" i="2"/>
  <c r="Y302" i="2"/>
  <c r="AB302" i="2" s="1"/>
  <c r="X302" i="2"/>
  <c r="FO302" i="2"/>
  <c r="GJ302" i="2" s="1"/>
  <c r="EG305" i="2"/>
  <c r="DV305" i="2"/>
  <c r="DW305" i="2" s="1"/>
  <c r="EI305" i="2"/>
  <c r="DS275" i="2"/>
  <c r="EH275" i="2"/>
  <c r="GU280" i="2"/>
  <c r="Y284" i="2"/>
  <c r="AB284" i="2" s="1"/>
  <c r="X284" i="2"/>
  <c r="GU284" i="2"/>
  <c r="DA268" i="2"/>
  <c r="DB268" i="2" s="1"/>
  <c r="DA269" i="2"/>
  <c r="DB269" i="2" s="1"/>
  <c r="DA270" i="2"/>
  <c r="DB270" i="2" s="1"/>
  <c r="DA271" i="2"/>
  <c r="DB271" i="2" s="1"/>
  <c r="DA272" i="2"/>
  <c r="DB272" i="2" s="1"/>
  <c r="BK273" i="2"/>
  <c r="CL273" i="2" s="1"/>
  <c r="T274" i="2"/>
  <c r="EV275" i="2"/>
  <c r="EY275" i="2"/>
  <c r="GU277" i="2"/>
  <c r="DU280" i="2"/>
  <c r="DO280" i="2"/>
  <c r="T284" i="2"/>
  <c r="DU284" i="2"/>
  <c r="DO284" i="2"/>
  <c r="GA279" i="2"/>
  <c r="FZ279" i="2"/>
  <c r="X274" i="2"/>
  <c r="EX274" i="2"/>
  <c r="GU275" i="2"/>
  <c r="GT276" i="2"/>
  <c r="DU277" i="2"/>
  <c r="DO277" i="2"/>
  <c r="GU281" i="2"/>
  <c r="X235" i="2"/>
  <c r="X268" i="2"/>
  <c r="X269" i="2"/>
  <c r="X270" i="2"/>
  <c r="X271" i="2"/>
  <c r="X272" i="2"/>
  <c r="BK274" i="2"/>
  <c r="CL274" i="2" s="1"/>
  <c r="EY274" i="2"/>
  <c r="EX275" i="2"/>
  <c r="GU276" i="2"/>
  <c r="DU281" i="2"/>
  <c r="DO281" i="2"/>
  <c r="DG268" i="2"/>
  <c r="DG269" i="2"/>
  <c r="DG271" i="2"/>
  <c r="Y281" i="2"/>
  <c r="AB281" i="2" s="1"/>
  <c r="X281" i="2"/>
  <c r="Y285" i="2"/>
  <c r="AB285" i="2" s="1"/>
  <c r="X285" i="2"/>
  <c r="GU285" i="2"/>
  <c r="DU276" i="2"/>
  <c r="DO276" i="2"/>
  <c r="Y278" i="2"/>
  <c r="AB278" i="2" s="1"/>
  <c r="X278" i="2"/>
  <c r="GT278" i="2"/>
  <c r="T281" i="2"/>
  <c r="GT282" i="2"/>
  <c r="T285" i="2"/>
  <c r="DU285" i="2"/>
  <c r="DO285" i="2"/>
  <c r="DG297" i="2"/>
  <c r="DQ275" i="2"/>
  <c r="DR275" i="2" s="1"/>
  <c r="BP278" i="2"/>
  <c r="GU278" i="2"/>
  <c r="GU282" i="2"/>
  <c r="GU287" i="2"/>
  <c r="GT287" i="2"/>
  <c r="BP289" i="2"/>
  <c r="EY277" i="2"/>
  <c r="EY278" i="2"/>
  <c r="EY279" i="2"/>
  <c r="CG280" i="2"/>
  <c r="CI280" i="2" s="1"/>
  <c r="CG281" i="2"/>
  <c r="CI281" i="2" s="1"/>
  <c r="CG282" i="2"/>
  <c r="CI282" i="2" s="1"/>
  <c r="CG283" i="2"/>
  <c r="CI283" i="2" s="1"/>
  <c r="EG289" i="2"/>
  <c r="DV290" i="2"/>
  <c r="DW290" i="2" s="1"/>
  <c r="EI290" i="2"/>
  <c r="EG290" i="2"/>
  <c r="CW288" i="2"/>
  <c r="CR288" i="2"/>
  <c r="DU304" i="2"/>
  <c r="DO304" i="2"/>
  <c r="EY326" i="2"/>
  <c r="EX326" i="2"/>
  <c r="EV326" i="2"/>
  <c r="FQ326" i="2"/>
  <c r="DG287" i="2"/>
  <c r="EI289" i="2"/>
  <c r="DV297" i="2"/>
  <c r="DW297" i="2" s="1"/>
  <c r="EI297" i="2"/>
  <c r="BP303" i="2"/>
  <c r="GU304" i="2"/>
  <c r="DA288" i="2"/>
  <c r="DB288" i="2" s="1"/>
  <c r="EX293" i="2"/>
  <c r="FQ293" i="2"/>
  <c r="FW293" i="2" s="1"/>
  <c r="FX293" i="2" s="1" a="1"/>
  <c r="FX293" i="2" s="1"/>
  <c r="EV293" i="2"/>
  <c r="CH318" i="2"/>
  <c r="DG277" i="2"/>
  <c r="DG278" i="2"/>
  <c r="DG279" i="2"/>
  <c r="BK280" i="2"/>
  <c r="CL280" i="2" s="1"/>
  <c r="BK281" i="2"/>
  <c r="CL281" i="2" s="1"/>
  <c r="BK282" i="2"/>
  <c r="CL282" i="2" s="1"/>
  <c r="BK283" i="2"/>
  <c r="CL283" i="2" s="1"/>
  <c r="BK284" i="2"/>
  <c r="CL284" i="2" s="1"/>
  <c r="BK285" i="2"/>
  <c r="CL285" i="2" s="1"/>
  <c r="BK286" i="2"/>
  <c r="CL286" i="2" s="1"/>
  <c r="BK287" i="2"/>
  <c r="CL287" i="2" s="1"/>
  <c r="DO287" i="2"/>
  <c r="GA287" i="2"/>
  <c r="DG289" i="2"/>
  <c r="GT289" i="2"/>
  <c r="EV266" i="2"/>
  <c r="T293" i="2"/>
  <c r="GT298" i="2"/>
  <c r="BK276" i="2"/>
  <c r="CL276" i="2" s="1"/>
  <c r="BK277" i="2"/>
  <c r="CL277" i="2" s="1"/>
  <c r="BK278" i="2"/>
  <c r="CL278" i="2" s="1"/>
  <c r="BK279" i="2"/>
  <c r="CL279" i="2" s="1"/>
  <c r="GA288" i="2"/>
  <c r="DO290" i="2"/>
  <c r="GA290" i="2"/>
  <c r="FZ290" i="2"/>
  <c r="T291" i="2"/>
  <c r="BM291" i="2"/>
  <c r="BN291" i="2" s="1"/>
  <c r="GU291" i="2"/>
  <c r="EG297" i="2"/>
  <c r="DG298" i="2"/>
  <c r="DO278" i="2"/>
  <c r="DO279" i="2"/>
  <c r="DO289" i="2"/>
  <c r="DV291" i="2"/>
  <c r="DW291" i="2" s="1"/>
  <c r="EI291" i="2"/>
  <c r="EG291" i="2"/>
  <c r="EY293" i="2"/>
  <c r="CG288" i="2"/>
  <c r="CI288" i="2" s="1"/>
  <c r="Y291" i="2"/>
  <c r="AB291" i="2" s="1"/>
  <c r="EG300" i="2"/>
  <c r="EI300" i="2"/>
  <c r="DV300" i="2"/>
  <c r="DW300" i="2" s="1"/>
  <c r="GA304" i="2"/>
  <c r="FZ304" i="2"/>
  <c r="GT296" i="2"/>
  <c r="DV298" i="2"/>
  <c r="DW298" i="2" s="1"/>
  <c r="EI298" i="2"/>
  <c r="DU264" i="2"/>
  <c r="DO264" i="2"/>
  <c r="FO266" i="2"/>
  <c r="GJ266" i="2" s="1"/>
  <c r="Y266" i="2"/>
  <c r="AB266" i="2" s="1"/>
  <c r="X266" i="2"/>
  <c r="GT293" i="2"/>
  <c r="DO300" i="2"/>
  <c r="FN281" i="2"/>
  <c r="FN284" i="2"/>
  <c r="T288" i="2"/>
  <c r="GU294" i="2"/>
  <c r="FO281" i="2"/>
  <c r="GJ281" i="2" s="1"/>
  <c r="FO284" i="2"/>
  <c r="GJ284" i="2" s="1"/>
  <c r="GA289" i="2"/>
  <c r="FZ289" i="2"/>
  <c r="GA291" i="2"/>
  <c r="FZ291" i="2"/>
  <c r="T266" i="2"/>
  <c r="GU293" i="2"/>
  <c r="EG298" i="2"/>
  <c r="DO301" i="2"/>
  <c r="DU301" i="2"/>
  <c r="EG302" i="2"/>
  <c r="DV302" i="2"/>
  <c r="DW302" i="2" s="1"/>
  <c r="EI302" i="2"/>
  <c r="DU306" i="2"/>
  <c r="DO306" i="2"/>
  <c r="FO277" i="2"/>
  <c r="GJ277" i="2" s="1"/>
  <c r="EV281" i="2"/>
  <c r="EV282" i="2"/>
  <c r="EV283" i="2"/>
  <c r="EV284" i="2"/>
  <c r="EV285" i="2"/>
  <c r="EV286" i="2"/>
  <c r="CW287" i="2"/>
  <c r="X288" i="2"/>
  <c r="DV294" i="2"/>
  <c r="DW294" i="2" s="1"/>
  <c r="EI294" i="2"/>
  <c r="EG294" i="2"/>
  <c r="GT299" i="2"/>
  <c r="T290" i="2"/>
  <c r="DV293" i="2"/>
  <c r="DW293" i="2" s="1"/>
  <c r="EI293" i="2"/>
  <c r="EG293" i="2"/>
  <c r="BK299" i="2"/>
  <c r="CL299" i="2" s="1"/>
  <c r="GU302" i="2"/>
  <c r="X293" i="2"/>
  <c r="X294" i="2"/>
  <c r="DO297" i="2"/>
  <c r="DO298" i="2"/>
  <c r="EX300" i="2"/>
  <c r="GA303" i="2"/>
  <c r="FZ303" i="2"/>
  <c r="DO305" i="2"/>
  <c r="GT305" i="2"/>
  <c r="DO309" i="2"/>
  <c r="CH320" i="2"/>
  <c r="Y293" i="2"/>
  <c r="AB293" i="2" s="1"/>
  <c r="Y294" i="2"/>
  <c r="AB294" i="2" s="1"/>
  <c r="BP305" i="2"/>
  <c r="EG309" i="2"/>
  <c r="DV309" i="2"/>
  <c r="DW309" i="2" s="1"/>
  <c r="GT364" i="2"/>
  <c r="DU336" i="2"/>
  <c r="DO336" i="2"/>
  <c r="GT336" i="2"/>
  <c r="EY302" i="2"/>
  <c r="FQ302" i="2"/>
  <c r="FW302" i="2" s="1"/>
  <c r="FX302" i="2" s="1" a="1"/>
  <c r="FX302" i="2" s="1"/>
  <c r="EV302" i="2"/>
  <c r="GA306" i="2"/>
  <c r="FZ306" i="2"/>
  <c r="BK266" i="2"/>
  <c r="CL266" i="2" s="1"/>
  <c r="DO293" i="2"/>
  <c r="DO294" i="2"/>
  <c r="BP296" i="2"/>
  <c r="CR296" i="2"/>
  <c r="BP297" i="2"/>
  <c r="CR297" i="2"/>
  <c r="BP298" i="2"/>
  <c r="CR298" i="2"/>
  <c r="BP299" i="2"/>
  <c r="CR299" i="2"/>
  <c r="BP307" i="2"/>
  <c r="GT310" i="2"/>
  <c r="GT301" i="2"/>
  <c r="BP304" i="2"/>
  <c r="GU310" i="2"/>
  <c r="EH364" i="2"/>
  <c r="EC364" i="2"/>
  <c r="DY364" i="2"/>
  <c r="DZ364" i="2" s="1"/>
  <c r="EA364" i="2" s="1"/>
  <c r="DS364" i="2"/>
  <c r="DH302" i="2"/>
  <c r="DG302" i="2"/>
  <c r="DO310" i="2"/>
  <c r="EC312" i="2"/>
  <c r="DS312" i="2"/>
  <c r="DQ312" i="2"/>
  <c r="DR312" i="2" s="1"/>
  <c r="EH312" i="2"/>
  <c r="DY312" i="2"/>
  <c r="DZ312" i="2" s="1"/>
  <c r="EA312" i="2" s="1"/>
  <c r="GU315" i="2"/>
  <c r="GT315" i="2"/>
  <c r="DO302" i="2"/>
  <c r="EX302" i="2"/>
  <c r="GT304" i="2"/>
  <c r="EG310" i="2"/>
  <c r="DV310" i="2"/>
  <c r="DW310" i="2" s="1"/>
  <c r="CR290" i="2"/>
  <c r="CR291" i="2"/>
  <c r="CR266" i="2"/>
  <c r="CW296" i="2"/>
  <c r="EV296" i="2"/>
  <c r="CW297" i="2"/>
  <c r="EV297" i="2"/>
  <c r="CW298" i="2"/>
  <c r="EV298" i="2"/>
  <c r="CW299" i="2"/>
  <c r="BP300" i="2"/>
  <c r="FZ302" i="2"/>
  <c r="GU307" i="2"/>
  <c r="GT264" i="2"/>
  <c r="BM314" i="2"/>
  <c r="BN314" i="2" s="1"/>
  <c r="BK314" i="2"/>
  <c r="CL314" i="2" s="1"/>
  <c r="AA317" i="2"/>
  <c r="FQ296" i="2"/>
  <c r="FW296" i="2" s="1"/>
  <c r="FX296" i="2" s="1" a="1"/>
  <c r="FX296" i="2" s="1"/>
  <c r="FQ297" i="2"/>
  <c r="FQ298" i="2"/>
  <c r="CG300" i="2"/>
  <c r="CI300" i="2" s="1"/>
  <c r="DA300" i="2"/>
  <c r="DB300" i="2" s="1"/>
  <c r="EY301" i="2"/>
  <c r="FQ301" i="2"/>
  <c r="EV301" i="2"/>
  <c r="T312" i="2"/>
  <c r="Y314" i="2"/>
  <c r="AB314" i="2" s="1"/>
  <c r="X314" i="2"/>
  <c r="FN289" i="2"/>
  <c r="EX296" i="2"/>
  <c r="EX297" i="2"/>
  <c r="EX298" i="2"/>
  <c r="GT300" i="2"/>
  <c r="GA305" i="2"/>
  <c r="FZ305" i="2"/>
  <c r="GT306" i="2"/>
  <c r="DH329" i="2"/>
  <c r="DG329" i="2"/>
  <c r="FO289" i="2"/>
  <c r="GJ289" i="2" s="1"/>
  <c r="EV294" i="2"/>
  <c r="DA296" i="2"/>
  <c r="DB296" i="2" s="1"/>
  <c r="DA297" i="2"/>
  <c r="DB297" i="2" s="1"/>
  <c r="DA298" i="2"/>
  <c r="DB298" i="2" s="1"/>
  <c r="DA299" i="2"/>
  <c r="DB299" i="2" s="1"/>
  <c r="GA307" i="2"/>
  <c r="FZ307" i="2"/>
  <c r="EI310" i="2"/>
  <c r="FQ294" i="2"/>
  <c r="CW300" i="2"/>
  <c r="EY300" i="2"/>
  <c r="EV300" i="2"/>
  <c r="DH301" i="2"/>
  <c r="DG301" i="2"/>
  <c r="X303" i="2"/>
  <c r="BP306" i="2"/>
  <c r="BP264" i="2"/>
  <c r="DQ364" i="2"/>
  <c r="DR364" i="2" s="1"/>
  <c r="EX301" i="2"/>
  <c r="EY303" i="2"/>
  <c r="FQ303" i="2"/>
  <c r="FW303" i="2" s="1"/>
  <c r="FX303" i="2" s="1" a="1"/>
  <c r="FX303" i="2" s="1"/>
  <c r="EV303" i="2"/>
  <c r="GU264" i="2"/>
  <c r="CH327" i="2"/>
  <c r="EX364" i="2"/>
  <c r="FQ364" i="2"/>
  <c r="FW364" i="2" s="1"/>
  <c r="FX364" i="2" s="1" a="1"/>
  <c r="FX364" i="2" s="1"/>
  <c r="CR315" i="2"/>
  <c r="CG315" i="2"/>
  <c r="CI315" i="2" s="1"/>
  <c r="DA315" i="2"/>
  <c r="DB315" i="2" s="1"/>
  <c r="CW315" i="2"/>
  <c r="DQ315" i="2"/>
  <c r="DR315" i="2" s="1"/>
  <c r="EH315" i="2"/>
  <c r="EC315" i="2"/>
  <c r="DY315" i="2"/>
  <c r="DZ315" i="2" s="1"/>
  <c r="EA315" i="2" s="1"/>
  <c r="FZ264" i="2"/>
  <c r="BP309" i="2"/>
  <c r="FZ309" i="2"/>
  <c r="BP310" i="2"/>
  <c r="FZ310" i="2"/>
  <c r="BP364" i="2"/>
  <c r="BM312" i="2"/>
  <c r="BN312" i="2" s="1"/>
  <c r="DU315" i="2"/>
  <c r="DH324" i="2"/>
  <c r="DG324" i="2"/>
  <c r="CH325" i="2"/>
  <c r="DU364" i="2"/>
  <c r="CR314" i="2"/>
  <c r="CG314" i="2"/>
  <c r="CI314" i="2" s="1"/>
  <c r="DA314" i="2"/>
  <c r="DB314" i="2" s="1"/>
  <c r="CW314" i="2"/>
  <c r="CH315" i="2"/>
  <c r="CR317" i="2"/>
  <c r="CG317" i="2"/>
  <c r="CI317" i="2" s="1"/>
  <c r="DA317" i="2"/>
  <c r="DB317" i="2" s="1"/>
  <c r="CW317" i="2"/>
  <c r="DQ317" i="2"/>
  <c r="DR317" i="2" s="1"/>
  <c r="EH317" i="2"/>
  <c r="EC317" i="2"/>
  <c r="DY317" i="2"/>
  <c r="DZ317" i="2" s="1"/>
  <c r="EA317" i="2" s="1"/>
  <c r="AA319" i="2"/>
  <c r="Y323" i="2"/>
  <c r="AB323" i="2" s="1"/>
  <c r="X323" i="2"/>
  <c r="DS325" i="2"/>
  <c r="DQ325" i="2"/>
  <c r="DR325" i="2" s="1"/>
  <c r="EH325" i="2"/>
  <c r="EC325" i="2"/>
  <c r="DQ319" i="2"/>
  <c r="DR319" i="2" s="1"/>
  <c r="EH319" i="2"/>
  <c r="EC319" i="2"/>
  <c r="DY319" i="2"/>
  <c r="DZ319" i="2" s="1"/>
  <c r="EA319" i="2" s="1"/>
  <c r="GU321" i="2"/>
  <c r="DY325" i="2"/>
  <c r="DZ325" i="2" s="1"/>
  <c r="EA325" i="2" s="1"/>
  <c r="CG332" i="2"/>
  <c r="CI332" i="2" s="1"/>
  <c r="DA332" i="2"/>
  <c r="DB332" i="2" s="1"/>
  <c r="CW332" i="2"/>
  <c r="CR332" i="2"/>
  <c r="EV364" i="2"/>
  <c r="CG312" i="2"/>
  <c r="CI312" i="2" s="1"/>
  <c r="DA312" i="2"/>
  <c r="DB312" i="2" s="1"/>
  <c r="CW312" i="2"/>
  <c r="CH314" i="2"/>
  <c r="CH317" i="2"/>
  <c r="DQ321" i="2"/>
  <c r="DR321" i="2" s="1"/>
  <c r="EH321" i="2"/>
  <c r="EC321" i="2"/>
  <c r="DY321" i="2"/>
  <c r="DZ321" i="2" s="1"/>
  <c r="EA321" i="2" s="1"/>
  <c r="GU326" i="2"/>
  <c r="GT326" i="2"/>
  <c r="CW301" i="2"/>
  <c r="CW302" i="2"/>
  <c r="CW303" i="2"/>
  <c r="CW304" i="2"/>
  <c r="EV304" i="2"/>
  <c r="CW305" i="2"/>
  <c r="EV305" i="2"/>
  <c r="CW306" i="2"/>
  <c r="EV306" i="2"/>
  <c r="CW307" i="2"/>
  <c r="EV307" i="2"/>
  <c r="CW264" i="2"/>
  <c r="EV264" i="2"/>
  <c r="CW309" i="2"/>
  <c r="EV309" i="2"/>
  <c r="CW310" i="2"/>
  <c r="EV310" i="2"/>
  <c r="GT317" i="2"/>
  <c r="CR319" i="2"/>
  <c r="CG319" i="2"/>
  <c r="CI319" i="2" s="1"/>
  <c r="DA319" i="2"/>
  <c r="DB319" i="2" s="1"/>
  <c r="CW319" i="2"/>
  <c r="DU319" i="2"/>
  <c r="FO319" i="2"/>
  <c r="GJ319" i="2" s="1"/>
  <c r="CR321" i="2"/>
  <c r="CG321" i="2"/>
  <c r="CI321" i="2" s="1"/>
  <c r="DA321" i="2"/>
  <c r="DB321" i="2" s="1"/>
  <c r="CW321" i="2"/>
  <c r="GT325" i="2"/>
  <c r="DO326" i="2"/>
  <c r="DU326" i="2"/>
  <c r="DO327" i="2"/>
  <c r="DU327" i="2"/>
  <c r="GT327" i="2"/>
  <c r="BP329" i="2"/>
  <c r="DO335" i="2"/>
  <c r="DU335" i="2"/>
  <c r="FQ304" i="2"/>
  <c r="FW304" i="2" s="1"/>
  <c r="FX304" i="2" s="1" a="1"/>
  <c r="FX304" i="2" s="1"/>
  <c r="FQ305" i="2"/>
  <c r="FW305" i="2" s="1"/>
  <c r="FX305" i="2" s="1" a="1"/>
  <c r="FX305" i="2" s="1"/>
  <c r="FQ306" i="2"/>
  <c r="FW306" i="2" s="1"/>
  <c r="FX306" i="2" s="1" a="1"/>
  <c r="FX306" i="2" s="1"/>
  <c r="FQ307" i="2"/>
  <c r="FW307" i="2" s="1"/>
  <c r="FX307" i="2" s="1" a="1"/>
  <c r="FX307" i="2" s="1"/>
  <c r="FQ264" i="2"/>
  <c r="FW264" i="2" s="1"/>
  <c r="FX264" i="2" s="1" a="1"/>
  <c r="FX264" i="2" s="1"/>
  <c r="FQ309" i="2"/>
  <c r="FW309" i="2" s="1"/>
  <c r="FX309" i="2" s="1" a="1"/>
  <c r="FX309" i="2" s="1"/>
  <c r="FQ310" i="2"/>
  <c r="FW310" i="2" s="1"/>
  <c r="FX310" i="2" s="1" a="1"/>
  <c r="FX310" i="2" s="1"/>
  <c r="EY364" i="2"/>
  <c r="EY312" i="2"/>
  <c r="EV312" i="2"/>
  <c r="DQ314" i="2"/>
  <c r="DR314" i="2" s="1"/>
  <c r="EH314" i="2"/>
  <c r="EC314" i="2"/>
  <c r="GT319" i="2"/>
  <c r="GH264" i="2"/>
  <c r="GT312" i="2"/>
  <c r="CH319" i="2"/>
  <c r="CH321" i="2"/>
  <c r="EY322" i="2"/>
  <c r="EX322" i="2"/>
  <c r="EV322" i="2"/>
  <c r="FQ322" i="2"/>
  <c r="FW322" i="2" s="1"/>
  <c r="FX322" i="2" s="1" a="1"/>
  <c r="FX322" i="2" s="1"/>
  <c r="DA301" i="2"/>
  <c r="DB301" i="2" s="1"/>
  <c r="DA302" i="2"/>
  <c r="DB302" i="2" s="1"/>
  <c r="DA303" i="2"/>
  <c r="DB303" i="2" s="1"/>
  <c r="DA304" i="2"/>
  <c r="DB304" i="2" s="1"/>
  <c r="DA305" i="2"/>
  <c r="DB305" i="2" s="1"/>
  <c r="DA306" i="2"/>
  <c r="DB306" i="2" s="1"/>
  <c r="DA307" i="2"/>
  <c r="DB307" i="2" s="1"/>
  <c r="DA264" i="2"/>
  <c r="DB264" i="2" s="1"/>
  <c r="DA309" i="2"/>
  <c r="DB309" i="2" s="1"/>
  <c r="DA310" i="2"/>
  <c r="DB310" i="2" s="1"/>
  <c r="DG312" i="2"/>
  <c r="DQ316" i="2"/>
  <c r="DR316" i="2" s="1"/>
  <c r="EH316" i="2"/>
  <c r="EC316" i="2"/>
  <c r="DY316" i="2"/>
  <c r="DZ316" i="2" s="1"/>
  <c r="EA316" i="2" s="1"/>
  <c r="GT324" i="2"/>
  <c r="DO329" i="2"/>
  <c r="DU329" i="2"/>
  <c r="GT329" i="2"/>
  <c r="EY331" i="2"/>
  <c r="EX331" i="2"/>
  <c r="FQ331" i="2"/>
  <c r="EV331" i="2"/>
  <c r="T364" i="2"/>
  <c r="U364" i="2" s="1"/>
  <c r="GT314" i="2"/>
  <c r="DS316" i="2"/>
  <c r="BK322" i="2"/>
  <c r="CL322" i="2" s="1"/>
  <c r="GU323" i="2"/>
  <c r="CR316" i="2"/>
  <c r="CG316" i="2"/>
  <c r="CI316" i="2" s="1"/>
  <c r="DA316" i="2"/>
  <c r="DB316" i="2" s="1"/>
  <c r="CW316" i="2"/>
  <c r="DU316" i="2"/>
  <c r="AA320" i="2"/>
  <c r="X305" i="2"/>
  <c r="X306" i="2"/>
  <c r="X307" i="2"/>
  <c r="X264" i="2"/>
  <c r="X309" i="2"/>
  <c r="X310" i="2"/>
  <c r="X364" i="2"/>
  <c r="GT316" i="2"/>
  <c r="DQ318" i="2"/>
  <c r="DR318" i="2" s="1"/>
  <c r="EH318" i="2"/>
  <c r="EC318" i="2"/>
  <c r="DY318" i="2"/>
  <c r="DZ318" i="2" s="1"/>
  <c r="EA318" i="2" s="1"/>
  <c r="DQ320" i="2"/>
  <c r="DR320" i="2" s="1"/>
  <c r="EH320" i="2"/>
  <c r="EC320" i="2"/>
  <c r="DY320" i="2"/>
  <c r="DZ320" i="2" s="1"/>
  <c r="EA320" i="2" s="1"/>
  <c r="EY328" i="2"/>
  <c r="EX328" i="2"/>
  <c r="EV328" i="2"/>
  <c r="FQ328" i="2"/>
  <c r="CH333" i="2"/>
  <c r="DG304" i="2"/>
  <c r="DG305" i="2"/>
  <c r="DG306" i="2"/>
  <c r="DG307" i="2"/>
  <c r="DG264" i="2"/>
  <c r="DG309" i="2"/>
  <c r="DG310" i="2"/>
  <c r="Y364" i="2"/>
  <c r="AB364" i="2" s="1"/>
  <c r="CH316" i="2"/>
  <c r="CR318" i="2"/>
  <c r="CG318" i="2"/>
  <c r="CI318" i="2" s="1"/>
  <c r="DA318" i="2"/>
  <c r="DB318" i="2" s="1"/>
  <c r="CW318" i="2"/>
  <c r="DU318" i="2"/>
  <c r="DS320" i="2"/>
  <c r="AA322" i="2"/>
  <c r="CH326" i="2"/>
  <c r="AA315" i="2"/>
  <c r="BM315" i="2"/>
  <c r="BN315" i="2" s="1"/>
  <c r="BK315" i="2"/>
  <c r="CL315" i="2" s="1"/>
  <c r="CR320" i="2"/>
  <c r="CG320" i="2"/>
  <c r="CI320" i="2" s="1"/>
  <c r="DA320" i="2"/>
  <c r="DB320" i="2" s="1"/>
  <c r="CW320" i="2"/>
  <c r="DU320" i="2"/>
  <c r="FZ324" i="2"/>
  <c r="EV314" i="2"/>
  <c r="EV315" i="2"/>
  <c r="EV316" i="2"/>
  <c r="CR322" i="2"/>
  <c r="EG324" i="2"/>
  <c r="DO330" i="2"/>
  <c r="DU330" i="2"/>
  <c r="EY332" i="2"/>
  <c r="EX332" i="2"/>
  <c r="FQ332" i="2"/>
  <c r="EV332" i="2"/>
  <c r="GU339" i="2"/>
  <c r="EG342" i="2"/>
  <c r="DV342" i="2"/>
  <c r="DW342" i="2" s="1"/>
  <c r="EI342" i="2"/>
  <c r="DU344" i="2"/>
  <c r="DO344" i="2"/>
  <c r="CG329" i="2"/>
  <c r="CI329" i="2" s="1"/>
  <c r="DA329" i="2"/>
  <c r="DB329" i="2" s="1"/>
  <c r="CW329" i="2"/>
  <c r="GU335" i="2"/>
  <c r="GT335" i="2"/>
  <c r="EG339" i="2"/>
  <c r="DV339" i="2"/>
  <c r="DW339" i="2" s="1"/>
  <c r="EI339" i="2"/>
  <c r="FZ329" i="2"/>
  <c r="GU331" i="2"/>
  <c r="FQ323" i="2"/>
  <c r="FW323" i="2" s="1"/>
  <c r="FX323" i="2" s="1" a="1"/>
  <c r="FX323" i="2" s="1"/>
  <c r="DG325" i="2"/>
  <c r="GT330" i="2"/>
  <c r="DO331" i="2"/>
  <c r="DU331" i="2"/>
  <c r="EV323" i="2"/>
  <c r="X324" i="2"/>
  <c r="DO332" i="2"/>
  <c r="DU332" i="2"/>
  <c r="GT333" i="2"/>
  <c r="GT334" i="2"/>
  <c r="CW322" i="2"/>
  <c r="EY327" i="2"/>
  <c r="EX327" i="2"/>
  <c r="EV327" i="2"/>
  <c r="GU334" i="2"/>
  <c r="EX323" i="2"/>
  <c r="DH328" i="2"/>
  <c r="DG328" i="2"/>
  <c r="GU328" i="2"/>
  <c r="EY329" i="2"/>
  <c r="EX329" i="2"/>
  <c r="EV329" i="2"/>
  <c r="DU333" i="2"/>
  <c r="DO333" i="2"/>
  <c r="DU334" i="2"/>
  <c r="DO334" i="2"/>
  <c r="GT343" i="2"/>
  <c r="DO328" i="2"/>
  <c r="DU328" i="2"/>
  <c r="CG330" i="2"/>
  <c r="CI330" i="2" s="1"/>
  <c r="DA330" i="2"/>
  <c r="DB330" i="2" s="1"/>
  <c r="CW330" i="2"/>
  <c r="DO339" i="2"/>
  <c r="DU341" i="2"/>
  <c r="DO341" i="2"/>
  <c r="DO342" i="2"/>
  <c r="BK316" i="2"/>
  <c r="CL316" i="2" s="1"/>
  <c r="BK317" i="2"/>
  <c r="CL317" i="2" s="1"/>
  <c r="BK318" i="2"/>
  <c r="CL318" i="2" s="1"/>
  <c r="BK319" i="2"/>
  <c r="CL319" i="2" s="1"/>
  <c r="BK320" i="2"/>
  <c r="CL320" i="2" s="1"/>
  <c r="BK321" i="2"/>
  <c r="CL321" i="2" s="1"/>
  <c r="DV324" i="2"/>
  <c r="DW324" i="2" s="1"/>
  <c r="FQ325" i="2"/>
  <c r="FW325" i="2" s="1"/>
  <c r="FX325" i="2" s="1" a="1"/>
  <c r="FX325" i="2" s="1"/>
  <c r="BK326" i="2"/>
  <c r="CL326" i="2" s="1"/>
  <c r="BP328" i="2"/>
  <c r="FZ331" i="2"/>
  <c r="FP332" i="2"/>
  <c r="FO332" i="2"/>
  <c r="GJ332" i="2" s="1"/>
  <c r="FN332" i="2"/>
  <c r="FN334" i="2"/>
  <c r="DU343" i="2"/>
  <c r="DO343" i="2"/>
  <c r="CG322" i="2"/>
  <c r="CI322" i="2" s="1"/>
  <c r="CG328" i="2"/>
  <c r="CI328" i="2" s="1"/>
  <c r="DA328" i="2"/>
  <c r="DB328" i="2" s="1"/>
  <c r="CW328" i="2"/>
  <c r="CR329" i="2"/>
  <c r="BP331" i="2"/>
  <c r="FO334" i="2"/>
  <c r="GJ334" i="2" s="1"/>
  <c r="DU337" i="2"/>
  <c r="DO337" i="2"/>
  <c r="FN321" i="2"/>
  <c r="DG322" i="2"/>
  <c r="EG322" i="2"/>
  <c r="BP325" i="2"/>
  <c r="EV325" i="2"/>
  <c r="BP327" i="2"/>
  <c r="GT328" i="2"/>
  <c r="EY330" i="2"/>
  <c r="EX330" i="2"/>
  <c r="FQ330" i="2"/>
  <c r="EV330" i="2"/>
  <c r="CG331" i="2"/>
  <c r="CI331" i="2" s="1"/>
  <c r="DA331" i="2"/>
  <c r="DB331" i="2" s="1"/>
  <c r="CW331" i="2"/>
  <c r="DU340" i="2"/>
  <c r="DO340" i="2"/>
  <c r="BP342" i="2"/>
  <c r="FO321" i="2"/>
  <c r="GJ321" i="2" s="1"/>
  <c r="CW324" i="2"/>
  <c r="BP326" i="2"/>
  <c r="CG327" i="2"/>
  <c r="CI327" i="2" s="1"/>
  <c r="DA327" i="2"/>
  <c r="DB327" i="2" s="1"/>
  <c r="DH327" i="2"/>
  <c r="FZ332" i="2"/>
  <c r="EX325" i="2"/>
  <c r="CG326" i="2"/>
  <c r="CI326" i="2" s="1"/>
  <c r="DA326" i="2"/>
  <c r="DB326" i="2" s="1"/>
  <c r="GU329" i="2"/>
  <c r="GA341" i="2"/>
  <c r="FZ341" i="2"/>
  <c r="GT337" i="2"/>
  <c r="GA338" i="2"/>
  <c r="FZ338" i="2"/>
  <c r="BP339" i="2"/>
  <c r="DA347" i="2"/>
  <c r="DB347" i="2" s="1"/>
  <c r="CR347" i="2"/>
  <c r="CG347" i="2"/>
  <c r="CI347" i="2" s="1"/>
  <c r="CW347" i="2"/>
  <c r="GT340" i="2"/>
  <c r="BP343" i="2"/>
  <c r="GT344" i="2"/>
  <c r="BP334" i="2"/>
  <c r="GU340" i="2"/>
  <c r="GA342" i="2"/>
  <c r="FZ342" i="2"/>
  <c r="GU344" i="2"/>
  <c r="EY333" i="2"/>
  <c r="FQ333" i="2"/>
  <c r="FW333" i="2" s="1"/>
  <c r="FX333" i="2" s="1" a="1"/>
  <c r="FX333" i="2" s="1"/>
  <c r="EV333" i="2"/>
  <c r="CG334" i="2"/>
  <c r="CI334" i="2" s="1"/>
  <c r="DA334" i="2"/>
  <c r="DB334" i="2" s="1"/>
  <c r="CW334" i="2"/>
  <c r="CR334" i="2"/>
  <c r="DH334" i="2"/>
  <c r="DG334" i="2"/>
  <c r="GU345" i="2"/>
  <c r="BP337" i="2"/>
  <c r="DU345" i="2"/>
  <c r="DO345" i="2"/>
  <c r="CG337" i="2"/>
  <c r="CI337" i="2" s="1"/>
  <c r="DA337" i="2"/>
  <c r="DB337" i="2" s="1"/>
  <c r="CW337" i="2"/>
  <c r="CR337" i="2"/>
  <c r="GA339" i="2"/>
  <c r="FZ339" i="2"/>
  <c r="BP340" i="2"/>
  <c r="BP344" i="2"/>
  <c r="X333" i="2"/>
  <c r="GT341" i="2"/>
  <c r="GA343" i="2"/>
  <c r="FZ343" i="2"/>
  <c r="AA355" i="2"/>
  <c r="BP336" i="2"/>
  <c r="GU341" i="2"/>
  <c r="T355" i="2"/>
  <c r="DG330" i="2"/>
  <c r="DG331" i="2"/>
  <c r="DG332" i="2"/>
  <c r="EX333" i="2"/>
  <c r="CG336" i="2"/>
  <c r="CI336" i="2" s="1"/>
  <c r="DA336" i="2"/>
  <c r="DB336" i="2" s="1"/>
  <c r="CW336" i="2"/>
  <c r="CR336" i="2"/>
  <c r="GU338" i="2"/>
  <c r="BP345" i="2"/>
  <c r="DU347" i="2"/>
  <c r="DO347" i="2"/>
  <c r="BP335" i="2"/>
  <c r="GT342" i="2"/>
  <c r="DA345" i="2"/>
  <c r="DB345" i="2" s="1"/>
  <c r="CR345" i="2"/>
  <c r="CG345" i="2"/>
  <c r="CI345" i="2" s="1"/>
  <c r="CW345" i="2"/>
  <c r="DG346" i="2"/>
  <c r="GU346" i="2"/>
  <c r="BP333" i="2"/>
  <c r="CG335" i="2"/>
  <c r="CI335" i="2" s="1"/>
  <c r="DA335" i="2"/>
  <c r="DB335" i="2" s="1"/>
  <c r="CW335" i="2"/>
  <c r="CR335" i="2"/>
  <c r="GA337" i="2"/>
  <c r="FZ337" i="2"/>
  <c r="BP338" i="2"/>
  <c r="GA340" i="2"/>
  <c r="FZ340" i="2"/>
  <c r="BP341" i="2"/>
  <c r="GU342" i="2"/>
  <c r="GA344" i="2"/>
  <c r="FZ344" i="2"/>
  <c r="GT347" i="2"/>
  <c r="DA333" i="2"/>
  <c r="DB333" i="2" s="1"/>
  <c r="CW333" i="2"/>
  <c r="GA345" i="2"/>
  <c r="FZ345" i="2"/>
  <c r="CR338" i="2"/>
  <c r="CR339" i="2"/>
  <c r="CR340" i="2"/>
  <c r="CR341" i="2"/>
  <c r="CR342" i="2"/>
  <c r="CR343" i="2"/>
  <c r="CR344" i="2"/>
  <c r="AB354" i="2"/>
  <c r="EX361" i="2"/>
  <c r="EY361" i="2"/>
  <c r="EV361" i="2"/>
  <c r="FQ361" i="2"/>
  <c r="FW361" i="2" s="1"/>
  <c r="FX361" i="2" s="1" a="1"/>
  <c r="FX361" i="2" s="1"/>
  <c r="FO337" i="2"/>
  <c r="GJ337" i="2" s="1"/>
  <c r="FO338" i="2"/>
  <c r="GJ338" i="2" s="1"/>
  <c r="DQ346" i="2"/>
  <c r="DR346" i="2" s="1"/>
  <c r="DG347" i="2"/>
  <c r="T350" i="2"/>
  <c r="EV334" i="2"/>
  <c r="EV335" i="2"/>
  <c r="EV336" i="2"/>
  <c r="EV337" i="2"/>
  <c r="CW338" i="2"/>
  <c r="EV338" i="2"/>
  <c r="CW339" i="2"/>
  <c r="EV339" i="2"/>
  <c r="CW340" i="2"/>
  <c r="EV340" i="2"/>
  <c r="CW341" i="2"/>
  <c r="EV341" i="2"/>
  <c r="CW342" i="2"/>
  <c r="EV342" i="2"/>
  <c r="CW343" i="2"/>
  <c r="EV343" i="2"/>
  <c r="CW344" i="2"/>
  <c r="EV344" i="2"/>
  <c r="DS346" i="2"/>
  <c r="T352" i="2"/>
  <c r="GU352" i="2"/>
  <c r="BP370" i="2"/>
  <c r="FQ334" i="2"/>
  <c r="FW334" i="2" s="1"/>
  <c r="FX334" i="2" s="1" a="1"/>
  <c r="FX334" i="2" s="1"/>
  <c r="FQ335" i="2"/>
  <c r="FW335" i="2" s="1"/>
  <c r="FX335" i="2" s="1" a="1"/>
  <c r="FX335" i="2" s="1"/>
  <c r="FQ336" i="2"/>
  <c r="FW336" i="2" s="1"/>
  <c r="FX336" i="2" s="1" a="1"/>
  <c r="FX336" i="2" s="1"/>
  <c r="FQ337" i="2"/>
  <c r="FW337" i="2" s="1"/>
  <c r="FX337" i="2" s="1" a="1"/>
  <c r="FX337" i="2" s="1"/>
  <c r="FQ338" i="2"/>
  <c r="FW338" i="2" s="1"/>
  <c r="FX338" i="2" s="1" a="1"/>
  <c r="FX338" i="2" s="1"/>
  <c r="FQ339" i="2"/>
  <c r="FW339" i="2" s="1"/>
  <c r="FX339" i="2" s="1" a="1"/>
  <c r="FX339" i="2" s="1"/>
  <c r="FQ340" i="2"/>
  <c r="FW340" i="2" s="1"/>
  <c r="FX340" i="2" s="1" a="1"/>
  <c r="FX340" i="2" s="1"/>
  <c r="FQ341" i="2"/>
  <c r="FW341" i="2" s="1"/>
  <c r="FX341" i="2" s="1" a="1"/>
  <c r="FX341" i="2" s="1"/>
  <c r="FQ342" i="2"/>
  <c r="FW342" i="2" s="1"/>
  <c r="FX342" i="2" s="1" a="1"/>
  <c r="FX342" i="2" s="1"/>
  <c r="FQ343" i="2"/>
  <c r="FW343" i="2" s="1"/>
  <c r="FX343" i="2" s="1" a="1"/>
  <c r="FX343" i="2" s="1"/>
  <c r="FQ344" i="2"/>
  <c r="FW344" i="2" s="1"/>
  <c r="FX344" i="2" s="1" a="1"/>
  <c r="FX344" i="2" s="1"/>
  <c r="CH345" i="2"/>
  <c r="CH347" i="2"/>
  <c r="T349" i="2"/>
  <c r="GU350" i="2"/>
  <c r="EY353" i="2"/>
  <c r="EX353" i="2"/>
  <c r="EV353" i="2"/>
  <c r="FQ353" i="2"/>
  <c r="FW353" i="2" s="1"/>
  <c r="FX353" i="2" s="1" a="1"/>
  <c r="FX353" i="2" s="1"/>
  <c r="EX334" i="2"/>
  <c r="EX335" i="2"/>
  <c r="EX336" i="2"/>
  <c r="EX337" i="2"/>
  <c r="EX338" i="2"/>
  <c r="EX339" i="2"/>
  <c r="EX340" i="2"/>
  <c r="EX341" i="2"/>
  <c r="EX342" i="2"/>
  <c r="EY354" i="2"/>
  <c r="EX354" i="2"/>
  <c r="EV354" i="2"/>
  <c r="FQ354" i="2"/>
  <c r="DA338" i="2"/>
  <c r="DB338" i="2" s="1"/>
  <c r="DA339" i="2"/>
  <c r="DB339" i="2" s="1"/>
  <c r="DA340" i="2"/>
  <c r="DB340" i="2" s="1"/>
  <c r="DA341" i="2"/>
  <c r="DB341" i="2" s="1"/>
  <c r="DA342" i="2"/>
  <c r="DB342" i="2" s="1"/>
  <c r="DA343" i="2"/>
  <c r="DB343" i="2" s="1"/>
  <c r="DA344" i="2"/>
  <c r="DB344" i="2" s="1"/>
  <c r="EY345" i="2"/>
  <c r="EX345" i="2"/>
  <c r="FQ345" i="2"/>
  <c r="FW345" i="2" s="1"/>
  <c r="FX345" i="2" s="1" a="1"/>
  <c r="FX345" i="2" s="1"/>
  <c r="DA348" i="2"/>
  <c r="DB348" i="2" s="1"/>
  <c r="CR348" i="2"/>
  <c r="DH348" i="2"/>
  <c r="DG348" i="2"/>
  <c r="DY350" i="2"/>
  <c r="DZ350" i="2" s="1"/>
  <c r="EA350" i="2" s="1"/>
  <c r="DS350" i="2"/>
  <c r="DQ350" i="2"/>
  <c r="DR350" i="2" s="1"/>
  <c r="EH350" i="2"/>
  <c r="GU354" i="2"/>
  <c r="BP346" i="2"/>
  <c r="AA348" i="2"/>
  <c r="CH348" i="2"/>
  <c r="EC350" i="2"/>
  <c r="X342" i="2"/>
  <c r="X343" i="2"/>
  <c r="X344" i="2"/>
  <c r="X345" i="2"/>
  <c r="DA346" i="2"/>
  <c r="DB346" i="2" s="1"/>
  <c r="CR346" i="2"/>
  <c r="EC346" i="2"/>
  <c r="CW348" i="2"/>
  <c r="AB353" i="2"/>
  <c r="DG335" i="2"/>
  <c r="DG336" i="2"/>
  <c r="DG337" i="2"/>
  <c r="DG338" i="2"/>
  <c r="DG339" i="2"/>
  <c r="DG340" i="2"/>
  <c r="DG341" i="2"/>
  <c r="DG342" i="2"/>
  <c r="DG343" i="2"/>
  <c r="DG344" i="2"/>
  <c r="BK345" i="2"/>
  <c r="CL345" i="2" s="1"/>
  <c r="EV345" i="2"/>
  <c r="GT348" i="2"/>
  <c r="AB351" i="2"/>
  <c r="T353" i="2"/>
  <c r="GU347" i="2"/>
  <c r="CG348" i="2"/>
  <c r="CI348" i="2" s="1"/>
  <c r="T351" i="2"/>
  <c r="FP354" i="2"/>
  <c r="FN354" i="2"/>
  <c r="DH358" i="2"/>
  <c r="DG358" i="2"/>
  <c r="EH359" i="2"/>
  <c r="EC359" i="2"/>
  <c r="DY359" i="2"/>
  <c r="DZ359" i="2" s="1"/>
  <c r="EA359" i="2" s="1"/>
  <c r="DS359" i="2"/>
  <c r="CH375" i="2"/>
  <c r="FO353" i="2"/>
  <c r="GJ353" i="2" s="1"/>
  <c r="BM355" i="2"/>
  <c r="BN355" i="2" s="1"/>
  <c r="BK355" i="2"/>
  <c r="CL355" i="2" s="1"/>
  <c r="GU360" i="2"/>
  <c r="GU361" i="2"/>
  <c r="Y352" i="2"/>
  <c r="DQ354" i="2"/>
  <c r="DR354" i="2" s="1"/>
  <c r="EX355" i="2"/>
  <c r="EV355" i="2"/>
  <c r="GT357" i="2"/>
  <c r="EH360" i="2"/>
  <c r="EC360" i="2"/>
  <c r="DY360" i="2"/>
  <c r="DZ360" i="2" s="1"/>
  <c r="EA360" i="2" s="1"/>
  <c r="DS360" i="2"/>
  <c r="CR353" i="2"/>
  <c r="DU353" i="2"/>
  <c r="DS354" i="2"/>
  <c r="BP355" i="2"/>
  <c r="GT358" i="2"/>
  <c r="GA359" i="2"/>
  <c r="FZ359" i="2"/>
  <c r="BP360" i="2"/>
  <c r="DQ360" i="2"/>
  <c r="DR360" i="2" s="1"/>
  <c r="CH386" i="2"/>
  <c r="GU365" i="2"/>
  <c r="GT365" i="2"/>
  <c r="BM354" i="2"/>
  <c r="BN354" i="2" s="1"/>
  <c r="BK354" i="2"/>
  <c r="CL354" i="2" s="1"/>
  <c r="CG355" i="2"/>
  <c r="CI355" i="2" s="1"/>
  <c r="CW355" i="2"/>
  <c r="EH355" i="2"/>
  <c r="DY355" i="2"/>
  <c r="DZ355" i="2" s="1"/>
  <c r="EA355" i="2" s="1"/>
  <c r="DU360" i="2"/>
  <c r="BP347" i="2"/>
  <c r="BP348" i="2"/>
  <c r="CR354" i="2"/>
  <c r="DH355" i="2"/>
  <c r="DG355" i="2"/>
  <c r="DO370" i="2"/>
  <c r="DU370" i="2"/>
  <c r="EX357" i="2"/>
  <c r="EV357" i="2"/>
  <c r="BP361" i="2"/>
  <c r="DY353" i="2"/>
  <c r="DZ353" i="2" s="1"/>
  <c r="EA353" i="2" s="1"/>
  <c r="EY355" i="2"/>
  <c r="EX358" i="2"/>
  <c r="EV358" i="2"/>
  <c r="GU358" i="2"/>
  <c r="GA360" i="2"/>
  <c r="FZ360" i="2"/>
  <c r="CW353" i="2"/>
  <c r="DH362" i="2"/>
  <c r="DG362" i="2"/>
  <c r="CH363" i="2"/>
  <c r="FQ346" i="2"/>
  <c r="FW346" i="2" s="1"/>
  <c r="FX346" i="2" s="1" a="1"/>
  <c r="FX346" i="2" s="1"/>
  <c r="FQ347" i="2"/>
  <c r="FW347" i="2" s="1"/>
  <c r="FX347" i="2" s="1" a="1"/>
  <c r="FX347" i="2" s="1"/>
  <c r="FQ348" i="2"/>
  <c r="FW348" i="2" s="1"/>
  <c r="FX348" i="2" s="1" a="1"/>
  <c r="FX348" i="2" s="1"/>
  <c r="EV349" i="2"/>
  <c r="EV350" i="2"/>
  <c r="EV351" i="2"/>
  <c r="EV352" i="2"/>
  <c r="DA353" i="2"/>
  <c r="DB353" i="2" s="1"/>
  <c r="EC354" i="2"/>
  <c r="FZ354" i="2"/>
  <c r="DU355" i="2"/>
  <c r="CG357" i="2"/>
  <c r="CI357" i="2" s="1"/>
  <c r="DH357" i="2"/>
  <c r="DG357" i="2"/>
  <c r="EY357" i="2"/>
  <c r="FZ357" i="2"/>
  <c r="EX346" i="2"/>
  <c r="EX347" i="2"/>
  <c r="FQ349" i="2"/>
  <c r="FW349" i="2" s="1"/>
  <c r="FX349" i="2" s="1" a="1"/>
  <c r="FX349" i="2" s="1"/>
  <c r="FQ350" i="2"/>
  <c r="FW350" i="2" s="1"/>
  <c r="FX350" i="2" s="1" a="1"/>
  <c r="FX350" i="2" s="1"/>
  <c r="FQ351" i="2"/>
  <c r="FW351" i="2" s="1"/>
  <c r="FX351" i="2" s="1" a="1"/>
  <c r="FX351" i="2" s="1"/>
  <c r="FQ352" i="2"/>
  <c r="FW352" i="2" s="1"/>
  <c r="FX352" i="2" s="1" a="1"/>
  <c r="FX352" i="2" s="1"/>
  <c r="CW354" i="2"/>
  <c r="EY358" i="2"/>
  <c r="FZ358" i="2"/>
  <c r="T359" i="2"/>
  <c r="GT359" i="2"/>
  <c r="DA354" i="2"/>
  <c r="DB354" i="2" s="1"/>
  <c r="T358" i="2"/>
  <c r="DQ359" i="2"/>
  <c r="DR359" i="2" s="1"/>
  <c r="CW370" i="2"/>
  <c r="CR370" i="2"/>
  <c r="T365" i="2"/>
  <c r="T368" i="2"/>
  <c r="EC373" i="2"/>
  <c r="DY373" i="2"/>
  <c r="DZ373" i="2" s="1"/>
  <c r="EA373" i="2" s="1"/>
  <c r="DS373" i="2"/>
  <c r="DQ373" i="2"/>
  <c r="DR373" i="2" s="1"/>
  <c r="GU369" i="2"/>
  <c r="EH365" i="2"/>
  <c r="DY365" i="2"/>
  <c r="DZ365" i="2" s="1"/>
  <c r="EA365" i="2" s="1"/>
  <c r="BP366" i="2"/>
  <c r="T367" i="2"/>
  <c r="CW369" i="2"/>
  <c r="CR369" i="2"/>
  <c r="CW357" i="2"/>
  <c r="CW358" i="2"/>
  <c r="CW359" i="2"/>
  <c r="EV359" i="2"/>
  <c r="CW360" i="2"/>
  <c r="EV360" i="2"/>
  <c r="CW361" i="2"/>
  <c r="DQ386" i="2"/>
  <c r="DR386" i="2" s="1"/>
  <c r="FQ386" i="2"/>
  <c r="FW386" i="2" s="1"/>
  <c r="FX386" i="2" s="1" a="1"/>
  <c r="FX386" i="2" s="1"/>
  <c r="DO369" i="2"/>
  <c r="DU369" i="2"/>
  <c r="GA370" i="2"/>
  <c r="AA371" i="2"/>
  <c r="BM371" i="2"/>
  <c r="BN371" i="2" s="1"/>
  <c r="FQ362" i="2"/>
  <c r="FW362" i="2" s="1"/>
  <c r="FX362" i="2" s="1" a="1"/>
  <c r="FX362" i="2" s="1"/>
  <c r="FQ363" i="2"/>
  <c r="FW363" i="2" s="1"/>
  <c r="FX363" i="2" s="1" a="1"/>
  <c r="FX363" i="2" s="1"/>
  <c r="GU368" i="2"/>
  <c r="CG370" i="2"/>
  <c r="CI370" i="2" s="1"/>
  <c r="Y374" i="2"/>
  <c r="AB374" i="2" s="1"/>
  <c r="X374" i="2"/>
  <c r="CR362" i="2"/>
  <c r="EV362" i="2"/>
  <c r="EV363" i="2"/>
  <c r="EV386" i="2"/>
  <c r="CW368" i="2"/>
  <c r="CR368" i="2"/>
  <c r="CH370" i="2"/>
  <c r="EH386" i="2"/>
  <c r="DY386" i="2"/>
  <c r="DZ386" i="2" s="1"/>
  <c r="EA386" i="2" s="1"/>
  <c r="DO368" i="2"/>
  <c r="DU368" i="2"/>
  <c r="EG371" i="2"/>
  <c r="DV371" i="2"/>
  <c r="DW371" i="2" s="1"/>
  <c r="EI371" i="2"/>
  <c r="DU372" i="2"/>
  <c r="DO372" i="2"/>
  <c r="DV379" i="2"/>
  <c r="DW379" i="2" s="1"/>
  <c r="EI379" i="2"/>
  <c r="EG379" i="2"/>
  <c r="T361" i="2"/>
  <c r="EY362" i="2"/>
  <c r="EY363" i="2"/>
  <c r="EY386" i="2"/>
  <c r="EC365" i="2"/>
  <c r="CW367" i="2"/>
  <c r="CR367" i="2"/>
  <c r="GU367" i="2"/>
  <c r="CG369" i="2"/>
  <c r="CI369" i="2" s="1"/>
  <c r="GA369" i="2"/>
  <c r="Y371" i="2"/>
  <c r="AB371" i="2" s="1"/>
  <c r="BP378" i="2"/>
  <c r="CH369" i="2"/>
  <c r="GU371" i="2"/>
  <c r="DO371" i="2"/>
  <c r="DG359" i="2"/>
  <c r="DG360" i="2"/>
  <c r="DG361" i="2"/>
  <c r="EH362" i="2"/>
  <c r="DY362" i="2"/>
  <c r="DZ362" i="2" s="1"/>
  <c r="EA362" i="2" s="1"/>
  <c r="FZ386" i="2"/>
  <c r="CG368" i="2"/>
  <c r="CI368" i="2" s="1"/>
  <c r="GA368" i="2"/>
  <c r="T370" i="2"/>
  <c r="BK357" i="2"/>
  <c r="CL357" i="2" s="1"/>
  <c r="BK358" i="2"/>
  <c r="CL358" i="2" s="1"/>
  <c r="BK359" i="2"/>
  <c r="CL359" i="2" s="1"/>
  <c r="BK360" i="2"/>
  <c r="CL360" i="2" s="1"/>
  <c r="BK361" i="2"/>
  <c r="CL361" i="2" s="1"/>
  <c r="CW362" i="2"/>
  <c r="EC362" i="2"/>
  <c r="GT370" i="2"/>
  <c r="AA373" i="2"/>
  <c r="BK373" i="2"/>
  <c r="CL373" i="2" s="1"/>
  <c r="BM373" i="2"/>
  <c r="BN373" i="2" s="1"/>
  <c r="EC386" i="2"/>
  <c r="CG367" i="2"/>
  <c r="CI367" i="2" s="1"/>
  <c r="T373" i="2"/>
  <c r="DU376" i="2"/>
  <c r="DO376" i="2"/>
  <c r="GT376" i="2"/>
  <c r="DU229" i="2"/>
  <c r="DO229" i="2"/>
  <c r="EX372" i="2"/>
  <c r="CG378" i="2"/>
  <c r="CI378" i="2" s="1"/>
  <c r="DA378" i="2"/>
  <c r="DB378" i="2" s="1"/>
  <c r="CW378" i="2"/>
  <c r="CR378" i="2"/>
  <c r="GU380" i="2"/>
  <c r="GT380" i="2"/>
  <c r="BP376" i="2"/>
  <c r="CH380" i="2"/>
  <c r="DU380" i="2"/>
  <c r="DO380" i="2"/>
  <c r="EV372" i="2"/>
  <c r="CG376" i="2"/>
  <c r="CI376" i="2" s="1"/>
  <c r="DA376" i="2"/>
  <c r="DB376" i="2" s="1"/>
  <c r="CW376" i="2"/>
  <c r="CR376" i="2"/>
  <c r="DH376" i="2"/>
  <c r="BP379" i="2"/>
  <c r="CG379" i="2"/>
  <c r="CI379" i="2" s="1"/>
  <c r="DA379" i="2"/>
  <c r="DB379" i="2" s="1"/>
  <c r="CW379" i="2"/>
  <c r="CR379" i="2"/>
  <c r="EV366" i="2"/>
  <c r="EV367" i="2"/>
  <c r="EV368" i="2"/>
  <c r="EV369" i="2"/>
  <c r="EV370" i="2"/>
  <c r="EY372" i="2"/>
  <c r="GA376" i="2"/>
  <c r="BP374" i="2"/>
  <c r="CG374" i="2"/>
  <c r="CI374" i="2" s="1"/>
  <c r="DA374" i="2"/>
  <c r="DB374" i="2" s="1"/>
  <c r="CW374" i="2"/>
  <c r="CR374" i="2"/>
  <c r="DH374" i="2"/>
  <c r="DU383" i="2"/>
  <c r="DO383" i="2"/>
  <c r="DU393" i="2"/>
  <c r="DO393" i="2"/>
  <c r="GU375" i="2"/>
  <c r="X377" i="2"/>
  <c r="BP377" i="2"/>
  <c r="GA374" i="2"/>
  <c r="CG377" i="2"/>
  <c r="CI377" i="2" s="1"/>
  <c r="DA377" i="2"/>
  <c r="DB377" i="2" s="1"/>
  <c r="CW377" i="2"/>
  <c r="CR377" i="2"/>
  <c r="GT383" i="2"/>
  <c r="DU391" i="2"/>
  <c r="DO391" i="2"/>
  <c r="GT391" i="2"/>
  <c r="T380" i="2"/>
  <c r="DU384" i="2"/>
  <c r="DO384" i="2"/>
  <c r="GT384" i="2"/>
  <c r="DU389" i="2"/>
  <c r="DO389" i="2"/>
  <c r="GT389" i="2"/>
  <c r="GA379" i="2"/>
  <c r="DU388" i="2"/>
  <c r="DO388" i="2"/>
  <c r="GT388" i="2"/>
  <c r="CG372" i="2"/>
  <c r="CI372" i="2" s="1"/>
  <c r="FO372" i="2"/>
  <c r="GJ372" i="2" s="1"/>
  <c r="GU373" i="2"/>
  <c r="DV374" i="2"/>
  <c r="DW374" i="2" s="1"/>
  <c r="X375" i="2"/>
  <c r="BP375" i="2"/>
  <c r="GA377" i="2"/>
  <c r="GA381" i="2"/>
  <c r="FZ381" i="2"/>
  <c r="DU387" i="2"/>
  <c r="GT387" i="2"/>
  <c r="DO387" i="2"/>
  <c r="EX373" i="2"/>
  <c r="FQ373" i="2"/>
  <c r="FW373" i="2" s="1"/>
  <c r="FX373" i="2" s="1" a="1"/>
  <c r="FX373" i="2" s="1"/>
  <c r="CG375" i="2"/>
  <c r="CI375" i="2" s="1"/>
  <c r="DA375" i="2"/>
  <c r="DB375" i="2" s="1"/>
  <c r="CW375" i="2"/>
  <c r="CR375" i="2"/>
  <c r="DU385" i="2"/>
  <c r="DO385" i="2"/>
  <c r="CG371" i="2"/>
  <c r="CI371" i="2" s="1"/>
  <c r="FQ372" i="2"/>
  <c r="FW372" i="2" s="1"/>
  <c r="FX372" i="2" s="1" a="1"/>
  <c r="FX372" i="2" s="1"/>
  <c r="GT372" i="2"/>
  <c r="DO375" i="2"/>
  <c r="GU376" i="2"/>
  <c r="DV377" i="2"/>
  <c r="DW377" i="2" s="1"/>
  <c r="GU384" i="2"/>
  <c r="GU393" i="2"/>
  <c r="DV394" i="2"/>
  <c r="DW394" i="2" s="1"/>
  <c r="EG394" i="2"/>
  <c r="BP383" i="2"/>
  <c r="EY387" i="2"/>
  <c r="EX387" i="2"/>
  <c r="EV387" i="2"/>
  <c r="EX379" i="2"/>
  <c r="FQ379" i="2"/>
  <c r="FW379" i="2" s="1"/>
  <c r="FX379" i="2" s="1" a="1"/>
  <c r="FX379" i="2" s="1"/>
  <c r="FZ380" i="2"/>
  <c r="T382" i="2"/>
  <c r="BK382" i="2"/>
  <c r="CL382" i="2" s="1"/>
  <c r="CG383" i="2"/>
  <c r="CI383" i="2" s="1"/>
  <c r="DA383" i="2"/>
  <c r="DB383" i="2" s="1"/>
  <c r="CW383" i="2"/>
  <c r="BM388" i="2"/>
  <c r="BN388" i="2" s="1"/>
  <c r="EG382" i="2"/>
  <c r="GU382" i="2"/>
  <c r="EY388" i="2"/>
  <c r="EX388" i="2"/>
  <c r="EV388" i="2"/>
  <c r="BM384" i="2"/>
  <c r="BN384" i="2" s="1"/>
  <c r="CG387" i="2"/>
  <c r="CI387" i="2" s="1"/>
  <c r="DA387" i="2"/>
  <c r="DB387" i="2" s="1"/>
  <c r="CW387" i="2"/>
  <c r="BM389" i="2"/>
  <c r="BN389" i="2" s="1"/>
  <c r="EY389" i="2"/>
  <c r="EX389" i="2"/>
  <c r="EV389" i="2"/>
  <c r="GT393" i="2"/>
  <c r="EI394" i="2"/>
  <c r="EV379" i="2"/>
  <c r="CH381" i="2"/>
  <c r="EX381" i="2"/>
  <c r="FQ381" i="2"/>
  <c r="FW381" i="2" s="1"/>
  <c r="FX381" i="2" s="1" a="1"/>
  <c r="FX381" i="2" s="1"/>
  <c r="EV381" i="2"/>
  <c r="BP382" i="2"/>
  <c r="EY384" i="2"/>
  <c r="EX384" i="2"/>
  <c r="EV384" i="2"/>
  <c r="FP385" i="2"/>
  <c r="FO385" i="2"/>
  <c r="GJ385" i="2" s="1"/>
  <c r="FN385" i="2"/>
  <c r="CG388" i="2"/>
  <c r="CI388" i="2" s="1"/>
  <c r="DA388" i="2"/>
  <c r="DB388" i="2" s="1"/>
  <c r="CW388" i="2"/>
  <c r="BM391" i="2"/>
  <c r="BN391" i="2" s="1"/>
  <c r="EX380" i="2"/>
  <c r="FQ380" i="2"/>
  <c r="FW380" i="2" s="1"/>
  <c r="FX380" i="2" s="1" a="1"/>
  <c r="FX380" i="2" s="1"/>
  <c r="EV380" i="2"/>
  <c r="CG382" i="2"/>
  <c r="CI382" i="2" s="1"/>
  <c r="DA382" i="2"/>
  <c r="DB382" i="2" s="1"/>
  <c r="CW382" i="2"/>
  <c r="EY382" i="2"/>
  <c r="EX382" i="2"/>
  <c r="EV382" i="2"/>
  <c r="AB384" i="2"/>
  <c r="GU385" i="2"/>
  <c r="EY391" i="2"/>
  <c r="EX391" i="2"/>
  <c r="EV391" i="2"/>
  <c r="EY229" i="2"/>
  <c r="EX229" i="2"/>
  <c r="EV229" i="2"/>
  <c r="EY394" i="2"/>
  <c r="EX394" i="2"/>
  <c r="FQ394" i="2"/>
  <c r="EV394" i="2"/>
  <c r="GT382" i="2"/>
  <c r="CG384" i="2"/>
  <c r="CI384" i="2" s="1"/>
  <c r="DA384" i="2"/>
  <c r="DB384" i="2" s="1"/>
  <c r="CW384" i="2"/>
  <c r="CG389" i="2"/>
  <c r="CI389" i="2" s="1"/>
  <c r="DA389" i="2"/>
  <c r="DB389" i="2" s="1"/>
  <c r="CW389" i="2"/>
  <c r="EY393" i="2"/>
  <c r="EX393" i="2"/>
  <c r="EV393" i="2"/>
  <c r="BM394" i="2"/>
  <c r="BN394" i="2" s="1"/>
  <c r="FR382" i="2" a="1"/>
  <c r="FR382" i="2" s="1"/>
  <c r="GU383" i="2"/>
  <c r="GU387" i="2"/>
  <c r="AA393" i="2"/>
  <c r="BM229" i="2"/>
  <c r="BN229" i="2" s="1"/>
  <c r="GU381" i="2"/>
  <c r="FQ387" i="2"/>
  <c r="FW387" i="2" s="1"/>
  <c r="FX387" i="2" s="1" a="1"/>
  <c r="FX387" i="2" s="1"/>
  <c r="CG391" i="2"/>
  <c r="CI391" i="2" s="1"/>
  <c r="DA391" i="2"/>
  <c r="DB391" i="2" s="1"/>
  <c r="CW391" i="2"/>
  <c r="AA394" i="2"/>
  <c r="DO382" i="2"/>
  <c r="BM385" i="2"/>
  <c r="BN385" i="2" s="1"/>
  <c r="GU388" i="2"/>
  <c r="CG393" i="2"/>
  <c r="CI393" i="2" s="1"/>
  <c r="DA393" i="2"/>
  <c r="DB393" i="2" s="1"/>
  <c r="CW393" i="2"/>
  <c r="AA229" i="2"/>
  <c r="EY380" i="2"/>
  <c r="GT385" i="2"/>
  <c r="FQ388" i="2"/>
  <c r="FW388" i="2" s="1"/>
  <c r="FX388" i="2" s="1" a="1"/>
  <c r="FX388" i="2" s="1"/>
  <c r="CG394" i="2"/>
  <c r="CI394" i="2" s="1"/>
  <c r="DA394" i="2"/>
  <c r="DB394" i="2" s="1"/>
  <c r="CW394" i="2"/>
  <c r="CR383" i="2"/>
  <c r="EY385" i="2"/>
  <c r="EX385" i="2"/>
  <c r="EV385" i="2"/>
  <c r="FP389" i="2"/>
  <c r="FO389" i="2"/>
  <c r="GJ389" i="2" s="1"/>
  <c r="FN389" i="2"/>
  <c r="GU389" i="2"/>
  <c r="CG229" i="2"/>
  <c r="CI229" i="2" s="1"/>
  <c r="DA229" i="2"/>
  <c r="DB229" i="2" s="1"/>
  <c r="CW229" i="2"/>
  <c r="DO394" i="2"/>
  <c r="GU394" i="2"/>
  <c r="EY383" i="2"/>
  <c r="EX383" i="2"/>
  <c r="EV383" i="2"/>
  <c r="FP384" i="2"/>
  <c r="FO384" i="2"/>
  <c r="GJ384" i="2" s="1"/>
  <c r="FN384" i="2"/>
  <c r="CG385" i="2"/>
  <c r="CI385" i="2" s="1"/>
  <c r="DA385" i="2"/>
  <c r="DB385" i="2" s="1"/>
  <c r="CW385" i="2"/>
  <c r="CR387" i="2"/>
  <c r="GU391" i="2"/>
  <c r="CG399" i="2"/>
  <c r="CG403" i="2"/>
  <c r="GH393" i="2"/>
  <c r="GH394" i="2"/>
  <c r="FF161" i="2" a="1"/>
  <c r="FO333" i="2" l="1"/>
  <c r="GJ333" i="2" s="1"/>
  <c r="FO89" i="2"/>
  <c r="GJ89" i="2" s="1"/>
  <c r="FN240" i="2"/>
  <c r="FO257" i="2"/>
  <c r="FN257" i="2"/>
  <c r="FO29" i="2"/>
  <c r="GJ29" i="2" s="1"/>
  <c r="FP261" i="2"/>
  <c r="FO261" i="2"/>
  <c r="FN86" i="2"/>
  <c r="FO345" i="2"/>
  <c r="GJ345" i="2" s="1"/>
  <c r="FN345" i="2"/>
  <c r="FP89" i="2"/>
  <c r="FP232" i="2"/>
  <c r="FO365" i="2"/>
  <c r="GJ365" i="2" s="1"/>
  <c r="FN270" i="2"/>
  <c r="FN355" i="2"/>
  <c r="FO369" i="2"/>
  <c r="GJ369" i="2" s="1"/>
  <c r="FO115" i="2"/>
  <c r="GJ115" i="2" s="1"/>
  <c r="FP355" i="2"/>
  <c r="FN369" i="2"/>
  <c r="FO285" i="2"/>
  <c r="GJ285" i="2" s="1"/>
  <c r="FN381" i="2"/>
  <c r="FO42" i="2"/>
  <c r="GJ42" i="2" s="1"/>
  <c r="FN285" i="2"/>
  <c r="FO270" i="2"/>
  <c r="GJ270" i="2" s="1"/>
  <c r="FN365" i="2"/>
  <c r="FO269" i="2"/>
  <c r="GJ269" i="2" s="1"/>
  <c r="FO204" i="2"/>
  <c r="GJ204" i="2" s="1"/>
  <c r="FO346" i="2"/>
  <c r="GJ346" i="2" s="1"/>
  <c r="FP346" i="2"/>
  <c r="FN337" i="2"/>
  <c r="FO294" i="2"/>
  <c r="GJ294" i="2" s="1"/>
  <c r="FP224" i="2"/>
  <c r="FN287" i="2"/>
  <c r="FO146" i="2"/>
  <c r="GJ146" i="2" s="1"/>
  <c r="FO211" i="2"/>
  <c r="GJ211" i="2" s="1"/>
  <c r="FO283" i="2"/>
  <c r="GJ283" i="2" s="1"/>
  <c r="FN196" i="2"/>
  <c r="FP211" i="2"/>
  <c r="FO142" i="2"/>
  <c r="GJ142" i="2" s="1"/>
  <c r="FO364" i="2"/>
  <c r="GJ364" i="2" s="1"/>
  <c r="FO287" i="2"/>
  <c r="GJ287" i="2" s="1"/>
  <c r="FO253" i="2"/>
  <c r="GJ253" i="2" s="1"/>
  <c r="FP364" i="2"/>
  <c r="FO377" i="2"/>
  <c r="GJ377" i="2" s="1"/>
  <c r="FN377" i="2"/>
  <c r="FO224" i="2"/>
  <c r="GJ224" i="2" s="1"/>
  <c r="FO135" i="2"/>
  <c r="GJ135" i="2" s="1"/>
  <c r="FN146" i="2"/>
  <c r="FN294" i="2"/>
  <c r="FN283" i="2"/>
  <c r="FN250" i="2"/>
  <c r="FN142" i="2"/>
  <c r="FP111" i="2"/>
  <c r="FO298" i="2"/>
  <c r="GJ298" i="2" s="1"/>
  <c r="FN298" i="2"/>
  <c r="FO111" i="2"/>
  <c r="GJ111" i="2" s="1"/>
  <c r="FR358" i="2" a="1"/>
  <c r="FR358" i="2" s="1"/>
  <c r="FN370" i="2"/>
  <c r="FP370" i="2"/>
  <c r="FN209" i="2"/>
  <c r="FN367" i="2"/>
  <c r="FO318" i="2"/>
  <c r="GJ318" i="2" s="1"/>
  <c r="FO194" i="2"/>
  <c r="GJ194" i="2" s="1"/>
  <c r="FO209" i="2"/>
  <c r="GJ209" i="2" s="1"/>
  <c r="FO351" i="2"/>
  <c r="GJ351" i="2" s="1"/>
  <c r="FO178" i="2"/>
  <c r="GJ178" i="2" s="1"/>
  <c r="FP367" i="2"/>
  <c r="FO255" i="2"/>
  <c r="GJ255" i="2" s="1"/>
  <c r="FN178" i="2"/>
  <c r="CI235" i="2"/>
  <c r="CM235" i="2" s="1"/>
  <c r="FN215" i="2"/>
  <c r="FN363" i="2"/>
  <c r="FN318" i="2"/>
  <c r="FO40" i="2"/>
  <c r="GJ40" i="2" s="1"/>
  <c r="FO210" i="2"/>
  <c r="GJ210" i="2" s="1"/>
  <c r="FN194" i="2"/>
  <c r="FP210" i="2"/>
  <c r="FO363" i="2"/>
  <c r="GJ363" i="2" s="1"/>
  <c r="FN351" i="2"/>
  <c r="FN40" i="2"/>
  <c r="FR52" i="2" a="1"/>
  <c r="FR52" i="2" s="1"/>
  <c r="FN390" i="2"/>
  <c r="FO244" i="2"/>
  <c r="GT64" i="2"/>
  <c r="CI292" i="2"/>
  <c r="CM292" i="2" s="1"/>
  <c r="FO186" i="2"/>
  <c r="GJ186" i="2" s="1"/>
  <c r="FN182" i="2"/>
  <c r="FN99" i="2"/>
  <c r="FN115" i="2"/>
  <c r="FO232" i="2"/>
  <c r="GJ232" i="2" s="1"/>
  <c r="FN100" i="2"/>
  <c r="FN101" i="2"/>
  <c r="FN82" i="2"/>
  <c r="FO110" i="2"/>
  <c r="GJ110" i="2" s="1"/>
  <c r="FN67" i="2"/>
  <c r="FO82" i="2"/>
  <c r="GJ82" i="2" s="1"/>
  <c r="FO320" i="2"/>
  <c r="GJ320" i="2" s="1"/>
  <c r="FO100" i="2"/>
  <c r="GJ100" i="2" s="1"/>
  <c r="FO316" i="2"/>
  <c r="GJ316" i="2" s="1"/>
  <c r="FN179" i="2"/>
  <c r="FN180" i="2"/>
  <c r="FN383" i="2"/>
  <c r="FO383" i="2"/>
  <c r="GJ383" i="2" s="1"/>
  <c r="FO56" i="2"/>
  <c r="GJ56" i="2" s="1"/>
  <c r="FO136" i="2"/>
  <c r="GJ136" i="2" s="1"/>
  <c r="FP347" i="2"/>
  <c r="FO347" i="2"/>
  <c r="GJ347" i="2" s="1"/>
  <c r="FN366" i="2"/>
  <c r="FN317" i="2"/>
  <c r="FO301" i="2"/>
  <c r="GJ301" i="2" s="1"/>
  <c r="FN316" i="2"/>
  <c r="FN315" i="2"/>
  <c r="FN245" i="2"/>
  <c r="FO315" i="2"/>
  <c r="GJ315" i="2" s="1"/>
  <c r="FN197" i="2"/>
  <c r="FO72" i="2"/>
  <c r="GJ72" i="2" s="1"/>
  <c r="FO268" i="2"/>
  <c r="GJ268" i="2" s="1"/>
  <c r="FN195" i="2"/>
  <c r="FN301" i="2"/>
  <c r="FN81" i="2"/>
  <c r="FN136" i="2"/>
  <c r="FP56" i="2"/>
  <c r="FR133" i="2" a="1"/>
  <c r="FR133" i="2" s="1"/>
  <c r="FN72" i="2"/>
  <c r="FO195" i="2"/>
  <c r="GJ195" i="2" s="1"/>
  <c r="FP81" i="2"/>
  <c r="FO69" i="2"/>
  <c r="GJ69" i="2" s="1"/>
  <c r="FO118" i="2"/>
  <c r="GJ118" i="2" s="1"/>
  <c r="FO66" i="2"/>
  <c r="GJ66" i="2" s="1"/>
  <c r="FF161" i="2"/>
  <c r="FN45" i="2"/>
  <c r="FO16" i="2"/>
  <c r="GJ16" i="2" s="1"/>
  <c r="FN169" i="2"/>
  <c r="FN312" i="2"/>
  <c r="FO280" i="2"/>
  <c r="GJ280" i="2" s="1"/>
  <c r="FN173" i="2"/>
  <c r="FO344" i="2"/>
  <c r="GJ344" i="2" s="1"/>
  <c r="FO155" i="2"/>
  <c r="GJ155" i="2" s="1"/>
  <c r="FO173" i="2"/>
  <c r="GJ173" i="2" s="1"/>
  <c r="FN27" i="2"/>
  <c r="FO343" i="2"/>
  <c r="GJ343" i="2" s="1"/>
  <c r="FO168" i="2"/>
  <c r="GJ168" i="2" s="1"/>
  <c r="FO374" i="2"/>
  <c r="GJ374" i="2" s="1"/>
  <c r="FO27" i="2"/>
  <c r="GJ27" i="2" s="1"/>
  <c r="FN155" i="2"/>
  <c r="FO95" i="2"/>
  <c r="GJ95" i="2" s="1"/>
  <c r="FN95" i="2"/>
  <c r="FO312" i="2"/>
  <c r="GJ312" i="2" s="1"/>
  <c r="FO93" i="2"/>
  <c r="GJ93" i="2" s="1"/>
  <c r="FN93" i="2"/>
  <c r="FN61" i="2"/>
  <c r="FN374" i="2"/>
  <c r="FN280" i="2"/>
  <c r="FO183" i="2"/>
  <c r="GJ183" i="2" s="1"/>
  <c r="FN183" i="2"/>
  <c r="FN238" i="2"/>
  <c r="FO61" i="2"/>
  <c r="GJ61" i="2" s="1"/>
  <c r="FN168" i="2"/>
  <c r="FO275" i="2"/>
  <c r="GJ275" i="2" s="1"/>
  <c r="FN344" i="2"/>
  <c r="FN343" i="2"/>
  <c r="FN16" i="2"/>
  <c r="FN275" i="2"/>
  <c r="FO45" i="2"/>
  <c r="GJ45" i="2" s="1"/>
  <c r="FP154" i="2"/>
  <c r="CI228" i="2"/>
  <c r="CM228" i="2" s="1"/>
  <c r="FP361" i="2"/>
  <c r="FO360" i="2"/>
  <c r="GJ360" i="2" s="1"/>
  <c r="FO361" i="2"/>
  <c r="GJ361" i="2" s="1"/>
  <c r="FN360" i="2"/>
  <c r="FO296" i="2"/>
  <c r="GJ296" i="2" s="1"/>
  <c r="FO11" i="2"/>
  <c r="GJ11" i="2" s="1"/>
  <c r="FN78" i="2"/>
  <c r="FN31" i="2"/>
  <c r="FO309" i="2"/>
  <c r="GJ309" i="2" s="1"/>
  <c r="FN228" i="2"/>
  <c r="FN141" i="2"/>
  <c r="FN352" i="2"/>
  <c r="FO352" i="2"/>
  <c r="GJ352" i="2" s="1"/>
  <c r="FN80" i="2"/>
  <c r="FN341" i="2"/>
  <c r="FO68" i="2"/>
  <c r="GJ68" i="2" s="1"/>
  <c r="FP341" i="2"/>
  <c r="FO228" i="2"/>
  <c r="GJ228" i="2" s="1"/>
  <c r="FO63" i="2"/>
  <c r="GJ63" i="2" s="1"/>
  <c r="FO31" i="2"/>
  <c r="GJ31" i="2" s="1"/>
  <c r="FO125" i="2"/>
  <c r="GJ125" i="2" s="1"/>
  <c r="FO78" i="2"/>
  <c r="GJ78" i="2" s="1"/>
  <c r="FO62" i="2"/>
  <c r="GJ62" i="2" s="1"/>
  <c r="FO24" i="2"/>
  <c r="GJ24" i="2" s="1"/>
  <c r="FN297" i="2"/>
  <c r="FN63" i="2"/>
  <c r="FN373" i="2"/>
  <c r="FN296" i="2"/>
  <c r="FN62" i="2"/>
  <c r="FN309" i="2"/>
  <c r="FN125" i="2"/>
  <c r="FO80" i="2"/>
  <c r="GJ80" i="2" s="1"/>
  <c r="FO141" i="2"/>
  <c r="GJ141" i="2" s="1"/>
  <c r="FN340" i="2"/>
  <c r="FO184" i="2"/>
  <c r="GJ184" i="2" s="1"/>
  <c r="FO373" i="2"/>
  <c r="GJ373" i="2" s="1"/>
  <c r="FN184" i="2"/>
  <c r="FO340" i="2"/>
  <c r="GJ340" i="2" s="1"/>
  <c r="FN154" i="2"/>
  <c r="FO169" i="2"/>
  <c r="GJ169" i="2" s="1"/>
  <c r="FO339" i="2"/>
  <c r="GJ339" i="2" s="1"/>
  <c r="FN11" i="2"/>
  <c r="FO216" i="2"/>
  <c r="GJ216" i="2" s="1"/>
  <c r="FP216" i="2"/>
  <c r="FN39" i="2"/>
  <c r="FO85" i="2"/>
  <c r="GJ85" i="2" s="1"/>
  <c r="FN176" i="2"/>
  <c r="FN145" i="2"/>
  <c r="FN49" i="2"/>
  <c r="FN149" i="2"/>
  <c r="FO248" i="2"/>
  <c r="GJ248" i="2" s="1"/>
  <c r="FO229" i="2"/>
  <c r="GJ229" i="2" s="1"/>
  <c r="FP229" i="2"/>
  <c r="FN335" i="2"/>
  <c r="FN274" i="2"/>
  <c r="FO274" i="2"/>
  <c r="GJ274" i="2" s="1"/>
  <c r="FO163" i="2"/>
  <c r="GJ163" i="2" s="1"/>
  <c r="FO335" i="2"/>
  <c r="GJ335" i="2" s="1"/>
  <c r="FN208" i="2"/>
  <c r="FO145" i="2"/>
  <c r="GJ145" i="2" s="1"/>
  <c r="FN163" i="2"/>
  <c r="FO97" i="2"/>
  <c r="GJ97" i="2" s="1"/>
  <c r="FO51" i="2"/>
  <c r="GJ51" i="2" s="1"/>
  <c r="FO208" i="2"/>
  <c r="GJ208" i="2" s="1"/>
  <c r="FN97" i="2"/>
  <c r="FP51" i="2"/>
  <c r="FN243" i="2"/>
  <c r="FN37" i="2"/>
  <c r="FN24" i="2"/>
  <c r="FO37" i="2"/>
  <c r="GJ37" i="2" s="1"/>
  <c r="FN248" i="2"/>
  <c r="FN214" i="2"/>
  <c r="FO151" i="2"/>
  <c r="GJ151" i="2" s="1"/>
  <c r="FO49" i="2"/>
  <c r="GJ49" i="2" s="1"/>
  <c r="FO17" i="2"/>
  <c r="GJ17" i="2" s="1"/>
  <c r="FO243" i="2"/>
  <c r="GJ243" i="2" s="1"/>
  <c r="FN165" i="2"/>
  <c r="FP378" i="2"/>
  <c r="FO371" i="2"/>
  <c r="GJ371" i="2" s="1"/>
  <c r="FO160" i="2"/>
  <c r="GJ160" i="2" s="1"/>
  <c r="FO199" i="2"/>
  <c r="GJ199" i="2" s="1"/>
  <c r="FN137" i="2"/>
  <c r="FN147" i="2"/>
  <c r="FN166" i="2"/>
  <c r="FO150" i="2"/>
  <c r="GJ150" i="2" s="1"/>
  <c r="FN382" i="2"/>
  <c r="FN249" i="2"/>
  <c r="FP249" i="2"/>
  <c r="FO193" i="2"/>
  <c r="GJ193" i="2" s="1"/>
  <c r="FN71" i="2"/>
  <c r="FP382" i="2"/>
  <c r="FO329" i="2"/>
  <c r="GJ329" i="2" s="1"/>
  <c r="FN150" i="2"/>
  <c r="FN331" i="2"/>
  <c r="FO147" i="2"/>
  <c r="GJ147" i="2" s="1"/>
  <c r="FO350" i="2"/>
  <c r="GJ350" i="2" s="1"/>
  <c r="FO331" i="2"/>
  <c r="GJ331" i="2" s="1"/>
  <c r="FO71" i="2"/>
  <c r="GJ71" i="2" s="1"/>
  <c r="FO258" i="2"/>
  <c r="GJ258" i="2" s="1"/>
  <c r="FO166" i="2"/>
  <c r="GJ166" i="2" s="1"/>
  <c r="FO191" i="2"/>
  <c r="GJ191" i="2" s="1"/>
  <c r="FR357" i="2" a="1"/>
  <c r="FR357" i="2" s="1"/>
  <c r="FN290" i="2"/>
  <c r="FO273" i="2"/>
  <c r="GJ273" i="2" s="1"/>
  <c r="FO286" i="2"/>
  <c r="GJ286" i="2" s="1"/>
  <c r="FO254" i="2"/>
  <c r="GJ254" i="2" s="1"/>
  <c r="FN286" i="2"/>
  <c r="FN273" i="2"/>
  <c r="FO290" i="2"/>
  <c r="GJ290" i="2" s="1"/>
  <c r="FN193" i="2"/>
  <c r="FN191" i="2"/>
  <c r="FN350" i="2"/>
  <c r="FO221" i="2"/>
  <c r="GJ221" i="2" s="1"/>
  <c r="FO205" i="2"/>
  <c r="GJ205" i="2" s="1"/>
  <c r="FO188" i="2"/>
  <c r="GJ188" i="2" s="1"/>
  <c r="FN329" i="2"/>
  <c r="FN324" i="2"/>
  <c r="FR219" i="2" a="1"/>
  <c r="FR219" i="2" s="1"/>
  <c r="FP221" i="2"/>
  <c r="FR385" i="2" a="1"/>
  <c r="FR385" i="2" s="1"/>
  <c r="FN388" i="2"/>
  <c r="FO288" i="2"/>
  <c r="GJ288" i="2" s="1"/>
  <c r="FO388" i="2"/>
  <c r="GJ388" i="2" s="1"/>
  <c r="FP288" i="2"/>
  <c r="FR275" i="2" a="1"/>
  <c r="FR275" i="2" s="1"/>
  <c r="FO206" i="2"/>
  <c r="GJ206" i="2" s="1"/>
  <c r="FN75" i="2"/>
  <c r="FN235" i="2"/>
  <c r="FN265" i="2"/>
  <c r="FP310" i="2"/>
  <c r="FO324" i="2"/>
  <c r="GJ324" i="2" s="1"/>
  <c r="FP205" i="2"/>
  <c r="FO75" i="2"/>
  <c r="GJ75" i="2" s="1"/>
  <c r="FO256" i="2"/>
  <c r="GJ256" i="2" s="1"/>
  <c r="FR94" i="2" a="1"/>
  <c r="FR94" i="2" s="1"/>
  <c r="FO158" i="2"/>
  <c r="GJ158" i="2" s="1"/>
  <c r="FP158" i="2"/>
  <c r="FN25" i="2"/>
  <c r="FO25" i="2"/>
  <c r="GJ25" i="2" s="1"/>
  <c r="FN358" i="2"/>
  <c r="FP265" i="2"/>
  <c r="FN9" i="2"/>
  <c r="FO358" i="2"/>
  <c r="GJ358" i="2" s="1"/>
  <c r="FO12" i="2"/>
  <c r="GJ12" i="2" s="1"/>
  <c r="FN256" i="2"/>
  <c r="FO171" i="2"/>
  <c r="GJ171" i="2" s="1"/>
  <c r="FO157" i="2"/>
  <c r="GJ157" i="2" s="1"/>
  <c r="FO313" i="2"/>
  <c r="GJ313" i="2" s="1"/>
  <c r="FO9" i="2"/>
  <c r="GJ9" i="2" s="1"/>
  <c r="FN12" i="2"/>
  <c r="FO357" i="2"/>
  <c r="GJ357" i="2" s="1"/>
  <c r="FP157" i="2"/>
  <c r="FN313" i="2"/>
  <c r="FN188" i="2"/>
  <c r="FN357" i="2"/>
  <c r="FN171" i="2"/>
  <c r="FN198" i="2"/>
  <c r="FW43" i="2"/>
  <c r="FX43" i="2" s="1" a="1"/>
  <c r="FX43" i="2" s="1"/>
  <c r="FO116" i="2"/>
  <c r="GJ116" i="2" s="1"/>
  <c r="FP230" i="2"/>
  <c r="FN333" i="2"/>
  <c r="FO87" i="2"/>
  <c r="GJ87" i="2" s="1"/>
  <c r="FN162" i="2"/>
  <c r="FO198" i="2"/>
  <c r="GJ198" i="2" s="1"/>
  <c r="FN50" i="2"/>
  <c r="FN116" i="2"/>
  <c r="FO380" i="2"/>
  <c r="GJ380" i="2" s="1"/>
  <c r="FN55" i="2"/>
  <c r="FN380" i="2"/>
  <c r="FN181" i="2"/>
  <c r="FO50" i="2"/>
  <c r="GJ50" i="2" s="1"/>
  <c r="FP87" i="2"/>
  <c r="FO36" i="2"/>
  <c r="GJ36" i="2" s="1"/>
  <c r="FO55" i="2"/>
  <c r="GJ55" i="2" s="1"/>
  <c r="FO162" i="2"/>
  <c r="GJ162" i="2" s="1"/>
  <c r="FN120" i="2"/>
  <c r="CI64" i="2"/>
  <c r="CM64" i="2" s="1"/>
  <c r="FN119" i="2"/>
  <c r="FN42" i="2"/>
  <c r="FO308" i="2"/>
  <c r="GJ308" i="2" s="1"/>
  <c r="FN308" i="2"/>
  <c r="FP46" i="2"/>
  <c r="FO46" i="2"/>
  <c r="GJ46" i="2" s="1"/>
  <c r="FO220" i="2"/>
  <c r="GJ220" i="2" s="1"/>
  <c r="FR110" i="2" a="1"/>
  <c r="FR110" i="2" s="1"/>
  <c r="FO124" i="2"/>
  <c r="GJ124" i="2" s="1"/>
  <c r="FP124" i="2"/>
  <c r="FN259" i="2"/>
  <c r="FO112" i="2"/>
  <c r="GJ112" i="2" s="1"/>
  <c r="FN74" i="2"/>
  <c r="FO159" i="2"/>
  <c r="GJ159" i="2" s="1"/>
  <c r="FN159" i="2"/>
  <c r="FO74" i="2"/>
  <c r="GJ74" i="2" s="1"/>
  <c r="FN112" i="2"/>
  <c r="FP220" i="2"/>
  <c r="FO140" i="2"/>
  <c r="GJ140" i="2" s="1"/>
  <c r="FP204" i="2"/>
  <c r="FN68" i="2"/>
  <c r="FN85" i="2"/>
  <c r="FO212" i="2"/>
  <c r="GJ212" i="2" s="1"/>
  <c r="FN217" i="2"/>
  <c r="FO129" i="2"/>
  <c r="GJ129" i="2" s="1"/>
  <c r="FN103" i="2"/>
  <c r="FO64" i="2"/>
  <c r="GJ64" i="2" s="1"/>
  <c r="FN192" i="2"/>
  <c r="FN131" i="2"/>
  <c r="FN213" i="2"/>
  <c r="FO117" i="2"/>
  <c r="GJ117" i="2" s="1"/>
  <c r="FO231" i="2"/>
  <c r="GJ231" i="2" s="1"/>
  <c r="FN212" i="2"/>
  <c r="FP231" i="2"/>
  <c r="FR103" i="2" a="1"/>
  <c r="FR103" i="2" s="1"/>
  <c r="FN246" i="2"/>
  <c r="FO192" i="2"/>
  <c r="GJ192" i="2" s="1"/>
  <c r="FO217" i="2"/>
  <c r="GJ217" i="2" s="1"/>
  <c r="FN244" i="2"/>
  <c r="FN117" i="2"/>
  <c r="FO176" i="2"/>
  <c r="GJ176" i="2" s="1"/>
  <c r="FO165" i="2"/>
  <c r="GJ165" i="2" s="1"/>
  <c r="FO368" i="2"/>
  <c r="GJ368" i="2" s="1"/>
  <c r="FN251" i="2"/>
  <c r="FN239" i="2"/>
  <c r="FN206" i="2"/>
  <c r="FN310" i="2"/>
  <c r="FP376" i="2"/>
  <c r="FN330" i="2"/>
  <c r="FP225" i="2"/>
  <c r="FN190" i="2"/>
  <c r="FN108" i="2"/>
  <c r="FN48" i="2"/>
  <c r="FO356" i="2"/>
  <c r="GJ356" i="2" s="1"/>
  <c r="FN255" i="2"/>
  <c r="FO242" i="2"/>
  <c r="GJ242" i="2" s="1"/>
  <c r="FO327" i="2"/>
  <c r="GJ327" i="2" s="1"/>
  <c r="FO330" i="2"/>
  <c r="GJ330" i="2" s="1"/>
  <c r="FO225" i="2"/>
  <c r="GJ225" i="2" s="1"/>
  <c r="FO108" i="2"/>
  <c r="GJ108" i="2" s="1"/>
  <c r="FN123" i="2"/>
  <c r="FN160" i="2"/>
  <c r="FO262" i="2"/>
  <c r="GJ262" i="2" s="1"/>
  <c r="FO278" i="2"/>
  <c r="GJ278" i="2" s="1"/>
  <c r="FN282" i="2"/>
  <c r="FO222" i="2"/>
  <c r="GJ222" i="2" s="1"/>
  <c r="FO190" i="2"/>
  <c r="GJ190" i="2" s="1"/>
  <c r="FN109" i="2"/>
  <c r="FN392" i="2"/>
  <c r="FO250" i="2"/>
  <c r="GJ250" i="2" s="1"/>
  <c r="FN368" i="2"/>
  <c r="FN242" i="2"/>
  <c r="FO187" i="2"/>
  <c r="GJ187" i="2" s="1"/>
  <c r="FO153" i="2"/>
  <c r="GJ153" i="2" s="1"/>
  <c r="FO109" i="2"/>
  <c r="GJ109" i="2" s="1"/>
  <c r="FO86" i="2"/>
  <c r="GJ86" i="2" s="1"/>
  <c r="FN20" i="2"/>
  <c r="FN276" i="2"/>
  <c r="FO20" i="2"/>
  <c r="GJ20" i="2" s="1"/>
  <c r="FO375" i="2"/>
  <c r="GJ375" i="2" s="1"/>
  <c r="FO276" i="2"/>
  <c r="GJ276" i="2" s="1"/>
  <c r="FN356" i="2"/>
  <c r="FO10" i="2"/>
  <c r="GJ10" i="2" s="1"/>
  <c r="FO239" i="2"/>
  <c r="GJ239" i="2" s="1"/>
  <c r="FN327" i="2"/>
  <c r="FO185" i="2"/>
  <c r="GJ185" i="2" s="1"/>
  <c r="FN199" i="2"/>
  <c r="FN107" i="2"/>
  <c r="FO122" i="2"/>
  <c r="GJ122" i="2" s="1"/>
  <c r="FN187" i="2"/>
  <c r="FP222" i="2"/>
  <c r="FO92" i="2"/>
  <c r="GJ92" i="2" s="1"/>
  <c r="FP156" i="2"/>
  <c r="FP122" i="2"/>
  <c r="FN393" i="2"/>
  <c r="FO107" i="2"/>
  <c r="GJ107" i="2" s="1"/>
  <c r="FN106" i="2"/>
  <c r="FO322" i="2"/>
  <c r="GJ322" i="2" s="1"/>
  <c r="FN376" i="2"/>
  <c r="FO393" i="2"/>
  <c r="GJ393" i="2" s="1"/>
  <c r="FN328" i="2"/>
  <c r="FO282" i="2"/>
  <c r="GJ282" i="2" s="1"/>
  <c r="FO201" i="2"/>
  <c r="GJ201" i="2" s="1"/>
  <c r="FN92" i="2"/>
  <c r="FO48" i="2"/>
  <c r="GJ48" i="2" s="1"/>
  <c r="FN278" i="2"/>
  <c r="FO328" i="2"/>
  <c r="GJ328" i="2" s="1"/>
  <c r="FO235" i="2"/>
  <c r="GJ235" i="2" s="1"/>
  <c r="FO200" i="2"/>
  <c r="GJ200" i="2" s="1"/>
  <c r="FN201" i="2"/>
  <c r="FO326" i="2"/>
  <c r="GJ326" i="2" s="1"/>
  <c r="FO251" i="2"/>
  <c r="GJ251" i="2" s="1"/>
  <c r="FO123" i="2"/>
  <c r="GJ123" i="2" s="1"/>
  <c r="FN10" i="2"/>
  <c r="FN375" i="2"/>
  <c r="FP200" i="2"/>
  <c r="FO137" i="2"/>
  <c r="GJ137" i="2" s="1"/>
  <c r="FO121" i="2"/>
  <c r="GJ121" i="2" s="1"/>
  <c r="FN269" i="2"/>
  <c r="FN121" i="2"/>
  <c r="FN378" i="2"/>
  <c r="FN262" i="2"/>
  <c r="FO156" i="2"/>
  <c r="GJ156" i="2" s="1"/>
  <c r="FN322" i="2"/>
  <c r="FN371" i="2"/>
  <c r="CK338" i="2"/>
  <c r="CI338" i="2"/>
  <c r="CM338" i="2" s="1"/>
  <c r="CK291" i="2"/>
  <c r="CI291" i="2"/>
  <c r="CM291" i="2" s="1"/>
  <c r="CI14" i="2"/>
  <c r="CM14" i="2" s="1"/>
  <c r="CK26" i="2"/>
  <c r="CI26" i="2"/>
  <c r="CM26" i="2" s="1"/>
  <c r="CK12" i="2"/>
  <c r="CI12" i="2"/>
  <c r="CM12" i="2" s="1"/>
  <c r="CI15" i="2"/>
  <c r="CM15" i="2" s="1"/>
  <c r="CE126" i="2"/>
  <c r="CI126" i="2"/>
  <c r="CM126" i="2" s="1"/>
  <c r="CK304" i="2"/>
  <c r="CI304" i="2"/>
  <c r="CM304" i="2" s="1"/>
  <c r="CK88" i="2"/>
  <c r="CI88" i="2"/>
  <c r="CM88" i="2" s="1"/>
  <c r="CK212" i="2"/>
  <c r="CI212" i="2"/>
  <c r="CM212" i="2" s="1"/>
  <c r="CE127" i="2"/>
  <c r="CI127" i="2"/>
  <c r="CM127" i="2" s="1"/>
  <c r="CK50" i="2"/>
  <c r="CI50" i="2"/>
  <c r="CM50" i="2" s="1"/>
  <c r="CK264" i="2"/>
  <c r="CI264" i="2"/>
  <c r="CM264" i="2" s="1"/>
  <c r="CI256" i="2"/>
  <c r="CM256" i="2" s="1"/>
  <c r="CE287" i="2"/>
  <c r="CI287" i="2"/>
  <c r="CM287" i="2" s="1"/>
  <c r="FO247" i="2"/>
  <c r="GJ247" i="2" s="1"/>
  <c r="CI120" i="2"/>
  <c r="CM120" i="2" s="1"/>
  <c r="CE123" i="2"/>
  <c r="CI123" i="2"/>
  <c r="CM123" i="2" s="1"/>
  <c r="CE113" i="2"/>
  <c r="CI113" i="2"/>
  <c r="CM113" i="2" s="1"/>
  <c r="CE75" i="2"/>
  <c r="CI75" i="2"/>
  <c r="CM75" i="2" s="1"/>
  <c r="CK76" i="2"/>
  <c r="CI76" i="2"/>
  <c r="CM76" i="2" s="1"/>
  <c r="CK28" i="2"/>
  <c r="CI28" i="2"/>
  <c r="CM28" i="2" s="1"/>
  <c r="CK46" i="2"/>
  <c r="CI46" i="2"/>
  <c r="CM46" i="2" s="1"/>
  <c r="FN271" i="2"/>
  <c r="CK111" i="2"/>
  <c r="CI111" i="2"/>
  <c r="CM111" i="2" s="1"/>
  <c r="CK49" i="2"/>
  <c r="CI49" i="2"/>
  <c r="CM49" i="2" s="1"/>
  <c r="CK42" i="2"/>
  <c r="CI42" i="2"/>
  <c r="CM42" i="2" s="1"/>
  <c r="CK276" i="2"/>
  <c r="CI276" i="2"/>
  <c r="CM276" i="2" s="1"/>
  <c r="CE349" i="2"/>
  <c r="CI349" i="2"/>
  <c r="CM349" i="2" s="1"/>
  <c r="CK310" i="2"/>
  <c r="CI310" i="2"/>
  <c r="CM310" i="2" s="1"/>
  <c r="CI178" i="2"/>
  <c r="CM178" i="2" s="1"/>
  <c r="CE141" i="2"/>
  <c r="CI141" i="2"/>
  <c r="CM141" i="2" s="1"/>
  <c r="CE193" i="2"/>
  <c r="CI193" i="2"/>
  <c r="CM193" i="2" s="1"/>
  <c r="CK72" i="2"/>
  <c r="CI72" i="2"/>
  <c r="CM72" i="2" s="1"/>
  <c r="CK313" i="2"/>
  <c r="CI313" i="2"/>
  <c r="CM313" i="2" s="1"/>
  <c r="FP88" i="2"/>
  <c r="CK27" i="2"/>
  <c r="CI27" i="2"/>
  <c r="CM27" i="2" s="1"/>
  <c r="CK10" i="2"/>
  <c r="CI10" i="2"/>
  <c r="CM10" i="2" s="1"/>
  <c r="CE333" i="2"/>
  <c r="CI333" i="2"/>
  <c r="CM333" i="2" s="1"/>
  <c r="CK253" i="2"/>
  <c r="CI253" i="2"/>
  <c r="CM253" i="2" s="1"/>
  <c r="FN164" i="2"/>
  <c r="CE108" i="2"/>
  <c r="CI108" i="2"/>
  <c r="CM108" i="2" s="1"/>
  <c r="CI137" i="2"/>
  <c r="CM137" i="2" s="1"/>
  <c r="CE57" i="2"/>
  <c r="CI57" i="2"/>
  <c r="CM57" i="2" s="1"/>
  <c r="CE115" i="2"/>
  <c r="CI115" i="2"/>
  <c r="CM115" i="2" s="1"/>
  <c r="CE51" i="2"/>
  <c r="CI51" i="2"/>
  <c r="CM51" i="2" s="1"/>
  <c r="CK67" i="2"/>
  <c r="CI67" i="2"/>
  <c r="CM67" i="2" s="1"/>
  <c r="CK107" i="2"/>
  <c r="CI107" i="2"/>
  <c r="CM107" i="2" s="1"/>
  <c r="CK268" i="2"/>
  <c r="CI268" i="2"/>
  <c r="CM268" i="2" s="1"/>
  <c r="CK344" i="2"/>
  <c r="CI344" i="2"/>
  <c r="CM344" i="2" s="1"/>
  <c r="CE293" i="2"/>
  <c r="CI293" i="2"/>
  <c r="CM293" i="2" s="1"/>
  <c r="FN300" i="2"/>
  <c r="CI308" i="2"/>
  <c r="CM308" i="2" s="1"/>
  <c r="CI173" i="2"/>
  <c r="CM173" i="2" s="1"/>
  <c r="CK196" i="2"/>
  <c r="CI196" i="2"/>
  <c r="CM196" i="2" s="1"/>
  <c r="CK192" i="2"/>
  <c r="CI192" i="2"/>
  <c r="CM192" i="2" s="1"/>
  <c r="FO196" i="2"/>
  <c r="GJ196" i="2" s="1"/>
  <c r="FN70" i="2"/>
  <c r="CE92" i="2"/>
  <c r="CI92" i="2"/>
  <c r="CM92" i="2" s="1"/>
  <c r="CK37" i="2"/>
  <c r="CI37" i="2"/>
  <c r="CM37" i="2" s="1"/>
  <c r="CK23" i="2"/>
  <c r="CI23" i="2"/>
  <c r="CM23" i="2" s="1"/>
  <c r="FO164" i="2"/>
  <c r="GJ164" i="2" s="1"/>
  <c r="CK97" i="2"/>
  <c r="CI97" i="2"/>
  <c r="CM97" i="2" s="1"/>
  <c r="CK82" i="2"/>
  <c r="CI82" i="2"/>
  <c r="CM82" i="2" s="1"/>
  <c r="CE353" i="2"/>
  <c r="CI353" i="2"/>
  <c r="CM353" i="2" s="1"/>
  <c r="CI341" i="2"/>
  <c r="CM341" i="2" s="1"/>
  <c r="CK184" i="2"/>
  <c r="CI184" i="2"/>
  <c r="CM184" i="2" s="1"/>
  <c r="CK191" i="2"/>
  <c r="CI191" i="2"/>
  <c r="CM191" i="2" s="1"/>
  <c r="CK110" i="2"/>
  <c r="CI110" i="2"/>
  <c r="CM110" i="2" s="1"/>
  <c r="CE139" i="2"/>
  <c r="CI139" i="2"/>
  <c r="CM139" i="2" s="1"/>
  <c r="CK86" i="2"/>
  <c r="CI86" i="2"/>
  <c r="CM86" i="2" s="1"/>
  <c r="CI112" i="2"/>
  <c r="CM112" i="2" s="1"/>
  <c r="CK63" i="2"/>
  <c r="CI63" i="2"/>
  <c r="CM63" i="2" s="1"/>
  <c r="CK71" i="2"/>
  <c r="CI71" i="2"/>
  <c r="CM71" i="2" s="1"/>
  <c r="CI242" i="2"/>
  <c r="CM242" i="2" s="1"/>
  <c r="CI77" i="2"/>
  <c r="CM77" i="2" s="1"/>
  <c r="CI197" i="2"/>
  <c r="CM197" i="2" s="1"/>
  <c r="CI169" i="2"/>
  <c r="CM169" i="2" s="1"/>
  <c r="CK32" i="2"/>
  <c r="CI32" i="2"/>
  <c r="CM32" i="2" s="1"/>
  <c r="CE323" i="2"/>
  <c r="CI323" i="2"/>
  <c r="CM323" i="2" s="1"/>
  <c r="CK33" i="2"/>
  <c r="CI33" i="2"/>
  <c r="CM33" i="2" s="1"/>
  <c r="FO88" i="2"/>
  <c r="GJ88" i="2" s="1"/>
  <c r="CE54" i="2"/>
  <c r="CI54" i="2"/>
  <c r="CM54" i="2" s="1"/>
  <c r="FO70" i="2"/>
  <c r="GJ70" i="2" s="1"/>
  <c r="FO19" i="2"/>
  <c r="GJ19" i="2" s="1"/>
  <c r="CE285" i="2"/>
  <c r="CI285" i="2"/>
  <c r="CM285" i="2" s="1"/>
  <c r="CK305" i="2"/>
  <c r="CI305" i="2"/>
  <c r="CM305" i="2" s="1"/>
  <c r="CE190" i="2"/>
  <c r="CI190" i="2"/>
  <c r="CM190" i="2" s="1"/>
  <c r="CE122" i="2"/>
  <c r="CI122" i="2"/>
  <c r="CM122" i="2" s="1"/>
  <c r="CE105" i="2"/>
  <c r="CI105" i="2"/>
  <c r="CM105" i="2" s="1"/>
  <c r="CK100" i="2"/>
  <c r="CI100" i="2"/>
  <c r="CM100" i="2" s="1"/>
  <c r="CI70" i="2"/>
  <c r="CM70" i="2" s="1"/>
  <c r="FO18" i="2"/>
  <c r="GJ18" i="2" s="1"/>
  <c r="CK34" i="2"/>
  <c r="CI34" i="2"/>
  <c r="CM34" i="2" s="1"/>
  <c r="CK342" i="2"/>
  <c r="CI342" i="2"/>
  <c r="CM342" i="2" s="1"/>
  <c r="CE352" i="2"/>
  <c r="CI352" i="2"/>
  <c r="CM352" i="2" s="1"/>
  <c r="CK325" i="2"/>
  <c r="CI325" i="2"/>
  <c r="CM325" i="2" s="1"/>
  <c r="CK195" i="2"/>
  <c r="CI195" i="2"/>
  <c r="CM195" i="2" s="1"/>
  <c r="CI167" i="2"/>
  <c r="CM167" i="2" s="1"/>
  <c r="CK186" i="2"/>
  <c r="CI186" i="2"/>
  <c r="CM186" i="2" s="1"/>
  <c r="CE116" i="2"/>
  <c r="CI116" i="2"/>
  <c r="CM116" i="2" s="1"/>
  <c r="CI373" i="2"/>
  <c r="CM373" i="2" s="1"/>
  <c r="CE284" i="2"/>
  <c r="CI284" i="2"/>
  <c r="CM284" i="2" s="1"/>
  <c r="CK271" i="2"/>
  <c r="CI271" i="2"/>
  <c r="CM271" i="2" s="1"/>
  <c r="CK259" i="2"/>
  <c r="CI259" i="2"/>
  <c r="CM259" i="2" s="1"/>
  <c r="CK185" i="2"/>
  <c r="CI185" i="2"/>
  <c r="CM185" i="2" s="1"/>
  <c r="CK194" i="2"/>
  <c r="CI194" i="2"/>
  <c r="CM194" i="2" s="1"/>
  <c r="CK65" i="2"/>
  <c r="CI65" i="2"/>
  <c r="CM65" i="2" s="1"/>
  <c r="CK48" i="2"/>
  <c r="CI48" i="2"/>
  <c r="CM48" i="2" s="1"/>
  <c r="CK89" i="2"/>
  <c r="CI89" i="2"/>
  <c r="CM89" i="2" s="1"/>
  <c r="FN17" i="2"/>
  <c r="CE299" i="2"/>
  <c r="CI299" i="2"/>
  <c r="CM299" i="2" s="1"/>
  <c r="CK298" i="2"/>
  <c r="CI298" i="2"/>
  <c r="CM298" i="2" s="1"/>
  <c r="CK114" i="2"/>
  <c r="CI114" i="2"/>
  <c r="CM114" i="2" s="1"/>
  <c r="CE364" i="2"/>
  <c r="CI364" i="2"/>
  <c r="CM364" i="2" s="1"/>
  <c r="CK239" i="2"/>
  <c r="CI239" i="2"/>
  <c r="CM239" i="2" s="1"/>
  <c r="FN247" i="2"/>
  <c r="CE119" i="2"/>
  <c r="CI119" i="2"/>
  <c r="CM119" i="2" s="1"/>
  <c r="CK43" i="2"/>
  <c r="CI43" i="2"/>
  <c r="CM43" i="2" s="1"/>
  <c r="CK124" i="2"/>
  <c r="CI124" i="2"/>
  <c r="CM124" i="2" s="1"/>
  <c r="CK68" i="2"/>
  <c r="CI68" i="2"/>
  <c r="CM68" i="2" s="1"/>
  <c r="CI85" i="2"/>
  <c r="CM85" i="2" s="1"/>
  <c r="CK74" i="2"/>
  <c r="CI74" i="2"/>
  <c r="CM74" i="2" s="1"/>
  <c r="CE13" i="2"/>
  <c r="CI13" i="2"/>
  <c r="CM13" i="2" s="1"/>
  <c r="CI31" i="2"/>
  <c r="CM31" i="2" s="1"/>
  <c r="CK365" i="2"/>
  <c r="CI365" i="2"/>
  <c r="CM365" i="2" s="1"/>
  <c r="CE267" i="2"/>
  <c r="CI267" i="2"/>
  <c r="CM267" i="2" s="1"/>
  <c r="CE140" i="2"/>
  <c r="CI140" i="2"/>
  <c r="CM140" i="2" s="1"/>
  <c r="CK343" i="2"/>
  <c r="CI343" i="2"/>
  <c r="CM343" i="2" s="1"/>
  <c r="CK386" i="2"/>
  <c r="CI386" i="2"/>
  <c r="CM386" i="2" s="1"/>
  <c r="CI145" i="2"/>
  <c r="CM145" i="2" s="1"/>
  <c r="CE134" i="2"/>
  <c r="CI134" i="2"/>
  <c r="CM134" i="2" s="1"/>
  <c r="CI201" i="2"/>
  <c r="CM201" i="2" s="1"/>
  <c r="CK254" i="2"/>
  <c r="CI254" i="2"/>
  <c r="CM254" i="2" s="1"/>
  <c r="CE219" i="2"/>
  <c r="CI219" i="2"/>
  <c r="CM219" i="2" s="1"/>
  <c r="CI187" i="2"/>
  <c r="CM187" i="2" s="1"/>
  <c r="CE56" i="2"/>
  <c r="CI56" i="2"/>
  <c r="CM56" i="2" s="1"/>
  <c r="CK69" i="2"/>
  <c r="CI69" i="2"/>
  <c r="CM69" i="2" s="1"/>
  <c r="CK307" i="2"/>
  <c r="CI307" i="2"/>
  <c r="CM307" i="2" s="1"/>
  <c r="CI252" i="2"/>
  <c r="CM252" i="2" s="1"/>
  <c r="CE138" i="2"/>
  <c r="CI138" i="2"/>
  <c r="CM138" i="2" s="1"/>
  <c r="CI121" i="2"/>
  <c r="CM121" i="2" s="1"/>
  <c r="CK90" i="2"/>
  <c r="CI90" i="2"/>
  <c r="CM90" i="2" s="1"/>
  <c r="CK58" i="2"/>
  <c r="CI58" i="2"/>
  <c r="CM58" i="2" s="1"/>
  <c r="CE198" i="2"/>
  <c r="CI198" i="2"/>
  <c r="CM198" i="2" s="1"/>
  <c r="CK255" i="2"/>
  <c r="CI255" i="2"/>
  <c r="CM255" i="2" s="1"/>
  <c r="CE324" i="2"/>
  <c r="CI324" i="2"/>
  <c r="CM324" i="2" s="1"/>
  <c r="CE266" i="2"/>
  <c r="CI266" i="2"/>
  <c r="CM266" i="2" s="1"/>
  <c r="CK180" i="2"/>
  <c r="CI180" i="2"/>
  <c r="CM180" i="2" s="1"/>
  <c r="CI142" i="2"/>
  <c r="CM142" i="2" s="1"/>
  <c r="CK181" i="2"/>
  <c r="CI181" i="2"/>
  <c r="CM181" i="2" s="1"/>
  <c r="CK45" i="2"/>
  <c r="CI45" i="2"/>
  <c r="CM45" i="2" s="1"/>
  <c r="CK101" i="2"/>
  <c r="CI101" i="2"/>
  <c r="CM101" i="2" s="1"/>
  <c r="FP18" i="2"/>
  <c r="CE356" i="2"/>
  <c r="CI356" i="2"/>
  <c r="CM356" i="2" s="1"/>
  <c r="CK30" i="2"/>
  <c r="CI30" i="2"/>
  <c r="CM30" i="2" s="1"/>
  <c r="CK199" i="2"/>
  <c r="CI199" i="2"/>
  <c r="CM199" i="2" s="1"/>
  <c r="CK103" i="2"/>
  <c r="CI103" i="2"/>
  <c r="CM103" i="2" s="1"/>
  <c r="CE130" i="2"/>
  <c r="CI130" i="2"/>
  <c r="CM130" i="2" s="1"/>
  <c r="CE146" i="2"/>
  <c r="CI146" i="2"/>
  <c r="CM146" i="2" s="1"/>
  <c r="CK53" i="2"/>
  <c r="CI53" i="2"/>
  <c r="CM53" i="2" s="1"/>
  <c r="CK83" i="2"/>
  <c r="CI83" i="2"/>
  <c r="CM83" i="2" s="1"/>
  <c r="FO33" i="2"/>
  <c r="GJ33" i="2" s="1"/>
  <c r="FO381" i="2"/>
  <c r="GJ381" i="2" s="1"/>
  <c r="CK363" i="2"/>
  <c r="CI363" i="2"/>
  <c r="CM363" i="2" s="1"/>
  <c r="CE277" i="2"/>
  <c r="CI277" i="2"/>
  <c r="CM277" i="2" s="1"/>
  <c r="CI91" i="2"/>
  <c r="CM91" i="2" s="1"/>
  <c r="CE144" i="2"/>
  <c r="CI144" i="2"/>
  <c r="CM144" i="2" s="1"/>
  <c r="CE66" i="2"/>
  <c r="CI66" i="2"/>
  <c r="CM66" i="2" s="1"/>
  <c r="CK93" i="2"/>
  <c r="CI93" i="2"/>
  <c r="CM93" i="2" s="1"/>
  <c r="CK44" i="2"/>
  <c r="CI44" i="2"/>
  <c r="CM44" i="2" s="1"/>
  <c r="CK301" i="2"/>
  <c r="CI301" i="2"/>
  <c r="CM301" i="2" s="1"/>
  <c r="CK296" i="2"/>
  <c r="CI296" i="2"/>
  <c r="CM296" i="2" s="1"/>
  <c r="CK150" i="2"/>
  <c r="CI150" i="2"/>
  <c r="CM150" i="2" s="1"/>
  <c r="CK36" i="2"/>
  <c r="CI36" i="2"/>
  <c r="CM36" i="2" s="1"/>
  <c r="CK149" i="2"/>
  <c r="CI149" i="2"/>
  <c r="CM149" i="2" s="1"/>
  <c r="CK218" i="2"/>
  <c r="CI218" i="2"/>
  <c r="CM218" i="2" s="1"/>
  <c r="CE272" i="2"/>
  <c r="CI272" i="2"/>
  <c r="CM272" i="2" s="1"/>
  <c r="CI309" i="2"/>
  <c r="CM309" i="2" s="1"/>
  <c r="CE153" i="2"/>
  <c r="CI153" i="2"/>
  <c r="CM153" i="2" s="1"/>
  <c r="CK73" i="2"/>
  <c r="CI73" i="2"/>
  <c r="CM73" i="2" s="1"/>
  <c r="FN152" i="2"/>
  <c r="CI81" i="2"/>
  <c r="CM81" i="2" s="1"/>
  <c r="CK16" i="2"/>
  <c r="CI16" i="2"/>
  <c r="CM16" i="2" s="1"/>
  <c r="CE350" i="2"/>
  <c r="CI350" i="2"/>
  <c r="CM350" i="2" s="1"/>
  <c r="CE380" i="2"/>
  <c r="CI380" i="2"/>
  <c r="CM380" i="2" s="1"/>
  <c r="CE170" i="2"/>
  <c r="CI170" i="2"/>
  <c r="CM170" i="2" s="1"/>
  <c r="CK62" i="2"/>
  <c r="CI62" i="2"/>
  <c r="CM62" i="2" s="1"/>
  <c r="CK52" i="2"/>
  <c r="CI52" i="2"/>
  <c r="CM52" i="2" s="1"/>
  <c r="CK24" i="2"/>
  <c r="CI24" i="2"/>
  <c r="CM24" i="2" s="1"/>
  <c r="CK151" i="2"/>
  <c r="CI151" i="2"/>
  <c r="CM151" i="2" s="1"/>
  <c r="CE143" i="2"/>
  <c r="CI143" i="2"/>
  <c r="CM143" i="2" s="1"/>
  <c r="CI168" i="2"/>
  <c r="CM168" i="2" s="1"/>
  <c r="CE161" i="2"/>
  <c r="CI161" i="2"/>
  <c r="CM161" i="2" s="1"/>
  <c r="CE346" i="2"/>
  <c r="CI346" i="2"/>
  <c r="CM346" i="2" s="1"/>
  <c r="CE351" i="2"/>
  <c r="CI351" i="2"/>
  <c r="CM351" i="2" s="1"/>
  <c r="CK269" i="2"/>
  <c r="CI269" i="2"/>
  <c r="CM269" i="2" s="1"/>
  <c r="CE270" i="2"/>
  <c r="CI270" i="2"/>
  <c r="CM270" i="2" s="1"/>
  <c r="CK311" i="2"/>
  <c r="CI311" i="2"/>
  <c r="CM311" i="2" s="1"/>
  <c r="CK390" i="2"/>
  <c r="CI390" i="2"/>
  <c r="CM390" i="2" s="1"/>
  <c r="CI251" i="2"/>
  <c r="CM251" i="2" s="1"/>
  <c r="CK179" i="2"/>
  <c r="CI179" i="2"/>
  <c r="CM179" i="2" s="1"/>
  <c r="CK188" i="2"/>
  <c r="CI188" i="2"/>
  <c r="CM188" i="2" s="1"/>
  <c r="CE172" i="2"/>
  <c r="CI172" i="2"/>
  <c r="CM172" i="2" s="1"/>
  <c r="CE136" i="2"/>
  <c r="CI136" i="2"/>
  <c r="CM136" i="2" s="1"/>
  <c r="CK166" i="2"/>
  <c r="CI166" i="2"/>
  <c r="CM166" i="2" s="1"/>
  <c r="CK35" i="2"/>
  <c r="CI35" i="2"/>
  <c r="CM35" i="2" s="1"/>
  <c r="CE366" i="2"/>
  <c r="CI366" i="2"/>
  <c r="CM366" i="2" s="1"/>
  <c r="CE125" i="2"/>
  <c r="CI125" i="2"/>
  <c r="CM125" i="2" s="1"/>
  <c r="CK99" i="2"/>
  <c r="CI99" i="2"/>
  <c r="CM99" i="2" s="1"/>
  <c r="CE147" i="2"/>
  <c r="CI147" i="2"/>
  <c r="CM147" i="2" s="1"/>
  <c r="CK183" i="2"/>
  <c r="CI183" i="2"/>
  <c r="CM183" i="2" s="1"/>
  <c r="CE104" i="2"/>
  <c r="CI104" i="2"/>
  <c r="CM104" i="2" s="1"/>
  <c r="CK87" i="2"/>
  <c r="CI87" i="2"/>
  <c r="CM87" i="2" s="1"/>
  <c r="CK360" i="2"/>
  <c r="CI360" i="2"/>
  <c r="CM360" i="2" s="1"/>
  <c r="CK339" i="2"/>
  <c r="CI339" i="2"/>
  <c r="CM339" i="2" s="1"/>
  <c r="CK306" i="2"/>
  <c r="CI306" i="2"/>
  <c r="CM306" i="2" s="1"/>
  <c r="CI257" i="2"/>
  <c r="CM257" i="2" s="1"/>
  <c r="CK189" i="2"/>
  <c r="CI189" i="2"/>
  <c r="CM189" i="2" s="1"/>
  <c r="CI135" i="2"/>
  <c r="CM135" i="2" s="1"/>
  <c r="CK129" i="2"/>
  <c r="CI129" i="2"/>
  <c r="CM129" i="2" s="1"/>
  <c r="CI295" i="2"/>
  <c r="CM295" i="2" s="1"/>
  <c r="CI39" i="2"/>
  <c r="CM39" i="2" s="1"/>
  <c r="CK358" i="2"/>
  <c r="CI358" i="2"/>
  <c r="CM358" i="2" s="1"/>
  <c r="CE362" i="2"/>
  <c r="CI362" i="2"/>
  <c r="CM362" i="2" s="1"/>
  <c r="CK80" i="2"/>
  <c r="CI80" i="2"/>
  <c r="CM80" i="2" s="1"/>
  <c r="CK96" i="2"/>
  <c r="CI96" i="2"/>
  <c r="CM96" i="2" s="1"/>
  <c r="FN33" i="2"/>
  <c r="CI243" i="2"/>
  <c r="CM243" i="2" s="1"/>
  <c r="CE278" i="2"/>
  <c r="CI278" i="2"/>
  <c r="CM278" i="2" s="1"/>
  <c r="CE275" i="2"/>
  <c r="CI275" i="2"/>
  <c r="CM275" i="2" s="1"/>
  <c r="FN19" i="2"/>
  <c r="FP348" i="2"/>
  <c r="FN338" i="2"/>
  <c r="CK258" i="2"/>
  <c r="CI258" i="2"/>
  <c r="CM258" i="2" s="1"/>
  <c r="CE98" i="2"/>
  <c r="CI98" i="2"/>
  <c r="CM98" i="2" s="1"/>
  <c r="CI273" i="2"/>
  <c r="CM273" i="2" s="1"/>
  <c r="CI177" i="2"/>
  <c r="CM177" i="2" s="1"/>
  <c r="CE171" i="2"/>
  <c r="CI171" i="2"/>
  <c r="CM171" i="2" s="1"/>
  <c r="CE148" i="2"/>
  <c r="CI148" i="2"/>
  <c r="CM148" i="2" s="1"/>
  <c r="FO149" i="2"/>
  <c r="GJ149" i="2" s="1"/>
  <c r="CE47" i="2"/>
  <c r="CI47" i="2"/>
  <c r="CM47" i="2" s="1"/>
  <c r="CE118" i="2"/>
  <c r="CI118" i="2"/>
  <c r="CM118" i="2" s="1"/>
  <c r="CK41" i="2"/>
  <c r="CI41" i="2"/>
  <c r="CM41" i="2" s="1"/>
  <c r="FP152" i="2"/>
  <c r="CK340" i="2"/>
  <c r="CI340" i="2"/>
  <c r="CM340" i="2" s="1"/>
  <c r="CE354" i="2"/>
  <c r="CI354" i="2"/>
  <c r="CM354" i="2" s="1"/>
  <c r="CE290" i="2"/>
  <c r="CI290" i="2"/>
  <c r="CM290" i="2" s="1"/>
  <c r="CK95" i="2"/>
  <c r="CI95" i="2"/>
  <c r="CM95" i="2" s="1"/>
  <c r="CK154" i="2"/>
  <c r="CI154" i="2"/>
  <c r="CM154" i="2" s="1"/>
  <c r="CI297" i="2"/>
  <c r="CM297" i="2" s="1"/>
  <c r="CK361" i="2"/>
  <c r="CI361" i="2"/>
  <c r="CM361" i="2" s="1"/>
  <c r="FO348" i="2"/>
  <c r="GJ348" i="2" s="1"/>
  <c r="CK302" i="2"/>
  <c r="CI302" i="2"/>
  <c r="CM302" i="2" s="1"/>
  <c r="CI102" i="2"/>
  <c r="CM102" i="2" s="1"/>
  <c r="CE286" i="2"/>
  <c r="CI286" i="2"/>
  <c r="CM286" i="2" s="1"/>
  <c r="FO300" i="2"/>
  <c r="GJ300" i="2" s="1"/>
  <c r="CK182" i="2"/>
  <c r="CI182" i="2"/>
  <c r="CM182" i="2" s="1"/>
  <c r="CE78" i="2"/>
  <c r="CI78" i="2"/>
  <c r="CM78" i="2" s="1"/>
  <c r="CK84" i="2"/>
  <c r="CI84" i="2"/>
  <c r="CM84" i="2" s="1"/>
  <c r="CK29" i="2"/>
  <c r="CI29" i="2"/>
  <c r="CM29" i="2" s="1"/>
  <c r="CE9" i="2"/>
  <c r="CI9" i="2"/>
  <c r="CM9" i="2" s="1"/>
  <c r="CE294" i="2"/>
  <c r="CI294" i="2"/>
  <c r="CM294" i="2" s="1"/>
  <c r="CE381" i="2"/>
  <c r="CI381" i="2"/>
  <c r="CM381" i="2" s="1"/>
  <c r="CE359" i="2"/>
  <c r="CI359" i="2"/>
  <c r="CM359" i="2" s="1"/>
  <c r="CI392" i="2"/>
  <c r="CM392" i="2" s="1"/>
  <c r="CK303" i="2"/>
  <c r="CI303" i="2"/>
  <c r="CM303" i="2" s="1"/>
  <c r="CI176" i="2"/>
  <c r="CM176" i="2" s="1"/>
  <c r="CK25" i="2"/>
  <c r="CI25" i="2"/>
  <c r="CM25" i="2" s="1"/>
  <c r="CI131" i="2"/>
  <c r="CM131" i="2" s="1"/>
  <c r="CK94" i="2"/>
  <c r="CI94" i="2"/>
  <c r="CM94" i="2" s="1"/>
  <c r="CE279" i="2"/>
  <c r="CI279" i="2"/>
  <c r="CM279" i="2" s="1"/>
  <c r="FO91" i="2"/>
  <c r="GJ91" i="2" s="1"/>
  <c r="FN126" i="2"/>
  <c r="FO161" i="2"/>
  <c r="FO362" i="2"/>
  <c r="GJ362" i="2" s="1"/>
  <c r="FO126" i="2"/>
  <c r="GJ126" i="2" s="1"/>
  <c r="FN268" i="2"/>
  <c r="FN139" i="2"/>
  <c r="FO366" i="2"/>
  <c r="GJ366" i="2" s="1"/>
  <c r="FN307" i="2"/>
  <c r="FO172" i="2"/>
  <c r="GJ172" i="2" s="1"/>
  <c r="FO94" i="2"/>
  <c r="GJ94" i="2" s="1"/>
  <c r="FN304" i="2"/>
  <c r="FN362" i="2"/>
  <c r="FO291" i="2"/>
  <c r="GJ291" i="2" s="1"/>
  <c r="FN110" i="2"/>
  <c r="FO41" i="2"/>
  <c r="GJ41" i="2" s="1"/>
  <c r="FN59" i="2"/>
  <c r="FP292" i="2"/>
  <c r="FN387" i="2"/>
  <c r="FO59" i="2"/>
  <c r="GJ59" i="2" s="1"/>
  <c r="FN66" i="2"/>
  <c r="FN391" i="2"/>
  <c r="FO139" i="2"/>
  <c r="GJ139" i="2" s="1"/>
  <c r="FO387" i="2"/>
  <c r="GJ387" i="2" s="1"/>
  <c r="FN69" i="2"/>
  <c r="FO307" i="2"/>
  <c r="GJ307" i="2" s="1"/>
  <c r="FO263" i="2"/>
  <c r="GJ263" i="2" s="1"/>
  <c r="FN94" i="2"/>
  <c r="FO386" i="2"/>
  <c r="GJ386" i="2" s="1"/>
  <c r="FP325" i="2"/>
  <c r="FP263" i="2"/>
  <c r="FO76" i="2"/>
  <c r="GJ76" i="2" s="1"/>
  <c r="FN359" i="2"/>
  <c r="FO325" i="2"/>
  <c r="GJ325" i="2" s="1"/>
  <c r="FO30" i="2"/>
  <c r="FO180" i="2"/>
  <c r="GJ180" i="2" s="1"/>
  <c r="FO179" i="2"/>
  <c r="GJ179" i="2" s="1"/>
  <c r="FN76" i="2"/>
  <c r="FN98" i="2"/>
  <c r="FN394" i="2"/>
  <c r="FO394" i="2"/>
  <c r="GJ394" i="2" s="1"/>
  <c r="FN91" i="2"/>
  <c r="FN186" i="2"/>
  <c r="FO391" i="2"/>
  <c r="GJ391" i="2" s="1"/>
  <c r="FN320" i="2"/>
  <c r="FN90" i="2"/>
  <c r="FO73" i="2"/>
  <c r="GJ73" i="2" s="1"/>
  <c r="FN118" i="2"/>
  <c r="FN28" i="2"/>
  <c r="FO292" i="2"/>
  <c r="GJ292" i="2" s="1"/>
  <c r="FN73" i="2"/>
  <c r="FO245" i="2"/>
  <c r="GJ245" i="2" s="1"/>
  <c r="FN172" i="2"/>
  <c r="FO28" i="2"/>
  <c r="GJ28" i="2" s="1"/>
  <c r="FP197" i="2"/>
  <c r="FN386" i="2"/>
  <c r="FO304" i="2"/>
  <c r="GJ304" i="2" s="1"/>
  <c r="FR92" i="2" a="1"/>
  <c r="FR92" i="2" s="1"/>
  <c r="FN30" i="2"/>
  <c r="FN252" i="2"/>
  <c r="FN291" i="2"/>
  <c r="FN167" i="2"/>
  <c r="FN161" i="2"/>
  <c r="FO98" i="2"/>
  <c r="GJ98" i="2" s="1"/>
  <c r="FN153" i="2"/>
  <c r="FO238" i="2"/>
  <c r="GJ238" i="2" s="1"/>
  <c r="FP302" i="2"/>
  <c r="FN241" i="2"/>
  <c r="FN84" i="2"/>
  <c r="FO293" i="2"/>
  <c r="GJ293" i="2" s="1"/>
  <c r="FO305" i="2"/>
  <c r="GJ305" i="2" s="1"/>
  <c r="FN293" i="2"/>
  <c r="FN135" i="2"/>
  <c r="FN129" i="2"/>
  <c r="FN104" i="2"/>
  <c r="FN305" i="2"/>
  <c r="FP379" i="2"/>
  <c r="FP103" i="2"/>
  <c r="FO104" i="2"/>
  <c r="GJ104" i="2" s="1"/>
  <c r="FO90" i="2"/>
  <c r="GJ90" i="2" s="1"/>
  <c r="FO379" i="2"/>
  <c r="GJ379" i="2" s="1"/>
  <c r="FO84" i="2"/>
  <c r="GJ84" i="2" s="1"/>
  <c r="FO241" i="2"/>
  <c r="GJ241" i="2" s="1"/>
  <c r="FP133" i="2"/>
  <c r="FO132" i="2"/>
  <c r="FW327" i="2"/>
  <c r="FX327" i="2" s="1" a="1"/>
  <c r="FX327" i="2" s="1"/>
  <c r="FN323" i="2"/>
  <c r="FN143" i="2"/>
  <c r="FN113" i="2"/>
  <c r="FO323" i="2"/>
  <c r="GJ323" i="2" s="1"/>
  <c r="FO143" i="2"/>
  <c r="GJ143" i="2" s="1"/>
  <c r="FO272" i="2"/>
  <c r="GJ272" i="2" s="1"/>
  <c r="FP219" i="2"/>
  <c r="GT257" i="2"/>
  <c r="FO314" i="2"/>
  <c r="GJ314" i="2" s="1"/>
  <c r="FO79" i="2"/>
  <c r="GJ79" i="2" s="1"/>
  <c r="FP233" i="2"/>
  <c r="FN342" i="2"/>
  <c r="FP218" i="2"/>
  <c r="FN133" i="2"/>
  <c r="FO306" i="2"/>
  <c r="GJ306" i="2" s="1"/>
  <c r="FN140" i="2"/>
  <c r="FP79" i="2"/>
  <c r="FN253" i="2"/>
  <c r="FP203" i="2"/>
  <c r="FO218" i="2"/>
  <c r="GJ218" i="2" s="1"/>
  <c r="FN60" i="2"/>
  <c r="FN114" i="2"/>
  <c r="FO342" i="2"/>
  <c r="GJ342" i="2" s="1"/>
  <c r="FR321" i="2" a="1"/>
  <c r="FR321" i="2" s="1"/>
  <c r="FN234" i="2"/>
  <c r="FO44" i="2"/>
  <c r="FN53" i="2"/>
  <c r="FO233" i="2"/>
  <c r="GJ233" i="2" s="1"/>
  <c r="FO96" i="2"/>
  <c r="GJ96" i="2" s="1"/>
  <c r="FO53" i="2"/>
  <c r="GJ53" i="2" s="1"/>
  <c r="FO234" i="2"/>
  <c r="GJ234" i="2" s="1"/>
  <c r="FO279" i="2"/>
  <c r="GJ279" i="2" s="1"/>
  <c r="FP132" i="2"/>
  <c r="FN13" i="2"/>
  <c r="FO219" i="2"/>
  <c r="GJ219" i="2" s="1"/>
  <c r="FN174" i="2"/>
  <c r="FO114" i="2"/>
  <c r="GJ114" i="2" s="1"/>
  <c r="FO60" i="2"/>
  <c r="GJ60" i="2" s="1"/>
  <c r="FP237" i="2"/>
  <c r="FO236" i="2"/>
  <c r="GJ236" i="2" s="1"/>
  <c r="FP223" i="2"/>
  <c r="FO252" i="2"/>
  <c r="GJ252" i="2" s="1"/>
  <c r="FO237" i="2"/>
  <c r="GJ237" i="2" s="1"/>
  <c r="FO113" i="2"/>
  <c r="GJ113" i="2" s="1"/>
  <c r="FN96" i="2"/>
  <c r="FN306" i="2"/>
  <c r="FN314" i="2"/>
  <c r="FO174" i="2"/>
  <c r="GJ174" i="2" s="1"/>
  <c r="FO13" i="2"/>
  <c r="GJ13" i="2" s="1"/>
  <c r="FO203" i="2"/>
  <c r="GJ203" i="2" s="1"/>
  <c r="FN279" i="2"/>
  <c r="FO336" i="2"/>
  <c r="FP336" i="2"/>
  <c r="FN23" i="2"/>
  <c r="FR355" i="2" a="1"/>
  <c r="FR355" i="2" s="1"/>
  <c r="FN311" i="2"/>
  <c r="FN272" i="2"/>
  <c r="FO34" i="2"/>
  <c r="GJ34" i="2" s="1"/>
  <c r="FN185" i="2"/>
  <c r="FP83" i="2"/>
  <c r="FP44" i="2"/>
  <c r="FN54" i="2"/>
  <c r="FP236" i="2"/>
  <c r="FN21" i="2"/>
  <c r="FO21" i="2"/>
  <c r="GJ21" i="2" s="1"/>
  <c r="FN34" i="2"/>
  <c r="FO54" i="2"/>
  <c r="GJ54" i="2" s="1"/>
  <c r="FO223" i="2"/>
  <c r="GJ223" i="2" s="1"/>
  <c r="FO267" i="2"/>
  <c r="GJ267" i="2" s="1"/>
  <c r="FO23" i="2"/>
  <c r="GJ23" i="2" s="1"/>
  <c r="FW108" i="2"/>
  <c r="FX108" i="2" s="1" a="1"/>
  <c r="FX108" i="2" s="1"/>
  <c r="FN258" i="2"/>
  <c r="FP267" i="2"/>
  <c r="FO297" i="2"/>
  <c r="GJ297" i="2" s="1"/>
  <c r="FN151" i="2"/>
  <c r="FM395" i="2"/>
  <c r="FR220" i="2" a="1"/>
  <c r="FR220" i="2" s="1"/>
  <c r="FO349" i="2"/>
  <c r="GJ349" i="2" s="1"/>
  <c r="FN349" i="2"/>
  <c r="EH213" i="2"/>
  <c r="FO39" i="2"/>
  <c r="GJ39" i="2" s="1"/>
  <c r="FN36" i="2"/>
  <c r="FR391" i="2" a="1"/>
  <c r="FR391" i="2" s="1"/>
  <c r="FO213" i="2"/>
  <c r="GJ213" i="2" s="1"/>
  <c r="FN65" i="2"/>
  <c r="FN41" i="2"/>
  <c r="FN339" i="2"/>
  <c r="FR152" i="2" a="1"/>
  <c r="FR152" i="2" s="1"/>
  <c r="FO65" i="2"/>
  <c r="GJ65" i="2" s="1"/>
  <c r="FN254" i="2"/>
  <c r="FO77" i="2"/>
  <c r="GJ77" i="2" s="1"/>
  <c r="FN77" i="2"/>
  <c r="GT244" i="2"/>
  <c r="FO106" i="2"/>
  <c r="GJ106" i="2" s="1"/>
  <c r="FR389" i="2" a="1"/>
  <c r="FR389" i="2" s="1"/>
  <c r="FO359" i="2"/>
  <c r="GJ359" i="2" s="1"/>
  <c r="FO170" i="2"/>
  <c r="GJ170" i="2" s="1"/>
  <c r="FO43" i="2"/>
  <c r="GJ43" i="2" s="1"/>
  <c r="FN38" i="2"/>
  <c r="FO47" i="2"/>
  <c r="GJ47" i="2" s="1"/>
  <c r="FN202" i="2"/>
  <c r="FP226" i="2"/>
  <c r="FO215" i="2"/>
  <c r="GJ215" i="2" s="1"/>
  <c r="FO26" i="2"/>
  <c r="GJ26" i="2" s="1"/>
  <c r="FO214" i="2"/>
  <c r="GJ214" i="2" s="1"/>
  <c r="FN26" i="2"/>
  <c r="FN177" i="2"/>
  <c r="FN22" i="2"/>
  <c r="FO240" i="2"/>
  <c r="GJ240" i="2" s="1"/>
  <c r="FO317" i="2"/>
  <c r="GJ317" i="2" s="1"/>
  <c r="FO177" i="2"/>
  <c r="GJ177" i="2" s="1"/>
  <c r="FO148" i="2"/>
  <c r="GJ148" i="2" s="1"/>
  <c r="FP43" i="2"/>
  <c r="FO38" i="2"/>
  <c r="GJ38" i="2" s="1"/>
  <c r="FN170" i="2"/>
  <c r="FP326" i="2"/>
  <c r="FO230" i="2"/>
  <c r="GJ230" i="2" s="1"/>
  <c r="FN83" i="2"/>
  <c r="FN148" i="2"/>
  <c r="FO57" i="2"/>
  <c r="GJ57" i="2" s="1"/>
  <c r="FR383" i="2" a="1"/>
  <c r="FR383" i="2" s="1"/>
  <c r="FP202" i="2"/>
  <c r="FP57" i="2"/>
  <c r="FO22" i="2"/>
  <c r="GJ22" i="2" s="1"/>
  <c r="FO226" i="2"/>
  <c r="GJ226" i="2" s="1"/>
  <c r="FR384" i="2" a="1"/>
  <c r="FR384" i="2" s="1"/>
  <c r="FN47" i="2"/>
  <c r="FH11" i="2"/>
  <c r="FK11" i="2" s="1"/>
  <c r="FG11" i="2"/>
  <c r="FU11" i="2" s="1"/>
  <c r="FV11" i="2" s="1"/>
  <c r="FE11" i="2"/>
  <c r="FC11" i="2"/>
  <c r="FH364" i="2"/>
  <c r="FK364" i="2" s="1"/>
  <c r="FG364" i="2"/>
  <c r="FU364" i="2" s="1"/>
  <c r="FV364" i="2" s="1"/>
  <c r="FE364" i="2"/>
  <c r="FC364" i="2"/>
  <c r="FH104" i="2"/>
  <c r="FK104" i="2" s="1"/>
  <c r="FG104" i="2"/>
  <c r="FU104" i="2" s="1"/>
  <c r="FV104" i="2" s="1"/>
  <c r="FC104" i="2"/>
  <c r="FE104" i="2"/>
  <c r="FH91" i="2"/>
  <c r="FK91" i="2" s="1"/>
  <c r="FG91" i="2"/>
  <c r="FU91" i="2" s="1"/>
  <c r="FV91" i="2" s="1"/>
  <c r="FC91" i="2"/>
  <c r="FE91" i="2"/>
  <c r="FH246" i="2"/>
  <c r="FK246" i="2" s="1"/>
  <c r="FG246" i="2"/>
  <c r="FU246" i="2" s="1"/>
  <c r="FV246" i="2" s="1"/>
  <c r="FE246" i="2"/>
  <c r="FC246" i="2"/>
  <c r="FH348" i="2"/>
  <c r="FK348" i="2" s="1"/>
  <c r="FG348" i="2"/>
  <c r="FU348" i="2" s="1"/>
  <c r="FV348" i="2" s="1"/>
  <c r="FE348" i="2"/>
  <c r="FC348" i="2"/>
  <c r="FH275" i="2"/>
  <c r="FK275" i="2" s="1"/>
  <c r="FG275" i="2"/>
  <c r="FU275" i="2" s="1"/>
  <c r="FV275" i="2" s="1"/>
  <c r="FC275" i="2"/>
  <c r="FE275" i="2"/>
  <c r="FG63" i="2"/>
  <c r="FU63" i="2" s="1"/>
  <c r="FV63" i="2" s="1"/>
  <c r="FH63" i="2"/>
  <c r="FK63" i="2" s="1"/>
  <c r="FE63" i="2"/>
  <c r="FC63" i="2"/>
  <c r="FH33" i="2"/>
  <c r="FK33" i="2" s="1"/>
  <c r="FG33" i="2"/>
  <c r="FU33" i="2" s="1"/>
  <c r="FV33" i="2" s="1"/>
  <c r="FE33" i="2"/>
  <c r="FC33" i="2"/>
  <c r="FH66" i="2"/>
  <c r="FK66" i="2" s="1"/>
  <c r="FG66" i="2"/>
  <c r="FU66" i="2" s="1"/>
  <c r="FV66" i="2" s="1"/>
  <c r="FC66" i="2"/>
  <c r="FE66" i="2"/>
  <c r="FG390" i="2"/>
  <c r="FH390" i="2" s="1"/>
  <c r="FG17" i="2"/>
  <c r="FU17" i="2" s="1"/>
  <c r="FV17" i="2" s="1"/>
  <c r="FH17" i="2"/>
  <c r="FK17" i="2" s="1"/>
  <c r="FE17" i="2"/>
  <c r="FC17" i="2"/>
  <c r="FG346" i="2"/>
  <c r="FU346" i="2" s="1"/>
  <c r="FV346" i="2" s="1"/>
  <c r="FH346" i="2"/>
  <c r="FK346" i="2" s="1"/>
  <c r="FE346" i="2"/>
  <c r="FC346" i="2"/>
  <c r="FH52" i="2"/>
  <c r="FK52" i="2" s="1"/>
  <c r="FG52" i="2"/>
  <c r="FU52" i="2" s="1"/>
  <c r="FV52" i="2" s="1"/>
  <c r="FC52" i="2"/>
  <c r="FE52" i="2"/>
  <c r="FG18" i="2"/>
  <c r="FU18" i="2" s="1"/>
  <c r="FV18" i="2" s="1"/>
  <c r="FH18" i="2"/>
  <c r="FK18" i="2" s="1"/>
  <c r="FC18" i="2"/>
  <c r="FE18" i="2"/>
  <c r="FH88" i="2"/>
  <c r="FK88" i="2" s="1"/>
  <c r="FG88" i="2"/>
  <c r="FU88" i="2" s="1"/>
  <c r="FV88" i="2" s="1"/>
  <c r="FC88" i="2"/>
  <c r="FE88" i="2"/>
  <c r="FH154" i="2"/>
  <c r="FK154" i="2" s="1"/>
  <c r="FG154" i="2"/>
  <c r="FU154" i="2" s="1"/>
  <c r="FV154" i="2" s="1"/>
  <c r="FE154" i="2"/>
  <c r="FC154" i="2"/>
  <c r="FG161" i="2"/>
  <c r="EX161" i="2" s="1"/>
  <c r="EY161" i="2" s="1"/>
  <c r="FG341" i="2"/>
  <c r="FU341" i="2" s="1"/>
  <c r="FV341" i="2" s="1"/>
  <c r="FH341" i="2"/>
  <c r="FK341" i="2" s="1"/>
  <c r="FC341" i="2"/>
  <c r="FE341" i="2"/>
  <c r="FH307" i="2"/>
  <c r="FK307" i="2" s="1"/>
  <c r="FG307" i="2"/>
  <c r="FU307" i="2" s="1"/>
  <c r="FV307" i="2" s="1"/>
  <c r="FC307" i="2"/>
  <c r="FE307" i="2"/>
  <c r="FG169" i="2"/>
  <c r="FU169" i="2" s="1"/>
  <c r="FV169" i="2" s="1"/>
  <c r="FH169" i="2"/>
  <c r="FK169" i="2" s="1"/>
  <c r="FC169" i="2"/>
  <c r="FE169" i="2"/>
  <c r="FH92" i="2"/>
  <c r="FK92" i="2" s="1"/>
  <c r="FG92" i="2"/>
  <c r="FU92" i="2" s="1"/>
  <c r="FV92" i="2" s="1"/>
  <c r="FE92" i="2"/>
  <c r="FC92" i="2"/>
  <c r="FH12" i="2"/>
  <c r="FK12" i="2" s="1"/>
  <c r="FG12" i="2"/>
  <c r="FU12" i="2" s="1"/>
  <c r="FV12" i="2" s="1"/>
  <c r="FE12" i="2"/>
  <c r="FC12" i="2"/>
  <c r="FG114" i="2"/>
  <c r="FU114" i="2" s="1"/>
  <c r="FV114" i="2" s="1"/>
  <c r="FH114" i="2"/>
  <c r="FK114" i="2" s="1"/>
  <c r="FC114" i="2"/>
  <c r="FE114" i="2"/>
  <c r="FH249" i="2"/>
  <c r="FK249" i="2" s="1"/>
  <c r="FG249" i="2"/>
  <c r="FU249" i="2" s="1"/>
  <c r="FV249" i="2" s="1"/>
  <c r="FE249" i="2"/>
  <c r="FC249" i="2"/>
  <c r="FH151" i="2"/>
  <c r="FK151" i="2" s="1"/>
  <c r="FC151" i="2"/>
  <c r="FG151" i="2"/>
  <c r="FU151" i="2" s="1"/>
  <c r="FV151" i="2" s="1"/>
  <c r="FE151" i="2"/>
  <c r="FG253" i="2"/>
  <c r="FU253" i="2" s="1"/>
  <c r="FV253" i="2" s="1"/>
  <c r="FH253" i="2"/>
  <c r="FK253" i="2" s="1"/>
  <c r="FE253" i="2"/>
  <c r="FC253" i="2"/>
  <c r="FH173" i="2"/>
  <c r="FK173" i="2" s="1"/>
  <c r="FG173" i="2"/>
  <c r="FU173" i="2" s="1"/>
  <c r="FV173" i="2" s="1"/>
  <c r="FE173" i="2"/>
  <c r="FC173" i="2"/>
  <c r="FH26" i="2"/>
  <c r="FK26" i="2" s="1"/>
  <c r="FG26" i="2"/>
  <c r="FU26" i="2" s="1"/>
  <c r="FV26" i="2" s="1"/>
  <c r="FE26" i="2"/>
  <c r="FC26" i="2"/>
  <c r="FH57" i="2"/>
  <c r="FK57" i="2" s="1"/>
  <c r="FG57" i="2"/>
  <c r="FU57" i="2" s="1"/>
  <c r="FV57" i="2" s="1"/>
  <c r="FC57" i="2"/>
  <c r="FE57" i="2"/>
  <c r="FH120" i="2"/>
  <c r="FK120" i="2" s="1"/>
  <c r="FG120" i="2"/>
  <c r="FU120" i="2" s="1"/>
  <c r="FV120" i="2" s="1"/>
  <c r="FC120" i="2"/>
  <c r="FE120" i="2"/>
  <c r="FG359" i="2"/>
  <c r="FU359" i="2" s="1"/>
  <c r="FV359" i="2" s="1"/>
  <c r="FH359" i="2"/>
  <c r="FK359" i="2" s="1"/>
  <c r="FE359" i="2"/>
  <c r="FC359" i="2"/>
  <c r="FH290" i="2"/>
  <c r="FK290" i="2" s="1"/>
  <c r="FG290" i="2"/>
  <c r="FU290" i="2" s="1"/>
  <c r="FV290" i="2" s="1"/>
  <c r="FE290" i="2"/>
  <c r="FC290" i="2"/>
  <c r="FG47" i="2"/>
  <c r="FU47" i="2" s="1"/>
  <c r="FV47" i="2" s="1"/>
  <c r="FH47" i="2"/>
  <c r="FK47" i="2" s="1"/>
  <c r="FE47" i="2"/>
  <c r="FC47" i="2"/>
  <c r="FH226" i="2"/>
  <c r="FK226" i="2" s="1"/>
  <c r="FG226" i="2"/>
  <c r="FU226" i="2" s="1"/>
  <c r="FV226" i="2" s="1"/>
  <c r="FE226" i="2"/>
  <c r="FC226" i="2"/>
  <c r="FH84" i="2"/>
  <c r="FK84" i="2" s="1"/>
  <c r="FG84" i="2"/>
  <c r="FU84" i="2" s="1"/>
  <c r="FV84" i="2" s="1"/>
  <c r="FC84" i="2"/>
  <c r="FE84" i="2"/>
  <c r="FH129" i="2"/>
  <c r="FK129" i="2" s="1"/>
  <c r="FG129" i="2"/>
  <c r="FU129" i="2" s="1"/>
  <c r="FV129" i="2" s="1"/>
  <c r="FE129" i="2"/>
  <c r="FC129" i="2"/>
  <c r="FH321" i="2"/>
  <c r="FK321" i="2" s="1"/>
  <c r="FG321" i="2"/>
  <c r="FU321" i="2" s="1"/>
  <c r="FV321" i="2" s="1"/>
  <c r="FE321" i="2"/>
  <c r="FC321" i="2"/>
  <c r="FG312" i="2"/>
  <c r="FU312" i="2" s="1"/>
  <c r="FV312" i="2" s="1"/>
  <c r="FE312" i="2"/>
  <c r="FH312" i="2"/>
  <c r="FK312" i="2" s="1"/>
  <c r="FC312" i="2"/>
  <c r="FH202" i="2"/>
  <c r="FK202" i="2" s="1"/>
  <c r="FG202" i="2"/>
  <c r="FU202" i="2" s="1"/>
  <c r="FV202" i="2" s="1"/>
  <c r="FE202" i="2"/>
  <c r="FC202" i="2"/>
  <c r="FG50" i="2"/>
  <c r="FU50" i="2" s="1"/>
  <c r="FV50" i="2" s="1"/>
  <c r="FH50" i="2"/>
  <c r="FK50" i="2" s="1"/>
  <c r="FC50" i="2"/>
  <c r="FE50" i="2"/>
  <c r="FH43" i="2"/>
  <c r="FK43" i="2" s="1"/>
  <c r="FG43" i="2"/>
  <c r="FU43" i="2" s="1"/>
  <c r="FV43" i="2" s="1"/>
  <c r="FE43" i="2"/>
  <c r="FC43" i="2"/>
  <c r="FG240" i="2"/>
  <c r="FU240" i="2" s="1"/>
  <c r="FV240" i="2" s="1"/>
  <c r="FE240" i="2"/>
  <c r="FH240" i="2"/>
  <c r="FK240" i="2" s="1"/>
  <c r="FC240" i="2"/>
  <c r="FG206" i="2"/>
  <c r="FU206" i="2" s="1"/>
  <c r="FV206" i="2" s="1"/>
  <c r="FH206" i="2"/>
  <c r="FK206" i="2" s="1"/>
  <c r="FE206" i="2"/>
  <c r="FC206" i="2"/>
  <c r="FH100" i="2"/>
  <c r="FK100" i="2" s="1"/>
  <c r="FG100" i="2"/>
  <c r="FU100" i="2" s="1"/>
  <c r="FV100" i="2" s="1"/>
  <c r="FC100" i="2"/>
  <c r="FE100" i="2"/>
  <c r="FG241" i="2"/>
  <c r="FU241" i="2" s="1"/>
  <c r="FV241" i="2" s="1"/>
  <c r="FH241" i="2"/>
  <c r="FK241" i="2" s="1"/>
  <c r="FE241" i="2"/>
  <c r="FC241" i="2"/>
  <c r="FG237" i="2"/>
  <c r="FU237" i="2" s="1"/>
  <c r="FV237" i="2" s="1"/>
  <c r="FH237" i="2"/>
  <c r="FK237" i="2" s="1"/>
  <c r="FC237" i="2"/>
  <c r="FE237" i="2"/>
  <c r="FH198" i="2"/>
  <c r="FK198" i="2" s="1"/>
  <c r="FG198" i="2"/>
  <c r="FU198" i="2" s="1"/>
  <c r="FV198" i="2" s="1"/>
  <c r="FC198" i="2"/>
  <c r="FE198" i="2"/>
  <c r="FG117" i="2"/>
  <c r="FU117" i="2" s="1"/>
  <c r="FV117" i="2" s="1"/>
  <c r="FH117" i="2"/>
  <c r="FK117" i="2" s="1"/>
  <c r="FC117" i="2"/>
  <c r="FE117" i="2"/>
  <c r="FH174" i="2"/>
  <c r="FK174" i="2" s="1"/>
  <c r="FG174" i="2"/>
  <c r="FU174" i="2" s="1"/>
  <c r="FV174" i="2" s="1"/>
  <c r="FE174" i="2"/>
  <c r="FC174" i="2"/>
  <c r="FH282" i="2"/>
  <c r="FK282" i="2" s="1"/>
  <c r="FG282" i="2"/>
  <c r="FU282" i="2" s="1"/>
  <c r="FV282" i="2" s="1"/>
  <c r="FE282" i="2"/>
  <c r="FC282" i="2"/>
  <c r="FH83" i="2"/>
  <c r="FK83" i="2" s="1"/>
  <c r="FG83" i="2"/>
  <c r="FU83" i="2" s="1"/>
  <c r="FV83" i="2" s="1"/>
  <c r="FE83" i="2"/>
  <c r="FC83" i="2"/>
  <c r="FH170" i="2"/>
  <c r="FK170" i="2" s="1"/>
  <c r="FG170" i="2"/>
  <c r="FE170" i="2"/>
  <c r="FC170" i="2"/>
  <c r="FH367" i="2"/>
  <c r="FK367" i="2" s="1"/>
  <c r="FG367" i="2"/>
  <c r="FU367" i="2" s="1"/>
  <c r="FV367" i="2" s="1"/>
  <c r="FE367" i="2"/>
  <c r="FC367" i="2"/>
  <c r="FH146" i="2"/>
  <c r="FK146" i="2" s="1"/>
  <c r="FG146" i="2"/>
  <c r="FC146" i="2"/>
  <c r="FE146" i="2"/>
  <c r="FH48" i="2"/>
  <c r="FK48" i="2" s="1"/>
  <c r="FG48" i="2"/>
  <c r="FU48" i="2" s="1"/>
  <c r="FV48" i="2" s="1"/>
  <c r="FE48" i="2"/>
  <c r="FC48" i="2"/>
  <c r="FG340" i="2"/>
  <c r="FU340" i="2" s="1"/>
  <c r="FV340" i="2" s="1"/>
  <c r="FH340" i="2"/>
  <c r="FK340" i="2" s="1"/>
  <c r="FE340" i="2"/>
  <c r="FC340" i="2"/>
  <c r="FH38" i="2"/>
  <c r="FK38" i="2" s="1"/>
  <c r="FG38" i="2"/>
  <c r="FU38" i="2" s="1"/>
  <c r="FV38" i="2" s="1"/>
  <c r="FC38" i="2"/>
  <c r="FE38" i="2"/>
  <c r="FH288" i="2"/>
  <c r="FK288" i="2" s="1"/>
  <c r="FE288" i="2"/>
  <c r="FG288" i="2"/>
  <c r="FU288" i="2" s="1"/>
  <c r="FV288" i="2" s="1"/>
  <c r="FC288" i="2"/>
  <c r="FH147" i="2"/>
  <c r="FK147" i="2" s="1"/>
  <c r="FG147" i="2"/>
  <c r="FU147" i="2" s="1"/>
  <c r="FV147" i="2" s="1"/>
  <c r="FE147" i="2"/>
  <c r="FC147" i="2"/>
  <c r="FH383" i="2"/>
  <c r="FK383" i="2" s="1"/>
  <c r="FG383" i="2"/>
  <c r="FU383" i="2" s="1"/>
  <c r="FV383" i="2" s="1"/>
  <c r="FE383" i="2"/>
  <c r="FC383" i="2"/>
  <c r="FG22" i="2"/>
  <c r="FU22" i="2" s="1"/>
  <c r="FV22" i="2" s="1"/>
  <c r="FH22" i="2"/>
  <c r="FK22" i="2" s="1"/>
  <c r="FC22" i="2"/>
  <c r="FE22" i="2"/>
  <c r="FH59" i="2"/>
  <c r="FK59" i="2" s="1"/>
  <c r="FG59" i="2"/>
  <c r="FU59" i="2" s="1"/>
  <c r="FV59" i="2" s="1"/>
  <c r="FC59" i="2"/>
  <c r="FE59" i="2"/>
  <c r="FH87" i="2"/>
  <c r="FK87" i="2" s="1"/>
  <c r="FC87" i="2"/>
  <c r="FG87" i="2"/>
  <c r="FU87" i="2" s="1"/>
  <c r="FV87" i="2" s="1"/>
  <c r="FE87" i="2"/>
  <c r="FH213" i="2"/>
  <c r="FK213" i="2" s="1"/>
  <c r="FG213" i="2"/>
  <c r="FU213" i="2" s="1"/>
  <c r="FV213" i="2" s="1"/>
  <c r="FC213" i="2"/>
  <c r="FE213" i="2"/>
  <c r="FG221" i="2"/>
  <c r="FU221" i="2" s="1"/>
  <c r="FV221" i="2" s="1"/>
  <c r="FH221" i="2"/>
  <c r="FK221" i="2" s="1"/>
  <c r="FC221" i="2"/>
  <c r="FE221" i="2"/>
  <c r="FG97" i="2"/>
  <c r="FU97" i="2" s="1"/>
  <c r="FV97" i="2" s="1"/>
  <c r="FE97" i="2"/>
  <c r="FH97" i="2"/>
  <c r="FK97" i="2" s="1"/>
  <c r="FC97" i="2"/>
  <c r="FH243" i="2"/>
  <c r="FK243" i="2" s="1"/>
  <c r="FG243" i="2"/>
  <c r="FU243" i="2" s="1"/>
  <c r="FV243" i="2" s="1"/>
  <c r="FE243" i="2"/>
  <c r="FC243" i="2"/>
  <c r="FH90" i="2"/>
  <c r="FK90" i="2" s="1"/>
  <c r="FG90" i="2"/>
  <c r="FU90" i="2" s="1"/>
  <c r="FV90" i="2" s="1"/>
  <c r="FE90" i="2"/>
  <c r="FC90" i="2"/>
  <c r="FH82" i="2"/>
  <c r="FK82" i="2" s="1"/>
  <c r="FG82" i="2"/>
  <c r="FU82" i="2" s="1"/>
  <c r="FV82" i="2" s="1"/>
  <c r="FC82" i="2"/>
  <c r="FE82" i="2"/>
  <c r="FG229" i="2"/>
  <c r="FU229" i="2" s="1"/>
  <c r="FV229" i="2" s="1"/>
  <c r="FH229" i="2"/>
  <c r="FK229" i="2" s="1"/>
  <c r="FC229" i="2"/>
  <c r="FE229" i="2"/>
  <c r="FH152" i="2"/>
  <c r="FK152" i="2" s="1"/>
  <c r="FG152" i="2"/>
  <c r="FU152" i="2" s="1"/>
  <c r="FV152" i="2" s="1"/>
  <c r="FC152" i="2"/>
  <c r="FE152" i="2"/>
  <c r="FH272" i="2"/>
  <c r="FK272" i="2" s="1"/>
  <c r="FG272" i="2"/>
  <c r="FU272" i="2" s="1"/>
  <c r="FV272" i="2" s="1"/>
  <c r="FE272" i="2"/>
  <c r="FC272" i="2"/>
  <c r="FG203" i="2"/>
  <c r="FU203" i="2" s="1"/>
  <c r="FV203" i="2" s="1"/>
  <c r="FH203" i="2"/>
  <c r="FK203" i="2" s="1"/>
  <c r="FE203" i="2"/>
  <c r="FC203" i="2"/>
  <c r="FH60" i="2"/>
  <c r="FK60" i="2" s="1"/>
  <c r="FG60" i="2"/>
  <c r="FU60" i="2" s="1"/>
  <c r="FV60" i="2" s="1"/>
  <c r="FE60" i="2"/>
  <c r="FC60" i="2"/>
  <c r="FH219" i="2"/>
  <c r="FK219" i="2" s="1"/>
  <c r="FG219" i="2"/>
  <c r="FU219" i="2" s="1"/>
  <c r="FV219" i="2" s="1"/>
  <c r="FC219" i="2"/>
  <c r="FE219" i="2"/>
  <c r="FG13" i="2"/>
  <c r="FU13" i="2" s="1"/>
  <c r="FV13" i="2" s="1"/>
  <c r="FH13" i="2"/>
  <c r="FK13" i="2" s="1"/>
  <c r="FE13" i="2"/>
  <c r="FC13" i="2"/>
  <c r="FH37" i="2"/>
  <c r="FK37" i="2" s="1"/>
  <c r="FG37" i="2"/>
  <c r="FU37" i="2" s="1"/>
  <c r="FV37" i="2" s="1"/>
  <c r="FC37" i="2"/>
  <c r="FE37" i="2"/>
  <c r="FH102" i="2"/>
  <c r="FK102" i="2" s="1"/>
  <c r="FG102" i="2"/>
  <c r="FU102" i="2" s="1"/>
  <c r="FV102" i="2" s="1"/>
  <c r="FC102" i="2"/>
  <c r="FE102" i="2"/>
  <c r="FH81" i="2"/>
  <c r="FK81" i="2" s="1"/>
  <c r="FG81" i="2"/>
  <c r="FU81" i="2" s="1"/>
  <c r="FV81" i="2" s="1"/>
  <c r="FE81" i="2"/>
  <c r="FC81" i="2"/>
  <c r="FH337" i="2"/>
  <c r="FK337" i="2" s="1"/>
  <c r="FG337" i="2"/>
  <c r="FU337" i="2" s="1"/>
  <c r="FV337" i="2" s="1"/>
  <c r="FE337" i="2"/>
  <c r="FC337" i="2"/>
  <c r="FG143" i="2"/>
  <c r="FU143" i="2" s="1"/>
  <c r="FV143" i="2" s="1"/>
  <c r="FH143" i="2"/>
  <c r="FK143" i="2" s="1"/>
  <c r="FE143" i="2"/>
  <c r="FC143" i="2"/>
  <c r="FG116" i="2"/>
  <c r="FU116" i="2" s="1"/>
  <c r="FV116" i="2" s="1"/>
  <c r="FH116" i="2"/>
  <c r="FK116" i="2" s="1"/>
  <c r="FC116" i="2"/>
  <c r="FE116" i="2"/>
  <c r="FG389" i="2"/>
  <c r="FU389" i="2" s="1"/>
  <c r="FV389" i="2" s="1"/>
  <c r="FH389" i="2"/>
  <c r="FK389" i="2" s="1"/>
  <c r="FE389" i="2"/>
  <c r="FC389" i="2"/>
  <c r="FH79" i="2"/>
  <c r="FK79" i="2" s="1"/>
  <c r="FG79" i="2"/>
  <c r="FU79" i="2" s="1"/>
  <c r="FV79" i="2" s="1"/>
  <c r="FE79" i="2"/>
  <c r="FC79" i="2"/>
  <c r="FH140" i="2"/>
  <c r="FK140" i="2" s="1"/>
  <c r="FG140" i="2"/>
  <c r="FU140" i="2" s="1"/>
  <c r="FV140" i="2" s="1"/>
  <c r="FE140" i="2"/>
  <c r="FC140" i="2"/>
  <c r="FH56" i="2"/>
  <c r="FK56" i="2" s="1"/>
  <c r="FG56" i="2"/>
  <c r="FU56" i="2" s="1"/>
  <c r="FV56" i="2" s="1"/>
  <c r="FC56" i="2"/>
  <c r="FE56" i="2"/>
  <c r="FG164" i="2"/>
  <c r="FU164" i="2" s="1"/>
  <c r="FV164" i="2" s="1"/>
  <c r="FH164" i="2"/>
  <c r="FK164" i="2" s="1"/>
  <c r="FC164" i="2"/>
  <c r="FE164" i="2"/>
  <c r="FH319" i="2"/>
  <c r="FK319" i="2" s="1"/>
  <c r="FG319" i="2"/>
  <c r="FU319" i="2" s="1"/>
  <c r="FV319" i="2" s="1"/>
  <c r="FE319" i="2"/>
  <c r="FC319" i="2"/>
  <c r="FH76" i="2"/>
  <c r="FK76" i="2" s="1"/>
  <c r="FG76" i="2"/>
  <c r="FU76" i="2" s="1"/>
  <c r="FV76" i="2" s="1"/>
  <c r="FE76" i="2"/>
  <c r="FC76" i="2"/>
  <c r="FG378" i="2"/>
  <c r="FU378" i="2" s="1"/>
  <c r="FV378" i="2" s="1"/>
  <c r="FH378" i="2"/>
  <c r="FK378" i="2" s="1"/>
  <c r="FE378" i="2"/>
  <c r="FC378" i="2"/>
  <c r="FH380" i="2"/>
  <c r="FK380" i="2" s="1"/>
  <c r="FG380" i="2"/>
  <c r="FU380" i="2" s="1"/>
  <c r="FV380" i="2" s="1"/>
  <c r="FE380" i="2"/>
  <c r="FC380" i="2"/>
  <c r="FG201" i="2"/>
  <c r="FU201" i="2" s="1"/>
  <c r="FV201" i="2" s="1"/>
  <c r="FH201" i="2"/>
  <c r="FK201" i="2" s="1"/>
  <c r="FE201" i="2"/>
  <c r="FC201" i="2"/>
  <c r="FG207" i="2"/>
  <c r="FU207" i="2" s="1"/>
  <c r="FV207" i="2" s="1"/>
  <c r="FH207" i="2"/>
  <c r="FK207" i="2" s="1"/>
  <c r="FE207" i="2"/>
  <c r="FC207" i="2"/>
  <c r="FH287" i="2"/>
  <c r="FK287" i="2" s="1"/>
  <c r="FG287" i="2"/>
  <c r="FU287" i="2" s="1"/>
  <c r="FV287" i="2" s="1"/>
  <c r="FE287" i="2"/>
  <c r="FC287" i="2"/>
  <c r="FH215" i="2"/>
  <c r="FK215" i="2" s="1"/>
  <c r="FG215" i="2"/>
  <c r="FU215" i="2" s="1"/>
  <c r="FV215" i="2" s="1"/>
  <c r="FC215" i="2"/>
  <c r="FE215" i="2"/>
  <c r="FH283" i="2"/>
  <c r="FK283" i="2" s="1"/>
  <c r="FG283" i="2"/>
  <c r="FU283" i="2" s="1"/>
  <c r="FV283" i="2" s="1"/>
  <c r="FE283" i="2"/>
  <c r="FC283" i="2"/>
  <c r="FG46" i="2"/>
  <c r="FU46" i="2" s="1"/>
  <c r="FV46" i="2" s="1"/>
  <c r="FH46" i="2"/>
  <c r="FK46" i="2" s="1"/>
  <c r="FE46" i="2"/>
  <c r="FC46" i="2"/>
  <c r="FH23" i="2"/>
  <c r="FK23" i="2" s="1"/>
  <c r="FG23" i="2"/>
  <c r="FU23" i="2" s="1"/>
  <c r="FV23" i="2" s="1"/>
  <c r="FC23" i="2"/>
  <c r="FE23" i="2"/>
  <c r="FH54" i="2"/>
  <c r="FK54" i="2" s="1"/>
  <c r="FG54" i="2"/>
  <c r="FU54" i="2" s="1"/>
  <c r="FV54" i="2" s="1"/>
  <c r="FC54" i="2"/>
  <c r="FE54" i="2"/>
  <c r="FH336" i="2"/>
  <c r="FK336" i="2" s="1"/>
  <c r="FG336" i="2"/>
  <c r="FU336" i="2" s="1"/>
  <c r="FV336" i="2" s="1"/>
  <c r="FE336" i="2"/>
  <c r="FC336" i="2"/>
  <c r="FG96" i="2"/>
  <c r="FU96" i="2" s="1"/>
  <c r="FV96" i="2" s="1"/>
  <c r="FH96" i="2"/>
  <c r="FK96" i="2" s="1"/>
  <c r="FE96" i="2"/>
  <c r="FC96" i="2"/>
  <c r="FG342" i="2"/>
  <c r="FU342" i="2" s="1"/>
  <c r="FV342" i="2" s="1"/>
  <c r="FH342" i="2"/>
  <c r="FK342" i="2" s="1"/>
  <c r="FE342" i="2"/>
  <c r="FC342" i="2"/>
  <c r="FG113" i="2"/>
  <c r="FU113" i="2" s="1"/>
  <c r="FV113" i="2" s="1"/>
  <c r="FH113" i="2"/>
  <c r="FK113" i="2" s="1"/>
  <c r="FE113" i="2"/>
  <c r="FC113" i="2"/>
  <c r="FG314" i="2"/>
  <c r="FU314" i="2" s="1"/>
  <c r="FV314" i="2" s="1"/>
  <c r="FH314" i="2"/>
  <c r="FK314" i="2" s="1"/>
  <c r="FE314" i="2"/>
  <c r="FC314" i="2"/>
  <c r="FH44" i="2"/>
  <c r="FK44" i="2" s="1"/>
  <c r="FG44" i="2"/>
  <c r="FU44" i="2" s="1"/>
  <c r="FV44" i="2" s="1"/>
  <c r="FE44" i="2"/>
  <c r="FC44" i="2"/>
  <c r="FG185" i="2"/>
  <c r="FU185" i="2" s="1"/>
  <c r="FV185" i="2" s="1"/>
  <c r="FH185" i="2"/>
  <c r="FK185" i="2" s="1"/>
  <c r="FC185" i="2"/>
  <c r="FE185" i="2"/>
  <c r="FH318" i="2"/>
  <c r="FK318" i="2" s="1"/>
  <c r="FG318" i="2"/>
  <c r="FU318" i="2" s="1"/>
  <c r="FV318" i="2" s="1"/>
  <c r="FE318" i="2"/>
  <c r="FC318" i="2"/>
  <c r="FH297" i="2"/>
  <c r="FK297" i="2" s="1"/>
  <c r="FG297" i="2"/>
  <c r="FU297" i="2" s="1"/>
  <c r="FV297" i="2" s="1"/>
  <c r="FE297" i="2"/>
  <c r="FC297" i="2"/>
  <c r="FG167" i="2"/>
  <c r="FE167" i="2"/>
  <c r="FH167" i="2"/>
  <c r="FC167" i="2"/>
  <c r="FH193" i="2"/>
  <c r="FK193" i="2" s="1"/>
  <c r="FG193" i="2"/>
  <c r="FU193" i="2" s="1"/>
  <c r="FV193" i="2" s="1"/>
  <c r="FE193" i="2"/>
  <c r="FC193" i="2"/>
  <c r="FG375" i="2"/>
  <c r="FU375" i="2" s="1"/>
  <c r="FV375" i="2" s="1"/>
  <c r="FH375" i="2"/>
  <c r="FK375" i="2" s="1"/>
  <c r="FE375" i="2"/>
  <c r="FC375" i="2"/>
  <c r="FH134" i="2"/>
  <c r="FK134" i="2" s="1"/>
  <c r="FG134" i="2"/>
  <c r="FU134" i="2" s="1"/>
  <c r="FV134" i="2" s="1"/>
  <c r="FC134" i="2"/>
  <c r="FE134" i="2"/>
  <c r="FH194" i="2"/>
  <c r="FK194" i="2" s="1"/>
  <c r="FG194" i="2"/>
  <c r="FU194" i="2" s="1"/>
  <c r="FV194" i="2" s="1"/>
  <c r="FC194" i="2"/>
  <c r="FE194" i="2"/>
  <c r="FG331" i="2"/>
  <c r="FU331" i="2" s="1"/>
  <c r="FV331" i="2" s="1"/>
  <c r="FH331" i="2"/>
  <c r="FK331" i="2" s="1"/>
  <c r="FE331" i="2"/>
  <c r="FC331" i="2"/>
  <c r="FH136" i="2"/>
  <c r="FK136" i="2" s="1"/>
  <c r="FG136" i="2"/>
  <c r="FU136" i="2" s="1"/>
  <c r="FV136" i="2" s="1"/>
  <c r="FC136" i="2"/>
  <c r="FE136" i="2"/>
  <c r="FH199" i="2"/>
  <c r="FK199" i="2" s="1"/>
  <c r="FG199" i="2"/>
  <c r="FU199" i="2" s="1"/>
  <c r="FV199" i="2" s="1"/>
  <c r="FE199" i="2"/>
  <c r="FC199" i="2"/>
  <c r="FH200" i="2"/>
  <c r="FK200" i="2" s="1"/>
  <c r="FG200" i="2"/>
  <c r="FU200" i="2" s="1"/>
  <c r="FV200" i="2" s="1"/>
  <c r="FE200" i="2"/>
  <c r="FC200" i="2"/>
  <c r="FH273" i="2"/>
  <c r="FK273" i="2" s="1"/>
  <c r="FG273" i="2"/>
  <c r="FU273" i="2" s="1"/>
  <c r="FV273" i="2" s="1"/>
  <c r="FE273" i="2"/>
  <c r="FC273" i="2"/>
  <c r="FG388" i="2"/>
  <c r="FU388" i="2" s="1"/>
  <c r="FV388" i="2" s="1"/>
  <c r="FH388" i="2"/>
  <c r="FK388" i="2" s="1"/>
  <c r="FE388" i="2"/>
  <c r="FC388" i="2"/>
  <c r="FH225" i="2"/>
  <c r="FK225" i="2" s="1"/>
  <c r="FG225" i="2"/>
  <c r="FU225" i="2" s="1"/>
  <c r="FV225" i="2" s="1"/>
  <c r="FE225" i="2"/>
  <c r="FC225" i="2"/>
  <c r="FH80" i="2"/>
  <c r="FK80" i="2" s="1"/>
  <c r="FG80" i="2"/>
  <c r="FU80" i="2" s="1"/>
  <c r="FV80" i="2" s="1"/>
  <c r="FE80" i="2"/>
  <c r="FC80" i="2"/>
  <c r="FG311" i="2"/>
  <c r="FH311" i="2" s="1"/>
  <c r="FH234" i="2"/>
  <c r="FK234" i="2" s="1"/>
  <c r="FG234" i="2"/>
  <c r="FU234" i="2" s="1"/>
  <c r="FV234" i="2" s="1"/>
  <c r="FC234" i="2"/>
  <c r="FE234" i="2"/>
  <c r="FG155" i="2"/>
  <c r="FU155" i="2" s="1"/>
  <c r="FV155" i="2" s="1"/>
  <c r="FH155" i="2"/>
  <c r="FK155" i="2" s="1"/>
  <c r="FC155" i="2"/>
  <c r="FE155" i="2"/>
  <c r="FH267" i="2"/>
  <c r="FK267" i="2" s="1"/>
  <c r="FG267" i="2"/>
  <c r="FU267" i="2" s="1"/>
  <c r="FV267" i="2" s="1"/>
  <c r="FE267" i="2"/>
  <c r="FC267" i="2"/>
  <c r="FH132" i="2"/>
  <c r="FK132" i="2" s="1"/>
  <c r="FG132" i="2"/>
  <c r="FU132" i="2" s="1"/>
  <c r="FV132" i="2" s="1"/>
  <c r="FC132" i="2"/>
  <c r="FE132" i="2"/>
  <c r="FG324" i="2"/>
  <c r="FU324" i="2" s="1"/>
  <c r="FV324" i="2" s="1"/>
  <c r="FH324" i="2"/>
  <c r="FK324" i="2" s="1"/>
  <c r="FE324" i="2"/>
  <c r="FC324" i="2"/>
  <c r="FG21" i="2"/>
  <c r="FU21" i="2" s="1"/>
  <c r="FV21" i="2" s="1"/>
  <c r="FC21" i="2"/>
  <c r="FH21" i="2"/>
  <c r="FK21" i="2" s="1"/>
  <c r="FE21" i="2"/>
  <c r="FG218" i="2"/>
  <c r="FU218" i="2" s="1"/>
  <c r="FV218" i="2" s="1"/>
  <c r="FH218" i="2"/>
  <c r="FK218" i="2" s="1"/>
  <c r="FE218" i="2"/>
  <c r="FC218" i="2"/>
  <c r="FH306" i="2"/>
  <c r="FK306" i="2" s="1"/>
  <c r="FG306" i="2"/>
  <c r="FU306" i="2" s="1"/>
  <c r="FV306" i="2" s="1"/>
  <c r="FE306" i="2"/>
  <c r="FC306" i="2"/>
  <c r="FH34" i="2"/>
  <c r="FK34" i="2" s="1"/>
  <c r="FG34" i="2"/>
  <c r="FU34" i="2" s="1"/>
  <c r="FV34" i="2" s="1"/>
  <c r="FC34" i="2"/>
  <c r="FE34" i="2"/>
  <c r="FH133" i="2"/>
  <c r="FK133" i="2" s="1"/>
  <c r="FG133" i="2"/>
  <c r="FU133" i="2" s="1"/>
  <c r="FV133" i="2" s="1"/>
  <c r="FC133" i="2"/>
  <c r="FE133" i="2"/>
  <c r="FG356" i="2"/>
  <c r="FU356" i="2" s="1"/>
  <c r="FV356" i="2" s="1"/>
  <c r="FH356" i="2"/>
  <c r="FK356" i="2" s="1"/>
  <c r="FE356" i="2"/>
  <c r="FC356" i="2"/>
  <c r="FH53" i="2"/>
  <c r="FK53" i="2" s="1"/>
  <c r="FG53" i="2"/>
  <c r="FU53" i="2" s="1"/>
  <c r="FV53" i="2" s="1"/>
  <c r="FC53" i="2"/>
  <c r="FE53" i="2"/>
  <c r="FH332" i="2"/>
  <c r="FK332" i="2" s="1"/>
  <c r="FG332" i="2"/>
  <c r="FU332" i="2" s="1"/>
  <c r="FV332" i="2" s="1"/>
  <c r="FE332" i="2"/>
  <c r="FC332" i="2"/>
  <c r="FH274" i="2"/>
  <c r="FK274" i="2" s="1"/>
  <c r="FG274" i="2"/>
  <c r="FU274" i="2" s="1"/>
  <c r="FV274" i="2" s="1"/>
  <c r="FC274" i="2"/>
  <c r="FE274" i="2"/>
  <c r="FH233" i="2"/>
  <c r="FK233" i="2" s="1"/>
  <c r="FG233" i="2"/>
  <c r="FU233" i="2" s="1"/>
  <c r="FV233" i="2" s="1"/>
  <c r="FE233" i="2"/>
  <c r="FC233" i="2"/>
  <c r="FH289" i="2"/>
  <c r="FK289" i="2" s="1"/>
  <c r="FE289" i="2"/>
  <c r="FG289" i="2"/>
  <c r="FU289" i="2" s="1"/>
  <c r="FV289" i="2" s="1"/>
  <c r="FC289" i="2"/>
  <c r="FG326" i="2"/>
  <c r="FU326" i="2" s="1"/>
  <c r="FV326" i="2" s="1"/>
  <c r="FH326" i="2"/>
  <c r="FK326" i="2" s="1"/>
  <c r="FE326" i="2"/>
  <c r="FC326" i="2"/>
  <c r="FH106" i="2"/>
  <c r="FK106" i="2" s="1"/>
  <c r="FG106" i="2"/>
  <c r="FU106" i="2" s="1"/>
  <c r="FV106" i="2" s="1"/>
  <c r="FE106" i="2"/>
  <c r="FC106" i="2"/>
  <c r="FH190" i="2"/>
  <c r="FK190" i="2" s="1"/>
  <c r="FG190" i="2"/>
  <c r="FU190" i="2" s="1"/>
  <c r="FV190" i="2" s="1"/>
  <c r="FE190" i="2"/>
  <c r="FC190" i="2"/>
  <c r="FH292" i="2"/>
  <c r="FK292" i="2" s="1"/>
  <c r="FG292" i="2"/>
  <c r="FU292" i="2" s="1"/>
  <c r="FV292" i="2" s="1"/>
  <c r="FE292" i="2"/>
  <c r="FC292" i="2"/>
  <c r="FH387" i="2"/>
  <c r="FK387" i="2" s="1"/>
  <c r="FG387" i="2"/>
  <c r="FU387" i="2" s="1"/>
  <c r="FV387" i="2" s="1"/>
  <c r="FC387" i="2"/>
  <c r="FE387" i="2"/>
  <c r="FH260" i="2"/>
  <c r="FK260" i="2" s="1"/>
  <c r="FG260" i="2"/>
  <c r="FU260" i="2" s="1"/>
  <c r="FV260" i="2" s="1"/>
  <c r="FE260" i="2"/>
  <c r="FC260" i="2"/>
  <c r="FG330" i="2"/>
  <c r="FU330" i="2" s="1"/>
  <c r="FV330" i="2" s="1"/>
  <c r="FH330" i="2"/>
  <c r="FK330" i="2" s="1"/>
  <c r="FE330" i="2"/>
  <c r="FC330" i="2"/>
  <c r="FH384" i="2"/>
  <c r="FK384" i="2" s="1"/>
  <c r="FG384" i="2"/>
  <c r="FU384" i="2" s="1"/>
  <c r="FV384" i="2" s="1"/>
  <c r="FE384" i="2"/>
  <c r="FC384" i="2"/>
  <c r="FH180" i="2"/>
  <c r="FK180" i="2" s="1"/>
  <c r="FG180" i="2"/>
  <c r="FU180" i="2" s="1"/>
  <c r="FV180" i="2" s="1"/>
  <c r="FC180" i="2"/>
  <c r="FE180" i="2"/>
  <c r="FG295" i="2"/>
  <c r="FU295" i="2" s="1"/>
  <c r="FV295" i="2" s="1"/>
  <c r="FH295" i="2"/>
  <c r="FK295" i="2" s="1"/>
  <c r="FE295" i="2"/>
  <c r="FC295" i="2"/>
  <c r="FH269" i="2"/>
  <c r="FK269" i="2" s="1"/>
  <c r="FG269" i="2"/>
  <c r="FU269" i="2" s="1"/>
  <c r="FV269" i="2" s="1"/>
  <c r="FE269" i="2"/>
  <c r="FC269" i="2"/>
  <c r="FH217" i="2"/>
  <c r="FK217" i="2" s="1"/>
  <c r="FG217" i="2"/>
  <c r="FU217" i="2" s="1"/>
  <c r="FV217" i="2" s="1"/>
  <c r="FC217" i="2"/>
  <c r="FE217" i="2"/>
  <c r="FH9" i="2"/>
  <c r="FK9" i="2" s="1"/>
  <c r="FG9" i="2"/>
  <c r="FU9" i="2" s="1"/>
  <c r="FV9" i="2" s="1"/>
  <c r="FC9" i="2"/>
  <c r="FE9" i="2"/>
  <c r="FG162" i="2"/>
  <c r="FU162" i="2" s="1"/>
  <c r="FV162" i="2" s="1"/>
  <c r="FH162" i="2"/>
  <c r="FK162" i="2" s="1"/>
  <c r="FC162" i="2"/>
  <c r="FE162" i="2"/>
  <c r="FG14" i="2"/>
  <c r="FU14" i="2" s="1"/>
  <c r="FV14" i="2" s="1"/>
  <c r="FH14" i="2"/>
  <c r="FK14" i="2" s="1"/>
  <c r="FE14" i="2"/>
  <c r="FC14" i="2"/>
  <c r="FG78" i="2"/>
  <c r="FU78" i="2" s="1"/>
  <c r="FV78" i="2" s="1"/>
  <c r="FH78" i="2"/>
  <c r="FK78" i="2" s="1"/>
  <c r="FE78" i="2"/>
  <c r="FC78" i="2"/>
  <c r="FH334" i="2"/>
  <c r="FK334" i="2" s="1"/>
  <c r="FG334" i="2"/>
  <c r="FU334" i="2" s="1"/>
  <c r="FV334" i="2" s="1"/>
  <c r="FE334" i="2"/>
  <c r="FC334" i="2"/>
  <c r="FG139" i="2"/>
  <c r="FU139" i="2" s="1"/>
  <c r="FV139" i="2" s="1"/>
  <c r="FH139" i="2"/>
  <c r="FK139" i="2" s="1"/>
  <c r="FC139" i="2"/>
  <c r="FE139" i="2"/>
  <c r="FH10" i="2"/>
  <c r="FK10" i="2" s="1"/>
  <c r="FG10" i="2"/>
  <c r="FU10" i="2" s="1"/>
  <c r="FV10" i="2" s="1"/>
  <c r="FE10" i="2"/>
  <c r="FC10" i="2"/>
  <c r="FH108" i="2"/>
  <c r="FK108" i="2" s="1"/>
  <c r="FG108" i="2"/>
  <c r="FU108" i="2" s="1"/>
  <c r="FV108" i="2" s="1"/>
  <c r="FE108" i="2"/>
  <c r="FC108" i="2"/>
  <c r="FH75" i="2"/>
  <c r="FK75" i="2" s="1"/>
  <c r="FG75" i="2"/>
  <c r="FU75" i="2" s="1"/>
  <c r="FV75" i="2" s="1"/>
  <c r="FC75" i="2"/>
  <c r="FE75" i="2"/>
  <c r="FH105" i="2"/>
  <c r="FK105" i="2" s="1"/>
  <c r="FG105" i="2"/>
  <c r="FU105" i="2" s="1"/>
  <c r="FV105" i="2" s="1"/>
  <c r="FC105" i="2"/>
  <c r="FE105" i="2"/>
  <c r="FG49" i="2"/>
  <c r="FU49" i="2" s="1"/>
  <c r="FV49" i="2" s="1"/>
  <c r="FE49" i="2"/>
  <c r="FH49" i="2"/>
  <c r="FK49" i="2" s="1"/>
  <c r="FC49" i="2"/>
  <c r="FG144" i="2"/>
  <c r="FU144" i="2" s="1"/>
  <c r="FV144" i="2" s="1"/>
  <c r="FH144" i="2"/>
  <c r="FK144" i="2" s="1"/>
  <c r="FE144" i="2"/>
  <c r="FC144" i="2"/>
  <c r="FG62" i="2"/>
  <c r="FU62" i="2" s="1"/>
  <c r="FV62" i="2" s="1"/>
  <c r="FH62" i="2"/>
  <c r="FK62" i="2" s="1"/>
  <c r="FE62" i="2"/>
  <c r="FC62" i="2"/>
  <c r="FH304" i="2"/>
  <c r="FK304" i="2" s="1"/>
  <c r="FG304" i="2"/>
  <c r="FU304" i="2" s="1"/>
  <c r="FV304" i="2" s="1"/>
  <c r="FE304" i="2"/>
  <c r="FC304" i="2"/>
  <c r="FH72" i="2"/>
  <c r="FK72" i="2" s="1"/>
  <c r="FG72" i="2"/>
  <c r="FU72" i="2" s="1"/>
  <c r="FV72" i="2" s="1"/>
  <c r="FC72" i="2"/>
  <c r="FE72" i="2"/>
  <c r="FH369" i="2"/>
  <c r="FK369" i="2" s="1"/>
  <c r="FG369" i="2"/>
  <c r="FU369" i="2" s="1"/>
  <c r="FV369" i="2" s="1"/>
  <c r="FE369" i="2"/>
  <c r="FC369" i="2"/>
  <c r="FH361" i="2"/>
  <c r="FK361" i="2" s="1"/>
  <c r="FG361" i="2"/>
  <c r="FU361" i="2" s="1"/>
  <c r="FV361" i="2" s="1"/>
  <c r="FE361" i="2"/>
  <c r="FC361" i="2"/>
  <c r="FG293" i="2"/>
  <c r="FU293" i="2" s="1"/>
  <c r="FV293" i="2" s="1"/>
  <c r="FH293" i="2"/>
  <c r="FK293" i="2" s="1"/>
  <c r="FC293" i="2"/>
  <c r="FE293" i="2"/>
  <c r="FH68" i="2"/>
  <c r="FK68" i="2" s="1"/>
  <c r="FG68" i="2"/>
  <c r="FU68" i="2" s="1"/>
  <c r="FV68" i="2" s="1"/>
  <c r="FC68" i="2"/>
  <c r="FE68" i="2"/>
  <c r="FG160" i="2"/>
  <c r="FU160" i="2" s="1"/>
  <c r="FV160" i="2" s="1"/>
  <c r="FH160" i="2"/>
  <c r="FK160" i="2" s="1"/>
  <c r="FE160" i="2"/>
  <c r="FC160" i="2"/>
  <c r="FH261" i="2"/>
  <c r="FG261" i="2"/>
  <c r="FC261" i="2"/>
  <c r="FE261" i="2"/>
  <c r="FG254" i="2"/>
  <c r="FU254" i="2" s="1"/>
  <c r="FV254" i="2" s="1"/>
  <c r="FH254" i="2"/>
  <c r="FK254" i="2" s="1"/>
  <c r="FE254" i="2"/>
  <c r="FC254" i="2"/>
  <c r="FH284" i="2"/>
  <c r="FK284" i="2" s="1"/>
  <c r="FG284" i="2"/>
  <c r="FU284" i="2" s="1"/>
  <c r="FV284" i="2" s="1"/>
  <c r="FC284" i="2"/>
  <c r="FE284" i="2"/>
  <c r="FG391" i="2"/>
  <c r="FU391" i="2" s="1"/>
  <c r="FV391" i="2" s="1"/>
  <c r="FH391" i="2"/>
  <c r="FK391" i="2" s="1"/>
  <c r="FE391" i="2"/>
  <c r="FC391" i="2"/>
  <c r="FG77" i="2"/>
  <c r="FU77" i="2" s="1"/>
  <c r="FV77" i="2" s="1"/>
  <c r="FH77" i="2"/>
  <c r="FK77" i="2" s="1"/>
  <c r="FE77" i="2"/>
  <c r="FC77" i="2"/>
  <c r="FH339" i="2"/>
  <c r="FK339" i="2" s="1"/>
  <c r="FG339" i="2"/>
  <c r="FU339" i="2" s="1"/>
  <c r="FV339" i="2" s="1"/>
  <c r="FC339" i="2"/>
  <c r="FE339" i="2"/>
  <c r="FG110" i="2"/>
  <c r="FU110" i="2" s="1"/>
  <c r="FV110" i="2" s="1"/>
  <c r="FH110" i="2"/>
  <c r="FK110" i="2" s="1"/>
  <c r="FE110" i="2"/>
  <c r="FC110" i="2"/>
  <c r="FH299" i="2"/>
  <c r="FK299" i="2" s="1"/>
  <c r="FG299" i="2"/>
  <c r="FU299" i="2" s="1"/>
  <c r="FV299" i="2" s="1"/>
  <c r="FE299" i="2"/>
  <c r="FC299" i="2"/>
  <c r="FH41" i="2"/>
  <c r="FK41" i="2" s="1"/>
  <c r="FG41" i="2"/>
  <c r="FU41" i="2" s="1"/>
  <c r="FV41" i="2" s="1"/>
  <c r="FC41" i="2"/>
  <c r="FE41" i="2"/>
  <c r="FH192" i="2"/>
  <c r="FK192" i="2" s="1"/>
  <c r="FG192" i="2"/>
  <c r="FU192" i="2" s="1"/>
  <c r="FV192" i="2" s="1"/>
  <c r="FC192" i="2"/>
  <c r="FE192" i="2"/>
  <c r="FH248" i="2"/>
  <c r="FK248" i="2" s="1"/>
  <c r="FG248" i="2"/>
  <c r="FU248" i="2" s="1"/>
  <c r="FV248" i="2" s="1"/>
  <c r="FC248" i="2"/>
  <c r="FE248" i="2"/>
  <c r="FH178" i="2"/>
  <c r="FK178" i="2" s="1"/>
  <c r="FG178" i="2"/>
  <c r="FU178" i="2" s="1"/>
  <c r="FV178" i="2" s="1"/>
  <c r="FC178" i="2"/>
  <c r="FE178" i="2"/>
  <c r="FG277" i="2"/>
  <c r="FU277" i="2" s="1"/>
  <c r="FV277" i="2" s="1"/>
  <c r="FH277" i="2"/>
  <c r="FK277" i="2" s="1"/>
  <c r="FC277" i="2"/>
  <c r="FE277" i="2"/>
  <c r="FH245" i="2"/>
  <c r="FK245" i="2" s="1"/>
  <c r="FG245" i="2"/>
  <c r="FU245" i="2" s="1"/>
  <c r="FV245" i="2" s="1"/>
  <c r="FE245" i="2"/>
  <c r="FC245" i="2"/>
  <c r="FH182" i="2"/>
  <c r="FK182" i="2" s="1"/>
  <c r="FG182" i="2"/>
  <c r="FU182" i="2" s="1"/>
  <c r="FV182" i="2" s="1"/>
  <c r="FC182" i="2"/>
  <c r="FE182" i="2"/>
  <c r="FH365" i="2"/>
  <c r="FK365" i="2" s="1"/>
  <c r="FG365" i="2"/>
  <c r="FU365" i="2" s="1"/>
  <c r="FV365" i="2" s="1"/>
  <c r="FE365" i="2"/>
  <c r="FC365" i="2"/>
  <c r="FH127" i="2"/>
  <c r="FK127" i="2" s="1"/>
  <c r="FG127" i="2"/>
  <c r="FU127" i="2" s="1"/>
  <c r="FV127" i="2" s="1"/>
  <c r="FE127" i="2"/>
  <c r="FC127" i="2"/>
  <c r="GU64" i="2"/>
  <c r="FH285" i="2"/>
  <c r="FK285" i="2" s="1"/>
  <c r="FG285" i="2"/>
  <c r="FU285" i="2" s="1"/>
  <c r="FV285" i="2" s="1"/>
  <c r="FE285" i="2"/>
  <c r="FC285" i="2"/>
  <c r="FG372" i="2"/>
  <c r="FU372" i="2" s="1"/>
  <c r="FV372" i="2" s="1"/>
  <c r="FH372" i="2"/>
  <c r="FK372" i="2" s="1"/>
  <c r="FE372" i="2"/>
  <c r="FC372" i="2"/>
  <c r="FH281" i="2"/>
  <c r="FK281" i="2" s="1"/>
  <c r="FG281" i="2"/>
  <c r="FU281" i="2" s="1"/>
  <c r="FV281" i="2" s="1"/>
  <c r="FE281" i="2"/>
  <c r="FC281" i="2"/>
  <c r="FH208" i="2"/>
  <c r="FK208" i="2" s="1"/>
  <c r="FG208" i="2"/>
  <c r="FU208" i="2" s="1"/>
  <c r="FV208" i="2" s="1"/>
  <c r="FC208" i="2"/>
  <c r="FE208" i="2"/>
  <c r="FG223" i="2"/>
  <c r="FU223" i="2" s="1"/>
  <c r="FV223" i="2" s="1"/>
  <c r="FH223" i="2"/>
  <c r="FK223" i="2" s="1"/>
  <c r="FE223" i="2"/>
  <c r="FC223" i="2"/>
  <c r="FH279" i="2"/>
  <c r="FK279" i="2" s="1"/>
  <c r="FG279" i="2"/>
  <c r="FU279" i="2" s="1"/>
  <c r="FV279" i="2" s="1"/>
  <c r="FE279" i="2"/>
  <c r="FC279" i="2"/>
  <c r="FH65" i="2"/>
  <c r="FK65" i="2" s="1"/>
  <c r="FG65" i="2"/>
  <c r="FU65" i="2" s="1"/>
  <c r="FV65" i="2" s="1"/>
  <c r="FE65" i="2"/>
  <c r="FC65" i="2"/>
  <c r="FG145" i="2"/>
  <c r="FU145" i="2" s="1"/>
  <c r="FV145" i="2" s="1"/>
  <c r="FH145" i="2"/>
  <c r="FK145" i="2" s="1"/>
  <c r="FE145" i="2"/>
  <c r="FC145" i="2"/>
  <c r="FG392" i="2"/>
  <c r="FU392" i="2" s="1"/>
  <c r="FV392" i="2" s="1"/>
  <c r="FH392" i="2"/>
  <c r="FE392" i="2"/>
  <c r="FC392" i="2"/>
  <c r="FH349" i="2"/>
  <c r="FK349" i="2" s="1"/>
  <c r="FG349" i="2"/>
  <c r="FU349" i="2" s="1"/>
  <c r="FV349" i="2" s="1"/>
  <c r="FE349" i="2"/>
  <c r="FC349" i="2"/>
  <c r="FH303" i="2"/>
  <c r="FK303" i="2" s="1"/>
  <c r="FG303" i="2"/>
  <c r="FU303" i="2" s="1"/>
  <c r="FV303" i="2" s="1"/>
  <c r="FE303" i="2"/>
  <c r="FC303" i="2"/>
  <c r="FH377" i="2"/>
  <c r="FK377" i="2" s="1"/>
  <c r="FG377" i="2"/>
  <c r="FU377" i="2" s="1"/>
  <c r="FV377" i="2" s="1"/>
  <c r="FE377" i="2"/>
  <c r="FC377" i="2"/>
  <c r="FH371" i="2"/>
  <c r="FK371" i="2" s="1"/>
  <c r="FG371" i="2"/>
  <c r="FU371" i="2" s="1"/>
  <c r="FV371" i="2" s="1"/>
  <c r="FE371" i="2"/>
  <c r="FC371" i="2"/>
  <c r="FH126" i="2"/>
  <c r="FK126" i="2" s="1"/>
  <c r="FG126" i="2"/>
  <c r="FU126" i="2" s="1"/>
  <c r="FV126" i="2" s="1"/>
  <c r="FE126" i="2"/>
  <c r="FC126" i="2"/>
  <c r="FH39" i="2"/>
  <c r="FK39" i="2" s="1"/>
  <c r="FG39" i="2"/>
  <c r="FU39" i="2" s="1"/>
  <c r="FV39" i="2" s="1"/>
  <c r="FC39" i="2"/>
  <c r="FE39" i="2"/>
  <c r="FE329" i="2"/>
  <c r="FG329" i="2"/>
  <c r="FU329" i="2" s="1"/>
  <c r="FV329" i="2" s="1"/>
  <c r="FH329" i="2"/>
  <c r="FK329" i="2" s="1"/>
  <c r="FC329" i="2"/>
  <c r="FH271" i="2"/>
  <c r="FK271" i="2" s="1"/>
  <c r="FG271" i="2"/>
  <c r="FU271" i="2" s="1"/>
  <c r="FV271" i="2" s="1"/>
  <c r="FE271" i="2"/>
  <c r="FC271" i="2"/>
  <c r="FG158" i="2"/>
  <c r="FU158" i="2" s="1"/>
  <c r="FV158" i="2" s="1"/>
  <c r="FH158" i="2"/>
  <c r="FK158" i="2" s="1"/>
  <c r="FE158" i="2"/>
  <c r="FC158" i="2"/>
  <c r="FG278" i="2"/>
  <c r="FU278" i="2" s="1"/>
  <c r="FV278" i="2" s="1"/>
  <c r="FH278" i="2"/>
  <c r="FK278" i="2" s="1"/>
  <c r="FE278" i="2"/>
  <c r="FC278" i="2"/>
  <c r="FH135" i="2"/>
  <c r="FK135" i="2" s="1"/>
  <c r="FC135" i="2"/>
  <c r="FG135" i="2"/>
  <c r="FU135" i="2" s="1"/>
  <c r="FV135" i="2" s="1"/>
  <c r="FE135" i="2"/>
  <c r="FH280" i="2"/>
  <c r="FK280" i="2" s="1"/>
  <c r="FG280" i="2"/>
  <c r="FU280" i="2" s="1"/>
  <c r="FV280" i="2" s="1"/>
  <c r="FE280" i="2"/>
  <c r="FC280" i="2"/>
  <c r="FH276" i="2"/>
  <c r="FK276" i="2" s="1"/>
  <c r="FG276" i="2"/>
  <c r="FU276" i="2" s="1"/>
  <c r="FV276" i="2" s="1"/>
  <c r="FE276" i="2"/>
  <c r="FC276" i="2"/>
  <c r="FH191" i="2"/>
  <c r="FK191" i="2" s="1"/>
  <c r="FG191" i="2"/>
  <c r="FU191" i="2" s="1"/>
  <c r="FV191" i="2" s="1"/>
  <c r="FE191" i="2"/>
  <c r="FC191" i="2"/>
  <c r="FG252" i="2"/>
  <c r="FH252" i="2"/>
  <c r="FE252" i="2"/>
  <c r="FC252" i="2"/>
  <c r="FG204" i="2"/>
  <c r="FU204" i="2" s="1"/>
  <c r="FV204" i="2" s="1"/>
  <c r="FH204" i="2"/>
  <c r="FK204" i="2" s="1"/>
  <c r="FE204" i="2"/>
  <c r="FC204" i="2"/>
  <c r="FG258" i="2"/>
  <c r="FH258" i="2"/>
  <c r="FE258" i="2"/>
  <c r="FC258" i="2"/>
  <c r="FH355" i="2"/>
  <c r="FK355" i="2" s="1"/>
  <c r="FG355" i="2"/>
  <c r="FU355" i="2" s="1"/>
  <c r="FV355" i="2" s="1"/>
  <c r="FE355" i="2"/>
  <c r="FC355" i="2"/>
  <c r="FG20" i="2"/>
  <c r="FU20" i="2" s="1"/>
  <c r="FV20" i="2" s="1"/>
  <c r="FH20" i="2"/>
  <c r="FK20" i="2" s="1"/>
  <c r="FC20" i="2"/>
  <c r="FE20" i="2"/>
  <c r="FH149" i="2"/>
  <c r="FK149" i="2" s="1"/>
  <c r="FG149" i="2"/>
  <c r="FU149" i="2" s="1"/>
  <c r="FV149" i="2" s="1"/>
  <c r="FC149" i="2"/>
  <c r="FE149" i="2"/>
  <c r="FH382" i="2"/>
  <c r="FK382" i="2" s="1"/>
  <c r="FG382" i="2"/>
  <c r="FU382" i="2" s="1"/>
  <c r="FV382" i="2" s="1"/>
  <c r="FE382" i="2"/>
  <c r="FC382" i="2"/>
  <c r="FH107" i="2"/>
  <c r="FK107" i="2" s="1"/>
  <c r="FG107" i="2"/>
  <c r="FU107" i="2" s="1"/>
  <c r="FV107" i="2" s="1"/>
  <c r="FC107" i="2"/>
  <c r="FE107" i="2"/>
  <c r="FH29" i="2"/>
  <c r="FK29" i="2" s="1"/>
  <c r="FG29" i="2"/>
  <c r="FU29" i="2" s="1"/>
  <c r="FV29" i="2" s="1"/>
  <c r="FE29" i="2"/>
  <c r="FC29" i="2"/>
  <c r="FH188" i="2"/>
  <c r="FK188" i="2" s="1"/>
  <c r="FG188" i="2"/>
  <c r="FU188" i="2" s="1"/>
  <c r="FV188" i="2" s="1"/>
  <c r="FE188" i="2"/>
  <c r="FC188" i="2"/>
  <c r="FH74" i="2"/>
  <c r="FK74" i="2" s="1"/>
  <c r="FG74" i="2"/>
  <c r="FU74" i="2" s="1"/>
  <c r="FV74" i="2" s="1"/>
  <c r="FE74" i="2"/>
  <c r="FC74" i="2"/>
  <c r="FH393" i="2"/>
  <c r="FK393" i="2" s="1"/>
  <c r="FE393" i="2"/>
  <c r="FG393" i="2"/>
  <c r="FU393" i="2" s="1"/>
  <c r="FV393" i="2" s="1"/>
  <c r="FC393" i="2"/>
  <c r="FH101" i="2"/>
  <c r="FK101" i="2" s="1"/>
  <c r="FG101" i="2"/>
  <c r="FU101" i="2" s="1"/>
  <c r="FV101" i="2" s="1"/>
  <c r="FC101" i="2"/>
  <c r="FE101" i="2"/>
  <c r="FG309" i="2"/>
  <c r="FU309" i="2" s="1"/>
  <c r="FV309" i="2" s="1"/>
  <c r="FH309" i="2"/>
  <c r="FK309" i="2" s="1"/>
  <c r="FC309" i="2"/>
  <c r="FE309" i="2"/>
  <c r="FH265" i="2"/>
  <c r="FK265" i="2" s="1"/>
  <c r="FG265" i="2"/>
  <c r="FU265" i="2" s="1"/>
  <c r="FV265" i="2" s="1"/>
  <c r="FE265" i="2"/>
  <c r="FC265" i="2"/>
  <c r="FH196" i="2"/>
  <c r="FK196" i="2" s="1"/>
  <c r="FG196" i="2"/>
  <c r="FU196" i="2" s="1"/>
  <c r="FV196" i="2" s="1"/>
  <c r="FC196" i="2"/>
  <c r="FE196" i="2"/>
  <c r="FC71" i="2"/>
  <c r="FG71" i="2"/>
  <c r="FU71" i="2" s="1"/>
  <c r="FV71" i="2" s="1"/>
  <c r="FH71" i="2"/>
  <c r="FK71" i="2" s="1"/>
  <c r="FE71" i="2"/>
  <c r="FG244" i="2"/>
  <c r="FH244" i="2" s="1"/>
  <c r="FH42" i="2"/>
  <c r="FK42" i="2" s="1"/>
  <c r="FG42" i="2"/>
  <c r="FU42" i="2" s="1"/>
  <c r="FV42" i="2" s="1"/>
  <c r="FE42" i="2"/>
  <c r="FC42" i="2"/>
  <c r="FH130" i="2"/>
  <c r="FK130" i="2" s="1"/>
  <c r="FG130" i="2"/>
  <c r="FU130" i="2" s="1"/>
  <c r="FV130" i="2" s="1"/>
  <c r="FC130" i="2"/>
  <c r="FE130" i="2"/>
  <c r="FH381" i="2"/>
  <c r="FK381" i="2" s="1"/>
  <c r="FG381" i="2"/>
  <c r="FU381" i="2" s="1"/>
  <c r="FV381" i="2" s="1"/>
  <c r="FE381" i="2"/>
  <c r="FC381" i="2"/>
  <c r="FH268" i="2"/>
  <c r="FK268" i="2" s="1"/>
  <c r="FG268" i="2"/>
  <c r="FU268" i="2" s="1"/>
  <c r="FV268" i="2" s="1"/>
  <c r="FC268" i="2"/>
  <c r="FE268" i="2"/>
  <c r="FG362" i="2"/>
  <c r="FU362" i="2" s="1"/>
  <c r="FV362" i="2" s="1"/>
  <c r="FH362" i="2"/>
  <c r="FK362" i="2" s="1"/>
  <c r="FE362" i="2"/>
  <c r="FC362" i="2"/>
  <c r="FG141" i="2"/>
  <c r="FU141" i="2" s="1"/>
  <c r="FV141" i="2" s="1"/>
  <c r="FH141" i="2"/>
  <c r="FK141" i="2" s="1"/>
  <c r="FE141" i="2"/>
  <c r="FC141" i="2"/>
  <c r="FG125" i="2"/>
  <c r="FU125" i="2" s="1"/>
  <c r="FV125" i="2" s="1"/>
  <c r="FH125" i="2"/>
  <c r="FK125" i="2" s="1"/>
  <c r="FE125" i="2"/>
  <c r="FC125" i="2"/>
  <c r="FH171" i="2"/>
  <c r="FK171" i="2" s="1"/>
  <c r="FG171" i="2"/>
  <c r="FU171" i="2" s="1"/>
  <c r="FV171" i="2" s="1"/>
  <c r="FE171" i="2"/>
  <c r="FC171" i="2"/>
  <c r="FH259" i="2"/>
  <c r="FK259" i="2" s="1"/>
  <c r="FG259" i="2"/>
  <c r="FU259" i="2" s="1"/>
  <c r="FV259" i="2" s="1"/>
  <c r="FE259" i="2"/>
  <c r="FC259" i="2"/>
  <c r="FH40" i="2"/>
  <c r="FK40" i="2" s="1"/>
  <c r="FG40" i="2"/>
  <c r="FU40" i="2" s="1"/>
  <c r="FV40" i="2" s="1"/>
  <c r="FC40" i="2"/>
  <c r="FE40" i="2"/>
  <c r="FH177" i="2"/>
  <c r="FK177" i="2" s="1"/>
  <c r="FG177" i="2"/>
  <c r="FU177" i="2" s="1"/>
  <c r="FV177" i="2" s="1"/>
  <c r="FE177" i="2"/>
  <c r="FC177" i="2"/>
  <c r="FH338" i="2"/>
  <c r="FK338" i="2" s="1"/>
  <c r="FG338" i="2"/>
  <c r="FU338" i="2" s="1"/>
  <c r="FV338" i="2" s="1"/>
  <c r="FE338" i="2"/>
  <c r="FC338" i="2"/>
  <c r="FG255" i="2"/>
  <c r="FU255" i="2" s="1"/>
  <c r="FV255" i="2" s="1"/>
  <c r="FH255" i="2"/>
  <c r="FK255" i="2" s="1"/>
  <c r="FE255" i="2"/>
  <c r="FC255" i="2"/>
  <c r="FH366" i="2"/>
  <c r="FK366" i="2" s="1"/>
  <c r="FG366" i="2"/>
  <c r="FU366" i="2" s="1"/>
  <c r="FV366" i="2" s="1"/>
  <c r="FE366" i="2"/>
  <c r="FC366" i="2"/>
  <c r="FH73" i="2"/>
  <c r="FK73" i="2" s="1"/>
  <c r="FG73" i="2"/>
  <c r="FU73" i="2" s="1"/>
  <c r="FV73" i="2" s="1"/>
  <c r="FC73" i="2"/>
  <c r="FE73" i="2"/>
  <c r="FG93" i="2"/>
  <c r="FU93" i="2" s="1"/>
  <c r="FV93" i="2" s="1"/>
  <c r="FH93" i="2"/>
  <c r="FK93" i="2" s="1"/>
  <c r="FE93" i="2"/>
  <c r="FC93" i="2"/>
  <c r="FH27" i="2"/>
  <c r="FK27" i="2" s="1"/>
  <c r="FG27" i="2"/>
  <c r="FU27" i="2" s="1"/>
  <c r="FV27" i="2" s="1"/>
  <c r="FE27" i="2"/>
  <c r="FC27" i="2"/>
  <c r="FG374" i="2"/>
  <c r="FU374" i="2" s="1"/>
  <c r="FV374" i="2" s="1"/>
  <c r="FH374" i="2"/>
  <c r="FK374" i="2" s="1"/>
  <c r="FE374" i="2"/>
  <c r="FC374" i="2"/>
  <c r="FH220" i="2"/>
  <c r="FK220" i="2" s="1"/>
  <c r="FG220" i="2"/>
  <c r="FU220" i="2" s="1"/>
  <c r="FV220" i="2" s="1"/>
  <c r="FE220" i="2"/>
  <c r="FC220" i="2"/>
  <c r="FH30" i="2"/>
  <c r="FG30" i="2"/>
  <c r="FE30" i="2"/>
  <c r="FC30" i="2"/>
  <c r="FG45" i="2"/>
  <c r="FU45" i="2" s="1"/>
  <c r="FV45" i="2" s="1"/>
  <c r="FH45" i="2"/>
  <c r="FK45" i="2" s="1"/>
  <c r="FE45" i="2"/>
  <c r="FC45" i="2"/>
  <c r="FH172" i="2"/>
  <c r="FK172" i="2" s="1"/>
  <c r="FG172" i="2"/>
  <c r="FU172" i="2" s="1"/>
  <c r="FV172" i="2" s="1"/>
  <c r="FE172" i="2"/>
  <c r="FC172" i="2"/>
  <c r="FG347" i="2"/>
  <c r="FU347" i="2" s="1"/>
  <c r="FV347" i="2" s="1"/>
  <c r="FH347" i="2"/>
  <c r="FK347" i="2" s="1"/>
  <c r="FE347" i="2"/>
  <c r="FC347" i="2"/>
  <c r="FH351" i="2"/>
  <c r="FK351" i="2" s="1"/>
  <c r="FG351" i="2"/>
  <c r="FU351" i="2" s="1"/>
  <c r="FV351" i="2" s="1"/>
  <c r="FE351" i="2"/>
  <c r="FC351" i="2"/>
  <c r="FH216" i="2"/>
  <c r="FK216" i="2" s="1"/>
  <c r="FG216" i="2"/>
  <c r="FU216" i="2" s="1"/>
  <c r="FV216" i="2" s="1"/>
  <c r="FE216" i="2"/>
  <c r="FC216" i="2"/>
  <c r="FH186" i="2"/>
  <c r="FK186" i="2" s="1"/>
  <c r="FG186" i="2"/>
  <c r="FU186" i="2" s="1"/>
  <c r="FV186" i="2" s="1"/>
  <c r="FE186" i="2"/>
  <c r="FC186" i="2"/>
  <c r="FH119" i="2"/>
  <c r="FK119" i="2" s="1"/>
  <c r="FC119" i="2"/>
  <c r="FG119" i="2"/>
  <c r="FU119" i="2" s="1"/>
  <c r="FV119" i="2" s="1"/>
  <c r="FE119" i="2"/>
  <c r="FH305" i="2"/>
  <c r="FK305" i="2" s="1"/>
  <c r="FG305" i="2"/>
  <c r="FU305" i="2" s="1"/>
  <c r="FV305" i="2" s="1"/>
  <c r="FE305" i="2"/>
  <c r="FC305" i="2"/>
  <c r="FG256" i="2"/>
  <c r="FU256" i="2" s="1"/>
  <c r="FV256" i="2" s="1"/>
  <c r="FH256" i="2"/>
  <c r="FK256" i="2" s="1"/>
  <c r="FE256" i="2"/>
  <c r="FC256" i="2"/>
  <c r="FH150" i="2"/>
  <c r="FK150" i="2" s="1"/>
  <c r="FG150" i="2"/>
  <c r="FU150" i="2" s="1"/>
  <c r="FV150" i="2" s="1"/>
  <c r="FC150" i="2"/>
  <c r="FE150" i="2"/>
  <c r="FG242" i="2"/>
  <c r="FU242" i="2" s="1"/>
  <c r="FV242" i="2" s="1"/>
  <c r="FH242" i="2"/>
  <c r="FK242" i="2" s="1"/>
  <c r="FE242" i="2"/>
  <c r="FC242" i="2"/>
  <c r="FG394" i="2"/>
  <c r="FU394" i="2" s="1"/>
  <c r="FV394" i="2" s="1"/>
  <c r="FH394" i="2"/>
  <c r="FK394" i="2" s="1"/>
  <c r="FE394" i="2"/>
  <c r="FC394" i="2"/>
  <c r="FH168" i="2"/>
  <c r="FK168" i="2" s="1"/>
  <c r="FG168" i="2"/>
  <c r="FU168" i="2" s="1"/>
  <c r="FV168" i="2" s="1"/>
  <c r="FE168" i="2"/>
  <c r="FC168" i="2"/>
  <c r="FH266" i="2"/>
  <c r="FG266" i="2"/>
  <c r="FE266" i="2"/>
  <c r="FC266" i="2"/>
  <c r="FG111" i="2"/>
  <c r="FU111" i="2" s="1"/>
  <c r="FV111" i="2" s="1"/>
  <c r="FH111" i="2"/>
  <c r="FK111" i="2" s="1"/>
  <c r="FE111" i="2"/>
  <c r="FC111" i="2"/>
  <c r="FH124" i="2"/>
  <c r="FK124" i="2" s="1"/>
  <c r="FG124" i="2"/>
  <c r="FU124" i="2" s="1"/>
  <c r="FV124" i="2" s="1"/>
  <c r="FE124" i="2"/>
  <c r="FC124" i="2"/>
  <c r="FG327" i="2"/>
  <c r="FU327" i="2" s="1"/>
  <c r="FV327" i="2" s="1"/>
  <c r="FH327" i="2"/>
  <c r="FK327" i="2" s="1"/>
  <c r="FE327" i="2"/>
  <c r="FC327" i="2"/>
  <c r="FG159" i="2"/>
  <c r="FU159" i="2" s="1"/>
  <c r="FV159" i="2" s="1"/>
  <c r="FH159" i="2"/>
  <c r="FK159" i="2" s="1"/>
  <c r="FE159" i="2"/>
  <c r="FC159" i="2"/>
  <c r="FG376" i="2"/>
  <c r="FU376" i="2" s="1"/>
  <c r="FV376" i="2" s="1"/>
  <c r="FH376" i="2"/>
  <c r="FK376" i="2" s="1"/>
  <c r="FE376" i="2"/>
  <c r="FC376" i="2"/>
  <c r="FH250" i="2"/>
  <c r="FK250" i="2" s="1"/>
  <c r="FG250" i="2"/>
  <c r="FU250" i="2" s="1"/>
  <c r="FV250" i="2" s="1"/>
  <c r="FC250" i="2"/>
  <c r="FE250" i="2"/>
  <c r="FG296" i="2"/>
  <c r="FU296" i="2" s="1"/>
  <c r="FV296" i="2" s="1"/>
  <c r="FH296" i="2"/>
  <c r="FK296" i="2" s="1"/>
  <c r="FE296" i="2"/>
  <c r="FC296" i="2"/>
  <c r="FG328" i="2"/>
  <c r="FU328" i="2" s="1"/>
  <c r="FV328" i="2" s="1"/>
  <c r="FH328" i="2"/>
  <c r="FK328" i="2" s="1"/>
  <c r="FE328" i="2"/>
  <c r="FC328" i="2"/>
  <c r="FG357" i="2"/>
  <c r="FU357" i="2" s="1"/>
  <c r="FV357" i="2" s="1"/>
  <c r="FH357" i="2"/>
  <c r="FK357" i="2" s="1"/>
  <c r="FE357" i="2"/>
  <c r="FC357" i="2"/>
  <c r="FH368" i="2"/>
  <c r="FK368" i="2" s="1"/>
  <c r="FG368" i="2"/>
  <c r="FU368" i="2" s="1"/>
  <c r="FV368" i="2" s="1"/>
  <c r="FE368" i="2"/>
  <c r="FC368" i="2"/>
  <c r="FG118" i="2"/>
  <c r="FU118" i="2" s="1"/>
  <c r="FV118" i="2" s="1"/>
  <c r="FC118" i="2"/>
  <c r="FE118" i="2"/>
  <c r="FH118" i="2"/>
  <c r="FK118" i="2" s="1"/>
  <c r="FH166" i="2"/>
  <c r="FK166" i="2" s="1"/>
  <c r="FC166" i="2"/>
  <c r="FG166" i="2"/>
  <c r="FU166" i="2" s="1"/>
  <c r="FV166" i="2" s="1"/>
  <c r="FE166" i="2"/>
  <c r="FG19" i="2"/>
  <c r="FU19" i="2" s="1"/>
  <c r="FV19" i="2" s="1"/>
  <c r="FH19" i="2"/>
  <c r="FK19" i="2" s="1"/>
  <c r="FE19" i="2"/>
  <c r="FC19" i="2"/>
  <c r="FH322" i="2"/>
  <c r="FK322" i="2" s="1"/>
  <c r="FG322" i="2"/>
  <c r="FU322" i="2" s="1"/>
  <c r="FV322" i="2" s="1"/>
  <c r="FE322" i="2"/>
  <c r="FC322" i="2"/>
  <c r="FH128" i="2"/>
  <c r="FK128" i="2" s="1"/>
  <c r="FG128" i="2"/>
  <c r="FU128" i="2" s="1"/>
  <c r="FV128" i="2" s="1"/>
  <c r="FE128" i="2"/>
  <c r="FC128" i="2"/>
  <c r="FH137" i="2"/>
  <c r="FK137" i="2" s="1"/>
  <c r="FG137" i="2"/>
  <c r="FU137" i="2" s="1"/>
  <c r="FV137" i="2" s="1"/>
  <c r="FC137" i="2"/>
  <c r="FE137" i="2"/>
  <c r="FH235" i="2"/>
  <c r="FK235" i="2" s="1"/>
  <c r="FG235" i="2"/>
  <c r="FU235" i="2" s="1"/>
  <c r="FV235" i="2" s="1"/>
  <c r="FE235" i="2"/>
  <c r="FC235" i="2"/>
  <c r="FH301" i="2"/>
  <c r="FK301" i="2" s="1"/>
  <c r="FG301" i="2"/>
  <c r="FU301" i="2" s="1"/>
  <c r="FV301" i="2" s="1"/>
  <c r="FE301" i="2"/>
  <c r="FC301" i="2"/>
  <c r="FH236" i="2"/>
  <c r="FK236" i="2" s="1"/>
  <c r="FG236" i="2"/>
  <c r="FU236" i="2" s="1"/>
  <c r="FV236" i="2" s="1"/>
  <c r="FE236" i="2"/>
  <c r="FC236" i="2"/>
  <c r="FH131" i="2"/>
  <c r="FK131" i="2" s="1"/>
  <c r="FG131" i="2"/>
  <c r="FU131" i="2" s="1"/>
  <c r="FV131" i="2" s="1"/>
  <c r="FE131" i="2"/>
  <c r="FC131" i="2"/>
  <c r="FH214" i="2"/>
  <c r="FK214" i="2" s="1"/>
  <c r="FG214" i="2"/>
  <c r="FU214" i="2" s="1"/>
  <c r="FV214" i="2" s="1"/>
  <c r="FE214" i="2"/>
  <c r="FC214" i="2"/>
  <c r="FH354" i="2"/>
  <c r="FK354" i="2" s="1"/>
  <c r="FG354" i="2"/>
  <c r="FU354" i="2" s="1"/>
  <c r="FV354" i="2" s="1"/>
  <c r="FE354" i="2"/>
  <c r="FC354" i="2"/>
  <c r="FG165" i="2"/>
  <c r="FU165" i="2" s="1"/>
  <c r="FV165" i="2" s="1"/>
  <c r="FH165" i="2"/>
  <c r="FK165" i="2" s="1"/>
  <c r="FC165" i="2"/>
  <c r="FE165" i="2"/>
  <c r="FH247" i="2"/>
  <c r="FK247" i="2" s="1"/>
  <c r="FG247" i="2"/>
  <c r="FU247" i="2" s="1"/>
  <c r="FV247" i="2" s="1"/>
  <c r="FE247" i="2"/>
  <c r="FC247" i="2"/>
  <c r="FG99" i="2"/>
  <c r="FU99" i="2" s="1"/>
  <c r="FV99" i="2" s="1"/>
  <c r="FH99" i="2"/>
  <c r="FK99" i="2" s="1"/>
  <c r="FE99" i="2"/>
  <c r="FC99" i="2"/>
  <c r="FH16" i="2"/>
  <c r="FK16" i="2" s="1"/>
  <c r="FG16" i="2"/>
  <c r="FU16" i="2" s="1"/>
  <c r="FV16" i="2" s="1"/>
  <c r="FE16" i="2"/>
  <c r="FC16" i="2"/>
  <c r="FH264" i="2"/>
  <c r="FK264" i="2" s="1"/>
  <c r="FG264" i="2"/>
  <c r="FU264" i="2" s="1"/>
  <c r="FV264" i="2" s="1"/>
  <c r="FE264" i="2"/>
  <c r="FC264" i="2"/>
  <c r="FG142" i="2"/>
  <c r="FU142" i="2" s="1"/>
  <c r="FV142" i="2" s="1"/>
  <c r="FH142" i="2"/>
  <c r="FK142" i="2" s="1"/>
  <c r="FE142" i="2"/>
  <c r="FC142" i="2"/>
  <c r="FH370" i="2"/>
  <c r="FK370" i="2" s="1"/>
  <c r="FG370" i="2"/>
  <c r="FU370" i="2" s="1"/>
  <c r="FV370" i="2" s="1"/>
  <c r="FE370" i="2"/>
  <c r="FC370" i="2"/>
  <c r="FH195" i="2"/>
  <c r="FK195" i="2" s="1"/>
  <c r="FG195" i="2"/>
  <c r="FU195" i="2" s="1"/>
  <c r="FV195" i="2" s="1"/>
  <c r="FE195" i="2"/>
  <c r="FC195" i="2"/>
  <c r="FH385" i="2"/>
  <c r="FK385" i="2" s="1"/>
  <c r="FG385" i="2"/>
  <c r="FU385" i="2" s="1"/>
  <c r="FV385" i="2" s="1"/>
  <c r="FE385" i="2"/>
  <c r="FC385" i="2"/>
  <c r="FH156" i="2"/>
  <c r="FK156" i="2" s="1"/>
  <c r="FG156" i="2"/>
  <c r="FU156" i="2" s="1"/>
  <c r="FV156" i="2" s="1"/>
  <c r="FE156" i="2"/>
  <c r="FC156" i="2"/>
  <c r="FH58" i="2"/>
  <c r="FK58" i="2" s="1"/>
  <c r="FG58" i="2"/>
  <c r="FU58" i="2" s="1"/>
  <c r="FV58" i="2" s="1"/>
  <c r="FE58" i="2"/>
  <c r="FC58" i="2"/>
  <c r="FH251" i="2"/>
  <c r="FK251" i="2" s="1"/>
  <c r="FG251" i="2"/>
  <c r="FU251" i="2" s="1"/>
  <c r="FV251" i="2" s="1"/>
  <c r="FC251" i="2"/>
  <c r="FE251" i="2"/>
  <c r="FH386" i="2"/>
  <c r="FK386" i="2" s="1"/>
  <c r="FG386" i="2"/>
  <c r="FU386" i="2" s="1"/>
  <c r="FV386" i="2" s="1"/>
  <c r="FE386" i="2"/>
  <c r="FC386" i="2"/>
  <c r="FH228" i="2"/>
  <c r="FK228" i="2" s="1"/>
  <c r="FG228" i="2"/>
  <c r="FU228" i="2" s="1"/>
  <c r="FV228" i="2" s="1"/>
  <c r="FE228" i="2"/>
  <c r="FC228" i="2"/>
  <c r="FG94" i="2"/>
  <c r="FU94" i="2" s="1"/>
  <c r="FV94" i="2" s="1"/>
  <c r="FH94" i="2"/>
  <c r="FK94" i="2" s="1"/>
  <c r="FE94" i="2"/>
  <c r="FC94" i="2"/>
  <c r="FH300" i="2"/>
  <c r="FK300" i="2" s="1"/>
  <c r="FG300" i="2"/>
  <c r="FU300" i="2" s="1"/>
  <c r="FV300" i="2" s="1"/>
  <c r="FE300" i="2"/>
  <c r="FC300" i="2"/>
  <c r="FG239" i="2"/>
  <c r="FU239" i="2" s="1"/>
  <c r="FV239" i="2" s="1"/>
  <c r="FH239" i="2"/>
  <c r="FK239" i="2" s="1"/>
  <c r="FE239" i="2"/>
  <c r="FC239" i="2"/>
  <c r="FH189" i="2"/>
  <c r="FK189" i="2" s="1"/>
  <c r="FG189" i="2"/>
  <c r="FU189" i="2" s="1"/>
  <c r="FV189" i="2" s="1"/>
  <c r="FE189" i="2"/>
  <c r="FC189" i="2"/>
  <c r="FH67" i="2"/>
  <c r="FK67" i="2" s="1"/>
  <c r="FG67" i="2"/>
  <c r="FU67" i="2" s="1"/>
  <c r="FV67" i="2" s="1"/>
  <c r="FE67" i="2"/>
  <c r="FC67" i="2"/>
  <c r="FH35" i="2"/>
  <c r="FK35" i="2" s="1"/>
  <c r="FG35" i="2"/>
  <c r="FU35" i="2" s="1"/>
  <c r="FV35" i="2" s="1"/>
  <c r="FE35" i="2"/>
  <c r="FC35" i="2"/>
  <c r="FH122" i="2"/>
  <c r="FK122" i="2" s="1"/>
  <c r="FG122" i="2"/>
  <c r="FU122" i="2" s="1"/>
  <c r="FV122" i="2" s="1"/>
  <c r="FE122" i="2"/>
  <c r="FC122" i="2"/>
  <c r="FH209" i="2"/>
  <c r="FK209" i="2" s="1"/>
  <c r="FG209" i="2"/>
  <c r="FU209" i="2" s="1"/>
  <c r="FV209" i="2" s="1"/>
  <c r="FE209" i="2"/>
  <c r="FC209" i="2"/>
  <c r="FH316" i="2"/>
  <c r="FK316" i="2" s="1"/>
  <c r="FG316" i="2"/>
  <c r="FU316" i="2" s="1"/>
  <c r="FV316" i="2" s="1"/>
  <c r="FE316" i="2"/>
  <c r="FC316" i="2"/>
  <c r="FG112" i="2"/>
  <c r="FU112" i="2" s="1"/>
  <c r="FV112" i="2" s="1"/>
  <c r="FH112" i="2"/>
  <c r="FK112" i="2" s="1"/>
  <c r="FE112" i="2"/>
  <c r="FC112" i="2"/>
  <c r="FR78" i="2" a="1"/>
  <c r="FR78" i="2" s="1"/>
  <c r="FH211" i="2"/>
  <c r="FK211" i="2" s="1"/>
  <c r="FG211" i="2"/>
  <c r="FU211" i="2" s="1"/>
  <c r="FV211" i="2" s="1"/>
  <c r="FE211" i="2"/>
  <c r="FC211" i="2"/>
  <c r="FH353" i="2"/>
  <c r="FK353" i="2" s="1"/>
  <c r="FE353" i="2"/>
  <c r="FG353" i="2"/>
  <c r="FU353" i="2" s="1"/>
  <c r="FV353" i="2" s="1"/>
  <c r="FC353" i="2"/>
  <c r="FH85" i="2"/>
  <c r="FK85" i="2" s="1"/>
  <c r="FG85" i="2"/>
  <c r="FU85" i="2" s="1"/>
  <c r="FV85" i="2" s="1"/>
  <c r="FC85" i="2"/>
  <c r="FE85" i="2"/>
  <c r="FE345" i="2"/>
  <c r="FG345" i="2"/>
  <c r="FU345" i="2" s="1"/>
  <c r="FV345" i="2" s="1"/>
  <c r="FH345" i="2"/>
  <c r="FK345" i="2" s="1"/>
  <c r="FC345" i="2"/>
  <c r="FH64" i="2"/>
  <c r="FK64" i="2" s="1"/>
  <c r="FG64" i="2"/>
  <c r="FU64" i="2" s="1"/>
  <c r="FV64" i="2" s="1"/>
  <c r="FC64" i="2"/>
  <c r="FE64" i="2"/>
  <c r="FG308" i="2"/>
  <c r="FU308" i="2" s="1"/>
  <c r="FV308" i="2" s="1"/>
  <c r="FH308" i="2"/>
  <c r="FK308" i="2" s="1"/>
  <c r="FE308" i="2"/>
  <c r="FC308" i="2"/>
  <c r="FH352" i="2"/>
  <c r="FK352" i="2" s="1"/>
  <c r="FE352" i="2"/>
  <c r="FG352" i="2"/>
  <c r="FU352" i="2" s="1"/>
  <c r="FV352" i="2" s="1"/>
  <c r="FC352" i="2"/>
  <c r="FH222" i="2"/>
  <c r="FK222" i="2" s="1"/>
  <c r="FG222" i="2"/>
  <c r="FU222" i="2" s="1"/>
  <c r="FV222" i="2" s="1"/>
  <c r="FE222" i="2"/>
  <c r="FC222" i="2"/>
  <c r="FH69" i="2"/>
  <c r="FK69" i="2" s="1"/>
  <c r="FG69" i="2"/>
  <c r="FU69" i="2" s="1"/>
  <c r="FV69" i="2" s="1"/>
  <c r="FC69" i="2"/>
  <c r="FE69" i="2"/>
  <c r="FG51" i="2"/>
  <c r="FU51" i="2" s="1"/>
  <c r="FV51" i="2" s="1"/>
  <c r="FH51" i="2"/>
  <c r="FK51" i="2" s="1"/>
  <c r="FE51" i="2"/>
  <c r="FC51" i="2"/>
  <c r="FH24" i="2"/>
  <c r="FK24" i="2" s="1"/>
  <c r="FG24" i="2"/>
  <c r="FU24" i="2" s="1"/>
  <c r="FV24" i="2" s="1"/>
  <c r="FC24" i="2"/>
  <c r="FE24" i="2"/>
  <c r="FG360" i="2"/>
  <c r="FU360" i="2" s="1"/>
  <c r="FV360" i="2" s="1"/>
  <c r="FH360" i="2"/>
  <c r="FK360" i="2" s="1"/>
  <c r="FE360" i="2"/>
  <c r="FC360" i="2"/>
  <c r="FH70" i="2"/>
  <c r="FK70" i="2" s="1"/>
  <c r="FG70" i="2"/>
  <c r="FU70" i="2" s="1"/>
  <c r="FV70" i="2" s="1"/>
  <c r="FC70" i="2"/>
  <c r="FE70" i="2"/>
  <c r="FH212" i="2"/>
  <c r="FK212" i="2" s="1"/>
  <c r="FG212" i="2"/>
  <c r="FU212" i="2" s="1"/>
  <c r="FV212" i="2" s="1"/>
  <c r="FC212" i="2"/>
  <c r="FE212" i="2"/>
  <c r="FH31" i="2"/>
  <c r="FK31" i="2" s="1"/>
  <c r="FG31" i="2"/>
  <c r="FU31" i="2" s="1"/>
  <c r="FV31" i="2" s="1"/>
  <c r="FE31" i="2"/>
  <c r="FC31" i="2"/>
  <c r="FH335" i="2"/>
  <c r="FK335" i="2" s="1"/>
  <c r="FG335" i="2"/>
  <c r="FU335" i="2" s="1"/>
  <c r="FV335" i="2" s="1"/>
  <c r="FE335" i="2"/>
  <c r="FC335" i="2"/>
  <c r="FG344" i="2"/>
  <c r="FU344" i="2" s="1"/>
  <c r="FV344" i="2" s="1"/>
  <c r="FH344" i="2"/>
  <c r="FE344" i="2"/>
  <c r="FC344" i="2"/>
  <c r="FH179" i="2"/>
  <c r="FK179" i="2" s="1"/>
  <c r="FG179" i="2"/>
  <c r="FU179" i="2" s="1"/>
  <c r="FV179" i="2" s="1"/>
  <c r="FC179" i="2"/>
  <c r="FE179" i="2"/>
  <c r="FG109" i="2"/>
  <c r="FU109" i="2" s="1"/>
  <c r="FV109" i="2" s="1"/>
  <c r="FH109" i="2"/>
  <c r="FK109" i="2" s="1"/>
  <c r="FE109" i="2"/>
  <c r="FC109" i="2"/>
  <c r="FH32" i="2"/>
  <c r="FK32" i="2" s="1"/>
  <c r="FG32" i="2"/>
  <c r="FU32" i="2" s="1"/>
  <c r="FV32" i="2" s="1"/>
  <c r="FE32" i="2"/>
  <c r="FC32" i="2"/>
  <c r="FG163" i="2"/>
  <c r="FU163" i="2" s="1"/>
  <c r="FV163" i="2" s="1"/>
  <c r="FH163" i="2"/>
  <c r="FK163" i="2" s="1"/>
  <c r="FE163" i="2"/>
  <c r="FC163" i="2"/>
  <c r="FG310" i="2"/>
  <c r="FU310" i="2" s="1"/>
  <c r="FV310" i="2" s="1"/>
  <c r="FH310" i="2"/>
  <c r="FK310" i="2" s="1"/>
  <c r="FE310" i="2"/>
  <c r="FC310" i="2"/>
  <c r="FH298" i="2"/>
  <c r="FK298" i="2" s="1"/>
  <c r="FG298" i="2"/>
  <c r="FU298" i="2" s="1"/>
  <c r="FV298" i="2" s="1"/>
  <c r="FE298" i="2"/>
  <c r="FC298" i="2"/>
  <c r="FH333" i="2"/>
  <c r="FK333" i="2" s="1"/>
  <c r="FG333" i="2"/>
  <c r="FU333" i="2" s="1"/>
  <c r="FV333" i="2" s="1"/>
  <c r="FE333" i="2"/>
  <c r="FC333" i="2"/>
  <c r="FH313" i="2"/>
  <c r="FK313" i="2" s="1"/>
  <c r="FG313" i="2"/>
  <c r="FU313" i="2" s="1"/>
  <c r="FV313" i="2" s="1"/>
  <c r="FE313" i="2"/>
  <c r="FC313" i="2"/>
  <c r="FH230" i="2"/>
  <c r="FK230" i="2" s="1"/>
  <c r="FG230" i="2"/>
  <c r="FU230" i="2" s="1"/>
  <c r="FV230" i="2" s="1"/>
  <c r="FE230" i="2"/>
  <c r="FC230" i="2"/>
  <c r="FG205" i="2"/>
  <c r="FU205" i="2" s="1"/>
  <c r="FV205" i="2" s="1"/>
  <c r="FH205" i="2"/>
  <c r="FK205" i="2" s="1"/>
  <c r="FE205" i="2"/>
  <c r="FC205" i="2"/>
  <c r="FH183" i="2"/>
  <c r="FK183" i="2" s="1"/>
  <c r="FG183" i="2"/>
  <c r="FU183" i="2" s="1"/>
  <c r="FV183" i="2" s="1"/>
  <c r="FC183" i="2"/>
  <c r="FE183" i="2"/>
  <c r="FH36" i="2"/>
  <c r="FK36" i="2" s="1"/>
  <c r="FG36" i="2"/>
  <c r="FU36" i="2" s="1"/>
  <c r="FV36" i="2" s="1"/>
  <c r="FC36" i="2"/>
  <c r="FE36" i="2"/>
  <c r="FH103" i="2"/>
  <c r="FK103" i="2" s="1"/>
  <c r="FC103" i="2"/>
  <c r="FG103" i="2"/>
  <c r="FU103" i="2" s="1"/>
  <c r="FV103" i="2" s="1"/>
  <c r="FE103" i="2"/>
  <c r="FH138" i="2"/>
  <c r="FK138" i="2" s="1"/>
  <c r="FG138" i="2"/>
  <c r="FU138" i="2" s="1"/>
  <c r="FV138" i="2" s="1"/>
  <c r="FE138" i="2"/>
  <c r="FC138" i="2"/>
  <c r="FG363" i="2"/>
  <c r="FU363" i="2" s="1"/>
  <c r="FV363" i="2" s="1"/>
  <c r="FH363" i="2"/>
  <c r="FK363" i="2" s="1"/>
  <c r="FE363" i="2"/>
  <c r="FC363" i="2"/>
  <c r="FH262" i="2"/>
  <c r="FK262" i="2" s="1"/>
  <c r="FG262" i="2"/>
  <c r="FU262" i="2" s="1"/>
  <c r="FV262" i="2" s="1"/>
  <c r="FE262" i="2"/>
  <c r="FC262" i="2"/>
  <c r="FH231" i="2"/>
  <c r="FK231" i="2" s="1"/>
  <c r="FG231" i="2"/>
  <c r="FU231" i="2" s="1"/>
  <c r="FV231" i="2" s="1"/>
  <c r="FE231" i="2"/>
  <c r="FC231" i="2"/>
  <c r="FH121" i="2"/>
  <c r="FK121" i="2" s="1"/>
  <c r="FG121" i="2"/>
  <c r="FU121" i="2" s="1"/>
  <c r="FV121" i="2" s="1"/>
  <c r="FC121" i="2"/>
  <c r="FE121" i="2"/>
  <c r="FH291" i="2"/>
  <c r="FK291" i="2" s="1"/>
  <c r="FG291" i="2"/>
  <c r="FU291" i="2" s="1"/>
  <c r="FV291" i="2" s="1"/>
  <c r="FC291" i="2"/>
  <c r="FE291" i="2"/>
  <c r="FH181" i="2"/>
  <c r="FK181" i="2" s="1"/>
  <c r="FG181" i="2"/>
  <c r="FU181" i="2" s="1"/>
  <c r="FV181" i="2" s="1"/>
  <c r="FE181" i="2"/>
  <c r="FC181" i="2"/>
  <c r="FH350" i="2"/>
  <c r="FK350" i="2" s="1"/>
  <c r="FG350" i="2"/>
  <c r="FU350" i="2" s="1"/>
  <c r="FV350" i="2" s="1"/>
  <c r="FE350" i="2"/>
  <c r="FC350" i="2"/>
  <c r="FG325" i="2"/>
  <c r="FU325" i="2" s="1"/>
  <c r="FV325" i="2" s="1"/>
  <c r="FH325" i="2"/>
  <c r="FK325" i="2" s="1"/>
  <c r="FC325" i="2"/>
  <c r="FE325" i="2"/>
  <c r="FG15" i="2"/>
  <c r="FU15" i="2" s="1"/>
  <c r="FV15" i="2" s="1"/>
  <c r="FH15" i="2"/>
  <c r="FK15" i="2" s="1"/>
  <c r="FE15" i="2"/>
  <c r="FC15" i="2"/>
  <c r="FH123" i="2"/>
  <c r="FK123" i="2" s="1"/>
  <c r="FG123" i="2"/>
  <c r="FU123" i="2" s="1"/>
  <c r="FV123" i="2" s="1"/>
  <c r="FC123" i="2"/>
  <c r="FE123" i="2"/>
  <c r="FG358" i="2"/>
  <c r="FU358" i="2" s="1"/>
  <c r="FV358" i="2" s="1"/>
  <c r="FH358" i="2"/>
  <c r="FK358" i="2" s="1"/>
  <c r="FE358" i="2"/>
  <c r="FC358" i="2"/>
  <c r="FH263" i="2"/>
  <c r="FK263" i="2" s="1"/>
  <c r="FG263" i="2"/>
  <c r="FU263" i="2" s="1"/>
  <c r="FV263" i="2" s="1"/>
  <c r="FE263" i="2"/>
  <c r="FC263" i="2"/>
  <c r="FG257" i="2"/>
  <c r="FH257" i="2"/>
  <c r="FE257" i="2"/>
  <c r="FC257" i="2"/>
  <c r="FH317" i="2"/>
  <c r="FK317" i="2" s="1"/>
  <c r="FG317" i="2"/>
  <c r="FU317" i="2" s="1"/>
  <c r="FV317" i="2" s="1"/>
  <c r="FE317" i="2"/>
  <c r="FC317" i="2"/>
  <c r="FH302" i="2"/>
  <c r="FK302" i="2" s="1"/>
  <c r="FG302" i="2"/>
  <c r="FU302" i="2" s="1"/>
  <c r="FV302" i="2" s="1"/>
  <c r="FE302" i="2"/>
  <c r="FC302" i="2"/>
  <c r="FH176" i="2"/>
  <c r="FK176" i="2" s="1"/>
  <c r="FG176" i="2"/>
  <c r="FU176" i="2" s="1"/>
  <c r="FV176" i="2" s="1"/>
  <c r="FC176" i="2"/>
  <c r="FE176" i="2"/>
  <c r="FH323" i="2"/>
  <c r="FK323" i="2" s="1"/>
  <c r="FG323" i="2"/>
  <c r="FU323" i="2" s="1"/>
  <c r="FV323" i="2" s="1"/>
  <c r="FC323" i="2"/>
  <c r="FE323" i="2"/>
  <c r="FH315" i="2"/>
  <c r="FK315" i="2" s="1"/>
  <c r="FG315" i="2"/>
  <c r="FU315" i="2" s="1"/>
  <c r="FV315" i="2" s="1"/>
  <c r="FE315" i="2"/>
  <c r="FC315" i="2"/>
  <c r="FH148" i="2"/>
  <c r="FK148" i="2" s="1"/>
  <c r="FG148" i="2"/>
  <c r="FU148" i="2" s="1"/>
  <c r="FV148" i="2" s="1"/>
  <c r="FC148" i="2"/>
  <c r="FE148" i="2"/>
  <c r="FG95" i="2"/>
  <c r="FU95" i="2" s="1"/>
  <c r="FV95" i="2" s="1"/>
  <c r="FH95" i="2"/>
  <c r="FK95" i="2" s="1"/>
  <c r="FE95" i="2"/>
  <c r="FC95" i="2"/>
  <c r="FH286" i="2"/>
  <c r="FK286" i="2" s="1"/>
  <c r="FG286" i="2"/>
  <c r="FU286" i="2" s="1"/>
  <c r="FV286" i="2" s="1"/>
  <c r="FE286" i="2"/>
  <c r="FC286" i="2"/>
  <c r="FH86" i="2"/>
  <c r="FK86" i="2" s="1"/>
  <c r="FG86" i="2"/>
  <c r="FU86" i="2" s="1"/>
  <c r="FV86" i="2" s="1"/>
  <c r="FC86" i="2"/>
  <c r="FE86" i="2"/>
  <c r="FG187" i="2"/>
  <c r="FU187" i="2" s="1"/>
  <c r="FV187" i="2" s="1"/>
  <c r="FH187" i="2"/>
  <c r="FK187" i="2" s="1"/>
  <c r="FE187" i="2"/>
  <c r="FC187" i="2"/>
  <c r="FG373" i="2"/>
  <c r="FU373" i="2" s="1"/>
  <c r="FV373" i="2" s="1"/>
  <c r="FH373" i="2"/>
  <c r="FK373" i="2" s="1"/>
  <c r="FE373" i="2"/>
  <c r="FC373" i="2"/>
  <c r="FH210" i="2"/>
  <c r="FK210" i="2" s="1"/>
  <c r="FG210" i="2"/>
  <c r="FU210" i="2" s="1"/>
  <c r="FV210" i="2" s="1"/>
  <c r="FC210" i="2"/>
  <c r="FE210" i="2"/>
  <c r="FH320" i="2"/>
  <c r="FK320" i="2" s="1"/>
  <c r="FG320" i="2"/>
  <c r="FU320" i="2" s="1"/>
  <c r="FV320" i="2" s="1"/>
  <c r="FE320" i="2"/>
  <c r="FC320" i="2"/>
  <c r="FH184" i="2"/>
  <c r="FK184" i="2" s="1"/>
  <c r="FG184" i="2"/>
  <c r="FU184" i="2" s="1"/>
  <c r="FV184" i="2" s="1"/>
  <c r="FE184" i="2"/>
  <c r="FC184" i="2"/>
  <c r="FG379" i="2"/>
  <c r="FU379" i="2" s="1"/>
  <c r="FV379" i="2" s="1"/>
  <c r="FH379" i="2"/>
  <c r="FK379" i="2" s="1"/>
  <c r="FE379" i="2"/>
  <c r="FC379" i="2"/>
  <c r="FH238" i="2"/>
  <c r="FK238" i="2" s="1"/>
  <c r="FG238" i="2"/>
  <c r="FU238" i="2" s="1"/>
  <c r="FV238" i="2" s="1"/>
  <c r="FE238" i="2"/>
  <c r="FC238" i="2"/>
  <c r="FH153" i="2"/>
  <c r="FK153" i="2" s="1"/>
  <c r="FG153" i="2"/>
  <c r="FU153" i="2" s="1"/>
  <c r="FV153" i="2" s="1"/>
  <c r="FC153" i="2"/>
  <c r="FE153" i="2"/>
  <c r="FG98" i="2"/>
  <c r="FU98" i="2" s="1"/>
  <c r="FV98" i="2" s="1"/>
  <c r="FH98" i="2"/>
  <c r="FK98" i="2" s="1"/>
  <c r="FC98" i="2"/>
  <c r="FE98" i="2"/>
  <c r="FH55" i="2"/>
  <c r="FK55" i="2" s="1"/>
  <c r="FG55" i="2"/>
  <c r="FU55" i="2" s="1"/>
  <c r="FV55" i="2" s="1"/>
  <c r="FC55" i="2"/>
  <c r="FE55" i="2"/>
  <c r="FG343" i="2"/>
  <c r="FU343" i="2" s="1"/>
  <c r="FV343" i="2" s="1"/>
  <c r="FH343" i="2"/>
  <c r="FK343" i="2" s="1"/>
  <c r="FE343" i="2"/>
  <c r="FC343" i="2"/>
  <c r="FH270" i="2"/>
  <c r="FK270" i="2" s="1"/>
  <c r="FG270" i="2"/>
  <c r="FU270" i="2" s="1"/>
  <c r="FV270" i="2" s="1"/>
  <c r="FE270" i="2"/>
  <c r="FC270" i="2"/>
  <c r="FG61" i="2"/>
  <c r="FU61" i="2" s="1"/>
  <c r="FV61" i="2" s="1"/>
  <c r="FH61" i="2"/>
  <c r="FK61" i="2" s="1"/>
  <c r="FE61" i="2"/>
  <c r="FC61" i="2"/>
  <c r="FG294" i="2"/>
  <c r="FU294" i="2" s="1"/>
  <c r="FV294" i="2" s="1"/>
  <c r="FE294" i="2"/>
  <c r="FH294" i="2"/>
  <c r="FK294" i="2" s="1"/>
  <c r="FC294" i="2"/>
  <c r="FH232" i="2"/>
  <c r="FK232" i="2" s="1"/>
  <c r="FG232" i="2"/>
  <c r="FU232" i="2" s="1"/>
  <c r="FV232" i="2" s="1"/>
  <c r="FC232" i="2"/>
  <c r="FE232" i="2"/>
  <c r="FG157" i="2"/>
  <c r="FU157" i="2" s="1"/>
  <c r="FV157" i="2" s="1"/>
  <c r="FH157" i="2"/>
  <c r="FK157" i="2" s="1"/>
  <c r="FE157" i="2"/>
  <c r="FC157" i="2"/>
  <c r="FH28" i="2"/>
  <c r="FK28" i="2" s="1"/>
  <c r="FG28" i="2"/>
  <c r="FU28" i="2" s="1"/>
  <c r="FV28" i="2" s="1"/>
  <c r="FE28" i="2"/>
  <c r="FC28" i="2"/>
  <c r="FH224" i="2"/>
  <c r="FK224" i="2" s="1"/>
  <c r="FG224" i="2"/>
  <c r="FU224" i="2" s="1"/>
  <c r="FV224" i="2" s="1"/>
  <c r="FE224" i="2"/>
  <c r="FC224" i="2"/>
  <c r="FH25" i="2"/>
  <c r="FK25" i="2" s="1"/>
  <c r="FG25" i="2"/>
  <c r="FU25" i="2" s="1"/>
  <c r="FV25" i="2" s="1"/>
  <c r="FC25" i="2"/>
  <c r="FE25" i="2"/>
  <c r="FG115" i="2"/>
  <c r="FU115" i="2" s="1"/>
  <c r="FV115" i="2" s="1"/>
  <c r="FH115" i="2"/>
  <c r="FK115" i="2" s="1"/>
  <c r="FE115" i="2"/>
  <c r="FC115" i="2"/>
  <c r="FH197" i="2"/>
  <c r="FK197" i="2" s="1"/>
  <c r="FE197" i="2"/>
  <c r="FG197" i="2"/>
  <c r="FU197" i="2" s="1"/>
  <c r="FV197" i="2" s="1"/>
  <c r="FC197" i="2"/>
  <c r="FH89" i="2"/>
  <c r="FK89" i="2" s="1"/>
  <c r="FG89" i="2"/>
  <c r="FU89" i="2" s="1"/>
  <c r="FV89" i="2" s="1"/>
  <c r="FC89" i="2"/>
  <c r="FE89" i="2"/>
  <c r="FR132" i="2" a="1"/>
  <c r="FR132" i="2" s="1"/>
  <c r="FR393" i="2" a="1"/>
  <c r="FR393" i="2" s="1"/>
  <c r="FR93" i="2" a="1"/>
  <c r="FR93" i="2" s="1"/>
  <c r="FR96" i="2" a="1"/>
  <c r="FR96" i="2" s="1"/>
  <c r="FR329" i="2" a="1"/>
  <c r="FR329" i="2" s="1"/>
  <c r="FW229" i="2"/>
  <c r="FX229" i="2" s="1" a="1"/>
  <c r="FX229" i="2" s="1"/>
  <c r="FR290" i="2" a="1"/>
  <c r="FR290" i="2" s="1"/>
  <c r="FR289" i="2" a="1"/>
  <c r="FR289" i="2" s="1"/>
  <c r="FR282" i="2" a="1"/>
  <c r="FR282" i="2" s="1"/>
  <c r="GV38" i="2"/>
  <c r="GW38" i="2" s="1"/>
  <c r="FR286" i="2" a="1"/>
  <c r="FR286" i="2" s="1"/>
  <c r="GU292" i="2"/>
  <c r="CR64" i="2"/>
  <c r="CX64" i="2" s="1"/>
  <c r="FZ244" i="2"/>
  <c r="GA244" i="2" s="1"/>
  <c r="GT252" i="2"/>
  <c r="GT201" i="2"/>
  <c r="CL395" i="2"/>
  <c r="AN395" i="2"/>
  <c r="AE395" i="2"/>
  <c r="AF395" i="2"/>
  <c r="GQ395" i="2"/>
  <c r="GS395" i="2"/>
  <c r="T395" i="2"/>
  <c r="CG395" i="2"/>
  <c r="EV395" i="2"/>
  <c r="GO395" i="2"/>
  <c r="CK243" i="2"/>
  <c r="CR201" i="2"/>
  <c r="CX201" i="2" s="1"/>
  <c r="DV373" i="2"/>
  <c r="DW373" i="2" s="1"/>
  <c r="CK341" i="2"/>
  <c r="GV362" i="2"/>
  <c r="GW362" i="2" s="1"/>
  <c r="CK362" i="2"/>
  <c r="EI373" i="2"/>
  <c r="CK366" i="2"/>
  <c r="DQ34" i="2"/>
  <c r="DR34" i="2" s="1"/>
  <c r="CK134" i="2"/>
  <c r="EI213" i="2"/>
  <c r="EG213" i="2"/>
  <c r="Z64" i="2"/>
  <c r="GV44" i="2"/>
  <c r="GW44" i="2" s="1"/>
  <c r="CK356" i="2"/>
  <c r="Z61" i="2"/>
  <c r="EH40" i="2"/>
  <c r="GT167" i="2"/>
  <c r="DQ40" i="2"/>
  <c r="DR40" i="2" s="1"/>
  <c r="DS40" i="2"/>
  <c r="DY40" i="2"/>
  <c r="DZ40" i="2" s="1"/>
  <c r="EA40" i="2" s="1"/>
  <c r="DQ299" i="2"/>
  <c r="DR299" i="2" s="1"/>
  <c r="DS299" i="2"/>
  <c r="DY299" i="2"/>
  <c r="DZ299" i="2" s="1"/>
  <c r="EA299" i="2" s="1"/>
  <c r="EC299" i="2"/>
  <c r="Z213" i="2"/>
  <c r="AA301" i="2"/>
  <c r="Z33" i="2"/>
  <c r="Z80" i="2"/>
  <c r="Z18" i="2"/>
  <c r="Z179" i="2"/>
  <c r="DS64" i="2"/>
  <c r="DQ64" i="2"/>
  <c r="DR64" i="2" s="1"/>
  <c r="DS57" i="2"/>
  <c r="EI215" i="2"/>
  <c r="Z230" i="2"/>
  <c r="EG215" i="2"/>
  <c r="Z308" i="2"/>
  <c r="Z36" i="2"/>
  <c r="CR235" i="2"/>
  <c r="CX235" i="2" s="1"/>
  <c r="Z326" i="2"/>
  <c r="DV188" i="2"/>
  <c r="DW188" i="2" s="1"/>
  <c r="EG314" i="2"/>
  <c r="FR272" i="2" a="1"/>
  <c r="FR272" i="2" s="1"/>
  <c r="EI314" i="2"/>
  <c r="DQ137" i="2"/>
  <c r="DR137" i="2" s="1"/>
  <c r="Z210" i="2"/>
  <c r="DS137" i="2"/>
  <c r="Z11" i="2"/>
  <c r="DY137" i="2"/>
  <c r="DZ137" i="2" s="1"/>
  <c r="EA137" i="2" s="1"/>
  <c r="EC104" i="2"/>
  <c r="EC215" i="2"/>
  <c r="EG155" i="2"/>
  <c r="DS104" i="2"/>
  <c r="DQ215" i="2"/>
  <c r="DR215" i="2" s="1"/>
  <c r="CK145" i="2"/>
  <c r="EG152" i="2"/>
  <c r="CE145" i="2"/>
  <c r="DQ47" i="2"/>
  <c r="DR47" i="2" s="1"/>
  <c r="DY47" i="2"/>
  <c r="DZ47" i="2" s="1"/>
  <c r="EA47" i="2" s="1"/>
  <c r="Z332" i="2"/>
  <c r="Z317" i="2"/>
  <c r="CK197" i="2"/>
  <c r="Z204" i="2"/>
  <c r="Z124" i="2"/>
  <c r="DQ152" i="2"/>
  <c r="DR152" i="2" s="1"/>
  <c r="DY152" i="2"/>
  <c r="DZ152" i="2" s="1"/>
  <c r="EA152" i="2" s="1"/>
  <c r="EG162" i="2"/>
  <c r="EC152" i="2"/>
  <c r="EI162" i="2"/>
  <c r="EH152" i="2"/>
  <c r="EI152" i="2"/>
  <c r="DS47" i="2"/>
  <c r="CE298" i="2"/>
  <c r="Z214" i="2"/>
  <c r="EG10" i="2"/>
  <c r="CK168" i="2"/>
  <c r="CK290" i="2"/>
  <c r="CE168" i="2"/>
  <c r="CE62" i="2"/>
  <c r="EH47" i="2"/>
  <c r="Z370" i="2"/>
  <c r="EG47" i="2"/>
  <c r="Z10" i="2"/>
  <c r="FR281" i="2" a="1"/>
  <c r="FR281" i="2" s="1"/>
  <c r="EH23" i="2"/>
  <c r="CE42" i="2"/>
  <c r="FR378" i="2" a="1"/>
  <c r="FR378" i="2" s="1"/>
  <c r="DQ23" i="2"/>
  <c r="DR23" i="2" s="1"/>
  <c r="Z39" i="2"/>
  <c r="DS23" i="2"/>
  <c r="CE197" i="2"/>
  <c r="DY23" i="2"/>
  <c r="DZ23" i="2" s="1"/>
  <c r="EA23" i="2" s="1"/>
  <c r="DV47" i="2"/>
  <c r="DW47" i="2" s="1"/>
  <c r="CE96" i="2"/>
  <c r="AA304" i="2"/>
  <c r="EC137" i="2"/>
  <c r="DQ57" i="2"/>
  <c r="DR57" i="2" s="1"/>
  <c r="DY57" i="2"/>
  <c r="DZ57" i="2" s="1"/>
  <c r="EA57" i="2" s="1"/>
  <c r="FR371" i="2" a="1"/>
  <c r="FR371" i="2" s="1"/>
  <c r="Z113" i="2"/>
  <c r="CE89" i="2"/>
  <c r="FR51" i="2" a="1"/>
  <c r="FR51" i="2" s="1"/>
  <c r="CK138" i="2"/>
  <c r="EI10" i="2"/>
  <c r="CK137" i="2"/>
  <c r="FR90" i="2" a="1"/>
  <c r="FR90" i="2" s="1"/>
  <c r="CE243" i="2"/>
  <c r="CE276" i="2"/>
  <c r="Z252" i="2"/>
  <c r="Z172" i="2"/>
  <c r="DV323" i="2"/>
  <c r="DW323" i="2" s="1"/>
  <c r="EI323" i="2"/>
  <c r="CE58" i="2"/>
  <c r="Z383" i="2"/>
  <c r="DV307" i="2"/>
  <c r="DW307" i="2" s="1"/>
  <c r="DV365" i="2"/>
  <c r="DW365" i="2" s="1"/>
  <c r="FR233" i="2" a="1"/>
  <c r="FR233" i="2" s="1"/>
  <c r="Z382" i="2"/>
  <c r="AA111" i="2"/>
  <c r="CE67" i="2"/>
  <c r="CE50" i="2"/>
  <c r="FR58" i="2" a="1"/>
  <c r="FR58" i="2" s="1"/>
  <c r="GV50" i="2"/>
  <c r="GW50" i="2" s="1"/>
  <c r="Z163" i="2"/>
  <c r="AA267" i="2"/>
  <c r="DY202" i="2"/>
  <c r="DZ202" i="2" s="1"/>
  <c r="EA202" i="2" s="1"/>
  <c r="CK359" i="2"/>
  <c r="CK118" i="2"/>
  <c r="Z62" i="2"/>
  <c r="EH202" i="2"/>
  <c r="EC202" i="2"/>
  <c r="DQ202" i="2"/>
  <c r="DR202" i="2" s="1"/>
  <c r="Z145" i="2"/>
  <c r="EH28" i="2"/>
  <c r="DQ28" i="2"/>
  <c r="DR28" i="2" s="1"/>
  <c r="DS28" i="2"/>
  <c r="DY28" i="2"/>
  <c r="DZ28" i="2" s="1"/>
  <c r="EA28" i="2" s="1"/>
  <c r="CE44" i="2"/>
  <c r="Z19" i="2"/>
  <c r="Z50" i="2"/>
  <c r="FR91" i="2" a="1"/>
  <c r="FR91" i="2" s="1"/>
  <c r="EH41" i="2"/>
  <c r="DQ41" i="2"/>
  <c r="DR41" i="2" s="1"/>
  <c r="DS41" i="2"/>
  <c r="Z29" i="2"/>
  <c r="GV96" i="2"/>
  <c r="GW96" i="2" s="1"/>
  <c r="DY41" i="2"/>
  <c r="DZ41" i="2" s="1"/>
  <c r="EA41" i="2" s="1"/>
  <c r="DO265" i="2"/>
  <c r="DY265" i="2" s="1"/>
  <c r="DZ265" i="2" s="1"/>
  <c r="EA265" i="2" s="1"/>
  <c r="DY381" i="2"/>
  <c r="DZ381" i="2" s="1"/>
  <c r="EA381" i="2" s="1"/>
  <c r="DV32" i="2"/>
  <c r="DW32" i="2" s="1"/>
  <c r="CE87" i="2"/>
  <c r="CK135" i="2"/>
  <c r="CE264" i="2"/>
  <c r="GV350" i="2"/>
  <c r="GW350" i="2" s="1"/>
  <c r="GV40" i="2"/>
  <c r="GW40" i="2" s="1"/>
  <c r="Z134" i="2"/>
  <c r="CK297" i="2"/>
  <c r="CE114" i="2"/>
  <c r="Z140" i="2"/>
  <c r="CE297" i="2"/>
  <c r="Z361" i="2"/>
  <c r="DV235" i="2"/>
  <c r="DW235" i="2" s="1"/>
  <c r="EG235" i="2"/>
  <c r="EI32" i="2"/>
  <c r="DS374" i="2"/>
  <c r="DY374" i="2"/>
  <c r="DZ374" i="2" s="1"/>
  <c r="EA374" i="2" s="1"/>
  <c r="EC374" i="2"/>
  <c r="DQ367" i="2"/>
  <c r="DR367" i="2" s="1"/>
  <c r="DV361" i="2"/>
  <c r="DW361" i="2" s="1"/>
  <c r="Z329" i="2"/>
  <c r="FR231" i="2" a="1"/>
  <c r="FR231" i="2" s="1"/>
  <c r="DV45" i="2"/>
  <c r="DW45" i="2" s="1"/>
  <c r="EH27" i="2"/>
  <c r="Z251" i="2"/>
  <c r="CK167" i="2"/>
  <c r="CK140" i="2"/>
  <c r="EG45" i="2"/>
  <c r="DQ27" i="2"/>
  <c r="DR27" i="2" s="1"/>
  <c r="CE167" i="2"/>
  <c r="DS27" i="2"/>
  <c r="Z56" i="2"/>
  <c r="DY27" i="2"/>
  <c r="DZ27" i="2" s="1"/>
  <c r="EA27" i="2" s="1"/>
  <c r="Z129" i="2"/>
  <c r="EG307" i="2"/>
  <c r="CM40" i="2"/>
  <c r="CE40" i="2"/>
  <c r="CK40" i="2"/>
  <c r="DQ70" i="2"/>
  <c r="DR70" i="2" s="1"/>
  <c r="CK116" i="2"/>
  <c r="DS70" i="2"/>
  <c r="Z131" i="2"/>
  <c r="DY70" i="2"/>
  <c r="DZ70" i="2" s="1"/>
  <c r="EA70" i="2" s="1"/>
  <c r="EC70" i="2"/>
  <c r="Z74" i="2"/>
  <c r="CE196" i="2"/>
  <c r="Z192" i="2"/>
  <c r="CE80" i="2"/>
  <c r="Z26" i="2"/>
  <c r="EH176" i="2"/>
  <c r="Z341" i="2"/>
  <c r="DQ176" i="2"/>
  <c r="DR176" i="2" s="1"/>
  <c r="Z320" i="2"/>
  <c r="DS176" i="2"/>
  <c r="CE305" i="2"/>
  <c r="DS367" i="2"/>
  <c r="FR213" i="2" a="1"/>
  <c r="FR213" i="2" s="1"/>
  <c r="DY367" i="2"/>
  <c r="DZ367" i="2" s="1"/>
  <c r="EA367" i="2" s="1"/>
  <c r="GT229" i="2"/>
  <c r="EH367" i="2"/>
  <c r="CK351" i="2"/>
  <c r="DQ377" i="2"/>
  <c r="DR377" i="2" s="1"/>
  <c r="EG365" i="2"/>
  <c r="GV364" i="2"/>
  <c r="Z373" i="2"/>
  <c r="GV152" i="2"/>
  <c r="GW152" i="2" s="1"/>
  <c r="FR273" i="2" a="1"/>
  <c r="FR273" i="2" s="1"/>
  <c r="Z46" i="2"/>
  <c r="Z76" i="2"/>
  <c r="CK54" i="2"/>
  <c r="DY34" i="2"/>
  <c r="DZ34" i="2" s="1"/>
  <c r="EA34" i="2" s="1"/>
  <c r="FR299" i="2" a="1"/>
  <c r="FR299" i="2" s="1"/>
  <c r="DQ291" i="2"/>
  <c r="DR291" i="2" s="1"/>
  <c r="EC291" i="2"/>
  <c r="Z121" i="2"/>
  <c r="CE306" i="2"/>
  <c r="CK270" i="2"/>
  <c r="AA9" i="2"/>
  <c r="Z24" i="2"/>
  <c r="EH124" i="2"/>
  <c r="DQ124" i="2"/>
  <c r="DR124" i="2" s="1"/>
  <c r="Z339" i="2"/>
  <c r="CE340" i="2"/>
  <c r="EC15" i="2"/>
  <c r="Z125" i="2"/>
  <c r="GU392" i="2"/>
  <c r="AA31" i="2"/>
  <c r="EH104" i="2"/>
  <c r="CE296" i="2"/>
  <c r="DQ104" i="2"/>
  <c r="DR104" i="2" s="1"/>
  <c r="FR76" i="2" a="1"/>
  <c r="FR76" i="2" s="1"/>
  <c r="GV36" i="2"/>
  <c r="GW36" i="2" s="1"/>
  <c r="CE36" i="2"/>
  <c r="DV83" i="2"/>
  <c r="DW83" i="2" s="1"/>
  <c r="EG83" i="2"/>
  <c r="GV89" i="2"/>
  <c r="GW89" i="2" s="1"/>
  <c r="DS307" i="2"/>
  <c r="EX30" i="2"/>
  <c r="EI274" i="2"/>
  <c r="DS34" i="2"/>
  <c r="GT266" i="2"/>
  <c r="DS83" i="2"/>
  <c r="EC34" i="2"/>
  <c r="DY83" i="2"/>
  <c r="DZ83" i="2" s="1"/>
  <c r="EA83" i="2" s="1"/>
  <c r="EC83" i="2"/>
  <c r="CE179" i="2"/>
  <c r="CE97" i="2"/>
  <c r="EH83" i="2"/>
  <c r="Z232" i="2"/>
  <c r="Z59" i="2"/>
  <c r="CK294" i="2"/>
  <c r="DS322" i="2"/>
  <c r="EG321" i="2"/>
  <c r="CK126" i="2"/>
  <c r="DV104" i="2"/>
  <c r="DW104" i="2" s="1"/>
  <c r="FR235" i="2" a="1"/>
  <c r="FR235" i="2" s="1"/>
  <c r="CK333" i="2"/>
  <c r="EI321" i="2"/>
  <c r="DS124" i="2"/>
  <c r="EH20" i="2"/>
  <c r="EC322" i="2"/>
  <c r="DY124" i="2"/>
  <c r="DZ124" i="2" s="1"/>
  <c r="EA124" i="2" s="1"/>
  <c r="DQ20" i="2"/>
  <c r="DR20" i="2" s="1"/>
  <c r="DY20" i="2"/>
  <c r="DZ20" i="2" s="1"/>
  <c r="EA20" i="2" s="1"/>
  <c r="AB362" i="2"/>
  <c r="Z81" i="2"/>
  <c r="GV359" i="2"/>
  <c r="GW359" i="2" s="1"/>
  <c r="CK278" i="2"/>
  <c r="FR230" i="2" a="1"/>
  <c r="FR230" i="2" s="1"/>
  <c r="Z206" i="2"/>
  <c r="Z88" i="2"/>
  <c r="CK121" i="2"/>
  <c r="DY322" i="2"/>
  <c r="DZ322" i="2" s="1"/>
  <c r="EA322" i="2" s="1"/>
  <c r="Z117" i="2"/>
  <c r="DQ322" i="2"/>
  <c r="DR322" i="2" s="1"/>
  <c r="Z256" i="2"/>
  <c r="Z112" i="2"/>
  <c r="CE90" i="2"/>
  <c r="CE35" i="2"/>
  <c r="CE12" i="2"/>
  <c r="GV278" i="2"/>
  <c r="GW278" i="2" s="1"/>
  <c r="EG104" i="2"/>
  <c r="FR40" i="2" a="1"/>
  <c r="FR40" i="2" s="1"/>
  <c r="DS20" i="2"/>
  <c r="Z363" i="2"/>
  <c r="CE124" i="2"/>
  <c r="CK92" i="2"/>
  <c r="GV275" i="2"/>
  <c r="GW275" i="2" s="1"/>
  <c r="EG20" i="2"/>
  <c r="Z290" i="2"/>
  <c r="EH39" i="2"/>
  <c r="GV365" i="2"/>
  <c r="GW365" i="2" s="1"/>
  <c r="CE73" i="2"/>
  <c r="DQ39" i="2"/>
  <c r="DR39" i="2" s="1"/>
  <c r="CE121" i="2"/>
  <c r="DV325" i="2"/>
  <c r="DW325" i="2" s="1"/>
  <c r="EG214" i="2"/>
  <c r="CE72" i="2"/>
  <c r="EC39" i="2"/>
  <c r="EI20" i="2"/>
  <c r="FR24" i="2" a="1"/>
  <c r="FR24" i="2" s="1"/>
  <c r="FR124" i="2" a="1"/>
  <c r="FR124" i="2" s="1"/>
  <c r="GV268" i="2"/>
  <c r="GW268" i="2" s="1"/>
  <c r="CE365" i="2"/>
  <c r="GV353" i="2"/>
  <c r="GW353" i="2" s="1"/>
  <c r="EG325" i="2"/>
  <c r="CE268" i="2"/>
  <c r="EC10" i="2"/>
  <c r="CK275" i="2"/>
  <c r="DQ35" i="2"/>
  <c r="DR35" i="2" s="1"/>
  <c r="EH10" i="2"/>
  <c r="EC35" i="2"/>
  <c r="DQ10" i="2"/>
  <c r="DR10" i="2" s="1"/>
  <c r="Z261" i="2"/>
  <c r="CE313" i="2"/>
  <c r="DS10" i="2"/>
  <c r="GV35" i="2"/>
  <c r="GW35" i="2" s="1"/>
  <c r="GV42" i="2"/>
  <c r="GW42" i="2" s="1"/>
  <c r="EI214" i="2"/>
  <c r="DQ149" i="2"/>
  <c r="DR149" i="2" s="1"/>
  <c r="FW189" i="2"/>
  <c r="FX189" i="2" s="1" a="1"/>
  <c r="FX189" i="2" s="1"/>
  <c r="GV124" i="2"/>
  <c r="GW124" i="2" s="1"/>
  <c r="CE24" i="2"/>
  <c r="CE101" i="2"/>
  <c r="DQ324" i="2"/>
  <c r="DR324" i="2" s="1"/>
  <c r="EI157" i="2"/>
  <c r="AA347" i="2"/>
  <c r="FR13" i="2" a="1"/>
  <c r="FR13" i="2" s="1"/>
  <c r="CE107" i="2"/>
  <c r="EH46" i="2"/>
  <c r="Z104" i="2"/>
  <c r="CK295" i="2"/>
  <c r="DS324" i="2"/>
  <c r="CE259" i="2"/>
  <c r="CE251" i="2"/>
  <c r="EH324" i="2"/>
  <c r="DQ46" i="2"/>
  <c r="DR46" i="2" s="1"/>
  <c r="Z23" i="2"/>
  <c r="CE82" i="2"/>
  <c r="DS46" i="2"/>
  <c r="DY46" i="2"/>
  <c r="DZ46" i="2" s="1"/>
  <c r="EA46" i="2" s="1"/>
  <c r="Z78" i="2"/>
  <c r="EG116" i="2"/>
  <c r="CE110" i="2"/>
  <c r="EI116" i="2"/>
  <c r="EI147" i="2"/>
  <c r="FR268" i="2" a="1"/>
  <c r="FR268" i="2" s="1"/>
  <c r="Z147" i="2"/>
  <c r="GT261" i="2"/>
  <c r="Z391" i="2"/>
  <c r="GV13" i="2"/>
  <c r="GW13" i="2" s="1"/>
  <c r="Z259" i="2"/>
  <c r="DY15" i="2"/>
  <c r="DZ15" i="2" s="1"/>
  <c r="EA15" i="2" s="1"/>
  <c r="DQ15" i="2"/>
  <c r="DR15" i="2" s="1"/>
  <c r="CE188" i="2"/>
  <c r="DS15" i="2"/>
  <c r="CE129" i="2"/>
  <c r="GV272" i="2"/>
  <c r="GW272" i="2" s="1"/>
  <c r="DQ295" i="2"/>
  <c r="DR295" i="2" s="1"/>
  <c r="Z316" i="2"/>
  <c r="CK272" i="2"/>
  <c r="FR172" i="2" a="1"/>
  <c r="FR172" i="2" s="1"/>
  <c r="FR278" i="2" a="1"/>
  <c r="FR278" i="2" s="1"/>
  <c r="CK380" i="2"/>
  <c r="GV360" i="2"/>
  <c r="GW360" i="2" s="1"/>
  <c r="Z315" i="2"/>
  <c r="CE255" i="2"/>
  <c r="CE83" i="2"/>
  <c r="CE360" i="2"/>
  <c r="CK177" i="2"/>
  <c r="CE390" i="2"/>
  <c r="CE295" i="2"/>
  <c r="DQ11" i="2"/>
  <c r="DR11" i="2" s="1"/>
  <c r="Z335" i="2"/>
  <c r="FR214" i="2" a="1"/>
  <c r="FR214" i="2" s="1"/>
  <c r="CE84" i="2"/>
  <c r="Z120" i="2"/>
  <c r="Z311" i="2"/>
  <c r="GV87" i="2"/>
  <c r="GW87" i="2" s="1"/>
  <c r="CE361" i="2"/>
  <c r="Z321" i="2"/>
  <c r="GV259" i="2"/>
  <c r="GU252" i="2"/>
  <c r="EI158" i="2"/>
  <c r="CE311" i="2"/>
  <c r="EG163" i="2"/>
  <c r="EH363" i="2"/>
  <c r="Z239" i="2"/>
  <c r="FR23" i="2" a="1"/>
  <c r="FR23" i="2" s="1"/>
  <c r="Z322" i="2"/>
  <c r="Z331" i="2"/>
  <c r="AA170" i="2"/>
  <c r="CE254" i="2"/>
  <c r="DV147" i="2"/>
  <c r="DW147" i="2" s="1"/>
  <c r="FR370" i="2" a="1"/>
  <c r="FR370" i="2" s="1"/>
  <c r="Z262" i="2"/>
  <c r="DY295" i="2"/>
  <c r="DZ295" i="2" s="1"/>
  <c r="EA295" i="2" s="1"/>
  <c r="EH352" i="2"/>
  <c r="CE102" i="2"/>
  <c r="CE257" i="2"/>
  <c r="Z197" i="2"/>
  <c r="CK142" i="2"/>
  <c r="CE93" i="2"/>
  <c r="EC295" i="2"/>
  <c r="GV254" i="2"/>
  <c r="GW254" i="2" s="1"/>
  <c r="DQ352" i="2"/>
  <c r="DR352" i="2" s="1"/>
  <c r="Z263" i="2"/>
  <c r="CK102" i="2"/>
  <c r="Z265" i="2"/>
  <c r="CE142" i="2"/>
  <c r="EC352" i="2"/>
  <c r="DS352" i="2"/>
  <c r="DY303" i="2"/>
  <c r="DZ303" i="2" s="1"/>
  <c r="EA303" i="2" s="1"/>
  <c r="DS303" i="2"/>
  <c r="Z205" i="2"/>
  <c r="GV99" i="2"/>
  <c r="GW99" i="2" s="1"/>
  <c r="CE99" i="2"/>
  <c r="AB391" i="2"/>
  <c r="CE43" i="2"/>
  <c r="CK131" i="2"/>
  <c r="FR48" i="2" a="1"/>
  <c r="FR48" i="2" s="1"/>
  <c r="CK349" i="2"/>
  <c r="CE304" i="2"/>
  <c r="CE307" i="2"/>
  <c r="CE131" i="2"/>
  <c r="DV156" i="2"/>
  <c r="DW156" i="2" s="1"/>
  <c r="DS127" i="2"/>
  <c r="GV103" i="2"/>
  <c r="GW103" i="2" s="1"/>
  <c r="Z243" i="2"/>
  <c r="DY127" i="2"/>
  <c r="DZ127" i="2" s="1"/>
  <c r="EA127" i="2" s="1"/>
  <c r="EG156" i="2"/>
  <c r="EH33" i="2"/>
  <c r="CE103" i="2"/>
  <c r="CE341" i="2"/>
  <c r="DV261" i="2"/>
  <c r="DW261" i="2" s="1"/>
  <c r="FR324" i="2" a="1"/>
  <c r="FR324" i="2" s="1"/>
  <c r="Z224" i="2"/>
  <c r="DS295" i="2"/>
  <c r="DS213" i="2"/>
  <c r="EG136" i="2"/>
  <c r="DS33" i="2"/>
  <c r="CK279" i="2"/>
  <c r="CE242" i="2"/>
  <c r="DY33" i="2"/>
  <c r="DZ33" i="2" s="1"/>
  <c r="EA33" i="2" s="1"/>
  <c r="DV246" i="2"/>
  <c r="DW246" i="2" s="1"/>
  <c r="Z217" i="2"/>
  <c r="CE180" i="2"/>
  <c r="GV88" i="2"/>
  <c r="GW88" i="2" s="1"/>
  <c r="EC33" i="2"/>
  <c r="DS358" i="2"/>
  <c r="EI254" i="2"/>
  <c r="Z57" i="2"/>
  <c r="DY358" i="2"/>
  <c r="DZ358" i="2" s="1"/>
  <c r="EA358" i="2" s="1"/>
  <c r="DY165" i="2"/>
  <c r="DZ165" i="2" s="1"/>
  <c r="EA165" i="2" s="1"/>
  <c r="DQ213" i="2"/>
  <c r="DR213" i="2" s="1"/>
  <c r="EC358" i="2"/>
  <c r="DQ184" i="2"/>
  <c r="DR184" i="2" s="1"/>
  <c r="DS165" i="2"/>
  <c r="EC165" i="2"/>
  <c r="DQ67" i="2"/>
  <c r="DR67" i="2" s="1"/>
  <c r="Z177" i="2"/>
  <c r="EH358" i="2"/>
  <c r="DS184" i="2"/>
  <c r="CK187" i="2"/>
  <c r="EH165" i="2"/>
  <c r="DV136" i="2"/>
  <c r="DW136" i="2" s="1"/>
  <c r="DS67" i="2"/>
  <c r="DY184" i="2"/>
  <c r="DZ184" i="2" s="1"/>
  <c r="EA184" i="2" s="1"/>
  <c r="Z328" i="2"/>
  <c r="EG246" i="2"/>
  <c r="EC184" i="2"/>
  <c r="Z17" i="2"/>
  <c r="Z28" i="2"/>
  <c r="CK242" i="2"/>
  <c r="EI163" i="2"/>
  <c r="CK266" i="2"/>
  <c r="Z126" i="2"/>
  <c r="CE154" i="2"/>
  <c r="CK143" i="2"/>
  <c r="CE88" i="2"/>
  <c r="DY213" i="2"/>
  <c r="DZ213" i="2" s="1"/>
  <c r="EA213" i="2" s="1"/>
  <c r="EH127" i="2"/>
  <c r="FR360" i="2" a="1"/>
  <c r="FR360" i="2" s="1"/>
  <c r="GV242" i="2"/>
  <c r="GW242" i="2" s="1"/>
  <c r="DQ127" i="2"/>
  <c r="DR127" i="2" s="1"/>
  <c r="GV197" i="2"/>
  <c r="GW197" i="2" s="1"/>
  <c r="CE41" i="2"/>
  <c r="GV34" i="2"/>
  <c r="GW34" i="2" s="1"/>
  <c r="GV41" i="2"/>
  <c r="GW41" i="2" s="1"/>
  <c r="GV54" i="2"/>
  <c r="GW54" i="2" s="1"/>
  <c r="CE128" i="2"/>
  <c r="GU311" i="2"/>
  <c r="FR116" i="2" a="1"/>
  <c r="FR116" i="2" s="1"/>
  <c r="GV188" i="2"/>
  <c r="GW188" i="2" s="1"/>
  <c r="DY176" i="2"/>
  <c r="DZ176" i="2" s="1"/>
  <c r="EA176" i="2" s="1"/>
  <c r="CE137" i="2"/>
  <c r="Z65" i="2"/>
  <c r="CE182" i="2"/>
  <c r="AA137" i="2"/>
  <c r="CE81" i="2"/>
  <c r="DY338" i="2"/>
  <c r="DZ338" i="2" s="1"/>
  <c r="EA338" i="2" s="1"/>
  <c r="CK350" i="2"/>
  <c r="Z350" i="2"/>
  <c r="EC338" i="2"/>
  <c r="CK309" i="2"/>
  <c r="EH238" i="2"/>
  <c r="Z218" i="2"/>
  <c r="Z196" i="2"/>
  <c r="EH188" i="2"/>
  <c r="CE71" i="2"/>
  <c r="CK81" i="2"/>
  <c r="DY67" i="2"/>
  <c r="DZ67" i="2" s="1"/>
  <c r="EA67" i="2" s="1"/>
  <c r="Z51" i="2"/>
  <c r="Z42" i="2"/>
  <c r="FR232" i="2" a="1"/>
  <c r="FR232" i="2" s="1"/>
  <c r="FW191" i="2"/>
  <c r="FX191" i="2" s="1" a="1"/>
  <c r="FX191" i="2" s="1"/>
  <c r="Z199" i="2"/>
  <c r="CK277" i="2"/>
  <c r="DO252" i="2"/>
  <c r="DY252" i="2" s="1"/>
  <c r="DZ252" i="2" s="1"/>
  <c r="EA252" i="2" s="1"/>
  <c r="DV238" i="2"/>
  <c r="DW238" i="2" s="1"/>
  <c r="EH178" i="2"/>
  <c r="DQ188" i="2"/>
  <c r="DR188" i="2" s="1"/>
  <c r="DV155" i="2"/>
  <c r="DW155" i="2" s="1"/>
  <c r="FR95" i="2" a="1"/>
  <c r="FR95" i="2" s="1"/>
  <c r="EC67" i="2"/>
  <c r="EE67" i="2" s="1"/>
  <c r="EF67" i="2" s="1"/>
  <c r="EG67" i="2" s="1"/>
  <c r="EC57" i="2"/>
  <c r="Z22" i="2"/>
  <c r="Z229" i="2"/>
  <c r="DQ374" i="2"/>
  <c r="DR374" i="2" s="1"/>
  <c r="EI338" i="2"/>
  <c r="CK324" i="2"/>
  <c r="Z255" i="2"/>
  <c r="CE269" i="2"/>
  <c r="EH30" i="2"/>
  <c r="Z248" i="2"/>
  <c r="DU252" i="2"/>
  <c r="EG238" i="2"/>
  <c r="DQ178" i="2"/>
  <c r="DR178" i="2" s="1"/>
  <c r="EG164" i="2"/>
  <c r="DS188" i="2"/>
  <c r="Z144" i="2"/>
  <c r="GV67" i="2"/>
  <c r="GW67" i="2" s="1"/>
  <c r="GV111" i="2"/>
  <c r="GW111" i="2" s="1"/>
  <c r="DQ26" i="2"/>
  <c r="DR26" i="2" s="1"/>
  <c r="EC324" i="2"/>
  <c r="CK346" i="2"/>
  <c r="DV338" i="2"/>
  <c r="DW338" i="2" s="1"/>
  <c r="DV102" i="2"/>
  <c r="DW102" i="2" s="1"/>
  <c r="DY30" i="2"/>
  <c r="DZ30" i="2" s="1"/>
  <c r="EA30" i="2" s="1"/>
  <c r="DS178" i="2"/>
  <c r="EI164" i="2"/>
  <c r="DY188" i="2"/>
  <c r="DZ188" i="2" s="1"/>
  <c r="EA188" i="2" s="1"/>
  <c r="Z141" i="2"/>
  <c r="GV81" i="2"/>
  <c r="GW81" i="2" s="1"/>
  <c r="CE100" i="2"/>
  <c r="CE69" i="2"/>
  <c r="FR26" i="2" a="1"/>
  <c r="FR26" i="2" s="1"/>
  <c r="GV127" i="2"/>
  <c r="GW127" i="2" s="1"/>
  <c r="CE309" i="2"/>
  <c r="GV346" i="2"/>
  <c r="GW346" i="2" s="1"/>
  <c r="Z299" i="2"/>
  <c r="EG102" i="2"/>
  <c r="EC30" i="2"/>
  <c r="GU167" i="2"/>
  <c r="FR210" i="2" a="1"/>
  <c r="FR210" i="2" s="1"/>
  <c r="Z194" i="2"/>
  <c r="DY178" i="2"/>
  <c r="DZ178" i="2" s="1"/>
  <c r="EA178" i="2" s="1"/>
  <c r="Z164" i="2"/>
  <c r="CK127" i="2"/>
  <c r="FW99" i="2"/>
  <c r="FX99" i="2" s="1" a="1"/>
  <c r="FX99" i="2" s="1"/>
  <c r="FR9" i="2" a="1"/>
  <c r="FR9" i="2" s="1"/>
  <c r="GV373" i="2"/>
  <c r="GW373" i="2" s="1"/>
  <c r="EG361" i="2"/>
  <c r="DQ338" i="2"/>
  <c r="DR338" i="2" s="1"/>
  <c r="CE271" i="2"/>
  <c r="CK256" i="2"/>
  <c r="DQ30" i="2"/>
  <c r="DR30" i="2" s="1"/>
  <c r="CE218" i="2"/>
  <c r="GV148" i="2"/>
  <c r="GW148" i="2" s="1"/>
  <c r="Z115" i="2"/>
  <c r="Z127" i="2"/>
  <c r="CE166" i="2"/>
  <c r="Z72" i="2"/>
  <c r="Z200" i="2"/>
  <c r="Z357" i="2"/>
  <c r="GV390" i="2"/>
  <c r="Z257" i="2"/>
  <c r="EG247" i="2"/>
  <c r="DY64" i="2"/>
  <c r="DZ64" i="2" s="1"/>
  <c r="EA64" i="2" s="1"/>
  <c r="GV154" i="2"/>
  <c r="GW154" i="2" s="1"/>
  <c r="CK147" i="2"/>
  <c r="DV67" i="2"/>
  <c r="DW67" i="2" s="1"/>
  <c r="CE49" i="2"/>
  <c r="CK57" i="2"/>
  <c r="CE373" i="2"/>
  <c r="DV254" i="2"/>
  <c r="DW254" i="2" s="1"/>
  <c r="EI247" i="2"/>
  <c r="AA207" i="2"/>
  <c r="EC64" i="2"/>
  <c r="EI114" i="2"/>
  <c r="CE111" i="2"/>
  <c r="FR61" i="2" a="1"/>
  <c r="FR61" i="2" s="1"/>
  <c r="Z327" i="2"/>
  <c r="DS338" i="2"/>
  <c r="CK373" i="2"/>
  <c r="CE178" i="2"/>
  <c r="EG188" i="2"/>
  <c r="EG158" i="2"/>
  <c r="GV57" i="2"/>
  <c r="GW57" i="2" s="1"/>
  <c r="GV32" i="2"/>
  <c r="GW32" i="2" s="1"/>
  <c r="CE34" i="2"/>
  <c r="Z21" i="2"/>
  <c r="FR319" i="2" a="1"/>
  <c r="FR319" i="2" s="1"/>
  <c r="FR59" i="2" a="1"/>
  <c r="FR59" i="2" s="1"/>
  <c r="Z77" i="2"/>
  <c r="FR369" i="2" a="1"/>
  <c r="FR369" i="2" s="1"/>
  <c r="CE177" i="2"/>
  <c r="CE32" i="2"/>
  <c r="Z238" i="2"/>
  <c r="GV113" i="2"/>
  <c r="GW113" i="2" s="1"/>
  <c r="CE185" i="2"/>
  <c r="GV83" i="2"/>
  <c r="GW83" i="2" s="1"/>
  <c r="GV82" i="2"/>
  <c r="GW82" i="2" s="1"/>
  <c r="EC123" i="2"/>
  <c r="EH123" i="2"/>
  <c r="DQ123" i="2"/>
  <c r="DR123" i="2" s="1"/>
  <c r="Z379" i="2"/>
  <c r="DY214" i="2"/>
  <c r="DZ214" i="2" s="1"/>
  <c r="EA214" i="2" s="1"/>
  <c r="DS123" i="2"/>
  <c r="FR225" i="2" a="1"/>
  <c r="FR225" i="2" s="1"/>
  <c r="CE253" i="2"/>
  <c r="GV18" i="2"/>
  <c r="GW18" i="2" s="1"/>
  <c r="FR211" i="2" a="1"/>
  <c r="FR211" i="2" s="1"/>
  <c r="GV189" i="2"/>
  <c r="GW189" i="2" s="1"/>
  <c r="CE48" i="2"/>
  <c r="CK113" i="2"/>
  <c r="CE189" i="2"/>
  <c r="DS82" i="2"/>
  <c r="Z169" i="2"/>
  <c r="DY82" i="2"/>
  <c r="DZ82" i="2" s="1"/>
  <c r="EA82" i="2" s="1"/>
  <c r="EC82" i="2"/>
  <c r="CE76" i="2"/>
  <c r="Z334" i="2"/>
  <c r="EH82" i="2"/>
  <c r="DV165" i="2"/>
  <c r="DW165" i="2" s="1"/>
  <c r="CK66" i="2"/>
  <c r="EC116" i="2"/>
  <c r="GV307" i="2"/>
  <c r="GW307" i="2" s="1"/>
  <c r="CE187" i="2"/>
  <c r="EH307" i="2"/>
  <c r="DQ116" i="2"/>
  <c r="DR116" i="2" s="1"/>
  <c r="DY307" i="2"/>
  <c r="DZ307" i="2" s="1"/>
  <c r="EA307" i="2" s="1"/>
  <c r="FR135" i="2" a="1"/>
  <c r="FR135" i="2" s="1"/>
  <c r="GV104" i="2"/>
  <c r="GW104" i="2" s="1"/>
  <c r="GV274" i="2"/>
  <c r="GW274" i="2" s="1"/>
  <c r="EC307" i="2"/>
  <c r="GU257" i="2"/>
  <c r="Z247" i="2"/>
  <c r="FR218" i="2" a="1"/>
  <c r="FR218" i="2" s="1"/>
  <c r="EG165" i="2"/>
  <c r="CK70" i="2"/>
  <c r="EH69" i="2"/>
  <c r="DQ69" i="2"/>
  <c r="DR69" i="2" s="1"/>
  <c r="CE258" i="2"/>
  <c r="Z191" i="2"/>
  <c r="CE85" i="2"/>
  <c r="DS69" i="2"/>
  <c r="DY69" i="2"/>
  <c r="DZ69" i="2" s="1"/>
  <c r="EA69" i="2" s="1"/>
  <c r="Z195" i="2"/>
  <c r="CE302" i="2"/>
  <c r="GV193" i="2"/>
  <c r="GW193" i="2" s="1"/>
  <c r="CK85" i="2"/>
  <c r="CE256" i="2"/>
  <c r="Z225" i="2"/>
  <c r="Z152" i="2"/>
  <c r="CK91" i="2"/>
  <c r="CK257" i="2"/>
  <c r="Z228" i="2"/>
  <c r="DS357" i="2"/>
  <c r="Z325" i="2"/>
  <c r="DY357" i="2"/>
  <c r="DZ357" i="2" s="1"/>
  <c r="EA357" i="2" s="1"/>
  <c r="CK392" i="2"/>
  <c r="EC363" i="2"/>
  <c r="CE392" i="2"/>
  <c r="GV324" i="2"/>
  <c r="GW324" i="2" s="1"/>
  <c r="FR222" i="2" a="1"/>
  <c r="FR222" i="2" s="1"/>
  <c r="FR345" i="2" a="1"/>
  <c r="FR345" i="2" s="1"/>
  <c r="Z318" i="2"/>
  <c r="CE339" i="2"/>
  <c r="Z298" i="2"/>
  <c r="FR279" i="2" a="1"/>
  <c r="FR279" i="2" s="1"/>
  <c r="CE310" i="2"/>
  <c r="Z273" i="2"/>
  <c r="Z231" i="2"/>
  <c r="Z354" i="2"/>
  <c r="CE342" i="2"/>
  <c r="GV214" i="2"/>
  <c r="GW214" i="2" s="1"/>
  <c r="EH215" i="2"/>
  <c r="Z159" i="2"/>
  <c r="Z135" i="2"/>
  <c r="GV26" i="2"/>
  <c r="GW26" i="2" s="1"/>
  <c r="CE27" i="2"/>
  <c r="Z356" i="2"/>
  <c r="EH26" i="2"/>
  <c r="DV25" i="2"/>
  <c r="DW25" i="2" s="1"/>
  <c r="DQ323" i="2"/>
  <c r="DR323" i="2" s="1"/>
  <c r="FR277" i="2" a="1"/>
  <c r="FR277" i="2" s="1"/>
  <c r="FR217" i="2" a="1"/>
  <c r="FR217" i="2" s="1"/>
  <c r="DS215" i="2"/>
  <c r="EC214" i="2"/>
  <c r="CE86" i="2"/>
  <c r="DS26" i="2"/>
  <c r="FR32" i="2" a="1"/>
  <c r="FR32" i="2" s="1"/>
  <c r="DS323" i="2"/>
  <c r="DV303" i="2"/>
  <c r="DW303" i="2" s="1"/>
  <c r="FR215" i="2" a="1"/>
  <c r="FR215" i="2" s="1"/>
  <c r="EH214" i="2"/>
  <c r="CK144" i="2"/>
  <c r="Z123" i="2"/>
  <c r="DY26" i="2"/>
  <c r="DZ26" i="2" s="1"/>
  <c r="EA26" i="2" s="1"/>
  <c r="FR318" i="2" a="1"/>
  <c r="FR318" i="2" s="1"/>
  <c r="CK323" i="2"/>
  <c r="FR36" i="2" a="1"/>
  <c r="FR36" i="2" s="1"/>
  <c r="DY323" i="2"/>
  <c r="DZ323" i="2" s="1"/>
  <c r="EA323" i="2" s="1"/>
  <c r="DQ214" i="2"/>
  <c r="DR214" i="2" s="1"/>
  <c r="Z209" i="2"/>
  <c r="FR49" i="2" a="1"/>
  <c r="FR49" i="2" s="1"/>
  <c r="GV116" i="2"/>
  <c r="GW116" i="2" s="1"/>
  <c r="CE149" i="2"/>
  <c r="Z48" i="2"/>
  <c r="CK286" i="2"/>
  <c r="DV239" i="2"/>
  <c r="DW239" i="2" s="1"/>
  <c r="DY159" i="2"/>
  <c r="DZ159" i="2" s="1"/>
  <c r="EA159" i="2" s="1"/>
  <c r="EG64" i="2"/>
  <c r="Z73" i="2"/>
  <c r="EH25" i="2"/>
  <c r="CE26" i="2"/>
  <c r="Z349" i="2"/>
  <c r="EG367" i="2"/>
  <c r="FR221" i="2" a="1"/>
  <c r="FR221" i="2" s="1"/>
  <c r="EG239" i="2"/>
  <c r="GV177" i="2"/>
  <c r="GW177" i="2" s="1"/>
  <c r="EC159" i="2"/>
  <c r="EI64" i="2"/>
  <c r="Z157" i="2"/>
  <c r="DS108" i="2"/>
  <c r="EI33" i="2"/>
  <c r="DQ25" i="2"/>
  <c r="DR25" i="2" s="1"/>
  <c r="FR63" i="2" a="1"/>
  <c r="FR63" i="2" s="1"/>
  <c r="Z55" i="2"/>
  <c r="EG33" i="2"/>
  <c r="EI367" i="2"/>
  <c r="Z346" i="2"/>
  <c r="EI303" i="2"/>
  <c r="GV218" i="2"/>
  <c r="GW218" i="2" s="1"/>
  <c r="CK169" i="2"/>
  <c r="EH159" i="2"/>
  <c r="CK173" i="2"/>
  <c r="EC108" i="2"/>
  <c r="DS25" i="2"/>
  <c r="Z300" i="2"/>
  <c r="EC349" i="2"/>
  <c r="EI210" i="2"/>
  <c r="CE169" i="2"/>
  <c r="DQ159" i="2"/>
  <c r="DR159" i="2" s="1"/>
  <c r="CE173" i="2"/>
  <c r="Z133" i="2"/>
  <c r="CK119" i="2"/>
  <c r="CE77" i="2"/>
  <c r="DY25" i="2"/>
  <c r="DZ25" i="2" s="1"/>
  <c r="EA25" i="2" s="1"/>
  <c r="EH24" i="2"/>
  <c r="Z60" i="2"/>
  <c r="Z330" i="2"/>
  <c r="GU244" i="2"/>
  <c r="CK123" i="2"/>
  <c r="CK353" i="2"/>
  <c r="CK77" i="2"/>
  <c r="EC323" i="2"/>
  <c r="EH349" i="2"/>
  <c r="Z276" i="2"/>
  <c r="Z168" i="2"/>
  <c r="EH177" i="2"/>
  <c r="Z118" i="2"/>
  <c r="GV123" i="2"/>
  <c r="GW123" i="2" s="1"/>
  <c r="CE65" i="2"/>
  <c r="Z180" i="2"/>
  <c r="Z393" i="2"/>
  <c r="Z378" i="2"/>
  <c r="DQ349" i="2"/>
  <c r="DR349" i="2" s="1"/>
  <c r="CK267" i="2"/>
  <c r="DQ177" i="2"/>
  <c r="DR177" i="2" s="1"/>
  <c r="DS349" i="2"/>
  <c r="DS177" i="2"/>
  <c r="CK120" i="2"/>
  <c r="DV82" i="2"/>
  <c r="DW82" i="2" s="1"/>
  <c r="CE46" i="2"/>
  <c r="Z353" i="2"/>
  <c r="DY177" i="2"/>
  <c r="DZ177" i="2" s="1"/>
  <c r="EA177" i="2" s="1"/>
  <c r="EG82" i="2"/>
  <c r="Z15" i="2"/>
  <c r="Z14" i="2"/>
  <c r="CE16" i="2"/>
  <c r="GV215" i="2"/>
  <c r="GW215" i="2" s="1"/>
  <c r="Z153" i="2"/>
  <c r="Z198" i="2"/>
  <c r="Z37" i="2"/>
  <c r="GV176" i="2"/>
  <c r="GW176" i="2" s="1"/>
  <c r="Z82" i="2"/>
  <c r="GU265" i="2"/>
  <c r="DY361" i="2"/>
  <c r="DZ361" i="2" s="1"/>
  <c r="EA361" i="2" s="1"/>
  <c r="CE176" i="2"/>
  <c r="CK172" i="2"/>
  <c r="Z296" i="2"/>
  <c r="EH361" i="2"/>
  <c r="CE181" i="2"/>
  <c r="CK176" i="2"/>
  <c r="Z146" i="2"/>
  <c r="EI27" i="2"/>
  <c r="CE291" i="2"/>
  <c r="CK47" i="2"/>
  <c r="DV27" i="2"/>
  <c r="DW27" i="2" s="1"/>
  <c r="Z221" i="2"/>
  <c r="Z142" i="2"/>
  <c r="DQ45" i="2"/>
  <c r="DR45" i="2" s="1"/>
  <c r="DV259" i="2"/>
  <c r="DW259" i="2" s="1"/>
  <c r="Z155" i="2"/>
  <c r="DS45" i="2"/>
  <c r="FR380" i="2" a="1"/>
  <c r="FR380" i="2" s="1"/>
  <c r="FR367" i="2" a="1"/>
  <c r="FR367" i="2" s="1"/>
  <c r="EG259" i="2"/>
  <c r="EI23" i="2"/>
  <c r="DY45" i="2"/>
  <c r="DZ45" i="2" s="1"/>
  <c r="EA45" i="2" s="1"/>
  <c r="GV291" i="2"/>
  <c r="GW291" i="2" s="1"/>
  <c r="Z79" i="2"/>
  <c r="DV23" i="2"/>
  <c r="DW23" i="2" s="1"/>
  <c r="EC45" i="2"/>
  <c r="DQ361" i="2"/>
  <c r="DR361" i="2" s="1"/>
  <c r="DS361" i="2"/>
  <c r="GV47" i="2"/>
  <c r="GW47" i="2" s="1"/>
  <c r="Z44" i="2"/>
  <c r="Z102" i="2"/>
  <c r="GV134" i="2"/>
  <c r="GW134" i="2" s="1"/>
  <c r="CK104" i="2"/>
  <c r="GU266" i="2"/>
  <c r="Z258" i="2"/>
  <c r="CE70" i="2"/>
  <c r="CE386" i="2"/>
  <c r="GV172" i="2"/>
  <c r="GW172" i="2" s="1"/>
  <c r="CE45" i="2"/>
  <c r="CK287" i="2"/>
  <c r="CK178" i="2"/>
  <c r="CE135" i="2"/>
  <c r="Z136" i="2"/>
  <c r="GV46" i="2"/>
  <c r="GW46" i="2" s="1"/>
  <c r="FR74" i="2" a="1"/>
  <c r="FR74" i="2" s="1"/>
  <c r="GV49" i="2"/>
  <c r="GW49" i="2" s="1"/>
  <c r="Z392" i="2"/>
  <c r="Z143" i="2"/>
  <c r="Z139" i="2"/>
  <c r="GV45" i="2"/>
  <c r="GW45" i="2" s="1"/>
  <c r="AA54" i="2"/>
  <c r="DQ48" i="2"/>
  <c r="DR48" i="2" s="1"/>
  <c r="FR75" i="2" a="1"/>
  <c r="FR75" i="2" s="1"/>
  <c r="DV390" i="2"/>
  <c r="DW390" i="2" s="1"/>
  <c r="GV78" i="2"/>
  <c r="GW78" i="2" s="1"/>
  <c r="EI295" i="2"/>
  <c r="DV295" i="2"/>
  <c r="DW295" i="2" s="1"/>
  <c r="DS48" i="2"/>
  <c r="DV22" i="2"/>
  <c r="DW22" i="2" s="1"/>
  <c r="FR193" i="2" a="1"/>
  <c r="FR193" i="2" s="1"/>
  <c r="Z348" i="2"/>
  <c r="EG390" i="2"/>
  <c r="GV30" i="2"/>
  <c r="GV147" i="2"/>
  <c r="GW147" i="2" s="1"/>
  <c r="DQ147" i="2"/>
  <c r="DR147" i="2" s="1"/>
  <c r="GV80" i="2"/>
  <c r="GW80" i="2" s="1"/>
  <c r="FW53" i="2"/>
  <c r="FX53" i="2" s="1" a="1"/>
  <c r="FX53" i="2" s="1"/>
  <c r="DY48" i="2"/>
  <c r="DZ48" i="2" s="1"/>
  <c r="EA48" i="2" s="1"/>
  <c r="EC379" i="2"/>
  <c r="Z193" i="2"/>
  <c r="AA174" i="2"/>
  <c r="GV28" i="2"/>
  <c r="GW28" i="2" s="1"/>
  <c r="EC48" i="2"/>
  <c r="CK38" i="2"/>
  <c r="Z381" i="2"/>
  <c r="EI358" i="2"/>
  <c r="Z372" i="2"/>
  <c r="EH379" i="2"/>
  <c r="DY366" i="2"/>
  <c r="DZ366" i="2" s="1"/>
  <c r="EA366" i="2" s="1"/>
  <c r="GV354" i="2"/>
  <c r="GW354" i="2" s="1"/>
  <c r="Z84" i="2"/>
  <c r="EI78" i="2"/>
  <c r="GV33" i="2"/>
  <c r="GW33" i="2" s="1"/>
  <c r="FZ30" i="2"/>
  <c r="GA30" i="2" s="1"/>
  <c r="FR21" i="2" a="1"/>
  <c r="FR21" i="2" s="1"/>
  <c r="CK354" i="2"/>
  <c r="GV135" i="2"/>
  <c r="GW135" i="2" s="1"/>
  <c r="Z114" i="2"/>
  <c r="EI36" i="2"/>
  <c r="DQ379" i="2"/>
  <c r="DR379" i="2" s="1"/>
  <c r="DS379" i="2"/>
  <c r="EH366" i="2"/>
  <c r="Z358" i="2"/>
  <c r="GV178" i="2"/>
  <c r="GW178" i="2" s="1"/>
  <c r="Z173" i="2"/>
  <c r="Z122" i="2"/>
  <c r="GV48" i="2"/>
  <c r="GW48" i="2" s="1"/>
  <c r="CM38" i="2"/>
  <c r="DV346" i="2"/>
  <c r="DW346" i="2" s="1"/>
  <c r="FR128" i="2" a="1"/>
  <c r="FR128" i="2" s="1"/>
  <c r="FR170" i="2" a="1"/>
  <c r="FR170" i="2" s="1"/>
  <c r="EG36" i="2"/>
  <c r="Z351" i="2"/>
  <c r="GV358" i="2"/>
  <c r="GW358" i="2" s="1"/>
  <c r="CK284" i="2"/>
  <c r="CE195" i="2"/>
  <c r="CK198" i="2"/>
  <c r="Z38" i="2"/>
  <c r="GV16" i="2"/>
  <c r="GW16" i="2" s="1"/>
  <c r="Z366" i="2"/>
  <c r="Z211" i="2"/>
  <c r="CE117" i="2"/>
  <c r="FR365" i="2" a="1"/>
  <c r="FR365" i="2" s="1"/>
  <c r="EC381" i="2"/>
  <c r="EG366" i="2"/>
  <c r="Z297" i="2"/>
  <c r="Z260" i="2"/>
  <c r="CE29" i="2"/>
  <c r="CE38" i="2"/>
  <c r="CE33" i="2"/>
  <c r="EI366" i="2"/>
  <c r="CE338" i="2"/>
  <c r="Z202" i="2"/>
  <c r="CE186" i="2"/>
  <c r="CE28" i="2"/>
  <c r="FR10" i="2" a="1"/>
  <c r="FR10" i="2" s="1"/>
  <c r="CK381" i="2"/>
  <c r="CE358" i="2"/>
  <c r="Z219" i="2"/>
  <c r="DQ381" i="2"/>
  <c r="DR381" i="2" s="1"/>
  <c r="FR263" i="2" a="1"/>
  <c r="FR263" i="2" s="1"/>
  <c r="CK252" i="2"/>
  <c r="CK139" i="2"/>
  <c r="Z47" i="2"/>
  <c r="FR312" i="2" a="1"/>
  <c r="FR312" i="2" s="1"/>
  <c r="GV381" i="2"/>
  <c r="GW381" i="2" s="1"/>
  <c r="DS381" i="2"/>
  <c r="GV338" i="2"/>
  <c r="GW338" i="2" s="1"/>
  <c r="Z338" i="2"/>
  <c r="CE252" i="2"/>
  <c r="Z119" i="2"/>
  <c r="Z89" i="2"/>
  <c r="Z365" i="2"/>
  <c r="FR169" i="2" a="1"/>
  <c r="FR169" i="2" s="1"/>
  <c r="FR107" i="2" a="1"/>
  <c r="FR107" i="2" s="1"/>
  <c r="FR376" i="2" a="1"/>
  <c r="FR376" i="2" s="1"/>
  <c r="CK308" i="2"/>
  <c r="EI26" i="2"/>
  <c r="FR267" i="2" a="1"/>
  <c r="FR267" i="2" s="1"/>
  <c r="FR353" i="2" a="1"/>
  <c r="FR353" i="2" s="1"/>
  <c r="CE308" i="2"/>
  <c r="DY218" i="2"/>
  <c r="DZ218" i="2" s="1"/>
  <c r="EA218" i="2" s="1"/>
  <c r="Z158" i="2"/>
  <c r="EG159" i="2"/>
  <c r="DV26" i="2"/>
  <c r="DW26" i="2" s="1"/>
  <c r="EH218" i="2"/>
  <c r="EI159" i="2"/>
  <c r="CK13" i="2"/>
  <c r="Z367" i="2"/>
  <c r="GV23" i="2"/>
  <c r="GW23" i="2" s="1"/>
  <c r="CE23" i="2"/>
  <c r="GV12" i="2"/>
  <c r="GW12" i="2" s="1"/>
  <c r="Z240" i="2"/>
  <c r="Z53" i="2"/>
  <c r="CE52" i="2"/>
  <c r="EG21" i="2"/>
  <c r="Z13" i="2"/>
  <c r="CK51" i="2"/>
  <c r="EI25" i="2"/>
  <c r="FR223" i="2" a="1"/>
  <c r="FR223" i="2" s="1"/>
  <c r="DV228" i="2"/>
  <c r="DW228" i="2" s="1"/>
  <c r="DV81" i="2"/>
  <c r="DW81" i="2" s="1"/>
  <c r="EG228" i="2"/>
  <c r="CK125" i="2"/>
  <c r="EG81" i="2"/>
  <c r="AA180" i="2"/>
  <c r="FR228" i="2" a="1"/>
  <c r="FR228" i="2" s="1"/>
  <c r="CE301" i="2"/>
  <c r="GV125" i="2"/>
  <c r="GW125" i="2" s="1"/>
  <c r="DV210" i="2"/>
  <c r="DW210" i="2" s="1"/>
  <c r="CE120" i="2"/>
  <c r="GV51" i="2"/>
  <c r="GW51" i="2" s="1"/>
  <c r="GV10" i="2"/>
  <c r="GW10" i="2" s="1"/>
  <c r="FR151" i="2" a="1"/>
  <c r="FR151" i="2" s="1"/>
  <c r="DV21" i="2"/>
  <c r="DW21" i="2" s="1"/>
  <c r="GV388" i="2"/>
  <c r="Z189" i="2"/>
  <c r="CE150" i="2"/>
  <c r="FR247" i="2" a="1"/>
  <c r="FR247" i="2" s="1"/>
  <c r="FR254" i="2" a="1"/>
  <c r="FR254" i="2" s="1"/>
  <c r="FR204" i="2" a="1"/>
  <c r="FR204" i="2" s="1"/>
  <c r="EI133" i="2"/>
  <c r="EG133" i="2"/>
  <c r="FR163" i="2" a="1"/>
  <c r="FR163" i="2" s="1"/>
  <c r="Z190" i="2"/>
  <c r="GV173" i="2"/>
  <c r="GW173" i="2" s="1"/>
  <c r="FR246" i="2" a="1"/>
  <c r="FR246" i="2" s="1"/>
  <c r="FR168" i="2" a="1"/>
  <c r="FR168" i="2" s="1"/>
  <c r="Z208" i="2"/>
  <c r="GV308" i="2"/>
  <c r="FW190" i="2"/>
  <c r="FX190" i="2" s="1" a="1"/>
  <c r="FX190" i="2" s="1"/>
  <c r="Z181" i="2"/>
  <c r="AA176" i="2"/>
  <c r="FR242" i="2" a="1"/>
  <c r="FR242" i="2" s="1"/>
  <c r="FR202" i="2" a="1"/>
  <c r="FR202" i="2" s="1"/>
  <c r="GV298" i="2"/>
  <c r="GW298" i="2" s="1"/>
  <c r="Z63" i="2"/>
  <c r="DQ24" i="2"/>
  <c r="DR24" i="2" s="1"/>
  <c r="FR123" i="2" a="1"/>
  <c r="FR123" i="2" s="1"/>
  <c r="FR125" i="2" a="1"/>
  <c r="FR125" i="2" s="1"/>
  <c r="FR38" i="2" a="1"/>
  <c r="FR38" i="2" s="1"/>
  <c r="CK364" i="2"/>
  <c r="GV150" i="2"/>
  <c r="GW150" i="2" s="1"/>
  <c r="GV90" i="2"/>
  <c r="GW90" i="2" s="1"/>
  <c r="Z106" i="2"/>
  <c r="DS24" i="2"/>
  <c r="CE10" i="2"/>
  <c r="AA376" i="2"/>
  <c r="Z295" i="2"/>
  <c r="DY24" i="2"/>
  <c r="DZ24" i="2" s="1"/>
  <c r="EA24" i="2" s="1"/>
  <c r="Z242" i="2"/>
  <c r="EI349" i="2"/>
  <c r="DS35" i="2"/>
  <c r="FR50" i="2" a="1"/>
  <c r="FR50" i="2" s="1"/>
  <c r="GT258" i="2"/>
  <c r="DV349" i="2"/>
  <c r="DW349" i="2" s="1"/>
  <c r="EI359" i="2"/>
  <c r="GV185" i="2"/>
  <c r="GW185" i="2" s="1"/>
  <c r="Z161" i="2"/>
  <c r="DY35" i="2"/>
  <c r="DZ35" i="2" s="1"/>
  <c r="EA35" i="2" s="1"/>
  <c r="CE39" i="2"/>
  <c r="Z41" i="2"/>
  <c r="GV295" i="2"/>
  <c r="GW295" i="2" s="1"/>
  <c r="DV359" i="2"/>
  <c r="DW359" i="2" s="1"/>
  <c r="Z369" i="2"/>
  <c r="FR269" i="2" a="1"/>
  <c r="FR269" i="2" s="1"/>
  <c r="CK251" i="2"/>
  <c r="DQ108" i="2"/>
  <c r="DR108" i="2" s="1"/>
  <c r="DV274" i="2"/>
  <c r="DW274" i="2" s="1"/>
  <c r="EH37" i="2"/>
  <c r="DY228" i="2"/>
  <c r="DZ228" i="2" s="1"/>
  <c r="EA228" i="2" s="1"/>
  <c r="CK136" i="2"/>
  <c r="DY108" i="2"/>
  <c r="DZ108" i="2" s="1"/>
  <c r="EA108" i="2" s="1"/>
  <c r="CE63" i="2"/>
  <c r="DQ37" i="2"/>
  <c r="DR37" i="2" s="1"/>
  <c r="Z25" i="2"/>
  <c r="EC228" i="2"/>
  <c r="DS37" i="2"/>
  <c r="Z12" i="2"/>
  <c r="Z34" i="2"/>
  <c r="CE30" i="2"/>
  <c r="GV289" i="2"/>
  <c r="GW289" i="2" s="1"/>
  <c r="EG218" i="2"/>
  <c r="EH228" i="2"/>
  <c r="FR165" i="2" a="1"/>
  <c r="FR165" i="2" s="1"/>
  <c r="DY37" i="2"/>
  <c r="DZ37" i="2" s="1"/>
  <c r="EA37" i="2" s="1"/>
  <c r="DS39" i="2"/>
  <c r="GV341" i="2"/>
  <c r="GW341" i="2" s="1"/>
  <c r="FR216" i="2" a="1"/>
  <c r="FR216" i="2" s="1"/>
  <c r="DQ228" i="2"/>
  <c r="DR228" i="2" s="1"/>
  <c r="GV24" i="2"/>
  <c r="GW24" i="2" s="1"/>
  <c r="FR16" i="2" a="1"/>
  <c r="FR16" i="2" s="1"/>
  <c r="GU30" i="2"/>
  <c r="GV356" i="2"/>
  <c r="GW356" i="2" s="1"/>
  <c r="EI9" i="2"/>
  <c r="EG346" i="2"/>
  <c r="Z359" i="2"/>
  <c r="AA390" i="2"/>
  <c r="GV184" i="2"/>
  <c r="GW184" i="2" s="1"/>
  <c r="DS195" i="2"/>
  <c r="DY181" i="2"/>
  <c r="DZ181" i="2" s="1"/>
  <c r="EA181" i="2" s="1"/>
  <c r="DY162" i="2"/>
  <c r="DZ162" i="2" s="1"/>
  <c r="EA162" i="2" s="1"/>
  <c r="Z130" i="2"/>
  <c r="CK115" i="2"/>
  <c r="GV166" i="2"/>
  <c r="GW166" i="2" s="1"/>
  <c r="GV53" i="2"/>
  <c r="GW53" i="2" s="1"/>
  <c r="FR171" i="2" a="1"/>
  <c r="FR171" i="2" s="1"/>
  <c r="Z132" i="2"/>
  <c r="Z386" i="2"/>
  <c r="EC348" i="2"/>
  <c r="Z319" i="2"/>
  <c r="GV303" i="2"/>
  <c r="GW303" i="2" s="1"/>
  <c r="EH296" i="2"/>
  <c r="Z226" i="2"/>
  <c r="DY195" i="2"/>
  <c r="DZ195" i="2" s="1"/>
  <c r="EA195" i="2" s="1"/>
  <c r="EC181" i="2"/>
  <c r="EC162" i="2"/>
  <c r="CK108" i="2"/>
  <c r="CK170" i="2"/>
  <c r="CM117" i="2"/>
  <c r="CE325" i="2"/>
  <c r="EG25" i="2"/>
  <c r="GV370" i="2"/>
  <c r="GW370" i="2" s="1"/>
  <c r="FR362" i="2" a="1"/>
  <c r="FR362" i="2" s="1"/>
  <c r="DQ348" i="2"/>
  <c r="DR348" i="2" s="1"/>
  <c r="Z355" i="2"/>
  <c r="DQ296" i="2"/>
  <c r="DR296" i="2" s="1"/>
  <c r="GV284" i="2"/>
  <c r="GW284" i="2" s="1"/>
  <c r="Z167" i="2"/>
  <c r="Z250" i="2"/>
  <c r="EC195" i="2"/>
  <c r="EH162" i="2"/>
  <c r="EH138" i="2"/>
  <c r="EC114" i="2"/>
  <c r="DV107" i="2"/>
  <c r="DW107" i="2" s="1"/>
  <c r="CK117" i="2"/>
  <c r="GV100" i="2"/>
  <c r="GW100" i="2" s="1"/>
  <c r="CK31" i="2"/>
  <c r="CE25" i="2"/>
  <c r="GV15" i="2"/>
  <c r="GW15" i="2" s="1"/>
  <c r="Z27" i="2"/>
  <c r="FR12" i="2" a="1"/>
  <c r="FR12" i="2" s="1"/>
  <c r="Z203" i="2"/>
  <c r="DS181" i="2"/>
  <c r="DV157" i="2"/>
  <c r="DW157" i="2" s="1"/>
  <c r="DS348" i="2"/>
  <c r="Z337" i="2"/>
  <c r="DS296" i="2"/>
  <c r="GU258" i="2"/>
  <c r="Z220" i="2"/>
  <c r="GV190" i="2"/>
  <c r="GW190" i="2" s="1"/>
  <c r="DQ162" i="2"/>
  <c r="DR162" i="2" s="1"/>
  <c r="FR153" i="2" a="1"/>
  <c r="FR153" i="2" s="1"/>
  <c r="DQ138" i="2"/>
  <c r="DR138" i="2" s="1"/>
  <c r="GV107" i="2"/>
  <c r="GW107" i="2" s="1"/>
  <c r="EH114" i="2"/>
  <c r="GV126" i="2"/>
  <c r="GW126" i="2" s="1"/>
  <c r="EH122" i="2"/>
  <c r="Z105" i="2"/>
  <c r="CK122" i="2"/>
  <c r="EC126" i="2"/>
  <c r="GV25" i="2"/>
  <c r="GW25" i="2" s="1"/>
  <c r="Z40" i="2"/>
  <c r="FR366" i="2" a="1"/>
  <c r="FR366" i="2" s="1"/>
  <c r="FR33" i="2" a="1"/>
  <c r="FR33" i="2" s="1"/>
  <c r="GV195" i="2"/>
  <c r="GW195" i="2" s="1"/>
  <c r="DQ195" i="2"/>
  <c r="DR195" i="2" s="1"/>
  <c r="GT235" i="2"/>
  <c r="DY348" i="2"/>
  <c r="DZ348" i="2" s="1"/>
  <c r="EA348" i="2" s="1"/>
  <c r="DY296" i="2"/>
  <c r="DZ296" i="2" s="1"/>
  <c r="EA296" i="2" s="1"/>
  <c r="GV299" i="2"/>
  <c r="GW299" i="2" s="1"/>
  <c r="GV199" i="2"/>
  <c r="GW199" i="2" s="1"/>
  <c r="Z156" i="2"/>
  <c r="GV191" i="2"/>
  <c r="GW191" i="2" s="1"/>
  <c r="DS138" i="2"/>
  <c r="DQ114" i="2"/>
  <c r="DR114" i="2" s="1"/>
  <c r="EG107" i="2"/>
  <c r="CK146" i="2"/>
  <c r="EG114" i="2"/>
  <c r="DQ122" i="2"/>
  <c r="DR122" i="2" s="1"/>
  <c r="GV122" i="2"/>
  <c r="GW122" i="2" s="1"/>
  <c r="EH126" i="2"/>
  <c r="FR122" i="2" a="1"/>
  <c r="FR122" i="2" s="1"/>
  <c r="CE151" i="2"/>
  <c r="EI275" i="2"/>
  <c r="DQ182" i="2"/>
  <c r="DR182" i="2" s="1"/>
  <c r="EG11" i="2"/>
  <c r="GV130" i="2"/>
  <c r="GW130" i="2" s="1"/>
  <c r="DY138" i="2"/>
  <c r="DZ138" i="2" s="1"/>
  <c r="EA138" i="2" s="1"/>
  <c r="DS114" i="2"/>
  <c r="DS122" i="2"/>
  <c r="DQ126" i="2"/>
  <c r="DR126" i="2" s="1"/>
  <c r="GV39" i="2"/>
  <c r="GW39" i="2" s="1"/>
  <c r="GV84" i="2"/>
  <c r="GW84" i="2" s="1"/>
  <c r="EG22" i="2"/>
  <c r="FR226" i="2" a="1"/>
  <c r="FR226" i="2" s="1"/>
  <c r="CE343" i="2"/>
  <c r="EC351" i="2"/>
  <c r="DV317" i="2"/>
  <c r="DW317" i="2" s="1"/>
  <c r="CK299" i="2"/>
  <c r="EG275" i="2"/>
  <c r="EG261" i="2"/>
  <c r="Z249" i="2"/>
  <c r="FR249" i="2" a="1"/>
  <c r="FR249" i="2" s="1"/>
  <c r="CE212" i="2"/>
  <c r="CE184" i="2"/>
  <c r="DS182" i="2"/>
  <c r="EI182" i="2"/>
  <c r="GV171" i="2"/>
  <c r="GW171" i="2" s="1"/>
  <c r="EI11" i="2"/>
  <c r="Z148" i="2"/>
  <c r="EH179" i="2"/>
  <c r="DY122" i="2"/>
  <c r="DZ122" i="2" s="1"/>
  <c r="EA122" i="2" s="1"/>
  <c r="DS126" i="2"/>
  <c r="CE94" i="2"/>
  <c r="GV56" i="2"/>
  <c r="GW56" i="2" s="1"/>
  <c r="CE68" i="2"/>
  <c r="FR57" i="2" a="1"/>
  <c r="FR57" i="2" s="1"/>
  <c r="FR25" i="2" a="1"/>
  <c r="FR25" i="2" s="1"/>
  <c r="DQ181" i="2"/>
  <c r="DR181" i="2" s="1"/>
  <c r="GV95" i="2"/>
  <c r="GW95" i="2" s="1"/>
  <c r="DV78" i="2"/>
  <c r="DW78" i="2" s="1"/>
  <c r="CK352" i="2"/>
  <c r="EH351" i="2"/>
  <c r="DV348" i="2"/>
  <c r="DW348" i="2" s="1"/>
  <c r="EG317" i="2"/>
  <c r="EG312" i="2"/>
  <c r="GV309" i="2"/>
  <c r="GW309" i="2" s="1"/>
  <c r="CE303" i="2"/>
  <c r="GV304" i="2"/>
  <c r="GW304" i="2" s="1"/>
  <c r="DV241" i="2"/>
  <c r="DW241" i="2" s="1"/>
  <c r="GV267" i="2"/>
  <c r="Z233" i="2"/>
  <c r="Z160" i="2"/>
  <c r="DY182" i="2"/>
  <c r="DZ182" i="2" s="1"/>
  <c r="EA182" i="2" s="1"/>
  <c r="DV182" i="2"/>
  <c r="DW182" i="2" s="1"/>
  <c r="Z165" i="2"/>
  <c r="CK171" i="2"/>
  <c r="DQ179" i="2"/>
  <c r="DR179" i="2" s="1"/>
  <c r="GV198" i="2"/>
  <c r="GW198" i="2" s="1"/>
  <c r="FR80" i="2" a="1"/>
  <c r="FR80" i="2" s="1"/>
  <c r="CE95" i="2"/>
  <c r="CK39" i="2"/>
  <c r="CK56" i="2"/>
  <c r="CE53" i="2"/>
  <c r="FR315" i="2" a="1"/>
  <c r="FR315" i="2" s="1"/>
  <c r="FR22" i="2" a="1"/>
  <c r="FR22" i="2" s="1"/>
  <c r="Z360" i="2"/>
  <c r="EH378" i="2"/>
  <c r="Z83" i="2"/>
  <c r="DS378" i="2"/>
  <c r="GV363" i="2"/>
  <c r="GW363" i="2" s="1"/>
  <c r="GV352" i="2"/>
  <c r="GW352" i="2" s="1"/>
  <c r="CE344" i="2"/>
  <c r="Z340" i="2"/>
  <c r="FR336" i="2" a="1"/>
  <c r="FR336" i="2" s="1"/>
  <c r="DQ351" i="2"/>
  <c r="DR351" i="2" s="1"/>
  <c r="EG348" i="2"/>
  <c r="FR322" i="2" a="1"/>
  <c r="FR322" i="2" s="1"/>
  <c r="EI312" i="2"/>
  <c r="CE239" i="2"/>
  <c r="EG216" i="2"/>
  <c r="Z245" i="2"/>
  <c r="GV217" i="2"/>
  <c r="GW217" i="2" s="1"/>
  <c r="DY216" i="2"/>
  <c r="DZ216" i="2" s="1"/>
  <c r="EA216" i="2" s="1"/>
  <c r="CE183" i="2"/>
  <c r="GV187" i="2"/>
  <c r="GW187" i="2" s="1"/>
  <c r="EC182" i="2"/>
  <c r="DS179" i="2"/>
  <c r="GV68" i="2"/>
  <c r="GW68" i="2" s="1"/>
  <c r="CK130" i="2"/>
  <c r="EG9" i="2"/>
  <c r="EC9" i="2"/>
  <c r="GT311" i="2"/>
  <c r="DV218" i="2"/>
  <c r="DW218" i="2" s="1"/>
  <c r="GV212" i="2"/>
  <c r="GW212" i="2" s="1"/>
  <c r="DY378" i="2"/>
  <c r="DZ378" i="2" s="1"/>
  <c r="EA378" i="2" s="1"/>
  <c r="GV351" i="2"/>
  <c r="GW351" i="2" s="1"/>
  <c r="DS351" i="2"/>
  <c r="GV310" i="2"/>
  <c r="GW310" i="2" s="1"/>
  <c r="GV305" i="2"/>
  <c r="GW305" i="2" s="1"/>
  <c r="Z254" i="2"/>
  <c r="Z216" i="2"/>
  <c r="EC216" i="2"/>
  <c r="CE194" i="2"/>
  <c r="FR206" i="2" a="1"/>
  <c r="FR206" i="2" s="1"/>
  <c r="EI181" i="2"/>
  <c r="Z171" i="2"/>
  <c r="DS11" i="2"/>
  <c r="CK141" i="2"/>
  <c r="DY179" i="2"/>
  <c r="DZ179" i="2" s="1"/>
  <c r="EA179" i="2" s="1"/>
  <c r="FR97" i="2" a="1"/>
  <c r="FR97" i="2" s="1"/>
  <c r="Z58" i="2"/>
  <c r="GV37" i="2"/>
  <c r="GW37" i="2" s="1"/>
  <c r="GV9" i="2"/>
  <c r="GW9" i="2" s="1"/>
  <c r="EH9" i="2"/>
  <c r="CE15" i="2"/>
  <c r="AA241" i="2"/>
  <c r="EC378" i="2"/>
  <c r="CE363" i="2"/>
  <c r="CK293" i="2"/>
  <c r="GV239" i="2"/>
  <c r="GW239" i="2" s="1"/>
  <c r="DV242" i="2"/>
  <c r="DW242" i="2" s="1"/>
  <c r="GV216" i="2"/>
  <c r="GW216" i="2" s="1"/>
  <c r="EH216" i="2"/>
  <c r="EG181" i="2"/>
  <c r="CE199" i="2"/>
  <c r="DY11" i="2"/>
  <c r="DZ11" i="2" s="1"/>
  <c r="EA11" i="2" s="1"/>
  <c r="GV114" i="2"/>
  <c r="GW114" i="2" s="1"/>
  <c r="EI48" i="2"/>
  <c r="CE37" i="2"/>
  <c r="DV48" i="2"/>
  <c r="DW48" i="2" s="1"/>
  <c r="EI24" i="2"/>
  <c r="CK9" i="2"/>
  <c r="DQ9" i="2"/>
  <c r="DR9" i="2" s="1"/>
  <c r="CK15" i="2"/>
  <c r="FR72" i="2" a="1"/>
  <c r="FR72" i="2" s="1"/>
  <c r="DV41" i="2"/>
  <c r="DW41" i="2" s="1"/>
  <c r="EG41" i="2"/>
  <c r="FR359" i="2" a="1"/>
  <c r="FR359" i="2" s="1"/>
  <c r="GV293" i="2"/>
  <c r="GW293" i="2" s="1"/>
  <c r="CK285" i="2"/>
  <c r="Z253" i="2"/>
  <c r="Z234" i="2"/>
  <c r="EI216" i="2"/>
  <c r="Z215" i="2"/>
  <c r="EG242" i="2"/>
  <c r="DQ216" i="2"/>
  <c r="DR216" i="2" s="1"/>
  <c r="CE192" i="2"/>
  <c r="EC11" i="2"/>
  <c r="CE91" i="2"/>
  <c r="CK161" i="2"/>
  <c r="DV24" i="2"/>
  <c r="DW24" i="2" s="1"/>
  <c r="CE31" i="2"/>
  <c r="DS9" i="2"/>
  <c r="FR37" i="2" a="1"/>
  <c r="FR37" i="2" s="1"/>
  <c r="EG241" i="2"/>
  <c r="CE191" i="2"/>
  <c r="GV186" i="2"/>
  <c r="GW186" i="2" s="1"/>
  <c r="FR177" i="2" a="1"/>
  <c r="FR177" i="2" s="1"/>
  <c r="GV112" i="2"/>
  <c r="GW112" i="2" s="1"/>
  <c r="Z138" i="2"/>
  <c r="CE74" i="2"/>
  <c r="FR27" i="2" a="1"/>
  <c r="FR27" i="2" s="1"/>
  <c r="Z178" i="2"/>
  <c r="FR316" i="2" a="1"/>
  <c r="FR316" i="2" s="1"/>
  <c r="DV358" i="2"/>
  <c r="DW358" i="2" s="1"/>
  <c r="FR333" i="2" a="1"/>
  <c r="FR333" i="2" s="1"/>
  <c r="GV264" i="2"/>
  <c r="Z236" i="2"/>
  <c r="FR29" i="2" a="1"/>
  <c r="FR29" i="2" s="1"/>
  <c r="GV382" i="2"/>
  <c r="GW382" i="2" s="1"/>
  <c r="FR251" i="2" a="1"/>
  <c r="FR251" i="2" s="1"/>
  <c r="FR237" i="2" a="1"/>
  <c r="FR237" i="2" s="1"/>
  <c r="FR186" i="2" a="1"/>
  <c r="FR186" i="2" s="1"/>
  <c r="FR224" i="2" a="1"/>
  <c r="FR224" i="2" s="1"/>
  <c r="FR381" i="2" a="1"/>
  <c r="FR381" i="2" s="1"/>
  <c r="Z394" i="2"/>
  <c r="FR292" i="2" a="1"/>
  <c r="FR292" i="2" s="1"/>
  <c r="FR351" i="2" a="1"/>
  <c r="FR351" i="2" s="1"/>
  <c r="GV306" i="2"/>
  <c r="GW306" i="2" s="1"/>
  <c r="GV271" i="2"/>
  <c r="GW271" i="2" s="1"/>
  <c r="FR102" i="2" a="1"/>
  <c r="FR102" i="2" s="1"/>
  <c r="FR253" i="2" a="1"/>
  <c r="FR253" i="2" s="1"/>
  <c r="FR136" i="2" a="1"/>
  <c r="FR136" i="2" s="1"/>
  <c r="GT228" i="2"/>
  <c r="GV94" i="2"/>
  <c r="GW94" i="2" s="1"/>
  <c r="GV29" i="2"/>
  <c r="GW29" i="2" s="1"/>
  <c r="FR374" i="2" a="1"/>
  <c r="FR374" i="2" s="1"/>
  <c r="GV367" i="2"/>
  <c r="GW367" i="2" s="1"/>
  <c r="FR361" i="2" a="1"/>
  <c r="FR361" i="2" s="1"/>
  <c r="GV312" i="2"/>
  <c r="GW312" i="2" s="1"/>
  <c r="GV257" i="2"/>
  <c r="GV75" i="2"/>
  <c r="GW75" i="2" s="1"/>
  <c r="GV161" i="2"/>
  <c r="DV351" i="2"/>
  <c r="DW351" i="2" s="1"/>
  <c r="EG351" i="2"/>
  <c r="FR375" i="2" a="1"/>
  <c r="FR375" i="2" s="1"/>
  <c r="GV379" i="2"/>
  <c r="GW379" i="2" s="1"/>
  <c r="GV286" i="2"/>
  <c r="GW286" i="2" s="1"/>
  <c r="FR173" i="2" a="1"/>
  <c r="FR173" i="2" s="1"/>
  <c r="GV141" i="2"/>
  <c r="GW141" i="2" s="1"/>
  <c r="AA368" i="2"/>
  <c r="Z368" i="2"/>
  <c r="GV269" i="2"/>
  <c r="GW269" i="2" s="1"/>
  <c r="FW314" i="2"/>
  <c r="FX314" i="2" s="1" a="1"/>
  <c r="FX314" i="2" s="1"/>
  <c r="FR314" i="2" a="1"/>
  <c r="FR314" i="2" s="1"/>
  <c r="FR234" i="2" a="1"/>
  <c r="FR234" i="2" s="1"/>
  <c r="FR240" i="2" a="1"/>
  <c r="FR240" i="2" s="1"/>
  <c r="FR338" i="2" a="1"/>
  <c r="FR338" i="2" s="1"/>
  <c r="FR262" i="2" a="1"/>
  <c r="FR262" i="2" s="1"/>
  <c r="GV139" i="2"/>
  <c r="GW139" i="2" s="1"/>
  <c r="FR69" i="2" a="1"/>
  <c r="FR69" i="2" s="1"/>
  <c r="FR271" i="2" a="1"/>
  <c r="FR271" i="2" s="1"/>
  <c r="FR20" i="2" a="1"/>
  <c r="FR20" i="2" s="1"/>
  <c r="FR41" i="2" a="1"/>
  <c r="FR41" i="2" s="1"/>
  <c r="Z291" i="2"/>
  <c r="GV288" i="2"/>
  <c r="GW288" i="2" s="1"/>
  <c r="Z389" i="2"/>
  <c r="EG299" i="2"/>
  <c r="EI299" i="2"/>
  <c r="DV386" i="2"/>
  <c r="DW386" i="2" s="1"/>
  <c r="EG386" i="2"/>
  <c r="FR377" i="2" a="1"/>
  <c r="FR377" i="2" s="1"/>
  <c r="EI245" i="2"/>
  <c r="EG245" i="2"/>
  <c r="DV245" i="2"/>
  <c r="DW245" i="2" s="1"/>
  <c r="FR194" i="2" a="1"/>
  <c r="FR194" i="2" s="1"/>
  <c r="FW194" i="2"/>
  <c r="FX194" i="2" s="1" a="1"/>
  <c r="FX194" i="2" s="1"/>
  <c r="EG237" i="2"/>
  <c r="EI237" i="2"/>
  <c r="CK148" i="2"/>
  <c r="AA162" i="2"/>
  <c r="Z162" i="2"/>
  <c r="EI137" i="2"/>
  <c r="DV137" i="2"/>
  <c r="DW137" i="2" s="1"/>
  <c r="DV38" i="2"/>
  <c r="DW38" i="2" s="1"/>
  <c r="EG38" i="2"/>
  <c r="DV34" i="2"/>
  <c r="DW34" i="2" s="1"/>
  <c r="EG34" i="2"/>
  <c r="FR164" i="2" a="1"/>
  <c r="FR164" i="2" s="1"/>
  <c r="GV143" i="2"/>
  <c r="GW143" i="2" s="1"/>
  <c r="FR159" i="2" a="1"/>
  <c r="FR159" i="2" s="1"/>
  <c r="EG357" i="2"/>
  <c r="DV357" i="2"/>
  <c r="DW357" i="2" s="1"/>
  <c r="Z222" i="2"/>
  <c r="EI199" i="2"/>
  <c r="EG199" i="2"/>
  <c r="EI108" i="2"/>
  <c r="EG108" i="2"/>
  <c r="DV108" i="2"/>
  <c r="DW108" i="2" s="1"/>
  <c r="EH107" i="2"/>
  <c r="EC107" i="2"/>
  <c r="DY107" i="2"/>
  <c r="DZ107" i="2" s="1"/>
  <c r="EA107" i="2" s="1"/>
  <c r="DQ107" i="2"/>
  <c r="DR107" i="2" s="1"/>
  <c r="DS107" i="2"/>
  <c r="EI138" i="2"/>
  <c r="DV138" i="2"/>
  <c r="DW138" i="2" s="1"/>
  <c r="CE14" i="2"/>
  <c r="CK14" i="2"/>
  <c r="FR387" i="2" a="1"/>
  <c r="FR387" i="2" s="1"/>
  <c r="GV333" i="2"/>
  <c r="GW333" i="2" s="1"/>
  <c r="FR352" i="2" a="1"/>
  <c r="FR352" i="2" s="1"/>
  <c r="GV253" i="2"/>
  <c r="GW253" i="2" s="1"/>
  <c r="GV142" i="2"/>
  <c r="GW142" i="2" s="1"/>
  <c r="EG362" i="2"/>
  <c r="EI362" i="2"/>
  <c r="DY291" i="2"/>
  <c r="DZ291" i="2" s="1"/>
  <c r="EA291" i="2" s="1"/>
  <c r="EH291" i="2"/>
  <c r="DQ357" i="2"/>
  <c r="DR357" i="2" s="1"/>
  <c r="EC357" i="2"/>
  <c r="DQ303" i="2"/>
  <c r="DR303" i="2" s="1"/>
  <c r="EH303" i="2"/>
  <c r="FR192" i="2" a="1"/>
  <c r="FR192" i="2" s="1"/>
  <c r="FW192" i="2"/>
  <c r="FX192" i="2" s="1" a="1"/>
  <c r="FX192" i="2" s="1"/>
  <c r="DS149" i="2"/>
  <c r="EH149" i="2"/>
  <c r="DY149" i="2"/>
  <c r="DZ149" i="2" s="1"/>
  <c r="EA149" i="2" s="1"/>
  <c r="FR101" i="2" a="1"/>
  <c r="FR101" i="2" s="1"/>
  <c r="FW101" i="2"/>
  <c r="FX101" i="2" s="1" a="1"/>
  <c r="FX101" i="2" s="1"/>
  <c r="DV28" i="2"/>
  <c r="DW28" i="2" s="1"/>
  <c r="EG28" i="2"/>
  <c r="GV355" i="2"/>
  <c r="GW355" i="2" s="1"/>
  <c r="FR17" i="2" a="1"/>
  <c r="FR17" i="2" s="1"/>
  <c r="FR212" i="2" a="1"/>
  <c r="FR212" i="2" s="1"/>
  <c r="EG202" i="2"/>
  <c r="DV202" i="2"/>
  <c r="DW202" i="2" s="1"/>
  <c r="EI202" i="2"/>
  <c r="FR62" i="2" a="1"/>
  <c r="FR62" i="2" s="1"/>
  <c r="DY147" i="2"/>
  <c r="DZ147" i="2" s="1"/>
  <c r="EA147" i="2" s="1"/>
  <c r="EC147" i="2"/>
  <c r="DS147" i="2"/>
  <c r="FR100" i="2" a="1"/>
  <c r="FR100" i="2" s="1"/>
  <c r="FW100" i="2"/>
  <c r="FX100" i="2" s="1" a="1"/>
  <c r="FX100" i="2" s="1"/>
  <c r="GV297" i="2"/>
  <c r="GW297" i="2" s="1"/>
  <c r="FR372" i="2" a="1"/>
  <c r="FR372" i="2" s="1"/>
  <c r="FR255" i="2" a="1"/>
  <c r="FR255" i="2" s="1"/>
  <c r="GV140" i="2"/>
  <c r="GW140" i="2" s="1"/>
  <c r="GV132" i="2"/>
  <c r="GW132" i="2" s="1"/>
  <c r="GV77" i="2"/>
  <c r="GW77" i="2" s="1"/>
  <c r="DV381" i="2"/>
  <c r="DW381" i="2" s="1"/>
  <c r="EG381" i="2"/>
  <c r="Z385" i="2"/>
  <c r="FR236" i="2" a="1"/>
  <c r="FR236" i="2" s="1"/>
  <c r="FR313" i="2" a="1"/>
  <c r="FR313" i="2" s="1"/>
  <c r="FW313" i="2"/>
  <c r="FX313" i="2" s="1" a="1"/>
  <c r="FX313" i="2" s="1"/>
  <c r="DV40" i="2"/>
  <c r="DW40" i="2" s="1"/>
  <c r="EG40" i="2"/>
  <c r="Z32" i="2"/>
  <c r="FR388" i="2" a="1"/>
  <c r="FR388" i="2" s="1"/>
  <c r="GV340" i="2"/>
  <c r="GW340" i="2" s="1"/>
  <c r="FR342" i="2" a="1"/>
  <c r="FR342" i="2" s="1"/>
  <c r="Z387" i="2"/>
  <c r="FR368" i="2" a="1"/>
  <c r="FR368" i="2" s="1"/>
  <c r="EH274" i="2"/>
  <c r="EC274" i="2"/>
  <c r="DS274" i="2"/>
  <c r="DQ274" i="2"/>
  <c r="DR274" i="2" s="1"/>
  <c r="DY274" i="2"/>
  <c r="DZ274" i="2" s="1"/>
  <c r="EA274" i="2" s="1"/>
  <c r="CK190" i="2"/>
  <c r="EH136" i="2"/>
  <c r="EC136" i="2"/>
  <c r="DY136" i="2"/>
  <c r="DZ136" i="2" s="1"/>
  <c r="EA136" i="2" s="1"/>
  <c r="DS136" i="2"/>
  <c r="DQ136" i="2"/>
  <c r="DR136" i="2" s="1"/>
  <c r="CK75" i="2"/>
  <c r="EI124" i="2"/>
  <c r="EG124" i="2"/>
  <c r="DV124" i="2"/>
  <c r="DW124" i="2" s="1"/>
  <c r="FR28" i="2" a="1"/>
  <c r="FR28" i="2" s="1"/>
  <c r="EI35" i="2"/>
  <c r="EG35" i="2"/>
  <c r="DV35" i="2"/>
  <c r="DW35" i="2" s="1"/>
  <c r="FR162" i="2" a="1"/>
  <c r="FR162" i="2" s="1"/>
  <c r="DV350" i="2"/>
  <c r="DW350" i="2" s="1"/>
  <c r="EG350" i="2"/>
  <c r="Z384" i="2"/>
  <c r="Z336" i="2"/>
  <c r="AA336" i="2"/>
  <c r="CK98" i="2"/>
  <c r="DY238" i="2"/>
  <c r="DZ238" i="2" s="1"/>
  <c r="EA238" i="2" s="1"/>
  <c r="DQ238" i="2"/>
  <c r="DR238" i="2" s="1"/>
  <c r="DS238" i="2"/>
  <c r="DQ218" i="2"/>
  <c r="DR218" i="2" s="1"/>
  <c r="DS218" i="2"/>
  <c r="FR126" i="2" a="1"/>
  <c r="FR126" i="2" s="1"/>
  <c r="EI123" i="2"/>
  <c r="EG123" i="2"/>
  <c r="DV123" i="2"/>
  <c r="DW123" i="2" s="1"/>
  <c r="EG177" i="2"/>
  <c r="EI177" i="2"/>
  <c r="FR60" i="2" a="1"/>
  <c r="FR60" i="2" s="1"/>
  <c r="FR77" i="2" a="1"/>
  <c r="FR77" i="2" s="1"/>
  <c r="GV393" i="2"/>
  <c r="GV357" i="2"/>
  <c r="GW357" i="2" s="1"/>
  <c r="GV243" i="2"/>
  <c r="GW243" i="2" s="1"/>
  <c r="GV129" i="2"/>
  <c r="GW129" i="2" s="1"/>
  <c r="GV74" i="2"/>
  <c r="GW74" i="2" s="1"/>
  <c r="EG354" i="2"/>
  <c r="EI354" i="2"/>
  <c r="Z312" i="2"/>
  <c r="EI296" i="2"/>
  <c r="DV296" i="2"/>
  <c r="DW296" i="2" s="1"/>
  <c r="EG296" i="2"/>
  <c r="FR71" i="2" a="1"/>
  <c r="FR71" i="2" s="1"/>
  <c r="EI126" i="2"/>
  <c r="EG126" i="2"/>
  <c r="DV126" i="2"/>
  <c r="DW126" i="2" s="1"/>
  <c r="EI122" i="2"/>
  <c r="DV122" i="2"/>
  <c r="DW122" i="2" s="1"/>
  <c r="EG122" i="2"/>
  <c r="GV294" i="2"/>
  <c r="GW294" i="2" s="1"/>
  <c r="FR138" i="2" a="1"/>
  <c r="FR138" i="2" s="1"/>
  <c r="FR291" i="2" a="1"/>
  <c r="FR291" i="2" s="1"/>
  <c r="Z201" i="2"/>
  <c r="AA201" i="2"/>
  <c r="Z49" i="2"/>
  <c r="EI57" i="2"/>
  <c r="EG57" i="2"/>
  <c r="FR201" i="2" a="1"/>
  <c r="FR201" i="2" s="1"/>
  <c r="FR134" i="2" a="1"/>
  <c r="FR134" i="2" s="1"/>
  <c r="GU390" i="2"/>
  <c r="DV362" i="2"/>
  <c r="DW362" i="2" s="1"/>
  <c r="DV363" i="2"/>
  <c r="DW363" i="2" s="1"/>
  <c r="EG363" i="2"/>
  <c r="FR287" i="2" a="1"/>
  <c r="FR287" i="2" s="1"/>
  <c r="FW288" i="2"/>
  <c r="FX288" i="2" s="1" a="1"/>
  <c r="FX288" i="2" s="1"/>
  <c r="FR288" i="2" a="1"/>
  <c r="FR288" i="2" s="1"/>
  <c r="CK219" i="2"/>
  <c r="CK153" i="2"/>
  <c r="FR64" i="2" a="1"/>
  <c r="FR64" i="2" s="1"/>
  <c r="GV71" i="2"/>
  <c r="GW71" i="2" s="1"/>
  <c r="DS363" i="2"/>
  <c r="DQ363" i="2"/>
  <c r="DR363" i="2" s="1"/>
  <c r="CK273" i="2"/>
  <c r="CE273" i="2"/>
  <c r="AA292" i="2"/>
  <c r="Z292" i="2"/>
  <c r="CK193" i="2"/>
  <c r="CM152" i="2"/>
  <c r="CK152" i="2"/>
  <c r="EI125" i="2"/>
  <c r="EG125" i="2"/>
  <c r="DV125" i="2"/>
  <c r="DW125" i="2" s="1"/>
  <c r="CK105" i="2"/>
  <c r="FR87" i="2" a="1"/>
  <c r="FR87" i="2" s="1"/>
  <c r="FR104" i="2" a="1"/>
  <c r="FR104" i="2" s="1"/>
  <c r="AA380" i="2"/>
  <c r="Z380" i="2"/>
  <c r="FR270" i="2" a="1"/>
  <c r="FR270" i="2" s="1"/>
  <c r="CM128" i="2"/>
  <c r="CK128" i="2"/>
  <c r="FR148" i="2" a="1"/>
  <c r="FR148" i="2" s="1"/>
  <c r="CE152" i="2"/>
  <c r="DV37" i="2"/>
  <c r="DW37" i="2" s="1"/>
  <c r="EG37" i="2"/>
  <c r="FR305" i="2" a="1"/>
  <c r="FR305" i="2" s="1"/>
  <c r="FR35" i="2" a="1"/>
  <c r="FR35" i="2" s="1"/>
  <c r="DV244" i="2"/>
  <c r="DW244" i="2" s="1"/>
  <c r="EI244" i="2"/>
  <c r="EG244" i="2"/>
  <c r="EC366" i="2"/>
  <c r="DQ366" i="2"/>
  <c r="DR366" i="2" s="1"/>
  <c r="FW285" i="2"/>
  <c r="FX285" i="2" s="1" a="1"/>
  <c r="FX285" i="2" s="1"/>
  <c r="FR285" i="2" a="1"/>
  <c r="FR285" i="2" s="1"/>
  <c r="CE112" i="2"/>
  <c r="CK112" i="2"/>
  <c r="FR39" i="2" a="1"/>
  <c r="FR39" i="2" s="1"/>
  <c r="GV344" i="2"/>
  <c r="GW344" i="2" s="1"/>
  <c r="FR323" i="2" a="1"/>
  <c r="FR323" i="2" s="1"/>
  <c r="GV281" i="2"/>
  <c r="GW281" i="2" s="1"/>
  <c r="FR207" i="2" a="1"/>
  <c r="FR207" i="2" s="1"/>
  <c r="FR150" i="2" a="1"/>
  <c r="FR150" i="2" s="1"/>
  <c r="EC377" i="2"/>
  <c r="EH377" i="2"/>
  <c r="DY377" i="2"/>
  <c r="DZ377" i="2" s="1"/>
  <c r="EA377" i="2" s="1"/>
  <c r="Z388" i="2"/>
  <c r="AB388" i="2"/>
  <c r="FR317" i="2" a="1"/>
  <c r="FR317" i="2" s="1"/>
  <c r="FR320" i="2" a="1"/>
  <c r="FR320" i="2" s="1"/>
  <c r="AA246" i="2"/>
  <c r="Z246" i="2"/>
  <c r="CK78" i="2"/>
  <c r="AA75" i="2"/>
  <c r="Z75" i="2"/>
  <c r="Z45" i="2"/>
  <c r="Z116" i="2"/>
  <c r="AA116" i="2"/>
  <c r="FR379" i="2" a="1"/>
  <c r="FR379" i="2" s="1"/>
  <c r="GV380" i="2"/>
  <c r="GW380" i="2" s="1"/>
  <c r="FR343" i="2" a="1"/>
  <c r="FR343" i="2" s="1"/>
  <c r="GV280" i="2"/>
  <c r="GW280" i="2" s="1"/>
  <c r="GV270" i="2"/>
  <c r="GW270" i="2" s="1"/>
  <c r="FR203" i="2" a="1"/>
  <c r="FR203" i="2" s="1"/>
  <c r="Z20" i="2"/>
  <c r="FW284" i="2"/>
  <c r="FX284" i="2" s="1" a="1"/>
  <c r="FX284" i="2" s="1"/>
  <c r="FR284" i="2" a="1"/>
  <c r="FR284" i="2" s="1"/>
  <c r="FW283" i="2"/>
  <c r="FX283" i="2" s="1" a="1"/>
  <c r="FX283" i="2" s="1"/>
  <c r="FR283" i="2" a="1"/>
  <c r="FR283" i="2" s="1"/>
  <c r="Z223" i="2"/>
  <c r="DV200" i="2"/>
  <c r="DW200" i="2" s="1"/>
  <c r="EI200" i="2"/>
  <c r="EG200" i="2"/>
  <c r="DY116" i="2"/>
  <c r="DZ116" i="2" s="1"/>
  <c r="EA116" i="2" s="1"/>
  <c r="DS116" i="2"/>
  <c r="GV389" i="2"/>
  <c r="GV339" i="2"/>
  <c r="GW339" i="2" s="1"/>
  <c r="FR264" i="2" a="1"/>
  <c r="FR264" i="2" s="1"/>
  <c r="FR303" i="2" a="1"/>
  <c r="FR303" i="2" s="1"/>
  <c r="FR259" i="2" a="1"/>
  <c r="FR259" i="2" s="1"/>
  <c r="FR199" i="2" a="1"/>
  <c r="FR199" i="2" s="1"/>
  <c r="FR18" i="2" a="1"/>
  <c r="FR18" i="2" s="1"/>
  <c r="DV352" i="2"/>
  <c r="DW352" i="2" s="1"/>
  <c r="EG352" i="2"/>
  <c r="AA289" i="2"/>
  <c r="Z289" i="2"/>
  <c r="FR98" i="2" a="1"/>
  <c r="FR98" i="2" s="1"/>
  <c r="EI127" i="2"/>
  <c r="DV127" i="2"/>
  <c r="DW127" i="2" s="1"/>
  <c r="EG127" i="2"/>
  <c r="FR73" i="2" a="1"/>
  <c r="FR73" i="2" s="1"/>
  <c r="EI105" i="2"/>
  <c r="DV105" i="2"/>
  <c r="DW105" i="2" s="1"/>
  <c r="FR34" i="2" a="1"/>
  <c r="FR34" i="2" s="1"/>
  <c r="CK18" i="2"/>
  <c r="CM18" i="2"/>
  <c r="CE18" i="2"/>
  <c r="DV39" i="2"/>
  <c r="DW39" i="2" s="1"/>
  <c r="EG39" i="2"/>
  <c r="CR265" i="2"/>
  <c r="DU258" i="2"/>
  <c r="DO258" i="2"/>
  <c r="GV258" i="2" s="1"/>
  <c r="GT265" i="2"/>
  <c r="DO263" i="2"/>
  <c r="GV263" i="2" s="1"/>
  <c r="GU263" i="2"/>
  <c r="DU263" i="2"/>
  <c r="GT263" i="2"/>
  <c r="DU266" i="2"/>
  <c r="DO266" i="2"/>
  <c r="EG44" i="2"/>
  <c r="DV44" i="2"/>
  <c r="DW44" i="2" s="1"/>
  <c r="EI44" i="2"/>
  <c r="FR294" i="2" a="1"/>
  <c r="FR294" i="2" s="1"/>
  <c r="FW294" i="2"/>
  <c r="FX294" i="2" s="1" a="1"/>
  <c r="FX294" i="2" s="1"/>
  <c r="CK159" i="2"/>
  <c r="CM159" i="2"/>
  <c r="CE159" i="2"/>
  <c r="GV159" i="2"/>
  <c r="GW159" i="2" s="1"/>
  <c r="Z90" i="2"/>
  <c r="AA90" i="2"/>
  <c r="AA375" i="2"/>
  <c r="Z375" i="2"/>
  <c r="AA287" i="2"/>
  <c r="Z287" i="2"/>
  <c r="EG267" i="2"/>
  <c r="DV267" i="2"/>
  <c r="DW267" i="2" s="1"/>
  <c r="EI267" i="2"/>
  <c r="EH219" i="2"/>
  <c r="DY219" i="2"/>
  <c r="DZ219" i="2" s="1"/>
  <c r="EA219" i="2" s="1"/>
  <c r="DQ219" i="2"/>
  <c r="DR219" i="2" s="1"/>
  <c r="EC219" i="2"/>
  <c r="DS219" i="2"/>
  <c r="CK225" i="2"/>
  <c r="CM225" i="2"/>
  <c r="CE225" i="2"/>
  <c r="GV225" i="2"/>
  <c r="GW225" i="2" s="1"/>
  <c r="CE206" i="2"/>
  <c r="GV206" i="2"/>
  <c r="GW206" i="2" s="1"/>
  <c r="CK206" i="2"/>
  <c r="CM206" i="2"/>
  <c r="CK211" i="2"/>
  <c r="CM211" i="2"/>
  <c r="CE211" i="2"/>
  <c r="GV211" i="2"/>
  <c r="GW211" i="2" s="1"/>
  <c r="EI211" i="2"/>
  <c r="DV211" i="2"/>
  <c r="DW211" i="2" s="1"/>
  <c r="EG211" i="2"/>
  <c r="FR147" i="2" a="1"/>
  <c r="FR147" i="2" s="1"/>
  <c r="FW147" i="2"/>
  <c r="FX147" i="2" s="1" a="1"/>
  <c r="FX147" i="2" s="1"/>
  <c r="CK163" i="2"/>
  <c r="CM163" i="2"/>
  <c r="CE163" i="2"/>
  <c r="GV163" i="2"/>
  <c r="GW163" i="2" s="1"/>
  <c r="DS110" i="2"/>
  <c r="EH110" i="2"/>
  <c r="DQ110" i="2"/>
  <c r="DR110" i="2" s="1"/>
  <c r="EC110" i="2"/>
  <c r="DY110" i="2"/>
  <c r="DZ110" i="2" s="1"/>
  <c r="EA110" i="2" s="1"/>
  <c r="DY119" i="2"/>
  <c r="DZ119" i="2" s="1"/>
  <c r="EA119" i="2" s="1"/>
  <c r="DS119" i="2"/>
  <c r="DQ119" i="2"/>
  <c r="DR119" i="2" s="1"/>
  <c r="EH119" i="2"/>
  <c r="EC119" i="2"/>
  <c r="DY115" i="2"/>
  <c r="DZ115" i="2" s="1"/>
  <c r="EA115" i="2" s="1"/>
  <c r="DS115" i="2"/>
  <c r="DQ115" i="2"/>
  <c r="DR115" i="2" s="1"/>
  <c r="EH115" i="2"/>
  <c r="EC115" i="2"/>
  <c r="EC153" i="2"/>
  <c r="DS153" i="2"/>
  <c r="DY153" i="2"/>
  <c r="DZ153" i="2" s="1"/>
  <c r="EA153" i="2" s="1"/>
  <c r="DQ153" i="2"/>
  <c r="DR153" i="2" s="1"/>
  <c r="EH153" i="2"/>
  <c r="AA70" i="2"/>
  <c r="Z70" i="2"/>
  <c r="EG96" i="2"/>
  <c r="DV96" i="2"/>
  <c r="DW96" i="2" s="1"/>
  <c r="EI96" i="2"/>
  <c r="EC86" i="2"/>
  <c r="DY86" i="2"/>
  <c r="DZ86" i="2" s="1"/>
  <c r="EA86" i="2" s="1"/>
  <c r="DS86" i="2"/>
  <c r="DQ86" i="2"/>
  <c r="DR86" i="2" s="1"/>
  <c r="EH86" i="2"/>
  <c r="EC63" i="2"/>
  <c r="DY63" i="2"/>
  <c r="DZ63" i="2" s="1"/>
  <c r="EA63" i="2" s="1"/>
  <c r="DS63" i="2"/>
  <c r="DQ63" i="2"/>
  <c r="DR63" i="2" s="1"/>
  <c r="EH63" i="2"/>
  <c r="EC55" i="2"/>
  <c r="DY55" i="2"/>
  <c r="DZ55" i="2" s="1"/>
  <c r="EA55" i="2" s="1"/>
  <c r="DQ55" i="2"/>
  <c r="DR55" i="2" s="1"/>
  <c r="DS55" i="2"/>
  <c r="EH55" i="2"/>
  <c r="CM20" i="2"/>
  <c r="GV20" i="2"/>
  <c r="GW20" i="2" s="1"/>
  <c r="CE20" i="2"/>
  <c r="CK20" i="2"/>
  <c r="CM59" i="2"/>
  <c r="CE59" i="2"/>
  <c r="CK59" i="2"/>
  <c r="FW15" i="2"/>
  <c r="FX15" i="2" s="1" a="1"/>
  <c r="FX15" i="2" s="1"/>
  <c r="FR15" i="2" a="1"/>
  <c r="FR15" i="2" s="1"/>
  <c r="EC384" i="2"/>
  <c r="DY384" i="2"/>
  <c r="DZ384" i="2" s="1"/>
  <c r="EA384" i="2" s="1"/>
  <c r="DS384" i="2"/>
  <c r="DQ384" i="2"/>
  <c r="DR384" i="2" s="1"/>
  <c r="EH384" i="2"/>
  <c r="DS277" i="2"/>
  <c r="EH277" i="2"/>
  <c r="EC277" i="2"/>
  <c r="DY277" i="2"/>
  <c r="DZ277" i="2" s="1"/>
  <c r="EA277" i="2" s="1"/>
  <c r="DQ277" i="2"/>
  <c r="DR277" i="2" s="1"/>
  <c r="Z342" i="2"/>
  <c r="AA342" i="2"/>
  <c r="DS128" i="2"/>
  <c r="DQ128" i="2"/>
  <c r="DR128" i="2" s="1"/>
  <c r="EC128" i="2"/>
  <c r="DY128" i="2"/>
  <c r="DZ128" i="2" s="1"/>
  <c r="EA128" i="2" s="1"/>
  <c r="GV128" i="2"/>
  <c r="GW128" i="2" s="1"/>
  <c r="EH128" i="2"/>
  <c r="CK221" i="2"/>
  <c r="CM221" i="2"/>
  <c r="GV221" i="2"/>
  <c r="GW221" i="2" s="1"/>
  <c r="CE221" i="2"/>
  <c r="CM385" i="2"/>
  <c r="GV385" i="2"/>
  <c r="GW385" i="2" s="1"/>
  <c r="CK385" i="2"/>
  <c r="CE385" i="2"/>
  <c r="AA377" i="2"/>
  <c r="Z377" i="2"/>
  <c r="EI347" i="2"/>
  <c r="EG347" i="2"/>
  <c r="DV347" i="2"/>
  <c r="DW347" i="2" s="1"/>
  <c r="EC343" i="2"/>
  <c r="DY343" i="2"/>
  <c r="DZ343" i="2" s="1"/>
  <c r="EA343" i="2" s="1"/>
  <c r="DS343" i="2"/>
  <c r="EH343" i="2"/>
  <c r="DQ343" i="2"/>
  <c r="DR343" i="2" s="1"/>
  <c r="AA324" i="2"/>
  <c r="Z324" i="2"/>
  <c r="EG344" i="2"/>
  <c r="DV344" i="2"/>
  <c r="DW344" i="2" s="1"/>
  <c r="EI344" i="2"/>
  <c r="Z264" i="2"/>
  <c r="AA264" i="2"/>
  <c r="FW331" i="2"/>
  <c r="FX331" i="2" s="1" a="1"/>
  <c r="FX331" i="2" s="1"/>
  <c r="FR331" i="2" a="1"/>
  <c r="FR331" i="2" s="1"/>
  <c r="CK312" i="2"/>
  <c r="CM312" i="2"/>
  <c r="CE312" i="2"/>
  <c r="CK300" i="2"/>
  <c r="CE300" i="2"/>
  <c r="GV300" i="2"/>
  <c r="GW300" i="2" s="1"/>
  <c r="CM300" i="2"/>
  <c r="DY293" i="2"/>
  <c r="DZ293" i="2" s="1"/>
  <c r="EA293" i="2" s="1"/>
  <c r="DS293" i="2"/>
  <c r="DQ293" i="2"/>
  <c r="DR293" i="2" s="1"/>
  <c r="EH293" i="2"/>
  <c r="EC293" i="2"/>
  <c r="GV296" i="2"/>
  <c r="GW296" i="2" s="1"/>
  <c r="DS284" i="2"/>
  <c r="DQ284" i="2"/>
  <c r="DR284" i="2" s="1"/>
  <c r="EH284" i="2"/>
  <c r="EC284" i="2"/>
  <c r="DY284" i="2"/>
  <c r="DZ284" i="2" s="1"/>
  <c r="EA284" i="2" s="1"/>
  <c r="AA284" i="2"/>
  <c r="Z284" i="2"/>
  <c r="FO390" i="2"/>
  <c r="FR260" i="2" a="1"/>
  <c r="FR260" i="2" s="1"/>
  <c r="EH255" i="2"/>
  <c r="EC255" i="2"/>
  <c r="DY255" i="2"/>
  <c r="DZ255" i="2" s="1"/>
  <c r="EA255" i="2" s="1"/>
  <c r="DS255" i="2"/>
  <c r="DQ255" i="2"/>
  <c r="DR255" i="2" s="1"/>
  <c r="EG128" i="2"/>
  <c r="DV128" i="2"/>
  <c r="DW128" i="2" s="1"/>
  <c r="EI128" i="2"/>
  <c r="FR243" i="2" a="1"/>
  <c r="FR243" i="2" s="1"/>
  <c r="CE241" i="2"/>
  <c r="GV241" i="2"/>
  <c r="GW241" i="2" s="1"/>
  <c r="CK241" i="2"/>
  <c r="CM241" i="2"/>
  <c r="EG219" i="2"/>
  <c r="EI219" i="2"/>
  <c r="DV219" i="2"/>
  <c r="DW219" i="2" s="1"/>
  <c r="EI236" i="2"/>
  <c r="EG236" i="2"/>
  <c r="DV236" i="2"/>
  <c r="DW236" i="2" s="1"/>
  <c r="AA212" i="2"/>
  <c r="Z212" i="2"/>
  <c r="CK214" i="2"/>
  <c r="CM214" i="2"/>
  <c r="CE214" i="2"/>
  <c r="EI212" i="2"/>
  <c r="EG212" i="2"/>
  <c r="DV212" i="2"/>
  <c r="DW212" i="2" s="1"/>
  <c r="EG203" i="2"/>
  <c r="EI203" i="2"/>
  <c r="DV203" i="2"/>
  <c r="DW203" i="2" s="1"/>
  <c r="GV181" i="2"/>
  <c r="GW181" i="2" s="1"/>
  <c r="FR188" i="2" a="1"/>
  <c r="FR188" i="2" s="1"/>
  <c r="FR160" i="2" a="1"/>
  <c r="FR160" i="2" s="1"/>
  <c r="FR146" i="2" a="1"/>
  <c r="FR146" i="2" s="1"/>
  <c r="FW146" i="2"/>
  <c r="FX146" i="2" s="1" a="1"/>
  <c r="FX146" i="2" s="1"/>
  <c r="CR228" i="2"/>
  <c r="CX228" i="2" s="1"/>
  <c r="GV151" i="2"/>
  <c r="GW151" i="2" s="1"/>
  <c r="EC186" i="2"/>
  <c r="DY186" i="2"/>
  <c r="DZ186" i="2" s="1"/>
  <c r="EA186" i="2" s="1"/>
  <c r="DS186" i="2"/>
  <c r="DQ186" i="2"/>
  <c r="DR186" i="2" s="1"/>
  <c r="EH186" i="2"/>
  <c r="EH109" i="2"/>
  <c r="EC109" i="2"/>
  <c r="DY109" i="2"/>
  <c r="DZ109" i="2" s="1"/>
  <c r="EA109" i="2" s="1"/>
  <c r="DS109" i="2"/>
  <c r="DQ109" i="2"/>
  <c r="DR109" i="2" s="1"/>
  <c r="DY118" i="2"/>
  <c r="DZ118" i="2" s="1"/>
  <c r="EA118" i="2" s="1"/>
  <c r="DS118" i="2"/>
  <c r="DQ118" i="2"/>
  <c r="DR118" i="2" s="1"/>
  <c r="EH118" i="2"/>
  <c r="EC118" i="2"/>
  <c r="FR121" i="2" a="1"/>
  <c r="FR121" i="2" s="1"/>
  <c r="DV115" i="2"/>
  <c r="DW115" i="2" s="1"/>
  <c r="EG115" i="2"/>
  <c r="EI115" i="2"/>
  <c r="AA85" i="2"/>
  <c r="Z85" i="2"/>
  <c r="GV109" i="2"/>
  <c r="GW109" i="2" s="1"/>
  <c r="CK109" i="2"/>
  <c r="CM109" i="2"/>
  <c r="CE109" i="2"/>
  <c r="FR130" i="2" a="1"/>
  <c r="FR130" i="2" s="1"/>
  <c r="EG153" i="2"/>
  <c r="DV153" i="2"/>
  <c r="DW153" i="2" s="1"/>
  <c r="EI153" i="2"/>
  <c r="AA69" i="2"/>
  <c r="Z69" i="2"/>
  <c r="DS43" i="2"/>
  <c r="DQ43" i="2"/>
  <c r="DR43" i="2" s="1"/>
  <c r="EH43" i="2"/>
  <c r="EC43" i="2"/>
  <c r="DY43" i="2"/>
  <c r="DZ43" i="2" s="1"/>
  <c r="EA43" i="2" s="1"/>
  <c r="EC62" i="2"/>
  <c r="DY62" i="2"/>
  <c r="DZ62" i="2" s="1"/>
  <c r="EA62" i="2" s="1"/>
  <c r="DS62" i="2"/>
  <c r="DQ62" i="2"/>
  <c r="DR62" i="2" s="1"/>
  <c r="EH62" i="2"/>
  <c r="FR54" i="2" a="1"/>
  <c r="FR54" i="2" s="1"/>
  <c r="FW54" i="2"/>
  <c r="FX54" i="2" s="1" a="1"/>
  <c r="FX54" i="2" s="1"/>
  <c r="EC90" i="2"/>
  <c r="DY90" i="2"/>
  <c r="DZ90" i="2" s="1"/>
  <c r="EA90" i="2" s="1"/>
  <c r="DS90" i="2"/>
  <c r="DQ90" i="2"/>
  <c r="DR90" i="2" s="1"/>
  <c r="EH90" i="2"/>
  <c r="EC94" i="2"/>
  <c r="DY94" i="2"/>
  <c r="DZ94" i="2" s="1"/>
  <c r="EA94" i="2" s="1"/>
  <c r="DS94" i="2"/>
  <c r="DQ94" i="2"/>
  <c r="DR94" i="2" s="1"/>
  <c r="EH94" i="2"/>
  <c r="DV55" i="2"/>
  <c r="DW55" i="2" s="1"/>
  <c r="EG55" i="2"/>
  <c r="EI55" i="2"/>
  <c r="CK17" i="2"/>
  <c r="CM17" i="2"/>
  <c r="CE17" i="2"/>
  <c r="EH196" i="2"/>
  <c r="EC196" i="2"/>
  <c r="DY196" i="2"/>
  <c r="DZ196" i="2" s="1"/>
  <c r="EA196" i="2" s="1"/>
  <c r="DS196" i="2"/>
  <c r="DQ196" i="2"/>
  <c r="DR196" i="2" s="1"/>
  <c r="DY347" i="2"/>
  <c r="DZ347" i="2" s="1"/>
  <c r="EA347" i="2" s="1"/>
  <c r="DQ347" i="2"/>
  <c r="DR347" i="2" s="1"/>
  <c r="EC347" i="2"/>
  <c r="DS347" i="2"/>
  <c r="EH347" i="2"/>
  <c r="AB352" i="2"/>
  <c r="Z352" i="2"/>
  <c r="CE345" i="2"/>
  <c r="CK345" i="2"/>
  <c r="CM345" i="2"/>
  <c r="GV345" i="2"/>
  <c r="GW345" i="2" s="1"/>
  <c r="EG343" i="2"/>
  <c r="DV343" i="2"/>
  <c r="DW343" i="2" s="1"/>
  <c r="EI343" i="2"/>
  <c r="Z307" i="2"/>
  <c r="AA307" i="2"/>
  <c r="EI315" i="2"/>
  <c r="EG315" i="2"/>
  <c r="DV315" i="2"/>
  <c r="DW315" i="2" s="1"/>
  <c r="FR298" i="2" a="1"/>
  <c r="FR298" i="2" s="1"/>
  <c r="FW298" i="2"/>
  <c r="FX298" i="2" s="1" a="1"/>
  <c r="FX298" i="2" s="1"/>
  <c r="EC302" i="2"/>
  <c r="DS302" i="2"/>
  <c r="DQ302" i="2"/>
  <c r="DR302" i="2" s="1"/>
  <c r="GV302" i="2"/>
  <c r="GW302" i="2" s="1"/>
  <c r="EH302" i="2"/>
  <c r="DY302" i="2"/>
  <c r="DZ302" i="2" s="1"/>
  <c r="EA302" i="2" s="1"/>
  <c r="AA281" i="2"/>
  <c r="Z281" i="2"/>
  <c r="DV284" i="2"/>
  <c r="DW284" i="2" s="1"/>
  <c r="EI284" i="2"/>
  <c r="EG284" i="2"/>
  <c r="GV282" i="2"/>
  <c r="GW282" i="2" s="1"/>
  <c r="EH262" i="2"/>
  <c r="DS262" i="2"/>
  <c r="DQ262" i="2"/>
  <c r="DR262" i="2" s="1"/>
  <c r="EC262" i="2"/>
  <c r="DY262" i="2"/>
  <c r="DZ262" i="2" s="1"/>
  <c r="EA262" i="2" s="1"/>
  <c r="CK262" i="2"/>
  <c r="CM262" i="2"/>
  <c r="GV262" i="2"/>
  <c r="GW262" i="2" s="1"/>
  <c r="CE262" i="2"/>
  <c r="EX392" i="2"/>
  <c r="DS234" i="2"/>
  <c r="DQ234" i="2"/>
  <c r="DR234" i="2" s="1"/>
  <c r="EH234" i="2"/>
  <c r="EC234" i="2"/>
  <c r="DY234" i="2"/>
  <c r="DZ234" i="2" s="1"/>
  <c r="EA234" i="2" s="1"/>
  <c r="FR238" i="2" a="1"/>
  <c r="FR238" i="2" s="1"/>
  <c r="CE246" i="2"/>
  <c r="GV246" i="2"/>
  <c r="GW246" i="2" s="1"/>
  <c r="CK246" i="2"/>
  <c r="CM246" i="2"/>
  <c r="DS217" i="2"/>
  <c r="DQ217" i="2"/>
  <c r="DR217" i="2" s="1"/>
  <c r="EH217" i="2"/>
  <c r="EC217" i="2"/>
  <c r="DY217" i="2"/>
  <c r="DZ217" i="2" s="1"/>
  <c r="EA217" i="2" s="1"/>
  <c r="DQ203" i="2"/>
  <c r="DR203" i="2" s="1"/>
  <c r="EH203" i="2"/>
  <c r="EC203" i="2"/>
  <c r="DY203" i="2"/>
  <c r="DZ203" i="2" s="1"/>
  <c r="EA203" i="2" s="1"/>
  <c r="DS203" i="2"/>
  <c r="GV196" i="2"/>
  <c r="GW196" i="2" s="1"/>
  <c r="EC185" i="2"/>
  <c r="DY185" i="2"/>
  <c r="DZ185" i="2" s="1"/>
  <c r="EA185" i="2" s="1"/>
  <c r="DS185" i="2"/>
  <c r="DQ185" i="2"/>
  <c r="DR185" i="2" s="1"/>
  <c r="EH185" i="2"/>
  <c r="FR185" i="2" a="1"/>
  <c r="FR185" i="2" s="1"/>
  <c r="EC194" i="2"/>
  <c r="DY194" i="2"/>
  <c r="DZ194" i="2" s="1"/>
  <c r="EA194" i="2" s="1"/>
  <c r="DS194" i="2"/>
  <c r="DQ194" i="2"/>
  <c r="DR194" i="2" s="1"/>
  <c r="EH194" i="2"/>
  <c r="FR145" i="2" a="1"/>
  <c r="FR145" i="2" s="1"/>
  <c r="FW145" i="2"/>
  <c r="FX145" i="2" s="1" a="1"/>
  <c r="FX145" i="2" s="1"/>
  <c r="DV186" i="2"/>
  <c r="DW186" i="2" s="1"/>
  <c r="EI186" i="2"/>
  <c r="EG186" i="2"/>
  <c r="GV194" i="2"/>
  <c r="GW194" i="2" s="1"/>
  <c r="DY117" i="2"/>
  <c r="DZ117" i="2" s="1"/>
  <c r="EA117" i="2" s="1"/>
  <c r="DS117" i="2"/>
  <c r="DQ117" i="2"/>
  <c r="DR117" i="2" s="1"/>
  <c r="EH117" i="2"/>
  <c r="EC117" i="2"/>
  <c r="GV117" i="2"/>
  <c r="GW117" i="2" s="1"/>
  <c r="FR127" i="2" a="1"/>
  <c r="FR127" i="2" s="1"/>
  <c r="AA68" i="2"/>
  <c r="Z68" i="2"/>
  <c r="GV93" i="2"/>
  <c r="GW93" i="2" s="1"/>
  <c r="GV119" i="2"/>
  <c r="GW119" i="2" s="1"/>
  <c r="EG95" i="2"/>
  <c r="DV95" i="2"/>
  <c r="DW95" i="2" s="1"/>
  <c r="EI95" i="2"/>
  <c r="EI43" i="2"/>
  <c r="EG43" i="2"/>
  <c r="DV43" i="2"/>
  <c r="DW43" i="2" s="1"/>
  <c r="EC61" i="2"/>
  <c r="DY61" i="2"/>
  <c r="DZ61" i="2" s="1"/>
  <c r="EA61" i="2" s="1"/>
  <c r="DS61" i="2"/>
  <c r="DQ61" i="2"/>
  <c r="DR61" i="2" s="1"/>
  <c r="EH61" i="2"/>
  <c r="EG90" i="2"/>
  <c r="DV90" i="2"/>
  <c r="DW90" i="2" s="1"/>
  <c r="EI90" i="2"/>
  <c r="EG94" i="2"/>
  <c r="DV94" i="2"/>
  <c r="DW94" i="2" s="1"/>
  <c r="EI94" i="2"/>
  <c r="GV62" i="2"/>
  <c r="GW62" i="2" s="1"/>
  <c r="Z310" i="2"/>
  <c r="AA310" i="2"/>
  <c r="AA285" i="2"/>
  <c r="Z285" i="2"/>
  <c r="DV190" i="2"/>
  <c r="DW190" i="2" s="1"/>
  <c r="EI190" i="2"/>
  <c r="EG190" i="2"/>
  <c r="GV105" i="2"/>
  <c r="GW105" i="2" s="1"/>
  <c r="CM387" i="2"/>
  <c r="GV387" i="2"/>
  <c r="CK387" i="2"/>
  <c r="CE387" i="2"/>
  <c r="EI331" i="2"/>
  <c r="EG331" i="2"/>
  <c r="DV331" i="2"/>
  <c r="DW331" i="2" s="1"/>
  <c r="Z306" i="2"/>
  <c r="AA306" i="2"/>
  <c r="EG335" i="2"/>
  <c r="DV335" i="2"/>
  <c r="DW335" i="2" s="1"/>
  <c r="EI335" i="2"/>
  <c r="FR364" i="2" a="1"/>
  <c r="FR364" i="2" s="1"/>
  <c r="FR307" i="2" a="1"/>
  <c r="FR307" i="2" s="1"/>
  <c r="FR297" i="2" a="1"/>
  <c r="FR297" i="2" s="1"/>
  <c r="FW297" i="2"/>
  <c r="FX297" i="2" s="1" a="1"/>
  <c r="FX297" i="2" s="1"/>
  <c r="FR306" i="2" a="1"/>
  <c r="FR306" i="2" s="1"/>
  <c r="DY287" i="2"/>
  <c r="DZ287" i="2" s="1"/>
  <c r="EA287" i="2" s="1"/>
  <c r="DS287" i="2"/>
  <c r="DQ287" i="2"/>
  <c r="DR287" i="2" s="1"/>
  <c r="EH287" i="2"/>
  <c r="EC287" i="2"/>
  <c r="CK235" i="2"/>
  <c r="GV235" i="2"/>
  <c r="CE235" i="2"/>
  <c r="Z30" i="2"/>
  <c r="AA30" i="2"/>
  <c r="EI311" i="2"/>
  <c r="EG311" i="2"/>
  <c r="DV311" i="2"/>
  <c r="DW311" i="2" s="1"/>
  <c r="DY392" i="2"/>
  <c r="DZ392" i="2" s="1"/>
  <c r="EA392" i="2" s="1"/>
  <c r="DS392" i="2"/>
  <c r="DQ392" i="2"/>
  <c r="DR392" i="2" s="1"/>
  <c r="EH392" i="2"/>
  <c r="EC392" i="2"/>
  <c r="DS233" i="2"/>
  <c r="DQ233" i="2"/>
  <c r="DR233" i="2" s="1"/>
  <c r="EH233" i="2"/>
  <c r="EC233" i="2"/>
  <c r="DY233" i="2"/>
  <c r="DZ233" i="2" s="1"/>
  <c r="EA233" i="2" s="1"/>
  <c r="CE247" i="2"/>
  <c r="CK247" i="2"/>
  <c r="CM247" i="2"/>
  <c r="GV247" i="2"/>
  <c r="GW247" i="2" s="1"/>
  <c r="GV392" i="2"/>
  <c r="CK236" i="2"/>
  <c r="GV236" i="2"/>
  <c r="GW236" i="2" s="1"/>
  <c r="CM236" i="2"/>
  <c r="CE236" i="2"/>
  <c r="GV219" i="2"/>
  <c r="GW219" i="2" s="1"/>
  <c r="AA237" i="2"/>
  <c r="Z237" i="2"/>
  <c r="EH236" i="2"/>
  <c r="EC236" i="2"/>
  <c r="DY236" i="2"/>
  <c r="DZ236" i="2" s="1"/>
  <c r="EA236" i="2" s="1"/>
  <c r="DS236" i="2"/>
  <c r="DQ236" i="2"/>
  <c r="DR236" i="2" s="1"/>
  <c r="EH222" i="2"/>
  <c r="EC222" i="2"/>
  <c r="DY222" i="2"/>
  <c r="DZ222" i="2" s="1"/>
  <c r="EA222" i="2" s="1"/>
  <c r="DS222" i="2"/>
  <c r="DQ222" i="2"/>
  <c r="DR222" i="2" s="1"/>
  <c r="CK213" i="2"/>
  <c r="CM213" i="2"/>
  <c r="CE213" i="2"/>
  <c r="DV217" i="2"/>
  <c r="DW217" i="2" s="1"/>
  <c r="EI217" i="2"/>
  <c r="EG217" i="2"/>
  <c r="CK210" i="2"/>
  <c r="CM210" i="2"/>
  <c r="CE210" i="2"/>
  <c r="GV210" i="2"/>
  <c r="GW210" i="2" s="1"/>
  <c r="AA188" i="2"/>
  <c r="Z188" i="2"/>
  <c r="CE209" i="2"/>
  <c r="GV209" i="2"/>
  <c r="GW209" i="2" s="1"/>
  <c r="CK209" i="2"/>
  <c r="CM209" i="2"/>
  <c r="CE207" i="2"/>
  <c r="GV207" i="2"/>
  <c r="GW207" i="2" s="1"/>
  <c r="CK207" i="2"/>
  <c r="CM207" i="2"/>
  <c r="DV194" i="2"/>
  <c r="DW194" i="2" s="1"/>
  <c r="EI194" i="2"/>
  <c r="EG194" i="2"/>
  <c r="EC180" i="2"/>
  <c r="DY180" i="2"/>
  <c r="DZ180" i="2" s="1"/>
  <c r="EA180" i="2" s="1"/>
  <c r="DS180" i="2"/>
  <c r="DQ180" i="2"/>
  <c r="DR180" i="2" s="1"/>
  <c r="EH180" i="2"/>
  <c r="CK201" i="2"/>
  <c r="CE201" i="2"/>
  <c r="GV201" i="2"/>
  <c r="EG197" i="2"/>
  <c r="DV197" i="2"/>
  <c r="DW197" i="2" s="1"/>
  <c r="EI197" i="2"/>
  <c r="DY146" i="2"/>
  <c r="DZ146" i="2" s="1"/>
  <c r="EA146" i="2" s="1"/>
  <c r="DS146" i="2"/>
  <c r="DQ146" i="2"/>
  <c r="DR146" i="2" s="1"/>
  <c r="EH146" i="2"/>
  <c r="EC146" i="2"/>
  <c r="CE133" i="2"/>
  <c r="CK133" i="2"/>
  <c r="CM133" i="2"/>
  <c r="Z87" i="2"/>
  <c r="AA87" i="2"/>
  <c r="AA103" i="2"/>
  <c r="Z103" i="2"/>
  <c r="AA67" i="2"/>
  <c r="Z67" i="2"/>
  <c r="FR198" i="2" a="1"/>
  <c r="FR198" i="2" s="1"/>
  <c r="EC60" i="2"/>
  <c r="DY60" i="2"/>
  <c r="DZ60" i="2" s="1"/>
  <c r="EA60" i="2" s="1"/>
  <c r="DQ60" i="2"/>
  <c r="DR60" i="2" s="1"/>
  <c r="EH60" i="2"/>
  <c r="DS60" i="2"/>
  <c r="GV73" i="2"/>
  <c r="GW73" i="2" s="1"/>
  <c r="EC59" i="2"/>
  <c r="DY59" i="2"/>
  <c r="DZ59" i="2" s="1"/>
  <c r="EA59" i="2" s="1"/>
  <c r="EH59" i="2"/>
  <c r="DS59" i="2"/>
  <c r="DQ59" i="2"/>
  <c r="DR59" i="2" s="1"/>
  <c r="CM61" i="2"/>
  <c r="CE61" i="2"/>
  <c r="CK61" i="2"/>
  <c r="FR67" i="2" a="1"/>
  <c r="FR67" i="2" s="1"/>
  <c r="EC53" i="2"/>
  <c r="DY53" i="2"/>
  <c r="DZ53" i="2" s="1"/>
  <c r="EA53" i="2" s="1"/>
  <c r="DS53" i="2"/>
  <c r="DQ53" i="2"/>
  <c r="DR53" i="2" s="1"/>
  <c r="EH53" i="2"/>
  <c r="EC111" i="2"/>
  <c r="DY111" i="2"/>
  <c r="DZ111" i="2" s="1"/>
  <c r="EA111" i="2" s="1"/>
  <c r="DS111" i="2"/>
  <c r="DQ111" i="2"/>
  <c r="DR111" i="2" s="1"/>
  <c r="EH111" i="2"/>
  <c r="EC68" i="2"/>
  <c r="DY68" i="2"/>
  <c r="DZ68" i="2" s="1"/>
  <c r="EA68" i="2" s="1"/>
  <c r="DS68" i="2"/>
  <c r="DQ68" i="2"/>
  <c r="DR68" i="2" s="1"/>
  <c r="EH68" i="2"/>
  <c r="Z16" i="2"/>
  <c r="AA16" i="2"/>
  <c r="EC54" i="2"/>
  <c r="DY54" i="2"/>
  <c r="DZ54" i="2" s="1"/>
  <c r="EA54" i="2" s="1"/>
  <c r="EH54" i="2"/>
  <c r="DS54" i="2"/>
  <c r="DQ54" i="2"/>
  <c r="DR54" i="2" s="1"/>
  <c r="CM393" i="2"/>
  <c r="CE393" i="2"/>
  <c r="CK393" i="2"/>
  <c r="EG270" i="2"/>
  <c r="DV270" i="2"/>
  <c r="DW270" i="2" s="1"/>
  <c r="EI270" i="2"/>
  <c r="CK215" i="2"/>
  <c r="CM215" i="2"/>
  <c r="CE215" i="2"/>
  <c r="CK368" i="2"/>
  <c r="CM368" i="2"/>
  <c r="CE368" i="2"/>
  <c r="FZ390" i="2"/>
  <c r="GA390" i="2" s="1"/>
  <c r="GV372" i="2"/>
  <c r="GW372" i="2" s="1"/>
  <c r="GV349" i="2"/>
  <c r="GW349" i="2" s="1"/>
  <c r="CM383" i="2"/>
  <c r="GV383" i="2"/>
  <c r="GW383" i="2" s="1"/>
  <c r="CK383" i="2"/>
  <c r="CE383" i="2"/>
  <c r="CM372" i="2"/>
  <c r="CK372" i="2"/>
  <c r="CE372" i="2"/>
  <c r="EC391" i="2"/>
  <c r="DY391" i="2"/>
  <c r="DZ391" i="2" s="1"/>
  <c r="EA391" i="2" s="1"/>
  <c r="DQ391" i="2"/>
  <c r="DR391" i="2" s="1"/>
  <c r="EH391" i="2"/>
  <c r="DS391" i="2"/>
  <c r="DV393" i="2"/>
  <c r="DW393" i="2" s="1"/>
  <c r="EG393" i="2"/>
  <c r="EI393" i="2"/>
  <c r="DV380" i="2"/>
  <c r="DW380" i="2" s="1"/>
  <c r="EG380" i="2"/>
  <c r="EI380" i="2"/>
  <c r="EG372" i="2"/>
  <c r="EI372" i="2"/>
  <c r="DV372" i="2"/>
  <c r="DW372" i="2" s="1"/>
  <c r="Z371" i="2"/>
  <c r="EI370" i="2"/>
  <c r="EG370" i="2"/>
  <c r="DV370" i="2"/>
  <c r="DW370" i="2" s="1"/>
  <c r="FR339" i="2" a="1"/>
  <c r="FR339" i="2" s="1"/>
  <c r="CK328" i="2"/>
  <c r="GV328" i="2"/>
  <c r="GW328" i="2" s="1"/>
  <c r="CE328" i="2"/>
  <c r="CM328" i="2"/>
  <c r="EH331" i="2"/>
  <c r="EC331" i="2"/>
  <c r="DY331" i="2"/>
  <c r="DZ331" i="2" s="1"/>
  <c r="EA331" i="2" s="1"/>
  <c r="DS331" i="2"/>
  <c r="DQ331" i="2"/>
  <c r="DR331" i="2" s="1"/>
  <c r="Z305" i="2"/>
  <c r="AA305" i="2"/>
  <c r="FR325" i="2" a="1"/>
  <c r="FR325" i="2" s="1"/>
  <c r="DY335" i="2"/>
  <c r="DZ335" i="2" s="1"/>
  <c r="EA335" i="2" s="1"/>
  <c r="DQ335" i="2"/>
  <c r="DR335" i="2" s="1"/>
  <c r="EH335" i="2"/>
  <c r="EC335" i="2"/>
  <c r="DS335" i="2"/>
  <c r="GV321" i="2"/>
  <c r="GW321" i="2" s="1"/>
  <c r="CK321" i="2"/>
  <c r="CM321" i="2"/>
  <c r="CE321" i="2"/>
  <c r="EG364" i="2"/>
  <c r="DV364" i="2"/>
  <c r="DW364" i="2" s="1"/>
  <c r="EI364" i="2"/>
  <c r="AA314" i="2"/>
  <c r="Z314" i="2"/>
  <c r="EC300" i="2"/>
  <c r="EH300" i="2"/>
  <c r="DY300" i="2"/>
  <c r="DZ300" i="2" s="1"/>
  <c r="EA300" i="2" s="1"/>
  <c r="DS300" i="2"/>
  <c r="DQ300" i="2"/>
  <c r="DR300" i="2" s="1"/>
  <c r="EC289" i="2"/>
  <c r="DY289" i="2"/>
  <c r="DZ289" i="2" s="1"/>
  <c r="EA289" i="2" s="1"/>
  <c r="DS289" i="2"/>
  <c r="DQ289" i="2"/>
  <c r="DR289" i="2" s="1"/>
  <c r="EH289" i="2"/>
  <c r="AA274" i="2"/>
  <c r="Z274" i="2"/>
  <c r="EC288" i="2"/>
  <c r="DS288" i="2"/>
  <c r="DQ288" i="2"/>
  <c r="DR288" i="2" s="1"/>
  <c r="EH288" i="2"/>
  <c r="DY288" i="2"/>
  <c r="DZ288" i="2" s="1"/>
  <c r="EA288" i="2" s="1"/>
  <c r="DS283" i="2"/>
  <c r="DQ283" i="2"/>
  <c r="DR283" i="2" s="1"/>
  <c r="EH283" i="2"/>
  <c r="EC283" i="2"/>
  <c r="DY283" i="2"/>
  <c r="DZ283" i="2" s="1"/>
  <c r="EA283" i="2" s="1"/>
  <c r="CK289" i="2"/>
  <c r="CM289" i="2"/>
  <c r="CE289" i="2"/>
  <c r="DV273" i="2"/>
  <c r="DW273" i="2" s="1"/>
  <c r="EI273" i="2"/>
  <c r="EG273" i="2"/>
  <c r="EI260" i="2"/>
  <c r="DV260" i="2"/>
  <c r="DW260" i="2" s="1"/>
  <c r="FZ311" i="2"/>
  <c r="GA311" i="2" s="1"/>
  <c r="EH311" i="2"/>
  <c r="EC311" i="2"/>
  <c r="DY311" i="2"/>
  <c r="DZ311" i="2" s="1"/>
  <c r="EA311" i="2" s="1"/>
  <c r="DS311" i="2"/>
  <c r="DQ311" i="2"/>
  <c r="DR311" i="2" s="1"/>
  <c r="DV392" i="2"/>
  <c r="DW392" i="2" s="1"/>
  <c r="EI392" i="2"/>
  <c r="EG392" i="2"/>
  <c r="DY250" i="2"/>
  <c r="DZ250" i="2" s="1"/>
  <c r="EA250" i="2" s="1"/>
  <c r="DQ250" i="2"/>
  <c r="DR250" i="2" s="1"/>
  <c r="EH250" i="2"/>
  <c r="EC250" i="2"/>
  <c r="DS250" i="2"/>
  <c r="DS232" i="2"/>
  <c r="DQ232" i="2"/>
  <c r="DR232" i="2" s="1"/>
  <c r="EH232" i="2"/>
  <c r="EC232" i="2"/>
  <c r="DY232" i="2"/>
  <c r="DZ232" i="2" s="1"/>
  <c r="EA232" i="2" s="1"/>
  <c r="CE238" i="2"/>
  <c r="CK238" i="2"/>
  <c r="CM238" i="2"/>
  <c r="GV238" i="2"/>
  <c r="GW238" i="2" s="1"/>
  <c r="EH292" i="2"/>
  <c r="DY292" i="2"/>
  <c r="DZ292" i="2" s="1"/>
  <c r="EA292" i="2" s="1"/>
  <c r="DS292" i="2"/>
  <c r="DQ292" i="2"/>
  <c r="DR292" i="2" s="1"/>
  <c r="EC292" i="2"/>
  <c r="EG222" i="2"/>
  <c r="EI222" i="2"/>
  <c r="DV222" i="2"/>
  <c r="DW222" i="2" s="1"/>
  <c r="DY240" i="2"/>
  <c r="DZ240" i="2" s="1"/>
  <c r="EA240" i="2" s="1"/>
  <c r="DS240" i="2"/>
  <c r="DQ240" i="2"/>
  <c r="DR240" i="2" s="1"/>
  <c r="EH240" i="2"/>
  <c r="EC240" i="2"/>
  <c r="EE240" i="2" s="1"/>
  <c r="EF240" i="2" s="1"/>
  <c r="EG240" i="2" s="1"/>
  <c r="AA187" i="2"/>
  <c r="Z187" i="2"/>
  <c r="CE208" i="2"/>
  <c r="GV208" i="2"/>
  <c r="GW208" i="2" s="1"/>
  <c r="CK208" i="2"/>
  <c r="CM208" i="2"/>
  <c r="CE203" i="2"/>
  <c r="GV203" i="2"/>
  <c r="GW203" i="2" s="1"/>
  <c r="CK203" i="2"/>
  <c r="CM203" i="2"/>
  <c r="EG180" i="2"/>
  <c r="DV180" i="2"/>
  <c r="DW180" i="2" s="1"/>
  <c r="EI180" i="2"/>
  <c r="CK162" i="2"/>
  <c r="CM162" i="2"/>
  <c r="CE162" i="2"/>
  <c r="GV162" i="2"/>
  <c r="GW162" i="2" s="1"/>
  <c r="EH197" i="2"/>
  <c r="EC197" i="2"/>
  <c r="DY197" i="2"/>
  <c r="DZ197" i="2" s="1"/>
  <c r="EA197" i="2" s="1"/>
  <c r="DS197" i="2"/>
  <c r="DQ197" i="2"/>
  <c r="DR197" i="2" s="1"/>
  <c r="FR183" i="2" a="1"/>
  <c r="FR183" i="2" s="1"/>
  <c r="CK164" i="2"/>
  <c r="CM164" i="2"/>
  <c r="CE164" i="2"/>
  <c r="GV164" i="2"/>
  <c r="GW164" i="2" s="1"/>
  <c r="DY145" i="2"/>
  <c r="DZ145" i="2" s="1"/>
  <c r="EA145" i="2" s="1"/>
  <c r="DS145" i="2"/>
  <c r="DQ145" i="2"/>
  <c r="DR145" i="2" s="1"/>
  <c r="EH145" i="2"/>
  <c r="EC145" i="2"/>
  <c r="CK228" i="2"/>
  <c r="CE228" i="2"/>
  <c r="GV228" i="2"/>
  <c r="FR140" i="2" a="1"/>
  <c r="FR140" i="2" s="1"/>
  <c r="GV145" i="2"/>
  <c r="GW145" i="2" s="1"/>
  <c r="DV85" i="2"/>
  <c r="DW85" i="2" s="1"/>
  <c r="EG85" i="2"/>
  <c r="EI85" i="2"/>
  <c r="Z86" i="2"/>
  <c r="AA86" i="2"/>
  <c r="FW131" i="2"/>
  <c r="FX131" i="2" s="1" a="1"/>
  <c r="FX131" i="2" s="1"/>
  <c r="FR131" i="2" a="1"/>
  <c r="FR131" i="2" s="1"/>
  <c r="AA43" i="2"/>
  <c r="Z43" i="2"/>
  <c r="FR120" i="2" a="1"/>
  <c r="FR120" i="2" s="1"/>
  <c r="FR89" i="2" a="1"/>
  <c r="FR89" i="2" s="1"/>
  <c r="AA66" i="2"/>
  <c r="Z66" i="2"/>
  <c r="GV43" i="2"/>
  <c r="GW43" i="2" s="1"/>
  <c r="GV91" i="2"/>
  <c r="GW91" i="2" s="1"/>
  <c r="DV58" i="2"/>
  <c r="DW58" i="2" s="1"/>
  <c r="EI58" i="2"/>
  <c r="EG58" i="2"/>
  <c r="DV59" i="2"/>
  <c r="DW59" i="2" s="1"/>
  <c r="EI59" i="2"/>
  <c r="EG59" i="2"/>
  <c r="DS100" i="2"/>
  <c r="DQ100" i="2"/>
  <c r="DR100" i="2" s="1"/>
  <c r="EH100" i="2"/>
  <c r="EC100" i="2"/>
  <c r="DY100" i="2"/>
  <c r="DZ100" i="2" s="1"/>
  <c r="EA100" i="2" s="1"/>
  <c r="DV53" i="2"/>
  <c r="DW53" i="2" s="1"/>
  <c r="EG53" i="2"/>
  <c r="EI53" i="2"/>
  <c r="FR66" i="2" a="1"/>
  <c r="FR66" i="2" s="1"/>
  <c r="FR14" i="2" a="1"/>
  <c r="FR14" i="2" s="1"/>
  <c r="CK55" i="2"/>
  <c r="CM55" i="2"/>
  <c r="CE55" i="2"/>
  <c r="DV68" i="2"/>
  <c r="DW68" i="2" s="1"/>
  <c r="EI68" i="2"/>
  <c r="EG68" i="2"/>
  <c r="EC42" i="2"/>
  <c r="DY42" i="2"/>
  <c r="DZ42" i="2" s="1"/>
  <c r="EA42" i="2" s="1"/>
  <c r="DS42" i="2"/>
  <c r="DQ42" i="2"/>
  <c r="DR42" i="2" s="1"/>
  <c r="EH42" i="2"/>
  <c r="CM391" i="2"/>
  <c r="CE391" i="2"/>
  <c r="CK391" i="2"/>
  <c r="Z302" i="2"/>
  <c r="AA302" i="2"/>
  <c r="AA71" i="2"/>
  <c r="Z71" i="2"/>
  <c r="CM389" i="2"/>
  <c r="CK389" i="2"/>
  <c r="CE389" i="2"/>
  <c r="Z309" i="2"/>
  <c r="AA309" i="2"/>
  <c r="DY380" i="2"/>
  <c r="DZ380" i="2" s="1"/>
  <c r="EA380" i="2" s="1"/>
  <c r="DS380" i="2"/>
  <c r="DQ380" i="2"/>
  <c r="DR380" i="2" s="1"/>
  <c r="EH380" i="2"/>
  <c r="EC380" i="2"/>
  <c r="EH370" i="2"/>
  <c r="DY370" i="2"/>
  <c r="DZ370" i="2" s="1"/>
  <c r="EA370" i="2" s="1"/>
  <c r="EC370" i="2"/>
  <c r="DS370" i="2"/>
  <c r="DQ370" i="2"/>
  <c r="DR370" i="2" s="1"/>
  <c r="CE348" i="2"/>
  <c r="GV348" i="2"/>
  <c r="GW348" i="2" s="1"/>
  <c r="CK348" i="2"/>
  <c r="CM348" i="2"/>
  <c r="CK326" i="2"/>
  <c r="GV326" i="2"/>
  <c r="GW326" i="2" s="1"/>
  <c r="CM326" i="2"/>
  <c r="CE326" i="2"/>
  <c r="EI329" i="2"/>
  <c r="EG329" i="2"/>
  <c r="DV329" i="2"/>
  <c r="DW329" i="2" s="1"/>
  <c r="DS279" i="2"/>
  <c r="EH279" i="2"/>
  <c r="EC279" i="2"/>
  <c r="DY279" i="2"/>
  <c r="DZ279" i="2" s="1"/>
  <c r="EA279" i="2" s="1"/>
  <c r="DQ279" i="2"/>
  <c r="DR279" i="2" s="1"/>
  <c r="CE283" i="2"/>
  <c r="CK283" i="2"/>
  <c r="CM283" i="2"/>
  <c r="EI288" i="2"/>
  <c r="EG288" i="2"/>
  <c r="DV288" i="2"/>
  <c r="DW288" i="2" s="1"/>
  <c r="DV283" i="2"/>
  <c r="DW283" i="2" s="1"/>
  <c r="EI283" i="2"/>
  <c r="EG283" i="2"/>
  <c r="AA277" i="2"/>
  <c r="Z277" i="2"/>
  <c r="EH273" i="2"/>
  <c r="DY273" i="2"/>
  <c r="DZ273" i="2" s="1"/>
  <c r="EA273" i="2" s="1"/>
  <c r="DS273" i="2"/>
  <c r="DQ273" i="2"/>
  <c r="DR273" i="2" s="1"/>
  <c r="EC273" i="2"/>
  <c r="DQ260" i="2"/>
  <c r="DR260" i="2" s="1"/>
  <c r="EH260" i="2"/>
  <c r="EC260" i="2"/>
  <c r="EE260" i="2" s="1"/>
  <c r="EF260" i="2" s="1"/>
  <c r="EG260" i="2" s="1"/>
  <c r="DY260" i="2"/>
  <c r="DZ260" i="2" s="1"/>
  <c r="EA260" i="2" s="1"/>
  <c r="DS260" i="2"/>
  <c r="Z128" i="2"/>
  <c r="AA128" i="2"/>
  <c r="FO167" i="2"/>
  <c r="EI250" i="2"/>
  <c r="EG250" i="2"/>
  <c r="DV250" i="2"/>
  <c r="DW250" i="2" s="1"/>
  <c r="DS231" i="2"/>
  <c r="DQ231" i="2"/>
  <c r="DR231" i="2" s="1"/>
  <c r="EH231" i="2"/>
  <c r="EC231" i="2"/>
  <c r="DY231" i="2"/>
  <c r="DZ231" i="2" s="1"/>
  <c r="EA231" i="2" s="1"/>
  <c r="DY257" i="2"/>
  <c r="DZ257" i="2" s="1"/>
  <c r="EA257" i="2" s="1"/>
  <c r="DS257" i="2"/>
  <c r="DQ257" i="2"/>
  <c r="DR257" i="2" s="1"/>
  <c r="EH257" i="2"/>
  <c r="EC257" i="2"/>
  <c r="CK234" i="2"/>
  <c r="CM234" i="2"/>
  <c r="GV234" i="2"/>
  <c r="GW234" i="2" s="1"/>
  <c r="CE234" i="2"/>
  <c r="DV292" i="2"/>
  <c r="DW292" i="2" s="1"/>
  <c r="EI292" i="2"/>
  <c r="EG292" i="2"/>
  <c r="EI240" i="2"/>
  <c r="DV240" i="2"/>
  <c r="DW240" i="2" s="1"/>
  <c r="GV213" i="2"/>
  <c r="GW213" i="2" s="1"/>
  <c r="AA186" i="2"/>
  <c r="Z186" i="2"/>
  <c r="FR155" i="2" a="1"/>
  <c r="FR155" i="2" s="1"/>
  <c r="DY144" i="2"/>
  <c r="DZ144" i="2" s="1"/>
  <c r="EA144" i="2" s="1"/>
  <c r="DS144" i="2"/>
  <c r="DQ144" i="2"/>
  <c r="DR144" i="2" s="1"/>
  <c r="EH144" i="2"/>
  <c r="EC144" i="2"/>
  <c r="CK160" i="2"/>
  <c r="CM160" i="2"/>
  <c r="CE160" i="2"/>
  <c r="GV160" i="2"/>
  <c r="GW160" i="2" s="1"/>
  <c r="FR143" i="2" a="1"/>
  <c r="FR143" i="2" s="1"/>
  <c r="GV136" i="2"/>
  <c r="GW136" i="2" s="1"/>
  <c r="AA109" i="2"/>
  <c r="Z109" i="2"/>
  <c r="Z166" i="2"/>
  <c r="AA166" i="2"/>
  <c r="FR117" i="2" a="1"/>
  <c r="FR117" i="2" s="1"/>
  <c r="AA101" i="2"/>
  <c r="Z101" i="2"/>
  <c r="GV121" i="2"/>
  <c r="GW121" i="2" s="1"/>
  <c r="DV134" i="2"/>
  <c r="DW134" i="2" s="1"/>
  <c r="EG134" i="2"/>
  <c r="EI134" i="2"/>
  <c r="CE79" i="2"/>
  <c r="CM79" i="2"/>
  <c r="CK79" i="2"/>
  <c r="FR79" i="2" a="1"/>
  <c r="FR79" i="2" s="1"/>
  <c r="EG80" i="2"/>
  <c r="DV80" i="2"/>
  <c r="DW80" i="2" s="1"/>
  <c r="EI80" i="2"/>
  <c r="FR65" i="2" a="1"/>
  <c r="FR65" i="2" s="1"/>
  <c r="EC66" i="2"/>
  <c r="DY66" i="2"/>
  <c r="DZ66" i="2" s="1"/>
  <c r="EA66" i="2" s="1"/>
  <c r="DS66" i="2"/>
  <c r="DQ66" i="2"/>
  <c r="DR66" i="2" s="1"/>
  <c r="EH66" i="2"/>
  <c r="GV55" i="2"/>
  <c r="GW55" i="2" s="1"/>
  <c r="GV72" i="2"/>
  <c r="GW72" i="2" s="1"/>
  <c r="EI100" i="2"/>
  <c r="EG100" i="2"/>
  <c r="DV100" i="2"/>
  <c r="DW100" i="2" s="1"/>
  <c r="CK64" i="2"/>
  <c r="CE64" i="2"/>
  <c r="GV64" i="2"/>
  <c r="EG49" i="2"/>
  <c r="DV49" i="2"/>
  <c r="DW49" i="2" s="1"/>
  <c r="EI49" i="2"/>
  <c r="EG42" i="2"/>
  <c r="DV42" i="2"/>
  <c r="DW42" i="2" s="1"/>
  <c r="EI42" i="2"/>
  <c r="CK369" i="2"/>
  <c r="CM369" i="2"/>
  <c r="GV369" i="2"/>
  <c r="GW369" i="2" s="1"/>
  <c r="CE369" i="2"/>
  <c r="CK355" i="2"/>
  <c r="CM355" i="2"/>
  <c r="CE355" i="2"/>
  <c r="CK222" i="2"/>
  <c r="CM222" i="2"/>
  <c r="GV222" i="2"/>
  <c r="GW222" i="2" s="1"/>
  <c r="CE222" i="2"/>
  <c r="DY18" i="2"/>
  <c r="DZ18" i="2" s="1"/>
  <c r="EA18" i="2" s="1"/>
  <c r="EH18" i="2"/>
  <c r="EC18" i="2"/>
  <c r="DS18" i="2"/>
  <c r="DQ18" i="2"/>
  <c r="DR18" i="2" s="1"/>
  <c r="CK376" i="2"/>
  <c r="CE376" i="2"/>
  <c r="CM376" i="2"/>
  <c r="GV376" i="2"/>
  <c r="GW376" i="2" s="1"/>
  <c r="DV192" i="2"/>
  <c r="DW192" i="2" s="1"/>
  <c r="EI192" i="2"/>
  <c r="EG192" i="2"/>
  <c r="GV391" i="2"/>
  <c r="EC375" i="2"/>
  <c r="EH375" i="2"/>
  <c r="DY375" i="2"/>
  <c r="DZ375" i="2" s="1"/>
  <c r="EA375" i="2" s="1"/>
  <c r="DS375" i="2"/>
  <c r="DQ375" i="2"/>
  <c r="DR375" i="2" s="1"/>
  <c r="EC393" i="2"/>
  <c r="DY393" i="2"/>
  <c r="DZ393" i="2" s="1"/>
  <c r="EA393" i="2" s="1"/>
  <c r="DQ393" i="2"/>
  <c r="DR393" i="2" s="1"/>
  <c r="EH393" i="2"/>
  <c r="DS393" i="2"/>
  <c r="CK378" i="2"/>
  <c r="CE378" i="2"/>
  <c r="GV378" i="2"/>
  <c r="GW378" i="2" s="1"/>
  <c r="CM378" i="2"/>
  <c r="CM384" i="2"/>
  <c r="GV384" i="2"/>
  <c r="GW384" i="2" s="1"/>
  <c r="CE384" i="2"/>
  <c r="CK384" i="2"/>
  <c r="EC383" i="2"/>
  <c r="EE383" i="2" s="1"/>
  <c r="EF383" i="2" s="1"/>
  <c r="DY383" i="2"/>
  <c r="DZ383" i="2" s="1"/>
  <c r="EA383" i="2" s="1"/>
  <c r="EH383" i="2"/>
  <c r="DS383" i="2"/>
  <c r="DQ383" i="2"/>
  <c r="DR383" i="2" s="1"/>
  <c r="DV383" i="2"/>
  <c r="DW383" i="2" s="1"/>
  <c r="EG383" i="2"/>
  <c r="EI383" i="2"/>
  <c r="DV369" i="2"/>
  <c r="DW369" i="2" s="1"/>
  <c r="EI369" i="2"/>
  <c r="EG369" i="2"/>
  <c r="FW354" i="2"/>
  <c r="FX354" i="2" s="1" a="1"/>
  <c r="FX354" i="2" s="1"/>
  <c r="FR354" i="2" a="1"/>
  <c r="FR354" i="2" s="1"/>
  <c r="FR349" i="2" a="1"/>
  <c r="FR349" i="2" s="1"/>
  <c r="GV386" i="2"/>
  <c r="EC340" i="2"/>
  <c r="DY340" i="2"/>
  <c r="DZ340" i="2" s="1"/>
  <c r="EA340" i="2" s="1"/>
  <c r="DS340" i="2"/>
  <c r="EH340" i="2"/>
  <c r="DQ340" i="2"/>
  <c r="DR340" i="2" s="1"/>
  <c r="EC342" i="2"/>
  <c r="DY342" i="2"/>
  <c r="DZ342" i="2" s="1"/>
  <c r="EA342" i="2" s="1"/>
  <c r="DS342" i="2"/>
  <c r="EH342" i="2"/>
  <c r="DQ342" i="2"/>
  <c r="DR342" i="2" s="1"/>
  <c r="EH329" i="2"/>
  <c r="EC329" i="2"/>
  <c r="DY329" i="2"/>
  <c r="DZ329" i="2" s="1"/>
  <c r="EA329" i="2" s="1"/>
  <c r="DS329" i="2"/>
  <c r="DQ329" i="2"/>
  <c r="DR329" i="2" s="1"/>
  <c r="EC298" i="2"/>
  <c r="DY298" i="2"/>
  <c r="DZ298" i="2" s="1"/>
  <c r="EA298" i="2" s="1"/>
  <c r="DS298" i="2"/>
  <c r="DQ298" i="2"/>
  <c r="DR298" i="2" s="1"/>
  <c r="EH298" i="2"/>
  <c r="DS278" i="2"/>
  <c r="EH278" i="2"/>
  <c r="EC278" i="2"/>
  <c r="DY278" i="2"/>
  <c r="DZ278" i="2" s="1"/>
  <c r="EA278" i="2" s="1"/>
  <c r="DQ278" i="2"/>
  <c r="DR278" i="2" s="1"/>
  <c r="FR296" i="2" a="1"/>
  <c r="FR296" i="2" s="1"/>
  <c r="CE282" i="2"/>
  <c r="CK282" i="2"/>
  <c r="CM282" i="2"/>
  <c r="AA278" i="2"/>
  <c r="Z278" i="2"/>
  <c r="AA272" i="2"/>
  <c r="Z272" i="2"/>
  <c r="DS280" i="2"/>
  <c r="DQ280" i="2"/>
  <c r="DR280" i="2" s="1"/>
  <c r="EH280" i="2"/>
  <c r="EC280" i="2"/>
  <c r="DY280" i="2"/>
  <c r="DZ280" i="2" s="1"/>
  <c r="EA280" i="2" s="1"/>
  <c r="AA283" i="2"/>
  <c r="Z283" i="2"/>
  <c r="GV273" i="2"/>
  <c r="GW273" i="2" s="1"/>
  <c r="GV311" i="2"/>
  <c r="CE248" i="2"/>
  <c r="CM248" i="2"/>
  <c r="GV248" i="2"/>
  <c r="GW248" i="2" s="1"/>
  <c r="CK248" i="2"/>
  <c r="DS230" i="2"/>
  <c r="DQ230" i="2"/>
  <c r="DR230" i="2" s="1"/>
  <c r="EH230" i="2"/>
  <c r="EC230" i="2"/>
  <c r="DY230" i="2"/>
  <c r="DZ230" i="2" s="1"/>
  <c r="EA230" i="2" s="1"/>
  <c r="CE245" i="2"/>
  <c r="CK245" i="2"/>
  <c r="CM245" i="2"/>
  <c r="GV245" i="2"/>
  <c r="GW245" i="2" s="1"/>
  <c r="DV257" i="2"/>
  <c r="DW257" i="2" s="1"/>
  <c r="EI257" i="2"/>
  <c r="EG257" i="2"/>
  <c r="CK233" i="2"/>
  <c r="CM233" i="2"/>
  <c r="CE233" i="2"/>
  <c r="GV233" i="2"/>
  <c r="GW233" i="2" s="1"/>
  <c r="DY243" i="2"/>
  <c r="DZ243" i="2" s="1"/>
  <c r="EA243" i="2" s="1"/>
  <c r="EC243" i="2"/>
  <c r="DS243" i="2"/>
  <c r="DQ243" i="2"/>
  <c r="DR243" i="2" s="1"/>
  <c r="EH243" i="2"/>
  <c r="EH221" i="2"/>
  <c r="DY221" i="2"/>
  <c r="DZ221" i="2" s="1"/>
  <c r="EA221" i="2" s="1"/>
  <c r="DQ221" i="2"/>
  <c r="DR221" i="2" s="1"/>
  <c r="EC221" i="2"/>
  <c r="DS221" i="2"/>
  <c r="AA185" i="2"/>
  <c r="Z185" i="2"/>
  <c r="FR181" i="2" a="1"/>
  <c r="FR181" i="2" s="1"/>
  <c r="GV180" i="2"/>
  <c r="GW180" i="2" s="1"/>
  <c r="FR197" i="2" a="1"/>
  <c r="FR197" i="2" s="1"/>
  <c r="CE174" i="2"/>
  <c r="CK174" i="2"/>
  <c r="CM174" i="2"/>
  <c r="GV174" i="2"/>
  <c r="GW174" i="2" s="1"/>
  <c r="CK157" i="2"/>
  <c r="CE157" i="2"/>
  <c r="GV157" i="2"/>
  <c r="GW157" i="2" s="1"/>
  <c r="CM157" i="2"/>
  <c r="CK158" i="2"/>
  <c r="CM158" i="2"/>
  <c r="CE158" i="2"/>
  <c r="GV158" i="2"/>
  <c r="GW158" i="2" s="1"/>
  <c r="FR157" i="2" a="1"/>
  <c r="FR157" i="2" s="1"/>
  <c r="CK11" i="2"/>
  <c r="CM11" i="2"/>
  <c r="CE11" i="2"/>
  <c r="GV11" i="2"/>
  <c r="GW11" i="2" s="1"/>
  <c r="GV149" i="2"/>
  <c r="GW149" i="2" s="1"/>
  <c r="DY143" i="2"/>
  <c r="DZ143" i="2" s="1"/>
  <c r="EA143" i="2" s="1"/>
  <c r="DS143" i="2"/>
  <c r="DQ143" i="2"/>
  <c r="DR143" i="2" s="1"/>
  <c r="EH143" i="2"/>
  <c r="EC143" i="2"/>
  <c r="FW109" i="2"/>
  <c r="FX109" i="2" s="1" a="1"/>
  <c r="FX109" i="2" s="1"/>
  <c r="FR109" i="2" a="1"/>
  <c r="FR109" i="2" s="1"/>
  <c r="EH131" i="2"/>
  <c r="EC131" i="2"/>
  <c r="DY131" i="2"/>
  <c r="DZ131" i="2" s="1"/>
  <c r="EA131" i="2" s="1"/>
  <c r="DS131" i="2"/>
  <c r="DQ131" i="2"/>
  <c r="DR131" i="2" s="1"/>
  <c r="CM106" i="2"/>
  <c r="CK106" i="2"/>
  <c r="CE106" i="2"/>
  <c r="GV106" i="2"/>
  <c r="GW106" i="2" s="1"/>
  <c r="AA100" i="2"/>
  <c r="Z100" i="2"/>
  <c r="AA110" i="2"/>
  <c r="Z110" i="2"/>
  <c r="AA108" i="2"/>
  <c r="Z108" i="2"/>
  <c r="FR84" i="2" a="1"/>
  <c r="FR84" i="2" s="1"/>
  <c r="DY134" i="2"/>
  <c r="DZ134" i="2" s="1"/>
  <c r="EA134" i="2" s="1"/>
  <c r="EH134" i="2"/>
  <c r="EC134" i="2"/>
  <c r="DS134" i="2"/>
  <c r="DQ134" i="2"/>
  <c r="DR134" i="2" s="1"/>
  <c r="DS313" i="2"/>
  <c r="DQ313" i="2"/>
  <c r="DR313" i="2" s="1"/>
  <c r="EH313" i="2"/>
  <c r="EC313" i="2"/>
  <c r="DY313" i="2"/>
  <c r="DZ313" i="2" s="1"/>
  <c r="EA313" i="2" s="1"/>
  <c r="GV313" i="2"/>
  <c r="GW313" i="2" s="1"/>
  <c r="GV131" i="2"/>
  <c r="GW131" i="2" s="1"/>
  <c r="EC161" i="2"/>
  <c r="DY161" i="2"/>
  <c r="DZ161" i="2" s="1"/>
  <c r="EA161" i="2" s="1"/>
  <c r="DS161" i="2"/>
  <c r="DQ161" i="2"/>
  <c r="DR161" i="2" s="1"/>
  <c r="EH161" i="2"/>
  <c r="GV66" i="2"/>
  <c r="GW66" i="2" s="1"/>
  <c r="FR70" i="2" a="1"/>
  <c r="FR70" i="2" s="1"/>
  <c r="GV86" i="2"/>
  <c r="GW86" i="2" s="1"/>
  <c r="EH49" i="2"/>
  <c r="EC49" i="2"/>
  <c r="DY49" i="2"/>
  <c r="DZ49" i="2" s="1"/>
  <c r="EA49" i="2" s="1"/>
  <c r="DS49" i="2"/>
  <c r="DQ49" i="2"/>
  <c r="DR49" i="2" s="1"/>
  <c r="AA52" i="2"/>
  <c r="Z52" i="2"/>
  <c r="GV31" i="2"/>
  <c r="GW31" i="2" s="1"/>
  <c r="GV17" i="2"/>
  <c r="GW17" i="2" s="1"/>
  <c r="FR46" i="2" a="1"/>
  <c r="FR46" i="2" s="1"/>
  <c r="CK375" i="2"/>
  <c r="CE375" i="2"/>
  <c r="GV375" i="2"/>
  <c r="GW375" i="2" s="1"/>
  <c r="CM375" i="2"/>
  <c r="DV281" i="2"/>
  <c r="DW281" i="2" s="1"/>
  <c r="EI281" i="2"/>
  <c r="EG281" i="2"/>
  <c r="DY120" i="2"/>
  <c r="DZ120" i="2" s="1"/>
  <c r="EA120" i="2" s="1"/>
  <c r="DS120" i="2"/>
  <c r="DQ120" i="2"/>
  <c r="DR120" i="2" s="1"/>
  <c r="EH120" i="2"/>
  <c r="EC120" i="2"/>
  <c r="DV189" i="2"/>
  <c r="DW189" i="2" s="1"/>
  <c r="EI189" i="2"/>
  <c r="EG189" i="2"/>
  <c r="FR373" i="2" a="1"/>
  <c r="FR373" i="2" s="1"/>
  <c r="DV387" i="2"/>
  <c r="DW387" i="2" s="1"/>
  <c r="EG387" i="2"/>
  <c r="EI387" i="2"/>
  <c r="EH369" i="2"/>
  <c r="DY369" i="2"/>
  <c r="DZ369" i="2" s="1"/>
  <c r="EA369" i="2" s="1"/>
  <c r="EC369" i="2"/>
  <c r="DS369" i="2"/>
  <c r="DQ369" i="2"/>
  <c r="DR369" i="2" s="1"/>
  <c r="FR348" i="2" a="1"/>
  <c r="FR348" i="2" s="1"/>
  <c r="CK337" i="2"/>
  <c r="CM337" i="2"/>
  <c r="CE337" i="2"/>
  <c r="GV337" i="2"/>
  <c r="GW337" i="2" s="1"/>
  <c r="FR341" i="2" a="1"/>
  <c r="FR341" i="2" s="1"/>
  <c r="EG340" i="2"/>
  <c r="DV340" i="2"/>
  <c r="DW340" i="2" s="1"/>
  <c r="EI340" i="2"/>
  <c r="EC341" i="2"/>
  <c r="DY341" i="2"/>
  <c r="DZ341" i="2" s="1"/>
  <c r="EA341" i="2" s="1"/>
  <c r="DS341" i="2"/>
  <c r="DQ341" i="2"/>
  <c r="DR341" i="2" s="1"/>
  <c r="EH341" i="2"/>
  <c r="EI319" i="2"/>
  <c r="EG319" i="2"/>
  <c r="DV319" i="2"/>
  <c r="DW319" i="2" s="1"/>
  <c r="Z303" i="2"/>
  <c r="AA303" i="2"/>
  <c r="EC297" i="2"/>
  <c r="DY297" i="2"/>
  <c r="DZ297" i="2" s="1"/>
  <c r="EA297" i="2" s="1"/>
  <c r="DS297" i="2"/>
  <c r="DQ297" i="2"/>
  <c r="DR297" i="2" s="1"/>
  <c r="EH297" i="2"/>
  <c r="FR310" i="2" a="1"/>
  <c r="FR310" i="2" s="1"/>
  <c r="EC306" i="2"/>
  <c r="DY306" i="2"/>
  <c r="DZ306" i="2" s="1"/>
  <c r="EA306" i="2" s="1"/>
  <c r="DS306" i="2"/>
  <c r="DQ306" i="2"/>
  <c r="DR306" i="2" s="1"/>
  <c r="EH306" i="2"/>
  <c r="EC304" i="2"/>
  <c r="DY304" i="2"/>
  <c r="DZ304" i="2" s="1"/>
  <c r="EA304" i="2" s="1"/>
  <c r="DS304" i="2"/>
  <c r="EH304" i="2"/>
  <c r="DQ304" i="2"/>
  <c r="DR304" i="2" s="1"/>
  <c r="CE281" i="2"/>
  <c r="CK281" i="2"/>
  <c r="CM281" i="2"/>
  <c r="AA271" i="2"/>
  <c r="Z271" i="2"/>
  <c r="DV280" i="2"/>
  <c r="DW280" i="2" s="1"/>
  <c r="EI280" i="2"/>
  <c r="EG280" i="2"/>
  <c r="GV287" i="2"/>
  <c r="GW287" i="2" s="1"/>
  <c r="FW274" i="2"/>
  <c r="FX274" i="2" s="1" a="1"/>
  <c r="FX274" i="2" s="1"/>
  <c r="FR274" i="2" a="1"/>
  <c r="FR274" i="2" s="1"/>
  <c r="AA282" i="2"/>
  <c r="Z282" i="2"/>
  <c r="AA275" i="2"/>
  <c r="Z275" i="2"/>
  <c r="FW276" i="2"/>
  <c r="FX276" i="2" s="1" a="1"/>
  <c r="FX276" i="2" s="1"/>
  <c r="FR276" i="2" a="1"/>
  <c r="FR276" i="2" s="1"/>
  <c r="CK261" i="2"/>
  <c r="CE261" i="2"/>
  <c r="GV261" i="2"/>
  <c r="CM261" i="2"/>
  <c r="FR239" i="2" a="1"/>
  <c r="FR239" i="2" s="1"/>
  <c r="DY167" i="2"/>
  <c r="DZ167" i="2" s="1"/>
  <c r="EA167" i="2" s="1"/>
  <c r="DS167" i="2"/>
  <c r="DQ167" i="2"/>
  <c r="DR167" i="2" s="1"/>
  <c r="EH167" i="2"/>
  <c r="EC167" i="2"/>
  <c r="CE237" i="2"/>
  <c r="CM237" i="2"/>
  <c r="GV237" i="2"/>
  <c r="GW237" i="2" s="1"/>
  <c r="CK237" i="2"/>
  <c r="CK232" i="2"/>
  <c r="CM232" i="2"/>
  <c r="CE232" i="2"/>
  <c r="GV232" i="2"/>
  <c r="GW232" i="2" s="1"/>
  <c r="GV167" i="2"/>
  <c r="CK292" i="2"/>
  <c r="GV292" i="2"/>
  <c r="CE292" i="2"/>
  <c r="EG221" i="2"/>
  <c r="EI221" i="2"/>
  <c r="DV221" i="2"/>
  <c r="DW221" i="2" s="1"/>
  <c r="AA184" i="2"/>
  <c r="Z184" i="2"/>
  <c r="FR208" i="2" a="1"/>
  <c r="FR208" i="2" s="1"/>
  <c r="FR209" i="2" a="1"/>
  <c r="FR209" i="2" s="1"/>
  <c r="EC201" i="2"/>
  <c r="DY201" i="2"/>
  <c r="DZ201" i="2" s="1"/>
  <c r="EA201" i="2" s="1"/>
  <c r="DQ201" i="2"/>
  <c r="DR201" i="2" s="1"/>
  <c r="EH201" i="2"/>
  <c r="DS201" i="2"/>
  <c r="FR154" i="2" a="1"/>
  <c r="FR154" i="2" s="1"/>
  <c r="EI160" i="2"/>
  <c r="EG160" i="2"/>
  <c r="DV160" i="2"/>
  <c r="DW160" i="2" s="1"/>
  <c r="DY142" i="2"/>
  <c r="DZ142" i="2" s="1"/>
  <c r="EA142" i="2" s="1"/>
  <c r="DS142" i="2"/>
  <c r="DQ142" i="2"/>
  <c r="DR142" i="2" s="1"/>
  <c r="EH142" i="2"/>
  <c r="EC142" i="2"/>
  <c r="FR142" i="2" a="1"/>
  <c r="FR142" i="2" s="1"/>
  <c r="FR149" i="2" a="1"/>
  <c r="FR149" i="2" s="1"/>
  <c r="FR11" i="2" a="1"/>
  <c r="FR11" i="2" s="1"/>
  <c r="DV131" i="2"/>
  <c r="DW131" i="2" s="1"/>
  <c r="EG131" i="2"/>
  <c r="EI131" i="2"/>
  <c r="DV113" i="2"/>
  <c r="DW113" i="2" s="1"/>
  <c r="EG113" i="2"/>
  <c r="EI113" i="2"/>
  <c r="AA99" i="2"/>
  <c r="Z99" i="2"/>
  <c r="FR115" i="2" a="1"/>
  <c r="FR115" i="2" s="1"/>
  <c r="DS103" i="2"/>
  <c r="DQ103" i="2"/>
  <c r="DR103" i="2" s="1"/>
  <c r="EH103" i="2"/>
  <c r="EC103" i="2"/>
  <c r="DY103" i="2"/>
  <c r="DZ103" i="2" s="1"/>
  <c r="EA103" i="2" s="1"/>
  <c r="EG87" i="2"/>
  <c r="DV87" i="2"/>
  <c r="DW87" i="2" s="1"/>
  <c r="EI87" i="2"/>
  <c r="EI313" i="2"/>
  <c r="EG313" i="2"/>
  <c r="DV313" i="2"/>
  <c r="DW313" i="2" s="1"/>
  <c r="EG97" i="2"/>
  <c r="DV97" i="2"/>
  <c r="DW97" i="2" s="1"/>
  <c r="EI97" i="2"/>
  <c r="EG89" i="2"/>
  <c r="DV89" i="2"/>
  <c r="DW89" i="2" s="1"/>
  <c r="EI89" i="2"/>
  <c r="DV161" i="2"/>
  <c r="DW161" i="2" s="1"/>
  <c r="EI161" i="2"/>
  <c r="EG161" i="2"/>
  <c r="GV61" i="2"/>
  <c r="GW61" i="2" s="1"/>
  <c r="EC371" i="2"/>
  <c r="DQ371" i="2"/>
  <c r="DR371" i="2" s="1"/>
  <c r="EH371" i="2"/>
  <c r="DY371" i="2"/>
  <c r="DZ371" i="2" s="1"/>
  <c r="EA371" i="2" s="1"/>
  <c r="DS371" i="2"/>
  <c r="DY267" i="2"/>
  <c r="DZ267" i="2" s="1"/>
  <c r="EA267" i="2" s="1"/>
  <c r="DS267" i="2"/>
  <c r="DQ267" i="2"/>
  <c r="DR267" i="2" s="1"/>
  <c r="EH267" i="2"/>
  <c r="EC267" i="2"/>
  <c r="DV132" i="2"/>
  <c r="DW132" i="2" s="1"/>
  <c r="EG132" i="2"/>
  <c r="EI132" i="2"/>
  <c r="EC71" i="2"/>
  <c r="DY71" i="2"/>
  <c r="DZ71" i="2" s="1"/>
  <c r="EA71" i="2" s="1"/>
  <c r="DS71" i="2"/>
  <c r="DQ71" i="2"/>
  <c r="DR71" i="2" s="1"/>
  <c r="EH71" i="2"/>
  <c r="FR56" i="2" a="1"/>
  <c r="FR56" i="2" s="1"/>
  <c r="FW56" i="2"/>
  <c r="FX56" i="2" s="1" a="1"/>
  <c r="FX56" i="2" s="1"/>
  <c r="EC305" i="2"/>
  <c r="DY305" i="2"/>
  <c r="DZ305" i="2" s="1"/>
  <c r="EA305" i="2" s="1"/>
  <c r="DS305" i="2"/>
  <c r="EH305" i="2"/>
  <c r="DQ305" i="2"/>
  <c r="DR305" i="2" s="1"/>
  <c r="DS290" i="2"/>
  <c r="EC290" i="2"/>
  <c r="DY290" i="2"/>
  <c r="DZ290" i="2" s="1"/>
  <c r="EA290" i="2" s="1"/>
  <c r="DQ290" i="2"/>
  <c r="DR290" i="2" s="1"/>
  <c r="EH290" i="2"/>
  <c r="EI255" i="2"/>
  <c r="EG255" i="2"/>
  <c r="DV255" i="2"/>
  <c r="DW255" i="2" s="1"/>
  <c r="CM382" i="2"/>
  <c r="CE382" i="2"/>
  <c r="CK382" i="2"/>
  <c r="CK367" i="2"/>
  <c r="CM367" i="2"/>
  <c r="CE367" i="2"/>
  <c r="DY372" i="2"/>
  <c r="DZ372" i="2" s="1"/>
  <c r="EA372" i="2" s="1"/>
  <c r="DQ372" i="2"/>
  <c r="DR372" i="2" s="1"/>
  <c r="EH372" i="2"/>
  <c r="EC372" i="2"/>
  <c r="DS372" i="2"/>
  <c r="GV368" i="2"/>
  <c r="GW368" i="2" s="1"/>
  <c r="EC382" i="2"/>
  <c r="DY382" i="2"/>
  <c r="DZ382" i="2" s="1"/>
  <c r="EA382" i="2" s="1"/>
  <c r="DS382" i="2"/>
  <c r="DQ382" i="2"/>
  <c r="DR382" i="2" s="1"/>
  <c r="EH382" i="2"/>
  <c r="EC387" i="2"/>
  <c r="DY387" i="2"/>
  <c r="DZ387" i="2" s="1"/>
  <c r="EA387" i="2" s="1"/>
  <c r="DQ387" i="2"/>
  <c r="DR387" i="2" s="1"/>
  <c r="EH387" i="2"/>
  <c r="DS387" i="2"/>
  <c r="DV391" i="2"/>
  <c r="DW391" i="2" s="1"/>
  <c r="EG391" i="2"/>
  <c r="EI391" i="2"/>
  <c r="EG360" i="2"/>
  <c r="DV360" i="2"/>
  <c r="DW360" i="2" s="1"/>
  <c r="EI360" i="2"/>
  <c r="EC388" i="2"/>
  <c r="DY388" i="2"/>
  <c r="DZ388" i="2" s="1"/>
  <c r="EA388" i="2" s="1"/>
  <c r="DQ388" i="2"/>
  <c r="DR388" i="2" s="1"/>
  <c r="DS388" i="2"/>
  <c r="EH388" i="2"/>
  <c r="CM371" i="2"/>
  <c r="CK371" i="2"/>
  <c r="GV371" i="2"/>
  <c r="GW371" i="2" s="1"/>
  <c r="CE371" i="2"/>
  <c r="DV388" i="2"/>
  <c r="DW388" i="2" s="1"/>
  <c r="EG388" i="2"/>
  <c r="EI388" i="2"/>
  <c r="DV368" i="2"/>
  <c r="DW368" i="2" s="1"/>
  <c r="EI368" i="2"/>
  <c r="EG368" i="2"/>
  <c r="EG353" i="2"/>
  <c r="DV353" i="2"/>
  <c r="DW353" i="2" s="1"/>
  <c r="EI353" i="2"/>
  <c r="FK344" i="2"/>
  <c r="FR346" i="2" a="1"/>
  <c r="FR346" i="2" s="1"/>
  <c r="CE347" i="2"/>
  <c r="CK347" i="2"/>
  <c r="CM347" i="2"/>
  <c r="GV347" i="2"/>
  <c r="GW347" i="2" s="1"/>
  <c r="EG341" i="2"/>
  <c r="DV341" i="2"/>
  <c r="DW341" i="2" s="1"/>
  <c r="EI341" i="2"/>
  <c r="FW332" i="2"/>
  <c r="FX332" i="2" s="1" a="1"/>
  <c r="FX332" i="2" s="1"/>
  <c r="FR332" i="2" a="1"/>
  <c r="FR332" i="2" s="1"/>
  <c r="EI318" i="2"/>
  <c r="EG318" i="2"/>
  <c r="DV318" i="2"/>
  <c r="DW318" i="2" s="1"/>
  <c r="CK317" i="2"/>
  <c r="CM317" i="2"/>
  <c r="CE317" i="2"/>
  <c r="GV317" i="2"/>
  <c r="GW317" i="2" s="1"/>
  <c r="CM315" i="2"/>
  <c r="CE315" i="2"/>
  <c r="GV315" i="2"/>
  <c r="GW315" i="2" s="1"/>
  <c r="CK315" i="2"/>
  <c r="FR309" i="2" a="1"/>
  <c r="FR309" i="2" s="1"/>
  <c r="AA294" i="2"/>
  <c r="Z294" i="2"/>
  <c r="EG306" i="2"/>
  <c r="DV306" i="2"/>
  <c r="DW306" i="2" s="1"/>
  <c r="EI306" i="2"/>
  <c r="EC264" i="2"/>
  <c r="DY264" i="2"/>
  <c r="DZ264" i="2" s="1"/>
  <c r="EA264" i="2" s="1"/>
  <c r="DS264" i="2"/>
  <c r="DQ264" i="2"/>
  <c r="DR264" i="2" s="1"/>
  <c r="EH264" i="2"/>
  <c r="FR293" i="2" a="1"/>
  <c r="FR293" i="2" s="1"/>
  <c r="EG304" i="2"/>
  <c r="EI304" i="2"/>
  <c r="DV304" i="2"/>
  <c r="DW304" i="2" s="1"/>
  <c r="CE280" i="2"/>
  <c r="CK280" i="2"/>
  <c r="CM280" i="2"/>
  <c r="AA270" i="2"/>
  <c r="Z270" i="2"/>
  <c r="AA280" i="2"/>
  <c r="Z280" i="2"/>
  <c r="EG272" i="2"/>
  <c r="DV272" i="2"/>
  <c r="DW272" i="2" s="1"/>
  <c r="EI272" i="2"/>
  <c r="EG269" i="2"/>
  <c r="DV269" i="2"/>
  <c r="DW269" i="2" s="1"/>
  <c r="EI269" i="2"/>
  <c r="EI253" i="2"/>
  <c r="EG253" i="2"/>
  <c r="DV253" i="2"/>
  <c r="DW253" i="2" s="1"/>
  <c r="FR256" i="2" a="1"/>
  <c r="FR256" i="2" s="1"/>
  <c r="DV167" i="2"/>
  <c r="DW167" i="2" s="1"/>
  <c r="EI167" i="2"/>
  <c r="EG167" i="2"/>
  <c r="CK231" i="2"/>
  <c r="CM231" i="2"/>
  <c r="CE231" i="2"/>
  <c r="GV231" i="2"/>
  <c r="GW231" i="2" s="1"/>
  <c r="DY248" i="2"/>
  <c r="DZ248" i="2" s="1"/>
  <c r="EA248" i="2" s="1"/>
  <c r="DQ248" i="2"/>
  <c r="DR248" i="2" s="1"/>
  <c r="EH248" i="2"/>
  <c r="DS248" i="2"/>
  <c r="EC248" i="2"/>
  <c r="DY249" i="2"/>
  <c r="DZ249" i="2" s="1"/>
  <c r="EA249" i="2" s="1"/>
  <c r="DQ249" i="2"/>
  <c r="DR249" i="2" s="1"/>
  <c r="EH249" i="2"/>
  <c r="DS249" i="2"/>
  <c r="EC249" i="2"/>
  <c r="AA183" i="2"/>
  <c r="Z183" i="2"/>
  <c r="FR205" i="2" a="1"/>
  <c r="FR205" i="2" s="1"/>
  <c r="FR178" i="2" a="1"/>
  <c r="FR178" i="2" s="1"/>
  <c r="DY172" i="2"/>
  <c r="DZ172" i="2" s="1"/>
  <c r="EA172" i="2" s="1"/>
  <c r="DS172" i="2"/>
  <c r="DQ172" i="2"/>
  <c r="DR172" i="2" s="1"/>
  <c r="EH172" i="2"/>
  <c r="EC172" i="2"/>
  <c r="FR174" i="2" a="1"/>
  <c r="FR174" i="2" s="1"/>
  <c r="FR195" i="2" a="1"/>
  <c r="FR195" i="2" s="1"/>
  <c r="DY141" i="2"/>
  <c r="DZ141" i="2" s="1"/>
  <c r="EA141" i="2" s="1"/>
  <c r="DS141" i="2"/>
  <c r="DQ141" i="2"/>
  <c r="DR141" i="2" s="1"/>
  <c r="EH141" i="2"/>
  <c r="EC141" i="2"/>
  <c r="DS150" i="2"/>
  <c r="EH150" i="2"/>
  <c r="EC150" i="2"/>
  <c r="DY150" i="2"/>
  <c r="DZ150" i="2" s="1"/>
  <c r="EA150" i="2" s="1"/>
  <c r="DQ150" i="2"/>
  <c r="DR150" i="2" s="1"/>
  <c r="EC174" i="2"/>
  <c r="DY174" i="2"/>
  <c r="DZ174" i="2" s="1"/>
  <c r="EA174" i="2" s="1"/>
  <c r="DS174" i="2"/>
  <c r="DQ174" i="2"/>
  <c r="DR174" i="2" s="1"/>
  <c r="EH174" i="2"/>
  <c r="FR139" i="2" a="1"/>
  <c r="FR139" i="2" s="1"/>
  <c r="Z97" i="2"/>
  <c r="AA97" i="2"/>
  <c r="FR129" i="2" a="1"/>
  <c r="FR129" i="2" s="1"/>
  <c r="GV120" i="2"/>
  <c r="GW120" i="2" s="1"/>
  <c r="AA107" i="2"/>
  <c r="Z107" i="2"/>
  <c r="DV103" i="2"/>
  <c r="DW103" i="2" s="1"/>
  <c r="EI103" i="2"/>
  <c r="EG103" i="2"/>
  <c r="FR82" i="2" a="1"/>
  <c r="FR82" i="2" s="1"/>
  <c r="EH87" i="2"/>
  <c r="EC87" i="2"/>
  <c r="DY87" i="2"/>
  <c r="DZ87" i="2" s="1"/>
  <c r="EA87" i="2" s="1"/>
  <c r="DS87" i="2"/>
  <c r="DQ87" i="2"/>
  <c r="DR87" i="2" s="1"/>
  <c r="GV79" i="2"/>
  <c r="GW79" i="2" s="1"/>
  <c r="EC78" i="2"/>
  <c r="DY78" i="2"/>
  <c r="DZ78" i="2" s="1"/>
  <c r="EA78" i="2" s="1"/>
  <c r="DS78" i="2"/>
  <c r="DQ78" i="2"/>
  <c r="DR78" i="2" s="1"/>
  <c r="EH78" i="2"/>
  <c r="EH89" i="2"/>
  <c r="EC89" i="2"/>
  <c r="DY89" i="2"/>
  <c r="DZ89" i="2" s="1"/>
  <c r="EA89" i="2" s="1"/>
  <c r="DS89" i="2"/>
  <c r="DQ89" i="2"/>
  <c r="DR89" i="2" s="1"/>
  <c r="EC65" i="2"/>
  <c r="DY65" i="2"/>
  <c r="DZ65" i="2" s="1"/>
  <c r="EA65" i="2" s="1"/>
  <c r="DS65" i="2"/>
  <c r="DQ65" i="2"/>
  <c r="DR65" i="2" s="1"/>
  <c r="EH65" i="2"/>
  <c r="FR31" i="2" a="1"/>
  <c r="FR31" i="2" s="1"/>
  <c r="FR44" i="2" a="1"/>
  <c r="FR44" i="2" s="1"/>
  <c r="CM22" i="2"/>
  <c r="CE22" i="2"/>
  <c r="GV22" i="2"/>
  <c r="GW22" i="2" s="1"/>
  <c r="CK22" i="2"/>
  <c r="CM60" i="2"/>
  <c r="CE60" i="2"/>
  <c r="CK60" i="2"/>
  <c r="EC16" i="2"/>
  <c r="DY16" i="2"/>
  <c r="DZ16" i="2" s="1"/>
  <c r="EA16" i="2" s="1"/>
  <c r="DS16" i="2"/>
  <c r="DQ16" i="2"/>
  <c r="DR16" i="2" s="1"/>
  <c r="EH16" i="2"/>
  <c r="EC31" i="2"/>
  <c r="DY31" i="2"/>
  <c r="DZ31" i="2" s="1"/>
  <c r="EA31" i="2" s="1"/>
  <c r="DS31" i="2"/>
  <c r="DQ31" i="2"/>
  <c r="DR31" i="2" s="1"/>
  <c r="EH31" i="2"/>
  <c r="DY356" i="2"/>
  <c r="DZ356" i="2" s="1"/>
  <c r="EA356" i="2" s="1"/>
  <c r="DS356" i="2"/>
  <c r="DQ356" i="2"/>
  <c r="DR356" i="2" s="1"/>
  <c r="EC356" i="2"/>
  <c r="EH356" i="2"/>
  <c r="FR356" i="2" a="1"/>
  <c r="FR356" i="2" s="1"/>
  <c r="AA244" i="2"/>
  <c r="Z244" i="2"/>
  <c r="Z374" i="2"/>
  <c r="AA374" i="2"/>
  <c r="FR335" i="2" a="1"/>
  <c r="FR335" i="2" s="1"/>
  <c r="FR350" i="2" a="1"/>
  <c r="FR350" i="2" s="1"/>
  <c r="FR334" i="2" a="1"/>
  <c r="FR334" i="2" s="1"/>
  <c r="EC339" i="2"/>
  <c r="DY339" i="2"/>
  <c r="DZ339" i="2" s="1"/>
  <c r="EA339" i="2" s="1"/>
  <c r="DS339" i="2"/>
  <c r="EH339" i="2"/>
  <c r="DQ339" i="2"/>
  <c r="DR339" i="2" s="1"/>
  <c r="EI327" i="2"/>
  <c r="EG327" i="2"/>
  <c r="DV327" i="2"/>
  <c r="DW327" i="2" s="1"/>
  <c r="CK332" i="2"/>
  <c r="CM332" i="2"/>
  <c r="CE332" i="2"/>
  <c r="GV332" i="2"/>
  <c r="GW332" i="2" s="1"/>
  <c r="AA293" i="2"/>
  <c r="Z293" i="2"/>
  <c r="FR304" i="2" a="1"/>
  <c r="FR304" i="2" s="1"/>
  <c r="GV290" i="2"/>
  <c r="GW290" i="2" s="1"/>
  <c r="AA266" i="2"/>
  <c r="Z266" i="2"/>
  <c r="EG264" i="2"/>
  <c r="DV264" i="2"/>
  <c r="DW264" i="2" s="1"/>
  <c r="EI264" i="2"/>
  <c r="DS276" i="2"/>
  <c r="EH276" i="2"/>
  <c r="EC276" i="2"/>
  <c r="DY276" i="2"/>
  <c r="DZ276" i="2" s="1"/>
  <c r="EA276" i="2" s="1"/>
  <c r="DQ276" i="2"/>
  <c r="DR276" i="2" s="1"/>
  <c r="AA269" i="2"/>
  <c r="Z269" i="2"/>
  <c r="EH272" i="2"/>
  <c r="EC272" i="2"/>
  <c r="DY272" i="2"/>
  <c r="DZ272" i="2" s="1"/>
  <c r="EA272" i="2" s="1"/>
  <c r="DS272" i="2"/>
  <c r="DQ272" i="2"/>
  <c r="DR272" i="2" s="1"/>
  <c r="EH269" i="2"/>
  <c r="EC269" i="2"/>
  <c r="DY269" i="2"/>
  <c r="DZ269" i="2" s="1"/>
  <c r="EA269" i="2" s="1"/>
  <c r="DS269" i="2"/>
  <c r="DQ269" i="2"/>
  <c r="DR269" i="2" s="1"/>
  <c r="FO311" i="2"/>
  <c r="EH253" i="2"/>
  <c r="DY253" i="2"/>
  <c r="DZ253" i="2" s="1"/>
  <c r="EA253" i="2" s="1"/>
  <c r="DS253" i="2"/>
  <c r="EC253" i="2"/>
  <c r="DQ253" i="2"/>
  <c r="DR253" i="2" s="1"/>
  <c r="GV255" i="2"/>
  <c r="GW255" i="2" s="1"/>
  <c r="CK230" i="2"/>
  <c r="CM230" i="2"/>
  <c r="GV230" i="2"/>
  <c r="GW230" i="2" s="1"/>
  <c r="CE230" i="2"/>
  <c r="EI248" i="2"/>
  <c r="EG248" i="2"/>
  <c r="DV248" i="2"/>
  <c r="DW248" i="2" s="1"/>
  <c r="EI249" i="2"/>
  <c r="EG249" i="2"/>
  <c r="DV249" i="2"/>
  <c r="DW249" i="2" s="1"/>
  <c r="AA182" i="2"/>
  <c r="Z182" i="2"/>
  <c r="EC187" i="2"/>
  <c r="DY187" i="2"/>
  <c r="DZ187" i="2" s="1"/>
  <c r="EA187" i="2" s="1"/>
  <c r="DS187" i="2"/>
  <c r="DQ187" i="2"/>
  <c r="DR187" i="2" s="1"/>
  <c r="EH187" i="2"/>
  <c r="FR179" i="2" a="1"/>
  <c r="FR179" i="2" s="1"/>
  <c r="DY171" i="2"/>
  <c r="DZ171" i="2" s="1"/>
  <c r="EA171" i="2" s="1"/>
  <c r="DS171" i="2"/>
  <c r="DQ171" i="2"/>
  <c r="DR171" i="2" s="1"/>
  <c r="EH171" i="2"/>
  <c r="EC171" i="2"/>
  <c r="AA149" i="2"/>
  <c r="Z149" i="2"/>
  <c r="DY140" i="2"/>
  <c r="DZ140" i="2" s="1"/>
  <c r="EA140" i="2" s="1"/>
  <c r="DS140" i="2"/>
  <c r="DQ140" i="2"/>
  <c r="DR140" i="2" s="1"/>
  <c r="EH140" i="2"/>
  <c r="EC140" i="2"/>
  <c r="AA150" i="2"/>
  <c r="Z150" i="2"/>
  <c r="EC148" i="2"/>
  <c r="DY148" i="2"/>
  <c r="DZ148" i="2" s="1"/>
  <c r="EA148" i="2" s="1"/>
  <c r="DS148" i="2"/>
  <c r="DQ148" i="2"/>
  <c r="DR148" i="2" s="1"/>
  <c r="EH148" i="2"/>
  <c r="DV150" i="2"/>
  <c r="DW150" i="2" s="1"/>
  <c r="EI150" i="2"/>
  <c r="EG150" i="2"/>
  <c r="EG174" i="2"/>
  <c r="DV174" i="2"/>
  <c r="DW174" i="2" s="1"/>
  <c r="EI174" i="2"/>
  <c r="GV138" i="2"/>
  <c r="GW138" i="2" s="1"/>
  <c r="GV108" i="2"/>
  <c r="GW108" i="2" s="1"/>
  <c r="FR119" i="2" a="1"/>
  <c r="FR119" i="2" s="1"/>
  <c r="Z96" i="2"/>
  <c r="AA96" i="2"/>
  <c r="DY198" i="2"/>
  <c r="DZ198" i="2" s="1"/>
  <c r="EA198" i="2" s="1"/>
  <c r="DS198" i="2"/>
  <c r="DQ198" i="2"/>
  <c r="DR198" i="2" s="1"/>
  <c r="EH198" i="2"/>
  <c r="EC198" i="2"/>
  <c r="FR85" i="2" a="1"/>
  <c r="FR85" i="2" s="1"/>
  <c r="GV92" i="2"/>
  <c r="GW92" i="2" s="1"/>
  <c r="DS99" i="2"/>
  <c r="DQ99" i="2"/>
  <c r="DR99" i="2" s="1"/>
  <c r="EH99" i="2"/>
  <c r="EC99" i="2"/>
  <c r="DY99" i="2"/>
  <c r="DZ99" i="2" s="1"/>
  <c r="EA99" i="2" s="1"/>
  <c r="EC77" i="2"/>
  <c r="DY77" i="2"/>
  <c r="DZ77" i="2" s="1"/>
  <c r="EA77" i="2" s="1"/>
  <c r="DS77" i="2"/>
  <c r="DQ77" i="2"/>
  <c r="DR77" i="2" s="1"/>
  <c r="EH77" i="2"/>
  <c r="DV51" i="2"/>
  <c r="DW51" i="2" s="1"/>
  <c r="EI51" i="2"/>
  <c r="EG51" i="2"/>
  <c r="GV58" i="2"/>
  <c r="GW58" i="2" s="1"/>
  <c r="GV65" i="2"/>
  <c r="GW65" i="2" s="1"/>
  <c r="EI50" i="2"/>
  <c r="EG50" i="2"/>
  <c r="DV50" i="2"/>
  <c r="DW50" i="2" s="1"/>
  <c r="EC14" i="2"/>
  <c r="DY14" i="2"/>
  <c r="DZ14" i="2" s="1"/>
  <c r="EA14" i="2" s="1"/>
  <c r="DS14" i="2"/>
  <c r="DQ14" i="2"/>
  <c r="DR14" i="2" s="1"/>
  <c r="EH14" i="2"/>
  <c r="DV52" i="2"/>
  <c r="DW52" i="2" s="1"/>
  <c r="EI52" i="2"/>
  <c r="EG52" i="2"/>
  <c r="CM21" i="2"/>
  <c r="CE21" i="2"/>
  <c r="CK21" i="2"/>
  <c r="GV21" i="2"/>
  <c r="GW21" i="2" s="1"/>
  <c r="DV31" i="2"/>
  <c r="DW31" i="2" s="1"/>
  <c r="EI31" i="2"/>
  <c r="EG31" i="2"/>
  <c r="DV356" i="2"/>
  <c r="DW356" i="2" s="1"/>
  <c r="EI356" i="2"/>
  <c r="EG356" i="2"/>
  <c r="EH256" i="2"/>
  <c r="EC256" i="2"/>
  <c r="DY256" i="2"/>
  <c r="DZ256" i="2" s="1"/>
  <c r="EA256" i="2" s="1"/>
  <c r="DS256" i="2"/>
  <c r="DQ256" i="2"/>
  <c r="DR256" i="2" s="1"/>
  <c r="EC193" i="2"/>
  <c r="DY193" i="2"/>
  <c r="DZ193" i="2" s="1"/>
  <c r="EA193" i="2" s="1"/>
  <c r="DS193" i="2"/>
  <c r="DQ193" i="2"/>
  <c r="DR193" i="2" s="1"/>
  <c r="EH193" i="2"/>
  <c r="EC192" i="2"/>
  <c r="DY192" i="2"/>
  <c r="DZ192" i="2" s="1"/>
  <c r="EA192" i="2" s="1"/>
  <c r="DS192" i="2"/>
  <c r="DQ192" i="2"/>
  <c r="DR192" i="2" s="1"/>
  <c r="EH192" i="2"/>
  <c r="DV384" i="2"/>
  <c r="DW384" i="2" s="1"/>
  <c r="EG384" i="2"/>
  <c r="EI384" i="2"/>
  <c r="EC344" i="2"/>
  <c r="DY344" i="2"/>
  <c r="DZ344" i="2" s="1"/>
  <c r="EA344" i="2" s="1"/>
  <c r="DS344" i="2"/>
  <c r="EH344" i="2"/>
  <c r="DQ344" i="2"/>
  <c r="DR344" i="2" s="1"/>
  <c r="DV385" i="2"/>
  <c r="DW385" i="2" s="1"/>
  <c r="EG385" i="2"/>
  <c r="EI385" i="2"/>
  <c r="FR386" i="2" a="1"/>
  <c r="FR386" i="2" s="1"/>
  <c r="CK357" i="2"/>
  <c r="CM357" i="2"/>
  <c r="CE357" i="2"/>
  <c r="DY345" i="2"/>
  <c r="DZ345" i="2" s="1"/>
  <c r="EA345" i="2" s="1"/>
  <c r="DS345" i="2"/>
  <c r="DQ345" i="2"/>
  <c r="DR345" i="2" s="1"/>
  <c r="EH345" i="2"/>
  <c r="EC345" i="2"/>
  <c r="CK331" i="2"/>
  <c r="CM331" i="2"/>
  <c r="CE331" i="2"/>
  <c r="GV331" i="2"/>
  <c r="GW331" i="2" s="1"/>
  <c r="FR340" i="2" a="1"/>
  <c r="FR340" i="2" s="1"/>
  <c r="EI332" i="2"/>
  <c r="EG332" i="2"/>
  <c r="DV332" i="2"/>
  <c r="DW332" i="2" s="1"/>
  <c r="EI320" i="2"/>
  <c r="EG320" i="2"/>
  <c r="DV320" i="2"/>
  <c r="DW320" i="2" s="1"/>
  <c r="EH327" i="2"/>
  <c r="EC327" i="2"/>
  <c r="DY327" i="2"/>
  <c r="DZ327" i="2" s="1"/>
  <c r="EA327" i="2" s="1"/>
  <c r="DS327" i="2"/>
  <c r="DQ327" i="2"/>
  <c r="DR327" i="2" s="1"/>
  <c r="CK319" i="2"/>
  <c r="CM319" i="2"/>
  <c r="CE319" i="2"/>
  <c r="GV319" i="2"/>
  <c r="GW319" i="2" s="1"/>
  <c r="AA323" i="2"/>
  <c r="Z323" i="2"/>
  <c r="AA288" i="2"/>
  <c r="Z288" i="2"/>
  <c r="CK288" i="2"/>
  <c r="CM288" i="2"/>
  <c r="CE288" i="2"/>
  <c r="DS285" i="2"/>
  <c r="DQ285" i="2"/>
  <c r="DR285" i="2" s="1"/>
  <c r="EH285" i="2"/>
  <c r="EC285" i="2"/>
  <c r="DY285" i="2"/>
  <c r="DZ285" i="2" s="1"/>
  <c r="EA285" i="2" s="1"/>
  <c r="DV276" i="2"/>
  <c r="DW276" i="2" s="1"/>
  <c r="EG276" i="2"/>
  <c r="EI276" i="2"/>
  <c r="AA268" i="2"/>
  <c r="Z268" i="2"/>
  <c r="GV277" i="2"/>
  <c r="GW277" i="2" s="1"/>
  <c r="CK274" i="2"/>
  <c r="CM274" i="2"/>
  <c r="CE274" i="2"/>
  <c r="GV256" i="2"/>
  <c r="GW256" i="2" s="1"/>
  <c r="CK260" i="2"/>
  <c r="CM260" i="2"/>
  <c r="CE260" i="2"/>
  <c r="GV260" i="2"/>
  <c r="GW260" i="2" s="1"/>
  <c r="Z98" i="2"/>
  <c r="AA98" i="2"/>
  <c r="CK263" i="2"/>
  <c r="CM263" i="2"/>
  <c r="CE263" i="2"/>
  <c r="CE250" i="2"/>
  <c r="GV250" i="2"/>
  <c r="GW250" i="2" s="1"/>
  <c r="CK250" i="2"/>
  <c r="CM250" i="2"/>
  <c r="DS226" i="2"/>
  <c r="DQ226" i="2"/>
  <c r="DR226" i="2" s="1"/>
  <c r="EH226" i="2"/>
  <c r="EC226" i="2"/>
  <c r="DY226" i="2"/>
  <c r="DZ226" i="2" s="1"/>
  <c r="EA226" i="2" s="1"/>
  <c r="GV251" i="2"/>
  <c r="GW251" i="2" s="1"/>
  <c r="EI209" i="2"/>
  <c r="EG209" i="2"/>
  <c r="DV209" i="2"/>
  <c r="DW209" i="2" s="1"/>
  <c r="FR176" i="2" a="1"/>
  <c r="FR176" i="2" s="1"/>
  <c r="EC183" i="2"/>
  <c r="DY183" i="2"/>
  <c r="DZ183" i="2" s="1"/>
  <c r="EA183" i="2" s="1"/>
  <c r="DS183" i="2"/>
  <c r="DQ183" i="2"/>
  <c r="DR183" i="2" s="1"/>
  <c r="EH183" i="2"/>
  <c r="DY170" i="2"/>
  <c r="DZ170" i="2" s="1"/>
  <c r="EA170" i="2" s="1"/>
  <c r="DS170" i="2"/>
  <c r="DQ170" i="2"/>
  <c r="DR170" i="2" s="1"/>
  <c r="EH170" i="2"/>
  <c r="EC170" i="2"/>
  <c r="FR196" i="2" a="1"/>
  <c r="FR196" i="2" s="1"/>
  <c r="CK155" i="2"/>
  <c r="CE155" i="2"/>
  <c r="GV155" i="2"/>
  <c r="GW155" i="2" s="1"/>
  <c r="CM155" i="2"/>
  <c r="GV170" i="2"/>
  <c r="GW170" i="2" s="1"/>
  <c r="DY139" i="2"/>
  <c r="DZ139" i="2" s="1"/>
  <c r="EA139" i="2" s="1"/>
  <c r="DS139" i="2"/>
  <c r="DQ139" i="2"/>
  <c r="DR139" i="2" s="1"/>
  <c r="EH139" i="2"/>
  <c r="EC139" i="2"/>
  <c r="DV148" i="2"/>
  <c r="DW148" i="2" s="1"/>
  <c r="EI148" i="2"/>
  <c r="EG148" i="2"/>
  <c r="EI106" i="2"/>
  <c r="EG106" i="2"/>
  <c r="DV106" i="2"/>
  <c r="DW106" i="2" s="1"/>
  <c r="Z95" i="2"/>
  <c r="AA95" i="2"/>
  <c r="DV198" i="2"/>
  <c r="DW198" i="2" s="1"/>
  <c r="EG198" i="2"/>
  <c r="EI198" i="2"/>
  <c r="FR47" i="2" a="1"/>
  <c r="FR47" i="2" s="1"/>
  <c r="EI99" i="2"/>
  <c r="EG99" i="2"/>
  <c r="DV99" i="2"/>
  <c r="DW99" i="2" s="1"/>
  <c r="GV85" i="2"/>
  <c r="GW85" i="2" s="1"/>
  <c r="EC76" i="2"/>
  <c r="DY76" i="2"/>
  <c r="DZ76" i="2" s="1"/>
  <c r="EA76" i="2" s="1"/>
  <c r="DS76" i="2"/>
  <c r="DQ76" i="2"/>
  <c r="DR76" i="2" s="1"/>
  <c r="EH76" i="2"/>
  <c r="FR68" i="2" a="1"/>
  <c r="FR68" i="2" s="1"/>
  <c r="GV69" i="2"/>
  <c r="GW69" i="2" s="1"/>
  <c r="DV14" i="2"/>
  <c r="DW14" i="2" s="1"/>
  <c r="EI14" i="2"/>
  <c r="EG14" i="2"/>
  <c r="FR42" i="2" a="1"/>
  <c r="FR42" i="2" s="1"/>
  <c r="GV27" i="2"/>
  <c r="GW27" i="2" s="1"/>
  <c r="EH52" i="2"/>
  <c r="DQ52" i="2"/>
  <c r="DR52" i="2" s="1"/>
  <c r="EC52" i="2"/>
  <c r="DY52" i="2"/>
  <c r="DZ52" i="2" s="1"/>
  <c r="EA52" i="2" s="1"/>
  <c r="DS52" i="2"/>
  <c r="EC56" i="2"/>
  <c r="DY56" i="2"/>
  <c r="DZ56" i="2" s="1"/>
  <c r="EA56" i="2" s="1"/>
  <c r="DQ56" i="2"/>
  <c r="DR56" i="2" s="1"/>
  <c r="EH56" i="2"/>
  <c r="DS56" i="2"/>
  <c r="FR295" i="2" a="1"/>
  <c r="FR295" i="2" s="1"/>
  <c r="EC91" i="2"/>
  <c r="DY91" i="2"/>
  <c r="DZ91" i="2" s="1"/>
  <c r="EA91" i="2" s="1"/>
  <c r="DS91" i="2"/>
  <c r="DQ91" i="2"/>
  <c r="DR91" i="2" s="1"/>
  <c r="EH91" i="2"/>
  <c r="CK316" i="2"/>
  <c r="CM316" i="2"/>
  <c r="CE316" i="2"/>
  <c r="GV316" i="2"/>
  <c r="GW316" i="2" s="1"/>
  <c r="EG308" i="2"/>
  <c r="DV308" i="2"/>
  <c r="DW308" i="2" s="1"/>
  <c r="EI308" i="2"/>
  <c r="CK223" i="2"/>
  <c r="CM223" i="2"/>
  <c r="GV223" i="2"/>
  <c r="GW223" i="2" s="1"/>
  <c r="CE223" i="2"/>
  <c r="CM388" i="2"/>
  <c r="CK388" i="2"/>
  <c r="CE388" i="2"/>
  <c r="DY294" i="2"/>
  <c r="DZ294" i="2" s="1"/>
  <c r="EA294" i="2" s="1"/>
  <c r="DS294" i="2"/>
  <c r="DQ294" i="2"/>
  <c r="DR294" i="2" s="1"/>
  <c r="EH294" i="2"/>
  <c r="EC294" i="2"/>
  <c r="GV343" i="2"/>
  <c r="GW343" i="2" s="1"/>
  <c r="EC394" i="2"/>
  <c r="DY394" i="2"/>
  <c r="DZ394" i="2" s="1"/>
  <c r="EA394" i="2" s="1"/>
  <c r="DQ394" i="2"/>
  <c r="DR394" i="2" s="1"/>
  <c r="EH394" i="2"/>
  <c r="DS394" i="2"/>
  <c r="DV229" i="2"/>
  <c r="DW229" i="2" s="1"/>
  <c r="EG229" i="2"/>
  <c r="EI229" i="2"/>
  <c r="CK335" i="2"/>
  <c r="CM335" i="2"/>
  <c r="CE335" i="2"/>
  <c r="GV335" i="2"/>
  <c r="GW335" i="2" s="1"/>
  <c r="AA333" i="2"/>
  <c r="Z333" i="2"/>
  <c r="EI345" i="2"/>
  <c r="EG345" i="2"/>
  <c r="DV345" i="2"/>
  <c r="DW345" i="2" s="1"/>
  <c r="CK334" i="2"/>
  <c r="CE334" i="2"/>
  <c r="CM334" i="2"/>
  <c r="GV334" i="2"/>
  <c r="GW334" i="2" s="1"/>
  <c r="EC337" i="2"/>
  <c r="DY337" i="2"/>
  <c r="DZ337" i="2" s="1"/>
  <c r="EA337" i="2" s="1"/>
  <c r="DS337" i="2"/>
  <c r="EH337" i="2"/>
  <c r="DQ337" i="2"/>
  <c r="DR337" i="2" s="1"/>
  <c r="DY334" i="2"/>
  <c r="DZ334" i="2" s="1"/>
  <c r="EA334" i="2" s="1"/>
  <c r="EC334" i="2"/>
  <c r="DS334" i="2"/>
  <c r="DQ334" i="2"/>
  <c r="DR334" i="2" s="1"/>
  <c r="EH334" i="2"/>
  <c r="EH332" i="2"/>
  <c r="EC332" i="2"/>
  <c r="DY332" i="2"/>
  <c r="DZ332" i="2" s="1"/>
  <c r="EA332" i="2" s="1"/>
  <c r="DS332" i="2"/>
  <c r="DQ332" i="2"/>
  <c r="DR332" i="2" s="1"/>
  <c r="EI330" i="2"/>
  <c r="EG330" i="2"/>
  <c r="DV330" i="2"/>
  <c r="DW330" i="2" s="1"/>
  <c r="GV323" i="2"/>
  <c r="GW323" i="2" s="1"/>
  <c r="CK318" i="2"/>
  <c r="CM318" i="2"/>
  <c r="CE318" i="2"/>
  <c r="GV318" i="2"/>
  <c r="GW318" i="2" s="1"/>
  <c r="EI326" i="2"/>
  <c r="DV326" i="2"/>
  <c r="DW326" i="2" s="1"/>
  <c r="EG326" i="2"/>
  <c r="DV285" i="2"/>
  <c r="DW285" i="2" s="1"/>
  <c r="EI285" i="2"/>
  <c r="EG285" i="2"/>
  <c r="GV276" i="2"/>
  <c r="GW276" i="2" s="1"/>
  <c r="AA279" i="2"/>
  <c r="Z279" i="2"/>
  <c r="DS282" i="2"/>
  <c r="DQ282" i="2"/>
  <c r="DR282" i="2" s="1"/>
  <c r="EH282" i="2"/>
  <c r="EC282" i="2"/>
  <c r="DY282" i="2"/>
  <c r="DZ282" i="2" s="1"/>
  <c r="EA282" i="2" s="1"/>
  <c r="CK265" i="2"/>
  <c r="CM265" i="2"/>
  <c r="CE265" i="2"/>
  <c r="DS98" i="2"/>
  <c r="DQ98" i="2"/>
  <c r="DR98" i="2" s="1"/>
  <c r="EC98" i="2"/>
  <c r="DY98" i="2"/>
  <c r="DZ98" i="2" s="1"/>
  <c r="EA98" i="2" s="1"/>
  <c r="GV98" i="2"/>
  <c r="GW98" i="2" s="1"/>
  <c r="EH98" i="2"/>
  <c r="CE249" i="2"/>
  <c r="GV249" i="2"/>
  <c r="GW249" i="2" s="1"/>
  <c r="CK249" i="2"/>
  <c r="CM249" i="2"/>
  <c r="DQ225" i="2"/>
  <c r="DR225" i="2" s="1"/>
  <c r="EH225" i="2"/>
  <c r="EC225" i="2"/>
  <c r="DY225" i="2"/>
  <c r="DZ225" i="2" s="1"/>
  <c r="EA225" i="2" s="1"/>
  <c r="DS225" i="2"/>
  <c r="FR241" i="2" a="1"/>
  <c r="FR241" i="2" s="1"/>
  <c r="FR248" i="2" a="1"/>
  <c r="FR248" i="2" s="1"/>
  <c r="EG265" i="2"/>
  <c r="DV265" i="2"/>
  <c r="DW265" i="2" s="1"/>
  <c r="EI265" i="2"/>
  <c r="FR250" i="2" a="1"/>
  <c r="FR250" i="2" s="1"/>
  <c r="DY251" i="2"/>
  <c r="DZ251" i="2" s="1"/>
  <c r="EA251" i="2" s="1"/>
  <c r="DS251" i="2"/>
  <c r="DQ251" i="2"/>
  <c r="DR251" i="2" s="1"/>
  <c r="EH251" i="2"/>
  <c r="EC251" i="2"/>
  <c r="CK217" i="2"/>
  <c r="CM217" i="2"/>
  <c r="CE217" i="2"/>
  <c r="EH220" i="2"/>
  <c r="DY220" i="2"/>
  <c r="DZ220" i="2" s="1"/>
  <c r="EA220" i="2" s="1"/>
  <c r="DS220" i="2"/>
  <c r="DQ220" i="2"/>
  <c r="DR220" i="2" s="1"/>
  <c r="EC220" i="2"/>
  <c r="EI208" i="2"/>
  <c r="EG208" i="2"/>
  <c r="DV208" i="2"/>
  <c r="DW208" i="2" s="1"/>
  <c r="GV183" i="2"/>
  <c r="GW183" i="2" s="1"/>
  <c r="EG204" i="2"/>
  <c r="DV204" i="2"/>
  <c r="DW204" i="2" s="1"/>
  <c r="EI204" i="2"/>
  <c r="DY169" i="2"/>
  <c r="DZ169" i="2" s="1"/>
  <c r="EA169" i="2" s="1"/>
  <c r="DS169" i="2"/>
  <c r="DQ169" i="2"/>
  <c r="DR169" i="2" s="1"/>
  <c r="EH169" i="2"/>
  <c r="EC169" i="2"/>
  <c r="GV179" i="2"/>
  <c r="GW179" i="2" s="1"/>
  <c r="EG154" i="2"/>
  <c r="DV154" i="2"/>
  <c r="DW154" i="2" s="1"/>
  <c r="FR156" i="2" a="1"/>
  <c r="FR156" i="2" s="1"/>
  <c r="EC191" i="2"/>
  <c r="DY191" i="2"/>
  <c r="DZ191" i="2" s="1"/>
  <c r="EA191" i="2" s="1"/>
  <c r="DS191" i="2"/>
  <c r="DQ191" i="2"/>
  <c r="DR191" i="2" s="1"/>
  <c r="EH191" i="2"/>
  <c r="GV169" i="2"/>
  <c r="GW169" i="2" s="1"/>
  <c r="Z154" i="2"/>
  <c r="GV144" i="2"/>
  <c r="GW144" i="2" s="1"/>
  <c r="DS151" i="2"/>
  <c r="EH151" i="2"/>
  <c r="EC151" i="2"/>
  <c r="DY151" i="2"/>
  <c r="DZ151" i="2" s="1"/>
  <c r="EA151" i="2" s="1"/>
  <c r="DQ151" i="2"/>
  <c r="DR151" i="2" s="1"/>
  <c r="FW105" i="2"/>
  <c r="FX105" i="2" s="1" a="1"/>
  <c r="FX105" i="2" s="1"/>
  <c r="FR105" i="2" a="1"/>
  <c r="FR105" i="2" s="1"/>
  <c r="Z94" i="2"/>
  <c r="AA94" i="2"/>
  <c r="FR112" i="2" a="1"/>
  <c r="FR112" i="2" s="1"/>
  <c r="DV112" i="2"/>
  <c r="DW112" i="2" s="1"/>
  <c r="EG112" i="2"/>
  <c r="EI112" i="2"/>
  <c r="DS101" i="2"/>
  <c r="DQ101" i="2"/>
  <c r="DR101" i="2" s="1"/>
  <c r="EH101" i="2"/>
  <c r="EC101" i="2"/>
  <c r="DY101" i="2"/>
  <c r="DZ101" i="2" s="1"/>
  <c r="EA101" i="2" s="1"/>
  <c r="GV101" i="2"/>
  <c r="GW101" i="2" s="1"/>
  <c r="FR113" i="2" a="1"/>
  <c r="FR113" i="2" s="1"/>
  <c r="FR88" i="2" a="1"/>
  <c r="FR88" i="2" s="1"/>
  <c r="EC75" i="2"/>
  <c r="DY75" i="2"/>
  <c r="DZ75" i="2" s="1"/>
  <c r="EA75" i="2" s="1"/>
  <c r="DS75" i="2"/>
  <c r="DQ75" i="2"/>
  <c r="DR75" i="2" s="1"/>
  <c r="EH75" i="2"/>
  <c r="GV60" i="2"/>
  <c r="GW60" i="2" s="1"/>
  <c r="GV63" i="2"/>
  <c r="GW63" i="2" s="1"/>
  <c r="GV76" i="2"/>
  <c r="GW76" i="2" s="1"/>
  <c r="FR55" i="2" a="1"/>
  <c r="FR55" i="2" s="1"/>
  <c r="FW55" i="2"/>
  <c r="FX55" i="2" s="1" a="1"/>
  <c r="FX55" i="2" s="1"/>
  <c r="GV52" i="2"/>
  <c r="GW52" i="2" s="1"/>
  <c r="DY17" i="2"/>
  <c r="DZ17" i="2" s="1"/>
  <c r="EA17" i="2" s="1"/>
  <c r="DS17" i="2"/>
  <c r="DQ17" i="2"/>
  <c r="DR17" i="2" s="1"/>
  <c r="EC17" i="2"/>
  <c r="EH17" i="2"/>
  <c r="DV56" i="2"/>
  <c r="DW56" i="2" s="1"/>
  <c r="EG56" i="2"/>
  <c r="EI56" i="2"/>
  <c r="EG91" i="2"/>
  <c r="DV91" i="2"/>
  <c r="DW91" i="2" s="1"/>
  <c r="EI91" i="2"/>
  <c r="DY13" i="2"/>
  <c r="DZ13" i="2" s="1"/>
  <c r="EA13" i="2" s="1"/>
  <c r="DS13" i="2"/>
  <c r="DQ13" i="2"/>
  <c r="DR13" i="2" s="1"/>
  <c r="EH13" i="2"/>
  <c r="EC13" i="2"/>
  <c r="Z343" i="2"/>
  <c r="AA343" i="2"/>
  <c r="EC189" i="2"/>
  <c r="DY189" i="2"/>
  <c r="DZ189" i="2" s="1"/>
  <c r="EA189" i="2" s="1"/>
  <c r="DS189" i="2"/>
  <c r="DQ189" i="2"/>
  <c r="DR189" i="2" s="1"/>
  <c r="EH189" i="2"/>
  <c r="CK132" i="2"/>
  <c r="CM132" i="2"/>
  <c r="CE132" i="2"/>
  <c r="DV277" i="2"/>
  <c r="DW277" i="2" s="1"/>
  <c r="EG277" i="2"/>
  <c r="EI277" i="2"/>
  <c r="EH270" i="2"/>
  <c r="EC270" i="2"/>
  <c r="DY270" i="2"/>
  <c r="DZ270" i="2" s="1"/>
  <c r="EA270" i="2" s="1"/>
  <c r="DS270" i="2"/>
  <c r="DQ270" i="2"/>
  <c r="DR270" i="2" s="1"/>
  <c r="EH368" i="2"/>
  <c r="DY368" i="2"/>
  <c r="DZ368" i="2" s="1"/>
  <c r="EA368" i="2" s="1"/>
  <c r="DS368" i="2"/>
  <c r="DQ368" i="2"/>
  <c r="DR368" i="2" s="1"/>
  <c r="EC368" i="2"/>
  <c r="EC229" i="2"/>
  <c r="DY229" i="2"/>
  <c r="DZ229" i="2" s="1"/>
  <c r="EA229" i="2" s="1"/>
  <c r="DQ229" i="2"/>
  <c r="DR229" i="2" s="1"/>
  <c r="EH229" i="2"/>
  <c r="DS229" i="2"/>
  <c r="CK370" i="2"/>
  <c r="CM370" i="2"/>
  <c r="CE370" i="2"/>
  <c r="FR347" i="2" a="1"/>
  <c r="FR347" i="2" s="1"/>
  <c r="CK336" i="2"/>
  <c r="CM336" i="2"/>
  <c r="CE336" i="2"/>
  <c r="GV336" i="2"/>
  <c r="GW336" i="2" s="1"/>
  <c r="CK327" i="2"/>
  <c r="GV327" i="2"/>
  <c r="GW327" i="2" s="1"/>
  <c r="CM327" i="2"/>
  <c r="CE327" i="2"/>
  <c r="EG337" i="2"/>
  <c r="DV337" i="2"/>
  <c r="DW337" i="2" s="1"/>
  <c r="EI337" i="2"/>
  <c r="CK330" i="2"/>
  <c r="CM330" i="2"/>
  <c r="CE330" i="2"/>
  <c r="GV330" i="2"/>
  <c r="GW330" i="2" s="1"/>
  <c r="EG334" i="2"/>
  <c r="DV334" i="2"/>
  <c r="DW334" i="2" s="1"/>
  <c r="EI334" i="2"/>
  <c r="CK329" i="2"/>
  <c r="GV329" i="2"/>
  <c r="GW329" i="2" s="1"/>
  <c r="CM329" i="2"/>
  <c r="CE329" i="2"/>
  <c r="EH330" i="2"/>
  <c r="EC330" i="2"/>
  <c r="DY330" i="2"/>
  <c r="DZ330" i="2" s="1"/>
  <c r="EA330" i="2" s="1"/>
  <c r="DS330" i="2"/>
  <c r="DQ330" i="2"/>
  <c r="DR330" i="2" s="1"/>
  <c r="EI316" i="2"/>
  <c r="EG316" i="2"/>
  <c r="DV316" i="2"/>
  <c r="DW316" i="2" s="1"/>
  <c r="EH326" i="2"/>
  <c r="EC326" i="2"/>
  <c r="DY326" i="2"/>
  <c r="DZ326" i="2" s="1"/>
  <c r="EA326" i="2" s="1"/>
  <c r="DS326" i="2"/>
  <c r="DQ326" i="2"/>
  <c r="DR326" i="2" s="1"/>
  <c r="FR344" i="2" a="1"/>
  <c r="FR344" i="2" s="1"/>
  <c r="EC310" i="2"/>
  <c r="DY310" i="2"/>
  <c r="DZ310" i="2" s="1"/>
  <c r="EA310" i="2" s="1"/>
  <c r="DS310" i="2"/>
  <c r="DQ310" i="2"/>
  <c r="DR310" i="2" s="1"/>
  <c r="EH310" i="2"/>
  <c r="EG301" i="2"/>
  <c r="EI301" i="2"/>
  <c r="DV301" i="2"/>
  <c r="DW301" i="2" s="1"/>
  <c r="FW326" i="2"/>
  <c r="FX326" i="2" s="1" a="1"/>
  <c r="FX326" i="2" s="1"/>
  <c r="FR326" i="2" a="1"/>
  <c r="FR326" i="2" s="1"/>
  <c r="AA235" i="2"/>
  <c r="Z235" i="2"/>
  <c r="GV283" i="2"/>
  <c r="GW283" i="2" s="1"/>
  <c r="DS286" i="2"/>
  <c r="DQ286" i="2"/>
  <c r="DR286" i="2" s="1"/>
  <c r="EH286" i="2"/>
  <c r="EC286" i="2"/>
  <c r="DY286" i="2"/>
  <c r="DZ286" i="2" s="1"/>
  <c r="EA286" i="2" s="1"/>
  <c r="DV282" i="2"/>
  <c r="DW282" i="2" s="1"/>
  <c r="EI282" i="2"/>
  <c r="EG282" i="2"/>
  <c r="EG98" i="2"/>
  <c r="DV98" i="2"/>
  <c r="DW98" i="2" s="1"/>
  <c r="EI98" i="2"/>
  <c r="DQ224" i="2"/>
  <c r="DR224" i="2" s="1"/>
  <c r="EH224" i="2"/>
  <c r="EC224" i="2"/>
  <c r="DY224" i="2"/>
  <c r="DZ224" i="2" s="1"/>
  <c r="EA224" i="2" s="1"/>
  <c r="DS224" i="2"/>
  <c r="CE240" i="2"/>
  <c r="CK240" i="2"/>
  <c r="CM240" i="2"/>
  <c r="GV240" i="2"/>
  <c r="GW240" i="2" s="1"/>
  <c r="FR245" i="2" a="1"/>
  <c r="FR245" i="2" s="1"/>
  <c r="DV251" i="2"/>
  <c r="DW251" i="2" s="1"/>
  <c r="EI251" i="2"/>
  <c r="EG251" i="2"/>
  <c r="CK224" i="2"/>
  <c r="CM224" i="2"/>
  <c r="GV224" i="2"/>
  <c r="GW224" i="2" s="1"/>
  <c r="CE224" i="2"/>
  <c r="EG220" i="2"/>
  <c r="DV220" i="2"/>
  <c r="DW220" i="2" s="1"/>
  <c r="EI220" i="2"/>
  <c r="EI207" i="2"/>
  <c r="EG207" i="2"/>
  <c r="DV207" i="2"/>
  <c r="DW207" i="2" s="1"/>
  <c r="CE205" i="2"/>
  <c r="GV205" i="2"/>
  <c r="GW205" i="2" s="1"/>
  <c r="CK205" i="2"/>
  <c r="CM205" i="2"/>
  <c r="CE204" i="2"/>
  <c r="CK204" i="2"/>
  <c r="CM204" i="2"/>
  <c r="GV204" i="2"/>
  <c r="GW204" i="2" s="1"/>
  <c r="DQ204" i="2"/>
  <c r="DR204" i="2" s="1"/>
  <c r="EH204" i="2"/>
  <c r="EC204" i="2"/>
  <c r="DY204" i="2"/>
  <c r="DZ204" i="2" s="1"/>
  <c r="EA204" i="2" s="1"/>
  <c r="DS204" i="2"/>
  <c r="GV192" i="2"/>
  <c r="GW192" i="2" s="1"/>
  <c r="DY168" i="2"/>
  <c r="DZ168" i="2" s="1"/>
  <c r="EA168" i="2" s="1"/>
  <c r="DS168" i="2"/>
  <c r="DQ168" i="2"/>
  <c r="DR168" i="2" s="1"/>
  <c r="EH168" i="2"/>
  <c r="EC168" i="2"/>
  <c r="FR187" i="2" a="1"/>
  <c r="FR187" i="2" s="1"/>
  <c r="FR180" i="2" a="1"/>
  <c r="FR180" i="2" s="1"/>
  <c r="DV191" i="2"/>
  <c r="DW191" i="2" s="1"/>
  <c r="EI191" i="2"/>
  <c r="EG191" i="2"/>
  <c r="GV146" i="2"/>
  <c r="GW146" i="2" s="1"/>
  <c r="EG151" i="2"/>
  <c r="DV151" i="2"/>
  <c r="DW151" i="2" s="1"/>
  <c r="EI151" i="2"/>
  <c r="GV137" i="2"/>
  <c r="GW137" i="2" s="1"/>
  <c r="DY130" i="2"/>
  <c r="DZ130" i="2" s="1"/>
  <c r="EA130" i="2" s="1"/>
  <c r="DS130" i="2"/>
  <c r="DQ130" i="2"/>
  <c r="DR130" i="2" s="1"/>
  <c r="EH130" i="2"/>
  <c r="EC130" i="2"/>
  <c r="GV133" i="2"/>
  <c r="GW133" i="2" s="1"/>
  <c r="Z93" i="2"/>
  <c r="AA93" i="2"/>
  <c r="FW86" i="2"/>
  <c r="FX86" i="2" s="1" a="1"/>
  <c r="FX86" i="2" s="1"/>
  <c r="FR86" i="2" a="1"/>
  <c r="FR86" i="2" s="1"/>
  <c r="GV115" i="2"/>
  <c r="GW115" i="2" s="1"/>
  <c r="EI101" i="2"/>
  <c r="EG101" i="2"/>
  <c r="DV101" i="2"/>
  <c r="DW101" i="2" s="1"/>
  <c r="FR83" i="2" a="1"/>
  <c r="FR83" i="2" s="1"/>
  <c r="EC92" i="2"/>
  <c r="DY92" i="2"/>
  <c r="DZ92" i="2" s="1"/>
  <c r="EA92" i="2" s="1"/>
  <c r="DS92" i="2"/>
  <c r="DQ92" i="2"/>
  <c r="DR92" i="2" s="1"/>
  <c r="EH92" i="2"/>
  <c r="EC74" i="2"/>
  <c r="DY74" i="2"/>
  <c r="DZ74" i="2" s="1"/>
  <c r="EA74" i="2" s="1"/>
  <c r="DS74" i="2"/>
  <c r="DQ74" i="2"/>
  <c r="DR74" i="2" s="1"/>
  <c r="EH74" i="2"/>
  <c r="EC93" i="2"/>
  <c r="DY93" i="2"/>
  <c r="DZ93" i="2" s="1"/>
  <c r="EA93" i="2" s="1"/>
  <c r="DS93" i="2"/>
  <c r="DQ93" i="2"/>
  <c r="DR93" i="2" s="1"/>
  <c r="EH93" i="2"/>
  <c r="GV59" i="2"/>
  <c r="GW59" i="2" s="1"/>
  <c r="EG84" i="2"/>
  <c r="DV84" i="2"/>
  <c r="DW84" i="2" s="1"/>
  <c r="EI84" i="2"/>
  <c r="FR45" i="2" a="1"/>
  <c r="FR45" i="2" s="1"/>
  <c r="DY12" i="2"/>
  <c r="DZ12" i="2" s="1"/>
  <c r="EA12" i="2" s="1"/>
  <c r="DS12" i="2"/>
  <c r="DQ12" i="2"/>
  <c r="DR12" i="2" s="1"/>
  <c r="EH12" i="2"/>
  <c r="EC12" i="2"/>
  <c r="DV13" i="2"/>
  <c r="DW13" i="2" s="1"/>
  <c r="EI13" i="2"/>
  <c r="EG13" i="2"/>
  <c r="CM394" i="2"/>
  <c r="CE394" i="2"/>
  <c r="CK394" i="2"/>
  <c r="DV193" i="2"/>
  <c r="DW193" i="2" s="1"/>
  <c r="EI193" i="2"/>
  <c r="EG193" i="2"/>
  <c r="CK377" i="2"/>
  <c r="CE377" i="2"/>
  <c r="CM377" i="2"/>
  <c r="GV377" i="2"/>
  <c r="GW377" i="2" s="1"/>
  <c r="EC389" i="2"/>
  <c r="DY389" i="2"/>
  <c r="DZ389" i="2" s="1"/>
  <c r="EA389" i="2" s="1"/>
  <c r="DQ389" i="2"/>
  <c r="DR389" i="2" s="1"/>
  <c r="DS389" i="2"/>
  <c r="EH389" i="2"/>
  <c r="EG355" i="2"/>
  <c r="DV355" i="2"/>
  <c r="DW355" i="2" s="1"/>
  <c r="EI355" i="2"/>
  <c r="GV394" i="2"/>
  <c r="EC376" i="2"/>
  <c r="EH376" i="2"/>
  <c r="DY376" i="2"/>
  <c r="DZ376" i="2" s="1"/>
  <c r="EA376" i="2" s="1"/>
  <c r="DS376" i="2"/>
  <c r="DQ376" i="2"/>
  <c r="DR376" i="2" s="1"/>
  <c r="FR363" i="2" a="1"/>
  <c r="FR363" i="2" s="1"/>
  <c r="Z345" i="2"/>
  <c r="AA345" i="2"/>
  <c r="GV342" i="2"/>
  <c r="GW342" i="2" s="1"/>
  <c r="FW330" i="2"/>
  <c r="FX330" i="2" s="1" a="1"/>
  <c r="FX330" i="2" s="1"/>
  <c r="FR330" i="2" a="1"/>
  <c r="FR330" i="2" s="1"/>
  <c r="CK322" i="2"/>
  <c r="CM322" i="2"/>
  <c r="GV322" i="2"/>
  <c r="GW322" i="2" s="1"/>
  <c r="CE322" i="2"/>
  <c r="DY333" i="2"/>
  <c r="DZ333" i="2" s="1"/>
  <c r="EA333" i="2" s="1"/>
  <c r="DS333" i="2"/>
  <c r="DQ333" i="2"/>
  <c r="DR333" i="2" s="1"/>
  <c r="EH333" i="2"/>
  <c r="EC333" i="2"/>
  <c r="CK320" i="2"/>
  <c r="CM320" i="2"/>
  <c r="CE320" i="2"/>
  <c r="GV320" i="2"/>
  <c r="GW320" i="2" s="1"/>
  <c r="GV301" i="2"/>
  <c r="GW301" i="2" s="1"/>
  <c r="FW301" i="2"/>
  <c r="FX301" i="2" s="1" a="1"/>
  <c r="FX301" i="2" s="1"/>
  <c r="FR301" i="2" a="1"/>
  <c r="FR301" i="2" s="1"/>
  <c r="DY336" i="2"/>
  <c r="DZ336" i="2" s="1"/>
  <c r="EA336" i="2" s="1"/>
  <c r="DS336" i="2"/>
  <c r="DQ336" i="2"/>
  <c r="DR336" i="2" s="1"/>
  <c r="EH336" i="2"/>
  <c r="EC336" i="2"/>
  <c r="EC301" i="2"/>
  <c r="DS301" i="2"/>
  <c r="EH301" i="2"/>
  <c r="DY301" i="2"/>
  <c r="DZ301" i="2" s="1"/>
  <c r="EA301" i="2" s="1"/>
  <c r="DQ301" i="2"/>
  <c r="DR301" i="2" s="1"/>
  <c r="GV285" i="2"/>
  <c r="GW285" i="2" s="1"/>
  <c r="GV279" i="2"/>
  <c r="GW279" i="2" s="1"/>
  <c r="DV286" i="2"/>
  <c r="DW286" i="2" s="1"/>
  <c r="EI286" i="2"/>
  <c r="EG286" i="2"/>
  <c r="EG271" i="2"/>
  <c r="DV271" i="2"/>
  <c r="DW271" i="2" s="1"/>
  <c r="EI271" i="2"/>
  <c r="GV244" i="2"/>
  <c r="CK244" i="2"/>
  <c r="CM244" i="2"/>
  <c r="CE244" i="2"/>
  <c r="FW308" i="2"/>
  <c r="FX308" i="2" s="1" a="1"/>
  <c r="FX308" i="2" s="1"/>
  <c r="FR308" i="2" a="1"/>
  <c r="FR308" i="2" s="1"/>
  <c r="FZ261" i="2"/>
  <c r="GA261" i="2" s="1"/>
  <c r="EH223" i="2"/>
  <c r="EC223" i="2"/>
  <c r="DY223" i="2"/>
  <c r="DZ223" i="2" s="1"/>
  <c r="EA223" i="2" s="1"/>
  <c r="DS223" i="2"/>
  <c r="DQ223" i="2"/>
  <c r="DR223" i="2" s="1"/>
  <c r="CK226" i="2"/>
  <c r="CM226" i="2"/>
  <c r="GV226" i="2"/>
  <c r="GW226" i="2" s="1"/>
  <c r="CE226" i="2"/>
  <c r="CK216" i="2"/>
  <c r="CM216" i="2"/>
  <c r="CE216" i="2"/>
  <c r="EI206" i="2"/>
  <c r="EG206" i="2"/>
  <c r="DV206" i="2"/>
  <c r="DW206" i="2" s="1"/>
  <c r="GV200" i="2"/>
  <c r="GW200" i="2" s="1"/>
  <c r="CK200" i="2"/>
  <c r="CM200" i="2"/>
  <c r="CE200" i="2"/>
  <c r="CE202" i="2"/>
  <c r="CK202" i="2"/>
  <c r="CM202" i="2"/>
  <c r="GV202" i="2"/>
  <c r="GW202" i="2" s="1"/>
  <c r="FR184" i="2" a="1"/>
  <c r="FR184" i="2" s="1"/>
  <c r="GV153" i="2"/>
  <c r="GW153" i="2" s="1"/>
  <c r="CK156" i="2"/>
  <c r="CE156" i="2"/>
  <c r="GV156" i="2"/>
  <c r="GW156" i="2" s="1"/>
  <c r="CM156" i="2"/>
  <c r="FR182" i="2" a="1"/>
  <c r="FR182" i="2" s="1"/>
  <c r="FU146" i="2"/>
  <c r="FV146" i="2" s="1"/>
  <c r="FR158" i="2" a="1"/>
  <c r="FR158" i="2" s="1"/>
  <c r="AA151" i="2"/>
  <c r="Z151" i="2"/>
  <c r="GV168" i="2"/>
  <c r="GW168" i="2" s="1"/>
  <c r="FR137" i="2" a="1"/>
  <c r="FR137" i="2" s="1"/>
  <c r="FR144" i="2" a="1"/>
  <c r="FR144" i="2" s="1"/>
  <c r="DY129" i="2"/>
  <c r="DZ129" i="2" s="1"/>
  <c r="EA129" i="2" s="1"/>
  <c r="DS129" i="2"/>
  <c r="DQ129" i="2"/>
  <c r="DR129" i="2" s="1"/>
  <c r="EH129" i="2"/>
  <c r="EC129" i="2"/>
  <c r="Z92" i="2"/>
  <c r="AA92" i="2"/>
  <c r="FW166" i="2"/>
  <c r="FX166" i="2" s="1" a="1"/>
  <c r="FX166" i="2" s="1"/>
  <c r="FR166" i="2" a="1"/>
  <c r="FR166" i="2" s="1"/>
  <c r="GV97" i="2"/>
  <c r="GW97" i="2" s="1"/>
  <c r="FR106" i="2" a="1"/>
  <c r="FR106" i="2" s="1"/>
  <c r="GV110" i="2"/>
  <c r="GW110" i="2" s="1"/>
  <c r="EC73" i="2"/>
  <c r="DY73" i="2"/>
  <c r="DZ73" i="2" s="1"/>
  <c r="EA73" i="2" s="1"/>
  <c r="DS73" i="2"/>
  <c r="DQ73" i="2"/>
  <c r="DR73" i="2" s="1"/>
  <c r="EH73" i="2"/>
  <c r="FR81" i="2" a="1"/>
  <c r="FR81" i="2" s="1"/>
  <c r="EH84" i="2"/>
  <c r="EC84" i="2"/>
  <c r="DY84" i="2"/>
  <c r="DZ84" i="2" s="1"/>
  <c r="EA84" i="2" s="1"/>
  <c r="DS84" i="2"/>
  <c r="DQ84" i="2"/>
  <c r="DR84" i="2" s="1"/>
  <c r="EI19" i="2"/>
  <c r="EG19" i="2"/>
  <c r="DV19" i="2"/>
  <c r="DW19" i="2" s="1"/>
  <c r="EG88" i="2"/>
  <c r="DV88" i="2"/>
  <c r="DW88" i="2" s="1"/>
  <c r="EI88" i="2"/>
  <c r="EC29" i="2"/>
  <c r="DY29" i="2"/>
  <c r="DZ29" i="2" s="1"/>
  <c r="EA29" i="2" s="1"/>
  <c r="DS29" i="2"/>
  <c r="DQ29" i="2"/>
  <c r="DR29" i="2" s="1"/>
  <c r="EH29" i="2"/>
  <c r="FW19" i="2"/>
  <c r="FX19" i="2" s="1" a="1"/>
  <c r="FX19" i="2" s="1"/>
  <c r="FR19" i="2" a="1"/>
  <c r="FR19" i="2" s="1"/>
  <c r="GV14" i="2"/>
  <c r="GW14" i="2" s="1"/>
  <c r="CK19" i="2"/>
  <c r="CM19" i="2"/>
  <c r="CE19" i="2"/>
  <c r="GV19" i="2"/>
  <c r="GW19" i="2" s="1"/>
  <c r="DV12" i="2"/>
  <c r="DW12" i="2" s="1"/>
  <c r="EI12" i="2"/>
  <c r="EG12" i="2"/>
  <c r="EH328" i="2"/>
  <c r="EC328" i="2"/>
  <c r="DY328" i="2"/>
  <c r="DZ328" i="2" s="1"/>
  <c r="EA328" i="2" s="1"/>
  <c r="DS328" i="2"/>
  <c r="DQ328" i="2"/>
  <c r="DR328" i="2" s="1"/>
  <c r="EC385" i="2"/>
  <c r="DY385" i="2"/>
  <c r="DZ385" i="2" s="1"/>
  <c r="EA385" i="2" s="1"/>
  <c r="EH385" i="2"/>
  <c r="DS385" i="2"/>
  <c r="DQ385" i="2"/>
  <c r="DR385" i="2" s="1"/>
  <c r="GV361" i="2"/>
  <c r="GW361" i="2" s="1"/>
  <c r="GV366" i="2"/>
  <c r="GW366" i="2" s="1"/>
  <c r="FR394" i="2" a="1"/>
  <c r="FR394" i="2" s="1"/>
  <c r="FW394" i="2"/>
  <c r="FX394" i="2" s="1" a="1"/>
  <c r="FX394" i="2" s="1"/>
  <c r="DV389" i="2"/>
  <c r="DW389" i="2" s="1"/>
  <c r="EG389" i="2"/>
  <c r="EI389" i="2"/>
  <c r="CK374" i="2"/>
  <c r="CE374" i="2"/>
  <c r="CM374" i="2"/>
  <c r="GV374" i="2"/>
  <c r="GW374" i="2" s="1"/>
  <c r="GV229" i="2"/>
  <c r="CM229" i="2"/>
  <c r="CK229" i="2"/>
  <c r="CE229" i="2"/>
  <c r="CK379" i="2"/>
  <c r="CE379" i="2"/>
  <c r="CM379" i="2"/>
  <c r="EI376" i="2"/>
  <c r="EG376" i="2"/>
  <c r="DV376" i="2"/>
  <c r="DW376" i="2" s="1"/>
  <c r="Z344" i="2"/>
  <c r="AA344" i="2"/>
  <c r="FR337" i="2" a="1"/>
  <c r="FR337" i="2" s="1"/>
  <c r="EI328" i="2"/>
  <c r="EG328" i="2"/>
  <c r="DV328" i="2"/>
  <c r="DW328" i="2" s="1"/>
  <c r="EG333" i="2"/>
  <c r="DV333" i="2"/>
  <c r="DW333" i="2" s="1"/>
  <c r="EI333" i="2"/>
  <c r="GV325" i="2"/>
  <c r="GW325" i="2" s="1"/>
  <c r="FW328" i="2"/>
  <c r="FX328" i="2" s="1" a="1"/>
  <c r="FX328" i="2" s="1"/>
  <c r="FR328" i="2" a="1"/>
  <c r="FR328" i="2" s="1"/>
  <c r="Z364" i="2"/>
  <c r="AA364" i="2"/>
  <c r="CM314" i="2"/>
  <c r="CE314" i="2"/>
  <c r="GV314" i="2"/>
  <c r="GW314" i="2" s="1"/>
  <c r="CK314" i="2"/>
  <c r="EG336" i="2"/>
  <c r="DV336" i="2"/>
  <c r="DW336" i="2" s="1"/>
  <c r="EI336" i="2"/>
  <c r="EC309" i="2"/>
  <c r="DY309" i="2"/>
  <c r="DZ309" i="2" s="1"/>
  <c r="EA309" i="2" s="1"/>
  <c r="DS309" i="2"/>
  <c r="DQ309" i="2"/>
  <c r="DR309" i="2" s="1"/>
  <c r="EH309" i="2"/>
  <c r="FR302" i="2" a="1"/>
  <c r="FR302" i="2" s="1"/>
  <c r="DS281" i="2"/>
  <c r="DQ281" i="2"/>
  <c r="DR281" i="2" s="1"/>
  <c r="EH281" i="2"/>
  <c r="EC281" i="2"/>
  <c r="DY281" i="2"/>
  <c r="DZ281" i="2" s="1"/>
  <c r="EA281" i="2" s="1"/>
  <c r="AA286" i="2"/>
  <c r="Z286" i="2"/>
  <c r="EH271" i="2"/>
  <c r="EC271" i="2"/>
  <c r="DY271" i="2"/>
  <c r="DZ271" i="2" s="1"/>
  <c r="EA271" i="2" s="1"/>
  <c r="DS271" i="2"/>
  <c r="DQ271" i="2"/>
  <c r="DR271" i="2" s="1"/>
  <c r="EG268" i="2"/>
  <c r="DV268" i="2"/>
  <c r="DW268" i="2" s="1"/>
  <c r="EI268" i="2"/>
  <c r="FW280" i="2"/>
  <c r="FX280" i="2" s="1" a="1"/>
  <c r="FX280" i="2" s="1"/>
  <c r="FR280" i="2" a="1"/>
  <c r="FR280" i="2" s="1"/>
  <c r="GV102" i="2"/>
  <c r="GW102" i="2" s="1"/>
  <c r="EI256" i="2"/>
  <c r="EG256" i="2"/>
  <c r="DV256" i="2"/>
  <c r="DW256" i="2" s="1"/>
  <c r="DS308" i="2"/>
  <c r="DQ308" i="2"/>
  <c r="DR308" i="2" s="1"/>
  <c r="EC308" i="2"/>
  <c r="EH308" i="2"/>
  <c r="DY308" i="2"/>
  <c r="DZ308" i="2" s="1"/>
  <c r="EA308" i="2" s="1"/>
  <c r="FQ265" i="2"/>
  <c r="CK220" i="2"/>
  <c r="CM220" i="2"/>
  <c r="CE220" i="2"/>
  <c r="GV220" i="2"/>
  <c r="GW220" i="2" s="1"/>
  <c r="EI205" i="2"/>
  <c r="EG205" i="2"/>
  <c r="DV205" i="2"/>
  <c r="DW205" i="2" s="1"/>
  <c r="GV182" i="2"/>
  <c r="GW182" i="2" s="1"/>
  <c r="FR200" i="2" a="1"/>
  <c r="FR200" i="2" s="1"/>
  <c r="FU170" i="2"/>
  <c r="FV170" i="2" s="1"/>
  <c r="EC190" i="2"/>
  <c r="DY190" i="2"/>
  <c r="DZ190" i="2" s="1"/>
  <c r="EA190" i="2" s="1"/>
  <c r="DS190" i="2"/>
  <c r="DQ190" i="2"/>
  <c r="DR190" i="2" s="1"/>
  <c r="EH190" i="2"/>
  <c r="EG196" i="2"/>
  <c r="DV196" i="2"/>
  <c r="DW196" i="2" s="1"/>
  <c r="EI196" i="2"/>
  <c r="DY173" i="2"/>
  <c r="DZ173" i="2" s="1"/>
  <c r="EA173" i="2" s="1"/>
  <c r="EC173" i="2"/>
  <c r="DS173" i="2"/>
  <c r="DQ173" i="2"/>
  <c r="DR173" i="2" s="1"/>
  <c r="EH173" i="2"/>
  <c r="DV135" i="2"/>
  <c r="DW135" i="2" s="1"/>
  <c r="EG135" i="2"/>
  <c r="EI135" i="2"/>
  <c r="FR141" i="2" a="1"/>
  <c r="FR141" i="2" s="1"/>
  <c r="DY121" i="2"/>
  <c r="DZ121" i="2" s="1"/>
  <c r="EA121" i="2" s="1"/>
  <c r="DS121" i="2"/>
  <c r="DQ121" i="2"/>
  <c r="DR121" i="2" s="1"/>
  <c r="EH121" i="2"/>
  <c r="EC121" i="2"/>
  <c r="CK165" i="2"/>
  <c r="CM165" i="2"/>
  <c r="CE165" i="2"/>
  <c r="GV165" i="2"/>
  <c r="GW165" i="2" s="1"/>
  <c r="Z91" i="2"/>
  <c r="AA91" i="2"/>
  <c r="DS132" i="2"/>
  <c r="DQ132" i="2"/>
  <c r="DR132" i="2" s="1"/>
  <c r="EH132" i="2"/>
  <c r="EC132" i="2"/>
  <c r="DY132" i="2"/>
  <c r="DZ132" i="2" s="1"/>
  <c r="EA132" i="2" s="1"/>
  <c r="GV118" i="2"/>
  <c r="GW118" i="2" s="1"/>
  <c r="FR118" i="2" a="1"/>
  <c r="FR118" i="2" s="1"/>
  <c r="FR114" i="2" a="1"/>
  <c r="FR114" i="2" s="1"/>
  <c r="EG79" i="2"/>
  <c r="DV79" i="2"/>
  <c r="DW79" i="2" s="1"/>
  <c r="EI79" i="2"/>
  <c r="EC166" i="2"/>
  <c r="DY166" i="2"/>
  <c r="DZ166" i="2" s="1"/>
  <c r="EA166" i="2" s="1"/>
  <c r="DS166" i="2"/>
  <c r="DQ166" i="2"/>
  <c r="DR166" i="2" s="1"/>
  <c r="EH166" i="2"/>
  <c r="EC72" i="2"/>
  <c r="DY72" i="2"/>
  <c r="DZ72" i="2" s="1"/>
  <c r="EA72" i="2" s="1"/>
  <c r="DS72" i="2"/>
  <c r="DQ72" i="2"/>
  <c r="DR72" i="2" s="1"/>
  <c r="EH72" i="2"/>
  <c r="EG93" i="2"/>
  <c r="DV93" i="2"/>
  <c r="DW93" i="2" s="1"/>
  <c r="EI93" i="2"/>
  <c r="GV70" i="2"/>
  <c r="GW70" i="2" s="1"/>
  <c r="EH88" i="2"/>
  <c r="EC88" i="2"/>
  <c r="DY88" i="2"/>
  <c r="DZ88" i="2" s="1"/>
  <c r="EA88" i="2" s="1"/>
  <c r="DS88" i="2"/>
  <c r="DQ88" i="2"/>
  <c r="DR88" i="2" s="1"/>
  <c r="DV29" i="2"/>
  <c r="DW29" i="2" s="1"/>
  <c r="EI29" i="2"/>
  <c r="EG29" i="2"/>
  <c r="FR111" i="2" a="1"/>
  <c r="FR111" i="2" s="1"/>
  <c r="EC44" i="2"/>
  <c r="DY44" i="2"/>
  <c r="DZ44" i="2" s="1"/>
  <c r="EA44" i="2" s="1"/>
  <c r="DS44" i="2"/>
  <c r="DQ44" i="2"/>
  <c r="DR44" i="2" s="1"/>
  <c r="EH44" i="2"/>
  <c r="FE161" i="2"/>
  <c r="FC161" i="2"/>
  <c r="FC390" i="2"/>
  <c r="FE244" i="2"/>
  <c r="FC244" i="2"/>
  <c r="FE311" i="2"/>
  <c r="FC311" i="2"/>
  <c r="FE390" i="2"/>
  <c r="FU161" i="2" l="1"/>
  <c r="FV161" i="2" s="1"/>
  <c r="FH161" i="2"/>
  <c r="FK161" i="2" s="1"/>
  <c r="GJ161" i="2"/>
  <c r="FN395" i="2"/>
  <c r="FU244" i="2"/>
  <c r="FV244" i="2" s="1"/>
  <c r="EX244" i="2"/>
  <c r="AB395" i="2"/>
  <c r="FK257" i="2"/>
  <c r="FU257" i="2"/>
  <c r="FV257" i="2" s="1"/>
  <c r="EX257" i="2"/>
  <c r="DU395" i="2"/>
  <c r="DO395" i="2"/>
  <c r="CM395" i="2"/>
  <c r="CI395" i="2"/>
  <c r="AA395" i="2"/>
  <c r="CK395" i="2"/>
  <c r="CF405" i="2" s="1"/>
  <c r="CF406" i="2" s="1"/>
  <c r="FO395" i="2"/>
  <c r="FU252" i="2"/>
  <c r="FV252" i="2" s="1"/>
  <c r="EX252" i="2"/>
  <c r="EY252" i="2" s="1"/>
  <c r="FK252" i="2"/>
  <c r="FU30" i="2"/>
  <c r="FV30" i="2" s="1"/>
  <c r="EC265" i="2"/>
  <c r="EH265" i="2"/>
  <c r="GV265" i="2"/>
  <c r="DQ265" i="2"/>
  <c r="DR265" i="2" s="1"/>
  <c r="DS265" i="2"/>
  <c r="FK30" i="2"/>
  <c r="GV252" i="2"/>
  <c r="EC252" i="2"/>
  <c r="EH252" i="2"/>
  <c r="DQ252" i="2"/>
  <c r="DR252" i="2" s="1"/>
  <c r="EG252" i="2"/>
  <c r="EI252" i="2" s="1"/>
  <c r="DS252" i="2"/>
  <c r="DV252" i="2"/>
  <c r="DW252" i="2" s="1"/>
  <c r="DY266" i="2"/>
  <c r="DZ266" i="2" s="1"/>
  <c r="EA266" i="2" s="1"/>
  <c r="EC266" i="2"/>
  <c r="EE266" i="2" s="1"/>
  <c r="EF266" i="2" s="1"/>
  <c r="EG266" i="2" s="1"/>
  <c r="EI266" i="2" s="1"/>
  <c r="DQ266" i="2"/>
  <c r="DR266" i="2" s="1"/>
  <c r="EH266" i="2"/>
  <c r="GV266" i="2"/>
  <c r="DS266" i="2"/>
  <c r="DV266" i="2"/>
  <c r="DW266" i="2" s="1"/>
  <c r="EH258" i="2"/>
  <c r="EC258" i="2"/>
  <c r="DY258" i="2"/>
  <c r="DZ258" i="2" s="1"/>
  <c r="EA258" i="2" s="1"/>
  <c r="DS258" i="2"/>
  <c r="DQ258" i="2"/>
  <c r="DR258" i="2" s="1"/>
  <c r="EI258" i="2"/>
  <c r="DV258" i="2"/>
  <c r="DW258" i="2" s="1"/>
  <c r="EG258" i="2"/>
  <c r="EI263" i="2"/>
  <c r="EG263" i="2"/>
  <c r="DV263" i="2"/>
  <c r="DW263" i="2" s="1"/>
  <c r="DS263" i="2"/>
  <c r="DY263" i="2"/>
  <c r="DZ263" i="2" s="1"/>
  <c r="EA263" i="2" s="1"/>
  <c r="DQ263" i="2"/>
  <c r="DR263" i="2" s="1"/>
  <c r="EH263" i="2"/>
  <c r="EC263" i="2"/>
  <c r="FU311" i="2"/>
  <c r="FV311" i="2" s="1"/>
  <c r="EX311" i="2"/>
  <c r="EY311" i="2" s="1"/>
  <c r="FU258" i="2"/>
  <c r="FV258" i="2" s="1"/>
  <c r="EX258" i="2"/>
  <c r="EY258" i="2" s="1"/>
  <c r="FK258" i="2"/>
  <c r="EY392" i="2"/>
  <c r="GJ392" i="2"/>
  <c r="FU266" i="2"/>
  <c r="FV266" i="2" s="1"/>
  <c r="EX266" i="2"/>
  <c r="EY266" i="2" s="1"/>
  <c r="FW265" i="2"/>
  <c r="FX265" i="2" s="1" a="1"/>
  <c r="FU390" i="2"/>
  <c r="FV390" i="2" s="1"/>
  <c r="EX390" i="2"/>
  <c r="EY390" i="2" s="1"/>
  <c r="GJ30" i="2"/>
  <c r="EY30" i="2"/>
  <c r="FK390" i="2"/>
  <c r="FU261" i="2"/>
  <c r="FV261" i="2" s="1"/>
  <c r="EX261" i="2"/>
  <c r="FK392" i="2"/>
  <c r="FQ392" i="2"/>
  <c r="FU167" i="2"/>
  <c r="FV167" i="2" s="1"/>
  <c r="EX167" i="2"/>
  <c r="EY167" i="2" s="1"/>
  <c r="FR265" i="2" a="1"/>
  <c r="FQ161" i="2" l="1"/>
  <c r="FW161" i="2" s="1"/>
  <c r="FX161" i="2" s="1" a="1"/>
  <c r="FK244" i="2"/>
  <c r="FQ244" i="2"/>
  <c r="EY244" i="2"/>
  <c r="GJ244" i="2"/>
  <c r="EY257" i="2"/>
  <c r="GJ257" i="2"/>
  <c r="FQ257" i="2"/>
  <c r="GV395" i="2"/>
  <c r="DS395" i="2"/>
  <c r="EG395" i="2"/>
  <c r="EH395" i="2"/>
  <c r="DV395" i="2"/>
  <c r="FQ252" i="2"/>
  <c r="FW252" i="2" s="1"/>
  <c r="FX252" i="2" s="1" a="1"/>
  <c r="FQ30" i="2"/>
  <c r="FW30" i="2" s="1"/>
  <c r="FX30" i="2" s="1" a="1"/>
  <c r="GJ390" i="2"/>
  <c r="FQ258" i="2"/>
  <c r="FW258" i="2" s="1"/>
  <c r="FX258" i="2" s="1" a="1"/>
  <c r="GJ311" i="2"/>
  <c r="FQ390" i="2"/>
  <c r="FW390" i="2" s="1"/>
  <c r="FX390" i="2" s="1" a="1"/>
  <c r="FR265" i="2"/>
  <c r="FX265" i="2"/>
  <c r="GW267" i="2"/>
  <c r="FK266" i="2"/>
  <c r="FQ266" i="2"/>
  <c r="EY261" i="2"/>
  <c r="GJ261" i="2"/>
  <c r="GJ167" i="2"/>
  <c r="FW392" i="2"/>
  <c r="FX392" i="2" s="1" a="1"/>
  <c r="FK311" i="2"/>
  <c r="FQ311" i="2"/>
  <c r="FK167" i="2"/>
  <c r="FQ167" i="2"/>
  <c r="FK261" i="2"/>
  <c r="FQ261" i="2"/>
  <c r="FR392" i="2" a="1"/>
  <c r="FR161" i="2" l="1" a="1"/>
  <c r="FR161" i="2" s="1"/>
  <c r="FX161" i="2"/>
  <c r="GW175" i="2"/>
  <c r="GW64" i="2"/>
  <c r="FW244" i="2"/>
  <c r="FX244" i="2" s="1" a="1"/>
  <c r="FR30" i="2" a="1"/>
  <c r="FR30" i="2" s="1"/>
  <c r="FW257" i="2"/>
  <c r="FX257" i="2" s="1" a="1"/>
  <c r="GW161" i="2"/>
  <c r="FX252" i="2"/>
  <c r="GW201" i="2"/>
  <c r="GW227" i="2"/>
  <c r="GW252" i="2"/>
  <c r="GW258" i="2"/>
  <c r="GW261" i="2"/>
  <c r="GW388" i="2"/>
  <c r="GW389" i="2"/>
  <c r="GW264" i="2"/>
  <c r="GW228" i="2"/>
  <c r="GW263" i="2"/>
  <c r="GW259" i="2"/>
  <c r="GW257" i="2"/>
  <c r="GW244" i="2"/>
  <c r="GW364" i="2"/>
  <c r="GW266" i="2"/>
  <c r="GW387" i="2"/>
  <c r="GW292" i="2"/>
  <c r="GW167" i="2"/>
  <c r="GW235" i="2"/>
  <c r="GW391" i="2"/>
  <c r="GW30" i="2"/>
  <c r="GW393" i="2"/>
  <c r="GW265" i="2"/>
  <c r="GW394" i="2"/>
  <c r="GW308" i="2"/>
  <c r="GW311" i="2"/>
  <c r="GW229" i="2"/>
  <c r="GW392" i="2"/>
  <c r="GW386" i="2"/>
  <c r="GW390" i="2"/>
  <c r="FX258" i="2"/>
  <c r="FX390" i="2"/>
  <c r="FR392" i="2"/>
  <c r="FX30" i="2"/>
  <c r="FX392" i="2"/>
  <c r="FW311" i="2"/>
  <c r="FX311" i="2" s="1" a="1"/>
  <c r="FW266" i="2"/>
  <c r="FX266" i="2" s="1" a="1"/>
  <c r="FW261" i="2"/>
  <c r="FX261" i="2" s="1" a="1"/>
  <c r="FW167" i="2"/>
  <c r="FX167" i="2" s="1" a="1"/>
  <c r="FR167" i="2" a="1"/>
  <c r="FR257" i="2" a="1"/>
  <c r="FR258" i="2" a="1"/>
  <c r="FR266" i="2" a="1"/>
  <c r="FR261" i="2" a="1"/>
  <c r="FR252" i="2" a="1"/>
  <c r="FR311" i="2" a="1"/>
  <c r="FR390" i="2" a="1"/>
  <c r="FR244" i="2" a="1"/>
  <c r="FX244" i="2" l="1"/>
  <c r="FR252" i="2"/>
  <c r="FR244" i="2"/>
  <c r="FR257" i="2"/>
  <c r="FX257" i="2"/>
  <c r="FR258" i="2"/>
  <c r="GW395" i="2"/>
  <c r="FR390" i="2"/>
  <c r="FR311" i="2"/>
  <c r="FX311" i="2"/>
  <c r="FX266" i="2"/>
  <c r="FR167" i="2"/>
  <c r="FX167" i="2"/>
  <c r="FR261" i="2"/>
  <c r="FX261" i="2"/>
  <c r="FR26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<sst xmlns="http://schemas.openxmlformats.org/spreadsheetml/2006/main" count="2887" uniqueCount="1309">
  <si>
    <t xml:space="preserve"> </t>
  </si>
  <si>
    <t>IRA</t>
  </si>
  <si>
    <t>N/A</t>
  </si>
  <si>
    <t>Confirmed</t>
  </si>
  <si>
    <t>Financial</t>
  </si>
  <si>
    <t>Exchange Traded Fund</t>
  </si>
  <si>
    <t>exit</t>
  </si>
  <si>
    <t>XLU</t>
  </si>
  <si>
    <t>LOW</t>
  </si>
  <si>
    <t>Technology</t>
  </si>
  <si>
    <t>Semiconductor - Integrated Circuits</t>
  </si>
  <si>
    <t>XLNX</t>
  </si>
  <si>
    <t>Regional - Midwest Banks</t>
  </si>
  <si>
    <t>USB</t>
  </si>
  <si>
    <t>Services</t>
  </si>
  <si>
    <t>Air Delivery &amp; Freight Services</t>
  </si>
  <si>
    <t>UPS</t>
  </si>
  <si>
    <t>Consumer Goods</t>
  </si>
  <si>
    <t>Personal Products</t>
  </si>
  <si>
    <t>UN</t>
  </si>
  <si>
    <t>Industrial Goods</t>
  </si>
  <si>
    <t>Machine Tools &amp; Accessories</t>
  </si>
  <si>
    <t>TKR</t>
  </si>
  <si>
    <t>Department Stores</t>
  </si>
  <si>
    <t>Money Center Banks</t>
  </si>
  <si>
    <t>STI</t>
  </si>
  <si>
    <t>Assignment</t>
  </si>
  <si>
    <t>assignment</t>
  </si>
  <si>
    <t>spinoff Homes &amp; Transportation Services div, aerospace growth</t>
  </si>
  <si>
    <t>Diversified Machinery</t>
  </si>
  <si>
    <t>HON</t>
  </si>
  <si>
    <t>Textile - Apparel Footwear &amp; Accessories</t>
  </si>
  <si>
    <t>stop out</t>
  </si>
  <si>
    <t>FL</t>
  </si>
  <si>
    <t>Textile - Apparel Clothing</t>
  </si>
  <si>
    <t>UA</t>
  </si>
  <si>
    <t>Telecom Services - Domestic</t>
  </si>
  <si>
    <t>VZ</t>
  </si>
  <si>
    <t>free money</t>
  </si>
  <si>
    <t>Internet Software &amp; Services</t>
  </si>
  <si>
    <t>SQ</t>
  </si>
  <si>
    <t>Basic Materials</t>
  </si>
  <si>
    <t>Oil &amp; Gas Equipment &amp; Services</t>
  </si>
  <si>
    <t>Sporting Goods Stores</t>
  </si>
  <si>
    <t>DKS</t>
  </si>
  <si>
    <t>Losses</t>
  </si>
  <si>
    <t>ITM</t>
  </si>
  <si>
    <t>Specialty Retail, Other</t>
  </si>
  <si>
    <t>EBAY</t>
  </si>
  <si>
    <t>Healthcare</t>
  </si>
  <si>
    <t>AGN</t>
  </si>
  <si>
    <t>Specialty Eateries</t>
  </si>
  <si>
    <t>SBUX</t>
  </si>
  <si>
    <t>T</t>
  </si>
  <si>
    <t>Silver</t>
  </si>
  <si>
    <t>Business Software &amp; Services</t>
  </si>
  <si>
    <t>AVGO</t>
  </si>
  <si>
    <t>AMD</t>
  </si>
  <si>
    <t>Security Software &amp; Services</t>
  </si>
  <si>
    <t>CHKP</t>
  </si>
  <si>
    <t>Restaurants</t>
  </si>
  <si>
    <t>DRI</t>
  </si>
  <si>
    <t>DPZ</t>
  </si>
  <si>
    <t>Aerospace/Defense - Major Diversified</t>
  </si>
  <si>
    <t>Resorts &amp; Casinos</t>
  </si>
  <si>
    <t>WYNN</t>
  </si>
  <si>
    <t>Rental &amp; Leasing Services</t>
  </si>
  <si>
    <t>CAR</t>
  </si>
  <si>
    <t>REIT - Office</t>
  </si>
  <si>
    <t>ARE</t>
  </si>
  <si>
    <t>Regional Airlines</t>
  </si>
  <si>
    <t>LUV</t>
  </si>
  <si>
    <t>Regional - Southeast Banks</t>
  </si>
  <si>
    <t>CSFL</t>
  </si>
  <si>
    <t>Regional - Northeast Banks</t>
  </si>
  <si>
    <t>VLY</t>
  </si>
  <si>
    <t>KEY</t>
  </si>
  <si>
    <t>Property &amp; Casualty Insurance</t>
  </si>
  <si>
    <t>HIG</t>
  </si>
  <si>
    <t>AIG</t>
  </si>
  <si>
    <t>Printed Circuit Boards</t>
  </si>
  <si>
    <t>FLEX</t>
  </si>
  <si>
    <t>Personal Services</t>
  </si>
  <si>
    <t>HRB</t>
  </si>
  <si>
    <t>Elanco Animal Health division sale or spin</t>
  </si>
  <si>
    <t>Drug Manufacturers - Major</t>
  </si>
  <si>
    <t>LLY</t>
  </si>
  <si>
    <t>Packaging &amp; Containers</t>
  </si>
  <si>
    <t>WRK</t>
  </si>
  <si>
    <t>T1</t>
  </si>
  <si>
    <t>Oil &amp; Gas Refining &amp; Marketing</t>
  </si>
  <si>
    <t>VLO</t>
  </si>
  <si>
    <t>Oil &amp; Gas Pipelines</t>
  </si>
  <si>
    <t>KMI</t>
  </si>
  <si>
    <t>Internet Information Providers</t>
  </si>
  <si>
    <t>HAL</t>
  </si>
  <si>
    <t>DNOW</t>
  </si>
  <si>
    <t>Oil &amp; Gas Drilling &amp; Exploration</t>
  </si>
  <si>
    <t>ESV</t>
  </si>
  <si>
    <t>CSCO</t>
  </si>
  <si>
    <t>ATVI</t>
  </si>
  <si>
    <t>WFC</t>
  </si>
  <si>
    <t>BAC</t>
  </si>
  <si>
    <t>AAPL</t>
  </si>
  <si>
    <t>tax reform beneficiary, provider of data to growing data stream consumers</t>
  </si>
  <si>
    <t>Entertainment - Diversified</t>
  </si>
  <si>
    <t>CMCSA</t>
  </si>
  <si>
    <t>Medical Laboratories &amp; Research</t>
  </si>
  <si>
    <t>TMO</t>
  </si>
  <si>
    <t>max loss</t>
  </si>
  <si>
    <t>max gain</t>
  </si>
  <si>
    <t>Medical Instruments &amp; Supplies</t>
  </si>
  <si>
    <t>Independent Oil &amp; Gas</t>
  </si>
  <si>
    <t>XEC</t>
  </si>
  <si>
    <t>Major Integrated Oil &amp; Gas</t>
  </si>
  <si>
    <t>XOM</t>
  </si>
  <si>
    <t>BP</t>
  </si>
  <si>
    <t>Major Airlines</t>
  </si>
  <si>
    <t>DAL</t>
  </si>
  <si>
    <t>SWK</t>
  </si>
  <si>
    <t>Waste Management</t>
  </si>
  <si>
    <t>TWTR</t>
  </si>
  <si>
    <t>SNAP</t>
  </si>
  <si>
    <t>GDDY</t>
  </si>
  <si>
    <t>Discount, Variety Stores</t>
  </si>
  <si>
    <t>WMT</t>
  </si>
  <si>
    <t>TXT</t>
  </si>
  <si>
    <t>Beverages - Wineries &amp; Distillers</t>
  </si>
  <si>
    <t>STZ</t>
  </si>
  <si>
    <t>Information Technology Services</t>
  </si>
  <si>
    <t>DXC</t>
  </si>
  <si>
    <t>Industrial Metals &amp; Minerals</t>
  </si>
  <si>
    <t>VALE</t>
  </si>
  <si>
    <t>Industrial Equipment Wholesale</t>
  </si>
  <si>
    <t>FAST</t>
  </si>
  <si>
    <t>Aerospace/Defense Products &amp; Services</t>
  </si>
  <si>
    <t>Beverages - Soft Drinks</t>
  </si>
  <si>
    <t>PEP</t>
  </si>
  <si>
    <t>EOG</t>
  </si>
  <si>
    <t>APA</t>
  </si>
  <si>
    <t>Housewares &amp; Accessories</t>
  </si>
  <si>
    <t>Home Improvement Stores</t>
  </si>
  <si>
    <t>BE</t>
  </si>
  <si>
    <t>HD</t>
  </si>
  <si>
    <t>ex-div</t>
  </si>
  <si>
    <t>Home Furnishing Stores</t>
  </si>
  <si>
    <t>WSM</t>
  </si>
  <si>
    <t>BBBY</t>
  </si>
  <si>
    <t>Health Care Plans</t>
  </si>
  <si>
    <t>CI</t>
  </si>
  <si>
    <t>Grocery Stores</t>
  </si>
  <si>
    <t>KR</t>
  </si>
  <si>
    <t>conference</t>
  </si>
  <si>
    <t>General Building Materials</t>
  </si>
  <si>
    <t>KSS</t>
  </si>
  <si>
    <t>Foreign Money Center Banks</t>
  </si>
  <si>
    <t>HSBC</t>
  </si>
  <si>
    <t>CS</t>
  </si>
  <si>
    <t>Food - Major Diversified</t>
  </si>
  <si>
    <t>KHC</t>
  </si>
  <si>
    <t>Farm Products</t>
  </si>
  <si>
    <t>ADM</t>
  </si>
  <si>
    <t>XRT</t>
  </si>
  <si>
    <t>XLI</t>
  </si>
  <si>
    <t>-</t>
  </si>
  <si>
    <t>XLE</t>
  </si>
  <si>
    <t>XLB</t>
  </si>
  <si>
    <t>TLT</t>
  </si>
  <si>
    <t>Capped Gain</t>
  </si>
  <si>
    <t>GLD</t>
  </si>
  <si>
    <t>EZU</t>
  </si>
  <si>
    <t>FOXA</t>
  </si>
  <si>
    <t>Macau revenue release</t>
  </si>
  <si>
    <t>LVS</t>
  </si>
  <si>
    <t>CBS</t>
  </si>
  <si>
    <t>BBY</t>
  </si>
  <si>
    <t>Apparel Stores</t>
  </si>
  <si>
    <t>JWN</t>
  </si>
  <si>
    <t>Utilities</t>
  </si>
  <si>
    <t>Electric Utilities</t>
  </si>
  <si>
    <t>ED</t>
  </si>
  <si>
    <t>DUK</t>
  </si>
  <si>
    <t>AEP</t>
  </si>
  <si>
    <t>Credit Services</t>
  </si>
  <si>
    <t>Drug Stores</t>
  </si>
  <si>
    <t>WBA</t>
  </si>
  <si>
    <t>JPM</t>
  </si>
  <si>
    <t>Chemicals - Major Diversified</t>
  </si>
  <si>
    <t>JNJ</t>
  </si>
  <si>
    <t>GSK</t>
  </si>
  <si>
    <t>ABBV</t>
  </si>
  <si>
    <t>Gaming Activities</t>
  </si>
  <si>
    <t>TSG</t>
  </si>
  <si>
    <t>GE</t>
  </si>
  <si>
    <t>ETN</t>
  </si>
  <si>
    <t>CMI</t>
  </si>
  <si>
    <t>Semiconductor - Specialized</t>
  </si>
  <si>
    <t>TGT</t>
  </si>
  <si>
    <t>keep?</t>
  </si>
  <si>
    <t>DG</t>
  </si>
  <si>
    <t>Exit</t>
  </si>
  <si>
    <t>sales report</t>
  </si>
  <si>
    <t>COST</t>
  </si>
  <si>
    <t>M</t>
  </si>
  <si>
    <t>V</t>
  </si>
  <si>
    <t>file form 10s for breakup entities</t>
  </si>
  <si>
    <t>MA</t>
  </si>
  <si>
    <t>AXP</t>
  </si>
  <si>
    <t>Copper</t>
  </si>
  <si>
    <t>Confectioners</t>
  </si>
  <si>
    <t>Communication Equipment</t>
  </si>
  <si>
    <t>CIEN</t>
  </si>
  <si>
    <t>Cleaning Products</t>
  </si>
  <si>
    <t>ECL</t>
  </si>
  <si>
    <t>Cigarettes</t>
  </si>
  <si>
    <t>Industrial Electrical Equipment</t>
  </si>
  <si>
    <t>EMR</t>
  </si>
  <si>
    <t>C</t>
  </si>
  <si>
    <t>BABA</t>
  </si>
  <si>
    <t>DHR</t>
  </si>
  <si>
    <t>FFIV</t>
  </si>
  <si>
    <t>Business Services</t>
  </si>
  <si>
    <t>FDC</t>
  </si>
  <si>
    <t>Biotechnology</t>
  </si>
  <si>
    <t>GILD</t>
  </si>
  <si>
    <t>CELG</t>
  </si>
  <si>
    <t>BIIB</t>
  </si>
  <si>
    <t>Y</t>
  </si>
  <si>
    <t>AMGN</t>
  </si>
  <si>
    <t>FIVE</t>
  </si>
  <si>
    <t>Application Software</t>
  </si>
  <si>
    <t>CRM</t>
  </si>
  <si>
    <t>Beverages - Brewers</t>
  </si>
  <si>
    <t>BUD</t>
  </si>
  <si>
    <t>Auto Parts</t>
  </si>
  <si>
    <t>LEA</t>
  </si>
  <si>
    <t>Auto Manufacturers - Major</t>
  </si>
  <si>
    <t>TSLA</t>
  </si>
  <si>
    <t>GM</t>
  </si>
  <si>
    <t>Auto Dealerships</t>
  </si>
  <si>
    <t>ABG</t>
  </si>
  <si>
    <t>Asset Management</t>
  </si>
  <si>
    <t>BK</t>
  </si>
  <si>
    <t>Semiconductor Equipment &amp; Materials</t>
  </si>
  <si>
    <t>AMAT</t>
  </si>
  <si>
    <t>ADBE</t>
  </si>
  <si>
    <t>APC</t>
  </si>
  <si>
    <t>Aluminum</t>
  </si>
  <si>
    <t>ARNC</t>
  </si>
  <si>
    <t>XPO</t>
  </si>
  <si>
    <t>FDX</t>
  </si>
  <si>
    <t>UTX</t>
  </si>
  <si>
    <t>AMZN</t>
  </si>
  <si>
    <t>LMT</t>
  </si>
  <si>
    <t>BA</t>
  </si>
  <si>
    <t>UNH</t>
  </si>
  <si>
    <t>ABT</t>
  </si>
  <si>
    <t>Exposure</t>
  </si>
  <si>
    <t>Position</t>
  </si>
  <si>
    <t>Has Position</t>
  </si>
  <si>
    <t>SC Symbol Count</t>
  </si>
  <si>
    <t>SC Symbol</t>
  </si>
  <si>
    <t>LC Symbol Count</t>
  </si>
  <si>
    <t>LC Symbol</t>
  </si>
  <si>
    <t>SP Symbol Count</t>
  </si>
  <si>
    <t>SP Symbol</t>
  </si>
  <si>
    <t>LP Symbol Count</t>
  </si>
  <si>
    <t>LP Symbol</t>
  </si>
  <si>
    <t>Simple Sell ROI</t>
  </si>
  <si>
    <t>Sale G/L</t>
  </si>
  <si>
    <t>Sale Basis</t>
  </si>
  <si>
    <t>Sale Proceeds</t>
  </si>
  <si>
    <t>Booked Sale Price</t>
  </si>
  <si>
    <t>Booked Sale Shares</t>
  </si>
  <si>
    <t>Sell Price Gain</t>
  </si>
  <si>
    <t>Sell Price Tgt</t>
  </si>
  <si>
    <t>Sell Shares Pct</t>
  </si>
  <si>
    <t>SC Simple ROO</t>
  </si>
  <si>
    <t>SC Exercise Share Price</t>
  </si>
  <si>
    <t>SC Exercise Gross</t>
  </si>
  <si>
    <t>Gap From Strike</t>
  </si>
  <si>
    <t>SC Time Val</t>
  </si>
  <si>
    <t>SC Break Even</t>
  </si>
  <si>
    <t>SC Min Prem Req</t>
  </si>
  <si>
    <t>SC Premium</t>
  </si>
  <si>
    <t>SC Term</t>
  </si>
  <si>
    <t>SC Book Price</t>
  </si>
  <si>
    <t>SC Fill Date</t>
  </si>
  <si>
    <t>SC Book Date</t>
  </si>
  <si>
    <t>SC Qty</t>
  </si>
  <si>
    <t>SC Strike Price</t>
  </si>
  <si>
    <t>SC Exp Date</t>
  </si>
  <si>
    <t>SC Max Qty</t>
  </si>
  <si>
    <t>LC Contract Value</t>
  </si>
  <si>
    <t>LC Premium</t>
  </si>
  <si>
    <t>LC Book Price</t>
  </si>
  <si>
    <t>LC Fill Date</t>
  </si>
  <si>
    <t>LC Book Date</t>
  </si>
  <si>
    <t>LC Qty</t>
  </si>
  <si>
    <t>LC Strike Price</t>
  </si>
  <si>
    <t>LC Exp Date</t>
  </si>
  <si>
    <t>SP Actual Loss</t>
  </si>
  <si>
    <t>SP Actual Spend</t>
  </si>
  <si>
    <t>SP Gap</t>
  </si>
  <si>
    <t>SP Potential Spend</t>
  </si>
  <si>
    <t>SP Premium</t>
  </si>
  <si>
    <t>SP Book Price</t>
  </si>
  <si>
    <t>SP Fill Date</t>
  </si>
  <si>
    <t>SP Book Date</t>
  </si>
  <si>
    <t>SP Qty</t>
  </si>
  <si>
    <t>SP Strike Price</t>
  </si>
  <si>
    <t>SP Exp Date</t>
  </si>
  <si>
    <t>LP Total Value</t>
  </si>
  <si>
    <t>LP Contract Value</t>
  </si>
  <si>
    <t>LP Premium</t>
  </si>
  <si>
    <t>LP Book Price</t>
  </si>
  <si>
    <t>LP Fill Date</t>
  </si>
  <si>
    <t>LP Book Date</t>
  </si>
  <si>
    <t>LP Qty</t>
  </si>
  <si>
    <t>LP Strike Price</t>
  </si>
  <si>
    <t>LP Exp Date</t>
  </si>
  <si>
    <t>Trade Exp</t>
  </si>
  <si>
    <t>Target Updated</t>
  </si>
  <si>
    <t>Downside Target Reason</t>
  </si>
  <si>
    <t>Downside Target</t>
  </si>
  <si>
    <t>Upside Target Reason</t>
  </si>
  <si>
    <t>From Current %</t>
  </si>
  <si>
    <t>From Current $</t>
  </si>
  <si>
    <t>From Basis $</t>
  </si>
  <si>
    <t xml:space="preserve">From Basis % </t>
  </si>
  <si>
    <t>AAP % From Current</t>
  </si>
  <si>
    <t>Long Term Target</t>
  </si>
  <si>
    <t>Div Ex Date</t>
  </si>
  <si>
    <t>Div Yield</t>
  </si>
  <si>
    <t>Annual Div $</t>
  </si>
  <si>
    <t>Quarterly Div $</t>
  </si>
  <si>
    <t>Div Pay Date</t>
  </si>
  <si>
    <t>EBF Rank</t>
  </si>
  <si>
    <t>Is Core</t>
  </si>
  <si>
    <t>AAP Rank</t>
  </si>
  <si>
    <t>Next Catalyst</t>
  </si>
  <si>
    <t>Earnings Status</t>
  </si>
  <si>
    <t>Earnings Time</t>
  </si>
  <si>
    <t>Earnings Date</t>
  </si>
  <si>
    <t>Watch List</t>
  </si>
  <si>
    <t>Sector</t>
  </si>
  <si>
    <t>Industry</t>
  </si>
  <si>
    <t>Market Crash Price</t>
  </si>
  <si>
    <t>Last Price</t>
  </si>
  <si>
    <t>Symbol</t>
  </si>
  <si>
    <t>Short Calls</t>
  </si>
  <si>
    <t>Long Calls</t>
  </si>
  <si>
    <t>Short Puts</t>
  </si>
  <si>
    <t>Long Puts</t>
  </si>
  <si>
    <t>Targets</t>
  </si>
  <si>
    <t>Target Forecast</t>
  </si>
  <si>
    <t>Current Position</t>
  </si>
  <si>
    <t xml:space="preserve">Target Gap </t>
  </si>
  <si>
    <t>Dividends</t>
  </si>
  <si>
    <t>Portfolio</t>
  </si>
  <si>
    <t>Rank</t>
  </si>
  <si>
    <t>Catalysts</t>
  </si>
  <si>
    <t/>
  </si>
  <si>
    <t>Target</t>
  </si>
  <si>
    <t>Holdings</t>
  </si>
  <si>
    <t>% over</t>
  </si>
  <si>
    <t>% of</t>
  </si>
  <si>
    <t>Crash discount</t>
  </si>
  <si>
    <t>ebf_NotEqual</t>
  </si>
  <si>
    <t>ebf_Equal</t>
  </si>
  <si>
    <t>Highlights a single symbol</t>
  </si>
  <si>
    <t>Symbol Isolation</t>
  </si>
  <si>
    <t>NakedPutAnalysis</t>
  </si>
  <si>
    <t>Naked puts with open GTC BTC orders</t>
  </si>
  <si>
    <t>NakedPut_GTCs</t>
  </si>
  <si>
    <t>*LNG*</t>
  </si>
  <si>
    <t>Long positions including stock and calls</t>
  </si>
  <si>
    <t>LongUpside</t>
  </si>
  <si>
    <t>All long positions</t>
  </si>
  <si>
    <t>LongsOnly</t>
  </si>
  <si>
    <t>All positions with long puts in place</t>
  </si>
  <si>
    <t>LongPutAnalysis</t>
  </si>
  <si>
    <t>All positions with long calls in place</t>
  </si>
  <si>
    <t>LongCallAnalysis</t>
  </si>
  <si>
    <t>LngsOnly</t>
  </si>
  <si>
    <t>ebf_GreaterThan</t>
  </si>
  <si>
    <t>All active positions that report earnings</t>
  </si>
  <si>
    <t>EarningsParticipant</t>
  </si>
  <si>
    <t>All active positions with dividend payouts</t>
  </si>
  <si>
    <t>DividendPayers</t>
  </si>
  <si>
    <t>All positions with covered calls in place</t>
  </si>
  <si>
    <t>CoveredCallAnalysis</t>
  </si>
  <si>
    <t>CC Exp Date</t>
  </si>
  <si>
    <t>CoveredCallExpirationAnalysis</t>
  </si>
  <si>
    <t>Covered calls with open GTC BTC orders</t>
  </si>
  <si>
    <t>CoveredCall_GTCs</t>
  </si>
  <si>
    <t>*W*</t>
  </si>
  <si>
    <t>Show any &amp; all positions held, excluding Watch items</t>
  </si>
  <si>
    <t>AllActivePositions</t>
  </si>
  <si>
    <t>All positions ranked by AAP, whether currently held or not</t>
  </si>
  <si>
    <t>AapRanked</t>
  </si>
  <si>
    <t>2nd Criteria Op2</t>
  </si>
  <si>
    <t>2nd Criteria2</t>
  </si>
  <si>
    <t>XlAutoFilter Op2</t>
  </si>
  <si>
    <t>1st Criteria Op2</t>
  </si>
  <si>
    <t>1st Criteria2</t>
  </si>
  <si>
    <t>Column Name2</t>
  </si>
  <si>
    <t>2nd Criteria Op1</t>
  </si>
  <si>
    <t>2nd Criteria1</t>
  </si>
  <si>
    <t>XlAutoFilter Op1</t>
  </si>
  <si>
    <t>1st Criteria Op1</t>
  </si>
  <si>
    <t>1st Criteria1</t>
  </si>
  <si>
    <t>Column Name1</t>
  </si>
  <si>
    <t>Comments</t>
  </si>
  <si>
    <t>Spec Name</t>
  </si>
  <si>
    <t>Filter Name</t>
  </si>
  <si>
    <t>Auto  Filters</t>
  </si>
  <si>
    <t>Desc</t>
  </si>
  <si>
    <t>Asc</t>
  </si>
  <si>
    <t>Trades Expiring</t>
  </si>
  <si>
    <t>Option Cleanup</t>
  </si>
  <si>
    <t>NakedPuts By Open GTC Orders</t>
  </si>
  <si>
    <t>NakedPuts By Expiration Date</t>
  </si>
  <si>
    <t>NakedPut Exposure</t>
  </si>
  <si>
    <t>Long Puts Exposure</t>
  </si>
  <si>
    <t>Long Exposure</t>
  </si>
  <si>
    <t>Long Calls Exposure</t>
  </si>
  <si>
    <t>Earnings Upcoming</t>
  </si>
  <si>
    <t>Dividend Upcoming</t>
  </si>
  <si>
    <t>CoveredCalls By Open GTC Orders</t>
  </si>
  <si>
    <t>CoveredCalls By Expiration Date</t>
  </si>
  <si>
    <t>CoveredCalls Available To Sell</t>
  </si>
  <si>
    <t>All Active Positions</t>
  </si>
  <si>
    <t>AAP Rankings</t>
  </si>
  <si>
    <t>AAP Potential Gains</t>
  </si>
  <si>
    <t>SortDir3</t>
  </si>
  <si>
    <t>SortCol3</t>
  </si>
  <si>
    <t>SortDir2</t>
  </si>
  <si>
    <t>SortCol2</t>
  </si>
  <si>
    <t>SortDir1</t>
  </si>
  <si>
    <t>SortCol1</t>
  </si>
  <si>
    <t>CriteriaFilterName</t>
  </si>
  <si>
    <t>AutoFilterName</t>
  </si>
  <si>
    <t>GroupName3</t>
  </si>
  <si>
    <t>GroupName2</t>
  </si>
  <si>
    <t>GroupName1</t>
  </si>
  <si>
    <t>ViewName</t>
  </si>
  <si>
    <t>Total</t>
  </si>
  <si>
    <t>Validated:</t>
  </si>
  <si>
    <t>Last Updated:</t>
  </si>
  <si>
    <t>Level</t>
  </si>
  <si>
    <t>Parent</t>
  </si>
  <si>
    <t>Address</t>
  </si>
  <si>
    <t>Order</t>
  </si>
  <si>
    <t>Name</t>
  </si>
  <si>
    <t>Grand Total</t>
  </si>
  <si>
    <t>Pct of Total</t>
  </si>
  <si>
    <t>Total Exposure</t>
  </si>
  <si>
    <t>Sector Analysis / Industry</t>
  </si>
  <si>
    <t>(Multiple Items)</t>
  </si>
  <si>
    <t>CoveredCall_Unfilled</t>
  </si>
  <si>
    <t>Covered call bids not yet filled</t>
  </si>
  <si>
    <t>CoveredCalls With Unfilled Bids</t>
  </si>
  <si>
    <t>NakedPut_Unfilled</t>
  </si>
  <si>
    <t>Naked put bids not yet filled</t>
  </si>
  <si>
    <t>NakedPuts With Unfilled Bids</t>
  </si>
  <si>
    <t>TNA</t>
  </si>
  <si>
    <t>VMW</t>
  </si>
  <si>
    <t>Technical &amp; System Software</t>
  </si>
  <si>
    <t>LITE</t>
  </si>
  <si>
    <t>ACN</t>
  </si>
  <si>
    <t>GUID Lookup</t>
  </si>
  <si>
    <t>{B8945C0B-CB16-DC6E-B1E5-8C19749A44CC}</t>
  </si>
  <si>
    <t>{9FE3AF48-2FA0-922C-9146-5EF6422A66B5}</t>
  </si>
  <si>
    <t>{933917E4-C64E-9961-AAED-08E6A8875641}</t>
  </si>
  <si>
    <t>{4F165727-4982-EA86-8C7B-9C03125208A8}</t>
  </si>
  <si>
    <t>{C13A752B-E81B-6773-9193-E174DB4A4105}</t>
  </si>
  <si>
    <t>{C4474517-3D9B-E581-A6E2-E95273F2058E}</t>
  </si>
  <si>
    <t>{86DCABF5-76A3-68C8-9839-7AD65428395D}</t>
  </si>
  <si>
    <t>{73AB9C2C-3E11-C672-831B-8837BB6EB1AB}</t>
  </si>
  <si>
    <t>{0664FCA6-B457-E2A5-8316-E87F3664828E}</t>
  </si>
  <si>
    <t>{8EA7A1BB-7235-C18B-A5FC-AED62ECA6032}</t>
  </si>
  <si>
    <t>{8624AD73-D65C-374D-A66D-9E85D44350BD}</t>
  </si>
  <si>
    <t>{4B6CB716-5B5C-29E4-B2F9-9E94D17B4668}</t>
  </si>
  <si>
    <t>{4931D2AE-3ED7-7CD6-9562-913A83F7064B}</t>
  </si>
  <si>
    <t>{DC320263-FD9B-240C-AC57-8C8335958691}</t>
  </si>
  <si>
    <t>{83EEFD6C-F43A-05A2-8468-54C566D6BA6E}</t>
  </si>
  <si>
    <t>{A839B7E4-AD46-04FB-A948-CD18617A76EF}</t>
  </si>
  <si>
    <t>{98913402-688C-1615-A895-EC96B214BE5A}</t>
  </si>
  <si>
    <t>{C1C739EE-A0AE-0E14-AC11-8568B75169B9}</t>
  </si>
  <si>
    <t>{F495D5C3-5177-9052-9B9E-C893E599CBAB}</t>
  </si>
  <si>
    <t>{4888465F-8970-62A2-9619-B765B31D17BB}</t>
  </si>
  <si>
    <t>KO</t>
  </si>
  <si>
    <t>TWLO</t>
  </si>
  <si>
    <t>LRCX</t>
  </si>
  <si>
    <t>CVS</t>
  </si>
  <si>
    <t>YNDX</t>
  </si>
  <si>
    <t>KTOS</t>
  </si>
  <si>
    <t>LABU</t>
  </si>
  <si>
    <t>XBI</t>
  </si>
  <si>
    <t>TME</t>
  </si>
  <si>
    <t>MAR</t>
  </si>
  <si>
    <t>Lodging</t>
  </si>
  <si>
    <t>ADSK</t>
  </si>
  <si>
    <t>ZUO</t>
  </si>
  <si>
    <t>CRON</t>
  </si>
  <si>
    <t>CMG</t>
  </si>
  <si>
    <t>DOW</t>
  </si>
  <si>
    <t>CNC</t>
  </si>
  <si>
    <t>condor</t>
  </si>
  <si>
    <t>USO</t>
  </si>
  <si>
    <t>LP Max Value</t>
  </si>
  <si>
    <t>SC Buyback Override</t>
  </si>
  <si>
    <t>SC Buyback Point</t>
  </si>
  <si>
    <t>SC Buyback GTC Date</t>
  </si>
  <si>
    <t>SP Buyback Point</t>
  </si>
  <si>
    <t>SP Buyback GTC Date</t>
  </si>
  <si>
    <t>SC Should Buyback</t>
  </si>
  <si>
    <t>SP Buyback Override</t>
  </si>
  <si>
    <t>SP Buyback Price to Use</t>
  </si>
  <si>
    <t>ARWR</t>
  </si>
  <si>
    <t>TMUS</t>
  </si>
  <si>
    <t>Wireless Communications</t>
  </si>
  <si>
    <t>FCC ruling</t>
  </si>
  <si>
    <t>DE</t>
  </si>
  <si>
    <t>Farm &amp; Construction Machinery</t>
  </si>
  <si>
    <t>CTVA</t>
  </si>
  <si>
    <t>DD</t>
  </si>
  <si>
    <t>UBER</t>
  </si>
  <si>
    <t>LYFT</t>
  </si>
  <si>
    <t>HAS</t>
  </si>
  <si>
    <t>Toys &amp; Games</t>
  </si>
  <si>
    <t>BuPS</t>
  </si>
  <si>
    <t>BuCS</t>
  </si>
  <si>
    <t>GH</t>
  </si>
  <si>
    <t>BuyWrite</t>
  </si>
  <si>
    <t>CODA</t>
  </si>
  <si>
    <t>BRKS</t>
  </si>
  <si>
    <t>SPs</t>
  </si>
  <si>
    <t>Sample usage of Match/Index</t>
  </si>
  <si>
    <t>BURL</t>
  </si>
  <si>
    <t>CAT</t>
  </si>
  <si>
    <t>CCs</t>
  </si>
  <si>
    <t>LPs</t>
  </si>
  <si>
    <t>SPLK</t>
  </si>
  <si>
    <t>butterfly</t>
  </si>
  <si>
    <t>127, 132</t>
  </si>
  <si>
    <t>TNDM</t>
  </si>
  <si>
    <t>BIDU</t>
  </si>
  <si>
    <t>BeCS</t>
  </si>
  <si>
    <t>Gold</t>
  </si>
  <si>
    <t>GIS</t>
  </si>
  <si>
    <t>Processed &amp; Packaged Goods</t>
  </si>
  <si>
    <t>Strangle</t>
  </si>
  <si>
    <t>ZM</t>
  </si>
  <si>
    <t>AAP</t>
  </si>
  <si>
    <t>TREX</t>
  </si>
  <si>
    <t>Annual Dividend Per Share</t>
  </si>
  <si>
    <t>2./20/2020</t>
  </si>
  <si>
    <t>2/233/2020</t>
  </si>
  <si>
    <t>1/163/2020</t>
  </si>
  <si>
    <t>CPRT</t>
  </si>
  <si>
    <t>No Fill</t>
  </si>
  <si>
    <t>Position Description</t>
  </si>
  <si>
    <t>SP No Fill</t>
  </si>
  <si>
    <t>LP No Fill</t>
  </si>
  <si>
    <t>LC Not Filled</t>
  </si>
  <si>
    <t>SC Not Filled</t>
  </si>
  <si>
    <t>SPY</t>
  </si>
  <si>
    <t>EWZ</t>
  </si>
  <si>
    <t>Agricultural Chemicals</t>
  </si>
  <si>
    <t>CLX</t>
  </si>
  <si>
    <t>FLT</t>
  </si>
  <si>
    <t>BMY</t>
  </si>
  <si>
    <t>VIAC</t>
  </si>
  <si>
    <t>LCs</t>
  </si>
  <si>
    <t>TSN</t>
  </si>
  <si>
    <t>Meat Products</t>
  </si>
  <si>
    <t>Swing</t>
  </si>
  <si>
    <t>BYND</t>
  </si>
  <si>
    <t>ABBV takeover</t>
  </si>
  <si>
    <t>*</t>
  </si>
  <si>
    <t>AEM</t>
  </si>
  <si>
    <t>ENPH</t>
  </si>
  <si>
    <t>Condor</t>
  </si>
  <si>
    <t>TQQQ</t>
  </si>
  <si>
    <t>LT</t>
  </si>
  <si>
    <t>MT</t>
  </si>
  <si>
    <t>STNE</t>
  </si>
  <si>
    <t>ScrollToCol</t>
  </si>
  <si>
    <t>CCL</t>
  </si>
  <si>
    <t>TDOC</t>
  </si>
  <si>
    <t>Healthcare Information Services</t>
  </si>
  <si>
    <t>WORK</t>
  </si>
  <si>
    <t>ST</t>
  </si>
  <si>
    <t>Implied Move</t>
  </si>
  <si>
    <t>IM Date</t>
  </si>
  <si>
    <t>IM Lower Bound</t>
  </si>
  <si>
    <t>IM Upper Bound</t>
  </si>
  <si>
    <t>AllSymbols</t>
  </si>
  <si>
    <t>Show everything, simulate Symbol=UI_ALL</t>
  </si>
  <si>
    <t>{B1776455-1E23-4D13-8583-F1AA4A38F0C6}</t>
  </si>
  <si>
    <t>All Symbols</t>
  </si>
  <si>
    <t>CODX</t>
  </si>
  <si>
    <t>Diagnostics &amp; Research</t>
  </si>
  <si>
    <t>Z</t>
  </si>
  <si>
    <t>Communication Services</t>
  </si>
  <si>
    <t>Internet Content &amp; Information</t>
  </si>
  <si>
    <t>DKNG</t>
  </si>
  <si>
    <t>TER</t>
  </si>
  <si>
    <t>Consumer Cyclical</t>
  </si>
  <si>
    <t>Travel Services</t>
  </si>
  <si>
    <t>DOCU</t>
  </si>
  <si>
    <t>Software - Application</t>
  </si>
  <si>
    <t>Semiconductors</t>
  </si>
  <si>
    <t>{6FB33F74-E7C7-4910-962B-B833AC82E8BE}</t>
  </si>
  <si>
    <t>{1BA783CE-7AF3-4306-8F08-6854743B1D17}</t>
  </si>
  <si>
    <t>{7DAA12AF-5BCA-42C2-9DE2-CB0D378BEAF2}</t>
  </si>
  <si>
    <t>{5955B11D-F29C-487D-918B-2B3004854B73}</t>
  </si>
  <si>
    <t>{63689E7E-E462-4BCB-BDB7-96B3D19B15BF}</t>
  </si>
  <si>
    <t>{2598AB40-AF9D-431E-AC06-E844DA0F563E}</t>
  </si>
  <si>
    <t>{8E1B1B2D-57E6-43FC-B0F5-93541A980C17}</t>
  </si>
  <si>
    <t>{282DDDD3-9E4F-437E-AE58-5BE6210C02E3}</t>
  </si>
  <si>
    <t>{2FB09869-DBF3-4E28-872B-C3585AFD2F67}</t>
  </si>
  <si>
    <t>{BEC209B9-BBCA-40CA-8441-A8723485632F}</t>
  </si>
  <si>
    <t>{42C737A1-3D2E-44D6-AF7D-D84606B15ED2}</t>
  </si>
  <si>
    <t>{823949A0-9E8B-48C6-91C5-1009C20DB64E}</t>
  </si>
  <si>
    <t>{14C73A0B-682D-40C4-8A75-BFAD97D65F11}</t>
  </si>
  <si>
    <t>{71E300A2-5687-4B14-A62E-A87823414EDB}</t>
  </si>
  <si>
    <t>{27EAF4E1-EF9F-462F-9B0A-38D968424E38}</t>
  </si>
  <si>
    <t>{A7F1FC24-F58D-4086-8DAF-411A6BA77975}</t>
  </si>
  <si>
    <t>{D6A35841-14E7-458E-8FB9-714E12465E6A}</t>
  </si>
  <si>
    <t>{CAEACB77-850F-4D60-95E8-CC22F144E4D9}</t>
  </si>
  <si>
    <t>{40DED7F4-898A-43BF-84BE-747181E0235A}</t>
  </si>
  <si>
    <t>{938E10F5-75AD-4E62-A96E-7EBDED124E18}</t>
  </si>
  <si>
    <t>{53606FE8-5E18-4E76-B8E4-5E14C3EB7BF0}</t>
  </si>
  <si>
    <t>{80D290A3-419D-4202-850C-484E3D0F82CD}</t>
  </si>
  <si>
    <t>{AF6FA183-A7A4-421A-A675-08B218E3866A}</t>
  </si>
  <si>
    <t>{486E9EC1-1D7A-417B-B2A6-60ED729CBB41}</t>
  </si>
  <si>
    <t>{37ABFC74-0411-4D6C-BB17-CA5DFB91336B}</t>
  </si>
  <si>
    <t>{3550435D-00A9-4C21-8103-D8D6BFD4D11E}</t>
  </si>
  <si>
    <t>{D98CD9BF-0A17-4956-9D9D-B2D9AA7E04B5}</t>
  </si>
  <si>
    <t>{34A0AF90-4F48-495C-A731-27593AC5121C}</t>
  </si>
  <si>
    <t>{463B724E-EB01-4CD8-A1D6-1712C439CE40}</t>
  </si>
  <si>
    <t>{18876C20-7EA5-4128-B552-EE41F6931471}</t>
  </si>
  <si>
    <t>{B329405F-AC8A-472C-8138-461C42E5139D}</t>
  </si>
  <si>
    <t>{1BD537D8-8B51-422C-9EEB-831D596D6D93}</t>
  </si>
  <si>
    <t>{B18F52FE-E6CB-4DEB-8B97-EB3BD3022B03}</t>
  </si>
  <si>
    <t>{FFD6580A-D07A-4413-8C5A-5FF0EC144786}</t>
  </si>
  <si>
    <t>{BB73E22F-F876-4322-B779-53F15CEF6579}</t>
  </si>
  <si>
    <t>{9CBDF77F-E3E6-4FEC-BD9A-B33E19BDDA6E}</t>
  </si>
  <si>
    <t>{BC2C8657-E661-4FCB-B61A-5AE8CE54F012}</t>
  </si>
  <si>
    <t>{2F28B7FF-1C27-4CFB-AE14-87A6341A3CC5}</t>
  </si>
  <si>
    <t>{A9094A24-723C-4ED5-9846-F80383292398}</t>
  </si>
  <si>
    <t>{80C268A5-3249-4683-8EB5-8062F99754DA}</t>
  </si>
  <si>
    <t>{662A9CC1-A939-4A1C-9DE2-3E2550A89066}</t>
  </si>
  <si>
    <t>{141495B3-F3C7-4FC7-AD66-8EDDF1A82B7E}</t>
  </si>
  <si>
    <t>{7671341B-9B64-4FF3-B864-B0546904CCD5}</t>
  </si>
  <si>
    <t>{311E0B8B-81BD-40B8-81C4-D5C5E1BAB6E9}</t>
  </si>
  <si>
    <t>{4A731E44-4F2B-4561-912E-BD0220CFAE6D}</t>
  </si>
  <si>
    <t>{6E07AF3B-33E1-4BED-8E7D-98B27ED6EB22}</t>
  </si>
  <si>
    <t>{8CE45186-8D96-4B2E-B729-556BB99CE679}</t>
  </si>
  <si>
    <t>{B2212D8D-E00F-46D2-941D-A6E6530FBC13}</t>
  </si>
  <si>
    <t>{D29F65EB-7146-4C31-AF59-7BAC7E15E814}</t>
  </si>
  <si>
    <t>{AED795D5-2E25-4180-A8C0-B5134F39EF1B}</t>
  </si>
  <si>
    <t>{3065901B-0E6A-4B5B-9C22-C090FF560A70}</t>
  </si>
  <si>
    <t>{E59D9FE5-220D-4884-9455-EAAC127F89FD}</t>
  </si>
  <si>
    <t>{654C2FCB-9A05-47F2-90C8-C8F4390EF8B3}</t>
  </si>
  <si>
    <t>{5F6927B9-1611-4D3F-819A-DDAD55F0BEF3}</t>
  </si>
  <si>
    <t>{1B78C132-DDDC-42BB-BF3A-0E6EBA0B6893}</t>
  </si>
  <si>
    <t>{318D19CE-5CD8-4B92-956F-D40D8C0FF4B3}</t>
  </si>
  <si>
    <t>{C52D6780-B6F3-471F-98A0-CF29B611B2E2}</t>
  </si>
  <si>
    <t>{1C90A2CC-E3C1-45F4-8BC4-B5B6B87DFFCB}</t>
  </si>
  <si>
    <t>{40BCAF82-7026-4293-8E9C-D44E8F8FC5CE}</t>
  </si>
  <si>
    <t>{D356279B-CBDB-4B63-8619-D6CF3150F3F0}</t>
  </si>
  <si>
    <t>{9EFF860A-7DEB-463C-9634-31FD817552E2}</t>
  </si>
  <si>
    <t>{FF8D6851-C9D1-4A34-A61E-57C2B3C02FB8}</t>
  </si>
  <si>
    <t>{B0B975CA-30DF-4F94-B0DC-C330BF1528F7}</t>
  </si>
  <si>
    <t>{584F06BA-38CE-42AA-B963-A3A3972E09DF}</t>
  </si>
  <si>
    <t>{180656A5-1233-46B2-809B-B299554CCAF6}</t>
  </si>
  <si>
    <t>{330D127F-6D8A-49DB-ACE2-CBDADB741FE2}</t>
  </si>
  <si>
    <t>{1E6F7740-2382-42CE-B896-95050ACE1FB7}</t>
  </si>
  <si>
    <t>{2A9DFBEE-BC6A-438C-AEAB-F1993571D7B9}</t>
  </si>
  <si>
    <t>{62A8D1D0-33DD-40D2-8C18-E3996457DCC8}</t>
  </si>
  <si>
    <t>{EDE1BA6A-3E26-4927-82D1-7044C9071370}</t>
  </si>
  <si>
    <t>{B3807DBE-DE4E-49DA-83BC-FDD096F6BCAE}</t>
  </si>
  <si>
    <t>{CD9EA3DD-405D-4CD5-98D3-770DB88310F9}</t>
  </si>
  <si>
    <t>{B68688BA-6836-410F-B149-B50F5277E13C}</t>
  </si>
  <si>
    <t>{6F3DA2A1-7582-449C-A05C-EBB7DFB51C37}</t>
  </si>
  <si>
    <t>{D21C173B-7C49-427B-9272-774348ED745C}</t>
  </si>
  <si>
    <t>{4CDE1ECA-25E8-44C7-8580-2F382B44BF54}</t>
  </si>
  <si>
    <t>{CB65D80B-663A-4E5D-8F9D-EEB0023565D1}</t>
  </si>
  <si>
    <t>{76EF5D98-4C65-4C26-B19C-591F67CCA617}</t>
  </si>
  <si>
    <t>{E27BEF32-055E-4A03-A943-9A51C1B9A2F6}</t>
  </si>
  <si>
    <t>{9F3004D3-2C40-487D-A2D3-E48EFE525E23}</t>
  </si>
  <si>
    <t>{89F3C79D-1D98-495C-BAD2-1B087BFD287F}</t>
  </si>
  <si>
    <t>{26C62638-5CE9-480F-A27A-C442B6F0D57C}</t>
  </si>
  <si>
    <t>{F0D0512F-62FC-4950-99B9-F45F95A6EA53}</t>
  </si>
  <si>
    <t>{AA037B2F-0D25-4B86-939D-98DC80ACEAC2}</t>
  </si>
  <si>
    <t>{1D72F8E7-72EC-4490-9B7D-34054A061033}</t>
  </si>
  <si>
    <t>{820E9F3B-4E92-4D9A-B36B-A44FEC2883C5}</t>
  </si>
  <si>
    <t>{DCDF9AE0-FAAB-408A-AFAF-61200767F17C}</t>
  </si>
  <si>
    <t>{38E8E17B-AB36-49B0-8BE1-E3578416434F}</t>
  </si>
  <si>
    <t>{DE785C8F-02BA-4F49-ACAF-6F73F05A4D76}</t>
  </si>
  <si>
    <t>{5D1CF3B1-946A-4B8A-8ACA-CBB093E487F6}</t>
  </si>
  <si>
    <t>{882F57CA-158B-41B1-B78B-45F7FA03D986}</t>
  </si>
  <si>
    <t>{3E4C95F2-6E29-4171-935C-FC0AD84DA4BD}</t>
  </si>
  <si>
    <t>{DDC9D136-72F8-4940-9C95-0336B02D0EA5}</t>
  </si>
  <si>
    <t>{AFD82012-55BE-46EB-BA7E-C5382C69D050}</t>
  </si>
  <si>
    <t>{ADDC6BC6-E2D6-4436-96A8-4511B5213E18}</t>
  </si>
  <si>
    <t>{D3411823-5E16-4528-9AB4-BC120FC1F84C}</t>
  </si>
  <si>
    <t>{DC1B80EC-0528-4862-9611-0CF4B52F570A}</t>
  </si>
  <si>
    <t>{64AF0BD7-B6C8-4FAF-BD32-28A9E237DFCE}</t>
  </si>
  <si>
    <t>{E871EC27-4B25-497F-AC56-5D1335B58138}</t>
  </si>
  <si>
    <t>{41373C92-A821-48A0-B4E3-66456895501F}</t>
  </si>
  <si>
    <t>{53858FC8-5301-444C-A574-31C8DA7F105D}</t>
  </si>
  <si>
    <t>{A18190CB-1000-4646-A354-3B0CA558F520}</t>
  </si>
  <si>
    <t>{138F147C-7937-4F68-84BB-F86BB66F920E}</t>
  </si>
  <si>
    <t>{1A2599CA-3A9D-4D31-9F6B-F1E711CCD0F0}</t>
  </si>
  <si>
    <t>{951630D9-6DA4-4C4A-B8F7-7D37DAC65849}</t>
  </si>
  <si>
    <t>{FDA4BE7D-5FB8-46BF-9A03-BB8B86FEE8C7}</t>
  </si>
  <si>
    <t>{E3D2239A-4F6C-4BB4-8C5B-ABE3A59B098C}</t>
  </si>
  <si>
    <t>{D173FEA7-855A-4798-8898-C0EFE8DCCEF9}</t>
  </si>
  <si>
    <t>{54C65AEA-CAF4-4A32-84DF-BE67C8389CA3}</t>
  </si>
  <si>
    <t>{272CADD7-405B-47DF-8D0E-B556C7F51C9F}</t>
  </si>
  <si>
    <t>{FF9D9E4D-9A21-4303-BBA4-578561BCF15C}</t>
  </si>
  <si>
    <t>{72B18052-993F-4D65-9484-9698AF3A203C}</t>
  </si>
  <si>
    <t>{DC95900F-070B-46FA-82EA-E3F4CD7332C9}</t>
  </si>
  <si>
    <t>{3E783568-9835-495E-A946-52D62A05FDAD}</t>
  </si>
  <si>
    <t>{DB024C9F-B37C-4F30-A1B0-01BCABEB311D}</t>
  </si>
  <si>
    <t>{8DA739A0-96B7-4A73-83CD-33911C8EABF1}</t>
  </si>
  <si>
    <t>{5A3E5B99-14F3-477C-A8CB-79A396E3B1A3}</t>
  </si>
  <si>
    <t>{3B02850D-6B29-4A1A-A6CD-B74B1ED69C11}</t>
  </si>
  <si>
    <t>{EE0D4A5A-9BEE-468D-9068-299BF7A1ABE1}</t>
  </si>
  <si>
    <t>{81EB0FCD-CA16-4242-BD2A-29E1A2DA2DEF}</t>
  </si>
  <si>
    <t>{0644BE2D-ECC7-4E81-9225-BF2ECF52DCC4}</t>
  </si>
  <si>
    <t>{73AE56AA-005E-482A-B0E4-099719F98224}</t>
  </si>
  <si>
    <t>{98825FA2-148B-454C-BC2B-86BF99AA5F92}</t>
  </si>
  <si>
    <t>{2496A88D-1AB8-4EDC-BA2D-2D05D6A955E1}</t>
  </si>
  <si>
    <t>{607B67BC-A431-464A-838F-D27DFC8DB4BB}</t>
  </si>
  <si>
    <t>{34391AA7-7C69-40A4-89E3-4F7453C86B1B}</t>
  </si>
  <si>
    <t>{B933738F-E59C-4758-B476-34ECA02B8F89}</t>
  </si>
  <si>
    <t>{2920C6EC-BAEA-4B20-A9C1-46FE9C9BABA4}</t>
  </si>
  <si>
    <t>{21D1EE1E-75A5-4403-8754-5204775F977C}</t>
  </si>
  <si>
    <t>{86B08927-4EC8-4F40-815E-5E5A8A74ACE6}</t>
  </si>
  <si>
    <t>{9D358DDA-F147-4F1F-9391-96212E464F31}</t>
  </si>
  <si>
    <t>{078210DC-B5F4-4412-9C5D-9DA007AC8607}</t>
  </si>
  <si>
    <t>{FBBD2E7F-5DCD-48EF-8006-B1D089D70FC9}</t>
  </si>
  <si>
    <t>{91FF562C-66CA-4258-8903-90D3D6F966C5}</t>
  </si>
  <si>
    <t>{AF4CCB4E-80DB-4638-9773-88B68020A2AB}</t>
  </si>
  <si>
    <t>{C016408D-9402-4203-BDF7-4D935D1A4DE1}</t>
  </si>
  <si>
    <t>{A264BA4A-4DB3-437B-AC26-0AE55E0F1A8D}</t>
  </si>
  <si>
    <t>{A43965DD-60CA-41F4-BBA3-674716E1B326}</t>
  </si>
  <si>
    <t>{58ACF3D6-B512-4548-9C4C-9240EAFA5161}</t>
  </si>
  <si>
    <t>{0F93BA3B-D3F7-4C4D-A0E3-650AD241B2A6}</t>
  </si>
  <si>
    <t>{2606CC3A-AD5A-46F4-BEB6-65B01049EB55}</t>
  </si>
  <si>
    <t>{F37C2C6D-0F1C-4451-973F-B7FF82413989}</t>
  </si>
  <si>
    <t>{E8E0DFE1-DC58-4FAB-B13D-AEA82113ED3B}</t>
  </si>
  <si>
    <t>{CF2675AB-CE0B-48E2-AF62-EB6B70530A45}</t>
  </si>
  <si>
    <t>{22EBFB91-0A5C-4055-A01B-881784AF2D54}</t>
  </si>
  <si>
    <t>{66DC3F34-A4A7-4FA3-819A-D0F385E85706}</t>
  </si>
  <si>
    <t>{FAFBF6BB-4C5A-4C50-BD6F-2B82B6735BCB}</t>
  </si>
  <si>
    <t>{40E2CAA2-1C99-4F9F-94B6-1FE69CE99ECE}</t>
  </si>
  <si>
    <t>{5ECB8524-3904-428D-859D-A83A789B12C7}</t>
  </si>
  <si>
    <t>{A589E0AF-1384-4B13-807D-532A6D051A28}</t>
  </si>
  <si>
    <t>{71C2447E-F9C5-447B-8C0F-6D9C1A271A80}</t>
  </si>
  <si>
    <t>{6090BC3C-ABAD-4406-A002-54F1EC440F48}</t>
  </si>
  <si>
    <t>{8B8A931D-B86F-4F3B-9BC1-FB09CF3E7C64}</t>
  </si>
  <si>
    <t>{E164EDA5-B79D-4345-81F3-6BE97A231799}</t>
  </si>
  <si>
    <t>{C0EBBBA1-37BB-4280-B95F-47A068BBA2F4}</t>
  </si>
  <si>
    <t>{D871CA91-BEE5-4C56-9337-8A0B0E2CDB89}</t>
  </si>
  <si>
    <t>{1A7AB8E6-6044-4E1D-A601-E3407A2E8362}</t>
  </si>
  <si>
    <t>{D3234F7E-533B-40F5-A92B-737C1E25BFFB}</t>
  </si>
  <si>
    <t>{A72F58C2-60B3-4195-A885-6D2F789ED76E}</t>
  </si>
  <si>
    <t>{27744EC7-F451-425E-AA4A-B9B9951AAEBC}</t>
  </si>
  <si>
    <t>{55AFD75F-8239-4D7B-8FF0-ED7706C09EB3}</t>
  </si>
  <si>
    <t>{B3B543A9-CAC0-4231-83CA-D6F5F7DF3938}</t>
  </si>
  <si>
    <t>{029E3643-1A2F-4C51-B1E1-F8D41CF28A4A}</t>
  </si>
  <si>
    <t>{BA9AEE1B-B71A-4C4A-9C75-1EDCADD0D84A}</t>
  </si>
  <si>
    <t>{1A6212CB-8452-44D4-AB22-56D3C496B794}</t>
  </si>
  <si>
    <t>{C069F6B0-A0DB-4231-8CDA-A00903635AA9}</t>
  </si>
  <si>
    <t>{C332C0EA-BE2A-49FA-81CF-F22E855E0010}</t>
  </si>
  <si>
    <t>{62588183-9BC4-4290-B7EC-1075965C3C21}</t>
  </si>
  <si>
    <t>{1EADE3C8-1402-48FC-83EB-B3BF65EF0064}</t>
  </si>
  <si>
    <t>{41474A13-563D-426E-863C-422E662BDD5D}</t>
  </si>
  <si>
    <t>{2FBDC742-3742-45CD-B8A7-6B571A2A6E2D}</t>
  </si>
  <si>
    <t>{6709E375-3B22-4C7E-B9BF-C439D95EB7BB}</t>
  </si>
  <si>
    <t>{87D75973-71A1-4A9D-A756-6F1B161907CE}</t>
  </si>
  <si>
    <t>{2CC6E0FF-0A20-4437-91DD-81407DDB18F4}</t>
  </si>
  <si>
    <t>{81EF5F6F-42AB-45C5-8CF9-745865E6311E}</t>
  </si>
  <si>
    <t>{53B8A0CC-11EC-4D02-A2F6-3EB0C207EBFA}</t>
  </si>
  <si>
    <t>{D5ED6150-BD95-4808-9ACA-A2D838C66EA2}</t>
  </si>
  <si>
    <t>{28D19BE9-4BAC-4BFA-AFE5-126E082505EC}</t>
  </si>
  <si>
    <t>{C7FCB5C2-EA1D-47D3-8501-C593B7F9FC52}</t>
  </si>
  <si>
    <t>{66221A37-53A7-4B26-B95E-68CF763B5BE8}</t>
  </si>
  <si>
    <t>{D09D7D74-3432-48E7-BCE6-91D1B46CA895}</t>
  </si>
  <si>
    <t>{4E831A2F-1446-406E-A549-15D3D10D1C74}</t>
  </si>
  <si>
    <t>{30069EA6-7C6A-49DC-A2DB-1095EFC9DDE8}</t>
  </si>
  <si>
    <t>{8DFB5D95-3A80-492C-AFB8-93DFD8ACD79E}</t>
  </si>
  <si>
    <t>{456FBE52-85CA-4A47-93DD-4C3ABD3695BF}</t>
  </si>
  <si>
    <t>{E8417F80-F8A5-4792-9E0E-C87C9D372818}</t>
  </si>
  <si>
    <t>{69B5DD53-AC03-4613-B55D-AE8EC0494241}</t>
  </si>
  <si>
    <t>{CFC5EA32-6373-4358-BE09-E765FC1AB4F8}</t>
  </si>
  <si>
    <t>{20D1FF43-8A60-43B2-89B2-124D7350A485}</t>
  </si>
  <si>
    <t>{37E48C14-3372-4164-BF19-0790C8607E6A}</t>
  </si>
  <si>
    <t>{3858ABAB-2D02-4ACA-B3AF-E89E3BA4B337}</t>
  </si>
  <si>
    <t>{6CA8D63A-B394-4F6A-B152-E4EA891C42B5}</t>
  </si>
  <si>
    <t>{2414E342-B46D-4C81-BC84-ECDED2520930}</t>
  </si>
  <si>
    <t>{A590B76C-447D-4A93-8B88-8A614E7C8DDD}</t>
  </si>
  <si>
    <t>{D33698C9-60B3-4CB3-BC06-A50D0547ECF9}</t>
  </si>
  <si>
    <t>{86881B99-0901-4FE6-AFAA-F6929A73B44C}</t>
  </si>
  <si>
    <t>{9B36A4E4-8304-451B-90E8-E4832F0F18E8}</t>
  </si>
  <si>
    <t>STMP</t>
  </si>
  <si>
    <t>LEAPS</t>
  </si>
  <si>
    <t>Leisure</t>
  </si>
  <si>
    <t>LKNCY</t>
  </si>
  <si>
    <t>LC Stop %</t>
  </si>
  <si>
    <t>LC Break Even</t>
  </si>
  <si>
    <t>CoveredCall_Available</t>
  </si>
  <si>
    <t>Potential Covered Call Candidates</t>
  </si>
  <si>
    <t>FNV</t>
  </si>
  <si>
    <t>Consumer Defensive</t>
  </si>
  <si>
    <t>Energy</t>
  </si>
  <si>
    <t>SP Unfilled Potential Spend</t>
  </si>
  <si>
    <t>All positions with naked puts in place, plus CASH on hand (includes Unfilled orders)</t>
  </si>
  <si>
    <t>{7E32722E-981C-4B16-BD45-B50ACFA6A23F}</t>
  </si>
  <si>
    <t>Diagonal</t>
  </si>
  <si>
    <t>GTC</t>
  </si>
  <si>
    <t>SP Strike Based Stop Loss</t>
  </si>
  <si>
    <t>SP Option Based Stop Loss</t>
  </si>
  <si>
    <t>SP Strike  Stop Per Share</t>
  </si>
  <si>
    <t>SP Option  Stop Contract</t>
  </si>
  <si>
    <t>SP Option  Stop Total</t>
  </si>
  <si>
    <t>SP Total Value</t>
  </si>
  <si>
    <t>SP Buyback Cutoff</t>
  </si>
  <si>
    <t>Exp %</t>
  </si>
  <si>
    <t>SC Buy Back Cutoff</t>
  </si>
  <si>
    <t>Eliquis patent decision</t>
  </si>
  <si>
    <t>CL</t>
  </si>
  <si>
    <t>Household &amp; Personal Products</t>
  </si>
  <si>
    <t>Software - Infrastructure</t>
  </si>
  <si>
    <t>SGEN</t>
  </si>
  <si>
    <t>Packaged Foods</t>
  </si>
  <si>
    <t>SP Gain Loss</t>
  </si>
  <si>
    <t>SP Pct Earned</t>
  </si>
  <si>
    <t>SC Gain Loss</t>
  </si>
  <si>
    <t>SC Pct Earned</t>
  </si>
  <si>
    <t>SC Time Value Closing Pct</t>
  </si>
  <si>
    <t>Time Value Portfolio Threshhold Pct</t>
  </si>
  <si>
    <t>Short Call Earned Value Threshhold Pct</t>
  </si>
  <si>
    <t>CORE</t>
  </si>
  <si>
    <t>LC Next Target</t>
  </si>
  <si>
    <t>LC Target Gross</t>
  </si>
  <si>
    <t>UNG</t>
  </si>
  <si>
    <t>LC Stop Loss Calc Target</t>
  </si>
  <si>
    <t>LC Stop  To Use</t>
  </si>
  <si>
    <t>LC Stop Loss Amount</t>
  </si>
  <si>
    <t>SC Intrinsic Value</t>
  </si>
  <si>
    <t>Equity Shares</t>
  </si>
  <si>
    <t>Equity Basis Total</t>
  </si>
  <si>
    <t>Equity Basis Per Share</t>
  </si>
  <si>
    <t>Equity Value</t>
  </si>
  <si>
    <t>Equity G/L</t>
  </si>
  <si>
    <t>Equity ROI</t>
  </si>
  <si>
    <t>Equity Target</t>
  </si>
  <si>
    <t>Equity Stop Loss</t>
  </si>
  <si>
    <t>Equity Max Gain Per Share</t>
  </si>
  <si>
    <t>Equity Max Loss Per Share</t>
  </si>
  <si>
    <t>Risk Reward</t>
  </si>
  <si>
    <t>Equity Max Profit</t>
  </si>
  <si>
    <t>Equity Max Risk</t>
  </si>
  <si>
    <t>URI</t>
  </si>
  <si>
    <t>Industrials</t>
  </si>
  <si>
    <t>IND</t>
  </si>
  <si>
    <t>Available</t>
  </si>
  <si>
    <t>CASH on hand</t>
  </si>
  <si>
    <t>Reserve</t>
  </si>
  <si>
    <t>LC Stop Loss Override</t>
  </si>
  <si>
    <t>LC Stop Gain Loss</t>
  </si>
  <si>
    <t>LC Total Value</t>
  </si>
  <si>
    <t>LC Target Gain Loss</t>
  </si>
  <si>
    <t>LC Next Review Date</t>
  </si>
  <si>
    <t>Real Estate</t>
  </si>
  <si>
    <t>Goal</t>
  </si>
  <si>
    <t>Div</t>
  </si>
  <si>
    <t>Prem</t>
  </si>
  <si>
    <t>LC Target ROI</t>
  </si>
  <si>
    <t>LC  Stop ROI</t>
  </si>
  <si>
    <t>LC Actual Gain Loss</t>
  </si>
  <si>
    <t>LC Actual ROI</t>
  </si>
  <si>
    <t>SP Should Buyback</t>
  </si>
  <si>
    <t>Natural Gas</t>
  </si>
  <si>
    <t>Online Betting</t>
  </si>
  <si>
    <t>Gambling</t>
  </si>
  <si>
    <t>YETI</t>
  </si>
  <si>
    <t>WDAY</t>
  </si>
  <si>
    <t>VSTO</t>
  </si>
  <si>
    <t>TAL</t>
  </si>
  <si>
    <t>LVGO</t>
  </si>
  <si>
    <t>KKR</t>
  </si>
  <si>
    <t>KGC</t>
  </si>
  <si>
    <t>HIBB</t>
  </si>
  <si>
    <t>BLDR</t>
  </si>
  <si>
    <t>Education &amp; Training Services</t>
  </si>
  <si>
    <t>Internet Retail</t>
  </si>
  <si>
    <t>Auto Manufacturers</t>
  </si>
  <si>
    <t>Medical Devices</t>
  </si>
  <si>
    <t>Specialty Retail</t>
  </si>
  <si>
    <t>Building Products &amp; Equipment</t>
  </si>
  <si>
    <t>LEN</t>
  </si>
  <si>
    <t>Residential Construction</t>
  </si>
  <si>
    <t>Any position with exposure</t>
  </si>
  <si>
    <t>SC Bid TIF</t>
  </si>
  <si>
    <t>DDOG</t>
  </si>
  <si>
    <t>WKHS</t>
  </si>
  <si>
    <t>SONO</t>
  </si>
  <si>
    <t>Consumer Electronics</t>
  </si>
  <si>
    <t>Electrical Equipment &amp; Parts</t>
  </si>
  <si>
    <t>Equity Exposure</t>
  </si>
  <si>
    <t>All positions that have equity expose</t>
  </si>
  <si>
    <t>{5FD8CE26-A502-43FA-B125-63DD61E29028}</t>
  </si>
  <si>
    <t>{6D09818A-917B-424D-9886-A23B52E166C1}</t>
  </si>
  <si>
    <t>{C8E28B7E-4E7C-4B57-BCB2-177572EC24B7}</t>
  </si>
  <si>
    <t>{FA632C37-6603-4CCC-B8E0-3CBCEB4F1DC7}</t>
  </si>
  <si>
    <t>SP Stop Override</t>
  </si>
  <si>
    <t>SP Stop To Use</t>
  </si>
  <si>
    <t>SP Stop Loss</t>
  </si>
  <si>
    <t>Short Put Stops</t>
  </si>
  <si>
    <t>SP Strike  Stop  Max Loss</t>
  </si>
  <si>
    <t>EL</t>
  </si>
  <si>
    <t>SPOT</t>
  </si>
  <si>
    <t>FTCH</t>
  </si>
  <si>
    <t>Shell Companies</t>
  </si>
  <si>
    <t>AA</t>
  </si>
  <si>
    <t>ACB</t>
  </si>
  <si>
    <t>Drug Manufacturers - Specialty &amp; Generic</t>
  </si>
  <si>
    <t>FOCS</t>
  </si>
  <si>
    <t>Capital Markets</t>
  </si>
  <si>
    <t>ANGI</t>
  </si>
  <si>
    <t>LAZR</t>
  </si>
  <si>
    <t>Beverages - Non-Alcoholic</t>
  </si>
  <si>
    <t>Drug Manufacturers - General</t>
  </si>
  <si>
    <t>Banks - Diversified</t>
  </si>
  <si>
    <t>Auto &amp; Truck Dealerships</t>
  </si>
  <si>
    <t>Utilities - Regulated Electric</t>
  </si>
  <si>
    <t>Entertainment</t>
  </si>
  <si>
    <t>XHB</t>
  </si>
  <si>
    <t>AXTA</t>
  </si>
  <si>
    <t>Specialty Chemicals</t>
  </si>
  <si>
    <t>GBTC</t>
  </si>
  <si>
    <t>Crypto</t>
  </si>
  <si>
    <t>FCEL</t>
  </si>
  <si>
    <t>BRK.B</t>
  </si>
  <si>
    <t>Insurance - Diversified</t>
  </si>
  <si>
    <t>CC</t>
  </si>
  <si>
    <t>TLRY</t>
  </si>
  <si>
    <t>TEVA</t>
  </si>
  <si>
    <t>SOLO</t>
  </si>
  <si>
    <t>Computer Hardware</t>
  </si>
  <si>
    <t>SP POW</t>
  </si>
  <si>
    <t>SP Cash Reserve</t>
  </si>
  <si>
    <t>GME</t>
  </si>
  <si>
    <t>BLNK</t>
  </si>
  <si>
    <t>Real Estate Services</t>
  </si>
  <si>
    <t>FROG</t>
  </si>
  <si>
    <t>CHWY</t>
  </si>
  <si>
    <t>Stock 6.83</t>
  </si>
  <si>
    <t>To Do</t>
  </si>
  <si>
    <t>roll up?</t>
  </si>
  <si>
    <t>WPM</t>
  </si>
  <si>
    <t>Aerospace &amp; Defense</t>
  </si>
  <si>
    <t>VXX</t>
  </si>
  <si>
    <t>Hedge</t>
  </si>
  <si>
    <t>CRWD</t>
  </si>
  <si>
    <t>ER</t>
  </si>
  <si>
    <t>Oil &amp; Gas E&amp;P</t>
  </si>
  <si>
    <t>CZR</t>
  </si>
  <si>
    <t>ZS</t>
  </si>
  <si>
    <t>VIPS</t>
  </si>
  <si>
    <t>SC Max ROO</t>
  </si>
  <si>
    <t>SC P&amp;L Analysis</t>
  </si>
  <si>
    <t>Expected Move</t>
  </si>
  <si>
    <t>X</t>
  </si>
  <si>
    <t>Steel</t>
  </si>
  <si>
    <t>MU</t>
  </si>
  <si>
    <t>ETH</t>
  </si>
  <si>
    <t>Furnishings, Fixtures &amp; Appliances</t>
  </si>
  <si>
    <t>COIN</t>
  </si>
  <si>
    <t>Wk $37.50</t>
  </si>
  <si>
    <t>XLV</t>
  </si>
  <si>
    <t>BuPS also</t>
  </si>
  <si>
    <t>SC Annual ROO</t>
  </si>
  <si>
    <t>SP Break Even</t>
  </si>
  <si>
    <t>GOGO</t>
  </si>
  <si>
    <t>YELP</t>
  </si>
  <si>
    <t>Telecom Services</t>
  </si>
  <si>
    <t>EBF Target</t>
  </si>
  <si>
    <t>GTC Expires Jul-2</t>
  </si>
  <si>
    <t>GRWG</t>
  </si>
  <si>
    <t>Home Improvement Retail</t>
  </si>
  <si>
    <t>{07/03/21 @ 08:25 AM}: 
41.6</t>
  </si>
  <si>
    <t>SC Max Dollars</t>
  </si>
  <si>
    <t>SP Annual ROO</t>
  </si>
  <si>
    <t>Dump %</t>
  </si>
  <si>
    <t>GNRC</t>
  </si>
  <si>
    <t>Specialty Industrial Machinery</t>
  </si>
  <si>
    <t>Ids 4/5</t>
  </si>
  <si>
    <t>AFRM</t>
  </si>
  <si>
    <t>DEN</t>
  </si>
  <si>
    <t>KWEB</t>
  </si>
  <si>
    <t>FUBO</t>
  </si>
  <si>
    <t>Broadcasting</t>
  </si>
  <si>
    <t>SC Upside Potential</t>
  </si>
  <si>
    <t>LCID</t>
  </si>
  <si>
    <t>{63F05D95-E0E2-4096-900B-9BC47E8C48DC}</t>
  </si>
  <si>
    <t>{2B2DE5DF-1094-421D-BFC2-5DE23168F5FD}</t>
  </si>
  <si>
    <t>{BB549F43-26B8-4DDC-A210-1139E6482E1E}</t>
  </si>
  <si>
    <t>{A3855D45-5D09-40C2-9837-DAC3CB9F84D0}</t>
  </si>
  <si>
    <t>{6769565A-0B0C-4785-B3EF-7A2643C373C3}</t>
  </si>
  <si>
    <t>{774CA4D8-DE6F-4B78-AF4A-F6DEA3900055}</t>
  </si>
  <si>
    <t>{0940800E-8051-47BC-87FE-06057DAA9B2D}</t>
  </si>
  <si>
    <t>{08554B1C-B1EF-461D-93BD-FA6DFBB4CDD8}</t>
  </si>
  <si>
    <t>{A769CD2C-BBFB-4AF8-9A47-8A613340E2F9}</t>
  </si>
  <si>
    <t>BTU</t>
  </si>
  <si>
    <t>Thermal Coal</t>
  </si>
  <si>
    <t>Lottery</t>
  </si>
  <si>
    <t>VIX</t>
  </si>
  <si>
    <t>CBOE Volatility Index</t>
  </si>
  <si>
    <t>CLF</t>
  </si>
  <si>
    <t>Uranium</t>
  </si>
  <si>
    <t>WBD</t>
  </si>
  <si>
    <t>DVA</t>
  </si>
  <si>
    <t>Medical Care Facilities</t>
  </si>
  <si>
    <t>GOGL</t>
  </si>
  <si>
    <t>Marine Shipping</t>
  </si>
  <si>
    <t>WEAT</t>
  </si>
  <si>
    <t>EGLE</t>
  </si>
  <si>
    <t>Oil &amp; Gas Integrated</t>
  </si>
  <si>
    <t>LNG</t>
  </si>
  <si>
    <t>Oil &amp; Gas Midstream</t>
  </si>
  <si>
    <t>DQ</t>
  </si>
  <si>
    <t>ABNB</t>
  </si>
  <si>
    <t>Metal Fabrication</t>
  </si>
  <si>
    <t>Electronic Gaming &amp; Multimedia</t>
  </si>
  <si>
    <t>VET</t>
  </si>
  <si>
    <t>TAN</t>
  </si>
  <si>
    <t>HALO</t>
  </si>
  <si>
    <t>LNTH</t>
  </si>
  <si>
    <t>{F913FC11-CA3A-4A1A-B727-AC49F5B25177}</t>
  </si>
  <si>
    <t>GFS</t>
  </si>
  <si>
    <t>{0AEF0458-4962-42DD-A718-77308CF6D20C}</t>
  </si>
  <si>
    <t>KOLD</t>
  </si>
  <si>
    <t>SSO</t>
  </si>
  <si>
    <t>{FDF25B13-6E92-4573-A111-0020070B436E}</t>
  </si>
  <si>
    <t>BOIL</t>
  </si>
  <si>
    <t>DIA</t>
  </si>
  <si>
    <t>STEM</t>
  </si>
  <si>
    <t>{4388D3DB-142B-4022-9583-6A2ED61222AD}</t>
  </si>
  <si>
    <t>{19D2BAA8-EA6E-4C13-A4D3-CC2B70BCF6E0}</t>
  </si>
  <si>
    <t>{087D3E63-CFBE-48EC-844E-B6545AB987FF}</t>
  </si>
  <si>
    <t>{A397172B-EFC7-420A-AD29-B0DBFFF5C2A5}</t>
  </si>
  <si>
    <t>TWNK</t>
  </si>
  <si>
    <t>WRITE CC</t>
  </si>
  <si>
    <t>SQQQ</t>
  </si>
  <si>
    <t>GUSH</t>
  </si>
  <si>
    <t>BITO</t>
  </si>
  <si>
    <t>TSCO</t>
  </si>
  <si>
    <t>DIS</t>
  </si>
  <si>
    <t>DWAC</t>
  </si>
  <si>
    <t>StopOut</t>
  </si>
  <si>
    <t>PutsLong</t>
  </si>
  <si>
    <t>SMH</t>
  </si>
  <si>
    <t>Roll OUT</t>
  </si>
  <si>
    <t>BKNG</t>
  </si>
  <si>
    <t>Gap @ $213 T1, MA $211.20 STOP $1.35</t>
  </si>
  <si>
    <t>Wheel</t>
  </si>
  <si>
    <t>CROX</t>
  </si>
  <si>
    <t>Footwear &amp; Accessories</t>
  </si>
  <si>
    <t>LongLeg</t>
  </si>
  <si>
    <t>Close 58 cents or less</t>
  </si>
  <si>
    <t>AI</t>
  </si>
  <si>
    <t>ANET</t>
  </si>
  <si>
    <t>UpperLeg</t>
  </si>
  <si>
    <t>LowerLeg</t>
  </si>
  <si>
    <t>LP Protection</t>
  </si>
  <si>
    <t>SC Upside Pct</t>
  </si>
  <si>
    <t>SC Downside Protect</t>
  </si>
  <si>
    <t>SC Downside Pct</t>
  </si>
  <si>
    <t>Min Premium</t>
  </si>
  <si>
    <t>ARKK</t>
  </si>
  <si>
    <t>U</t>
  </si>
  <si>
    <t>KRE</t>
  </si>
  <si>
    <t>SWAV</t>
  </si>
  <si>
    <t>sww</t>
  </si>
  <si>
    <t>NakedPutsUnmatched</t>
  </si>
  <si>
    <t>All long put positions without a hedged short put</t>
  </si>
  <si>
    <t>{DAF6C854-5F7F-4BB3-B7D7-028FA8AFFD34}</t>
  </si>
  <si>
    <t>NakedPuts Unwritten With Long Puts</t>
  </si>
  <si>
    <t>{A26DE9E4-09A7-4547-9DE3-116DE3873C8A}</t>
  </si>
  <si>
    <t>day</t>
  </si>
  <si>
    <t>week</t>
  </si>
  <si>
    <t>month</t>
  </si>
  <si>
    <t>year</t>
  </si>
  <si>
    <t>SC Basis</t>
  </si>
  <si>
    <t>SC Current Delta</t>
  </si>
  <si>
    <t>SC Current Ask</t>
  </si>
  <si>
    <t>SC Fill Delta</t>
  </si>
  <si>
    <t>SC Current Value</t>
  </si>
  <si>
    <t>SP Current Delta</t>
  </si>
  <si>
    <t>CPB</t>
  </si>
  <si>
    <t>{1DEAE4DB-DE91-48FB-8144-94E8255E5037}</t>
  </si>
  <si>
    <t>{6EEDBEBB-2618-42F9-B105-921760D0F935}</t>
  </si>
  <si>
    <t>{7C470A51-6B87-49F5-9B36-032BFDB84613}</t>
  </si>
  <si>
    <t>{6B7CCFBA-998E-438E-B0FE-8675FF84F990}</t>
  </si>
  <si>
    <t>{C081F489-44A7-40A0-A4CB-B6C714459884}</t>
  </si>
  <si>
    <t>{A854D714-D429-469D-8C7F-F9DD710A7B60}</t>
  </si>
  <si>
    <t>{BB2CA8D1-0D68-4177-8837-55668A7B5EDF}</t>
  </si>
  <si>
    <t>{7E963ED3-E8DA-4200-B64D-C0446788257E}</t>
  </si>
  <si>
    <t>{594FDB04-BA0D-4C4E-964C-A30453595F16}</t>
  </si>
  <si>
    <t>{D3653A0A-2676-46AB-8B37-EA1061084C5B}</t>
  </si>
  <si>
    <t>{0E84BC8B-66A2-45BD-8C16-FD9F6E6EB50F}</t>
  </si>
  <si>
    <t>{70A44BF9-1F18-403C-8AB7-9E9DD7ADB58C}</t>
  </si>
  <si>
    <t>SP Current Ask</t>
  </si>
  <si>
    <t>SP LPs</t>
  </si>
  <si>
    <t>InvertedDiagonal</t>
  </si>
  <si>
    <t>DT</t>
  </si>
  <si>
    <t>ACLS</t>
  </si>
  <si>
    <t>SP Fill Delta</t>
  </si>
  <si>
    <t>FSLY</t>
  </si>
  <si>
    <t>COP</t>
  </si>
  <si>
    <t>WFRD</t>
  </si>
  <si>
    <t>Share Liquidation</t>
  </si>
  <si>
    <t>EquityOnly</t>
  </si>
  <si>
    <t>FUBAR</t>
  </si>
  <si>
    <t>HSY</t>
  </si>
  <si>
    <t>UEC</t>
  </si>
  <si>
    <t>Farm &amp; Heavy Construction Machinery</t>
  </si>
  <si>
    <t>Other Precious Metals &amp; Mining</t>
  </si>
  <si>
    <t>SYD</t>
  </si>
  <si>
    <t>STOP $5.11</t>
  </si>
  <si>
    <t>ExpirationDays</t>
  </si>
  <si>
    <t>IBKR</t>
  </si>
  <si>
    <t>SMCI</t>
  </si>
  <si>
    <t>EXPIRE</t>
  </si>
  <si>
    <t>MAX LOSS COMING</t>
  </si>
  <si>
    <t>SP DTE</t>
  </si>
  <si>
    <t>SPOK</t>
  </si>
  <si>
    <t>NAKED call</t>
  </si>
  <si>
    <t>CCRRF</t>
  </si>
  <si>
    <t>Talc</t>
  </si>
  <si>
    <t>{058CCA02-214F-4412-A330-004302838D96}</t>
  </si>
  <si>
    <t>SWBI_3</t>
  </si>
  <si>
    <t>HL_6</t>
  </si>
  <si>
    <t>BTG</t>
  </si>
  <si>
    <t>EGO</t>
  </si>
  <si>
    <t>BePS</t>
  </si>
  <si>
    <t>SC Exercise P&amp;L (TAX)</t>
  </si>
  <si>
    <t>DELL</t>
  </si>
  <si>
    <t>SC DTE</t>
  </si>
  <si>
    <t>SP Term</t>
  </si>
  <si>
    <t>LP Term</t>
  </si>
  <si>
    <t>LP DTE</t>
  </si>
  <si>
    <t>LC Term</t>
  </si>
  <si>
    <t>LC DTE</t>
  </si>
  <si>
    <t>ARM</t>
  </si>
  <si>
    <t>WILL CALL</t>
  </si>
  <si>
    <t>OKLO</t>
  </si>
  <si>
    <t>Regulated Electric</t>
  </si>
  <si>
    <t>VWAPY</t>
  </si>
  <si>
    <t>Auto Manuffacturers</t>
  </si>
  <si>
    <t>Upside Target</t>
  </si>
  <si>
    <t>CLSK</t>
  </si>
  <si>
    <t>SC Bid TIF2</t>
  </si>
  <si>
    <t>SP Bid TIF</t>
  </si>
  <si>
    <t>CWST</t>
  </si>
  <si>
    <t>RKLB</t>
  </si>
  <si>
    <t>JXN</t>
  </si>
  <si>
    <t>Insurance - Life</t>
  </si>
  <si>
    <t>TGTX</t>
  </si>
  <si>
    <t>SVIX</t>
  </si>
  <si>
    <t>SP Buyback Cost to Close</t>
  </si>
  <si>
    <t>{AAF09123-8F9B-4357-85AC-6D269741EB07}</t>
  </si>
  <si>
    <t>COMP</t>
  </si>
  <si>
    <t>EXEL</t>
  </si>
  <si>
    <t>Industrals</t>
  </si>
  <si>
    <t>ConvSpr</t>
  </si>
  <si>
    <t>ASC</t>
  </si>
  <si>
    <t>GDX</t>
  </si>
  <si>
    <t>TAX LOSS</t>
  </si>
  <si>
    <t>WULF</t>
  </si>
  <si>
    <t>WULF_2</t>
  </si>
  <si>
    <t>NLR</t>
  </si>
  <si>
    <t>VRT</t>
  </si>
  <si>
    <t>tax loss?</t>
  </si>
  <si>
    <t>{ACD78BBA-629A-4951-8CE7-29B0E1517072}</t>
  </si>
  <si>
    <t xml:space="preserve"> . </t>
  </si>
  <si>
    <t>LC Cost To Exercise</t>
  </si>
  <si>
    <t>$AW$8:$AZ$8</t>
  </si>
  <si>
    <t>$AL$8:$AN$8</t>
  </si>
  <si>
    <t>$AC$8:$AG$8</t>
  </si>
  <si>
    <t>$P$8:$AA$8</t>
  </si>
  <si>
    <t>$M$8:$N$8</t>
  </si>
  <si>
    <t>$H$8:$K$8</t>
  </si>
  <si>
    <t>$F$8</t>
  </si>
  <si>
    <t>ASTS</t>
  </si>
  <si>
    <t>URA</t>
  </si>
  <si>
    <t>LLC</t>
  </si>
  <si>
    <t>sw</t>
  </si>
  <si>
    <t>BB</t>
  </si>
  <si>
    <t>DEFT_1</t>
  </si>
  <si>
    <t>SC Current Cost To Close</t>
  </si>
  <si>
    <t>SP ROO Term</t>
  </si>
  <si>
    <t>AG</t>
  </si>
  <si>
    <t>DNN</t>
  </si>
  <si>
    <t>MNMD</t>
  </si>
  <si>
    <t>Chat GBT</t>
  </si>
  <si>
    <t>DECK</t>
  </si>
  <si>
    <t>Special Industrial Machinary</t>
  </si>
  <si>
    <t>{62ACC40E-EEDD-46FC-9AAD-6CE7D2C27F30}</t>
  </si>
  <si>
    <t>CVX</t>
  </si>
  <si>
    <t>UUP</t>
  </si>
  <si>
    <t>$EJ$8:$FZ$8</t>
  </si>
  <si>
    <t>$FS$8:$FY$8</t>
  </si>
  <si>
    <t>$BQ$8:$DF$8</t>
  </si>
  <si>
    <t>$CX$8:$DC$8</t>
  </si>
  <si>
    <t>$BD$8:$BO$8</t>
  </si>
  <si>
    <t>$AI$8:$BB$8</t>
  </si>
  <si>
    <t>SC Exercise Oppty Cost</t>
  </si>
  <si>
    <t>DEFT_2</t>
  </si>
  <si>
    <t>$DH$8:$EG$8</t>
  </si>
  <si>
    <t>AGX</t>
  </si>
  <si>
    <t>Engineering &amp; Construction</t>
  </si>
  <si>
    <t>B</t>
  </si>
  <si>
    <t>Max Loss</t>
  </si>
  <si>
    <t>TGEN</t>
  </si>
  <si>
    <t>DVN</t>
  </si>
  <si>
    <t>LGDTF</t>
  </si>
  <si>
    <t>AETUF</t>
  </si>
  <si>
    <t>SOUN</t>
  </si>
  <si>
    <t>LEU</t>
  </si>
  <si>
    <t>CRWV</t>
  </si>
  <si>
    <t>BTG_2</t>
  </si>
  <si>
    <t>152 &gt;= SC's</t>
  </si>
  <si>
    <t>{D69D2DDF-123D-4FAB-B22B-18A698ACEA33}</t>
  </si>
  <si>
    <t>BTG_3</t>
  </si>
  <si>
    <t>{846D9CED-AF74-4F9C-B867-ADD4D115CE60}</t>
  </si>
  <si>
    <t>{50E1D342-378B-494E-8E67-BCA9C2F2BE77}</t>
  </si>
  <si>
    <t>IREN</t>
  </si>
  <si>
    <t>PCT</t>
  </si>
  <si>
    <t>Pollution &amp; Treatment Controls</t>
  </si>
  <si>
    <t>CPRX</t>
  </si>
  <si>
    <t>PCT_1</t>
  </si>
  <si>
    <t>CLPT</t>
  </si>
  <si>
    <t>Health Care Equipment &amp; Supplies</t>
  </si>
  <si>
    <t>LAC</t>
  </si>
  <si>
    <t>Metals &amp; Mining</t>
  </si>
  <si>
    <t>SOFI_6</t>
  </si>
  <si>
    <t>QUBT</t>
  </si>
  <si>
    <t>NAK</t>
  </si>
  <si>
    <t>SLV_31</t>
  </si>
  <si>
    <t>ETHA_1</t>
  </si>
  <si>
    <t>IBIT_5</t>
  </si>
  <si>
    <t>FCX_20</t>
  </si>
  <si>
    <t>ONDS_3</t>
  </si>
  <si>
    <t>INFQ_2</t>
  </si>
  <si>
    <t>NFLX</t>
  </si>
  <si>
    <t>INFQ_1</t>
  </si>
  <si>
    <t>SMR_2</t>
  </si>
  <si>
    <t>AMPX</t>
  </si>
  <si>
    <t>RCUS</t>
  </si>
  <si>
    <t>OSLO</t>
  </si>
  <si>
    <t>FIADH</t>
  </si>
  <si>
    <t>PSIL</t>
  </si>
  <si>
    <t>LULU_7</t>
  </si>
  <si>
    <t>TSM</t>
  </si>
  <si>
    <t>EVLV</t>
  </si>
  <si>
    <t>Security &amp; Protection Services</t>
  </si>
  <si>
    <t>UUUU_3.1</t>
  </si>
  <si>
    <t>UUUU_3.2</t>
  </si>
  <si>
    <t>UAMY</t>
  </si>
  <si>
    <t>Other Industrial Metals &amp; Mining</t>
  </si>
  <si>
    <t>SOFI_2</t>
  </si>
  <si>
    <t>DRAM</t>
  </si>
  <si>
    <t>$GM$8:$GT$8</t>
  </si>
  <si>
    <t>$GB$8:$GK$8</t>
  </si>
  <si>
    <t>SC Is Booked</t>
  </si>
  <si>
    <t>SC Is Filled</t>
  </si>
  <si>
    <t>SP Is Booked</t>
  </si>
  <si>
    <t>SP Is Filled</t>
  </si>
  <si>
    <t>{8D506559-2C07-4095-A4D9-07CC4F5C0C3D}</t>
  </si>
  <si>
    <t>{22FD95B8-4B2F-4DFB-B8EA-29E8ED3CB785}</t>
  </si>
  <si>
    <t>{95B201EB-CE97-454F-A76E-20086AE62C2C}</t>
  </si>
  <si>
    <t>{5BF2E2DB-50B9-4D7F-9BE7-3EA9F19499F4}</t>
  </si>
  <si>
    <t>{20075F46-EA4B-4BD8-818E-41DD3F306B62}</t>
  </si>
  <si>
    <t>{682EC81C-3412-43C2-B645-D38C464D4070}</t>
  </si>
  <si>
    <t>{ED9535E5-89F4-4C27-A3C8-BA59C4FDCA67}</t>
  </si>
  <si>
    <t>{7F0E9734-BE40-4478-8A60-062228A02CF5}</t>
  </si>
  <si>
    <t>{DDB7C8F5-2A97-4FA6-8C92-D87BCE75FF04}</t>
  </si>
  <si>
    <t>{46B9AA4C-62B5-44C7-AF61-1E60681DE72F}</t>
  </si>
  <si>
    <t>{D5E25AD7-D72D-429A-83CC-3CAC1BB8F327}</t>
  </si>
  <si>
    <t>{718F048E-63F4-49AA-B766-3605D95FD621}</t>
  </si>
  <si>
    <t>{E72D2F3D-EF0F-4ED2-8232-A3408884BF21}</t>
  </si>
  <si>
    <t>{148AE326-BB70-45D8-8131-E98A224E9F19}</t>
  </si>
  <si>
    <t>{21B40DC9-D2B2-4DF0-8939-9246BD745764}</t>
  </si>
  <si>
    <t>{7A6E0A09-5492-46BB-9906-81489A266545}</t>
  </si>
  <si>
    <t>CurrentView {cViewer}</t>
  </si>
  <si>
    <t>SheetIdx {cSheets}</t>
  </si>
  <si>
    <t>next Friday OPEX</t>
  </si>
  <si>
    <t>next monthly OPEX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</si>
</sst>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5" formatCode="&quot;$&quot;#,##0_);\(&quot;$&quot;#,##0\)"/>
    <numFmt numFmtId="6" formatCode="&quot;$&quot;#,##0_);[Red]\(&quot;$&quot;#,##0\)"/>
    <numFmt numFmtId="7" formatCode="&quot;$&quot;#,##0.00_);\(&quot;$&quot;#,##0.00\)"/>
    <numFmt numFmtId="42" formatCode="_(&quot;$&quot;* #,##0_);_(&quot;$&quot;* \(#,##0\);_(&quot;$&quot;* &quot;-&quot;_);_(@_)"/>
    <numFmt numFmtId="44" formatCode="_(&quot;$&quot;* #,##0.00_);_(&quot;$&quot;* \(#,##0.00\);_(&quot;$&quot;* &quot;-&quot;??_);_(@_)"/>
    <numFmt numFmtId="43" formatCode="_(* #,##0.00_);_(* \(#,##0.00\);_(* &quot;-&quot;??_);_(@_)"/>
    <numFmt numFmtId="164" formatCode="[$-409]d\-mmm;@"/>
    <numFmt numFmtId="165" formatCode="0.0%"/>
    <numFmt numFmtId="166" formatCode="_(&quot;$&quot;* #,##0_);_(&quot;$&quot;* \(#,##0\);_(&quot;$&quot;* &quot;-&quot;??_);_(@_)"/>
    <numFmt numFmtId="167" formatCode="_(&quot;$&quot;* #,##0.0000_);_(&quot;$&quot;* \(#,##0.0000\);_(&quot;$&quot;* &quot;-&quot;??_);_(@_)"/>
    <numFmt numFmtId="168" formatCode="_(* #,##0_);_(* \(#,##0\);_(* &quot;-&quot;??_);_(@_)"/>
    <numFmt numFmtId="169" formatCode="mm/dd/yy;@"/>
    <numFmt numFmtId="170" formatCode="_(* #,##0.000_);_(* \(#,##0.000\);_(* &quot;-&quot;??_);_(@_)"/>
    <numFmt numFmtId="171" formatCode="0.000"/>
    <numFmt numFmtId="172" formatCode="[$-409]h:mm\ AM/PM;@"/>
    <numFmt numFmtId="173" formatCode="[$-F800]dddd\,\ mmmm\ dd\,\ yyyy"/>
    <numFmt numFmtId="174" formatCode="&quot;$&quot;#,##0"/>
    <numFmt numFmtId="175" formatCode="&quot;$&quot;#,##0.00"/>
    <numFmt numFmtId="176" formatCode="dd\-mmm\ yyyy;@"/>
    <numFmt numFmtId="177" formatCode="d\-mmm"/>
    <numFmt numFmtId="178" formatCode="dd/mmm\ yyyy;@"/>
    <numFmt numFmtId="179" formatCode="#,##0.000_);\(#,##0.000\)"/>
    <numFmt numFmtId="180" formatCode="yyyy\-mm\-dd;@"/>
  </numFmts>
  <fonts count="68" x14ac:knownFonts="1">
    <font>
      <sz val="11"/>
      <color theme="1"/>
      <name val="Calibri"/>
      <family val="2"/>
      <scheme val="minor"/>
    </font>
    <font>
      <sz val="10"/>
      <name val="Arial"/>
      <family val="2"/>
    </font>
    <font>
      <sz val="10"/>
      <name val="Arial"/>
      <family val="2"/>
    </font>
    <font>
      <sz val="10"/>
      <color indexed="23"/>
      <name val="Arial"/>
      <family val="2"/>
    </font>
    <font>
      <sz val="8"/>
      <name val="Arial"/>
      <family val="2"/>
    </font>
    <font>
      <sz val="8"/>
      <color indexed="23"/>
      <name val="Arial"/>
      <family val="2"/>
    </font>
    <font>
      <sz val="9"/>
      <color indexed="23"/>
      <name val="Arial"/>
      <family val="2"/>
    </font>
    <font>
      <sz val="8"/>
      <color theme="0" tint="-0.499984740745262"/>
      <name val="Arial"/>
      <family val="2"/>
    </font>
    <font>
      <i/>
      <sz val="8"/>
      <color indexed="23"/>
      <name val="Arial"/>
      <family val="2"/>
    </font>
    <font>
      <i/>
      <sz val="10"/>
      <name val="Arial"/>
      <family val="2"/>
    </font>
    <font>
      <sz val="8"/>
      <color theme="2" tint="-0.499984740745262"/>
      <name val="Arial"/>
      <family val="2"/>
    </font>
    <font>
      <i/>
      <sz val="10"/>
      <color indexed="23"/>
      <name val="Arial"/>
      <family val="2"/>
    </font>
    <font>
      <b/>
      <i/>
      <sz val="8"/>
      <name val="Arial"/>
      <family val="2"/>
    </font>
    <font>
      <b/>
      <sz val="10"/>
      <name val="Arial"/>
      <family val="2"/>
    </font>
    <font>
      <b/>
      <sz val="10"/>
      <color indexed="23"/>
      <name val="Arial"/>
      <family val="2"/>
    </font>
    <font>
      <strike/>
      <sz val="10"/>
      <name val="Arial"/>
      <family val="2"/>
    </font>
    <font>
      <b/>
      <sz val="8"/>
      <color indexed="23"/>
      <name val="Arial"/>
      <family val="2"/>
    </font>
    <font>
      <i/>
      <sz val="8"/>
      <name val="Arial"/>
      <family val="2"/>
    </font>
    <font>
      <sz val="8"/>
      <color theme="1"/>
      <name val="Arial"/>
      <family val="2"/>
    </font>
    <font>
      <b/>
      <sz val="10"/>
      <color theme="0"/>
      <name val="Arial"/>
      <family val="2"/>
    </font>
    <font>
      <sz val="9"/>
      <color theme="1"/>
      <name val="Arial"/>
      <family val="2"/>
    </font>
    <font>
      <sz val="8"/>
      <color theme="0"/>
      <name val="Arial"/>
      <family val="2"/>
    </font>
    <font>
      <b/>
      <sz val="8"/>
      <color theme="1"/>
      <name val="Arial"/>
      <family val="2"/>
    </font>
    <font>
      <b/>
      <sz val="10"/>
      <color theme="1"/>
      <name val="Arial"/>
      <family val="2"/>
    </font>
    <font>
      <sz val="10"/>
      <color theme="1"/>
      <name val="Arial"/>
      <family val="2"/>
    </font>
    <font>
      <i/>
      <sz val="8"/>
      <color theme="1"/>
      <name val="Arial"/>
      <family val="2"/>
    </font>
    <font>
      <b/>
      <sz val="8"/>
      <color theme="0"/>
      <name val="Arial"/>
      <family val="2"/>
    </font>
    <font>
      <sz val="8"/>
      <color theme="1"/>
      <name val="Arial"/>
      <family val="2"/>
    </font>
    <font>
      <sz val="10"/>
      <name val="Arial"/>
      <family val="2"/>
    </font>
    <font>
      <sz val="10"/>
      <color theme="0" tint="-0.499984740745262"/>
      <name val="Arial"/>
      <family val="2"/>
    </font>
    <font>
      <sz val="8"/>
      <color theme="1"/>
      <name val="Arial"/>
      <family val="2"/>
    </font>
    <font>
      <sz val="11"/>
      <color theme="1"/>
      <name val="Calibri"/>
      <family val="2"/>
      <scheme val="minor"/>
    </font>
    <font>
      <b/>
      <sz val="9"/>
      <color indexed="23"/>
      <name val="Arial"/>
      <family val="2"/>
    </font>
    <font>
      <i/>
      <sz val="10"/>
      <color theme="0" tint="-0.499984740745262"/>
      <name val="Arial"/>
      <family val="2"/>
    </font>
    <font>
      <b/>
      <sz val="8"/>
      <color rgb="FFFF0000"/>
      <name val="Arial"/>
      <family val="2"/>
    </font>
    <font>
      <b/>
      <sz val="10"/>
      <color rgb="FFFF0000"/>
      <name val="Arial"/>
      <family val="2"/>
    </font>
    <font>
      <sz val="10"/>
      <name val="Arial"/>
      <family val="2"/>
    </font>
    <font>
      <sz val="10"/>
      <name val="Arial"/>
      <family val="2"/>
    </font>
    <font>
      <sz val="10"/>
      <name val="Arial"/>
      <family val="2"/>
    </font>
    <font>
      <sz val="10"/>
      <color rgb="FFFF0000"/>
      <name val="Arial"/>
      <family val="2"/>
    </font>
    <font>
      <u/>
      <sz val="11"/>
      <color theme="10"/>
      <name val="Calibri"/>
      <family val="2"/>
      <scheme val="minor"/>
    </font>
    <font>
      <sz val="10"/>
      <name val="Arial"/>
      <family val="2"/>
    </font>
    <font>
      <sz val="10"/>
      <name val="Arial"/>
      <family val="2"/>
    </font>
    <font>
      <i/>
      <sz val="8"/>
      <color theme="1" tint="0.499984740745262"/>
      <name val="Arial"/>
      <family val="2"/>
    </font>
    <font>
      <i/>
      <sz val="8"/>
      <color theme="2" tint="-0.499984740745262"/>
      <name val="Arial"/>
      <family val="2"/>
    </font>
    <font>
      <sz val="10"/>
      <name val="Arial"/>
      <family val="2"/>
    </font>
    <font>
      <sz val="8"/>
      <color theme="1"/>
      <name val="Arial"/>
      <family val="2"/>
    </font>
    <font>
      <sz val="10"/>
      <name val="Arial"/>
      <family val="2"/>
    </font>
    <font>
      <sz val="8"/>
      <color theme="1"/>
      <name val="Arial"/>
      <family val="2"/>
    </font>
    <font>
      <sz val="8"/>
      <name val="Calibri"/>
      <family val="2"/>
      <scheme val="minor"/>
    </font>
    <font>
      <sz val="10"/>
      <color theme="2" tint="-0.499984740745262"/>
      <name val="Arial"/>
      <family val="2"/>
    </font>
    <font>
      <b/>
      <sz val="8"/>
      <name val="Arial"/>
      <family val="2"/>
    </font>
    <font>
      <sz val="10"/>
      <name val="Arial"/>
      <family val="2"/>
    </font>
    <font>
      <sz val="10"/>
      <name val="Arial"/>
      <family val="2"/>
    </font>
    <font>
      <sz val="10"/>
      <name val="Arial"/>
      <family val="2"/>
    </font>
    <font>
      <sz val="10"/>
      <name val="Arial"/>
      <family val="2"/>
    </font>
    <font>
      <sz val="10"/>
      <name val="Arial"/>
      <family val="2"/>
    </font>
    <font>
      <b/>
      <i/>
      <sz val="8"/>
      <color indexed="23"/>
      <name val="Arial"/>
      <family val="2"/>
    </font>
    <font>
      <b/>
      <sz val="9"/>
      <name val="Courier New"/>
      <family val="3"/>
    </font>
    <font>
      <b/>
      <sz val="9"/>
      <color theme="0"/>
      <name val="Arial"/>
      <family val="2"/>
    </font>
    <font>
      <i/>
      <sz val="10"/>
      <color theme="2" tint="-0.499984740745262"/>
      <name val="Arial"/>
      <family val="2"/>
    </font>
    <font>
      <sz val="10"/>
      <color theme="4"/>
      <name val="Arial"/>
      <family val="2"/>
    </font>
    <font>
      <sz val="10"/>
      <name val="Arial"/>
      <family val="2"/>
    </font>
    <font>
      <b/>
      <i/>
      <sz val="10"/>
      <name val="Arial"/>
      <family val="2"/>
    </font>
    <font>
      <u/>
      <sz val="3"/>
      <color theme="10"/>
      <name val="Calibri"/>
      <family val="2"/>
      <scheme val="minor"/>
    </font>
    <font>
      <sz val="10"/>
      <name val="Arial"/>
      <family val="2"/>
    </font>
    <font>
      <b/>
      <sz val="11"/>
      <color rgb="FF3F3F3F"/>
      <name val="Calibri"/>
      <family val="2"/>
      <scheme val="minor"/>
    </font>
    <font>
      <i/>
      <sz val="11"/>
      <color rgb="FF7F7F7F"/>
      <name val="Calibri"/>
      <family val="2"/>
      <scheme val="minor"/>
    </font>
  </fonts>
  <fills count="6">
    <fill>
      <patternFill patternType="none"/>
    </fill>
    <fill>
      <patternFill patternType="gray125"/>
    </fill>
    <fill>
      <patternFill patternType="solid">
        <fgColor theme="4"/>
        <bgColor theme="4"/>
      </patternFill>
    </fill>
    <fill>
      <patternFill patternType="solid">
        <fgColor theme="9" tint="0.79998168889431442"/>
        <bgColor indexed="64"/>
      </patternFill>
    </fill>
    <fill>
      <patternFill patternType="solid">
        <fgColor rgb="FFFFFF00"/>
        <bgColor indexed="64"/>
      </patternFill>
    </fill>
    <fill>
      <patternFill patternType="solid">
        <fgColor rgb="FFF2F2F2"/>
      </patternFill>
    </fill>
  </fills>
  <borders count="6">
    <border>
      <left/>
      <right/>
      <top/>
      <bottom/>
      <diagonal/>
    </border>
    <border>
      <left style="thick">
        <color theme="4" tint="0.39991454817346722"/>
      </left>
      <right style="thick">
        <color theme="4" tint="0.39991454817346722"/>
      </right>
      <top/>
      <bottom style="thick">
        <color theme="4" tint="0.39991454817346722"/>
      </bottom>
      <diagonal/>
    </border>
    <border>
      <left style="thick">
        <color theme="4" tint="0.39991454817346722"/>
      </left>
      <right style="thick">
        <color theme="4" tint="0.39991454817346722"/>
      </right>
      <top style="thick">
        <color theme="4" tint="0.39991454817346722"/>
      </top>
      <bottom style="thin">
        <color theme="4" tint="0.39997558519241921"/>
      </bottom>
      <diagonal/>
    </border>
    <border>
      <left/>
      <right/>
      <top style="thin">
        <color theme="1"/>
      </top>
      <bottom style="thin">
        <color theme="1"/>
      </bottom>
      <diagonal/>
    </border>
    <border>
      <left style="thin">
        <color indexed="64"/>
      </left>
      <right style="thin">
        <color indexed="64"/>
      </right>
      <top style="thin">
        <color indexed="64"/>
      </top>
      <bottom style="double">
        <color indexed="64"/>
      </bottom>
      <diagonal/>
    </border>
    <border>
      <left style="thin">
        <color rgb="FF3F3F3F"/>
      </left>
      <right style="thin">
        <color rgb="FF3F3F3F"/>
      </right>
      <top style="thin">
        <color rgb="FF3F3F3F"/>
      </top>
      <bottom style="thin">
        <color rgb="FF3F3F3F"/>
      </bottom>
      <diagonal/>
    </border>
  </borders>
  <cellStyleXfs count="12">
    <xf numFmtId="0" fontId="0" fillId="0" borderId="0"/>
    <xf numFmtId="0" fontId="1" fillId="0" borderId="0"/>
    <xf numFmtId="44"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4" fillId="0" borderId="0"/>
    <xf numFmtId="44" fontId="31" fillId="0" borderId="0" applyFont="0" applyFill="0" applyBorder="0" applyAlignment="0" applyProtection="0"/>
    <xf numFmtId="0" fontId="40" fillId="0" borderId="0" applyNumberFormat="0" applyFill="0" applyBorder="0" applyAlignment="0" applyProtection="0"/>
    <xf numFmtId="9" fontId="31" fillId="0" borderId="0" applyFont="0" applyFill="0" applyBorder="0" applyAlignment="0" applyProtection="0"/>
    <xf numFmtId="43" fontId="31" fillId="0" borderId="0" applyFont="0" applyFill="0" applyBorder="0" applyAlignment="0" applyProtection="0"/>
    <xf numFmtId="0" fontId="66" fillId="5" borderId="5" applyNumberFormat="0" applyAlignment="0" applyProtection="0"/>
    <xf numFmtId="0" fontId="67" fillId="0" borderId="0" applyNumberFormat="0" applyFill="0" applyBorder="0" applyAlignment="0" applyProtection="0"/>
  </cellStyleXfs>
  <cellXfs count="425">
    <xf numFmtId="0" fontId="0" fillId="0" borderId="0" xfId="0"/>
    <xf numFmtId="0" fontId="2" fillId="0" borderId="0" xfId="1" applyFont="1"/>
    <xf numFmtId="164" fontId="2" fillId="0" borderId="0" xfId="1" applyNumberFormat="1" applyFont="1"/>
    <xf numFmtId="0" fontId="3" fillId="0" borderId="0" xfId="1" applyFont="1"/>
    <xf numFmtId="44" fontId="3" fillId="0" borderId="0" xfId="2" applyFont="1"/>
    <xf numFmtId="44" fontId="2" fillId="0" borderId="0" xfId="2"/>
    <xf numFmtId="165" fontId="2" fillId="0" borderId="0" xfId="1" applyNumberFormat="1" applyFont="1"/>
    <xf numFmtId="165" fontId="3" fillId="0" borderId="0" xfId="3" applyNumberFormat="1" applyFont="1"/>
    <xf numFmtId="10" fontId="2" fillId="0" borderId="0" xfId="3" applyNumberFormat="1"/>
    <xf numFmtId="166" fontId="3" fillId="0" borderId="0" xfId="1" applyNumberFormat="1" applyFont="1"/>
    <xf numFmtId="43" fontId="2" fillId="0" borderId="0" xfId="4"/>
    <xf numFmtId="43" fontId="3" fillId="0" borderId="0" xfId="4" applyFont="1"/>
    <xf numFmtId="0" fontId="1" fillId="0" borderId="0" xfId="1"/>
    <xf numFmtId="164" fontId="2" fillId="0" borderId="0" xfId="2" applyNumberFormat="1"/>
    <xf numFmtId="1" fontId="2" fillId="0" borderId="0" xfId="2" applyNumberFormat="1"/>
    <xf numFmtId="37" fontId="2" fillId="0" borderId="0" xfId="2" applyNumberFormat="1"/>
    <xf numFmtId="3" fontId="3" fillId="0" borderId="0" xfId="1" applyNumberFormat="1" applyFont="1"/>
    <xf numFmtId="4" fontId="3" fillId="0" borderId="0" xfId="1" applyNumberFormat="1" applyFont="1"/>
    <xf numFmtId="167" fontId="2" fillId="0" borderId="0" xfId="2" applyNumberFormat="1"/>
    <xf numFmtId="0" fontId="3" fillId="0" borderId="0" xfId="3" applyNumberFormat="1" applyFont="1"/>
    <xf numFmtId="16" fontId="2" fillId="0" borderId="0" xfId="1" applyNumberFormat="1" applyFont="1"/>
    <xf numFmtId="166" fontId="4" fillId="0" borderId="0" xfId="2" applyNumberFormat="1" applyFont="1"/>
    <xf numFmtId="168" fontId="2" fillId="0" borderId="0" xfId="4" applyNumberFormat="1"/>
    <xf numFmtId="168" fontId="3" fillId="0" borderId="0" xfId="4" applyNumberFormat="1" applyFont="1"/>
    <xf numFmtId="169" fontId="2" fillId="0" borderId="0" xfId="4" applyNumberFormat="1"/>
    <xf numFmtId="166" fontId="2" fillId="0" borderId="0" xfId="2" applyNumberFormat="1"/>
    <xf numFmtId="170" fontId="2" fillId="0" borderId="0" xfId="4" applyNumberFormat="1"/>
    <xf numFmtId="10" fontId="3" fillId="0" borderId="0" xfId="3" applyNumberFormat="1" applyFont="1"/>
    <xf numFmtId="165" fontId="2" fillId="0" borderId="0" xfId="3" applyNumberFormat="1"/>
    <xf numFmtId="0" fontId="4" fillId="0" borderId="0" xfId="4" applyNumberFormat="1" applyFont="1" applyAlignment="1">
      <alignment horizontal="center"/>
    </xf>
    <xf numFmtId="1" fontId="5" fillId="0" borderId="0" xfId="2" applyNumberFormat="1" applyFont="1"/>
    <xf numFmtId="166" fontId="3" fillId="0" borderId="0" xfId="2" applyNumberFormat="1" applyFont="1"/>
    <xf numFmtId="5" fontId="3" fillId="0" borderId="0" xfId="2" applyNumberFormat="1" applyFont="1"/>
    <xf numFmtId="42" fontId="3" fillId="0" borderId="0" xfId="2" applyNumberFormat="1" applyFont="1"/>
    <xf numFmtId="1" fontId="3" fillId="0" borderId="0" xfId="2" applyNumberFormat="1" applyFont="1"/>
    <xf numFmtId="37" fontId="3" fillId="0" borderId="0" xfId="2" applyNumberFormat="1" applyFont="1"/>
    <xf numFmtId="1" fontId="2" fillId="0" borderId="0" xfId="2" applyNumberFormat="1" applyAlignment="1">
      <alignment horizontal="center"/>
    </xf>
    <xf numFmtId="164" fontId="7" fillId="0" borderId="0" xfId="2" applyNumberFormat="1" applyFont="1"/>
    <xf numFmtId="165" fontId="6" fillId="0" borderId="0" xfId="3" applyNumberFormat="1" applyFont="1"/>
    <xf numFmtId="2" fontId="10" fillId="0" borderId="0" xfId="4" applyNumberFormat="1" applyFont="1"/>
    <xf numFmtId="4" fontId="1" fillId="0" borderId="0" xfId="1" applyNumberFormat="1"/>
    <xf numFmtId="3" fontId="1" fillId="0" borderId="0" xfId="1" applyNumberFormat="1"/>
    <xf numFmtId="168" fontId="1" fillId="0" borderId="0" xfId="1" applyNumberFormat="1"/>
    <xf numFmtId="42" fontId="5" fillId="0" borderId="0" xfId="2" applyNumberFormat="1" applyFont="1"/>
    <xf numFmtId="165" fontId="11" fillId="0" borderId="0" xfId="3" applyNumberFormat="1" applyFont="1"/>
    <xf numFmtId="0" fontId="13" fillId="0" borderId="0" xfId="2" applyNumberFormat="1" applyFont="1"/>
    <xf numFmtId="169" fontId="3" fillId="0" borderId="0" xfId="2" applyNumberFormat="1" applyFont="1"/>
    <xf numFmtId="0" fontId="15" fillId="0" borderId="0" xfId="1" applyFont="1"/>
    <xf numFmtId="0" fontId="13" fillId="0" borderId="0" xfId="1" applyFont="1" applyAlignment="1">
      <alignment horizontal="center" wrapText="1"/>
    </xf>
    <xf numFmtId="166" fontId="14" fillId="0" borderId="0" xfId="2" applyNumberFormat="1" applyFont="1" applyAlignment="1">
      <alignment horizontal="center" wrapText="1"/>
    </xf>
    <xf numFmtId="4" fontId="14" fillId="0" borderId="0" xfId="1" applyNumberFormat="1" applyFont="1" applyAlignment="1">
      <alignment horizontal="center" wrapText="1"/>
    </xf>
    <xf numFmtId="44" fontId="14" fillId="0" borderId="0" xfId="2" applyFont="1" applyAlignment="1">
      <alignment horizontal="center" wrapText="1"/>
    </xf>
    <xf numFmtId="0" fontId="14" fillId="0" borderId="0" xfId="1" applyFont="1" applyAlignment="1">
      <alignment horizontal="center" wrapText="1"/>
    </xf>
    <xf numFmtId="166" fontId="16" fillId="0" borderId="0" xfId="2" applyNumberFormat="1" applyFont="1" applyAlignment="1">
      <alignment horizontal="center" wrapText="1"/>
    </xf>
    <xf numFmtId="0" fontId="4" fillId="0" borderId="0" xfId="1" applyFont="1" applyAlignment="1">
      <alignment wrapText="1"/>
    </xf>
    <xf numFmtId="0" fontId="8" fillId="0" borderId="0" xfId="1" applyFont="1" applyAlignment="1">
      <alignment wrapText="1"/>
    </xf>
    <xf numFmtId="0" fontId="17" fillId="0" borderId="0" xfId="1" applyFont="1" applyAlignment="1">
      <alignment wrapText="1"/>
    </xf>
    <xf numFmtId="166" fontId="8" fillId="0" borderId="0" xfId="2" applyNumberFormat="1" applyFont="1" applyAlignment="1">
      <alignment wrapText="1"/>
    </xf>
    <xf numFmtId="44" fontId="17" fillId="0" borderId="0" xfId="2" applyFont="1" applyAlignment="1">
      <alignment wrapText="1"/>
    </xf>
    <xf numFmtId="166" fontId="17" fillId="0" borderId="0" xfId="2" applyNumberFormat="1" applyFont="1" applyAlignment="1">
      <alignment wrapText="1"/>
    </xf>
    <xf numFmtId="1" fontId="17" fillId="0" borderId="0" xfId="2" applyNumberFormat="1" applyFont="1" applyAlignment="1">
      <alignment wrapText="1"/>
    </xf>
    <xf numFmtId="164" fontId="17" fillId="0" borderId="0" xfId="2" applyNumberFormat="1" applyFont="1" applyAlignment="1">
      <alignment wrapText="1"/>
    </xf>
    <xf numFmtId="0" fontId="8" fillId="0" borderId="0" xfId="1" applyFont="1" applyAlignment="1">
      <alignment horizontal="center" wrapText="1"/>
    </xf>
    <xf numFmtId="44" fontId="8" fillId="0" borderId="0" xfId="2" applyFont="1" applyAlignment="1">
      <alignment wrapText="1"/>
    </xf>
    <xf numFmtId="165" fontId="8" fillId="0" borderId="0" xfId="3" applyNumberFormat="1" applyFont="1" applyAlignment="1">
      <alignment wrapText="1"/>
    </xf>
    <xf numFmtId="10" fontId="17" fillId="0" borderId="0" xfId="3" applyNumberFormat="1" applyFont="1" applyAlignment="1">
      <alignment wrapText="1"/>
    </xf>
    <xf numFmtId="166" fontId="8" fillId="0" borderId="0" xfId="1" applyNumberFormat="1" applyFont="1" applyAlignment="1">
      <alignment wrapText="1"/>
    </xf>
    <xf numFmtId="43" fontId="8" fillId="0" borderId="0" xfId="4" applyFont="1" applyAlignment="1">
      <alignment wrapText="1"/>
    </xf>
    <xf numFmtId="170" fontId="17" fillId="0" borderId="0" xfId="4" applyNumberFormat="1" applyFont="1" applyAlignment="1">
      <alignment wrapText="1"/>
    </xf>
    <xf numFmtId="166" fontId="12" fillId="0" borderId="0" xfId="2" applyNumberFormat="1" applyFont="1" applyAlignment="1">
      <alignment horizontal="center"/>
    </xf>
    <xf numFmtId="4" fontId="12" fillId="0" borderId="0" xfId="1" applyNumberFormat="1" applyFont="1" applyAlignment="1">
      <alignment horizontal="center"/>
    </xf>
    <xf numFmtId="9" fontId="2" fillId="0" borderId="0" xfId="3"/>
    <xf numFmtId="0" fontId="9" fillId="0" borderId="0" xfId="1" applyFont="1"/>
    <xf numFmtId="0" fontId="11" fillId="0" borderId="0" xfId="1" applyFont="1"/>
    <xf numFmtId="0" fontId="12" fillId="0" borderId="0" xfId="1" applyFont="1" applyAlignment="1">
      <alignment horizontal="center"/>
    </xf>
    <xf numFmtId="164" fontId="9" fillId="0" borderId="0" xfId="1" applyNumberFormat="1" applyFont="1"/>
    <xf numFmtId="44" fontId="11" fillId="0" borderId="0" xfId="2" applyFont="1"/>
    <xf numFmtId="16" fontId="11" fillId="0" borderId="0" xfId="1" applyNumberFormat="1" applyFont="1"/>
    <xf numFmtId="44" fontId="9" fillId="0" borderId="0" xfId="2" applyFont="1"/>
    <xf numFmtId="165" fontId="9" fillId="0" borderId="0" xfId="3" applyNumberFormat="1" applyFont="1"/>
    <xf numFmtId="10" fontId="9" fillId="0" borderId="0" xfId="3" applyNumberFormat="1" applyFont="1"/>
    <xf numFmtId="166" fontId="11" fillId="0" borderId="0" xfId="1" applyNumberFormat="1" applyFont="1"/>
    <xf numFmtId="43" fontId="9" fillId="0" borderId="0" xfId="4" applyFont="1"/>
    <xf numFmtId="43" fontId="11" fillId="0" borderId="0" xfId="4" applyFont="1"/>
    <xf numFmtId="9" fontId="12" fillId="0" borderId="0" xfId="3" applyFont="1" applyAlignment="1">
      <alignment wrapText="1"/>
    </xf>
    <xf numFmtId="165" fontId="12" fillId="0" borderId="0" xfId="3" applyNumberFormat="1" applyFont="1" applyAlignment="1">
      <alignment wrapText="1"/>
    </xf>
    <xf numFmtId="0" fontId="18" fillId="0" borderId="0" xfId="1" applyFont="1"/>
    <xf numFmtId="49" fontId="18" fillId="0" borderId="0" xfId="1" applyNumberFormat="1" applyFont="1"/>
    <xf numFmtId="0" fontId="1" fillId="0" borderId="1" xfId="1" applyBorder="1"/>
    <xf numFmtId="0" fontId="19" fillId="2" borderId="2" xfId="1" applyFont="1" applyFill="1" applyBorder="1" applyAlignment="1">
      <alignment wrapText="1"/>
    </xf>
    <xf numFmtId="0" fontId="20" fillId="0" borderId="0" xfId="1" applyFont="1"/>
    <xf numFmtId="0" fontId="21" fillId="0" borderId="0" xfId="1" applyFont="1" applyAlignment="1">
      <alignment horizontal="center" wrapText="1"/>
    </xf>
    <xf numFmtId="0" fontId="22" fillId="0" borderId="0" xfId="1" applyFont="1" applyAlignment="1">
      <alignment horizontal="center"/>
    </xf>
    <xf numFmtId="0" fontId="23" fillId="0" borderId="0" xfId="1" applyFont="1"/>
    <xf numFmtId="0" fontId="19" fillId="0" borderId="0" xfId="1" applyFont="1"/>
    <xf numFmtId="0" fontId="24" fillId="0" borderId="0" xfId="5"/>
    <xf numFmtId="172" fontId="25" fillId="0" borderId="0" xfId="1" applyNumberFormat="1" applyFont="1"/>
    <xf numFmtId="173" fontId="25" fillId="0" borderId="0" xfId="1" applyNumberFormat="1" applyFont="1"/>
    <xf numFmtId="0" fontId="25" fillId="0" borderId="0" xfId="1" applyFont="1" applyAlignment="1">
      <alignment horizontal="right"/>
    </xf>
    <xf numFmtId="0" fontId="19" fillId="0" borderId="0" xfId="5" applyFont="1"/>
    <xf numFmtId="43" fontId="0" fillId="0" borderId="0" xfId="4" applyFont="1"/>
    <xf numFmtId="166" fontId="26" fillId="0" borderId="0" xfId="2" applyNumberFormat="1" applyFont="1" applyAlignment="1">
      <alignment horizontal="center" wrapText="1"/>
    </xf>
    <xf numFmtId="0" fontId="0" fillId="0" borderId="0" xfId="0" pivotButton="1"/>
    <xf numFmtId="0" fontId="0" fillId="0" borderId="0" xfId="0" applyAlignment="1">
      <alignment horizontal="left"/>
    </xf>
    <xf numFmtId="42" fontId="0" fillId="0" borderId="0" xfId="0" applyNumberFormat="1"/>
    <xf numFmtId="165" fontId="0" fillId="0" borderId="0" xfId="0" applyNumberFormat="1"/>
    <xf numFmtId="0" fontId="1" fillId="0" borderId="0" xfId="0" applyFont="1"/>
    <xf numFmtId="170" fontId="1" fillId="0" borderId="0" xfId="0" applyNumberFormat="1" applyFont="1"/>
    <xf numFmtId="0" fontId="1" fillId="0" borderId="0" xfId="0" applyFont="1" applyAlignment="1">
      <alignment horizontal="center"/>
    </xf>
    <xf numFmtId="43" fontId="1" fillId="0" borderId="0" xfId="0" applyNumberFormat="1" applyFont="1"/>
    <xf numFmtId="165" fontId="1" fillId="0" borderId="0" xfId="0" applyNumberFormat="1" applyFont="1"/>
    <xf numFmtId="169" fontId="3" fillId="0" borderId="0" xfId="0" applyNumberFormat="1" applyFont="1" applyAlignment="1">
      <alignment wrapText="1"/>
    </xf>
    <xf numFmtId="165" fontId="1" fillId="0" borderId="0" xfId="0" applyNumberFormat="1" applyFont="1" applyAlignment="1">
      <alignment wrapText="1"/>
    </xf>
    <xf numFmtId="168" fontId="1" fillId="0" borderId="0" xfId="0" applyNumberFormat="1" applyFont="1"/>
    <xf numFmtId="166" fontId="1" fillId="0" borderId="0" xfId="0" applyNumberFormat="1" applyFont="1"/>
    <xf numFmtId="44" fontId="3" fillId="0" borderId="0" xfId="0" applyNumberFormat="1" applyFont="1"/>
    <xf numFmtId="171" fontId="1" fillId="0" borderId="0" xfId="0" applyNumberFormat="1" applyFont="1"/>
    <xf numFmtId="16" fontId="1" fillId="0" borderId="0" xfId="0" applyNumberFormat="1" applyFont="1"/>
    <xf numFmtId="42" fontId="3" fillId="0" borderId="0" xfId="0" applyNumberFormat="1" applyFont="1"/>
    <xf numFmtId="166" fontId="3" fillId="0" borderId="0" xfId="0" applyNumberFormat="1" applyFont="1"/>
    <xf numFmtId="10" fontId="3" fillId="0" borderId="0" xfId="0" applyNumberFormat="1" applyFont="1"/>
    <xf numFmtId="39" fontId="1" fillId="0" borderId="0" xfId="0" applyNumberFormat="1" applyFont="1"/>
    <xf numFmtId="0" fontId="3" fillId="0" borderId="0" xfId="0" applyFont="1"/>
    <xf numFmtId="165" fontId="3" fillId="0" borderId="0" xfId="0" applyNumberFormat="1" applyFont="1"/>
    <xf numFmtId="3" fontId="1" fillId="0" borderId="0" xfId="0" applyNumberFormat="1" applyFont="1"/>
    <xf numFmtId="164" fontId="1" fillId="0" borderId="0" xfId="0" applyNumberFormat="1" applyFont="1"/>
    <xf numFmtId="1" fontId="1" fillId="0" borderId="0" xfId="0" applyNumberFormat="1" applyFont="1"/>
    <xf numFmtId="44" fontId="1" fillId="0" borderId="0" xfId="0" applyNumberFormat="1" applyFont="1"/>
    <xf numFmtId="164" fontId="3" fillId="0" borderId="0" xfId="0" applyNumberFormat="1" applyFont="1"/>
    <xf numFmtId="37" fontId="3" fillId="0" borderId="0" xfId="0" applyNumberFormat="1" applyFont="1"/>
    <xf numFmtId="1" fontId="3" fillId="0" borderId="0" xfId="0" applyNumberFormat="1" applyFont="1"/>
    <xf numFmtId="4" fontId="1" fillId="0" borderId="0" xfId="0" applyNumberFormat="1" applyFont="1"/>
    <xf numFmtId="9" fontId="3" fillId="0" borderId="0" xfId="0" applyNumberFormat="1" applyFont="1"/>
    <xf numFmtId="0" fontId="27" fillId="0" borderId="0" xfId="1" applyFont="1"/>
    <xf numFmtId="49" fontId="27" fillId="0" borderId="0" xfId="1" applyNumberFormat="1" applyFont="1"/>
    <xf numFmtId="0" fontId="28" fillId="0" borderId="0" xfId="1" applyFont="1"/>
    <xf numFmtId="166" fontId="29" fillId="0" borderId="0" xfId="2" applyNumberFormat="1" applyFont="1"/>
    <xf numFmtId="0" fontId="1" fillId="0" borderId="0" xfId="5" applyFont="1"/>
    <xf numFmtId="44" fontId="1" fillId="0" borderId="0" xfId="2" applyFont="1"/>
    <xf numFmtId="165" fontId="1" fillId="0" borderId="0" xfId="3" applyNumberFormat="1" applyFont="1"/>
    <xf numFmtId="0" fontId="1" fillId="0" borderId="0" xfId="1" applyAlignment="1">
      <alignment horizontal="center"/>
    </xf>
    <xf numFmtId="0" fontId="30" fillId="0" borderId="0" xfId="1" applyFont="1"/>
    <xf numFmtId="0" fontId="30" fillId="0" borderId="0" xfId="1" applyFont="1" applyAlignment="1">
      <alignment horizontal="center" wrapText="1"/>
    </xf>
    <xf numFmtId="164" fontId="9" fillId="0" borderId="0" xfId="2" applyNumberFormat="1" applyFont="1"/>
    <xf numFmtId="164" fontId="29" fillId="0" borderId="0" xfId="2" applyNumberFormat="1" applyFont="1"/>
    <xf numFmtId="39" fontId="1" fillId="0" borderId="3" xfId="6" applyNumberFormat="1" applyFont="1" applyBorder="1"/>
    <xf numFmtId="165" fontId="1" fillId="0" borderId="0" xfId="6" applyNumberFormat="1" applyFont="1"/>
    <xf numFmtId="164" fontId="1" fillId="0" borderId="0" xfId="2" applyNumberFormat="1" applyFont="1"/>
    <xf numFmtId="1" fontId="1" fillId="0" borderId="0" xfId="2" applyNumberFormat="1" applyFont="1"/>
    <xf numFmtId="165" fontId="1" fillId="0" borderId="0" xfId="3" applyNumberFormat="1" applyFont="1" applyAlignment="1">
      <alignment horizontal="center"/>
    </xf>
    <xf numFmtId="171" fontId="1" fillId="0" borderId="0" xfId="2" applyNumberFormat="1" applyFont="1"/>
    <xf numFmtId="16" fontId="1" fillId="0" borderId="0" xfId="1" applyNumberFormat="1"/>
    <xf numFmtId="165" fontId="3" fillId="0" borderId="0" xfId="3" applyNumberFormat="1" applyFont="1" applyFill="1"/>
    <xf numFmtId="166" fontId="29" fillId="0" borderId="0" xfId="2" applyNumberFormat="1" applyFont="1" applyAlignment="1"/>
    <xf numFmtId="44" fontId="9" fillId="0" borderId="0" xfId="2" applyFont="1" applyAlignment="1"/>
    <xf numFmtId="164" fontId="33" fillId="0" borderId="0" xfId="2" applyNumberFormat="1" applyFont="1" applyAlignment="1"/>
    <xf numFmtId="164" fontId="9" fillId="0" borderId="0" xfId="2" applyNumberFormat="1" applyFont="1" applyAlignment="1"/>
    <xf numFmtId="166" fontId="3" fillId="0" borderId="0" xfId="2" applyNumberFormat="1" applyFont="1" applyFill="1"/>
    <xf numFmtId="10" fontId="3" fillId="0" borderId="0" xfId="3" applyNumberFormat="1" applyFont="1" applyFill="1"/>
    <xf numFmtId="42" fontId="5" fillId="0" borderId="0" xfId="2" applyNumberFormat="1" applyFont="1" applyFill="1"/>
    <xf numFmtId="1" fontId="5" fillId="0" borderId="0" xfId="2" applyNumberFormat="1" applyFont="1" applyFill="1"/>
    <xf numFmtId="0" fontId="4" fillId="0" borderId="0" xfId="4" applyNumberFormat="1" applyFont="1" applyFill="1" applyAlignment="1">
      <alignment horizontal="center"/>
    </xf>
    <xf numFmtId="0" fontId="8" fillId="0" borderId="0" xfId="1" applyFont="1"/>
    <xf numFmtId="44" fontId="34" fillId="0" borderId="0" xfId="2" applyFont="1"/>
    <xf numFmtId="44" fontId="35" fillId="0" borderId="0" xfId="2" applyFont="1"/>
    <xf numFmtId="0" fontId="1" fillId="0" borderId="0" xfId="0" applyFont="1" applyAlignment="1">
      <alignment horizontal="right"/>
    </xf>
    <xf numFmtId="1" fontId="1" fillId="0" borderId="0" xfId="2" applyNumberFormat="1" applyFont="1" applyAlignment="1"/>
    <xf numFmtId="164" fontId="1" fillId="0" borderId="0" xfId="2" applyNumberFormat="1" applyFont="1" applyAlignment="1"/>
    <xf numFmtId="44" fontId="36" fillId="0" borderId="0" xfId="2" applyFont="1"/>
    <xf numFmtId="1" fontId="36" fillId="0" borderId="0" xfId="2" applyNumberFormat="1" applyFont="1" applyAlignment="1"/>
    <xf numFmtId="164" fontId="36" fillId="0" borderId="0" xfId="2" applyNumberFormat="1" applyFont="1" applyAlignment="1"/>
    <xf numFmtId="168" fontId="36" fillId="0" borderId="0" xfId="1" applyNumberFormat="1" applyFont="1"/>
    <xf numFmtId="4" fontId="36" fillId="0" borderId="0" xfId="1" applyNumberFormat="1" applyFont="1"/>
    <xf numFmtId="3" fontId="36" fillId="0" borderId="0" xfId="1" applyNumberFormat="1" applyFont="1"/>
    <xf numFmtId="44" fontId="37" fillId="0" borderId="0" xfId="2" applyFont="1"/>
    <xf numFmtId="1" fontId="37" fillId="0" borderId="0" xfId="2" applyNumberFormat="1" applyFont="1" applyAlignment="1"/>
    <xf numFmtId="164" fontId="37" fillId="0" borderId="0" xfId="2" applyNumberFormat="1" applyFont="1" applyAlignment="1"/>
    <xf numFmtId="168" fontId="37" fillId="0" borderId="0" xfId="1" applyNumberFormat="1" applyFont="1"/>
    <xf numFmtId="4" fontId="37" fillId="0" borderId="0" xfId="1" applyNumberFormat="1" applyFont="1"/>
    <xf numFmtId="3" fontId="37" fillId="0" borderId="0" xfId="1" applyNumberFormat="1" applyFont="1"/>
    <xf numFmtId="44" fontId="38" fillId="0" borderId="0" xfId="2" applyFont="1"/>
    <xf numFmtId="1" fontId="38" fillId="0" borderId="0" xfId="2" applyNumberFormat="1" applyFont="1" applyAlignment="1"/>
    <xf numFmtId="164" fontId="38" fillId="0" borderId="0" xfId="2" applyNumberFormat="1" applyFont="1" applyAlignment="1"/>
    <xf numFmtId="168" fontId="38" fillId="0" borderId="0" xfId="1" applyNumberFormat="1" applyFont="1"/>
    <xf numFmtId="4" fontId="38" fillId="0" borderId="0" xfId="1" applyNumberFormat="1" applyFont="1"/>
    <xf numFmtId="3" fontId="38" fillId="0" borderId="0" xfId="1" applyNumberFormat="1" applyFont="1"/>
    <xf numFmtId="4" fontId="3" fillId="0" borderId="0" xfId="0" applyNumberFormat="1" applyFont="1"/>
    <xf numFmtId="0" fontId="35" fillId="0" borderId="0" xfId="6" applyNumberFormat="1" applyFont="1" applyFill="1" applyAlignment="1">
      <alignment horizontal="center"/>
    </xf>
    <xf numFmtId="44" fontId="41" fillId="0" borderId="0" xfId="2" applyFont="1"/>
    <xf numFmtId="1" fontId="41" fillId="0" borderId="0" xfId="2" applyNumberFormat="1" applyFont="1" applyAlignment="1"/>
    <xf numFmtId="164" fontId="41" fillId="0" borderId="0" xfId="2" applyNumberFormat="1" applyFont="1" applyAlignment="1"/>
    <xf numFmtId="168" fontId="41" fillId="0" borderId="0" xfId="1" applyNumberFormat="1" applyFont="1"/>
    <xf numFmtId="4" fontId="41" fillId="0" borderId="0" xfId="1" applyNumberFormat="1" applyFont="1"/>
    <xf numFmtId="3" fontId="41" fillId="0" borderId="0" xfId="1" applyNumberFormat="1" applyFont="1"/>
    <xf numFmtId="164" fontId="3" fillId="0" borderId="0" xfId="2" applyNumberFormat="1" applyFont="1" applyAlignment="1">
      <alignment wrapText="1"/>
    </xf>
    <xf numFmtId="172" fontId="5" fillId="0" borderId="0" xfId="3" applyNumberFormat="1" applyFont="1" applyAlignment="1" applyProtection="1"/>
    <xf numFmtId="165" fontId="8" fillId="0" borderId="0" xfId="3" applyNumberFormat="1" applyFont="1" applyAlignment="1" applyProtection="1">
      <alignment horizontal="center"/>
    </xf>
    <xf numFmtId="44" fontId="2" fillId="0" borderId="0" xfId="6" applyFont="1"/>
    <xf numFmtId="44" fontId="42" fillId="0" borderId="0" xfId="2" applyFont="1"/>
    <xf numFmtId="1" fontId="42" fillId="0" borderId="0" xfId="2" applyNumberFormat="1" applyFont="1" applyAlignment="1"/>
    <xf numFmtId="164" fontId="42" fillId="0" borderId="0" xfId="2" applyNumberFormat="1" applyFont="1" applyAlignment="1"/>
    <xf numFmtId="168" fontId="42" fillId="0" borderId="0" xfId="1" applyNumberFormat="1" applyFont="1"/>
    <xf numFmtId="4" fontId="42" fillId="0" borderId="0" xfId="1" applyNumberFormat="1" applyFont="1"/>
    <xf numFmtId="3" fontId="42" fillId="0" borderId="0" xfId="1" applyNumberFormat="1" applyFont="1"/>
    <xf numFmtId="43" fontId="43" fillId="0" borderId="0" xfId="4" applyFont="1"/>
    <xf numFmtId="170" fontId="44" fillId="0" borderId="0" xfId="4" applyNumberFormat="1" applyFont="1" applyAlignment="1">
      <alignment wrapText="1"/>
    </xf>
    <xf numFmtId="43" fontId="10" fillId="0" borderId="0" xfId="4" applyFont="1"/>
    <xf numFmtId="170" fontId="10" fillId="0" borderId="0" xfId="4" applyNumberFormat="1" applyFont="1"/>
    <xf numFmtId="39" fontId="10" fillId="0" borderId="0" xfId="6" applyNumberFormat="1" applyFont="1"/>
    <xf numFmtId="170" fontId="10" fillId="0" borderId="0" xfId="0" applyNumberFormat="1" applyFont="1"/>
    <xf numFmtId="44" fontId="45" fillId="0" borderId="0" xfId="2" applyFont="1"/>
    <xf numFmtId="1" fontId="45" fillId="0" borderId="0" xfId="2" applyNumberFormat="1" applyFont="1" applyAlignment="1"/>
    <xf numFmtId="164" fontId="45" fillId="0" borderId="0" xfId="2" applyNumberFormat="1" applyFont="1" applyAlignment="1"/>
    <xf numFmtId="168" fontId="45" fillId="0" borderId="0" xfId="1" applyNumberFormat="1" applyFont="1"/>
    <xf numFmtId="4" fontId="45" fillId="0" borderId="0" xfId="1" applyNumberFormat="1" applyFont="1"/>
    <xf numFmtId="3" fontId="45" fillId="0" borderId="0" xfId="1" applyNumberFormat="1" applyFont="1"/>
    <xf numFmtId="44" fontId="43" fillId="0" borderId="0" xfId="6" applyFont="1"/>
    <xf numFmtId="44" fontId="26" fillId="0" borderId="0" xfId="6" applyFont="1" applyAlignment="1">
      <alignment horizontal="center" wrapText="1"/>
    </xf>
    <xf numFmtId="44" fontId="9" fillId="0" borderId="0" xfId="7" applyNumberFormat="1" applyFont="1"/>
    <xf numFmtId="44" fontId="39" fillId="0" borderId="0" xfId="6" applyFont="1" applyAlignment="1"/>
    <xf numFmtId="164" fontId="39" fillId="0" borderId="0" xfId="6" applyNumberFormat="1" applyFont="1" applyAlignment="1"/>
    <xf numFmtId="44" fontId="1" fillId="0" borderId="0" xfId="2" applyFont="1" applyAlignment="1"/>
    <xf numFmtId="0" fontId="46" fillId="0" borderId="0" xfId="1" applyFont="1"/>
    <xf numFmtId="49" fontId="46" fillId="0" borderId="0" xfId="1" applyNumberFormat="1" applyFont="1"/>
    <xf numFmtId="0" fontId="47" fillId="0" borderId="0" xfId="1" applyFont="1"/>
    <xf numFmtId="44" fontId="39" fillId="0" borderId="0" xfId="6" applyFont="1" applyBorder="1" applyAlignment="1"/>
    <xf numFmtId="166" fontId="21" fillId="0" borderId="0" xfId="2" applyNumberFormat="1" applyFont="1" applyAlignment="1">
      <alignment horizontal="center" wrapText="1"/>
    </xf>
    <xf numFmtId="44" fontId="9" fillId="0" borderId="0" xfId="7" applyNumberFormat="1" applyFont="1" applyAlignment="1"/>
    <xf numFmtId="0" fontId="0" fillId="0" borderId="0" xfId="0" applyAlignment="1">
      <alignment horizontal="left" indent="1"/>
    </xf>
    <xf numFmtId="0" fontId="48" fillId="0" borderId="0" xfId="1" applyFont="1"/>
    <xf numFmtId="49" fontId="48" fillId="0" borderId="0" xfId="1" applyNumberFormat="1" applyFont="1"/>
    <xf numFmtId="42" fontId="3" fillId="0" borderId="0" xfId="3" applyNumberFormat="1" applyFont="1" applyAlignment="1"/>
    <xf numFmtId="166" fontId="32" fillId="0" borderId="0" xfId="2" applyNumberFormat="1" applyFont="1" applyAlignment="1">
      <alignment horizontal="center" wrapText="1"/>
    </xf>
    <xf numFmtId="168" fontId="32" fillId="0" borderId="0" xfId="4" applyNumberFormat="1" applyFont="1" applyAlignment="1">
      <alignment horizontal="center" wrapText="1"/>
    </xf>
    <xf numFmtId="44" fontId="3" fillId="0" borderId="0" xfId="6" applyFont="1"/>
    <xf numFmtId="166" fontId="3" fillId="0" borderId="0" xfId="2" applyNumberFormat="1" applyFont="1" applyAlignment="1">
      <alignment horizontal="center"/>
    </xf>
    <xf numFmtId="166" fontId="3" fillId="0" borderId="0" xfId="6" applyNumberFormat="1" applyFont="1"/>
    <xf numFmtId="9" fontId="2" fillId="0" borderId="0" xfId="8" applyFont="1"/>
    <xf numFmtId="9" fontId="9" fillId="0" borderId="0" xfId="8" applyFont="1"/>
    <xf numFmtId="9" fontId="32" fillId="0" borderId="0" xfId="8" applyFont="1" applyAlignment="1">
      <alignment horizontal="center" wrapText="1"/>
    </xf>
    <xf numFmtId="9" fontId="3" fillId="0" borderId="0" xfId="8" applyFont="1"/>
    <xf numFmtId="9" fontId="2" fillId="0" borderId="0" xfId="1" applyNumberFormat="1" applyFont="1"/>
    <xf numFmtId="9" fontId="17" fillId="0" borderId="0" xfId="1" applyNumberFormat="1" applyFont="1" applyAlignment="1">
      <alignment wrapText="1"/>
    </xf>
    <xf numFmtId="9" fontId="32" fillId="0" borderId="0" xfId="2" applyNumberFormat="1" applyFont="1" applyAlignment="1">
      <alignment horizontal="center" wrapText="1"/>
    </xf>
    <xf numFmtId="9" fontId="3" fillId="0" borderId="0" xfId="2" applyNumberFormat="1" applyFont="1"/>
    <xf numFmtId="9" fontId="0" fillId="0" borderId="0" xfId="0" applyNumberFormat="1"/>
    <xf numFmtId="9" fontId="8" fillId="0" borderId="0" xfId="1" applyNumberFormat="1" applyFont="1" applyAlignment="1">
      <alignment wrapText="1"/>
    </xf>
    <xf numFmtId="10" fontId="12" fillId="0" borderId="0" xfId="8" applyNumberFormat="1" applyFont="1" applyAlignment="1">
      <alignment wrapText="1"/>
    </xf>
    <xf numFmtId="10" fontId="4" fillId="0" borderId="0" xfId="8" applyNumberFormat="1" applyFont="1" applyAlignment="1">
      <alignment wrapText="1"/>
    </xf>
    <xf numFmtId="10" fontId="32" fillId="0" borderId="0" xfId="8" applyNumberFormat="1" applyFont="1" applyAlignment="1">
      <alignment horizontal="center" wrapText="1"/>
    </xf>
    <xf numFmtId="10" fontId="3" fillId="0" borderId="0" xfId="8" applyNumberFormat="1" applyFont="1"/>
    <xf numFmtId="175" fontId="3" fillId="0" borderId="0" xfId="1" applyNumberFormat="1" applyFont="1"/>
    <xf numFmtId="175" fontId="9" fillId="0" borderId="0" xfId="1" applyNumberFormat="1" applyFont="1"/>
    <xf numFmtId="175" fontId="2" fillId="0" borderId="0" xfId="2" applyNumberFormat="1"/>
    <xf numFmtId="175" fontId="4" fillId="0" borderId="0" xfId="1" applyNumberFormat="1" applyFont="1" applyAlignment="1">
      <alignment wrapText="1"/>
    </xf>
    <xf numFmtId="175" fontId="32" fillId="0" borderId="0" xfId="2" applyNumberFormat="1" applyFont="1" applyAlignment="1">
      <alignment horizontal="center" wrapText="1"/>
    </xf>
    <xf numFmtId="175" fontId="3" fillId="0" borderId="0" xfId="0" applyNumberFormat="1" applyFont="1"/>
    <xf numFmtId="175" fontId="2" fillId="0" borderId="0" xfId="1" applyNumberFormat="1" applyFont="1"/>
    <xf numFmtId="175" fontId="3" fillId="0" borderId="0" xfId="1" applyNumberFormat="1" applyFont="1" applyAlignment="1">
      <alignment horizontal="center"/>
    </xf>
    <xf numFmtId="175" fontId="9" fillId="0" borderId="0" xfId="1" applyNumberFormat="1" applyFont="1" applyAlignment="1">
      <alignment horizontal="center"/>
    </xf>
    <xf numFmtId="175" fontId="2" fillId="0" borderId="0" xfId="2" applyNumberFormat="1" applyAlignment="1">
      <alignment horizontal="center"/>
    </xf>
    <xf numFmtId="175" fontId="4" fillId="0" borderId="0" xfId="1" applyNumberFormat="1" applyFont="1" applyAlignment="1">
      <alignment horizontal="center" wrapText="1"/>
    </xf>
    <xf numFmtId="175" fontId="6" fillId="0" borderId="0" xfId="2" applyNumberFormat="1" applyFont="1" applyAlignment="1">
      <alignment horizontal="center"/>
    </xf>
    <xf numFmtId="175" fontId="3" fillId="0" borderId="0" xfId="0" applyNumberFormat="1" applyFont="1" applyAlignment="1">
      <alignment horizontal="center"/>
    </xf>
    <xf numFmtId="175" fontId="2" fillId="0" borderId="0" xfId="1" applyNumberFormat="1" applyFont="1" applyAlignment="1">
      <alignment horizontal="center"/>
    </xf>
    <xf numFmtId="174" fontId="6" fillId="0" borderId="0" xfId="2" applyNumberFormat="1" applyFont="1"/>
    <xf numFmtId="44" fontId="9" fillId="0" borderId="0" xfId="6" applyFont="1"/>
    <xf numFmtId="44" fontId="8" fillId="0" borderId="0" xfId="6" applyFont="1" applyAlignment="1">
      <alignment wrapText="1"/>
    </xf>
    <xf numFmtId="44" fontId="1" fillId="0" borderId="0" xfId="6" applyFont="1"/>
    <xf numFmtId="166" fontId="50" fillId="0" borderId="0" xfId="2" applyNumberFormat="1" applyFont="1"/>
    <xf numFmtId="165" fontId="50" fillId="0" borderId="0" xfId="3" applyNumberFormat="1" applyFont="1"/>
    <xf numFmtId="44" fontId="3" fillId="0" borderId="0" xfId="6" applyFont="1" applyAlignment="1">
      <alignment horizontal="center"/>
    </xf>
    <xf numFmtId="44" fontId="9" fillId="0" borderId="0" xfId="6" applyFont="1" applyAlignment="1">
      <alignment horizontal="center"/>
    </xf>
    <xf numFmtId="44" fontId="2" fillId="0" borderId="0" xfId="6" applyFont="1" applyAlignment="1">
      <alignment horizontal="center"/>
    </xf>
    <xf numFmtId="44" fontId="8" fillId="0" borderId="0" xfId="6" applyFont="1" applyAlignment="1">
      <alignment horizontal="center" wrapText="1"/>
    </xf>
    <xf numFmtId="44" fontId="3" fillId="0" borderId="0" xfId="2" applyFont="1" applyAlignment="1">
      <alignment horizontal="center"/>
    </xf>
    <xf numFmtId="44" fontId="1" fillId="0" borderId="0" xfId="0" applyNumberFormat="1" applyFont="1" applyAlignment="1">
      <alignment horizontal="center"/>
    </xf>
    <xf numFmtId="166" fontId="9" fillId="0" borderId="0" xfId="6" applyNumberFormat="1" applyFont="1"/>
    <xf numFmtId="166" fontId="2" fillId="0" borderId="0" xfId="6" applyNumberFormat="1" applyFont="1"/>
    <xf numFmtId="166" fontId="8" fillId="0" borderId="0" xfId="6" applyNumberFormat="1" applyFont="1" applyAlignment="1">
      <alignment wrapText="1"/>
    </xf>
    <xf numFmtId="44" fontId="24" fillId="0" borderId="0" xfId="7" applyNumberFormat="1" applyFont="1"/>
    <xf numFmtId="44" fontId="5" fillId="0" borderId="0" xfId="2" applyFont="1" applyBorder="1" applyAlignment="1">
      <alignment horizontal="right"/>
    </xf>
    <xf numFmtId="44" fontId="4" fillId="0" borderId="0" xfId="2" applyFont="1" applyBorder="1"/>
    <xf numFmtId="44" fontId="5" fillId="0" borderId="0" xfId="2" applyFont="1"/>
    <xf numFmtId="44" fontId="51" fillId="0" borderId="0" xfId="2" applyFont="1"/>
    <xf numFmtId="44" fontId="52" fillId="0" borderId="0" xfId="2" applyFont="1"/>
    <xf numFmtId="1" fontId="52" fillId="0" borderId="0" xfId="2" applyNumberFormat="1" applyFont="1" applyAlignment="1"/>
    <xf numFmtId="164" fontId="52" fillId="0" borderId="0" xfId="2" applyNumberFormat="1" applyFont="1" applyAlignment="1"/>
    <xf numFmtId="44" fontId="52" fillId="0" borderId="0" xfId="2" applyFont="1" applyAlignment="1"/>
    <xf numFmtId="166" fontId="34" fillId="0" borderId="0" xfId="2" applyNumberFormat="1" applyFont="1"/>
    <xf numFmtId="44" fontId="16" fillId="0" borderId="0" xfId="2" applyFont="1"/>
    <xf numFmtId="168" fontId="52" fillId="0" borderId="0" xfId="1" applyNumberFormat="1" applyFont="1"/>
    <xf numFmtId="4" fontId="52" fillId="0" borderId="0" xfId="1" applyNumberFormat="1" applyFont="1"/>
    <xf numFmtId="3" fontId="52" fillId="0" borderId="0" xfId="1" applyNumberFormat="1" applyFont="1"/>
    <xf numFmtId="9" fontId="3" fillId="0" borderId="0" xfId="8" applyFont="1" applyAlignment="1">
      <alignment horizontal="right"/>
    </xf>
    <xf numFmtId="174" fontId="3" fillId="0" borderId="0" xfId="1" applyNumberFormat="1" applyFont="1"/>
    <xf numFmtId="174" fontId="9" fillId="0" borderId="0" xfId="1" applyNumberFormat="1" applyFont="1"/>
    <xf numFmtId="174" fontId="2" fillId="0" borderId="0" xfId="2" applyNumberFormat="1"/>
    <xf numFmtId="174" fontId="4" fillId="0" borderId="0" xfId="1" applyNumberFormat="1" applyFont="1" applyAlignment="1">
      <alignment wrapText="1"/>
    </xf>
    <xf numFmtId="174" fontId="32" fillId="0" borderId="0" xfId="2" applyNumberFormat="1" applyFont="1" applyAlignment="1">
      <alignment horizontal="center" wrapText="1"/>
    </xf>
    <xf numFmtId="174" fontId="3" fillId="0" borderId="0" xfId="0" applyNumberFormat="1" applyFont="1"/>
    <xf numFmtId="174" fontId="2" fillId="0" borderId="0" xfId="1" applyNumberFormat="1" applyFont="1"/>
    <xf numFmtId="165" fontId="3" fillId="0" borderId="0" xfId="8" applyNumberFormat="1" applyFont="1"/>
    <xf numFmtId="165" fontId="2" fillId="0" borderId="0" xfId="8" applyNumberFormat="1" applyFont="1"/>
    <xf numFmtId="165" fontId="32" fillId="0" borderId="0" xfId="8" applyNumberFormat="1" applyFont="1" applyAlignment="1">
      <alignment horizontal="center" wrapText="1"/>
    </xf>
    <xf numFmtId="9" fontId="6" fillId="0" borderId="0" xfId="8" applyFont="1"/>
    <xf numFmtId="165" fontId="43" fillId="0" borderId="0" xfId="8" applyNumberFormat="1" applyFont="1"/>
    <xf numFmtId="165" fontId="17" fillId="0" borderId="0" xfId="8" applyNumberFormat="1" applyFont="1" applyAlignment="1">
      <alignment wrapText="1"/>
    </xf>
    <xf numFmtId="9" fontId="4" fillId="0" borderId="0" xfId="8" applyFont="1" applyAlignment="1">
      <alignment wrapText="1"/>
    </xf>
    <xf numFmtId="9" fontId="1" fillId="0" borderId="0" xfId="0" applyNumberFormat="1" applyFont="1"/>
    <xf numFmtId="168" fontId="53" fillId="0" borderId="0" xfId="1" applyNumberFormat="1" applyFont="1"/>
    <xf numFmtId="4" fontId="53" fillId="0" borderId="0" xfId="1" applyNumberFormat="1" applyFont="1"/>
    <xf numFmtId="3" fontId="53" fillId="0" borderId="0" xfId="1" applyNumberFormat="1" applyFont="1"/>
    <xf numFmtId="44" fontId="54" fillId="0" borderId="0" xfId="2" applyFont="1"/>
    <xf numFmtId="1" fontId="54" fillId="0" borderId="0" xfId="2" applyNumberFormat="1" applyFont="1" applyAlignment="1"/>
    <xf numFmtId="164" fontId="54" fillId="0" borderId="0" xfId="2" applyNumberFormat="1" applyFont="1" applyAlignment="1"/>
    <xf numFmtId="44" fontId="54" fillId="0" borderId="0" xfId="2" applyFont="1" applyAlignment="1"/>
    <xf numFmtId="168" fontId="54" fillId="0" borderId="0" xfId="1" applyNumberFormat="1" applyFont="1"/>
    <xf numFmtId="4" fontId="54" fillId="0" borderId="0" xfId="1" applyNumberFormat="1" applyFont="1"/>
    <xf numFmtId="3" fontId="54" fillId="0" borderId="0" xfId="1" applyNumberFormat="1" applyFont="1"/>
    <xf numFmtId="44" fontId="11" fillId="0" borderId="0" xfId="2" applyFont="1" applyAlignment="1"/>
    <xf numFmtId="166" fontId="14" fillId="0" borderId="0" xfId="2" applyNumberFormat="1" applyFont="1"/>
    <xf numFmtId="168" fontId="55" fillId="0" borderId="0" xfId="1" applyNumberFormat="1" applyFont="1"/>
    <xf numFmtId="4" fontId="55" fillId="0" borderId="0" xfId="1" applyNumberFormat="1" applyFont="1"/>
    <xf numFmtId="3" fontId="55" fillId="0" borderId="0" xfId="1" applyNumberFormat="1" applyFont="1"/>
    <xf numFmtId="170" fontId="1" fillId="0" borderId="0" xfId="4" applyNumberFormat="1" applyFont="1"/>
    <xf numFmtId="165" fontId="6" fillId="0" borderId="0" xfId="3" applyNumberFormat="1" applyFont="1" applyFill="1" applyAlignment="1"/>
    <xf numFmtId="165" fontId="32" fillId="0" borderId="0" xfId="3" applyNumberFormat="1" applyFont="1" applyFill="1" applyAlignment="1"/>
    <xf numFmtId="168" fontId="1" fillId="0" borderId="0" xfId="4" applyNumberFormat="1" applyFont="1"/>
    <xf numFmtId="166" fontId="50" fillId="0" borderId="0" xfId="2" applyNumberFormat="1" applyFont="1" applyAlignment="1"/>
    <xf numFmtId="165" fontId="1" fillId="0" borderId="0" xfId="2" applyNumberFormat="1" applyFont="1"/>
    <xf numFmtId="44" fontId="35" fillId="0" borderId="0" xfId="6" applyFont="1" applyAlignment="1">
      <alignment horizontal="center"/>
    </xf>
    <xf numFmtId="165" fontId="40" fillId="0" borderId="0" xfId="7" applyNumberFormat="1"/>
    <xf numFmtId="44" fontId="3" fillId="0" borderId="0" xfId="8" applyNumberFormat="1" applyFont="1"/>
    <xf numFmtId="44" fontId="1" fillId="0" borderId="0" xfId="6" applyFont="1" applyAlignment="1">
      <alignment wrapText="1"/>
    </xf>
    <xf numFmtId="166" fontId="4" fillId="0" borderId="0" xfId="6" applyNumberFormat="1" applyFont="1" applyAlignment="1">
      <alignment wrapText="1"/>
    </xf>
    <xf numFmtId="166" fontId="32" fillId="0" borderId="0" xfId="6" applyNumberFormat="1" applyFont="1" applyAlignment="1">
      <alignment horizontal="center" wrapText="1"/>
    </xf>
    <xf numFmtId="9" fontId="7" fillId="0" borderId="0" xfId="8" applyFont="1" applyBorder="1"/>
    <xf numFmtId="0" fontId="39" fillId="0" borderId="0" xfId="6" applyNumberFormat="1" applyFont="1" applyAlignment="1"/>
    <xf numFmtId="10" fontId="39" fillId="0" borderId="0" xfId="6" applyNumberFormat="1" applyFont="1" applyBorder="1" applyAlignment="1"/>
    <xf numFmtId="44" fontId="56" fillId="0" borderId="0" xfId="2" applyFont="1"/>
    <xf numFmtId="1" fontId="56" fillId="0" borderId="0" xfId="2" applyNumberFormat="1" applyFont="1" applyAlignment="1"/>
    <xf numFmtId="164" fontId="56" fillId="0" borderId="0" xfId="2" applyNumberFormat="1" applyFont="1" applyAlignment="1"/>
    <xf numFmtId="44" fontId="56" fillId="0" borderId="0" xfId="2" applyFont="1" applyAlignment="1"/>
    <xf numFmtId="168" fontId="56" fillId="0" borderId="0" xfId="1" applyNumberFormat="1" applyFont="1"/>
    <xf numFmtId="4" fontId="56" fillId="0" borderId="0" xfId="1" applyNumberFormat="1" applyFont="1"/>
    <xf numFmtId="3" fontId="56" fillId="0" borderId="0" xfId="1" applyNumberFormat="1" applyFont="1"/>
    <xf numFmtId="0" fontId="34" fillId="0" borderId="0" xfId="6" applyNumberFormat="1" applyFont="1" applyAlignment="1">
      <alignment horizontal="left"/>
    </xf>
    <xf numFmtId="10" fontId="2" fillId="0" borderId="0" xfId="8" applyNumberFormat="1" applyFont="1"/>
    <xf numFmtId="44" fontId="3" fillId="4" borderId="0" xfId="2" applyFont="1" applyFill="1"/>
    <xf numFmtId="177" fontId="1" fillId="0" borderId="0" xfId="1" applyNumberFormat="1"/>
    <xf numFmtId="178" fontId="1" fillId="0" borderId="0" xfId="2" applyNumberFormat="1" applyFont="1"/>
    <xf numFmtId="172" fontId="16" fillId="0" borderId="0" xfId="3" applyNumberFormat="1" applyFont="1" applyAlignment="1" applyProtection="1"/>
    <xf numFmtId="165" fontId="57" fillId="0" borderId="0" xfId="3" applyNumberFormat="1" applyFont="1" applyAlignment="1" applyProtection="1">
      <alignment horizontal="center"/>
    </xf>
    <xf numFmtId="166" fontId="1" fillId="0" borderId="0" xfId="2" applyNumberFormat="1" applyFont="1"/>
    <xf numFmtId="165" fontId="14" fillId="0" borderId="0" xfId="6" applyNumberFormat="1" applyFont="1"/>
    <xf numFmtId="179" fontId="3" fillId="0" borderId="0" xfId="9" applyNumberFormat="1" applyFont="1"/>
    <xf numFmtId="179" fontId="9" fillId="0" borderId="0" xfId="9" applyNumberFormat="1" applyFont="1"/>
    <xf numFmtId="179" fontId="2" fillId="0" borderId="0" xfId="9" applyNumberFormat="1" applyFont="1"/>
    <xf numFmtId="179" fontId="17" fillId="0" borderId="0" xfId="9" applyNumberFormat="1" applyFont="1" applyAlignment="1">
      <alignment wrapText="1"/>
    </xf>
    <xf numFmtId="179" fontId="26" fillId="0" borderId="0" xfId="9" applyNumberFormat="1" applyFont="1" applyAlignment="1">
      <alignment horizontal="center" wrapText="1"/>
    </xf>
    <xf numFmtId="179" fontId="0" fillId="0" borderId="0" xfId="9" applyNumberFormat="1" applyFont="1"/>
    <xf numFmtId="179" fontId="1" fillId="0" borderId="0" xfId="0" applyNumberFormat="1" applyFont="1"/>
    <xf numFmtId="171" fontId="3" fillId="0" borderId="0" xfId="1" applyNumberFormat="1" applyFont="1"/>
    <xf numFmtId="171" fontId="17" fillId="0" borderId="0" xfId="2" applyNumberFormat="1" applyFont="1" applyAlignment="1">
      <alignment wrapText="1"/>
    </xf>
    <xf numFmtId="171" fontId="26" fillId="0" borderId="0" xfId="2" applyNumberFormat="1" applyFont="1" applyAlignment="1">
      <alignment horizontal="center" wrapText="1"/>
    </xf>
    <xf numFmtId="171" fontId="3" fillId="0" borderId="0" xfId="0" applyNumberFormat="1" applyFont="1"/>
    <xf numFmtId="10" fontId="58" fillId="0" borderId="0" xfId="3" applyNumberFormat="1" applyFont="1" applyAlignment="1">
      <alignment wrapText="1"/>
    </xf>
    <xf numFmtId="0" fontId="3" fillId="0" borderId="0" xfId="9" applyNumberFormat="1" applyFont="1"/>
    <xf numFmtId="43" fontId="9" fillId="0" borderId="0" xfId="9" applyFont="1" applyAlignment="1"/>
    <xf numFmtId="2" fontId="9" fillId="0" borderId="0" xfId="7" applyNumberFormat="1" applyFont="1"/>
    <xf numFmtId="43" fontId="0" fillId="0" borderId="0" xfId="9" applyFont="1"/>
    <xf numFmtId="164" fontId="14" fillId="0" borderId="0" xfId="2" applyNumberFormat="1" applyFont="1" applyAlignment="1">
      <alignment wrapText="1"/>
    </xf>
    <xf numFmtId="42" fontId="9" fillId="0" borderId="0" xfId="9" applyNumberFormat="1" applyFont="1" applyAlignment="1"/>
    <xf numFmtId="42" fontId="3" fillId="0" borderId="0" xfId="6" applyNumberFormat="1" applyFont="1"/>
    <xf numFmtId="44" fontId="39" fillId="0" borderId="0" xfId="6" applyFont="1" applyFill="1" applyAlignment="1"/>
    <xf numFmtId="166" fontId="59" fillId="0" borderId="0" xfId="2" applyNumberFormat="1" applyFont="1" applyAlignment="1">
      <alignment horizontal="center" wrapText="1"/>
    </xf>
    <xf numFmtId="0" fontId="8" fillId="0" borderId="0" xfId="1" applyFont="1" applyAlignment="1">
      <alignment horizontal="left"/>
    </xf>
    <xf numFmtId="1" fontId="60" fillId="0" borderId="0" xfId="2" applyNumberFormat="1" applyFont="1" applyAlignment="1"/>
    <xf numFmtId="44" fontId="4" fillId="0" borderId="0" xfId="6" applyFont="1" applyAlignment="1">
      <alignment wrapText="1"/>
    </xf>
    <xf numFmtId="44" fontId="13" fillId="0" borderId="0" xfId="6" applyFont="1" applyAlignment="1">
      <alignment horizontal="center" wrapText="1"/>
    </xf>
    <xf numFmtId="44" fontId="15" fillId="0" borderId="0" xfId="6" applyFont="1"/>
    <xf numFmtId="44" fontId="61" fillId="0" borderId="0" xfId="2" applyFont="1"/>
    <xf numFmtId="21" fontId="0" fillId="0" borderId="0" xfId="0" applyNumberFormat="1"/>
    <xf numFmtId="9" fontId="0" fillId="0" borderId="0" xfId="8" applyFont="1"/>
    <xf numFmtId="0" fontId="9" fillId="0" borderId="0" xfId="2" applyNumberFormat="1" applyFont="1" applyAlignment="1"/>
    <xf numFmtId="0" fontId="34" fillId="0" borderId="0" xfId="2" applyNumberFormat="1" applyFont="1"/>
    <xf numFmtId="44" fontId="0" fillId="0" borderId="0" xfId="6" applyFont="1"/>
    <xf numFmtId="165" fontId="6" fillId="0" borderId="0" xfId="3" applyNumberFormat="1" applyFont="1" applyFill="1"/>
    <xf numFmtId="165" fontId="1" fillId="0" borderId="0" xfId="6" applyNumberFormat="1" applyFont="1" applyFill="1"/>
    <xf numFmtId="44" fontId="62" fillId="0" borderId="0" xfId="2" applyFont="1"/>
    <xf numFmtId="1" fontId="62" fillId="0" borderId="0" xfId="2" applyNumberFormat="1" applyFont="1" applyAlignment="1"/>
    <xf numFmtId="164" fontId="62" fillId="0" borderId="0" xfId="2" applyNumberFormat="1" applyFont="1" applyAlignment="1"/>
    <xf numFmtId="44" fontId="62" fillId="0" borderId="0" xfId="2" applyFont="1" applyAlignment="1"/>
    <xf numFmtId="166" fontId="11" fillId="0" borderId="0" xfId="2" applyNumberFormat="1" applyFont="1" applyAlignment="1">
      <alignment horizontal="center"/>
    </xf>
    <xf numFmtId="44" fontId="63" fillId="0" borderId="0" xfId="7" applyNumberFormat="1" applyFont="1" applyAlignment="1">
      <alignment horizontal="center"/>
    </xf>
    <xf numFmtId="2" fontId="63" fillId="0" borderId="0" xfId="7" applyNumberFormat="1" applyFont="1" applyAlignment="1">
      <alignment horizontal="center"/>
    </xf>
    <xf numFmtId="168" fontId="62" fillId="0" borderId="0" xfId="1" applyNumberFormat="1" applyFont="1"/>
    <xf numFmtId="4" fontId="62" fillId="0" borderId="0" xfId="1" applyNumberFormat="1" applyFont="1"/>
    <xf numFmtId="3" fontId="62" fillId="0" borderId="0" xfId="1" applyNumberFormat="1" applyFont="1"/>
    <xf numFmtId="44" fontId="10" fillId="0" borderId="0" xfId="6" applyFont="1"/>
    <xf numFmtId="44" fontId="5" fillId="0" borderId="0" xfId="6" applyFont="1" applyBorder="1" applyAlignment="1">
      <alignment horizontal="right"/>
    </xf>
    <xf numFmtId="44" fontId="4" fillId="0" borderId="0" xfId="6" applyFont="1" applyBorder="1"/>
    <xf numFmtId="44" fontId="5" fillId="0" borderId="0" xfId="6" applyFont="1" applyBorder="1"/>
    <xf numFmtId="6" fontId="34" fillId="0" borderId="0" xfId="6" applyNumberFormat="1" applyFont="1" applyAlignment="1">
      <alignment horizontal="left"/>
    </xf>
    <xf numFmtId="44" fontId="64" fillId="0" borderId="0" xfId="7" applyNumberFormat="1" applyFont="1"/>
    <xf numFmtId="180" fontId="1" fillId="0" borderId="0" xfId="2" applyNumberFormat="1" applyFont="1"/>
    <xf numFmtId="166" fontId="32" fillId="3" borderId="4" xfId="6" applyNumberFormat="1" applyFont="1" applyFill="1" applyBorder="1"/>
    <xf numFmtId="170" fontId="1" fillId="0" borderId="0" xfId="4" applyNumberFormat="1" applyFont="1" applyAlignment="1">
      <alignment horizontal="center"/>
    </xf>
    <xf numFmtId="44" fontId="65" fillId="0" borderId="0" xfId="2" applyFont="1"/>
    <xf numFmtId="1" fontId="65" fillId="0" borderId="0" xfId="2" applyNumberFormat="1" applyFont="1" applyAlignment="1"/>
    <xf numFmtId="164" fontId="65" fillId="0" borderId="0" xfId="2" applyNumberFormat="1" applyFont="1" applyAlignment="1"/>
    <xf numFmtId="44" fontId="65" fillId="0" borderId="0" xfId="2" applyFont="1" applyAlignment="1"/>
    <xf numFmtId="1" fontId="1" fillId="0" borderId="0" xfId="2" applyNumberFormat="1" applyFont="1" applyAlignment="1">
      <alignment horizontal="center"/>
    </xf>
    <xf numFmtId="44" fontId="16" fillId="0" borderId="0" xfId="2" applyFont="1" applyAlignment="1">
      <alignment horizontal="center"/>
    </xf>
    <xf numFmtId="168" fontId="65" fillId="0" borderId="0" xfId="1" applyNumberFormat="1" applyFont="1"/>
    <xf numFmtId="4" fontId="65" fillId="0" borderId="0" xfId="1" applyNumberFormat="1" applyFont="1"/>
    <xf numFmtId="3" fontId="65" fillId="0" borderId="0" xfId="1" applyNumberFormat="1" applyFont="1"/>
    <xf numFmtId="44" fontId="0" fillId="0" borderId="0" xfId="0" applyNumberFormat="1"/>
    <xf numFmtId="44" fontId="67" fillId="0" borderId="0" xfId="11" applyNumberFormat="1"/>
    <xf numFmtId="42" fontId="5" fillId="0" borderId="0" xfId="6" applyNumberFormat="1" applyFont="1" applyBorder="1"/>
    <xf numFmtId="176" fontId="66" fillId="5" borderId="5" xfId="10" applyNumberFormat="1" applyAlignment="1">
      <alignment horizontal="center" wrapText="1"/>
    </xf>
    <xf numFmtId="7" fontId="0" fillId="0" borderId="0" xfId="6" applyNumberFormat="1" applyFont="1"/>
    <xf numFmtId="7" fontId="9" fillId="0" borderId="0" xfId="7" applyNumberFormat="1" applyFont="1"/>
    <xf numFmtId="0" fontId="1" fillId="0" borderId="0" xfId="0" applyNumberFormat="1" applyFont="1"/>
  </cellXfs>
  <cellStyles count="12">
    <cellStyle name="Comma" xfId="9" builtinId="3"/>
    <cellStyle name="Comma 2" xfId="4" xr:uid="{458031F1-BED5-4B96-ABC7-2399AC4723FB}"/>
    <cellStyle name="Currency" xfId="6" builtinId="4"/>
    <cellStyle name="Currency 2" xfId="2" xr:uid="{5818863E-CB46-43FD-BEAF-E705F7824DC5}"/>
    <cellStyle name="Explanatory Text" xfId="11" builtinId="53"/>
    <cellStyle name="Hyperlink" xfId="7" builtinId="8"/>
    <cellStyle name="Normal" xfId="0" builtinId="0"/>
    <cellStyle name="Normal 2" xfId="1" xr:uid="{F5D340D6-6F73-4787-9B4D-6C4EA883FF87}"/>
    <cellStyle name="Normal 2 2" xfId="5" xr:uid="{B68E9A46-FE56-4014-AEA1-93BE814959F3}"/>
    <cellStyle name="Output" xfId="10" builtinId="21"/>
    <cellStyle name="Percent" xfId="8" builtinId="5"/>
    <cellStyle name="Percent 2" xfId="3" xr:uid="{ED73C437-F7FD-42D1-8B8F-9D3E02C5DFE8}"/>
  </cellStyles>
  <dxfs count="492">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8" formatCode="_(* #,##0_);_(* \(#,##0\);_(*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79" formatCode="#,##0.000_);\(#,##0.00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5" formatCode="#,##0_);\(#,##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75" formatCode="&quot;$&quot;#,##0.00"/>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74" formatCode="&quot;$&quot;#,##0"/>
    </dxf>
    <dxf>
      <font>
        <b val="0"/>
        <i val="0"/>
        <strike val="0"/>
        <condense val="0"/>
        <extend val="0"/>
        <outline val="0"/>
        <shadow val="0"/>
        <u val="none"/>
        <vertAlign val="baseline"/>
        <sz val="10"/>
        <color indexed="23"/>
        <name val="Arial"/>
        <family val="2"/>
        <scheme val="none"/>
      </font>
      <numFmt numFmtId="174" formatCode="&quot;$&quot;#,##0"/>
    </dxf>
    <dxf>
      <font>
        <b val="0"/>
        <i val="0"/>
        <strike val="0"/>
        <condense val="0"/>
        <extend val="0"/>
        <outline val="0"/>
        <shadow val="0"/>
        <u val="none"/>
        <vertAlign val="baseline"/>
        <sz val="10"/>
        <color indexed="23"/>
        <name val="Arial"/>
        <family val="2"/>
        <scheme val="none"/>
      </font>
      <numFmt numFmtId="175" formatCode="&quot;$&quot;#,##0.0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7" formatCode="#,##0.00_);\(#,##0.00\)"/>
    </dxf>
    <dxf>
      <font>
        <b val="0"/>
        <i val="0"/>
        <strike val="0"/>
        <condense val="0"/>
        <extend val="0"/>
        <outline val="0"/>
        <shadow val="0"/>
        <u val="none"/>
        <vertAlign val="baseline"/>
        <sz val="10"/>
        <color auto="1"/>
        <name val="Arial"/>
        <family val="2"/>
        <scheme val="none"/>
      </font>
      <numFmt numFmtId="7" formatCode="#,##0.00_);\(#,##0.00\)"/>
    </dxf>
    <dxf>
      <font>
        <b val="0"/>
        <i val="0"/>
        <strike val="0"/>
        <condense val="0"/>
        <extend val="0"/>
        <outline val="0"/>
        <shadow val="0"/>
        <u val="none"/>
        <vertAlign val="baseline"/>
        <sz val="10"/>
        <color auto="1"/>
        <name val="Arial"/>
        <family val="2"/>
        <scheme val="none"/>
      </font>
      <numFmt numFmtId="21" formatCode="dd\-mmm"/>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2" formatCode="_(&quot;$&quot;* #,##0_);_(&quot;$&quot;* \(#,##0\);_(&quot;$&quot;* &quot;-&quot;_);_(@_)"/>
    </dxf>
    <dxf>
      <font>
        <b val="0"/>
        <i val="0"/>
        <strike val="0"/>
        <condense val="0"/>
        <extend val="0"/>
        <outline val="0"/>
        <shadow val="0"/>
        <u val="none"/>
        <vertAlign val="baseline"/>
        <sz val="10"/>
        <color auto="1"/>
        <name val="Arial"/>
        <family val="2"/>
        <scheme val="none"/>
      </font>
      <numFmt numFmtId="21" formatCode="dd\-mmm"/>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8" formatCode="_(* #,##0_);_(* \(#,##0\);_(* &quot;-&quot;??_);_(@_)"/>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general" vertical="bottom" textRotation="0" wrapText="1" indent="0" justifyLastLine="0" shrinkToFit="0" readingOrder="0"/>
    </dxf>
    <dxf>
      <font>
        <b val="0"/>
        <i val="0"/>
        <strike val="0"/>
        <condense val="0"/>
        <extend val="0"/>
        <outline val="0"/>
        <shadow val="0"/>
        <u val="none"/>
        <vertAlign val="baseline"/>
        <sz val="10"/>
        <color indexed="23"/>
        <name val="Arial"/>
        <family val="2"/>
        <scheme val="none"/>
      </font>
      <numFmt numFmtId="169" formatCode="mm/dd/yy;@"/>
      <alignment horizontal="general" vertical="bottom" textRotation="0" wrapText="1" indent="0" justifyLastLine="0" shrinkToFit="0" readingOrder="0"/>
    </dxf>
    <dxf>
      <font>
        <b val="0"/>
        <i val="0"/>
        <strike val="0"/>
        <condense val="0"/>
        <extend val="0"/>
        <outline val="0"/>
        <shadow val="0"/>
        <u val="none"/>
        <vertAlign val="baseline"/>
        <sz val="10"/>
        <color indexed="23"/>
        <name val="Arial"/>
        <family val="2"/>
        <scheme val="none"/>
      </font>
      <numFmt numFmtId="169" formatCode="mm/dd/yy;@"/>
      <alignment horizontal="general" vertical="bottom" textRotation="0" wrapText="1" indent="0" justifyLastLine="0" shrinkToFit="0" readingOrder="0"/>
    </dxf>
    <dxf>
      <font>
        <b val="0"/>
        <i val="0"/>
        <strike val="0"/>
        <condense val="0"/>
        <extend val="0"/>
        <outline val="0"/>
        <shadow val="0"/>
        <u val="none"/>
        <vertAlign val="baseline"/>
        <sz val="10"/>
        <color indexed="23"/>
        <name val="Arial"/>
        <family val="2"/>
        <scheme val="none"/>
      </font>
      <numFmt numFmtId="169" formatCode="mm/dd/yy;@"/>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5" formatCode="_(* #,##0.00_);_(* \(#,##0.00\);_(* &quot;-&quot;??_);_(@_)"/>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70" formatCode="_(* #,##0.000_);_(* \(#,##0.000\);_(* &quot;-&quot;??_);_(@_)"/>
    </dxf>
    <dxf>
      <font>
        <b val="0"/>
        <i val="0"/>
        <strike val="0"/>
        <condense val="0"/>
        <extend val="0"/>
        <outline val="0"/>
        <shadow val="0"/>
        <u val="none"/>
        <vertAlign val="baseline"/>
        <sz val="8"/>
        <color theme="2" tint="-0.499984740745262"/>
        <name val="Arial"/>
        <family val="2"/>
        <scheme val="none"/>
      </font>
      <numFmt numFmtId="170" formatCode="_(* #,##0.000_);_(* \(#,##0.000\);_(* &quot;-&quot;??_);_(@_)"/>
    </dxf>
    <dxf>
      <numFmt numFmtId="34" formatCode="_(&quot;$&quot;* #,##0.00_);_(&quot;$&quot;* \(#,##0.00\);_(&quot;$&quot;* &quot;-&quot;??_);_(@_)"/>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color rgb="FFFFFFFF"/>
      </font>
      <fill>
        <patternFill patternType="solid">
          <fgColor indexed="64"/>
          <bgColor rgb="FF00B050"/>
        </patternFill>
      </fill>
    </dxf>
    <dxf>
      <font>
        <b/>
        <i val="0"/>
        <color rgb="FF008000"/>
      </font>
    </dxf>
    <dxf>
      <font>
        <color rgb="FFFFFFFF"/>
      </font>
      <fill>
        <patternFill patternType="solid">
          <fgColor indexed="64"/>
          <bgColor rgb="FFFF0000"/>
        </patternFill>
      </fill>
      <border>
        <left style="thin">
          <color rgb="FF000000"/>
        </left>
        <right style="thin">
          <color rgb="FF000000"/>
        </right>
        <top style="thin">
          <color rgb="FF000000"/>
        </top>
        <bottom style="thin">
          <color rgb="FF000000"/>
        </bottom>
      </border>
    </dxf>
    <dxf>
      <font>
        <color rgb="FFFFFFFF"/>
      </font>
      <fill>
        <patternFill patternType="solid">
          <fgColor indexed="64"/>
          <bgColor rgb="FF00B050"/>
        </patternFill>
      </fill>
    </dxf>
    <dxf>
      <font>
        <color rgb="FFFFFFFF"/>
      </font>
      <fill>
        <patternFill patternType="solid">
          <fgColor indexed="64"/>
          <bgColor rgb="FF00B050"/>
        </patternFill>
      </fill>
    </dxf>
    <dxf>
      <font>
        <color rgb="FFFFFFFF"/>
      </font>
      <fill>
        <patternFill patternType="solid">
          <fgColor indexed="64"/>
          <bgColor rgb="FF70AD47"/>
        </patternFill>
      </fill>
    </dxf>
    <dxf>
      <font>
        <color rgb="FFFFFFFF"/>
      </font>
      <fill>
        <patternFill patternType="solid">
          <fgColor indexed="64"/>
          <bgColor rgb="FF2F75B5"/>
        </patternFill>
      </fill>
    </dxf>
    <dxf>
      <font>
        <color rgb="FFFFFFFF"/>
      </font>
      <fill>
        <patternFill patternType="solid">
          <fgColor indexed="64"/>
          <bgColor rgb="FF00B050"/>
        </patternFill>
      </fill>
    </dxf>
    <dxf>
      <font>
        <color rgb="FFFFFFFF"/>
      </font>
      <fill>
        <patternFill patternType="solid">
          <fgColor indexed="64"/>
          <bgColor rgb="FFFFC000"/>
        </patternFill>
      </fill>
    </dxf>
    <dxf>
      <font>
        <color rgb="FFFFFFFF"/>
      </font>
      <fill>
        <patternFill patternType="solid">
          <fgColor indexed="64"/>
          <bgColor rgb="FFFF0000"/>
        </patternFill>
      </fill>
    </dxf>
    <dxf>
      <font>
        <b val="0"/>
        <i val="0"/>
      </font>
      <fill>
        <patternFill patternType="solid">
          <fgColor indexed="64"/>
          <bgColor rgb="FFFFFF00"/>
        </patternFill>
      </fill>
    </dxf>
    <dxf>
      <font>
        <b val="0"/>
        <i val="0"/>
      </font>
      <fill>
        <patternFill patternType="solid">
          <fgColor indexed="64"/>
          <bgColor rgb="FFFFFF00"/>
        </patternFill>
      </fill>
    </dxf>
    <dxf>
      <font>
        <color rgb="FFFFFFFF"/>
      </font>
      <fill>
        <patternFill patternType="solid">
          <fgColor indexed="64"/>
          <bgColor rgb="FFAEAAAA"/>
        </patternFill>
      </fill>
    </dxf>
    <dxf>
      <font>
        <color rgb="FFFFFFFF"/>
      </font>
      <fill>
        <patternFill patternType="solid">
          <fgColor indexed="64"/>
          <bgColor rgb="FFFF00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color rgb="FFFFFFFF"/>
      </font>
      <fill>
        <patternFill patternType="solid">
          <fgColor indexed="64"/>
          <bgColor rgb="FF00B05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val="0"/>
        <i val="0"/>
        <color rgb="FFFFFFFF"/>
      </font>
      <fill>
        <patternFill patternType="solid">
          <fgColor indexed="64"/>
          <bgColor rgb="FF00B050"/>
        </patternFill>
      </fill>
    </dxf>
    <dxf>
      <font>
        <b val="0"/>
        <i val="0"/>
        <color rgb="FFFFFFFF"/>
      </font>
      <fill>
        <patternFill patternType="solid">
          <fgColor indexed="64"/>
          <bgColor rgb="FF00B050"/>
        </patternFill>
      </fill>
    </dxf>
    <dxf>
      <font>
        <b val="0"/>
        <i val="0"/>
        <color rgb="FFFFFFFF"/>
      </font>
      <fill>
        <patternFill patternType="solid">
          <fgColor indexed="64"/>
          <bgColor rgb="FF00B050"/>
        </patternFill>
      </fill>
    </dxf>
    <dxf>
      <font>
        <color rgb="FFFFFFFF"/>
      </font>
      <fill>
        <patternFill patternType="solid">
          <fgColor indexed="64"/>
          <bgColor rgb="FFAEAAAA"/>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color rgb="FFFFFFFF"/>
      </font>
      <fill>
        <patternFill patternType="solid">
          <fgColor indexed="64"/>
          <bgColor rgb="FF00B050"/>
        </patternFill>
      </fill>
    </dxf>
    <dxf>
      <font>
        <color rgb="FFFFFFFF"/>
      </font>
      <fill>
        <patternFill patternType="solid">
          <fgColor indexed="64"/>
          <bgColor rgb="FF2F75B5"/>
        </patternFill>
      </fill>
    </dxf>
    <dxf>
      <font>
        <color rgb="FFFFFFFF"/>
      </font>
      <fill>
        <patternFill patternType="solid">
          <fgColor indexed="64"/>
          <bgColor rgb="FF00B050"/>
        </patternFill>
      </fill>
    </dxf>
    <dxf>
      <font>
        <color rgb="FFFFFFFF"/>
      </font>
      <fill>
        <patternFill patternType="solid">
          <fgColor indexed="64"/>
          <bgColor rgb="FF00B050"/>
        </patternFill>
      </fill>
    </dxf>
    <dxf>
      <font>
        <b val="0"/>
        <i val="0"/>
      </font>
      <fill>
        <patternFill patternType="solid">
          <fgColor indexed="64"/>
          <bgColor rgb="FFFFFF00"/>
        </patternFill>
      </fill>
    </dxf>
    <dxf>
      <font>
        <color rgb="FFFFFFFF"/>
      </font>
      <fill>
        <patternFill patternType="solid">
          <fgColor indexed="64"/>
          <bgColor rgb="FFAEAAAA"/>
        </patternFill>
      </fill>
    </dxf>
    <dxf>
      <font>
        <color rgb="FFFFFFFF"/>
      </font>
      <fill>
        <patternFill patternType="solid">
          <fgColor indexed="64"/>
          <bgColor rgb="FFAEAAAA"/>
        </patternFill>
      </fill>
    </dxf>
    <dxf>
      <font>
        <color rgb="FFFFFFFF"/>
      </font>
      <fill>
        <patternFill patternType="solid">
          <fgColor indexed="64"/>
          <bgColor rgb="FF008000"/>
        </patternFill>
      </fill>
    </dxf>
    <dxf>
      <font>
        <b val="0"/>
        <i val="0"/>
        <color rgb="FFFFFFFF"/>
      </font>
      <fill>
        <patternFill patternType="solid">
          <fgColor indexed="64"/>
          <bgColor rgb="FF00B050"/>
        </patternFill>
      </fill>
    </dxf>
    <dxf>
      <font>
        <color rgb="FFFFFFFF"/>
      </font>
      <fill>
        <patternFill patternType="solid">
          <fgColor indexed="64"/>
          <bgColor rgb="FFAEAAAA"/>
        </patternFill>
      </fill>
    </dxf>
    <dxf>
      <font>
        <b val="0"/>
        <i/>
        <color rgb="FF333F4F"/>
      </font>
      <fill>
        <patternFill patternType="solid">
          <fgColor indexed="64"/>
          <bgColor rgb="FFB4C6E7"/>
        </patternFill>
      </fill>
      <border>
        <left style="thin">
          <color auto="1"/>
        </left>
        <right style="thin">
          <color auto="1"/>
        </right>
        <top style="thin">
          <color auto="1"/>
        </top>
        <bottom style="thin">
          <color auto="1"/>
        </bottom>
      </border>
    </dxf>
    <dxf>
      <font>
        <color rgb="FFFFFFFF"/>
      </font>
      <fill>
        <patternFill patternType="solid">
          <fgColor indexed="64"/>
          <bgColor rgb="FF00B050"/>
        </patternFill>
      </fill>
    </dxf>
    <dxf>
      <numFmt numFmtId="165" formatCode="0.0%"/>
    </dxf>
    <dxf>
      <numFmt numFmtId="32" formatCode="_(&quot;$&quot;* #,##0_);_(&quot;$&quot;* \(#,##0\);_(&quot;$&quot;* &quot;-&quot;_);_(@_)"/>
    </dxf>
    <dxf>
      <numFmt numFmtId="174" formatCode="&quot;$&quot;#,##0"/>
    </dxf>
    <dxf>
      <numFmt numFmtId="174" formatCode="&quot;$&quot;#,##0"/>
    </dxf>
    <dxf>
      <numFmt numFmtId="174" formatCode="&quot;$&quot;#,##0"/>
    </dxf>
    <dxf>
      <numFmt numFmtId="174" formatCode="&quot;$&quot;#,##0"/>
    </dxf>
    <dxf>
      <numFmt numFmtId="174" formatCode="&quot;$&quot;#,##0"/>
    </dxf>
    <dxf>
      <font>
        <b val="0"/>
        <i val="0"/>
        <strike val="0"/>
        <condense val="0"/>
        <extend val="0"/>
        <outline val="0"/>
        <shadow val="0"/>
        <u val="none"/>
        <vertAlign val="baseline"/>
        <sz val="10"/>
        <color auto="1"/>
        <name val="Arial"/>
        <family val="2"/>
        <scheme val="none"/>
      </font>
    </dxf>
    <dxf>
      <font>
        <b val="0"/>
        <i val="0"/>
        <strike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outline val="0"/>
        <shadow val="0"/>
        <u val="none"/>
        <vertAlign val="baseline"/>
        <sz val="10"/>
        <color auto="1"/>
        <name val="Arial"/>
        <family val="2"/>
        <scheme val="none"/>
      </font>
    </dxf>
    <dxf>
      <font>
        <b val="0"/>
        <i val="0"/>
        <strike val="0"/>
        <outline val="0"/>
        <shadow val="0"/>
        <u val="none"/>
        <vertAlign val="baseline"/>
        <sz val="10"/>
        <color auto="1"/>
        <name val="Arial"/>
        <family val="2"/>
        <scheme val="none"/>
      </font>
    </dxf>
    <dxf>
      <font>
        <b/>
        <i val="0"/>
        <strike val="0"/>
        <condense val="0"/>
        <extend val="0"/>
        <outline val="0"/>
        <shadow val="0"/>
        <u val="none"/>
        <vertAlign val="baseline"/>
        <sz val="10"/>
        <color theme="0"/>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theme="0"/>
        <name val="Arial"/>
        <family val="2"/>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numFmt numFmtId="30" formatCode="@"/>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family val="2"/>
        <scheme val="none"/>
      </font>
      <numFmt numFmtId="0" formatCode="General"/>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family val="2"/>
        <scheme val="none"/>
      </font>
      <numFmt numFmtId="0" formatCode="General"/>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sz val="8"/>
        <color theme="1"/>
        <family val="2"/>
      </font>
      <numFmt numFmtId="0" formatCode="General"/>
    </dxf>
    <dxf>
      <font>
        <b val="0"/>
        <i val="0"/>
        <strike val="0"/>
        <condense val="0"/>
        <extend val="0"/>
        <outline val="0"/>
        <shadow val="0"/>
        <u val="none"/>
        <vertAlign val="baseline"/>
        <sz val="8"/>
        <color theme="1"/>
        <name val="Arial"/>
        <scheme val="none"/>
      </font>
      <alignment horizontal="center" vertical="bottom" textRotation="0" wrapText="1" indent="0" justifyLastLine="0" shrinkToFit="0" readingOrder="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32" formatCode="_(&quot;$&quot;* #,##0_);_(&quot;$&quot;* \(#,##0\);_(&quot;$&quot;* &quot;-&quot;_);_(@_)"/>
      <alignment horizontal="general"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8"/>
        <color indexed="23"/>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8"/>
        <color indexed="23"/>
        <name val="Arial"/>
        <family val="2"/>
        <scheme val="none"/>
      </font>
      <numFmt numFmtId="32"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8"/>
        <color indexed="23"/>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8"/>
        <color indexed="23"/>
        <name val="Arial"/>
        <family val="2"/>
        <scheme val="none"/>
      </font>
      <numFmt numFmtId="32"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8"/>
        <color indexed="23"/>
        <name val="Arial"/>
        <family val="2"/>
        <scheme val="none"/>
      </font>
      <numFmt numFmtId="1" formatCode="0"/>
    </dxf>
    <dxf>
      <font>
        <b val="0"/>
        <i val="0"/>
        <strike val="0"/>
        <condense val="0"/>
        <extend val="0"/>
        <outline val="0"/>
        <shadow val="0"/>
        <u val="none"/>
        <vertAlign val="baseline"/>
        <sz val="8"/>
        <color indexed="23"/>
        <name val="Arial"/>
        <family val="2"/>
        <scheme val="none"/>
      </font>
      <numFmt numFmtId="32" formatCode="_(&quot;$&quot;* #,##0_);_(&quot;$&quot;* \(#,##0\);_(&quot;$&quot;* &quot;-&quot;_);_(@_)"/>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8"/>
        <color indexed="23"/>
        <name val="Arial"/>
        <family val="2"/>
        <scheme val="none"/>
      </font>
      <numFmt numFmtId="1" formatCode="0"/>
    </dxf>
    <dxf>
      <font>
        <b val="0"/>
        <i val="0"/>
        <strike val="0"/>
        <condense val="0"/>
        <extend val="0"/>
        <outline val="0"/>
        <shadow val="0"/>
        <u val="none"/>
        <vertAlign val="baseline"/>
        <sz val="8"/>
        <color indexed="23"/>
        <name val="Arial"/>
        <family val="2"/>
        <scheme val="none"/>
      </font>
      <numFmt numFmtId="32"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4" formatCode="0.00%"/>
    </dxf>
    <dxf>
      <font>
        <sz val="10"/>
        <color indexed="23"/>
        <name val="Arial"/>
        <family val="2"/>
        <scheme val="none"/>
      </font>
      <numFmt numFmtId="14" formatCode="0.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scheme val="none"/>
      </font>
      <numFmt numFmtId="3" formatCode="#,##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168" formatCode="_(* #,##0_);_(* \(#,##0\);_(* &quot;-&quot;??_);_(@_)"/>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3" formatCode="0%"/>
      <alignment horizontal="right"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auto="1"/>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indexed="23"/>
        <name val="Arial"/>
        <family val="2"/>
        <scheme val="none"/>
      </font>
      <numFmt numFmtId="165" formatCode="0.0%"/>
    </dxf>
    <dxf>
      <font>
        <sz val="10"/>
        <color indexed="23"/>
        <name val="Arial"/>
        <family val="2"/>
        <scheme val="none"/>
      </font>
      <numFmt numFmtId="14" formatCode="0.00%"/>
    </dxf>
    <dxf>
      <numFmt numFmtId="34" formatCode="_(&quot;$&quot;* #,##0.00_);_(&quot;$&quot;* \(#,##0.00\);_(&quot;$&quot;* &quot;-&quot;??_);_(@_)"/>
    </dxf>
    <dxf>
      <font>
        <sz val="10"/>
        <color indexed="23"/>
        <name val="Arial"/>
        <family val="2"/>
        <scheme val="none"/>
      </font>
      <numFmt numFmtId="166"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indexed="23"/>
        <name val="Arial"/>
        <family val="2"/>
        <scheme val="none"/>
      </font>
      <numFmt numFmtId="9" formatCode="&quot;$&quot;#,##0_);\(&quot;$&quot;#,##0\)"/>
    </dxf>
    <dxf>
      <font>
        <b val="0"/>
        <i/>
        <strike val="0"/>
        <condense val="0"/>
        <extend val="0"/>
        <outline val="0"/>
        <shadow val="0"/>
        <u val="none"/>
        <vertAlign val="baseline"/>
        <sz val="10"/>
        <color auto="1"/>
        <name val="Arial"/>
        <family val="2"/>
        <scheme val="none"/>
      </font>
      <numFmt numFmtId="164" formatCode="[$-409]d\-mmm;@"/>
      <alignment horizontal="general" vertical="bottom" textRotation="0" wrapText="0" indent="0" justifyLastLine="0" shrinkToFit="0" readingOrder="0"/>
    </dxf>
    <dxf>
      <font>
        <b val="0"/>
        <i val="0"/>
        <strike val="0"/>
        <condense val="0"/>
        <extend val="0"/>
        <outline val="0"/>
        <shadow val="0"/>
        <u val="none"/>
        <vertAlign val="baseline"/>
        <sz val="10"/>
        <color theme="4"/>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theme="0" tint="-0.499984740745262"/>
        <name val="Arial"/>
        <family val="2"/>
        <scheme val="none"/>
      </font>
      <numFmt numFmtId="164" formatCode="[$-409]d\-mmm;@"/>
      <alignment horizontal="general" vertical="bottom" textRotation="0" wrapText="0" indent="0" justifyLastLine="0" shrinkToFit="0" readingOrder="0"/>
    </dxf>
    <dxf>
      <font>
        <b val="0"/>
        <i/>
        <strike val="0"/>
        <condense val="0"/>
        <extend val="0"/>
        <outline val="0"/>
        <shadow val="0"/>
        <u val="none"/>
        <vertAlign val="baseline"/>
        <sz val="10"/>
        <color indexed="23"/>
        <name val="Arial"/>
        <family val="2"/>
        <scheme val="none"/>
      </font>
      <numFmt numFmtId="181" formatCode="_(&quot;$&quot;* #,##0.000_);_(&quot;$&quot;* \(#,##0.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71" formatCode="0.000"/>
    </dxf>
    <dxf>
      <font>
        <b/>
        <i/>
        <strike val="0"/>
        <condense val="0"/>
        <extend val="0"/>
        <outline val="0"/>
        <shadow val="0"/>
        <u val="none"/>
        <vertAlign val="baseline"/>
        <sz val="10"/>
        <color auto="1"/>
        <name val="Arial"/>
        <family val="2"/>
        <scheme val="none"/>
      </font>
      <numFmt numFmtId="2" formatCode="0.00"/>
      <alignment horizontal="center" vertical="bottom" textRotation="0" wrapText="0" indent="0" justifyLastLine="0" shrinkToFit="0" readingOrder="0"/>
    </dxf>
    <dxf>
      <font>
        <b/>
        <i/>
        <strike val="0"/>
        <condense val="0"/>
        <extend val="0"/>
        <outline val="0"/>
        <shadow val="0"/>
        <u val="none"/>
        <vertAlign val="baseline"/>
        <sz val="10"/>
        <color auto="1"/>
        <name val="Arial"/>
        <family val="2"/>
        <scheme val="none"/>
      </font>
      <numFmt numFmtId="34" formatCode="_(&quot;$&quot;* #,##0.00_);_(&quot;$&quot;* \(#,##0.00\);_(&quot;$&quot;* &quot;-&quot;??_);_(@_)"/>
      <alignment horizontal="center" vertical="bottom" textRotation="0" wrapText="0" indent="0" justifyLastLine="0" shrinkToFit="0" readingOrder="0"/>
    </dxf>
    <dxf>
      <font>
        <b/>
        <i val="0"/>
        <strike val="0"/>
        <condense val="0"/>
        <extend val="0"/>
        <outline val="0"/>
        <shadow val="0"/>
        <u val="none"/>
        <vertAlign val="baseline"/>
        <sz val="8"/>
        <color indexed="23"/>
        <name val="Arial"/>
        <family val="2"/>
        <scheme val="none"/>
      </font>
      <numFmt numFmtId="34" formatCode="_(&quot;$&quot;* #,##0.00_);_(&quot;$&quot;* \(#,##0.00\);_(&quot;$&quot;* &quot;-&quot;??_);_(@_)"/>
      <alignment horizontal="center" vertical="bottom" textRotation="0" wrapText="0" indent="0" justifyLastLine="0" shrinkToFit="0" readingOrder="0"/>
    </dxf>
    <dxf>
      <font>
        <sz val="10"/>
        <color indexed="23"/>
        <name val="Arial"/>
        <family val="2"/>
        <scheme val="none"/>
      </font>
      <numFmt numFmtId="34" formatCode="_(&quot;$&quot;* #,##0.00_);_(&quot;$&quot;* \(#,##0.00\);_(&quot;$&quot;* &quot;-&quot;??_);_(@_)"/>
    </dxf>
    <dxf>
      <font>
        <sz val="10"/>
        <color indexed="23"/>
        <name val="Arial"/>
        <family val="2"/>
        <scheme val="none"/>
      </font>
      <numFmt numFmtId="32"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 formatCode="0"/>
    </dxf>
    <dxf>
      <font>
        <sz val="10"/>
        <color indexed="23"/>
        <name val="Arial"/>
        <family val="2"/>
        <scheme val="none"/>
      </font>
      <numFmt numFmtId="1" formatCode="0"/>
    </dxf>
    <dxf>
      <font>
        <b val="0"/>
        <i val="0"/>
        <strike val="0"/>
        <condense val="0"/>
        <extend val="0"/>
        <outline val="0"/>
        <shadow val="0"/>
        <u val="none"/>
        <vertAlign val="baseline"/>
        <sz val="10"/>
        <color indexed="23"/>
        <name val="Arial"/>
        <family val="2"/>
        <scheme val="none"/>
      </font>
      <numFmt numFmtId="1" formatCode="0"/>
    </dxf>
    <dxf>
      <font>
        <sz val="10"/>
        <color indexed="23"/>
        <name val="Arial"/>
        <family val="2"/>
        <scheme val="none"/>
      </font>
      <numFmt numFmtId="1" formatCode="0"/>
    </dxf>
    <dxf>
      <font>
        <b val="0"/>
        <i/>
        <strike val="0"/>
        <condense val="0"/>
        <extend val="0"/>
        <outline val="0"/>
        <shadow val="0"/>
        <u val="none"/>
        <vertAlign val="baseline"/>
        <sz val="10"/>
        <color auto="1"/>
        <name val="Arial"/>
        <family val="2"/>
        <scheme val="none"/>
      </font>
      <numFmt numFmtId="2" formatCode="0.00"/>
    </dxf>
    <dxf>
      <font>
        <b/>
        <i val="0"/>
        <strike val="0"/>
        <condense val="0"/>
        <extend val="0"/>
        <outline val="0"/>
        <shadow val="0"/>
        <u val="none"/>
        <vertAlign val="baseline"/>
        <sz val="8"/>
        <color rgb="FFFF0000"/>
        <name val="Arial"/>
        <family val="2"/>
        <scheme val="none"/>
      </font>
      <numFmt numFmtId="34" formatCode="_(&quot;$&quot;* #,##0.00_);_(&quot;$&quot;* \(#,##0.00\);_(&quot;$&quot;* &quot;-&quot;??_);_(@_)"/>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 formatCode="0"/>
    </dxf>
    <dxf>
      <font>
        <b val="0"/>
        <i val="0"/>
        <strike val="0"/>
        <condense val="0"/>
        <extend val="0"/>
        <outline val="0"/>
        <shadow val="0"/>
        <u val="none"/>
        <vertAlign val="baseline"/>
        <sz val="10"/>
        <color auto="1"/>
        <name val="Arial"/>
        <family val="2"/>
        <scheme val="none"/>
      </font>
      <numFmt numFmtId="1" formatCode="0"/>
    </dxf>
    <dxf>
      <font>
        <b val="0"/>
        <i val="0"/>
        <strike val="0"/>
        <condense val="0"/>
        <extend val="0"/>
        <outline val="0"/>
        <shadow val="0"/>
        <u val="none"/>
        <vertAlign val="baseline"/>
        <sz val="10"/>
        <color auto="1"/>
        <name val="Arial"/>
        <family val="2"/>
        <scheme val="none"/>
      </font>
      <numFmt numFmtId="164" formatCode="[$-409]d\-mmm;@"/>
    </dxf>
    <dxf>
      <font>
        <sz val="10"/>
        <color indexed="23"/>
        <name val="Arial"/>
        <family val="2"/>
        <scheme val="none"/>
      </font>
      <numFmt numFmtId="5" formatCode="#,##0_);\(#,##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i val="0"/>
        <strike val="0"/>
        <condense val="0"/>
        <extend val="0"/>
        <outline val="0"/>
        <shadow val="0"/>
        <u val="none"/>
        <vertAlign val="baseline"/>
        <sz val="10"/>
        <color indexed="23"/>
        <name val="Arial"/>
        <family val="2"/>
        <scheme val="none"/>
      </font>
      <numFmt numFmtId="166" formatCode="_(&quot;$&quot;* #,##0_);_(&quot;$&quot;* \(#,##0\);_(&quot;$&quot;* &quot;-&quot;??_);_(@_)"/>
    </dxf>
    <dxf>
      <font>
        <b/>
        <i val="0"/>
        <strike val="0"/>
        <condense val="0"/>
        <extend val="0"/>
        <outline val="0"/>
        <shadow val="0"/>
        <u val="none"/>
        <vertAlign val="baseline"/>
        <sz val="8"/>
        <color indexed="23"/>
        <name val="Arial"/>
        <family val="2"/>
        <scheme val="none"/>
      </font>
      <numFmt numFmtId="34" formatCode="_(&quot;$&quot;* #,##0.00_);_(&quot;$&quot;* \(#,##0.00\);_(&quot;$&quot;* &quot;-&quot;??_);_(@_)"/>
    </dxf>
    <dxf>
      <font>
        <b/>
        <i val="0"/>
        <strike val="0"/>
        <condense val="0"/>
        <extend val="0"/>
        <outline val="0"/>
        <shadow val="0"/>
        <u val="none"/>
        <vertAlign val="baseline"/>
        <sz val="8"/>
        <color auto="1"/>
        <name val="Arial"/>
        <family val="2"/>
        <scheme val="none"/>
      </font>
      <numFmt numFmtId="34" formatCode="_(&quot;$&quot;* #,##0.00_);_(&quot;$&quot;* \(#,##0.00\);_(&quot;$&quot;* &quot;-&quot;??_);_(@_)"/>
    </dxf>
    <dxf>
      <font>
        <b/>
        <i val="0"/>
        <strike val="0"/>
        <condense val="0"/>
        <extend val="0"/>
        <outline val="0"/>
        <shadow val="0"/>
        <u val="none"/>
        <vertAlign val="baseline"/>
        <sz val="8"/>
        <color indexed="23"/>
        <name val="Arial"/>
        <family val="2"/>
        <scheme val="none"/>
      </font>
      <numFmt numFmtId="34" formatCode="_(&quot;$&quot;* #,##0.00_);_(&quot;$&quot;* \(#,##0.00\);_(&quot;$&quot;* &quot;-&quot;??_);_(@_)"/>
    </dxf>
    <dxf>
      <font>
        <b val="0"/>
        <i val="0"/>
        <strike val="0"/>
        <condense val="0"/>
        <extend val="0"/>
        <outline val="0"/>
        <shadow val="0"/>
        <u val="none"/>
        <vertAlign val="baseline"/>
        <sz val="9"/>
        <color indexed="23"/>
        <name val="Arial"/>
        <family val="2"/>
        <scheme val="none"/>
      </font>
      <numFmt numFmtId="175" formatCode="&quot;$&quot;#,##0.00"/>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9"/>
        <color indexed="23"/>
        <name val="Arial"/>
        <family val="2"/>
        <scheme val="none"/>
      </font>
      <numFmt numFmtId="13" formatCode="0%"/>
    </dxf>
    <dxf>
      <font>
        <b val="0"/>
        <i val="0"/>
        <strike val="0"/>
        <condense val="0"/>
        <extend val="0"/>
        <outline val="0"/>
        <shadow val="0"/>
        <u val="none"/>
        <vertAlign val="baseline"/>
        <sz val="9"/>
        <color indexed="23"/>
        <name val="Arial"/>
        <family val="2"/>
        <scheme val="none"/>
      </font>
      <numFmt numFmtId="174" formatCode="&quot;$&quot;#,##0"/>
    </dxf>
    <dxf>
      <font>
        <b val="0"/>
        <i val="0"/>
        <strike val="0"/>
        <condense val="0"/>
        <extend val="0"/>
        <outline val="0"/>
        <shadow val="0"/>
        <u val="none"/>
        <vertAlign val="baseline"/>
        <sz val="9"/>
        <color indexed="23"/>
        <name val="Arial"/>
        <family val="2"/>
        <scheme val="none"/>
      </font>
      <numFmt numFmtId="174" formatCode="&quot;$&quot;#,##0"/>
    </dxf>
    <dxf>
      <font>
        <b/>
        <i val="0"/>
        <strike val="0"/>
        <condense val="0"/>
        <extend val="0"/>
        <outline val="0"/>
        <shadow val="0"/>
        <u val="none"/>
        <vertAlign val="baseline"/>
        <sz val="8"/>
        <color auto="1"/>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i val="0"/>
        <strike val="0"/>
        <condense val="0"/>
        <extend val="0"/>
        <outline val="0"/>
        <shadow val="0"/>
        <u val="none"/>
        <vertAlign val="baseline"/>
        <sz val="8"/>
        <color rgb="FFFF0000"/>
        <name val="Arial"/>
        <family val="2"/>
        <scheme val="none"/>
      </font>
    </dxf>
    <dxf>
      <font>
        <b/>
        <i val="0"/>
        <strike val="0"/>
        <condense val="0"/>
        <extend val="0"/>
        <outline val="0"/>
        <shadow val="0"/>
        <u val="none"/>
        <vertAlign val="baseline"/>
        <sz val="10"/>
        <color indexed="23"/>
        <name val="Arial"/>
        <family val="2"/>
        <scheme val="none"/>
      </font>
      <numFmt numFmtId="165" formatCode="0.0%"/>
    </dxf>
    <dxf>
      <font>
        <b/>
        <i val="0"/>
        <strike val="0"/>
        <condense val="0"/>
        <extend val="0"/>
        <outline val="0"/>
        <shadow val="0"/>
        <u val="none"/>
        <vertAlign val="baseline"/>
        <sz val="8"/>
        <color rgb="FFFF0000"/>
        <name val="Arial"/>
        <family val="2"/>
        <scheme val="none"/>
      </font>
      <numFmt numFmtId="0" formatCode="General"/>
    </dxf>
    <dxf>
      <font>
        <b/>
        <i val="0"/>
        <strike val="0"/>
        <condense val="0"/>
        <extend val="0"/>
        <outline val="0"/>
        <shadow val="0"/>
        <u val="none"/>
        <vertAlign val="baseline"/>
        <sz val="8"/>
        <color rgb="FFFF0000"/>
        <name val="Arial"/>
        <family val="2"/>
        <scheme val="none"/>
      </font>
      <numFmt numFmtId="0" formatCode="General"/>
    </dxf>
    <dxf>
      <font>
        <b/>
        <i val="0"/>
        <strike val="0"/>
        <condense val="0"/>
        <extend val="0"/>
        <outline val="0"/>
        <shadow val="0"/>
        <u val="none"/>
        <vertAlign val="baseline"/>
        <sz val="8"/>
        <color rgb="FFFF0000"/>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10"/>
        <color auto="1"/>
        <name val="Arial"/>
        <family val="2"/>
        <scheme val="none"/>
      </font>
      <numFmt numFmtId="1" formatCode="0"/>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80" formatCode="yyyy\-mm\-dd;@"/>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3" formatCode="0%"/>
      <alignment horizontal="right"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strike val="0"/>
        <condense val="0"/>
        <extend val="0"/>
        <outline val="0"/>
        <shadow val="0"/>
        <u val="none"/>
        <vertAlign val="baseline"/>
        <sz val="10"/>
        <color theme="2" tint="-0.499984740745262"/>
        <name val="Arial"/>
        <family val="2"/>
        <scheme val="none"/>
      </font>
      <numFmt numFmtId="1" formatCode="0"/>
      <alignment horizontal="general" vertical="bottom" textRotation="0" wrapText="0" indent="0" justifyLastLine="0" shrinkToFit="0" readingOrder="0"/>
    </dxf>
    <dxf>
      <font>
        <b val="0"/>
        <i/>
        <strike val="0"/>
        <condense val="0"/>
        <extend val="0"/>
        <outline val="0"/>
        <shadow val="0"/>
        <u val="none"/>
        <vertAlign val="baseline"/>
        <sz val="10"/>
        <color indexed="23"/>
        <name val="Arial"/>
        <family val="2"/>
        <scheme val="none"/>
      </font>
      <numFmt numFmtId="166" formatCode="_(&quot;$&quot;* #,##0_);_(&quot;$&quot;* \(#,##0\);_(&quot;$&quot;* &quot;-&quot;??_);_(@_)"/>
      <alignment horizontal="center" vertical="bottom" textRotation="0" wrapText="0" indent="0" justifyLastLine="0" shrinkToFit="0" readingOrder="0"/>
    </dxf>
    <dxf>
      <font>
        <b val="0"/>
        <i/>
        <strike val="0"/>
        <condense val="0"/>
        <extend val="0"/>
        <outline val="0"/>
        <shadow val="0"/>
        <u val="none"/>
        <vertAlign val="baseline"/>
        <sz val="10"/>
        <color auto="1"/>
        <name val="Arial"/>
        <family val="2"/>
        <scheme val="none"/>
      </font>
      <numFmt numFmtId="164" formatCode="[$-409]d\-mmm;@"/>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strike val="0"/>
        <condense val="0"/>
        <extend val="0"/>
        <outline val="0"/>
        <shadow val="0"/>
        <u val="none"/>
        <vertAlign val="baseline"/>
        <sz val="10"/>
        <color theme="0" tint="-0.499984740745262"/>
        <name val="Arial"/>
        <family val="2"/>
        <scheme val="none"/>
      </font>
      <numFmt numFmtId="164" formatCode="[$-409]d\-mmm;@"/>
      <alignment horizontal="general" vertical="bottom" textRotation="0" wrapText="0" indent="0" justifyLastLine="0" shrinkToFit="0" readingOrder="0"/>
    </dxf>
    <dxf>
      <font>
        <b val="0"/>
        <i/>
        <strike val="0"/>
        <condense val="0"/>
        <extend val="0"/>
        <outline val="0"/>
        <shadow val="0"/>
        <u val="none"/>
        <vertAlign val="baseline"/>
        <sz val="10"/>
        <color indexed="23"/>
        <name val="Arial"/>
        <family val="2"/>
        <scheme val="none"/>
      </font>
      <numFmt numFmtId="34" formatCode="_(&quot;$&quot;* #,##0.00_);_(&quot;$&quot;* \(#,##0.00\);_(&quot;$&quot;* &quot;-&quot;??_);_(@_)"/>
    </dxf>
    <dxf>
      <font>
        <b val="0"/>
        <i/>
        <strike val="0"/>
        <condense val="0"/>
        <extend val="0"/>
        <outline val="0"/>
        <shadow val="0"/>
        <u val="none"/>
        <vertAlign val="baseline"/>
        <sz val="10"/>
        <color auto="1"/>
        <name val="Arial"/>
        <family val="2"/>
        <scheme val="none"/>
      </font>
    </dxf>
    <dxf>
      <font>
        <b val="0"/>
        <i/>
        <strike val="0"/>
        <condense val="0"/>
        <extend val="0"/>
        <outline val="0"/>
        <shadow val="0"/>
        <u val="none"/>
        <vertAlign val="baseline"/>
        <sz val="10"/>
        <color indexed="23"/>
        <name val="Arial"/>
        <family val="2"/>
        <scheme val="none"/>
      </font>
      <numFmt numFmtId="34" formatCode="_(&quot;$&quot;* #,##0.00_);_(&quot;$&quot;* \(#,##0.00\);_(&quot;$&quot;* &quot;-&quot;??_);_(@_)"/>
      <alignment horizontal="general" vertical="bottom" textRotation="0" wrapText="0" indent="0" justifyLastLine="0" shrinkToFit="0" readingOrder="0"/>
    </dxf>
    <dxf>
      <font>
        <b val="0"/>
        <i/>
        <strike val="0"/>
        <condense val="0"/>
        <extend val="0"/>
        <outline val="0"/>
        <shadow val="0"/>
        <u val="none"/>
        <vertAlign val="baseline"/>
        <sz val="10"/>
        <color auto="1"/>
        <name val="Arial"/>
        <family val="2"/>
        <scheme val="none"/>
      </font>
      <numFmt numFmtId="35" formatCode="_(* #,##0.00_);_(* \(#,##0.00\);_(* &quot;-&quot;??_);_(@_)"/>
      <alignment horizontal="general" vertical="bottom" textRotation="0" wrapText="0" indent="0" justifyLastLine="0" shrinkToFit="0" readingOrder="0"/>
    </dxf>
    <dxf>
      <font>
        <b val="0"/>
        <i/>
        <strike val="0"/>
        <condense val="0"/>
        <extend val="0"/>
        <outline val="0"/>
        <shadow val="0"/>
        <u val="none"/>
        <vertAlign val="baseline"/>
        <sz val="10"/>
        <color auto="1"/>
        <name val="Arial"/>
        <family val="2"/>
        <scheme val="none"/>
      </font>
      <numFmt numFmtId="34" formatCode="_(&quot;$&quot;* #,##0.00_);_(&quot;$&quot;* \(#,##0.00\);_(&quot;$&quot;* &quot;-&quot;??_);_(@_)"/>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i val="0"/>
        <strike val="0"/>
        <condense val="0"/>
        <extend val="0"/>
        <outline val="0"/>
        <shadow val="0"/>
        <u val="none"/>
        <vertAlign val="baseline"/>
        <sz val="10"/>
        <color rgb="FFFF0000"/>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5" formatCode="0.0%"/>
    </dxf>
    <dxf>
      <font>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0" formatCode="General"/>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0" formatCode="General"/>
    </dxf>
    <dxf>
      <font>
        <b val="0"/>
        <i/>
        <strike val="0"/>
        <condense val="0"/>
        <extend val="0"/>
        <outline val="0"/>
        <shadow val="0"/>
        <u val="none"/>
        <vertAlign val="baseline"/>
        <sz val="10"/>
        <color auto="1"/>
        <name val="Arial"/>
        <family val="2"/>
        <scheme val="none"/>
      </font>
      <numFmt numFmtId="32" formatCode="_(&quot;$&quot;* #,##0_);_(&quot;$&quot;* \(#,##0\);_(&quot;$&quot;* &quot;-&quot;_);_(@_)"/>
      <alignment horizontal="general" vertical="bottom" textRotation="0" wrapText="0" indent="0" justifyLastLine="0" shrinkToFit="0" readingOrder="0"/>
    </dxf>
    <dxf>
      <font>
        <sz val="10"/>
        <color indexed="23"/>
        <name val="Arial"/>
        <family val="2"/>
        <scheme val="none"/>
      </font>
      <numFmt numFmtId="32" formatCode="_(&quot;$&quot;* #,##0_);_(&quot;$&quot;* \(#,##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 formatCode="0"/>
    </dxf>
    <dxf>
      <font>
        <b val="0"/>
        <i val="0"/>
        <strike val="0"/>
        <condense val="0"/>
        <extend val="0"/>
        <outline val="0"/>
        <shadow val="0"/>
        <u val="none"/>
        <vertAlign val="baseline"/>
        <sz val="10"/>
        <color auto="1"/>
        <name val="Arial"/>
        <family val="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3" formatCode="#,##0"/>
    </dxf>
    <dxf>
      <font>
        <b/>
        <i val="0"/>
        <strike val="0"/>
        <condense val="0"/>
        <extend val="0"/>
        <outline val="0"/>
        <shadow val="0"/>
        <u val="none"/>
        <vertAlign val="baseline"/>
        <sz val="8"/>
        <color rgb="FFFF0000"/>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 formatCode="#,##0"/>
    </dxf>
    <dxf>
      <font>
        <b val="0"/>
        <i/>
        <strike val="0"/>
        <condense val="0"/>
        <extend val="0"/>
        <outline val="0"/>
        <shadow val="0"/>
        <u val="none"/>
        <vertAlign val="baseline"/>
        <sz val="10"/>
        <color auto="1"/>
        <name val="Arial"/>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strike val="0"/>
        <condense val="0"/>
        <extend val="0"/>
        <outline val="0"/>
        <shadow val="0"/>
        <u val="none"/>
        <vertAlign val="baseline"/>
        <sz val="10"/>
        <color auto="1"/>
        <name val="Arial"/>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strike val="0"/>
        <condense val="0"/>
        <extend val="0"/>
        <outline val="0"/>
        <shadow val="0"/>
        <u val="none"/>
        <vertAlign val="baseline"/>
        <sz val="10"/>
        <color auto="1"/>
        <name val="Arial"/>
        <family val="2"/>
        <scheme val="none"/>
      </font>
      <numFmt numFmtId="34" formatCode="_(&quot;$&quot;* #,##0.00_);_(&quot;$&quot;* \(#,##0.00\);_(&quot;$&quot;* &quot;-&quot;??_);_(@_)"/>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theme="0" tint="-0.499984740745262"/>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theme="0" tint="-0.499984740745262"/>
        <name val="Arial"/>
        <family val="2"/>
        <scheme val="none"/>
      </font>
      <numFmt numFmtId="166" formatCode="_(&quot;$&quot;* #,##0_);_(&quot;$&quot;* \(#,##0\);_(&quot;$&quot;* &quot;-&quot;??_);_(@_)"/>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scheme val="none"/>
      </font>
      <numFmt numFmtId="164" formatCode="[$-409]d\-mmm;@"/>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scheme val="none"/>
      </font>
      <numFmt numFmtId="164" formatCode="[$-409]d\-mmm;@"/>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scheme val="none"/>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family val="2"/>
        <scheme val="none"/>
      </font>
      <numFmt numFmtId="3" formatCode="#,##0"/>
    </dxf>
    <dxf>
      <font>
        <sz val="10"/>
        <color auto="1"/>
        <name val="Arial"/>
        <family val="2"/>
        <scheme val="none"/>
      </font>
      <numFmt numFmtId="178" formatCode="dd/mmm\ yyyy;@"/>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8"/>
        <color theme="0" tint="-0.499984740745262"/>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5" formatCode="0.0%"/>
    </dxf>
    <dxf>
      <font>
        <b/>
        <i val="0"/>
        <strike val="0"/>
        <condense val="0"/>
        <extend val="0"/>
        <outline val="0"/>
        <shadow val="0"/>
        <u val="none"/>
        <vertAlign val="baseline"/>
        <sz val="8"/>
        <color rgb="FFFF0000"/>
        <name val="Arial"/>
        <family val="2"/>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4" formatCode="#,##0.00"/>
    </dxf>
    <dxf>
      <font>
        <b/>
        <i val="0"/>
        <strike val="0"/>
        <condense val="0"/>
        <extend val="0"/>
        <outline val="0"/>
        <shadow val="0"/>
        <u val="none"/>
        <vertAlign val="baseline"/>
        <sz val="10"/>
        <color rgb="FFFF0000"/>
        <name val="Arial"/>
        <family val="2"/>
        <scheme val="none"/>
      </font>
      <numFmt numFmtId="4" formatCode="#,##0.00"/>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rgb="FFFF0000"/>
        <name val="Arial"/>
        <family val="2"/>
        <scheme val="none"/>
      </font>
      <numFmt numFmtId="34" formatCode="_(&quot;$&quot;* #,##0.00_);_(&quot;$&quot;* \(#,##0.00\);_(&quot;$&quot;* &quot;-&quot;??_);_(@_)"/>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rgb="FFFF0000"/>
        <name val="Arial"/>
        <family val="2"/>
        <scheme val="none"/>
      </font>
      <numFmt numFmtId="34" formatCode="_(&quot;$&quot;* #,##0.00_);_(&quot;$&quot;* \(#,##0.00\);_(&quot;$&quot;* &quot;-&quot;??_);_(@_)"/>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rgb="FFFF0000"/>
        <name val="Arial"/>
        <family val="2"/>
        <scheme val="none"/>
      </font>
      <numFmt numFmtId="164" formatCode="[$-409]d\-mmm;@"/>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rgb="FFFF0000"/>
        <name val="Arial"/>
        <family val="2"/>
        <scheme val="none"/>
      </font>
      <numFmt numFmtId="14" formatCode="0.00%"/>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rgb="FFFF0000"/>
        <name val="Arial"/>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i val="0"/>
        <strike val="0"/>
        <condense val="0"/>
        <extend val="0"/>
        <outline val="0"/>
        <shadow val="0"/>
        <u val="none"/>
        <vertAlign val="baseline"/>
        <sz val="10"/>
        <color rgb="FFFF0000"/>
        <name val="Arial"/>
        <family val="2"/>
        <scheme val="none"/>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9"/>
        <color indexed="23"/>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9"/>
        <color indexed="23"/>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10"/>
        <color indexed="23"/>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auto="1"/>
        <name val="Arial"/>
        <family val="2"/>
        <scheme val="none"/>
      </font>
      <numFmt numFmtId="165" formatCode="0.0%"/>
    </dxf>
    <dxf>
      <font>
        <sz val="10"/>
        <color auto="1"/>
        <name val="Arial"/>
        <family val="2"/>
        <scheme val="none"/>
      </font>
      <numFmt numFmtId="177" formatCode="d\-mmm"/>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4" formatCode="0.00%"/>
    </dxf>
    <dxf>
      <font>
        <sz val="10"/>
        <color indexed="23"/>
        <name val="Arial"/>
        <family val="2"/>
        <scheme val="none"/>
      </font>
      <numFmt numFmtId="165" formatCode="0.0%"/>
    </dxf>
    <dxf>
      <font>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sz val="10"/>
        <color auto="1"/>
        <name val="Arial"/>
        <family val="2"/>
        <scheme val="none"/>
      </font>
      <numFmt numFmtId="177" formatCode="d\-mmm"/>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171" formatCode="0.000"/>
    </dxf>
    <dxf>
      <font>
        <b val="0"/>
        <i val="0"/>
        <strike val="0"/>
        <condense val="0"/>
        <extend val="0"/>
        <outline val="0"/>
        <shadow val="0"/>
        <u val="none"/>
        <vertAlign val="baseline"/>
        <sz val="10"/>
        <color auto="1"/>
        <name val="Arial"/>
        <family val="2"/>
        <scheme val="none"/>
      </font>
      <numFmt numFmtId="171" formatCode="0.00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5" formatCode="0.0%"/>
    </dxf>
    <dxf>
      <font>
        <sz val="10"/>
        <color theme="2" tint="-0.499984740745262"/>
        <name val="Arial"/>
        <family val="2"/>
        <scheme val="none"/>
      </font>
      <numFmt numFmtId="165" formatCode="0.0%"/>
    </dxf>
    <dxf>
      <font>
        <b val="0"/>
        <i val="0"/>
        <strike val="0"/>
        <condense val="0"/>
        <extend val="0"/>
        <outline val="0"/>
        <shadow val="0"/>
        <u val="none"/>
        <vertAlign val="baseline"/>
        <sz val="10"/>
        <color theme="2" tint="-0.499984740745262"/>
        <name val="Arial"/>
        <family val="2"/>
        <scheme val="none"/>
      </font>
      <numFmt numFmtId="166" formatCode="_(&quot;$&quot;* #,##0_);_(&quot;$&quot;* \(#,##0\);_(&quot;$&quot;* &quot;-&quot;??_);_(@_)"/>
    </dxf>
    <dxf>
      <font>
        <sz val="10"/>
        <color theme="2" tint="-0.499984740745262"/>
        <name val="Arial"/>
        <family val="2"/>
        <scheme val="none"/>
      </font>
      <numFmt numFmtId="166" formatCode="_(&quot;$&quot;* #,##0_);_(&quot;$&quot;* \(#,##0\);_(&quot;$&quot;* &quot;-&quot;??_);_(@_)"/>
      <alignment horizontal="general" vertical="bottom" textRotation="0" wrapText="0" indent="0" justifyLastLine="0" shrinkToFit="0" readingOrder="0"/>
    </dxf>
    <dxf>
      <font>
        <sz val="10"/>
        <color indexed="23"/>
        <name val="Arial"/>
        <family val="2"/>
        <scheme val="none"/>
      </font>
      <numFmt numFmtId="34" formatCode="_(&quot;$&quot;* #,##0.00_);_(&quot;$&quot;* \(#,##0.00\);_(&quot;$&quot;* &quot;-&quot;??_);_(@_)"/>
    </dxf>
    <dxf>
      <font>
        <sz val="10"/>
        <color auto="1"/>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8" formatCode="_(* #,##0_);_(* \(#,##0\);_(* &quot;-&quot;??_);_(@_)"/>
    </dxf>
    <dxf>
      <font>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bottom" textRotation="0" wrapText="0" indent="0" justifyLastLine="0" shrinkToFit="0" readingOrder="0"/>
    </dxf>
    <dxf>
      <font>
        <sz val="10"/>
        <color auto="1"/>
        <name val="Arial"/>
        <family val="2"/>
        <scheme val="none"/>
      </font>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9"/>
        <color indexed="23"/>
        <name val="Arial"/>
        <family val="2"/>
        <scheme val="none"/>
      </font>
      <numFmt numFmtId="165" formatCode="0.0%"/>
      <fill>
        <patternFill patternType="none">
          <fgColor indexed="64"/>
          <bgColor indexed="65"/>
        </patternFill>
      </fill>
      <alignment horizontal="general" vertical="bottom" textRotation="0" wrapText="0" indent="0" justifyLastLine="0" shrinkToFit="0" readingOrder="0"/>
    </dxf>
    <dxf>
      <font>
        <b/>
        <i/>
        <sz val="8"/>
        <color indexed="23"/>
        <name val="Arial"/>
        <family val="2"/>
        <scheme val="none"/>
      </font>
      <numFmt numFmtId="165" formatCode="0.0%"/>
      <alignment horizontal="center" vertical="bottom" textRotation="0" wrapText="0" indent="0" justifyLastLine="0" shrinkToFit="0" readingOrder="0"/>
      <protection locked="1" hidden="0"/>
    </dxf>
    <dxf>
      <font>
        <b/>
        <i val="0"/>
        <strike val="0"/>
        <condense val="0"/>
        <extend val="0"/>
        <outline val="0"/>
        <shadow val="0"/>
        <u val="none"/>
        <vertAlign val="baseline"/>
        <sz val="8"/>
        <color indexed="23"/>
        <name val="Arial"/>
        <family val="2"/>
        <scheme val="none"/>
      </font>
      <numFmt numFmtId="172" formatCode="[$-409]h:mm\ AM/PM;@"/>
      <alignment horizontal="general" vertical="bottom" textRotation="0" wrapText="0" indent="0" justifyLastLine="0" shrinkToFit="0" readingOrder="0"/>
      <protection locked="1" hidden="0"/>
    </dxf>
    <dxf>
      <font>
        <b/>
        <i val="0"/>
        <strike val="0"/>
        <condense val="0"/>
        <extend val="0"/>
        <outline val="0"/>
        <shadow val="0"/>
        <u val="none"/>
        <vertAlign val="baseline"/>
        <sz val="10"/>
        <color indexed="23"/>
        <name val="Arial"/>
        <family val="2"/>
        <scheme val="none"/>
      </font>
      <numFmt numFmtId="164" formatCode="[$-409]d\-mmm;@"/>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70" formatCode="_(* #,##0.000_);_(* \(#,##0.000\);_(* &quot;-&quot;??_);_(@_)"/>
    </dxf>
    <dxf>
      <font>
        <b val="0"/>
        <i val="0"/>
        <strike val="0"/>
        <condense val="0"/>
        <extend val="0"/>
        <outline val="0"/>
        <shadow val="0"/>
        <u val="none"/>
        <vertAlign val="baseline"/>
        <sz val="10"/>
        <color auto="1"/>
        <name val="Arial"/>
        <family val="2"/>
        <scheme val="none"/>
      </font>
      <numFmt numFmtId="170" formatCode="_(* #,##0.000_);_(* \(#,##0.000\);_(* &quot;-&quot;??_);_(@_)"/>
      <alignment horizontal="center" vertical="bottom" textRotation="0" wrapText="0" indent="0" justifyLastLine="0" shrinkToFit="0" readingOrder="0"/>
    </dxf>
    <dxf>
      <font>
        <b val="0"/>
        <i val="0"/>
        <strike val="0"/>
        <condense val="0"/>
        <extend val="0"/>
        <outline val="0"/>
        <shadow val="0"/>
        <u val="none"/>
        <vertAlign val="baseline"/>
        <sz val="8"/>
        <color theme="2" tint="-0.499984740745262"/>
        <name val="Arial"/>
        <family val="2"/>
        <scheme val="none"/>
      </font>
      <numFmt numFmtId="2" formatCode="0.00"/>
    </dxf>
    <dxf>
      <font>
        <b val="0"/>
        <i val="0"/>
        <strike val="0"/>
        <condense val="0"/>
        <extend val="0"/>
        <outline val="0"/>
        <shadow val="0"/>
        <u val="none"/>
        <vertAlign val="baseline"/>
        <sz val="8"/>
        <color theme="2" tint="-0.499984740745262"/>
        <name val="Arial"/>
        <family val="2"/>
        <scheme val="none"/>
      </font>
      <numFmt numFmtId="7" formatCode="#,##0.00_);\(#,##0.00\)"/>
    </dxf>
    <dxf>
      <fill>
        <patternFill patternType="none">
          <fgColor indexed="64"/>
          <bgColor indexed="65"/>
        </patternFill>
      </fill>
    </dxf>
    <dxf>
      <font>
        <b val="0"/>
        <i val="0"/>
        <strike val="0"/>
        <condense val="0"/>
        <extend val="0"/>
        <outline val="0"/>
        <shadow val="0"/>
        <u val="none"/>
        <vertAlign val="baseline"/>
        <sz val="10"/>
        <color indexed="23"/>
        <name val="Arial"/>
        <scheme val="none"/>
      </font>
      <numFmt numFmtId="166" formatCode="_(&quot;$&quot;* #,##0_);_(&quot;$&quot;* \(#,##0\);_(&quot;$&quot;* &quot;-&quot;??_);_(@_)"/>
      <fill>
        <patternFill patternType="none">
          <fgColor indexed="64"/>
          <bgColor indexed="65"/>
        </patternFill>
      </fill>
    </dxf>
    <dxf>
      <font>
        <b/>
        <i val="0"/>
        <strike val="0"/>
        <condense val="0"/>
        <extend val="0"/>
        <outline val="0"/>
        <shadow val="0"/>
        <u val="none"/>
        <vertAlign val="baseline"/>
        <sz val="10"/>
        <color indexed="23"/>
        <name val="Arial"/>
        <scheme val="none"/>
      </font>
      <numFmt numFmtId="4" formatCode="#,##0.00"/>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[snapshot SC pricing.xlsx]Sector Analysis!PivotTable2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Exposure By Sector /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s>
    <c:plotArea>
      <c:layout/>
      <c:pieChart>
        <c:varyColors val="1"/>
        <c:ser>
          <c:idx val="0"/>
          <c:order val="0"/>
          <c:tx>
            <c:strRef>
              <c:f>'Sector Analysis'!$B$3</c:f>
              <c:strCache>
                <c:ptCount val="1"/>
                <c:pt idx="0">
                  <c:v>Total Exposure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22-455D-8ACE-40A3E831B1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22-455D-8ACE-40A3E831B1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22-455D-8ACE-40A3E831B1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22-455D-8ACE-40A3E831B12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D22-455D-8ACE-40A3E831B12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D22-455D-8ACE-40A3E831B12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D22-455D-8ACE-40A3E831B12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D22-455D-8ACE-40A3E831B12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D22-455D-8ACE-40A3E831B12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D22-455D-8ACE-40A3E831B12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D22-455D-8ACE-40A3E831B12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D22-455D-8ACE-40A3E831B12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9D22-455D-8ACE-40A3E831B12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9D22-455D-8ACE-40A3E831B12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9D22-455D-8ACE-40A3E831B12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9D22-455D-8ACE-40A3E831B12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9D22-455D-8ACE-40A3E831B121}"/>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5B25-4678-8978-B690959EE4C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1052-4991-9E36-6463E4F2460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1052-4991-9E36-6463E4F2460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1052-4991-9E36-6463E4F2460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1052-4991-9E36-6463E4F2460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1052-4991-9E36-6463E4F2460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1052-4991-9E36-6463E4F246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'Sector Analysis'!$A$4:$A$19</c:f>
              <c:multiLvlStrCache>
                <c:ptCount val="9"/>
                <c:lvl>
                  <c:pt idx="0">
                    <c:v>Exchange Traded Fund</c:v>
                  </c:pt>
                  <c:pt idx="1">
                    <c:v>Independent Oil &amp; Gas</c:v>
                  </c:pt>
                  <c:pt idx="2">
                    <c:v>Copper</c:v>
                  </c:pt>
                  <c:pt idx="3">
                    <c:v>Silver</c:v>
                  </c:pt>
                  <c:pt idx="4">
                    <c:v>Oil &amp; Gas Equipment &amp; Services</c:v>
                  </c:pt>
                  <c:pt idx="5">
                    <c:v>Oil &amp; Gas Pipelines</c:v>
                  </c:pt>
                  <c:pt idx="6">
                    <c:v>Semiconductor - Specialized</c:v>
                  </c:pt>
                  <c:pt idx="7">
                    <c:v>Cigarettes</c:v>
                  </c:pt>
                  <c:pt idx="8">
                    <c:v>Restaurants</c:v>
                  </c:pt>
                </c:lvl>
                <c:lvl>
                  <c:pt idx="0">
                    <c:v>Financial</c:v>
                  </c:pt>
                  <c:pt idx="1">
                    <c:v>Basic Materials</c:v>
                  </c:pt>
                  <c:pt idx="4">
                    <c:v>Energy</c:v>
                  </c:pt>
                  <c:pt idx="6">
                    <c:v>Technology</c:v>
                  </c:pt>
                  <c:pt idx="7">
                    <c:v>Consumer Goods</c:v>
                  </c:pt>
                  <c:pt idx="8">
                    <c:v>Services</c:v>
                  </c:pt>
                </c:lvl>
              </c:multiLvlStrCache>
            </c:multiLvlStrRef>
          </c:cat>
          <c:val>
            <c:numRef>
              <c:f>'Sector Analysis'!$B$4:$B$19</c:f>
              <c:numCache>
                <c:formatCode>_("$"* #,##0_);_("$"* \(#,##0\);_("$"* "-"_);_(@_)</c:formatCode>
                <c:ptCount val="9"/>
                <c:pt idx="0">
                  <c:v>691328</c:v>
                </c:pt>
                <c:pt idx="1">
                  <c:v>31409.4</c:v>
                </c:pt>
                <c:pt idx="2">
                  <c:v>38200</c:v>
                </c:pt>
                <c:pt idx="3">
                  <c:v>68560</c:v>
                </c:pt>
                <c:pt idx="4">
                  <c:v>38660</c:v>
                </c:pt>
                <c:pt idx="5">
                  <c:v>84666</c:v>
                </c:pt>
                <c:pt idx="6">
                  <c:v>22634.36</c:v>
                </c:pt>
                <c:pt idx="7">
                  <c:v>18150</c:v>
                </c:pt>
                <c:pt idx="8">
                  <c:v>13209.6</c:v>
                </c:pt>
              </c:numCache>
            </c:numRef>
          </c:val>
          <c:extLst>
            <c:ext xmlns:c16="http://schemas.microsoft.com/office/drawing/2014/chart" uri="{C3380CC4-5D6E-409C-BE32-E72D297353CC}">
              <c16:uniqueId val="{00000022-9D22-455D-8ACE-40A3E831B121}"/>
            </c:ext>
          </c:extLst>
        </c:ser>
        <c:ser>
          <c:idx val="1"/>
          <c:order val="1"/>
          <c:tx>
            <c:strRef>
              <c:f>'Sector Analysis'!$C$3</c:f>
              <c:strCache>
                <c:ptCount val="1"/>
                <c:pt idx="0">
                  <c:v>Pct of 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4-9D22-455D-8ACE-40A3E831B1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6-9D22-455D-8ACE-40A3E831B1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8-9D22-455D-8ACE-40A3E831B1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A-9D22-455D-8ACE-40A3E831B12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C-9D22-455D-8ACE-40A3E831B12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E-9D22-455D-8ACE-40A3E831B12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0-9D22-455D-8ACE-40A3E831B12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2-9D22-455D-8ACE-40A3E831B12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4-9D22-455D-8ACE-40A3E831B12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6-9D22-455D-8ACE-40A3E831B12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8-9D22-455D-8ACE-40A3E831B12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A-9D22-455D-8ACE-40A3E831B12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B-6BC8-4BAD-BE58-8E8A3F1DCF0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D-6BC8-4BAD-BE58-8E8A3F1DCF0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3F-6BC8-4BAD-BE58-8E8A3F1DCF0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3-5B25-4678-8978-B690959EE4CC}"/>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5-5B25-4678-8978-B690959EE4CC}"/>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7-5B25-4678-8978-B690959EE4C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55-1052-4991-9E36-6463E4F2460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57-1052-4991-9E36-6463E4F2460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59-1052-4991-9E36-6463E4F2460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5B-1052-4991-9E36-6463E4F2460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5D-1052-4991-9E36-6463E4F2460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5F-1052-4991-9E36-6463E4F246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'Sector Analysis'!$A$4:$A$19</c:f>
              <c:multiLvlStrCache>
                <c:ptCount val="9"/>
                <c:lvl>
                  <c:pt idx="0">
                    <c:v>Exchange Traded Fund</c:v>
                  </c:pt>
                  <c:pt idx="1">
                    <c:v>Independent Oil &amp; Gas</c:v>
                  </c:pt>
                  <c:pt idx="2">
                    <c:v>Copper</c:v>
                  </c:pt>
                  <c:pt idx="3">
                    <c:v>Silver</c:v>
                  </c:pt>
                  <c:pt idx="4">
                    <c:v>Oil &amp; Gas Equipment &amp; Services</c:v>
                  </c:pt>
                  <c:pt idx="5">
                    <c:v>Oil &amp; Gas Pipelines</c:v>
                  </c:pt>
                  <c:pt idx="6">
                    <c:v>Semiconductor - Specialized</c:v>
                  </c:pt>
                  <c:pt idx="7">
                    <c:v>Cigarettes</c:v>
                  </c:pt>
                  <c:pt idx="8">
                    <c:v>Restaurants</c:v>
                  </c:pt>
                </c:lvl>
                <c:lvl>
                  <c:pt idx="0">
                    <c:v>Financial</c:v>
                  </c:pt>
                  <c:pt idx="1">
                    <c:v>Basic Materials</c:v>
                  </c:pt>
                  <c:pt idx="4">
                    <c:v>Energy</c:v>
                  </c:pt>
                  <c:pt idx="6">
                    <c:v>Technology</c:v>
                  </c:pt>
                  <c:pt idx="7">
                    <c:v>Consumer Goods</c:v>
                  </c:pt>
                  <c:pt idx="8">
                    <c:v>Services</c:v>
                  </c:pt>
                </c:lvl>
              </c:multiLvlStrCache>
            </c:multiLvlStrRef>
          </c:cat>
          <c:val>
            <c:numRef>
              <c:f>'Sector Analysis'!$C$4:$C$19</c:f>
              <c:numCache>
                <c:formatCode>0.0%</c:formatCode>
                <c:ptCount val="9"/>
                <c:pt idx="0">
                  <c:v>0.68664688101921489</c:v>
                </c:pt>
                <c:pt idx="1">
                  <c:v>3.1196720724004999E-2</c:v>
                </c:pt>
                <c:pt idx="2">
                  <c:v>3.7941340224805026E-2</c:v>
                </c:pt>
                <c:pt idx="3">
                  <c:v>6.8095766644309746E-2</c:v>
                </c:pt>
                <c:pt idx="4">
                  <c:v>3.8398225473585401E-2</c:v>
                </c:pt>
                <c:pt idx="5">
                  <c:v>8.4092709724433043E-2</c:v>
                </c:pt>
                <c:pt idx="6">
                  <c:v>2.2481098259966435E-2</c:v>
                </c:pt>
                <c:pt idx="7">
                  <c:v>1.802710275079087E-2</c:v>
                </c:pt>
                <c:pt idx="8">
                  <c:v>1.3120155178889646E-2</c:v>
                </c:pt>
              </c:numCache>
            </c:numRef>
          </c:val>
          <c:extLst>
            <c:ext xmlns:c16="http://schemas.microsoft.com/office/drawing/2014/chart" uri="{C3380CC4-5D6E-409C-BE32-E72D297353CC}">
              <c16:uniqueId val="{0000003B-9D22-455D-8ACE-40A3E831B12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590550</xdr:colOff>
      <xdr:row>1</xdr:row>
      <xdr:rowOff>142875</xdr:rowOff>
    </xdr:from>
    <xdr:to>
      <xdr:col>11</xdr:col>
      <xdr:colOff>285750</xdr:colOff>
      <xdr:row>18</xdr:row>
      <xdr:rowOff>133350</xdr:rowOff>
    </xdr:to>
    <xdr:graphicFrame macro="">
      <xdr:nvGraphicFramePr>
        <xdr:cNvPr id="2" name="Chart 1">
          <a:extLst>
            <a:ext uri="{FF2B5EF4-FFF2-40B4-BE49-F238E27FC236}">
              <a16:creationId xmlns:a16="http://schemas.microsoft.com/office/drawing/2014/main" id="{654BB44E-1C9B-46A8-AC09-45BA80F16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ropbox/Green%20Olive/Investing/dev/constants.xlsm" TargetMode="External"/><Relationship Id="rId2" Type="http://schemas.openxmlformats.org/officeDocument/2006/relationships/externalLinkPath" Target="file:///C:\Users\finge\Dropbox\Green%20Olive\Investing\dev\constants.xlsm" TargetMode="External"/><Relationship Id="rId1" Type="http://schemas.openxmlformats.org/officeDocument/2006/relationships/externalLinkPath" Target="/Users/finge/Dropbox/Green%20Olive/Investing/dev/constant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Brokerage Constants"/>
      <sheetName val="IRS"/>
      <sheetName val="Data Transfer Names"/>
      <sheetName val="DataLists"/>
      <sheetName val="Trade Journal"/>
      <sheetName val="Recognia Data"/>
      <sheetName val="Common Filters"/>
      <sheetName val="Yahoo Finance Strings"/>
      <sheetName val="Svc"/>
      <sheetName val="SvcConfig"/>
      <sheetName val="DtoConfig SNAP"/>
      <sheetName val="DtoConfig CAGR"/>
      <sheetName val="Best Sectors"/>
      <sheetName val="UiText"/>
      <sheetName val="TestingConstants"/>
      <sheetName val="WbData"/>
      <sheetName val="Market Holidays"/>
      <sheetName val="Links"/>
    </sheetNames>
    <definedNames>
      <definedName name="Choices_Bias"/>
      <definedName name="Choices_EbfCriteriaOp" refersTo="#REF!"/>
      <definedName name="Choices_MacdCrossing" refersTo="#REF!"/>
      <definedName name="Choices_MacdDirection" refersTo="#REF!"/>
      <definedName name="Choices_PositionDirection"/>
      <definedName name="Choices_ShortTermOutlook" refersTo="#REF!"/>
      <definedName name="Choices_StochasticK_Pct" refersTo="#REF!"/>
      <definedName name="Choices_Trend" refersTo="#REF!"/>
      <definedName name="Choices_Volume" refersTo="#REF!"/>
      <definedName name="Choices_XlAutoFilterOp" refersTo="#REF!"/>
      <definedName name="ToOptionSymbol"/>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c Fingerhut" refreshedDate="44921.389401388886" createdVersion="5" refreshedVersion="8" minRefreshableVersion="3" recordCount="431" xr:uid="{21C26A19-6708-4A38-90B9-2752C6BE048E}">
  <cacheSource type="worksheet">
    <worksheetSource name="SnapshotTable"/>
  </cacheSource>
  <cacheFields count="212">
    <cacheField name="Symbol" numFmtId="0">
      <sharedItems/>
    </cacheField>
    <cacheField name="Last Price" numFmtId="44">
      <sharedItems containsSemiMixedTypes="0" containsString="0" containsNumber="1" minValue="1.5" maxValue="1504"/>
    </cacheField>
    <cacheField name="Goal" numFmtId="39">
      <sharedItems containsBlank="1"/>
    </cacheField>
    <cacheField name="Market Crash Price" numFmtId="2">
      <sharedItems containsSemiMixedTypes="0" containsString="0" containsNumber="1" minValue="1.2749999999999999" maxValue="1278.3999999999999"/>
    </cacheField>
    <cacheField name="Industry" numFmtId="170">
      <sharedItems containsBlank="1" containsMixedTypes="1" containsNumber="1" containsInteger="1" minValue="0" maxValue="0" count="165">
        <s v="Aluminum"/>
        <s v="Specialty Retail"/>
        <s v="Drug Manufacturers - General"/>
        <s v="Semiconductors"/>
        <s v="Auto &amp; Truck Dealerships"/>
        <s v="Travel Services"/>
        <s v="Drug Manufacturers - Specialty &amp; Generic"/>
        <s v="Information Technology Services"/>
        <s v="Software - Infrastructure"/>
        <s v="Farm Products"/>
        <s v="Software - Application"/>
        <s v="Gold"/>
        <s v="Utilities - Regulated Electric"/>
        <s v="Application Software"/>
        <s v="Uranium"/>
        <s v="Insurance - Diversified"/>
        <s v="Semiconductor Equipment &amp; Materials"/>
        <s v="Household &amp; Personal Products"/>
        <s v="Discount, Variety Stores"/>
        <s v="Internet Content &amp; Information"/>
        <s v="Oil &amp; Gas E&amp;P"/>
        <s v="REIT - Office"/>
        <s v="Metal Fabrication"/>
        <s v="Biotechnology"/>
        <s v="Electronic Gaming &amp; Multimedia"/>
        <s v="Health Care Plans"/>
        <s v="Credit Services"/>
        <s v="Specialty Chemicals"/>
        <s v="Silver"/>
        <s v="Internet Retail"/>
        <s v="Banks - Diversified"/>
        <s v="Asset Management"/>
        <s v="Building Products &amp; Equipment"/>
        <s v="Agricultural Chemicals"/>
        <s v="Oil &amp; Gas Integrated"/>
        <s v="Thermal Coal"/>
        <s v="Beverages - Brewers"/>
        <s v="Processed &amp; Packaged Goods"/>
        <s v="Rental &amp; Leasing Services"/>
        <s v="Farm &amp; Construction Machinery"/>
        <s v="Entertainment - Diversified"/>
        <s v="Aerospace &amp; Defense"/>
        <s v="Resorts &amp; Casinos"/>
        <s v="Security Software &amp; Services"/>
        <s v="Communication Equipment"/>
        <s v="Internet Information Providers"/>
        <s v="Steel"/>
        <s v="Money Center Banks"/>
        <s v="Restaurants"/>
        <s v="Diversified Machinery"/>
        <s v="Aerospace/Defense Products &amp; Services"/>
        <s v="Diagnostics &amp; Research"/>
        <s v="Exchange Traded Fund"/>
        <s v="Beverages - Non-Alcoholic"/>
        <s v="Auto Dealerships"/>
        <s v="Specialty Eateries"/>
        <s v="Foreign Money Center Banks"/>
        <s v="Regional - Southeast Banks"/>
        <s v="Chemicals - Major Diversified"/>
        <s v="Major Airlines"/>
        <s v="Department Stores"/>
        <s v="Auto Manufacturers - Major"/>
        <s v="Entertainment"/>
        <m/>
        <s v="Online Betting"/>
        <s v="Sporting Goods Stores"/>
        <s v="Oil &amp; Gas Equipment &amp; Services"/>
        <s v="Electric Utilities"/>
        <s v="Medical Care Facilities"/>
        <s v="Independent Oil &amp; Gas"/>
        <s v="Specialty Retail, Other"/>
        <s v="Cleaning Products"/>
        <s v="Marine Shipping"/>
        <s v="Industrial Electrical Equipment"/>
        <s v="Oil &amp; Gas Drilling &amp; Exploration"/>
        <s v="Furnishings, Fixtures &amp; Appliances"/>
        <s v="Industrial Equipment Wholesale"/>
        <s v="Electrical Equipment &amp; Parts"/>
        <s v="Business Services"/>
        <s v="Air Delivery &amp; Freight Services"/>
        <s v="Business Software &amp; Services"/>
        <s v="Textile - Apparel Footwear &amp; Accessories"/>
        <s v="Printed Circuit Boards"/>
        <s v="Capital Markets"/>
        <s v="Broadcasting"/>
        <s v="Internet Software &amp; Services"/>
        <s v="Specialty Industrial Machinery"/>
        <s v="Medical Laboratories &amp; Research"/>
        <s v="Telecom Services"/>
        <s v="Copper"/>
        <s v="Waste Management"/>
        <s v="Home Improvement Retail"/>
        <s v="Consumer Electronics"/>
        <s v="Drug Manufacturers - Major"/>
        <s v="Toys &amp; Games"/>
        <s v="Home Improvement Stores"/>
        <s v="Property &amp; Casualty Insurance"/>
        <s v="Personal Services"/>
        <s v="REIT - Industrial"/>
        <s v="Diversified Communication Services"/>
        <s v="Large Cap BioTech"/>
        <s v="Medical Appliances &amp; Equipment"/>
        <s v="Semiconductor - Broad Line"/>
        <s v="Advertising Agencies"/>
        <s v="Shell Companies"/>
        <s v="Medical Instruments &amp; Supplies"/>
        <s v="Regional Airlines"/>
        <s v="Auto Parts"/>
        <s v="Medical Devices"/>
        <s v="Apparel Stores"/>
        <s v="Regional - Midwest Banks"/>
        <s v="Food - Major Diversified"/>
        <s v="Oil &amp; Gas Pipelines"/>
        <s v="Beverages - Soft Drinks"/>
        <s v="Grocery Stores"/>
        <s v="Auto Manufacturers"/>
        <s v="Residential Construction"/>
        <s v="Oil &amp; Gas Midstream"/>
        <s v="Textile - Apparel Clothing"/>
        <s v="Lodging"/>
        <s v="General Building Materials"/>
        <s v="Closed-End Fund - Equity"/>
        <s v="Confectioners"/>
        <s v="Housewares &amp; Accessories"/>
        <s v="Cigarettes"/>
        <s v="Oil &amp; Gas Refining &amp; Marketing"/>
        <s v="REIT - Mortgage"/>
        <s v="Investment Brokerage - National"/>
        <s v="CATV Systems"/>
        <s v="Computer Hardware"/>
        <s v="Aerospace/Defense - Major Diversified"/>
        <s v="Steel &amp; Iron"/>
        <s v="Semiconductor - Specialized"/>
        <s v="Real Estate Services"/>
        <s v="Networking &amp; Communication Devices"/>
        <s v="Business Equipment"/>
        <s v="Personal Products"/>
        <s v="Conglomerates"/>
        <s v="Drug Related Products"/>
        <s v="Leisure"/>
        <s v="Pharmaceutical Retailers"/>
        <s v="Major Integrated Oil &amp; Gas"/>
        <s v="Mortgage Finance"/>
        <s v="REIT - Healthcare Facilities"/>
        <s v="Packaged Foods"/>
        <s v="Broadcasting - Radio"/>
        <s v="Beverages - Wineries &amp; Distillers"/>
        <s v="Machine Tools &amp; Accessories"/>
        <s v="Telecom Services - Domestic"/>
        <s v="Education &amp; Training Services"/>
        <s v="Healthcare Information Services"/>
        <s v="Wireless Communications"/>
        <s v="Gaming Activities"/>
        <s v="Semiconductor - Integrated Circuits"/>
        <s v="Meat Products"/>
        <s v="Natural Gas"/>
        <s v="Industrial Metals &amp; Minerals"/>
        <s v="CBOE Volatility Index"/>
        <s v="Regional - Northeast Banks"/>
        <s v="Technical &amp; System Software"/>
        <s v="Drug Stores"/>
        <s v="Multimedia &amp; Graphics Software"/>
        <s v="Packaging &amp; Containers"/>
        <s v="Home Furnishing Stores"/>
        <n v="0" u="1"/>
      </sharedItems>
    </cacheField>
    <cacheField name="Sector" numFmtId="170">
      <sharedItems containsBlank="1" containsMixedTypes="1" containsNumber="1" containsInteger="1" minValue="0" maxValue="0" count="20">
        <s v="Basic Materials"/>
        <s v="Consumer Cyclical"/>
        <s v="Healthcare"/>
        <s v="Technology"/>
        <s v="Consumer Defensive"/>
        <s v="Utilities"/>
        <s v="Energy"/>
        <s v="Financial"/>
        <s v="Services"/>
        <s v="Communication Services"/>
        <s v="Real Estate"/>
        <s v="Industrials"/>
        <s v="Consumer Goods"/>
        <s v="Industrial Goods"/>
        <m/>
        <s v="Gambling"/>
        <s v="Crypto"/>
        <s v="Precious Metals"/>
        <s v="Conglomerates"/>
        <n v="0" u="1"/>
      </sharedItems>
    </cacheField>
    <cacheField name="Bull Thesis" numFmtId="165">
      <sharedItems containsBlank="1" longText="1"/>
    </cacheField>
    <cacheField name="Bear Thesis" numFmtId="165">
      <sharedItems containsBlank="1" longText="1"/>
    </cacheField>
    <cacheField name="Watch List" numFmtId="165">
      <sharedItems containsNonDate="0" containsString="0" containsBlank="1"/>
    </cacheField>
    <cacheField name="EMA Trend" numFmtId="165">
      <sharedItems containsBlank="1"/>
    </cacheField>
    <cacheField name="MACD" numFmtId="165">
      <sharedItems containsBlank="1"/>
    </cacheField>
    <cacheField name="PPS" numFmtId="165">
      <sharedItems containsBlank="1"/>
    </cacheField>
    <cacheField name="Impulse" numFmtId="165">
      <sharedItems containsBlank="1"/>
    </cacheField>
    <cacheField name="STO" numFmtId="165">
      <sharedItems containsBlank="1"/>
    </cacheField>
    <cacheField name="Sector Strength" numFmtId="165">
      <sharedItems containsBlank="1"/>
    </cacheField>
    <cacheField name="Volume" numFmtId="165">
      <sharedItems containsBlank="1"/>
    </cacheField>
    <cacheField name="Next Move" numFmtId="0">
      <sharedItems containsBlank="1" longText="1"/>
    </cacheField>
    <cacheField name="Thesis Last Update" numFmtId="164">
      <sharedItems containsNonDate="0" containsDate="1" containsString="0" containsBlank="1" minDate="2017-08-12T10:22:36" maxDate="2018-01-24T13:35:20"/>
    </cacheField>
    <cacheField name="Bias" numFmtId="165">
      <sharedItems containsBlank="1"/>
    </cacheField>
    <cacheField name="Earnings Date" numFmtId="164">
      <sharedItems containsDate="1" containsBlank="1" containsMixedTypes="1" minDate="2022-02-04T00:00:00" maxDate="2023-03-03T00:00:00"/>
    </cacheField>
    <cacheField name="Earnings Time" numFmtId="172">
      <sharedItems containsNonDate="0" containsDate="1" containsString="0" containsBlank="1" minDate="2022-02-04T00:00:00" maxDate="2023-03-03T00:00:00"/>
    </cacheField>
    <cacheField name="Earnings Status" numFmtId="165">
      <sharedItems containsBlank="1"/>
    </cacheField>
    <cacheField name="Next Catalyst" numFmtId="165">
      <sharedItems containsBlank="1"/>
    </cacheField>
    <cacheField name="Next Catalyst Date" numFmtId="164">
      <sharedItems containsDate="1" containsBlank="1" containsMixedTypes="1" minDate="2014-09-02T00:00:00" maxDate="2021-06-01T00:00:00"/>
    </cacheField>
    <cacheField name="AAP Rank" numFmtId="0">
      <sharedItems containsString="0" containsBlank="1" containsNumber="1" containsInteger="1" minValue="1" maxValue="2"/>
    </cacheField>
    <cacheField name="Is Core" numFmtId="0">
      <sharedItems containsBlank="1"/>
    </cacheField>
    <cacheField name="EBF Rank" numFmtId="0">
      <sharedItems containsString="0" containsBlank="1" containsNumber="1" containsInteger="1" minValue="0" maxValue="6"/>
    </cacheField>
    <cacheField name="Equity Shares" numFmtId="168">
      <sharedItems containsString="0" containsBlank="1" containsNumber="1" containsInteger="1" minValue="104" maxValue="10000"/>
    </cacheField>
    <cacheField name="Equity Basis Total" numFmtId="166">
      <sharedItems containsString="0" containsBlank="1" containsNumber="1" minValue="7000" maxValue="370000"/>
    </cacheField>
    <cacheField name="Equity Basis Per Share" numFmtId="44">
      <sharedItems containsBlank="1" containsMixedTypes="1" containsNumber="1" minValue="8" maxValue="217.63807692307694"/>
    </cacheField>
    <cacheField name="Equity Value" numFmtId="166">
      <sharedItems containsSemiMixedTypes="0" containsString="0" containsNumber="1" minValue="0" maxValue="215400"/>
    </cacheField>
    <cacheField name="Equity G/L" numFmtId="166">
      <sharedItems containsSemiMixedTypes="0" containsString="0" containsNumber="1" minValue="-154600" maxValue="2720"/>
    </cacheField>
    <cacheField name="Equity ROI" numFmtId="165">
      <sharedItems containsMixedTypes="1" containsNumber="1" minValue="-0.7677388266473919" maxValue="0.11694352159468438"/>
    </cacheField>
    <cacheField name="Equity Target" numFmtId="44">
      <sharedItems containsString="0" containsBlank="1" containsNumber="1" minValue="6.15" maxValue="4000"/>
    </cacheField>
    <cacheField name="Equity Stop Loss" numFmtId="44">
      <sharedItems containsBlank="1" containsMixedTypes="1" containsNumber="1" minValue="4.05" maxValue="3385"/>
    </cacheField>
    <cacheField name="Equity Max Gain Per Share" numFmtId="44">
      <sharedItems containsBlank="1" containsMixedTypes="1" containsNumber="1" minValue="-23.835999999999999" maxValue="115"/>
    </cacheField>
    <cacheField name="Equity Max Loss Per Share" numFmtId="44">
      <sharedItems containsBlank="1" containsMixedTypes="1" containsNumber="1" minValue="-25.756" maxValue="41.361923076923063"/>
    </cacheField>
    <cacheField name="Risk Reward" numFmtId="44">
      <sharedItems containsBlank="1"/>
    </cacheField>
    <cacheField name="Equity Max Profit" numFmtId="166">
      <sharedItems containsBlank="1" containsMixedTypes="1" containsNumber="1" minValue="-17877" maxValue="46000"/>
    </cacheField>
    <cacheField name="Equity Max Risk" numFmtId="166">
      <sharedItems containsBlank="1" containsMixedTypes="1" containsNumber="1" minValue="-20239.400000000005" maxValue="15960.000000000002"/>
    </cacheField>
    <cacheField name="Annual Dividend Per Share" numFmtId="171">
      <sharedItems containsString="0" containsBlank="1" containsNumber="1" minValue="0" maxValue="6.6"/>
    </cacheField>
    <cacheField name="Div Pay Date" numFmtId="0">
      <sharedItems containsDate="1" containsBlank="1" containsMixedTypes="1" minDate="2015-10-14T00:00:00" maxDate="2021-11-03T00:00:00"/>
    </cacheField>
    <cacheField name="Quarterly Div $" numFmtId="166">
      <sharedItems containsSemiMixedTypes="0" containsString="0" containsNumber="1" minValue="0" maxValue="1233"/>
    </cacheField>
    <cacheField name="Annual Div $" numFmtId="166">
      <sharedItems containsSemiMixedTypes="0" containsString="0" containsNumber="1" minValue="0" maxValue="4932"/>
    </cacheField>
    <cacheField name="Div Yield" numFmtId="165">
      <sharedItems containsSemiMixedTypes="0" containsString="0" containsNumber="1" minValue="0" maxValue="0.44280442804428044"/>
    </cacheField>
    <cacheField name="Div Ex Date" numFmtId="0">
      <sharedItems containsDate="1" containsBlank="1" containsMixedTypes="1" minDate="2006-02-21T00:00:00" maxDate="2022-08-19T00:00:00"/>
    </cacheField>
    <cacheField name="EBF Target" numFmtId="0">
      <sharedItems containsString="0" containsBlank="1" containsNumber="1" minValue="0" maxValue="4000"/>
    </cacheField>
    <cacheField name="Long Term Target" numFmtId="44">
      <sharedItems containsBlank="1" containsMixedTypes="1" containsNumber="1" minValue="4.25" maxValue="4010.49"/>
    </cacheField>
    <cacheField name="AAP % From Current" numFmtId="165">
      <sharedItems containsMixedTypes="1" containsNumber="1" minValue="-1" maxValue="38.488622340688089"/>
    </cacheField>
    <cacheField name="From Basis % " numFmtId="165">
      <sharedItems containsMixedTypes="1" containsNumber="1" minValue="-0.86873183139534882" maxValue="0.46644518272425251"/>
    </cacheField>
    <cacheField name="From Basis $" numFmtId="166">
      <sharedItems containsSemiMixedTypes="0" containsString="0" containsNumber="1" minValue="-16986" maxValue="12516"/>
    </cacheField>
    <cacheField name="From Current $" numFmtId="166">
      <sharedItems containsSemiMixedTypes="0" containsString="0" containsNumber="1" minValue="-5012.9999999999991" maxValue="30360"/>
    </cacheField>
    <cacheField name="From Current %" numFmtId="0">
      <sharedItems containsMixedTypes="1" containsNumber="1" minValue="-0.95057506994093877" maxValue="89.978896103896105"/>
    </cacheField>
    <cacheField name="Upside Target" numFmtId="44">
      <sharedItems containsString="0" containsBlank="1" containsNumber="1" minValue="1.52" maxValue="2727"/>
    </cacheField>
    <cacheField name="Upside Target Reason" numFmtId="165">
      <sharedItems containsBlank="1"/>
    </cacheField>
    <cacheField name="Downside Target" numFmtId="44">
      <sharedItems containsBlank="1" containsMixedTypes="1" containsNumber="1" minValue="1.52" maxValue="2518"/>
    </cacheField>
    <cacheField name="Downside Target Reason" numFmtId="165">
      <sharedItems containsBlank="1"/>
    </cacheField>
    <cacheField name="Position Description" numFmtId="165">
      <sharedItems containsBlank="1" containsMixedTypes="1" containsNumber="1" containsInteger="1" minValue="0" maxValue="0"/>
    </cacheField>
    <cacheField name="No Fill" numFmtId="0">
      <sharedItems containsBlank="1"/>
    </cacheField>
    <cacheField name="Break Even or STOP" numFmtId="0">
      <sharedItems containsBlank="1" containsMixedTypes="1" containsNumber="1" minValue="28" maxValue="159.5"/>
    </cacheField>
    <cacheField name="Implied Move" numFmtId="0">
      <sharedItems containsString="0" containsBlank="1" containsNumber="1" minValue="0.52900000000000003" maxValue="8.7040000000000006"/>
    </cacheField>
    <cacheField name="IM Date" numFmtId="164">
      <sharedItems containsNonDate="0" containsDate="1" containsString="0" containsBlank="1" minDate="2020-05-01T00:00:00" maxDate="2021-07-17T00:00:00"/>
    </cacheField>
    <cacheField name="IM Lower Bound" numFmtId="44">
      <sharedItems containsBlank="1" containsMixedTypes="1" containsNumber="1" minValue="10.402999999999999" maxValue="176.46199999999999"/>
    </cacheField>
    <cacheField name="IM Upper Bound" numFmtId="44">
      <sharedItems containsBlank="1" containsMixedTypes="1" containsNumber="1" minValue="12.497" maxValue="193.61799999999999"/>
    </cacheField>
    <cacheField name="ACB" numFmtId="44">
      <sharedItems containsString="0" containsBlank="1" containsNumber="1" minValue="-31.73" maxValue="3176.7350000000001"/>
    </cacheField>
    <cacheField name="Dump Before" numFmtId="2">
      <sharedItems containsMixedTypes="1" containsNumber="1" minValue="-29.508899999999997" maxValue="2954.36355"/>
    </cacheField>
    <cacheField name="To Do" numFmtId="0">
      <sharedItems containsBlank="1" containsMixedTypes="1" containsNumber="1" containsInteger="1" minValue="2" maxValue="8"/>
    </cacheField>
    <cacheField name="Target Updated" numFmtId="164">
      <sharedItems containsNonDate="0" containsDate="1" containsString="0" containsBlank="1" minDate="2015-12-10T00:00:00" maxDate="2022-12-27T00:00:00"/>
    </cacheField>
    <cacheField name="Pivot" numFmtId="44">
      <sharedItems containsString="0" containsBlank="1" containsNumber="1" minValue="1.9" maxValue="3479.5"/>
    </cacheField>
    <cacheField name="Next Bullish Target " numFmtId="44">
      <sharedItems containsString="0" containsBlank="1" containsNumber="1" minValue="2.0699999999999998" maxValue="3511.75"/>
    </cacheField>
    <cacheField name="Next Bearish Target" numFmtId="44">
      <sharedItems containsString="0" containsBlank="1" containsNumber="1" minValue="1.4" maxValue="3370.5"/>
    </cacheField>
    <cacheField name="Short Term Bias" numFmtId="44">
      <sharedItems containsBlank="1"/>
    </cacheField>
    <cacheField name="Medium Term Bias" numFmtId="44">
      <sharedItems containsBlank="1"/>
    </cacheField>
    <cacheField name="Rgna" numFmtId="0">
      <sharedItems containsBlank="1"/>
    </cacheField>
    <cacheField name="Trade Exp" numFmtId="164">
      <sharedItems containsDate="1" containsBlank="1" containsMixedTypes="1" minDate="2022-06-17T00:00:00" maxDate="2024-12-21T00:00:00"/>
    </cacheField>
    <cacheField name="LP Exp Date" numFmtId="178">
      <sharedItems containsNonDate="0" containsDate="1" containsString="0" containsBlank="1" minDate="2024-01-19T00:00:00" maxDate="2025-01-18T00:00:00"/>
    </cacheField>
    <cacheField name="LP Strike Price" numFmtId="44">
      <sharedItems containsString="0" containsBlank="1" containsNumber="1" containsInteger="1" minValue="190" maxValue="340"/>
    </cacheField>
    <cacheField name="LP Qty" numFmtId="1">
      <sharedItems containsString="0" containsBlank="1" containsNumber="1" containsInteger="1" minValue="2" maxValue="10"/>
    </cacheField>
    <cacheField name="LP Book Date" numFmtId="164">
      <sharedItems containsNonDate="0" containsDate="1" containsString="0" containsBlank="1" minDate="2022-08-10T00:00:00" maxDate="2022-12-01T00:00:00"/>
    </cacheField>
    <cacheField name="LP Fill Date" numFmtId="164">
      <sharedItems containsNonDate="0" containsDate="1" containsString="0" containsBlank="1" minDate="2017-03-16T00:00:00" maxDate="2022-12-01T00:00:00"/>
    </cacheField>
    <cacheField name="LP Book Price" numFmtId="44">
      <sharedItems containsString="0" containsBlank="1" containsNumber="1" minValue="36.85" maxValue="66.5"/>
    </cacheField>
    <cacheField name="LP Premium" numFmtId="166">
      <sharedItems containsString="0" containsBlank="1" containsNumber="1" minValue="0" maxValue="37900"/>
    </cacheField>
    <cacheField name="LP Max Value" numFmtId="166">
      <sharedItems containsSemiMixedTypes="0" containsString="0" containsNumber="1" containsInteger="1" minValue="0" maxValue="330000"/>
    </cacheField>
    <cacheField name="LP Contract Value" numFmtId="44">
      <sharedItems containsString="0" containsBlank="1" containsNumber="1" minValue="0.31" maxValue="59.5"/>
    </cacheField>
    <cacheField name="LP No Fill" numFmtId="44">
      <sharedItems/>
    </cacheField>
    <cacheField name="LP Total Value" numFmtId="166">
      <sharedItems containsBlank="1" containsMixedTypes="1" containsNumber="1" containsInteger="1" minValue="11900" maxValue="35604"/>
    </cacheField>
    <cacheField name="SP Exp Date" numFmtId="164">
      <sharedItems containsNonDate="0" containsDate="1" containsString="0" containsBlank="1" minDate="2022-06-17T00:00:00" maxDate="2023-01-21T00:00:00"/>
    </cacheField>
    <cacheField name="SP Strike Price" numFmtId="44">
      <sharedItems containsString="0" containsBlank="1" containsNumber="1" minValue="19.5" maxValue="270"/>
    </cacheField>
    <cacheField name="SP Qty" numFmtId="1">
      <sharedItems containsString="0" containsBlank="1" containsNumber="1" containsInteger="1" minValue="1" maxValue="20"/>
    </cacheField>
    <cacheField name="SP Book Date" numFmtId="164">
      <sharedItems containsNonDate="0" containsDate="1" containsString="0" containsBlank="1" minDate="2021-02-04T00:00:00" maxDate="2022-12-22T00:00:00"/>
    </cacheField>
    <cacheField name="SP Fill Date" numFmtId="164">
      <sharedItems containsNonDate="0" containsDate="1" containsString="0" containsBlank="1" minDate="2021-02-04T00:00:00" maxDate="2022-12-13T00:00:00"/>
    </cacheField>
    <cacheField name="SP Book Price" numFmtId="44">
      <sharedItems containsString="0" containsBlank="1" containsNumber="1" minValue="0.33" maxValue="50.64"/>
    </cacheField>
    <cacheField name="SP Premium" numFmtId="42">
      <sharedItems containsSemiMixedTypes="0" containsString="0" containsNumber="1" minValue="0" maxValue="10128"/>
    </cacheField>
    <cacheField name="SP Break Even" numFmtId="44">
      <sharedItems containsMixedTypes="1" containsNumber="1" minValue="-5.7" maxValue="264.33"/>
    </cacheField>
    <cacheField name="SP Trade Days" numFmtId="0">
      <sharedItems containsMixedTypes="1" containsNumber="1" containsInteger="1" minValue="9" maxValue="51"/>
    </cacheField>
    <cacheField name="SP ROO" numFmtId="165">
      <sharedItems containsMixedTypes="1" containsNumber="1" minValue="7.3333333333333332E-3" maxValue="0.27024390243902441"/>
    </cacheField>
    <cacheField name="SP Annual ROO" numFmtId="165">
      <sharedItems containsMixedTypes="1" containsNumber="1" minValue="0.10852393189906739" maxValue="8.3815993370620596"/>
    </cacheField>
    <cacheField name="SP Potential Spend" numFmtId="166">
      <sharedItems containsSemiMixedTypes="0" containsString="0" containsNumber="1" containsInteger="1" minValue="0" maxValue="200000"/>
    </cacheField>
    <cacheField name="SP Gap" numFmtId="165">
      <sharedItems containsMixedTypes="1" containsNumber="1" minValue="-0.38904363974001871" maxValue="1.0749014454664916"/>
    </cacheField>
    <cacheField name="SP Actual Spend" numFmtId="166">
      <sharedItems containsSemiMixedTypes="0" containsString="0" containsNumber="1" containsInteger="1" minValue="-42000" maxValue="32800"/>
    </cacheField>
    <cacheField name="SP POW" numFmtId="9">
      <sharedItems containsString="0" containsBlank="1" containsNumber="1" minValue="0" maxValue="1"/>
    </cacheField>
    <cacheField name="SP Cash Reserve" numFmtId="166">
      <sharedItems containsSemiMixedTypes="0" containsString="0" containsNumber="1" containsInteger="1" minValue="0" maxValue="200000"/>
    </cacheField>
    <cacheField name="SP No Fill" numFmtId="44">
      <sharedItems/>
    </cacheField>
    <cacheField name="SP Unfilled Potential Spend" numFmtId="44">
      <sharedItems containsMixedTypes="1" containsNumber="1" containsInteger="1" minValue="27000" maxValue="39000"/>
    </cacheField>
    <cacheField name="SP Actual Loss" numFmtId="166">
      <sharedItems containsMixedTypes="1" containsNumber="1" minValue="-6704" maxValue="1818.0000000000077"/>
    </cacheField>
    <cacheField name="SP Contract Value" numFmtId="44">
      <sharedItems containsString="0" containsBlank="1" containsNumber="1" minValue="0" maxValue="45.4"/>
    </cacheField>
    <cacheField name="SP Buyback Point" numFmtId="44">
      <sharedItems containsMixedTypes="1" containsNumber="1" minValue="0" maxValue="10.128"/>
    </cacheField>
    <cacheField name="SP Buyback Override" numFmtId="44">
      <sharedItems containsString="0" containsBlank="1" containsNumber="1" minValue="0.35" maxValue="0.55000000000000004"/>
    </cacheField>
    <cacheField name="SP Buyback Price to Use" numFmtId="44">
      <sharedItems containsMixedTypes="1" containsNumber="1" minValue="0" maxValue="10.128"/>
    </cacheField>
    <cacheField name="SP Buyback GTC Date" numFmtId="164">
      <sharedItems containsDate="1" containsMixedTypes="1" minDate="1899-12-30T00:00:00" maxDate="2023-01-20T16:00:00"/>
    </cacheField>
    <cacheField name="SP Should Buyback" numFmtId="166">
      <sharedItems/>
    </cacheField>
    <cacheField name="SP Buyback Cutoff" numFmtId="164">
      <sharedItems containsNonDate="0" containsDate="1" containsString="0" containsBlank="1" minDate="2018-09-21T00:00:00" maxDate="2023-01-01T00:00:00"/>
    </cacheField>
    <cacheField name="SP Buyback Cost" numFmtId="166">
      <sharedItems containsMixedTypes="1" containsNumber="1" minValue="289.99999999999994" maxValue="2025.6"/>
    </cacheField>
    <cacheField name="SP Strike  Stop Per Share" numFmtId="44">
      <sharedItems containsMixedTypes="1" containsNumber="1" minValue="18.914999999999999" maxValue="261.89999999999998"/>
    </cacheField>
    <cacheField name="SP Strike  Stop  Max Loss" numFmtId="166">
      <sharedItems containsMixedTypes="1" containsNumber="1" minValue="-3100" maxValue="8987.9999999999964"/>
    </cacheField>
    <cacheField name="SP Option  Stop Contract" numFmtId="44">
      <sharedItems containsMixedTypes="1" containsNumber="1" minValue="0.41250000000000003" maxValue="63.3"/>
    </cacheField>
    <cacheField name="SP Option  Stop Total" numFmtId="166">
      <sharedItems containsMixedTypes="1" containsNumber="1" minValue="49.500000000000028" maxValue="2532"/>
    </cacheField>
    <cacheField name="SP Stop Override" numFmtId="44">
      <sharedItems containsString="0" containsBlank="1" containsNumber="1" minValue="1.95" maxValue="28"/>
    </cacheField>
    <cacheField name="SP Stop To Use" numFmtId="44">
      <sharedItems containsString="0" containsBlank="1" containsNumber="1" minValue="1.5" maxValue="3.3"/>
    </cacheField>
    <cacheField name="SP Stop Loss" numFmtId="44">
      <sharedItems containsMixedTypes="1" containsNumber="1" containsInteger="1" minValue="-702" maxValue="-702"/>
    </cacheField>
    <cacheField name="SP Total Value" numFmtId="166">
      <sharedItems containsMixedTypes="1" containsNumber="1" minValue="-14880.000000000002" maxValue="-3100"/>
    </cacheField>
    <cacheField name="SP Gain Loss" numFmtId="166">
      <sharedItems containsMixedTypes="1" containsNumber="1" minValue="-6016.0000000000018" maxValue="1048"/>
    </cacheField>
    <cacheField name="SP Pct Earned" numFmtId="9">
      <sharedItems containsBlank="1" containsMixedTypes="1" containsNumber="1" minValue="-0.67870036101083053" maxValue="0.10347551342812006"/>
    </cacheField>
    <cacheField name="LC Exp Date" numFmtId="176">
      <sharedItems containsNonDate="0" containsDate="1" containsString="0" containsBlank="1" minDate="2023-01-20T00:00:00" maxDate="2025-01-18T00:00:00"/>
    </cacheField>
    <cacheField name="LC Strike Price" numFmtId="0">
      <sharedItems containsString="0" containsBlank="1" containsNumber="1" containsInteger="1" minValue="10" maxValue="175"/>
    </cacheField>
    <cacheField name="LC Qty" numFmtId="1">
      <sharedItems containsString="0" containsBlank="1" containsNumber="1" containsInteger="1" minValue="2" maxValue="20"/>
    </cacheField>
    <cacheField name="LC Book Date" numFmtId="164">
      <sharedItems containsNonDate="0" containsDate="1" containsString="0" containsBlank="1" minDate="2021-04-22T00:00:00" maxDate="2022-12-21T00:00:00"/>
    </cacheField>
    <cacheField name="LC Fill Date" numFmtId="164">
      <sharedItems containsNonDate="0" containsDate="1" containsString="0" containsBlank="1" minDate="2021-04-22T00:00:00" maxDate="2022-12-21T00:00:00"/>
    </cacheField>
    <cacheField name="LC Book Price" numFmtId="0">
      <sharedItems containsString="0" containsBlank="1" containsNumber="1" minValue="0.75" maxValue="49.37"/>
    </cacheField>
    <cacheField name="LC Premium" numFmtId="166">
      <sharedItems containsString="0" containsBlank="1" containsNumber="1" minValue="0" maxValue="20768"/>
    </cacheField>
    <cacheField name="LC Not Filled" numFmtId="0">
      <sharedItems containsBlank="1"/>
    </cacheField>
    <cacheField name="LC Break Even" numFmtId="44">
      <sharedItems containsMixedTypes="1" containsNumber="1" minValue="15.45" maxValue="184.37"/>
    </cacheField>
    <cacheField name="LC Contract Value" numFmtId="44">
      <sharedItems containsString="0" containsBlank="1" containsNumber="1" minValue="0" maxValue="52.4"/>
    </cacheField>
    <cacheField name="LC Total Value" numFmtId="166">
      <sharedItems containsMixedTypes="1" containsNumber="1" containsInteger="1" minValue="1720" maxValue="17200"/>
    </cacheField>
    <cacheField name="LC Actual Gain Loss" numFmtId="166">
      <sharedItems containsMixedTypes="1" containsNumber="1" minValue="-12160" maxValue="3400"/>
    </cacheField>
    <cacheField name="LC Actual ROI" numFmtId="9">
      <sharedItems containsMixedTypes="1" containsNumber="1" minValue="-0.75527950310559011" maxValue="0.33333333333333331"/>
    </cacheField>
    <cacheField name="LC Next Target" numFmtId="44">
      <sharedItems containsBlank="1" containsMixedTypes="1" containsNumber="1" minValue="1.125" maxValue="74.054999999999993"/>
    </cacheField>
    <cacheField name="LC Target Gross" numFmtId="174">
      <sharedItems containsMixedTypes="1" containsNumber="1" minValue="2250" maxValue="31152"/>
    </cacheField>
    <cacheField name="LC Target Gain Loss" numFmtId="174">
      <sharedItems containsMixedTypes="1" containsNumber="1" minValue="750" maxValue="10384"/>
    </cacheField>
    <cacheField name="LC Target ROI" numFmtId="9">
      <sharedItems containsMixedTypes="1" containsNumber="1" minValue="0.49999999999999978" maxValue="0.50000000000000022"/>
    </cacheField>
    <cacheField name="LC Next Review Date" numFmtId="175">
      <sharedItems containsBlank="1"/>
    </cacheField>
    <cacheField name="LC Stop Loss Calc Target" numFmtId="44">
      <sharedItems containsMixedTypes="1" containsNumber="1" minValue="0.5625" maxValue="37.027499999999996"/>
    </cacheField>
    <cacheField name="LC Stop Loss Override" numFmtId="44">
      <sharedItems containsBlank="1" containsMixedTypes="1" containsNumber="1" minValue="3.9" maxValue="160.6"/>
    </cacheField>
    <cacheField name="LC Stop  To Use" numFmtId="44">
      <sharedItems containsMixedTypes="1" containsNumber="1" minValue="0.5625" maxValue="37.027499999999996"/>
    </cacheField>
    <cacheField name="LC Stop Loss Amount" numFmtId="166">
      <sharedItems containsMixedTypes="1" containsNumber="1" minValue="1125" maxValue="15576"/>
    </cacheField>
    <cacheField name="LC Stop Gain Loss" numFmtId="166">
      <sharedItems containsMixedTypes="1" containsNumber="1" minValue="-5192" maxValue="-375"/>
    </cacheField>
    <cacheField name="LC  Stop ROI" numFmtId="9">
      <sharedItems containsBlank="1" containsMixedTypes="1" containsNumber="1" minValue="-0.25000000000000011" maxValue="-0.24999999999999989"/>
    </cacheField>
    <cacheField name="SC Max Qty" numFmtId="37">
      <sharedItems containsString="0" containsBlank="1" containsNumber="1" containsInteger="1" minValue="0" maxValue="100"/>
    </cacheField>
    <cacheField name="SC Exp Date" numFmtId="164">
      <sharedItems containsNonDate="0" containsDate="1" containsString="0" containsBlank="1" minDate="2022-12-30T00:00:00" maxDate="2023-01-21T00:00:00"/>
    </cacheField>
    <cacheField name="SC Strike Price" numFmtId="44">
      <sharedItems containsString="0" containsBlank="1" containsNumber="1" minValue="9.5" maxValue="95"/>
    </cacheField>
    <cacheField name="SC Qty" numFmtId="1">
      <sharedItems containsString="0" containsBlank="1" containsNumber="1" containsInteger="1" minValue="4" maxValue="50"/>
    </cacheField>
    <cacheField name="SC Book Date" numFmtId="164">
      <sharedItems containsNonDate="0" containsDate="1" containsString="0" containsBlank="1" minDate="2022-12-15T00:00:00" maxDate="2022-12-24T00:00:00"/>
    </cacheField>
    <cacheField name="SC Fill Date" numFmtId="164">
      <sharedItems containsNonDate="0" containsDate="1" containsString="0" containsBlank="1" minDate="2022-12-15T00:00:00" maxDate="2022-12-24T00:00:00"/>
    </cacheField>
    <cacheField name="SC Book Price" numFmtId="44">
      <sharedItems containsString="0" containsBlank="1" containsNumber="1" minValue="0.12" maxValue="3"/>
    </cacheField>
    <cacheField name="SC Term" numFmtId="1">
      <sharedItems containsBlank="1" containsMixedTypes="1" containsNumber="1" containsInteger="1" minValue="7" maxValue="36"/>
    </cacheField>
    <cacheField name="SC Days Left" numFmtId="1">
      <sharedItems containsMixedTypes="1" containsNumber="1" containsInteger="1" minValue="4" maxValue="25"/>
    </cacheField>
    <cacheField name="SC Premium" numFmtId="166">
      <sharedItems containsSemiMixedTypes="0" containsString="0" containsNumber="1" minValue="0" maxValue="1250"/>
    </cacheField>
    <cacheField name="SC Capital Used" numFmtId="42">
      <sharedItems containsSemiMixedTypes="0" containsString="0" containsNumber="1" minValue="0" maxValue="103980"/>
    </cacheField>
    <cacheField name="SC Min Prem Req" numFmtId="44">
      <sharedItems containsSemiMixedTypes="0" containsString="0" containsNumber="1" minValue="0" maxValue="7.125"/>
    </cacheField>
    <cacheField name="SC Break Even" numFmtId="44">
      <sharedItems containsSemiMixedTypes="0" containsString="0" containsNumber="1" minValue="-3" maxValue="94.08"/>
    </cacheField>
    <cacheField name="SC Not Filled" numFmtId="44">
      <sharedItems/>
    </cacheField>
    <cacheField name="SC Bid TIF" numFmtId="44">
      <sharedItems containsNonDate="0" containsString="0" containsBlank="1"/>
    </cacheField>
    <cacheField name="SC Buyback Point" numFmtId="44">
      <sharedItems containsSemiMixedTypes="0" containsString="0" containsNumber="1" minValue="0" maxValue="0.31000000000000005"/>
    </cacheField>
    <cacheField name="SC Contract Value" numFmtId="44">
      <sharedItems containsString="0" containsBlank="1" containsNumber="1" minValue="0" maxValue="37.450000000000003"/>
    </cacheField>
    <cacheField name="SC Buyback Override" numFmtId="44">
      <sharedItems containsString="0" containsBlank="1" containsNumber="1" minValue="2.2999999999999998" maxValue="2.2999999999999998"/>
    </cacheField>
    <cacheField name="SC Buyback Price to Use" numFmtId="44">
      <sharedItems containsMixedTypes="1" containsNumber="1" minValue="0" maxValue="0.31000000000000005"/>
    </cacheField>
    <cacheField name="SC Buyback GTC Date" numFmtId="164">
      <sharedItems containsDate="1" containsBlank="1" containsMixedTypes="1" minDate="2022-12-26T16:00:00" maxDate="2023-01-05T04:00:00"/>
    </cacheField>
    <cacheField name="SC Should Buyback" numFmtId="44">
      <sharedItems/>
    </cacheField>
    <cacheField name="SC Buy Back Cutoff" numFmtId="164">
      <sharedItems containsNonDate="0" containsDate="1" containsString="0" containsBlank="1" minDate="2020-05-29T00:00:00" maxDate="2023-01-06T00:00:00"/>
    </cacheField>
    <cacheField name="SC Cost To Close" numFmtId="5">
      <sharedItems containsMixedTypes="1" containsNumber="1" minValue="0" maxValue="248.00000000000006"/>
    </cacheField>
    <cacheField name="SC Intrinsic Value" numFmtId="44">
      <sharedItems containsSemiMixedTypes="0" containsString="0" containsNumber="1" minValue="0" maxValue="47.22"/>
    </cacheField>
    <cacheField name="SC Time Val" numFmtId="44">
      <sharedItems containsSemiMixedTypes="0" containsString="0" containsNumber="1" minValue="0" maxValue="37.450000000000003"/>
    </cacheField>
    <cacheField name="SC Time Value Closing Pct" numFmtId="10">
      <sharedItems containsMixedTypes="1" containsNumber="1" minValue="1.1290322580645162E-3" maxValue="0.4052591710853804"/>
    </cacheField>
    <cacheField name="Gap From Strike" numFmtId="165">
      <sharedItems containsMixedTypes="1" containsNumber="1" minValue="-4.8185603807257511E-2" maxValue="0.12149532710280374"/>
    </cacheField>
    <cacheField name="SC Exercise Gross" numFmtId="166">
      <sharedItems containsMixedTypes="1" containsNumber="1" minValue="0" maxValue="87499.74"/>
    </cacheField>
    <cacheField name="SC Exercise Opportunity Cost" numFmtId="166">
      <sharedItems containsMixedTypes="1" containsNumber="1" minValue="811.35000000000036" maxValue="1091.510000000002"/>
    </cacheField>
    <cacheField name="SC Exercise P&amp;L" numFmtId="166">
      <sharedItems containsMixedTypes="1" containsNumber="1" minValue="-15230.259999999995" maxValue="6480"/>
    </cacheField>
    <cacheField name="SC Exercise Share Price" numFmtId="44">
      <sharedItems containsBlank="1" containsMixedTypes="1" containsNumber="1" minValue="9.5" maxValue="94.997924999999995"/>
    </cacheField>
    <cacheField name="SC Upside Potential" numFmtId="44">
      <sharedItems containsMixedTypes="1" containsNumber="1" minValue="0.10999999999999943" maxValue="6.9899999999999949"/>
    </cacheField>
    <cacheField name="SC Simple ROO" numFmtId="165">
      <sharedItems containsMixedTypes="1" containsNumber="1" minValue="1.1102504518461141E-2" maxValue="1.2533333333333336"/>
    </cacheField>
    <cacheField name="SC Annual ROO" numFmtId="165">
      <sharedItems containsMixedTypes="1" containsNumber="1" minValue="0.51858887907827333" maxValue="203719115962690.13"/>
    </cacheField>
    <cacheField name="SC Upside Potential %" numFmtId="165">
      <sharedItems containsMixedTypes="1" containsNumber="1" minValue="0.99658314350797272" maxValue="14.344262295081968"/>
    </cacheField>
    <cacheField name="SC Downside Insurance Dollars" numFmtId="44">
      <sharedItems containsMixedTypes="1" containsNumber="1" minValue="0" maxValue="5.9999999999998721E-2"/>
    </cacheField>
    <cacheField name="SC Downside Insurance %" numFmtId="165">
      <sharedItems containsMixedTypes="1" containsNumber="1" minValue="0" maxValue="3.4168564920272625E-3"/>
    </cacheField>
    <cacheField name="SC Max Dollars" numFmtId="166">
      <sharedItems containsMixedTypes="1" containsNumber="1" minValue="149.26" maxValue="1250.1099999999999"/>
    </cacheField>
    <cacheField name="SC Max ROO" numFmtId="165">
      <sharedItems containsMixedTypes="1" containsNumber="1" minValue="0.10181405314205727" maxValue="140.94301999246991"/>
    </cacheField>
    <cacheField name="SC Current Value" numFmtId="166">
      <sharedItems containsMixedTypes="1" containsNumber="1" containsInteger="1" minValue="-2376" maxValue="-70"/>
    </cacheField>
    <cacheField name="SC Gain Loss" numFmtId="166">
      <sharedItems containsMixedTypes="1" containsNumber="1" minValue="-1136" maxValue="260"/>
    </cacheField>
    <cacheField name="SC Pct Earned" numFmtId="9">
      <sharedItems containsMixedTypes="1" containsNumber="1" minValue="-2.5116279069767442" maxValue="0.78787878787878785"/>
    </cacheField>
    <cacheField name="Link Wkb" numFmtId="0">
      <sharedItems containsBlank="1"/>
    </cacheField>
    <cacheField name="Sell Shares Pct" numFmtId="168">
      <sharedItems containsSemiMixedTypes="0" containsString="0" containsNumber="1" minValue="0" maxValue="2000"/>
    </cacheField>
    <cacheField name="Sell Price Tgt" numFmtId="4">
      <sharedItems containsMixedTypes="1" containsNumber="1" minValue="0" maxValue="3809.9654999999998"/>
    </cacheField>
    <cacheField name="Sell Price Gain" numFmtId="4">
      <sharedItems containsSemiMixedTypes="0" containsString="0" containsNumber="1" minValue="2.9249999999999998" maxValue="2932.7999999999997"/>
    </cacheField>
    <cacheField name="Booked Sale Shares" numFmtId="3">
      <sharedItems containsString="0" containsBlank="1" containsNumber="1" containsInteger="1" minValue="50" maxValue="200"/>
    </cacheField>
    <cacheField name="Booked Sale Price" numFmtId="4">
      <sharedItems containsString="0" containsBlank="1" containsNumber="1" minValue="15.18" maxValue="658.88"/>
    </cacheField>
    <cacheField name="Sale Proceeds" numFmtId="166">
      <sharedItems containsSemiMixedTypes="0" containsString="0" containsNumber="1" minValue="0" maxValue="16716"/>
    </cacheField>
    <cacheField name="Sale Basis" numFmtId="166">
      <sharedItems containsMixedTypes="1" containsNumber="1" containsInteger="1" minValue="0" maxValue="0"/>
    </cacheField>
    <cacheField name="Sale G/L" numFmtId="166">
      <sharedItems containsMixedTypes="1" containsNumber="1" containsInteger="1" minValue="0" maxValue="0"/>
    </cacheField>
    <cacheField name="Simple Sell ROI" numFmtId="10">
      <sharedItems containsMixedTypes="1" containsNumber="1" minValue="-0.14647297557222538" maxValue="0.20250000000000001"/>
    </cacheField>
    <cacheField name="GUID Lookup" numFmtId="10">
      <sharedItems containsBlank="1"/>
    </cacheField>
    <cacheField name="LP Symbol" numFmtId="42">
      <sharedItems/>
    </cacheField>
    <cacheField name="LP Symbol Count" numFmtId="1">
      <sharedItems containsMixedTypes="1" containsNumber="1" containsInteger="1" minValue="1" maxValue="1"/>
    </cacheField>
    <cacheField name="SP Symbol" numFmtId="42">
      <sharedItems/>
    </cacheField>
    <cacheField name="SP Symbol Count" numFmtId="1">
      <sharedItems containsMixedTypes="1" containsNumber="1" containsInteger="1" minValue="1" maxValue="1"/>
    </cacheField>
    <cacheField name="LC Symbol" numFmtId="42">
      <sharedItems/>
    </cacheField>
    <cacheField name="LC Symbol Count" numFmtId="1">
      <sharedItems containsMixedTypes="1" containsNumber="1" containsInteger="1" minValue="1" maxValue="1"/>
    </cacheField>
    <cacheField name="SC Symbol" numFmtId="42">
      <sharedItems/>
    </cacheField>
    <cacheField name="SC Symbol Count" numFmtId="1">
      <sharedItems containsMixedTypes="1" containsNumber="1" containsInteger="1" minValue="1" maxValue="1"/>
    </cacheField>
    <cacheField name="Has Position" numFmtId="0">
      <sharedItems/>
    </cacheField>
    <cacheField name="Position" numFmtId="0">
      <sharedItems containsBlank="1"/>
    </cacheField>
    <cacheField name="Exposure" numFmtId="42">
      <sharedItems containsSemiMixedTypes="0" containsString="0" containsNumber="1" minValue="-1200" maxValue="1733473.91" count="447">
        <n v="0"/>
        <n v="1260"/>
        <n v="34240"/>
        <n v="17120"/>
        <n v="23936"/>
        <n v="7000"/>
        <n v="370000"/>
        <n v="36850"/>
        <n v="37632"/>
        <n v="38200"/>
        <n v="102730"/>
        <n v="15600"/>
        <n v="4600"/>
        <n v="1710.0000000000002"/>
        <n v="1980"/>
        <n v="10400"/>
        <n v="41172"/>
        <n v="9874"/>
        <n v="38660"/>
        <n v="13209.6"/>
        <n v="2428"/>
        <n v="84666"/>
        <n v="18150"/>
        <n v="31409.4"/>
        <n v="25377"/>
        <n v="41505"/>
        <n v="22634.36"/>
        <n v="15940"/>
        <n v="184008"/>
        <n v="39720"/>
        <n v="-1040"/>
        <n v="19528"/>
        <n v="235000"/>
        <n v="28830" u="1"/>
        <n v="31244" u="1"/>
        <n v="33980" u="1"/>
        <n v="43210" u="1"/>
        <n v="99639.39" u="1"/>
        <n v="105253.54" u="1"/>
        <n v="24012" u="1"/>
        <n v="31664.95" u="1"/>
        <n v="67500" u="1"/>
        <n v="73890" u="1"/>
        <n v="80249.649999999994" u="1"/>
        <n v="111165" u="1"/>
        <n v="130080.2" u="1"/>
        <n v="153170" u="1"/>
        <n v="18200" u="1"/>
        <n v="83586" u="1"/>
        <n v="99009.39" u="1"/>
        <n v="108198.3" u="1"/>
        <n v="128600" u="1"/>
        <n v="19446.650000000001" u="1"/>
        <n v="26375" u="1"/>
        <n v="41990.64" u="1"/>
        <n v="88880" u="1"/>
        <n v="596.9" u="1"/>
        <n v="18788" u="1"/>
        <n v="28515" u="1"/>
        <n v="32698.949999999997" u="1"/>
        <n v="36190" u="1"/>
        <n v="67975" u="1"/>
        <n v="86588.45" u="1"/>
        <n v="105865.15999999999" u="1"/>
        <n v="114935.2" u="1"/>
        <n v="152700" u="1"/>
        <n v="158096" u="1"/>
        <n v="15177" u="1"/>
        <n v="26734.95" u="1"/>
        <n v="31720" u="1"/>
        <n v="73340" u="1"/>
        <n v="230028" u="1"/>
        <n v="2041" u="1"/>
        <n v="14614" u="1"/>
        <n v="31730" u="1"/>
        <n v="77661.98000000001" u="1"/>
        <n v="83604" u="1"/>
        <n v="2408" u="1"/>
        <n v="8300" u="1"/>
        <n v="18960" u="1"/>
        <n v="112470" u="1"/>
        <n v="16328" u="1"/>
        <n v="19538" u="1"/>
        <n v="20772.86" u="1"/>
        <n v="32673" u="1"/>
        <n v="44080" u="1"/>
        <n v="56505" u="1"/>
        <n v="108438.3" u="1"/>
        <n v="165090" u="1"/>
        <n v="1663628.6" u="1"/>
        <n v="16566" u="1"/>
        <n v="17952.63" u="1"/>
        <n v="60824.999999999993" u="1"/>
        <n v="71725" u="1"/>
        <n v="102602.13" u="1"/>
        <n v="118372" u="1"/>
        <n v="1470139.83" u="1"/>
        <n v="1658501.52" u="1"/>
        <n v="3118.8" u="1"/>
        <n v="13640" u="1"/>
        <n v="17570" u="1"/>
        <n v="19443.18" u="1"/>
        <n v="112673.1" u="1"/>
        <n v="1660859.59" u="1"/>
        <n v="4003.45" u="1"/>
        <n v="28230" u="1"/>
        <n v="49749" u="1"/>
        <n v="79902.58" u="1"/>
        <n v="334127" u="1"/>
        <n v="780" u="1"/>
        <n v="16333.56" u="1"/>
        <n v="31292.89" u="1"/>
        <n v="32500" u="1"/>
        <n v="63756" u="1"/>
        <n v="76105" u="1"/>
        <n v="112670" u="1"/>
        <n v="179397" u="1"/>
        <n v="15998" u="1"/>
        <n v="32368" u="1"/>
        <n v="68690" u="1"/>
        <n v="76855" u="1"/>
        <n v="77139" u="1"/>
        <n v="825" u="1"/>
        <n v="12240" u="1"/>
        <n v="15648" u="1"/>
        <n v="26627" u="1"/>
        <n v="32504.95" u="1"/>
        <n v="94270.89" u="1"/>
        <n v="142140" u="1"/>
        <n v="4649.9999999999991" u="1"/>
        <n v="6420" u="1"/>
        <n v="31110" u="1"/>
        <n v="44930" u="1"/>
        <n v="8162" u="1"/>
        <n v="22997.8" u="1"/>
        <n v="109990" u="1"/>
        <n v="115315" u="1"/>
        <n v="121609.95" u="1"/>
        <n v="365" u="1"/>
        <n v="22894" u="1"/>
        <n v="47100" u="1"/>
        <n v="66269.95" u="1"/>
        <n v="73820" u="1"/>
        <n v="1289993.3899999999" u="1"/>
        <n v="29720" u="1"/>
        <n v="31159.999999999996" u="1"/>
        <n v="50670" u="1"/>
        <n v="56776" u="1"/>
        <n v="1394042.86" u="1"/>
        <n v="17731" u="1"/>
        <n v="19790" u="1"/>
        <n v="105235.26" u="1"/>
        <n v="105850" u="1"/>
        <n v="139520.19999999998" u="1"/>
        <n v="188051" u="1"/>
        <n v="1890" u="1"/>
        <n v="21220" u="1"/>
        <n v="22706.06" u="1"/>
        <n v="33670" u="1"/>
        <n v="84306" u="1"/>
        <n v="136656" u="1"/>
        <n v="992002.21" u="1"/>
        <n v="-1200" u="1"/>
        <n v="-1147.9999999999998" u="1"/>
        <n v="20662" u="1"/>
        <n v="34400" u="1"/>
        <n v="77530" u="1"/>
        <n v="126520" u="1"/>
        <n v="129360" u="1"/>
        <n v="24080" u="1"/>
        <n v="37970" u="1"/>
        <n v="40727.980000000003" u="1"/>
        <n v="42585" u="1"/>
        <n v="13137" u="1"/>
        <n v="18978" u="1"/>
        <n v="29060" u="1"/>
        <n v="34328.99" u="1"/>
        <n v="74060" u="1"/>
        <n v="85704" u="1"/>
        <n v="3086" u="1"/>
        <n v="15840" u="1"/>
        <n v="30895.1" u="1"/>
        <n v="31412.89" u="1"/>
        <n v="33040" u="1"/>
        <n v="150395" u="1"/>
        <n v="86565" u="1"/>
        <n v="113900" u="1"/>
        <n v="1282721.2100000002" u="1"/>
        <n v="30510" u="1"/>
        <n v="129560" u="1"/>
        <n v="144520" u="1"/>
        <n v="352502" u="1"/>
        <n v="25605.95" u="1"/>
        <n v="43750" u="1"/>
        <n v="138740.19999999998" u="1"/>
        <n v="22152" u="1"/>
        <n v="38837.29" u="1"/>
        <n v="56266" u="1"/>
        <n v="70000" u="1"/>
        <n v="107299.91" u="1"/>
        <n v="227040" u="1"/>
        <n v="1298850.6000000001" u="1"/>
        <n v="20174" u="1"/>
        <n v="67009.899999999994" u="1"/>
        <n v="229605" u="1"/>
        <n v="231735" u="1"/>
        <n v="1473211.52" u="1"/>
        <n v="6422" u="1"/>
        <n v="19503.990000000002" u="1"/>
        <n v="27568" u="1"/>
        <n v="33870" u="1"/>
        <n v="161904.74" u="1"/>
        <n v="227910" u="1"/>
        <n v="1342089.8899999999" u="1"/>
        <n v="1682208.73" u="1"/>
        <n v="5884.95" u="1"/>
        <n v="63000" u="1"/>
        <n v="19701.150000000001" u="1"/>
        <n v="21269" u="1"/>
        <n v="27020" u="1"/>
        <n v="31990" u="1"/>
        <n v="86490" u="1"/>
        <n v="114180" u="1"/>
        <n v="124120" u="1"/>
        <n v="1499.9999999999998" u="1"/>
        <n v="21776" u="1"/>
        <n v="49905" u="1"/>
        <n v="5580" u="1"/>
        <n v="37145" u="1"/>
        <n v="37500" u="1"/>
        <n v="39241.29" u="1"/>
        <n v="42671.98" u="1"/>
        <n v="61115.37" u="1"/>
        <n v="121193.3" u="1"/>
        <n v="144095" u="1"/>
        <n v="2940" u="1"/>
        <n v="14475" u="1"/>
        <n v="24210" u="1"/>
        <n v="29180" u="1"/>
        <n v="8800" u="1"/>
        <n v="11640" u="1"/>
        <n v="15817.2" u="1"/>
        <n v="23387.999999999996" u="1"/>
        <n v="29900" u="1"/>
        <n v="56000" u="1"/>
        <n v="141060" u="1"/>
        <n v="9344.6299999999992" u="1"/>
        <n v="56730" u="1"/>
        <n v="83566" u="1"/>
        <n v="10230" u="1"/>
        <n v="12801.28" u="1"/>
        <n v="15844.95" u="1"/>
        <n v="15952.63" u="1"/>
        <n v="16185.07" u="1"/>
        <n v="17401.310000000001" u="1"/>
        <n v="55944.95" u="1"/>
        <n v="120004.95" u="1"/>
        <n v="121890.74" u="1"/>
        <n v="138380" u="1"/>
        <n v="145480" u="1"/>
        <n v="1393344.82" u="1"/>
        <n v="19731.28" u="1"/>
        <n v="55386.61" u="1"/>
        <n v="57906" u="1"/>
        <n v="67504.95" u="1"/>
        <n v="74345" u="1"/>
        <n v="79315" u="1"/>
        <n v="85776" u="1"/>
        <n v="106674.91" u="1"/>
        <n v="178078" u="1"/>
        <n v="1566700.38" u="1"/>
        <n v="2467" u="1"/>
        <n v="13719" u="1"/>
        <n v="22840" u="1"/>
        <n v="31518.73" u="1"/>
        <n v="183412" u="1"/>
        <n v="10600" u="1"/>
        <n v="16285.95" u="1"/>
        <n v="20136.95" u="1"/>
        <n v="54490.15" u="1"/>
        <n v="86424" u="1"/>
        <n v="96770.89" u="1"/>
        <n v="112765" u="1"/>
        <n v="138265" u="1"/>
        <n v="25471.95" u="1"/>
        <n v="31735" u="1"/>
        <n v="52103.100000000006" u="1"/>
        <n v="144380" u="1"/>
        <n v="1550032.45" u="1"/>
        <n v="15225" u="1"/>
        <n v="23225" u="1"/>
        <n v="29118" u="1"/>
        <n v="50389" u="1"/>
        <n v="114620" u="1"/>
        <n v="37700" u="1"/>
        <n v="-372" u="1"/>
        <n v="33247" u="1"/>
        <n v="34170" u="1"/>
        <n v="42181.98" u="1"/>
        <n v="44291.999999999993" u="1"/>
        <n v="78716.67" u="1"/>
        <n v="87434.849999999991" u="1"/>
        <n v="88004" u="1"/>
        <n v="121704.95" u="1"/>
        <n v="123220" u="1"/>
        <n v="128190" u="1"/>
        <n v="136801.84" u="1"/>
        <n v="17504" u="1"/>
        <n v="23092.44" u="1"/>
        <n v="26166" u="1"/>
        <n v="32770" u="1"/>
        <n v="33480" u="1"/>
        <n v="13612" u="1"/>
        <n v="23904" u="1"/>
        <n v="34068" u="1"/>
        <n v="106994.91" u="1"/>
        <n v="20838.080000000002" u="1"/>
        <n v="22920" u="1"/>
        <n v="1089353.6200000001" u="1"/>
        <n v="73680" u="1"/>
        <n v="82009.899999999994" u="1"/>
        <n v="108658.3" u="1"/>
        <n v="152750" u="1"/>
        <n v="1820" u="1"/>
        <n v="2657" u="1"/>
        <n v="3296" u="1"/>
        <n v="11781" u="1"/>
        <n v="50742" u="1"/>
        <n v="52020" u="1"/>
        <n v="142180" u="1"/>
        <n v="1393322" u="1"/>
        <n v="1517462.81" u="1"/>
        <n v="9940" u="1"/>
        <n v="14910" u="1"/>
        <n v="43875" u="1"/>
        <n v="64039" u="1"/>
        <n v="68790" u="1"/>
        <n v="103378.45" u="1"/>
        <n v="148295" u="1"/>
        <n v="227559.05" u="1"/>
        <n v="1295628.7" u="1"/>
        <n v="1650354.4" u="1"/>
        <n v="25800" u="1"/>
        <n v="87290" u="1"/>
        <n v="12293" u="1"/>
        <n v="12790" u="1"/>
        <n v="18000" u="1"/>
        <n v="49916.97" u="1"/>
        <n v="60458" u="1"/>
        <n v="64189.999999999993" u="1"/>
        <n v="25110" u="1"/>
        <n v="34793.75" u="1"/>
        <n v="65638.350000000006" u="1"/>
        <n v="68910" u="1"/>
        <n v="187" u="1"/>
        <n v="3940.0000000000005" u="1"/>
        <n v="5100" u="1"/>
        <n v="17162.490000000002" u="1"/>
        <n v="108000" u="1"/>
        <n v="16000" u="1"/>
        <n v="27260" u="1"/>
        <n v="37088" u="1"/>
        <n v="40496" u="1"/>
        <n v="52243.35" u="1"/>
        <n v="68635" u="1"/>
        <n v="73960" u="1"/>
        <n v="10680" u="1"/>
        <n v="25779" u="1"/>
        <n v="25790.9" u="1"/>
        <n v="26276" u="1"/>
        <n v="37960" u="1"/>
        <n v="44350" u="1"/>
        <n v="52160" u="1"/>
        <n v="95635.89" u="1"/>
        <n v="323809.43" u="1"/>
        <n v="2880" u="1"/>
        <n v="42086.98" u="1"/>
        <n v="79720" u="1"/>
        <n v="89872.290000000008" u="1"/>
        <n v="127290" u="1"/>
        <n v="1733473.91" u="1"/>
        <n v="32918.339999999997" u="1"/>
        <n v="34450" u="1"/>
        <n v="35870" u="1"/>
        <n v="45004.95" u="1"/>
        <n v="52200" u="1"/>
        <n v="124490" u="1"/>
        <n v="231295" u="1"/>
        <n v="4864" u="1"/>
        <n v="8210" u="1"/>
        <n v="17928" u="1"/>
        <n v="18638" u="1"/>
        <n v="18764.95" u="1"/>
        <n v="33760" u="1"/>
        <n v="38020" u="1"/>
        <n v="115300" u="1"/>
        <n v="640" u="1"/>
        <n v="6109" u="1"/>
        <n v="36620" u="1"/>
        <n v="184950" u="1"/>
        <n v="12556.95" u="1"/>
        <n v="19510" u="1"/>
        <n v="79525" u="1"/>
        <n v="163730" u="1"/>
        <n v="340004.95" u="1"/>
        <n v="1349503.23" u="1"/>
        <n v="19179.259999999998" u="1"/>
        <n v="49369" u="1"/>
        <n v="51037.5" u="1"/>
        <n v="52280" u="1"/>
        <n v="104578.54" u="1"/>
        <n v="-220.00000000000003" u="1"/>
        <n v="1456" u="1"/>
        <n v="24358" u="1"/>
        <n v="140460" u="1"/>
        <n v="230275" u="1"/>
        <n v="-1050" u="1"/>
        <n v="13631" u="1"/>
        <n v="16700" u="1"/>
        <n v="102002.13" u="1"/>
        <n v="128990" u="1"/>
        <n v="10102.459999999999" u="1"/>
        <n v="33960.200000000004" u="1"/>
        <n v="122640" u="1"/>
        <n v="135996.84" u="1"/>
        <n v="846" u="1"/>
        <n v="11173.41" u="1"/>
        <n v="50585" u="1"/>
        <n v="200340" u="1"/>
        <n v="2218" u="1"/>
        <n v="8250" u="1"/>
        <n v="15385.5" u="1"/>
        <n v="21744.93" u="1"/>
        <n v="47055" u="1"/>
        <n v="112780" u="1"/>
        <n v="162080" u="1"/>
        <n v="15953.39" u="1"/>
        <n v="49560" u="1"/>
        <n v="67380" u="1"/>
        <n v="79805" u="1"/>
        <n v="164710.56" u="1"/>
        <n v="16004.95" u="1"/>
        <n v="23140" u="1"/>
        <n v="52420" u="1"/>
        <n v="55958.3" u="1"/>
        <n v="65104.95" u="1"/>
        <n v="84744" u="1"/>
      </sharedItems>
    </cacheField>
    <cacheField name="Exp %" numFmtId="165">
      <sharedItems containsMixedTypes="1" containsNumber="1" minValue="-6.8174397660842028E-4" maxValue="0.2425435301395341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1">
  <r>
    <s v="AA"/>
    <n v="47.6"/>
    <s v="CC"/>
    <n v="40.46"/>
    <x v="0"/>
    <x v="0"/>
    <m/>
    <m/>
    <m/>
    <m/>
    <m/>
    <m/>
    <m/>
    <m/>
    <m/>
    <m/>
    <m/>
    <m/>
    <s v="BULLISH"/>
    <d v="2022-07-20T16:10:00"/>
    <d v="2022-07-20T16:10:00"/>
    <m/>
    <m/>
    <m/>
    <m/>
    <m/>
    <m/>
    <m/>
    <m/>
    <s v=""/>
    <n v="0"/>
    <n v="0"/>
    <s v=""/>
    <m/>
    <m/>
    <s v=""/>
    <s v=""/>
    <s v=""/>
    <s v=""/>
    <s v=""/>
    <m/>
    <m/>
    <n v="0"/>
    <n v="0"/>
    <n v="0"/>
    <m/>
    <m/>
    <n v="58.85"/>
    <s v=""/>
    <s v=""/>
    <n v="0"/>
    <n v="0"/>
    <n v="0.23634453781512604"/>
    <n v="52"/>
    <s v="assignment"/>
    <n v="47.4"/>
    <s v="stop out"/>
    <s v="CCs"/>
    <s v=""/>
    <m/>
    <n v="2.2749999999999999"/>
    <d v="2021-04-16T00:00:00"/>
    <n v="45.325000000000003"/>
    <n v="49.875"/>
    <n v="50.84"/>
    <n v="47.281199999999998"/>
    <m/>
    <d v="2021-11-14T00:00:00"/>
    <n v="50.13"/>
    <n v="57.39"/>
    <n v="47.39"/>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5.907499999999999"/>
    <n v="92.820000000000007"/>
    <m/>
    <m/>
    <n v="0"/>
    <s v=""/>
    <n v="0"/>
    <s v=""/>
    <s v="{2B2DE5DF-1094-421D-BFC2-5DE23168F5FD}"/>
    <s v=""/>
    <s v=""/>
    <s v=""/>
    <s v=""/>
    <s v=""/>
    <s v=""/>
    <s v=""/>
    <s v=""/>
    <s v=""/>
    <s v=""/>
    <x v="0"/>
    <s v=""/>
  </r>
  <r>
    <s v="AAP"/>
    <n v="137.005"/>
    <m/>
    <n v="116.45424999999999"/>
    <x v="1"/>
    <x v="1"/>
    <m/>
    <m/>
    <m/>
    <m/>
    <m/>
    <m/>
    <m/>
    <m/>
    <m/>
    <m/>
    <m/>
    <m/>
    <s v="BEARISH"/>
    <d v="2022-08-22T16:30:00"/>
    <d v="2022-08-22T16:30:00"/>
    <m/>
    <m/>
    <m/>
    <m/>
    <m/>
    <m/>
    <m/>
    <m/>
    <s v=""/>
    <n v="0"/>
    <n v="0"/>
    <s v=""/>
    <m/>
    <m/>
    <s v=""/>
    <s v=""/>
    <s v=""/>
    <s v=""/>
    <s v=""/>
    <m/>
    <m/>
    <n v="0"/>
    <n v="0"/>
    <n v="0"/>
    <m/>
    <m/>
    <n v="183.25"/>
    <s v=""/>
    <s v=""/>
    <n v="0"/>
    <n v="0"/>
    <n v="0.33754242545892488"/>
    <n v="170"/>
    <s v="max gain"/>
    <n v="160"/>
    <s v="free money"/>
    <s v="BeCS"/>
    <s v=""/>
    <m/>
    <m/>
    <m/>
    <s v=""/>
    <s v=""/>
    <m/>
    <s v=""/>
    <m/>
    <d v="2019-09-17T00:00:00"/>
    <n v="148.19999999999999"/>
    <n v="169.3"/>
    <n v="141.30000000000001"/>
    <s v="RISE"/>
    <s v="BEARISH"/>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74.08750000000001"/>
    <n v="267.15974999999997"/>
    <m/>
    <m/>
    <n v="0"/>
    <s v=""/>
    <n v="0"/>
    <s v=""/>
    <s v="{6FB33F74-E7C7-4910-962B-B833AC82E8BE}"/>
    <s v=""/>
    <s v=""/>
    <s v=""/>
    <s v=""/>
    <s v=""/>
    <s v=""/>
    <s v=""/>
    <s v=""/>
    <s v=""/>
    <s v=""/>
    <x v="0"/>
    <s v=""/>
  </r>
  <r>
    <s v="ABBV"/>
    <n v="152.1"/>
    <s v="CORE"/>
    <n v="129.285"/>
    <x v="2"/>
    <x v="2"/>
    <s v="Deep discount to peers, 12 pipeline drugs to diversify from Humira (5 are late stage), higher 2015 guidance, great dividend"/>
    <s v="pricing pressure from ESRX and other PBMs"/>
    <m/>
    <s v="DOWN"/>
    <s v="CONVERGE"/>
    <s v="NO CROSS"/>
    <s v="NO CROSS"/>
    <s v="Under 20"/>
    <s v="DOWN"/>
    <s v="LOW"/>
    <m/>
    <m/>
    <s v="NEUTRAL"/>
    <d v="2022-07-29T07:45:00"/>
    <d v="2022-07-29T07:45:00"/>
    <m/>
    <m/>
    <m/>
    <n v="1"/>
    <b v="1"/>
    <m/>
    <m/>
    <m/>
    <s v=""/>
    <n v="0"/>
    <n v="0"/>
    <s v=""/>
    <m/>
    <m/>
    <s v=""/>
    <s v=""/>
    <s v=""/>
    <s v=""/>
    <s v=""/>
    <n v="5.2"/>
    <d v="2021-08-16T00:00:00"/>
    <n v="0"/>
    <n v="0"/>
    <n v="3.4188034188034191E-2"/>
    <d v="2021-07-14T00:00:00"/>
    <n v="0"/>
    <n v="150.69"/>
    <n v="-1"/>
    <s v=""/>
    <n v="0"/>
    <n v="0"/>
    <n v="-9.2702169625246324E-3"/>
    <m/>
    <m/>
    <m/>
    <m/>
    <m/>
    <s v=""/>
    <s v="Ids 4/5"/>
    <m/>
    <m/>
    <s v=""/>
    <s v=""/>
    <n v="74.31"/>
    <n v="69.1083"/>
    <m/>
    <d v="2022-03-15T00:00:00"/>
    <n v="149"/>
    <n v="162"/>
    <n v="145"/>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m/>
    <s v=""/>
    <n v="0"/>
    <n v="0"/>
    <n v="0"/>
    <n v="0"/>
    <s v=""/>
    <m/>
    <n v="0"/>
    <m/>
    <m/>
    <s v=""/>
    <s v=""/>
    <s v=""/>
    <m/>
    <s v=""/>
    <n v="0"/>
    <n v="0"/>
    <s v=""/>
    <s v=""/>
    <s v=""/>
    <s v=""/>
    <s v=""/>
    <s v=""/>
    <s v=""/>
    <s v=""/>
    <s v=""/>
    <s v=""/>
    <s v=""/>
    <s v=""/>
    <s v=""/>
    <s v=""/>
    <s v=""/>
    <s v=""/>
    <s v=""/>
    <m/>
    <n v="0"/>
    <n v="143.15549999999999"/>
    <n v="296.59499999999997"/>
    <m/>
    <m/>
    <n v="0"/>
    <s v=""/>
    <n v="0"/>
    <s v=""/>
    <s v="{951630D9-6DA4-4C4A-B8F7-7D37DAC65849}"/>
    <s v=""/>
    <s v=""/>
    <s v=""/>
    <s v=""/>
    <s v=""/>
    <s v=""/>
    <s v=""/>
    <s v=""/>
    <s v=""/>
    <s v=""/>
    <x v="0"/>
    <s v=""/>
  </r>
  <r>
    <s v="AMD"/>
    <n v="93.23"/>
    <s v="Position"/>
    <n v="79.245500000000007"/>
    <x v="3"/>
    <x v="3"/>
    <m/>
    <m/>
    <m/>
    <m/>
    <m/>
    <m/>
    <m/>
    <m/>
    <m/>
    <m/>
    <m/>
    <m/>
    <s v="BULLISH"/>
    <d v="2022-08-02T16:10:00"/>
    <d v="2022-08-02T16:10:00"/>
    <m/>
    <m/>
    <m/>
    <n v="1"/>
    <m/>
    <n v="1"/>
    <m/>
    <m/>
    <s v=""/>
    <n v="0"/>
    <n v="0"/>
    <s v=""/>
    <m/>
    <m/>
    <s v=""/>
    <s v=""/>
    <s v=""/>
    <s v=""/>
    <s v=""/>
    <m/>
    <m/>
    <n v="0"/>
    <n v="0"/>
    <n v="0"/>
    <m/>
    <m/>
    <n v="103.21"/>
    <s v=""/>
    <s v=""/>
    <n v="0"/>
    <n v="0"/>
    <n v="0.10704708784725935"/>
    <n v="8"/>
    <s v="assignment"/>
    <n v="8"/>
    <s v="free money"/>
    <s v="CCs"/>
    <s v=""/>
    <m/>
    <m/>
    <m/>
    <s v=""/>
    <s v=""/>
    <m/>
    <s v=""/>
    <m/>
    <d v="2020-12-22T00:00:00"/>
    <n v="86.4"/>
    <n v="106.4"/>
    <n v="80.400000000000006"/>
    <s v="LTD RISE"/>
    <s v="RANGE"/>
    <m/>
    <s v=""/>
    <m/>
    <m/>
    <m/>
    <m/>
    <m/>
    <m/>
    <n v="0"/>
    <n v="0"/>
    <m/>
    <s v=""/>
    <s v=""/>
    <m/>
    <m/>
    <m/>
    <m/>
    <m/>
    <m/>
    <n v="0"/>
    <s v=""/>
    <s v=""/>
    <s v=""/>
    <s v=""/>
    <n v="0"/>
    <s v=""/>
    <n v="0"/>
    <n v="0"/>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8.049499999999995"/>
    <n v="181.79849999999999"/>
    <m/>
    <m/>
    <n v="0"/>
    <s v=""/>
    <n v="0"/>
    <s v=""/>
    <m/>
    <s v=""/>
    <s v=""/>
    <s v=""/>
    <s v=""/>
    <s v=""/>
    <s v=""/>
    <s v=""/>
    <s v=""/>
    <s v=""/>
    <s v=""/>
    <x v="0"/>
    <s v=""/>
  </r>
  <r>
    <s v="ABG"/>
    <n v="95.67"/>
    <m/>
    <n v="81.319500000000005"/>
    <x v="4"/>
    <x v="1"/>
    <m/>
    <m/>
    <m/>
    <m/>
    <m/>
    <m/>
    <m/>
    <m/>
    <m/>
    <m/>
    <m/>
    <m/>
    <m/>
    <d v="2022-07-28T06:50:00"/>
    <d v="2022-07-28T06:50:00"/>
    <m/>
    <m/>
    <m/>
    <m/>
    <m/>
    <m/>
    <m/>
    <m/>
    <s v=""/>
    <n v="0"/>
    <n v="0"/>
    <s v=""/>
    <m/>
    <m/>
    <s v=""/>
    <s v=""/>
    <s v=""/>
    <s v=""/>
    <s v=""/>
    <n v="2.08"/>
    <d v="2016-05-11T00:00:00"/>
    <n v="0"/>
    <n v="0"/>
    <n v="2.1741402738580537E-2"/>
    <d v="2016-05-02T00:00:00"/>
    <m/>
    <n v="173.43"/>
    <s v=""/>
    <s v=""/>
    <n v="0"/>
    <n v="0"/>
    <n v="0.81279397930385699"/>
    <m/>
    <m/>
    <m/>
    <m/>
    <m/>
    <s v=""/>
    <m/>
    <m/>
    <m/>
    <s v=""/>
    <s v=""/>
    <m/>
    <s v=""/>
    <m/>
    <m/>
    <m/>
    <n v="99"/>
    <n v="81.13"/>
    <m/>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4.7585"/>
    <n v="186.5565"/>
    <m/>
    <m/>
    <n v="0"/>
    <s v=""/>
    <n v="0"/>
    <s v=""/>
    <s v="{5955B11D-F29C-487D-918B-2B3004854B73}"/>
    <s v=""/>
    <s v=""/>
    <s v=""/>
    <s v=""/>
    <s v=""/>
    <s v=""/>
    <s v=""/>
    <s v=""/>
    <s v=""/>
    <s v=""/>
    <x v="0"/>
    <s v=""/>
  </r>
  <r>
    <s v="ABNB"/>
    <n v="121.84"/>
    <m/>
    <n v="103.56400000000001"/>
    <x v="5"/>
    <x v="1"/>
    <m/>
    <m/>
    <m/>
    <m/>
    <m/>
    <m/>
    <m/>
    <m/>
    <m/>
    <m/>
    <m/>
    <m/>
    <m/>
    <d v="2022-08-02T16:05:00"/>
    <d v="2022-08-02T16:05:00"/>
    <m/>
    <m/>
    <m/>
    <m/>
    <m/>
    <m/>
    <m/>
    <m/>
    <s v=""/>
    <n v="0"/>
    <n v="0"/>
    <s v=""/>
    <m/>
    <m/>
    <s v=""/>
    <s v=""/>
    <s v=""/>
    <s v=""/>
    <s v=""/>
    <m/>
    <m/>
    <n v="0"/>
    <n v="0"/>
    <n v="0"/>
    <m/>
    <m/>
    <n v="565.85"/>
    <s v=""/>
    <s v=""/>
    <n v="0"/>
    <n v="0"/>
    <n v="3.6442055154300719"/>
    <m/>
    <m/>
    <m/>
    <m/>
    <m/>
    <s v=""/>
    <m/>
    <m/>
    <m/>
    <s v=""/>
    <s v=""/>
    <m/>
    <s v=""/>
    <m/>
    <m/>
    <m/>
    <m/>
    <m/>
    <m/>
    <m/>
    <m/>
    <d v="2022-06-17T00:00:00"/>
    <m/>
    <m/>
    <m/>
    <m/>
    <m/>
    <m/>
    <n v="0"/>
    <n v="0"/>
    <m/>
    <s v=""/>
    <s v=""/>
    <d v="2022-06-17T00:00:00"/>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37.5575"/>
    <n v="237.58799999999999"/>
    <m/>
    <m/>
    <n v="0"/>
    <s v=""/>
    <n v="0"/>
    <s v=""/>
    <s v="{282DDDD3-9E4F-437E-AE58-5BE6210C02E3}"/>
    <s v=""/>
    <s v=""/>
    <s v=""/>
    <s v=""/>
    <s v=""/>
    <s v=""/>
    <s v=""/>
    <s v=""/>
    <s v=""/>
    <s v=""/>
    <x v="0"/>
    <s v=""/>
  </r>
  <r>
    <s v="BMY"/>
    <n v="57.85"/>
    <m/>
    <n v="49.172499999999999"/>
    <x v="2"/>
    <x v="2"/>
    <m/>
    <m/>
    <m/>
    <m/>
    <m/>
    <m/>
    <m/>
    <m/>
    <m/>
    <m/>
    <m/>
    <m/>
    <m/>
    <d v="2022-07-29T07:00:00"/>
    <d v="2022-07-29T07:00:00"/>
    <m/>
    <s v="Eliquis patent decision"/>
    <d v="2020-08-07T00:00:00"/>
    <n v="1"/>
    <m/>
    <m/>
    <m/>
    <m/>
    <s v=""/>
    <n v="0"/>
    <n v="0"/>
    <s v=""/>
    <m/>
    <m/>
    <s v=""/>
    <s v=""/>
    <s v=""/>
    <s v=""/>
    <s v=""/>
    <m/>
    <m/>
    <n v="0"/>
    <n v="0"/>
    <n v="0"/>
    <m/>
    <n v="74"/>
    <n v="75.13"/>
    <n v="0.27917026793431282"/>
    <s v=""/>
    <n v="0"/>
    <n v="0"/>
    <n v="0.29870354364736373"/>
    <m/>
    <m/>
    <m/>
    <m/>
    <m/>
    <s v=""/>
    <m/>
    <m/>
    <m/>
    <s v=""/>
    <s v=""/>
    <m/>
    <s v=""/>
    <m/>
    <d v="2020-07-23T00:00:00"/>
    <n v="57.1"/>
    <n v="65.400000000000006"/>
    <n v="54.4"/>
    <s v="RISE"/>
    <s v="RANGE"/>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71.373499999999993"/>
    <n v="112.8075"/>
    <m/>
    <m/>
    <n v="0"/>
    <s v=""/>
    <n v="0"/>
    <s v=""/>
    <s v="{BB73E22F-F876-4322-B779-53F15CEF6579}"/>
    <s v=""/>
    <s v=""/>
    <s v=""/>
    <s v=""/>
    <s v=""/>
    <s v=""/>
    <s v=""/>
    <s v=""/>
    <s v=""/>
    <s v=""/>
    <x v="0"/>
    <s v=""/>
  </r>
  <r>
    <s v="ACB"/>
    <n v="12.04"/>
    <s v="CC"/>
    <n v="10.233999999999998"/>
    <x v="6"/>
    <x v="2"/>
    <m/>
    <m/>
    <m/>
    <m/>
    <m/>
    <m/>
    <m/>
    <m/>
    <m/>
    <m/>
    <m/>
    <m/>
    <m/>
    <d v="2022-08-11T16:15:00"/>
    <d v="2022-08-11T16:15:00"/>
    <m/>
    <m/>
    <m/>
    <m/>
    <m/>
    <m/>
    <m/>
    <m/>
    <s v=""/>
    <n v="0"/>
    <n v="0"/>
    <s v=""/>
    <m/>
    <m/>
    <s v=""/>
    <s v=""/>
    <s v=""/>
    <s v=""/>
    <s v=""/>
    <m/>
    <m/>
    <n v="0"/>
    <n v="0"/>
    <n v="0"/>
    <m/>
    <m/>
    <s v="-"/>
    <s v=""/>
    <s v=""/>
    <n v="0"/>
    <n v="0"/>
    <s v=""/>
    <n v="15"/>
    <s v="assignment"/>
    <n v="15"/>
    <s v="free money"/>
    <s v="CCs"/>
    <s v=""/>
    <m/>
    <m/>
    <m/>
    <s v=""/>
    <s v=""/>
    <m/>
    <s v=""/>
    <m/>
    <d v="2021-02-10T00:00:00"/>
    <n v="10.95"/>
    <n v="15.89"/>
    <n v="8.58"/>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3.477999999999998"/>
    <m/>
    <m/>
    <n v="0"/>
    <s v=""/>
    <n v="0"/>
    <s v=""/>
    <m/>
    <s v=""/>
    <s v=""/>
    <s v=""/>
    <s v=""/>
    <s v=""/>
    <s v=""/>
    <s v=""/>
    <s v=""/>
    <s v=""/>
    <s v=""/>
    <x v="0"/>
    <s v=""/>
  </r>
  <r>
    <s v="ACN"/>
    <n v="212.04"/>
    <m/>
    <n v="180.23399999999998"/>
    <x v="7"/>
    <x v="3"/>
    <m/>
    <m/>
    <m/>
    <m/>
    <m/>
    <m/>
    <m/>
    <m/>
    <m/>
    <m/>
    <m/>
    <m/>
    <s v="BULLISH"/>
    <d v="2022-06-23T06:45:00"/>
    <d v="2022-06-23T06:45:00"/>
    <s v="Confirmed"/>
    <m/>
    <m/>
    <m/>
    <m/>
    <m/>
    <m/>
    <m/>
    <s v=""/>
    <n v="0"/>
    <n v="0"/>
    <s v=""/>
    <m/>
    <m/>
    <s v=""/>
    <s v=""/>
    <s v=""/>
    <s v=""/>
    <s v=""/>
    <m/>
    <m/>
    <n v="0"/>
    <n v="0"/>
    <n v="0"/>
    <m/>
    <m/>
    <n v="296.54000000000002"/>
    <s v=""/>
    <s v=""/>
    <n v="0"/>
    <n v="0"/>
    <n v="0.39850971514808542"/>
    <n v="170"/>
    <s v="ITM"/>
    <n v="170"/>
    <s v="max loss"/>
    <m/>
    <s v=""/>
    <m/>
    <m/>
    <m/>
    <s v=""/>
    <s v=""/>
    <m/>
    <s v=""/>
    <m/>
    <d v="2018-11-05T00:00:00"/>
    <n v="150.69999999999999"/>
    <n v="173.2"/>
    <n v="143.80000000000001"/>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81.71300000000002"/>
    <n v="413.47799999999995"/>
    <m/>
    <m/>
    <n v="0"/>
    <s v=""/>
    <n v="0"/>
    <s v=""/>
    <s v="{2598AB40-AF9D-431E-AC06-E844DA0F563E}"/>
    <s v=""/>
    <s v=""/>
    <s v=""/>
    <s v=""/>
    <s v=""/>
    <s v=""/>
    <s v=""/>
    <s v=""/>
    <s v=""/>
    <s v=""/>
    <x v="0"/>
    <s v=""/>
  </r>
  <r>
    <s v="ADBE"/>
    <n v="519.20000000000005"/>
    <m/>
    <n v="441.32000000000005"/>
    <x v="8"/>
    <x v="3"/>
    <m/>
    <m/>
    <m/>
    <m/>
    <m/>
    <m/>
    <m/>
    <m/>
    <m/>
    <m/>
    <m/>
    <m/>
    <s v="BULLISH"/>
    <d v="2022-06-16T16:05:00"/>
    <d v="2022-06-16T16:05:00"/>
    <s v="Confirmed"/>
    <m/>
    <m/>
    <m/>
    <m/>
    <m/>
    <m/>
    <m/>
    <s v=""/>
    <n v="0"/>
    <n v="0"/>
    <s v=""/>
    <m/>
    <m/>
    <s v=""/>
    <s v=""/>
    <s v=""/>
    <s v=""/>
    <s v=""/>
    <m/>
    <m/>
    <n v="0"/>
    <n v="0"/>
    <n v="0"/>
    <m/>
    <m/>
    <n v="565.85"/>
    <s v=""/>
    <s v=""/>
    <n v="0"/>
    <n v="0"/>
    <n v="8.9849768875192554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37.5575"/>
    <n v="1012.44"/>
    <m/>
    <m/>
    <n v="0"/>
    <s v=""/>
    <n v="0"/>
    <s v=""/>
    <s v="{8E1B1B2D-57E6-43FC-B0F5-93541A980C17}"/>
    <s v=""/>
    <s v=""/>
    <s v=""/>
    <s v=""/>
    <s v=""/>
    <s v=""/>
    <s v=""/>
    <s v=""/>
    <s v=""/>
    <s v=""/>
    <x v="0"/>
    <s v=""/>
  </r>
  <r>
    <s v="ADM"/>
    <n v="46"/>
    <m/>
    <n v="39.1"/>
    <x v="9"/>
    <x v="4"/>
    <m/>
    <m/>
    <m/>
    <m/>
    <m/>
    <m/>
    <m/>
    <m/>
    <m/>
    <m/>
    <m/>
    <m/>
    <s v="BULLISH"/>
    <d v="2022-07-26T07:00:00"/>
    <d v="2022-07-26T07:00:00"/>
    <m/>
    <m/>
    <m/>
    <m/>
    <m/>
    <m/>
    <m/>
    <m/>
    <s v=""/>
    <n v="0"/>
    <n v="0"/>
    <s v=""/>
    <m/>
    <m/>
    <s v=""/>
    <s v=""/>
    <s v=""/>
    <s v=""/>
    <s v=""/>
    <n v="1.2"/>
    <d v="2017-03-07T00:00:00"/>
    <n v="0"/>
    <n v="0"/>
    <n v="2.6086956521739129E-2"/>
    <d v="2017-02-10T00:00:00"/>
    <m/>
    <n v="57.91"/>
    <s v=""/>
    <s v=""/>
    <n v="0"/>
    <n v="0"/>
    <n v="0.25891304347826077"/>
    <n v="49.88"/>
    <s v="T1"/>
    <n v="44"/>
    <s v="Losses"/>
    <m/>
    <s v=""/>
    <m/>
    <m/>
    <m/>
    <s v=""/>
    <s v=""/>
    <m/>
    <s v=""/>
    <m/>
    <d v="2016-12-12T00:00:00"/>
    <n v="43.2"/>
    <n v="51.9"/>
    <n v="40.299999999999997"/>
    <s v="RISE"/>
    <s v="BULLISH"/>
    <m/>
    <s v=""/>
    <m/>
    <m/>
    <m/>
    <m/>
    <m/>
    <m/>
    <m/>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5.014499999999991"/>
    <n v="89.7"/>
    <m/>
    <m/>
    <n v="0"/>
    <s v=""/>
    <n v="0"/>
    <s v=""/>
    <s v="{2FB09869-DBF3-4E28-872B-C3585AFD2F67}"/>
    <s v=""/>
    <s v=""/>
    <s v=""/>
    <s v=""/>
    <s v=""/>
    <s v=""/>
    <s v=""/>
    <s v=""/>
    <s v=""/>
    <s v=""/>
    <x v="0"/>
    <s v=""/>
  </r>
  <r>
    <s v="ADSK"/>
    <n v="202.87"/>
    <m/>
    <n v="172.43950000000001"/>
    <x v="10"/>
    <x v="3"/>
    <m/>
    <m/>
    <m/>
    <m/>
    <m/>
    <m/>
    <m/>
    <m/>
    <m/>
    <m/>
    <m/>
    <m/>
    <s v="BULLISH"/>
    <d v="2022-08-25T16:00:00"/>
    <d v="2022-08-25T16:00:00"/>
    <m/>
    <m/>
    <m/>
    <m/>
    <m/>
    <m/>
    <m/>
    <m/>
    <s v=""/>
    <n v="0"/>
    <n v="0"/>
    <s v=""/>
    <m/>
    <m/>
    <s v=""/>
    <s v=""/>
    <s v=""/>
    <s v=""/>
    <s v=""/>
    <m/>
    <m/>
    <n v="0"/>
    <n v="0"/>
    <n v="0"/>
    <m/>
    <m/>
    <n v="319.33"/>
    <s v=""/>
    <s v=""/>
    <n v="0"/>
    <n v="0"/>
    <n v="0.57406220732488777"/>
    <m/>
    <m/>
    <m/>
    <m/>
    <m/>
    <s v=""/>
    <m/>
    <m/>
    <m/>
    <s v=""/>
    <s v=""/>
    <m/>
    <s v=""/>
    <m/>
    <d v="2019-03-20T00:00:00"/>
    <n v="148.9"/>
    <n v="164.4"/>
    <n v="141.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03.36349999999999"/>
    <n v="395.59649999999999"/>
    <m/>
    <m/>
    <n v="0"/>
    <s v=""/>
    <n v="0"/>
    <s v=""/>
    <s v="{BEC209B9-BBCA-40CA-8441-A8723485632F}"/>
    <s v=""/>
    <s v=""/>
    <s v=""/>
    <s v=""/>
    <s v=""/>
    <s v=""/>
    <s v=""/>
    <s v=""/>
    <s v=""/>
    <s v=""/>
    <x v="0"/>
    <s v=""/>
  </r>
  <r>
    <s v="AEM"/>
    <n v="47.22"/>
    <s v="Swing"/>
    <n v="40.137"/>
    <x v="11"/>
    <x v="0"/>
    <m/>
    <m/>
    <m/>
    <m/>
    <m/>
    <m/>
    <m/>
    <m/>
    <m/>
    <m/>
    <m/>
    <m/>
    <s v="BULLISH"/>
    <d v="2023-01-25T00:00:00"/>
    <d v="2023-01-25T00:00:00"/>
    <m/>
    <m/>
    <m/>
    <m/>
    <m/>
    <m/>
    <m/>
    <m/>
    <s v=""/>
    <n v="0"/>
    <n v="0"/>
    <s v=""/>
    <m/>
    <m/>
    <s v=""/>
    <s v=""/>
    <s v=""/>
    <s v=""/>
    <s v=""/>
    <m/>
    <m/>
    <n v="0"/>
    <n v="0"/>
    <n v="0"/>
    <m/>
    <m/>
    <n v="84.88"/>
    <s v=""/>
    <s v=""/>
    <n v="0"/>
    <n v="0"/>
    <n v="0.79754341380770855"/>
    <n v="40"/>
    <s v="assignment"/>
    <n v="40"/>
    <s v="free money"/>
    <s v="CCs"/>
    <s v=""/>
    <m/>
    <m/>
    <m/>
    <s v=""/>
    <s v=""/>
    <n v="38.229999999999997"/>
    <n v="35.553899999999992"/>
    <m/>
    <d v="2022-11-15T00:00:00"/>
    <n v="44.8"/>
    <n v="57.4"/>
    <n v="40.299999999999997"/>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n v="3"/>
    <s v=""/>
    <s v=""/>
    <n v="0"/>
    <n v="0"/>
    <n v="0"/>
    <n v="-3"/>
    <s v=""/>
    <m/>
    <n v="0"/>
    <m/>
    <m/>
    <s v=""/>
    <s v=""/>
    <s v=""/>
    <m/>
    <s v=""/>
    <n v="47.22"/>
    <n v="0"/>
    <s v=""/>
    <s v=""/>
    <n v="0"/>
    <s v=""/>
    <s v=""/>
    <e v="#DIV/0!"/>
    <s v=""/>
    <s v=""/>
    <s v=""/>
    <s v=""/>
    <s v=""/>
    <s v=""/>
    <s v=""/>
    <s v=""/>
    <s v=""/>
    <s v=""/>
    <s v=""/>
    <m/>
    <n v="0"/>
    <n v="80.635999999999996"/>
    <n v="92.078999999999994"/>
    <m/>
    <m/>
    <n v="0"/>
    <s v=""/>
    <n v="0"/>
    <s v=""/>
    <s v="{42C737A1-3D2E-44D6-AF7D-D84606B15ED2}"/>
    <s v=""/>
    <s v=""/>
    <s v=""/>
    <s v=""/>
    <s v=""/>
    <s v=""/>
    <s v=""/>
    <s v=""/>
    <s v=""/>
    <s v=""/>
    <x v="0"/>
    <s v=""/>
  </r>
  <r>
    <s v="AEP"/>
    <n v="102.5127"/>
    <m/>
    <n v="87.135794999999987"/>
    <x v="12"/>
    <x v="5"/>
    <m/>
    <m/>
    <m/>
    <m/>
    <m/>
    <m/>
    <m/>
    <m/>
    <m/>
    <m/>
    <m/>
    <m/>
    <m/>
    <d v="2022-07-28T06:55:00"/>
    <d v="2022-07-28T06:55:00"/>
    <m/>
    <m/>
    <m/>
    <m/>
    <m/>
    <m/>
    <m/>
    <m/>
    <s v=""/>
    <n v="0"/>
    <n v="0"/>
    <s v=""/>
    <m/>
    <m/>
    <s v=""/>
    <s v=""/>
    <s v=""/>
    <s v=""/>
    <s v=""/>
    <n v="2.2400000000000002"/>
    <d v="2016-09-10T00:00:00"/>
    <n v="0"/>
    <n v="0"/>
    <n v="2.1850951150442825E-2"/>
    <d v="2016-08-04T00:00:00"/>
    <m/>
    <n v="91.89"/>
    <s v=""/>
    <s v=""/>
    <n v="0"/>
    <n v="0"/>
    <n v="-0.10362325838652182"/>
    <m/>
    <m/>
    <m/>
    <m/>
    <m/>
    <s v=""/>
    <m/>
    <m/>
    <m/>
    <s v=""/>
    <s v=""/>
    <m/>
    <s v=""/>
    <m/>
    <d v="2016-02-05T00:00:00"/>
    <n v="60"/>
    <n v="66.7"/>
    <n v="56.7"/>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7.29549999999999"/>
    <n v="199.89976499999997"/>
    <m/>
    <m/>
    <n v="0"/>
    <s v=""/>
    <n v="0"/>
    <s v=""/>
    <s v="{823949A0-9E8B-48C6-91C5-1009C20DB64E}"/>
    <s v=""/>
    <s v=""/>
    <s v=""/>
    <s v=""/>
    <s v=""/>
    <s v=""/>
    <s v=""/>
    <s v=""/>
    <s v=""/>
    <s v=""/>
    <x v="0"/>
    <s v=""/>
  </r>
  <r>
    <s v="AFRM"/>
    <n v="123.7"/>
    <s v="Swing"/>
    <n v="105.145"/>
    <x v="8"/>
    <x v="3"/>
    <m/>
    <m/>
    <m/>
    <m/>
    <m/>
    <m/>
    <m/>
    <m/>
    <m/>
    <m/>
    <m/>
    <m/>
    <s v="BEARISH"/>
    <d v="2022-08-11T16:05:00"/>
    <d v="2022-08-11T16:05:00"/>
    <m/>
    <m/>
    <m/>
    <m/>
    <m/>
    <m/>
    <m/>
    <m/>
    <s v=""/>
    <n v="0"/>
    <n v="0"/>
    <s v=""/>
    <m/>
    <m/>
    <s v=""/>
    <s v=""/>
    <s v=""/>
    <s v=""/>
    <s v=""/>
    <m/>
    <m/>
    <n v="0"/>
    <n v="0"/>
    <n v="0"/>
    <m/>
    <m/>
    <n v="90.31"/>
    <s v=""/>
    <s v=""/>
    <n v="0"/>
    <n v="0"/>
    <n v="-0.26992724333063867"/>
    <n v="110"/>
    <s v="ITM"/>
    <n v="100"/>
    <s v="max gain"/>
    <s v="BuPS"/>
    <s v=""/>
    <m/>
    <m/>
    <m/>
    <s v=""/>
    <s v=""/>
    <n v="1.7"/>
    <n v="1.581"/>
    <m/>
    <d v="2021-09-09T00:00:00"/>
    <n v="73.5"/>
    <n v="127.4"/>
    <n v="56.2"/>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5.794499999999999"/>
    <n v="241.215"/>
    <m/>
    <m/>
    <n v="0"/>
    <s v=""/>
    <n v="0"/>
    <s v=""/>
    <m/>
    <s v=""/>
    <s v=""/>
    <s v=""/>
    <s v=""/>
    <s v=""/>
    <s v=""/>
    <s v=""/>
    <s v=""/>
    <s v=""/>
    <s v=""/>
    <x v="0"/>
    <s v=""/>
  </r>
  <r>
    <s v="SHOP"/>
    <n v="43.16"/>
    <s v="Swing"/>
    <n v="36.685999999999993"/>
    <x v="13"/>
    <x v="3"/>
    <m/>
    <m/>
    <m/>
    <m/>
    <m/>
    <m/>
    <m/>
    <m/>
    <m/>
    <m/>
    <m/>
    <m/>
    <s v="BULLISH"/>
    <d v="2023-01-26T00:00:00"/>
    <d v="2023-01-26T00:00:00"/>
    <m/>
    <m/>
    <m/>
    <m/>
    <m/>
    <m/>
    <m/>
    <m/>
    <s v=""/>
    <n v="0"/>
    <n v="0"/>
    <s v=""/>
    <n v="2000"/>
    <n v="1445"/>
    <s v=""/>
    <s v=""/>
    <s v=""/>
    <s v=""/>
    <s v=""/>
    <m/>
    <m/>
    <n v="0"/>
    <n v="0"/>
    <n v="0"/>
    <m/>
    <m/>
    <n v="40.65"/>
    <s v=""/>
    <s v=""/>
    <n v="0"/>
    <n v="0"/>
    <n v="-5.8155699721964743E-2"/>
    <n v="40.5"/>
    <s v="free money"/>
    <n v="40.5"/>
    <s v="Assignment"/>
    <s v="SPs"/>
    <s v=""/>
    <m/>
    <m/>
    <m/>
    <s v=""/>
    <s v=""/>
    <n v="39.51"/>
    <n v="36.744299999999996"/>
    <m/>
    <d v="2022-11-29T00:00:00"/>
    <n v="33.4"/>
    <n v="50.2"/>
    <n v="28.2"/>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6175"/>
    <n v="84.161999999999992"/>
    <m/>
    <m/>
    <n v="0"/>
    <s v=""/>
    <n v="0"/>
    <s v=""/>
    <s v="{D7F37803-D6CA-45CE-8BB0-CDDA76875C2A}"/>
    <s v=""/>
    <s v=""/>
    <s v=""/>
    <s v=""/>
    <s v=""/>
    <s v=""/>
    <s v=""/>
    <s v=""/>
    <s v=""/>
    <s v=""/>
    <x v="0"/>
    <s v=""/>
  </r>
  <r>
    <s v="CCJ"/>
    <n v="23.484999999999999"/>
    <s v="Swing"/>
    <n v="19.962249999999997"/>
    <x v="14"/>
    <x v="6"/>
    <m/>
    <m/>
    <m/>
    <m/>
    <m/>
    <m/>
    <m/>
    <m/>
    <m/>
    <m/>
    <m/>
    <m/>
    <s v="BULLISH"/>
    <d v="2023-01-26T00:00:00"/>
    <d v="2023-01-26T00:00:00"/>
    <m/>
    <m/>
    <m/>
    <m/>
    <m/>
    <m/>
    <m/>
    <m/>
    <s v=""/>
    <n v="0"/>
    <n v="0"/>
    <s v=""/>
    <n v="38"/>
    <n v="28.2"/>
    <s v=""/>
    <s v=""/>
    <s v=""/>
    <s v=""/>
    <s v=""/>
    <m/>
    <m/>
    <n v="0"/>
    <n v="0"/>
    <n v="0"/>
    <m/>
    <m/>
    <n v="26.5"/>
    <s v=""/>
    <s v=""/>
    <n v="0"/>
    <n v="0"/>
    <n v="0.12837981690440708"/>
    <m/>
    <m/>
    <m/>
    <m/>
    <m/>
    <s v=""/>
    <m/>
    <m/>
    <m/>
    <s v=""/>
    <s v=""/>
    <n v="23.02"/>
    <n v="21.4086"/>
    <m/>
    <d v="2022-11-28T00:00:00"/>
    <n v="23.72"/>
    <n v="24.86"/>
    <n v="21.91"/>
    <s v="LTD DEC"/>
    <s v="BULLISH"/>
    <m/>
    <s v=""/>
    <m/>
    <m/>
    <m/>
    <m/>
    <m/>
    <m/>
    <n v="0"/>
    <n v="0"/>
    <m/>
    <s v=""/>
    <s v=""/>
    <m/>
    <m/>
    <m/>
    <m/>
    <m/>
    <m/>
    <n v="0"/>
    <s v=""/>
    <s v=""/>
    <s v=""/>
    <s v=""/>
    <n v="0"/>
    <s v=""/>
    <n v="0"/>
    <m/>
    <n v="0"/>
    <s v=""/>
    <s v=""/>
    <s v=""/>
    <m/>
    <n v="0"/>
    <m/>
    <s v=""/>
    <s v=""/>
    <s v=""/>
    <m/>
    <s v=""/>
    <s v=""/>
    <s v=""/>
    <s v=""/>
    <s v=""/>
    <m/>
    <m/>
    <s v=""/>
    <s v=""/>
    <s v=""/>
    <s v=""/>
    <m/>
    <m/>
    <m/>
    <m/>
    <m/>
    <m/>
    <n v="0"/>
    <s v=""/>
    <s v=""/>
    <m/>
    <s v=""/>
    <s v=""/>
    <s v=""/>
    <s v=""/>
    <s v=""/>
    <s v=""/>
    <s v=""/>
    <m/>
    <s v=""/>
    <m/>
    <s v=""/>
    <s v=""/>
    <s v=""/>
    <s v=""/>
    <m/>
    <m/>
    <m/>
    <m/>
    <m/>
    <m/>
    <m/>
    <m/>
    <s v=""/>
    <n v="0"/>
    <n v="0"/>
    <n v="0"/>
    <n v="0"/>
    <s v=""/>
    <m/>
    <n v="0"/>
    <m/>
    <m/>
    <s v=""/>
    <s v=""/>
    <s v=""/>
    <m/>
    <s v=""/>
    <n v="0"/>
    <n v="0"/>
    <s v=""/>
    <s v=""/>
    <s v=""/>
    <s v=""/>
    <s v=""/>
    <s v=""/>
    <s v=""/>
    <s v=""/>
    <s v=""/>
    <s v=""/>
    <s v=""/>
    <s v=""/>
    <s v=""/>
    <s v=""/>
    <s v=""/>
    <s v=""/>
    <s v=""/>
    <m/>
    <n v="0"/>
    <n v="25.174999999999997"/>
    <n v="45.795749999999998"/>
    <m/>
    <m/>
    <n v="0"/>
    <s v=""/>
    <n v="0"/>
    <s v=""/>
    <s v="{C47D2ABF-C71B-4D3E-A879-2D7D4732A983}"/>
    <s v=""/>
    <s v=""/>
    <s v=""/>
    <s v=""/>
    <s v=""/>
    <s v=""/>
    <s v=""/>
    <s v=""/>
    <s v=""/>
    <s v=""/>
    <x v="0"/>
    <s v=""/>
  </r>
  <r>
    <s v="AGN"/>
    <n v="193.02"/>
    <s v="LT"/>
    <n v="164.06700000000001"/>
    <x v="11"/>
    <x v="0"/>
    <s v="Six &quot;star&quot; pipeline drugs, five of which are now in phase three trials. Growth potential from medical aesthetic products with only 10% of estimated market currently engaged, and upswings in interest from millennials &amp; men. Dog Kass is buying it"/>
    <s v="TEVA stake has been a drag and is driving action downward with lockup period only just expired."/>
    <m/>
    <s v="Bearish_x000a_20-d is down trending for 12 bars with price below both the 20-d, 50-d and 100-d"/>
    <s v="Bearish_x000a_NO divergence._x000a_Histogram below center, MACD below signal line_x000a_"/>
    <s v="Bearish_x000a_M: Sell W: Sell, D: Sell"/>
    <s v="Bearish_x000a_M: Red, W: Red, D: Red"/>
    <s v="Very Oversold_x000a_%K crossed below 20 last Wednesday"/>
    <s v="Good"/>
    <s v="Below Average"/>
    <s v="175 Calls"/>
    <m/>
    <s v="BULLISH"/>
    <d v="2022-07-28T17:00:00"/>
    <d v="2022-07-28T17:00:00"/>
    <m/>
    <s v="ABBV takeover"/>
    <d v="2020-03-15T00:00:00"/>
    <m/>
    <m/>
    <m/>
    <m/>
    <m/>
    <s v=""/>
    <n v="0"/>
    <n v="0"/>
    <s v=""/>
    <m/>
    <m/>
    <s v=""/>
    <s v=""/>
    <s v=""/>
    <s v=""/>
    <s v=""/>
    <n v="2.88"/>
    <d v="2017-09-15T00:00:00"/>
    <n v="0"/>
    <n v="0"/>
    <n v="1.4920733602735466E-2"/>
    <d v="2019-11-13T00:00:00"/>
    <n v="205"/>
    <n v="9.5399999999999991"/>
    <n v="6.2066107139156508E-2"/>
    <s v=""/>
    <n v="0"/>
    <n v="0"/>
    <n v="-0.95057506994093877"/>
    <n v="8"/>
    <s v="assignment"/>
    <n v="8"/>
    <s v="free money"/>
    <s v="CCs"/>
    <s v=""/>
    <m/>
    <m/>
    <m/>
    <s v=""/>
    <s v=""/>
    <m/>
    <s v=""/>
    <m/>
    <d v="2020-03-16T00:00:00"/>
    <n v="191.62700000000001"/>
    <n v="197.84299999999999"/>
    <n v="184.453"/>
    <s v="RANG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9.0629999999999988"/>
    <n v="376.38900000000001"/>
    <m/>
    <m/>
    <n v="0"/>
    <s v=""/>
    <n v="0"/>
    <s v=""/>
    <s v="{71E300A2-5687-4B14-A62E-A87823414EDB}"/>
    <s v=""/>
    <s v=""/>
    <s v=""/>
    <s v=""/>
    <s v=""/>
    <s v=""/>
    <s v=""/>
    <s v=""/>
    <s v=""/>
    <s v=""/>
    <x v="0"/>
    <s v=""/>
  </r>
  <r>
    <s v="AIG"/>
    <n v="52.42"/>
    <m/>
    <n v="44.557000000000002"/>
    <x v="15"/>
    <x v="7"/>
    <s v="Undervalued PE should catch up this year"/>
    <s v="interest rates are too low"/>
    <m/>
    <s v="UP"/>
    <s v="CONVERGE"/>
    <s v="UP"/>
    <s v="UP"/>
    <s v="Over 80"/>
    <s v="UP"/>
    <s v="HIGH"/>
    <m/>
    <m/>
    <m/>
    <d v="2022-08-02T16:15:00"/>
    <d v="2022-08-02T16:15:00"/>
    <m/>
    <m/>
    <m/>
    <m/>
    <m/>
    <m/>
    <m/>
    <m/>
    <s v=""/>
    <n v="0"/>
    <n v="0"/>
    <s v=""/>
    <m/>
    <m/>
    <s v=""/>
    <s v=""/>
    <s v=""/>
    <s v=""/>
    <s v=""/>
    <n v="1.28"/>
    <d v="2016-03-21T00:00:00"/>
    <n v="0"/>
    <n v="0"/>
    <n v="2.4418161007249143E-2"/>
    <d v="2015-12-01T00:00:00"/>
    <m/>
    <n v="42.8"/>
    <s v=""/>
    <s v=""/>
    <n v="0"/>
    <n v="0"/>
    <n v="-0.1835177413201069"/>
    <n v="8"/>
    <s v="assignment"/>
    <n v="8"/>
    <s v="free money"/>
    <s v="CCs"/>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40.659999999999997"/>
    <n v="102.21899999999999"/>
    <m/>
    <m/>
    <n v="0"/>
    <s v=""/>
    <n v="0"/>
    <s v=""/>
    <s v="{27EAF4E1-EF9F-462F-9B0A-38D968424E38}"/>
    <s v=""/>
    <s v=""/>
    <s v=""/>
    <s v=""/>
    <s v=""/>
    <s v=""/>
    <s v=""/>
    <s v=""/>
    <s v=""/>
    <s v=""/>
    <x v="0"/>
    <s v=""/>
  </r>
  <r>
    <s v="AMAT"/>
    <n v="61.6"/>
    <m/>
    <n v="52.36"/>
    <x v="16"/>
    <x v="3"/>
    <m/>
    <m/>
    <m/>
    <m/>
    <m/>
    <m/>
    <m/>
    <m/>
    <m/>
    <m/>
    <m/>
    <m/>
    <m/>
    <d v="2022-08-18T16:00:00"/>
    <d v="2022-08-18T16:00:00"/>
    <m/>
    <m/>
    <m/>
    <m/>
    <m/>
    <m/>
    <m/>
    <m/>
    <s v=""/>
    <n v="0"/>
    <n v="0"/>
    <s v=""/>
    <m/>
    <m/>
    <s v=""/>
    <s v=""/>
    <s v=""/>
    <s v=""/>
    <s v=""/>
    <m/>
    <m/>
    <n v="0"/>
    <n v="0"/>
    <n v="0"/>
    <m/>
    <m/>
    <n v="115.32"/>
    <s v=""/>
    <s v=""/>
    <n v="0"/>
    <n v="0"/>
    <n v="0.8720779220779219"/>
    <n v="8"/>
    <s v="assignment"/>
    <n v="8"/>
    <s v="free money"/>
    <s v="CCs"/>
    <s v=""/>
    <m/>
    <m/>
    <m/>
    <s v=""/>
    <s v=""/>
    <m/>
    <s v=""/>
    <m/>
    <d v="2018-07-13T00:00:00"/>
    <n v="43.9"/>
    <n v="49.9"/>
    <n v="41.9"/>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9.55399999999999"/>
    <n v="120.12"/>
    <m/>
    <m/>
    <n v="0"/>
    <s v=""/>
    <n v="0"/>
    <s v=""/>
    <s v="{A7F1FC24-F58D-4086-8DAF-411A6BA77975}"/>
    <s v=""/>
    <s v=""/>
    <s v=""/>
    <s v=""/>
    <s v=""/>
    <s v=""/>
    <s v=""/>
    <s v=""/>
    <s v=""/>
    <m/>
    <x v="0"/>
    <s v=""/>
  </r>
  <r>
    <s v="CL"/>
    <n v="74.319999999999993"/>
    <m/>
    <n v="63.17199999999999"/>
    <x v="17"/>
    <x v="4"/>
    <m/>
    <m/>
    <m/>
    <m/>
    <m/>
    <m/>
    <m/>
    <m/>
    <m/>
    <m/>
    <m/>
    <m/>
    <m/>
    <d v="2022-07-20T06:55:00"/>
    <d v="2022-07-20T06:55:00"/>
    <s v="Confirmed"/>
    <m/>
    <m/>
    <n v="1"/>
    <m/>
    <m/>
    <m/>
    <m/>
    <s v=""/>
    <n v="0"/>
    <n v="0"/>
    <s v=""/>
    <m/>
    <m/>
    <s v=""/>
    <s v=""/>
    <s v=""/>
    <s v=""/>
    <s v=""/>
    <m/>
    <m/>
    <n v="0"/>
    <n v="0"/>
    <n v="0"/>
    <m/>
    <n v="77"/>
    <n v="75.69"/>
    <n v="3.6060279870828944E-2"/>
    <s v=""/>
    <n v="0"/>
    <n v="0"/>
    <n v="1.8433799784714811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1.905499999999989"/>
    <n v="144.92399999999998"/>
    <m/>
    <m/>
    <n v="0"/>
    <s v=""/>
    <n v="0"/>
    <s v=""/>
    <m/>
    <s v=""/>
    <s v=""/>
    <s v=""/>
    <s v=""/>
    <s v=""/>
    <s v=""/>
    <s v=""/>
    <s v=""/>
    <s v=""/>
    <s v=""/>
    <x v="0"/>
    <s v=""/>
  </r>
  <r>
    <s v="AMGN"/>
    <n v="253.32"/>
    <m/>
    <n v="215.322"/>
    <x v="2"/>
    <x v="2"/>
    <m/>
    <m/>
    <m/>
    <m/>
    <m/>
    <m/>
    <m/>
    <m/>
    <m/>
    <m/>
    <m/>
    <m/>
    <s v="BULLISH"/>
    <d v="2022-07-27T16:00:00"/>
    <d v="2022-07-27T16:00:00"/>
    <m/>
    <m/>
    <m/>
    <m/>
    <m/>
    <m/>
    <m/>
    <m/>
    <s v=""/>
    <n v="0"/>
    <n v="0"/>
    <s v=""/>
    <m/>
    <m/>
    <s v=""/>
    <s v=""/>
    <s v=""/>
    <s v=""/>
    <s v=""/>
    <n v="4"/>
    <d v="2016-09-08T00:00:00"/>
    <n v="0"/>
    <n v="0"/>
    <n v="1.5790304752881731E-2"/>
    <d v="2019-11-14T00:00:00"/>
    <n v="220"/>
    <n v="254.2"/>
    <n v="-0.13153323859150479"/>
    <s v=""/>
    <n v="0"/>
    <n v="0"/>
    <n v="3.473867045633963E-3"/>
    <n v="8"/>
    <s v="assignment"/>
    <n v="8"/>
    <s v="free money"/>
    <s v="CCs"/>
    <s v=""/>
    <m/>
    <m/>
    <m/>
    <s v=""/>
    <s v=""/>
    <m/>
    <s v=""/>
    <m/>
    <d v="2019-08-20T00:00:00"/>
    <n v="194.8"/>
    <n v="227.1"/>
    <n v="183.2"/>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1.48999999999998"/>
    <n v="493.97399999999999"/>
    <m/>
    <m/>
    <n v="0"/>
    <s v=""/>
    <n v="0"/>
    <s v=""/>
    <s v="{40DED7F4-898A-43BF-84BE-747181E0235A}"/>
    <s v=""/>
    <s v=""/>
    <s v=""/>
    <s v=""/>
    <s v=""/>
    <s v=""/>
    <s v=""/>
    <s v=""/>
    <s v=""/>
    <m/>
    <x v="0"/>
    <s v=""/>
  </r>
  <r>
    <s v="COST"/>
    <n v="384.75"/>
    <s v="LT"/>
    <n v="327.03749999999997"/>
    <x v="18"/>
    <x v="8"/>
    <s v="back to school season"/>
    <s v="AMZN puts doubt into premium multiple "/>
    <m/>
    <s v="Mixed_x000a_20-d flat but stopped it's down trend and price is just above it as of last two bars. 20-d is still below the 100-d"/>
    <s v="Mixed_x000a_NO divergence._x000a_Histogram shows upward momentum diminishing but signal lines are ascending_x000a_"/>
    <s v="Bearish_x000a_M: Sell, W: Sell, D: Sell"/>
    <s v="Mixed_x000a_M: Red W: Blue D: Blue"/>
    <s v="Neutral"/>
    <s v="Poor"/>
    <s v="Below Avg_x000a_Strengthening"/>
    <s v="** Fidelity TA suggests good shot for push towards mid 160's. If so, buying back  Aug 25 cc's for $700 or better would still see profit of them and open door for potential $5k or better gain. Certainly if bad news on Korea has market tank and can buy back for $350 or better than go for it."/>
    <d v="2017-08-12T10:22:36"/>
    <s v="RANGE"/>
    <d v="2022-08-25T16:15:00"/>
    <d v="2022-08-25T16:15:00"/>
    <m/>
    <s v="sales report"/>
    <d v="2021-05-31T00:00:00"/>
    <n v="1"/>
    <m/>
    <m/>
    <m/>
    <m/>
    <s v=""/>
    <n v="0"/>
    <n v="0"/>
    <s v=""/>
    <m/>
    <m/>
    <m/>
    <m/>
    <m/>
    <m/>
    <m/>
    <n v="2.6"/>
    <d v="2020-05-21T00:00:00"/>
    <n v="0"/>
    <n v="0"/>
    <n v="6.7576348278102667E-3"/>
    <m/>
    <n v="350"/>
    <n v="400.37"/>
    <n v="-9.0318388564002594E-2"/>
    <s v=""/>
    <n v="0"/>
    <n v="0"/>
    <n v="4.0597790773229385E-2"/>
    <n v="350"/>
    <s v="assignment"/>
    <n v="350"/>
    <s v="free money"/>
    <s v="CCs"/>
    <m/>
    <m/>
    <m/>
    <m/>
    <s v=""/>
    <s v=""/>
    <n v="304.72000000000003"/>
    <n v="283.38960000000003"/>
    <m/>
    <d v="2021-06-14T00:00:00"/>
    <n v="372"/>
    <n v="404"/>
    <n v="360"/>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0.35149999999999"/>
    <n v="750.26249999999993"/>
    <m/>
    <n v="123.88"/>
    <n v="0"/>
    <s v=""/>
    <n v="0"/>
    <s v=""/>
    <s v="{318D19CE-5CD8-4B92-956F-D40D8C0FF4B3}"/>
    <s v=""/>
    <s v=""/>
    <s v=""/>
    <s v=""/>
    <s v=""/>
    <s v=""/>
    <s v=""/>
    <s v=""/>
    <s v=""/>
    <s v=""/>
    <x v="0"/>
    <s v=""/>
  </r>
  <r>
    <s v="ANGI"/>
    <n v="12.19"/>
    <s v="Swing"/>
    <n v="10.361499999999999"/>
    <x v="19"/>
    <x v="9"/>
    <m/>
    <m/>
    <m/>
    <m/>
    <m/>
    <m/>
    <m/>
    <m/>
    <m/>
    <m/>
    <m/>
    <m/>
    <m/>
    <d v="2022-08-08T16:10:00"/>
    <d v="2022-08-08T16:10:00"/>
    <m/>
    <m/>
    <m/>
    <m/>
    <m/>
    <m/>
    <m/>
    <m/>
    <s v=""/>
    <n v="0"/>
    <n v="0"/>
    <s v=""/>
    <m/>
    <m/>
    <s v=""/>
    <s v=""/>
    <s v=""/>
    <s v=""/>
    <s v=""/>
    <m/>
    <m/>
    <n v="0"/>
    <n v="0"/>
    <n v="0"/>
    <m/>
    <m/>
    <n v="16.04"/>
    <s v=""/>
    <s v=""/>
    <n v="0"/>
    <n v="0"/>
    <n v="0.31583264971287939"/>
    <n v="8"/>
    <s v="assignment"/>
    <n v="8"/>
    <s v="free money"/>
    <s v="CCs"/>
    <s v=""/>
    <m/>
    <m/>
    <m/>
    <s v=""/>
    <s v=""/>
    <m/>
    <s v=""/>
    <m/>
    <d v="2021-01-11T00:00:00"/>
    <n v="12.75"/>
    <n v="15.39"/>
    <n v="11.6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237999999999998"/>
    <n v="23.770499999999998"/>
    <m/>
    <m/>
    <n v="0"/>
    <s v=""/>
    <n v="0"/>
    <s v=""/>
    <m/>
    <s v=""/>
    <s v=""/>
    <s v=""/>
    <s v=""/>
    <s v=""/>
    <s v=""/>
    <s v=""/>
    <s v=""/>
    <s v=""/>
    <s v=""/>
    <x v="0"/>
    <s v=""/>
  </r>
  <r>
    <s v="APA"/>
    <n v="46"/>
    <m/>
    <n v="39.1"/>
    <x v="20"/>
    <x v="6"/>
    <m/>
    <m/>
    <m/>
    <m/>
    <m/>
    <m/>
    <m/>
    <m/>
    <m/>
    <m/>
    <m/>
    <m/>
    <s v="BULLISH"/>
    <d v="2022-08-03T17:00:00"/>
    <d v="2022-08-03T17:00:00"/>
    <m/>
    <m/>
    <m/>
    <m/>
    <m/>
    <m/>
    <m/>
    <m/>
    <s v=""/>
    <n v="0"/>
    <n v="0"/>
    <s v=""/>
    <n v="65"/>
    <n v="43.8"/>
    <s v=""/>
    <s v=""/>
    <s v=""/>
    <s v=""/>
    <s v=""/>
    <n v="1"/>
    <d v="2017-05-22T00:00:00"/>
    <n v="0"/>
    <n v="0"/>
    <n v="2.1739130434782608E-2"/>
    <d v="2017-04-14T00:00:00"/>
    <n v="60"/>
    <n v="56.04"/>
    <n v="0.30434782608695654"/>
    <s v=""/>
    <n v="0"/>
    <n v="0"/>
    <n v="0.21826086956521737"/>
    <n v="8"/>
    <s v="assignment"/>
    <n v="8"/>
    <s v="free money"/>
    <s v="CCs"/>
    <s v=""/>
    <m/>
    <m/>
    <m/>
    <s v=""/>
    <s v=""/>
    <n v="45.67"/>
    <n v="42.473100000000002"/>
    <m/>
    <d v="2022-06-13T00:00:00"/>
    <n v="42.9"/>
    <n v="61.1"/>
    <n v="36.9"/>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3.238"/>
    <n v="89.7"/>
    <m/>
    <m/>
    <n v="0"/>
    <s v=""/>
    <n v="0"/>
    <s v=""/>
    <s v="{53606FE8-5E18-4E76-B8E4-5E14C3EB7BF0}"/>
    <s v=""/>
    <s v=""/>
    <s v=""/>
    <s v=""/>
    <s v=""/>
    <s v=""/>
    <s v=""/>
    <s v=""/>
    <s v=""/>
    <s v=""/>
    <x v="0"/>
    <s v=""/>
  </r>
  <r>
    <s v="APC"/>
    <n v="72.77"/>
    <m/>
    <n v="61.854499999999994"/>
    <x v="20"/>
    <x v="6"/>
    <s v="above avg production growth, asset sales, shareholder buybacks"/>
    <m/>
    <m/>
    <m/>
    <m/>
    <m/>
    <m/>
    <m/>
    <m/>
    <m/>
    <m/>
    <m/>
    <m/>
    <d v="2022-08-03T17:00:00"/>
    <d v="2022-08-03T17:00:00"/>
    <m/>
    <m/>
    <m/>
    <m/>
    <m/>
    <m/>
    <m/>
    <m/>
    <m/>
    <n v="0"/>
    <n v="0"/>
    <s v=""/>
    <m/>
    <m/>
    <s v=""/>
    <s v=""/>
    <s v=""/>
    <s v=""/>
    <s v=""/>
    <n v="0.2"/>
    <d v="2016-03-23T00:00:00"/>
    <n v="0"/>
    <n v="0"/>
    <n v="2.7483853236223723E-3"/>
    <d v="2015-12-03T00:00:00"/>
    <n v="65"/>
    <n v="19.61"/>
    <n v="-0.1067747698227291"/>
    <s v=""/>
    <n v="0"/>
    <n v="0"/>
    <n v="-0.73052081901882648"/>
    <n v="8"/>
    <s v="assignment"/>
    <n v="8"/>
    <s v="free money"/>
    <s v="CCs"/>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18.6295"/>
    <n v="141.9015"/>
    <m/>
    <m/>
    <n v="0"/>
    <s v=""/>
    <n v="0"/>
    <s v=""/>
    <s v="{80D290A3-419D-4202-850C-484E3D0F82CD}"/>
    <s v=""/>
    <s v=""/>
    <s v=""/>
    <s v=""/>
    <s v=""/>
    <s v=""/>
    <s v=""/>
    <s v=""/>
    <s v=""/>
    <s v=""/>
    <x v="0"/>
    <s v=""/>
  </r>
  <r>
    <s v="ARE"/>
    <n v="145.32"/>
    <m/>
    <n v="123.52199999999999"/>
    <x v="21"/>
    <x v="10"/>
    <m/>
    <m/>
    <m/>
    <m/>
    <m/>
    <m/>
    <m/>
    <m/>
    <m/>
    <m/>
    <m/>
    <m/>
    <m/>
    <d v="2022-07-25T16:10:00"/>
    <d v="2022-07-25T16:10:00"/>
    <s v="Confirmed"/>
    <m/>
    <m/>
    <m/>
    <m/>
    <m/>
    <m/>
    <m/>
    <s v=""/>
    <n v="0"/>
    <n v="0"/>
    <s v=""/>
    <m/>
    <m/>
    <s v=""/>
    <s v=""/>
    <s v=""/>
    <s v=""/>
    <s v=""/>
    <n v="3.08"/>
    <d v="2016-04-15T00:00:00"/>
    <n v="0"/>
    <n v="0"/>
    <n v="2.1194605009633914E-2"/>
    <d v="2015-12-25T00:00:00"/>
    <m/>
    <n v="192.38"/>
    <s v=""/>
    <s v=""/>
    <n v="0"/>
    <n v="0"/>
    <n v="0.32383704927057533"/>
    <n v="8"/>
    <s v="assignment"/>
    <n v="8"/>
    <s v="free money"/>
    <s v="CCs"/>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2.761"/>
    <n v="283.37399999999997"/>
    <m/>
    <m/>
    <n v="0"/>
    <s v=""/>
    <n v="0"/>
    <s v=""/>
    <s v="{AF6FA183-A7A4-421A-A675-08B218E3866A}"/>
    <s v=""/>
    <s v=""/>
    <s v=""/>
    <s v=""/>
    <s v=""/>
    <s v=""/>
    <s v=""/>
    <s v=""/>
    <s v=""/>
    <s v=""/>
    <x v="0"/>
    <s v=""/>
  </r>
  <r>
    <s v="ARNC"/>
    <n v="25.22"/>
    <m/>
    <n v="21.436999999999998"/>
    <x v="22"/>
    <x v="11"/>
    <m/>
    <m/>
    <m/>
    <m/>
    <m/>
    <m/>
    <m/>
    <m/>
    <m/>
    <m/>
    <m/>
    <m/>
    <s v="BULLISH"/>
    <d v="2022-08-02T06:45:00"/>
    <d v="2022-08-02T06:45:00"/>
    <m/>
    <m/>
    <m/>
    <m/>
    <m/>
    <m/>
    <m/>
    <m/>
    <s v=""/>
    <n v="0"/>
    <n v="0"/>
    <s v=""/>
    <m/>
    <m/>
    <s v=""/>
    <s v=""/>
    <s v=""/>
    <s v=""/>
    <s v=""/>
    <n v="0.24"/>
    <d v="2017-08-25T00:00:00"/>
    <n v="0"/>
    <n v="0"/>
    <n v="9.5162569389373522E-3"/>
    <d v="2017-11-01T00:00:00"/>
    <n v="31"/>
    <n v="36.33"/>
    <n v="0.22918318794607459"/>
    <s v=""/>
    <n v="0"/>
    <n v="0"/>
    <n v="0.44052339413164154"/>
    <n v="8"/>
    <s v="assignment"/>
    <n v="8"/>
    <s v="free money"/>
    <s v="CCs"/>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4.513499999999993"/>
    <n v="49.178999999999995"/>
    <m/>
    <m/>
    <n v="0"/>
    <s v=""/>
    <n v="0"/>
    <s v=""/>
    <s v="{486E9EC1-1D7A-417B-B2A6-60ED729CBB41}"/>
    <s v=""/>
    <s v=""/>
    <s v=""/>
    <s v=""/>
    <s v=""/>
    <s v=""/>
    <s v=""/>
    <s v=""/>
    <s v=""/>
    <s v=""/>
    <x v="0"/>
    <s v=""/>
  </r>
  <r>
    <s v="ARWR"/>
    <n v="29.05"/>
    <m/>
    <n v="24.692499999999999"/>
    <x v="23"/>
    <x v="2"/>
    <m/>
    <m/>
    <m/>
    <m/>
    <m/>
    <m/>
    <m/>
    <m/>
    <m/>
    <m/>
    <m/>
    <m/>
    <s v="BULLISH"/>
    <d v="2022-08-09T16:00:00"/>
    <d v="2022-08-09T16:00:00"/>
    <m/>
    <m/>
    <m/>
    <m/>
    <m/>
    <m/>
    <m/>
    <m/>
    <s v=""/>
    <n v="0"/>
    <n v="0"/>
    <s v=""/>
    <m/>
    <m/>
    <s v=""/>
    <s v=""/>
    <s v=""/>
    <s v=""/>
    <s v=""/>
    <m/>
    <m/>
    <n v="0"/>
    <n v="0"/>
    <n v="0"/>
    <m/>
    <m/>
    <n v="92.42"/>
    <s v=""/>
    <s v=""/>
    <n v="0"/>
    <n v="0"/>
    <n v="2.181411359724613"/>
    <n v="8"/>
    <s v="assignment"/>
    <n v="8"/>
    <s v="free money"/>
    <s v="CCs"/>
    <s v=""/>
    <m/>
    <m/>
    <m/>
    <s v=""/>
    <s v=""/>
    <n v="18"/>
    <n v="16.739999999999998"/>
    <m/>
    <d v="2019-05-15T00:00:00"/>
    <n v="18.91"/>
    <n v="19.91"/>
    <n v="17.91"/>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7.798999999999992"/>
    <n v="56.647500000000001"/>
    <m/>
    <m/>
    <n v="0"/>
    <s v=""/>
    <n v="0"/>
    <s v=""/>
    <s v="{37ABFC74-0411-4D6C-BB17-CA5DFB91336B}"/>
    <s v=""/>
    <s v=""/>
    <s v=""/>
    <s v=""/>
    <s v=""/>
    <s v=""/>
    <s v=""/>
    <s v=""/>
    <s v=""/>
    <s v=""/>
    <x v="0"/>
    <s v=""/>
  </r>
  <r>
    <s v="ATVI"/>
    <n v="84.19"/>
    <s v="MT"/>
    <n v="71.561499999999995"/>
    <x v="24"/>
    <x v="9"/>
    <s v="Successful launch of Overwatcch league. Deal with Amazon's Twitch est @ $90B for 2 yrs of streaming rights of eSports. Margin expansion as digital full-game download market increases. Potential should Blizzard content be released to mobile platform (fastest growing with estimated value of $46B according to Goldman."/>
    <s v="At top of envelope in all time frames."/>
    <m/>
    <m/>
    <m/>
    <m/>
    <m/>
    <m/>
    <m/>
    <m/>
    <s v="sell puts aand/or buy"/>
    <d v="2018-01-15T15:07:03"/>
    <s v="BULLISH"/>
    <d v="2022-07-25T07:30:00"/>
    <d v="2022-07-25T07:30:00"/>
    <m/>
    <m/>
    <m/>
    <m/>
    <m/>
    <m/>
    <m/>
    <m/>
    <s v=""/>
    <n v="0"/>
    <n v="0"/>
    <s v=""/>
    <m/>
    <m/>
    <s v=""/>
    <s v=""/>
    <s v=""/>
    <s v=""/>
    <s v=""/>
    <n v="1.44"/>
    <d v="2020-05-06T00:00:00"/>
    <n v="0"/>
    <n v="0"/>
    <n v="1.7104169141228174E-2"/>
    <d v="2020-04-14T00:00:00"/>
    <m/>
    <n v="111.48"/>
    <s v=""/>
    <s v=""/>
    <n v="0"/>
    <n v="0"/>
    <n v="0.32414776101674792"/>
    <n v="8"/>
    <s v="assignment"/>
    <n v="8"/>
    <s v="free money"/>
    <s v="CCs"/>
    <s v=""/>
    <m/>
    <m/>
    <m/>
    <m/>
    <m/>
    <m/>
    <s v=""/>
    <m/>
    <d v="2020-07-10T00:00:00"/>
    <n v="76.099999999999994"/>
    <n v="87"/>
    <n v="72.7"/>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5.90600000000001"/>
    <n v="164.1705"/>
    <m/>
    <m/>
    <n v="0"/>
    <s v=""/>
    <n v="0"/>
    <s v=""/>
    <s v="{5A3E5B99-14F3-477C-A8CB-79A396E3B1A3}"/>
    <s v=""/>
    <s v=""/>
    <s v=""/>
    <s v=""/>
    <s v=""/>
    <s v=""/>
    <s v=""/>
    <s v=""/>
    <s v=""/>
    <s v=""/>
    <x v="0"/>
    <s v=""/>
  </r>
  <r>
    <s v="CVS"/>
    <n v="66.39"/>
    <s v="CORE"/>
    <n v="56.4315"/>
    <x v="25"/>
    <x v="2"/>
    <m/>
    <m/>
    <m/>
    <m/>
    <m/>
    <m/>
    <m/>
    <m/>
    <m/>
    <m/>
    <m/>
    <m/>
    <s v="BULLISH"/>
    <d v="2022-08-03T06:30:00"/>
    <d v="2022-08-03T06:30:00"/>
    <m/>
    <m/>
    <m/>
    <n v="1"/>
    <b v="1"/>
    <n v="3"/>
    <m/>
    <m/>
    <s v=""/>
    <n v="0"/>
    <n v="0"/>
    <s v=""/>
    <n v="80"/>
    <n v="52.5"/>
    <s v=""/>
    <s v=""/>
    <s v=""/>
    <s v=""/>
    <s v=""/>
    <n v="2"/>
    <d v="2020-05-03T00:00:00"/>
    <n v="0"/>
    <n v="0"/>
    <n v="3.0125018828136767E-2"/>
    <d v="2020-04-22T00:00:00"/>
    <n v="84"/>
    <n v="78.680000000000007"/>
    <n v="0.26525079078174424"/>
    <s v=""/>
    <n v="0"/>
    <n v="0"/>
    <n v="0.18511824069890054"/>
    <m/>
    <m/>
    <m/>
    <m/>
    <m/>
    <s v=""/>
    <m/>
    <m/>
    <m/>
    <m/>
    <m/>
    <m/>
    <s v=""/>
    <m/>
    <d v="2020-11-18T00:00:00"/>
    <n v="62.9"/>
    <n v="77.400000000000006"/>
    <n v="58.3"/>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4.746000000000009"/>
    <n v="129.4605"/>
    <m/>
    <m/>
    <n v="0"/>
    <s v=""/>
    <n v="0"/>
    <s v=""/>
    <s v="{D6A35841-14E7-458E-8FB9-714E12465E6A}"/>
    <s v=""/>
    <s v=""/>
    <s v=""/>
    <s v=""/>
    <s v=""/>
    <s v=""/>
    <s v=""/>
    <s v=""/>
    <s v=""/>
    <s v=""/>
    <x v="0"/>
    <s v=""/>
  </r>
  <r>
    <s v="AXP"/>
    <n v="126.17"/>
    <m/>
    <n v="107.2445"/>
    <x v="26"/>
    <x v="7"/>
    <s v="Buybacks, consumer health improvements, cheap compared to MA &amp; Visa"/>
    <s v="not sure"/>
    <m/>
    <s v="UP"/>
    <s v="CONVERGE"/>
    <s v="NO CROSS"/>
    <s v="NO CROSS"/>
    <s v="Over 80"/>
    <s v="UP"/>
    <s v="HIGH"/>
    <m/>
    <m/>
    <m/>
    <d v="2022-07-22T07:00:00"/>
    <d v="2022-07-22T07:00:00"/>
    <m/>
    <m/>
    <m/>
    <m/>
    <m/>
    <m/>
    <m/>
    <m/>
    <s v=""/>
    <n v="0"/>
    <n v="0"/>
    <s v=""/>
    <m/>
    <m/>
    <s v=""/>
    <s v=""/>
    <s v=""/>
    <s v=""/>
    <s v=""/>
    <n v="1.1599999999999999"/>
    <d v="2016-05-10T00:00:00"/>
    <n v="0"/>
    <n v="0"/>
    <n v="9.1939446778156447E-3"/>
    <d v="2016-01-04T00:00:00"/>
    <m/>
    <n v="130.32"/>
    <s v=""/>
    <s v=""/>
    <n v="0"/>
    <n v="0"/>
    <n v="3.2892129666323149E-2"/>
    <n v="8"/>
    <s v="assignment"/>
    <n v="8"/>
    <s v="free money"/>
    <s v="CCs"/>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3.80399999999999"/>
    <n v="246.03149999999999"/>
    <n v="200"/>
    <n v="83.58"/>
    <n v="16716"/>
    <s v=""/>
    <e v="#VALUE!"/>
    <e v="#VALUE!"/>
    <s v="{D98CD9BF-0A17-4956-9D9D-B2D9AA7E04B5}"/>
    <s v=""/>
    <s v=""/>
    <s v=""/>
    <s v=""/>
    <s v=""/>
    <s v=""/>
    <s v=""/>
    <s v=""/>
    <s v=""/>
    <s v=""/>
    <x v="0"/>
    <s v=""/>
  </r>
  <r>
    <s v="AXTA"/>
    <n v="28.87"/>
    <s v="Swing"/>
    <n v="24.5395"/>
    <x v="27"/>
    <x v="0"/>
    <m/>
    <m/>
    <m/>
    <m/>
    <m/>
    <m/>
    <m/>
    <m/>
    <m/>
    <m/>
    <m/>
    <m/>
    <m/>
    <d v="2022-07-25T16:15:00"/>
    <d v="2022-07-25T16:15:00"/>
    <m/>
    <m/>
    <m/>
    <m/>
    <m/>
    <m/>
    <m/>
    <m/>
    <s v=""/>
    <n v="0"/>
    <n v="0"/>
    <s v=""/>
    <m/>
    <m/>
    <s v=""/>
    <s v=""/>
    <s v=""/>
    <s v=""/>
    <s v=""/>
    <m/>
    <m/>
    <n v="0"/>
    <n v="0"/>
    <n v="0"/>
    <m/>
    <m/>
    <n v="32.75"/>
    <s v=""/>
    <s v=""/>
    <n v="0"/>
    <n v="0"/>
    <n v="0.13439556633183231"/>
    <n v="8"/>
    <s v="assignment"/>
    <n v="8"/>
    <s v="free money"/>
    <s v="CCs"/>
    <s v=""/>
    <m/>
    <m/>
    <m/>
    <s v=""/>
    <s v=""/>
    <m/>
    <s v=""/>
    <m/>
    <d v="2021-01-19T00:00:00"/>
    <n v="28.83"/>
    <n v="30.65"/>
    <n v="27.78"/>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112499999999997"/>
    <n v="56.296500000000002"/>
    <m/>
    <m/>
    <n v="0"/>
    <s v=""/>
    <n v="0"/>
    <s v=""/>
    <m/>
    <s v=""/>
    <s v=""/>
    <s v=""/>
    <s v=""/>
    <s v=""/>
    <s v=""/>
    <s v=""/>
    <s v=""/>
    <s v=""/>
    <s v=""/>
    <x v="0"/>
    <s v=""/>
  </r>
  <r>
    <s v="AG"/>
    <n v="8.68"/>
    <s v="Prem"/>
    <n v="7.3779999999999992"/>
    <x v="28"/>
    <x v="0"/>
    <m/>
    <m/>
    <m/>
    <m/>
    <m/>
    <m/>
    <m/>
    <m/>
    <m/>
    <m/>
    <m/>
    <m/>
    <s v="BULLISH"/>
    <d v="2023-02-08T00:00:00"/>
    <d v="2023-02-08T00:00:00"/>
    <m/>
    <m/>
    <m/>
    <m/>
    <m/>
    <m/>
    <m/>
    <m/>
    <s v=""/>
    <n v="0"/>
    <n v="0"/>
    <s v=""/>
    <m/>
    <m/>
    <s v=""/>
    <s v=""/>
    <s v=""/>
    <s v=""/>
    <s v=""/>
    <m/>
    <m/>
    <n v="0"/>
    <n v="0"/>
    <n v="0"/>
    <m/>
    <m/>
    <n v="10.24"/>
    <s v=""/>
    <s v=""/>
    <n v="0"/>
    <n v="0"/>
    <n v="0.17972350230414752"/>
    <m/>
    <m/>
    <m/>
    <m/>
    <s v="CCs"/>
    <s v="Y"/>
    <m/>
    <m/>
    <m/>
    <s v=""/>
    <s v=""/>
    <n v="4.57"/>
    <n v="4.2500999999999998"/>
    <n v="3"/>
    <d v="2022-12-23T00:00:00"/>
    <n v="8.6199999999999992"/>
    <n v="9.2100000000000009"/>
    <n v="7.68"/>
    <s v="RANGE"/>
    <s v="RANGE"/>
    <m/>
    <m/>
    <m/>
    <m/>
    <m/>
    <m/>
    <m/>
    <m/>
    <n v="0"/>
    <n v="0"/>
    <m/>
    <s v=""/>
    <s v=""/>
    <m/>
    <m/>
    <m/>
    <m/>
    <m/>
    <m/>
    <n v="0"/>
    <s v=""/>
    <s v=""/>
    <s v=""/>
    <s v=""/>
    <n v="0"/>
    <s v=""/>
    <n v="0"/>
    <m/>
    <n v="0"/>
    <s v=""/>
    <s v=""/>
    <s v=""/>
    <m/>
    <n v="0"/>
    <m/>
    <s v=""/>
    <s v=""/>
    <s v=""/>
    <m/>
    <s v=""/>
    <s v=""/>
    <s v=""/>
    <s v=""/>
    <s v=""/>
    <m/>
    <m/>
    <s v=""/>
    <s v=""/>
    <s v=""/>
    <s v=""/>
    <d v="2024-01-19T00:00:00"/>
    <n v="17"/>
    <n v="20"/>
    <d v="2022-07-06T00:00:00"/>
    <d v="2022-07-06T00:00:00"/>
    <n v="0.75"/>
    <n v="1500"/>
    <s v=""/>
    <n v="17.75"/>
    <n v="1"/>
    <n v="2000"/>
    <n v="500"/>
    <n v="0.33333333333333331"/>
    <n v="1.125"/>
    <n v="2250"/>
    <n v="750"/>
    <n v="0.5"/>
    <m/>
    <n v="0.5625"/>
    <m/>
    <n v="0.5625"/>
    <n v="1125"/>
    <n v="-375"/>
    <n v="-0.25"/>
    <n v="20"/>
    <d v="2022-12-30T00:00:00"/>
    <n v="9.5"/>
    <n v="20"/>
    <d v="2022-12-21T00:00:00"/>
    <m/>
    <n v="0.12"/>
    <n v="9"/>
    <n v="4"/>
    <n v="240"/>
    <n v="2000"/>
    <n v="7.4999999999999997E-2"/>
    <n v="9.3800000000000008"/>
    <s v="Y"/>
    <m/>
    <n v="0"/>
    <m/>
    <m/>
    <n v="0"/>
    <s v=""/>
    <s v=""/>
    <m/>
    <n v="0"/>
    <n v="0"/>
    <n v="0"/>
    <s v=""/>
    <n v="9.4470046082949344E-2"/>
    <n v="19000"/>
    <s v=""/>
    <s v=""/>
    <n v="9.5"/>
    <n v="0.82000000000000028"/>
    <n v="1.2533333333333336"/>
    <n v="203719115962690.13"/>
    <n v="2.0787746170678334"/>
    <n v="0"/>
    <n v="0"/>
    <n v="240.82"/>
    <n v="99.579786337509063"/>
    <s v=""/>
    <s v=""/>
    <s v=""/>
    <s v="Calc"/>
    <n v="0"/>
    <n v="9.7279999999999998"/>
    <n v="16.925999999999998"/>
    <m/>
    <m/>
    <n v="0"/>
    <s v=""/>
    <n v="0"/>
    <s v=""/>
    <s v="{2F8A891A-907E-4633-921C-DE6BCF88842E}"/>
    <s v=""/>
    <s v=""/>
    <s v=""/>
    <s v=""/>
    <s v="AG240119C00017000"/>
    <n v="1"/>
    <s v="AG221230C00009500"/>
    <n v="1"/>
    <s v="Y"/>
    <s v="SC LC "/>
    <x v="1"/>
    <n v="8.2595904858327838E-4"/>
  </r>
  <r>
    <s v="BABA"/>
    <n v="293.10000000000002"/>
    <m/>
    <n v="249.13500000000002"/>
    <x v="29"/>
    <x v="1"/>
    <m/>
    <m/>
    <m/>
    <m/>
    <m/>
    <m/>
    <m/>
    <m/>
    <m/>
    <m/>
    <s v="185 calls (150 P?)"/>
    <m/>
    <s v="BULLISH"/>
    <d v="2022-08-25T07:00:00"/>
    <d v="2022-08-25T07:00:00"/>
    <m/>
    <m/>
    <m/>
    <m/>
    <m/>
    <n v="1"/>
    <m/>
    <m/>
    <s v=""/>
    <n v="0"/>
    <n v="0"/>
    <s v=""/>
    <m/>
    <m/>
    <s v=""/>
    <s v=""/>
    <s v=""/>
    <s v=""/>
    <s v=""/>
    <m/>
    <m/>
    <n v="0"/>
    <n v="0"/>
    <n v="0"/>
    <m/>
    <m/>
    <n v="321.43"/>
    <s v=""/>
    <s v=""/>
    <n v="0"/>
    <n v="0"/>
    <n v="9.6656431252132316E-2"/>
    <n v="180"/>
    <s v="assignment"/>
    <m/>
    <s v="free money"/>
    <m/>
    <s v=""/>
    <m/>
    <m/>
    <m/>
    <s v=""/>
    <s v=""/>
    <n v="180"/>
    <n v="167.39999999999998"/>
    <m/>
    <d v="2019-03-13T00:00:00"/>
    <n v="171.7"/>
    <n v="200.1"/>
    <n v="162"/>
    <s v="LTD RISE"/>
    <s v="RANGE"/>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305.35849999999999"/>
    <n v="571.54500000000007"/>
    <m/>
    <m/>
    <n v="0"/>
    <s v=""/>
    <n v="0"/>
    <s v=""/>
    <s v="{34A0AF90-4F48-495C-A731-27593AC5121C}"/>
    <s v=""/>
    <s v=""/>
    <s v=""/>
    <s v=""/>
    <s v=""/>
    <s v=""/>
    <s v=""/>
    <s v=""/>
    <s v=""/>
    <s v=""/>
    <x v="0"/>
    <s v=""/>
  </r>
  <r>
    <s v="BAC"/>
    <n v="28.33"/>
    <m/>
    <n v="24.080499999999997"/>
    <x v="30"/>
    <x v="7"/>
    <m/>
    <m/>
    <m/>
    <m/>
    <m/>
    <m/>
    <m/>
    <m/>
    <m/>
    <m/>
    <m/>
    <m/>
    <s v="BULLISH"/>
    <d v="2022-07-18T06:45:00"/>
    <d v="2022-07-18T06:45:00"/>
    <m/>
    <m/>
    <m/>
    <m/>
    <m/>
    <n v="1"/>
    <m/>
    <m/>
    <s v=""/>
    <n v="0"/>
    <n v="0"/>
    <s v=""/>
    <m/>
    <m/>
    <s v=""/>
    <s v=""/>
    <s v=""/>
    <s v=""/>
    <s v=""/>
    <n v="0.3"/>
    <d v="2017-03-31T00:00:00"/>
    <n v="0"/>
    <n v="0"/>
    <n v="1.0589481115425344E-2"/>
    <d v="2017-02-28T00:00:00"/>
    <n v="33"/>
    <n v="36.07"/>
    <n v="0.16484292269678794"/>
    <s v=""/>
    <n v="0"/>
    <n v="0"/>
    <n v="0.27320861277797398"/>
    <n v="29.5"/>
    <s v="free money"/>
    <m/>
    <s v="Assignment"/>
    <m/>
    <s v=""/>
    <m/>
    <m/>
    <m/>
    <s v=""/>
    <s v=""/>
    <n v="29.5"/>
    <n v="27.434999999999999"/>
    <m/>
    <d v="2018-05-01T00:00:00"/>
    <n v="31.2"/>
    <n v="33"/>
    <n v="29"/>
    <s v="LTD DEC"/>
    <s v="BULLISH"/>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34.266500000000001"/>
    <n v="55.243499999999997"/>
    <m/>
    <n v="17.68"/>
    <n v="0"/>
    <s v=""/>
    <n v="0"/>
    <s v=""/>
    <s v="{463B724E-EB01-4CD8-A1D6-1712C439CE40}"/>
    <s v=""/>
    <s v=""/>
    <s v=""/>
    <s v=""/>
    <s v=""/>
    <s v=""/>
    <s v=""/>
    <s v=""/>
    <s v=""/>
    <s v=""/>
    <x v="0"/>
    <s v=""/>
  </r>
  <r>
    <s v="BBBY"/>
    <n v="8.4600000000000009"/>
    <m/>
    <n v="7.1910000000000007"/>
    <x v="1"/>
    <x v="1"/>
    <s v="Picked by CNBC today. So battered that it seems there should be value there, cutting store positions and developing online presence.  Good balance sheet "/>
    <s v="road kill for AMZN, bad earnings, bad guidance"/>
    <m/>
    <s v="Bearish_x000a_20-d is down trending since June and still below the 100-d"/>
    <s v="Bearish_x000a_No divergence_x000a_Histogram below center, MACD below signal and negative_x000a_"/>
    <s v="Bearish_x000a_M: Sell since 2016 W: Sell D: Sell (3 bars)"/>
    <s v="Bearish_x000a_M: Red W: Blue D: Blue (2 bars)"/>
    <s v="Bullish_x000a_Way below 20 at 8!"/>
    <s v="Improving"/>
    <s v="Average_x000a_Strengthening"/>
    <s v="Ratio spread?"/>
    <d v="2018-01-09T15:25:20"/>
    <s v="BULLISH"/>
    <d v="2022-07-13T07:30:00"/>
    <d v="2022-07-13T07:30:00"/>
    <m/>
    <m/>
    <m/>
    <m/>
    <m/>
    <n v="4"/>
    <m/>
    <m/>
    <s v=""/>
    <n v="0"/>
    <n v="0"/>
    <s v=""/>
    <m/>
    <m/>
    <s v=""/>
    <s v=""/>
    <s v=""/>
    <s v=""/>
    <s v=""/>
    <n v="0.6"/>
    <d v="2018-01-16T00:00:00"/>
    <n v="0"/>
    <n v="0"/>
    <n v="7.0921985815602828E-2"/>
    <d v="2018-06-15T00:00:00"/>
    <m/>
    <n v="27.65"/>
    <s v=""/>
    <s v=""/>
    <n v="0"/>
    <n v="0"/>
    <n v="2.2683215130023635"/>
    <m/>
    <m/>
    <m/>
    <m/>
    <m/>
    <s v=""/>
    <m/>
    <m/>
    <m/>
    <s v=""/>
    <s v=""/>
    <m/>
    <s v=""/>
    <m/>
    <d v="2018-03-23T00:00:00"/>
    <n v="22.9"/>
    <n v="24.1"/>
    <n v="19.2"/>
    <s v="DECLINE"/>
    <s v="RANGE"/>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26.267499999999998"/>
    <n v="16.497"/>
    <m/>
    <m/>
    <n v="0"/>
    <s v=""/>
    <n v="0"/>
    <s v=""/>
    <s v="{18876C20-7EA5-4128-B552-EE41F6931471}"/>
    <s v=""/>
    <s v=""/>
    <s v=""/>
    <s v=""/>
    <s v=""/>
    <s v=""/>
    <s v=""/>
    <s v=""/>
    <s v=""/>
    <s v=""/>
    <x v="0"/>
    <s v=""/>
  </r>
  <r>
    <s v="BBY"/>
    <n v="67.36"/>
    <m/>
    <n v="57.256"/>
    <x v="1"/>
    <x v="1"/>
    <s v="option action"/>
    <m/>
    <m/>
    <s v="UP"/>
    <s v="CONVERGE"/>
    <s v="UP"/>
    <s v="UP"/>
    <s v="Over 80"/>
    <s v="UP"/>
    <s v="LOW"/>
    <m/>
    <m/>
    <s v="BULLISH"/>
    <d v="2022-08-23T07:00:00"/>
    <d v="2022-08-23T07:00:00"/>
    <m/>
    <m/>
    <m/>
    <m/>
    <m/>
    <m/>
    <m/>
    <m/>
    <s v=""/>
    <n v="0"/>
    <n v="0"/>
    <s v=""/>
    <m/>
    <m/>
    <s v=""/>
    <s v=""/>
    <s v=""/>
    <s v=""/>
    <s v=""/>
    <n v="0.92"/>
    <d v="2016-01-06T00:00:00"/>
    <n v="0"/>
    <n v="0"/>
    <n v="1.3657957244655582E-2"/>
    <d v="2018-09-13T00:00:00"/>
    <m/>
    <n v="123.02"/>
    <s v=""/>
    <s v=""/>
    <n v="0"/>
    <n v="0"/>
    <n v="0.82630641330166266"/>
    <n v="78"/>
    <s v="free money"/>
    <m/>
    <s v="Assignment"/>
    <m/>
    <s v=""/>
    <m/>
    <m/>
    <m/>
    <s v=""/>
    <s v=""/>
    <n v="78"/>
    <n v="72.539999999999992"/>
    <m/>
    <d v="2018-08-24T00:00:00"/>
    <n v="78.599999999999994"/>
    <n v="88.6"/>
    <n v="75.599999999999994"/>
    <s v="RISE"/>
    <s v="BULLISH"/>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s v="wkb"/>
    <n v="0"/>
    <n v="116.86899999999999"/>
    <n v="131.352"/>
    <m/>
    <m/>
    <n v="0"/>
    <s v=""/>
    <n v="0"/>
    <s v=""/>
    <s v="{B329405F-AC8A-472C-8138-461C42E5139D}"/>
    <s v=""/>
    <s v=""/>
    <s v=""/>
    <s v=""/>
    <s v=""/>
    <s v=""/>
    <s v=""/>
    <s v=""/>
    <s v=""/>
    <s v=""/>
    <x v="0"/>
    <s v=""/>
  </r>
  <r>
    <s v="BIDU"/>
    <n v="102.37"/>
    <m/>
    <n v="87.014499999999998"/>
    <x v="19"/>
    <x v="9"/>
    <m/>
    <m/>
    <m/>
    <m/>
    <m/>
    <m/>
    <m/>
    <m/>
    <m/>
    <m/>
    <m/>
    <m/>
    <s v="BEARISH"/>
    <d v="2022-08-25T04:30:00"/>
    <d v="2022-08-25T04:30:00"/>
    <m/>
    <m/>
    <m/>
    <m/>
    <m/>
    <m/>
    <m/>
    <m/>
    <s v=""/>
    <n v="0"/>
    <n v="0"/>
    <s v=""/>
    <m/>
    <m/>
    <s v=""/>
    <s v=""/>
    <s v=""/>
    <s v=""/>
    <s v=""/>
    <m/>
    <m/>
    <n v="0"/>
    <n v="0"/>
    <n v="0"/>
    <m/>
    <m/>
    <n v="289.99"/>
    <s v=""/>
    <s v=""/>
    <n v="0"/>
    <n v="0"/>
    <n v="1.8327635049330859"/>
    <n v="105"/>
    <s v="Losses"/>
    <m/>
    <s v="free money"/>
    <s v="BeCS"/>
    <s v=""/>
    <m/>
    <m/>
    <m/>
    <s v=""/>
    <s v=""/>
    <n v="105"/>
    <n v="97.649999999999991"/>
    <m/>
    <d v="2019-09-17T00:00:00"/>
    <n v="102.6"/>
    <n v="123.1"/>
    <n v="95.5"/>
    <s v="RISE"/>
    <s v="BEARISH"/>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n v="2.2999999999999998"/>
    <s v=""/>
    <s v=""/>
    <s v=""/>
    <d v="2022-10-14T00:00:00"/>
    <s v=""/>
    <n v="0"/>
    <n v="0"/>
    <s v=""/>
    <s v=""/>
    <s v=""/>
    <s v=""/>
    <s v=""/>
    <s v=""/>
    <s v=""/>
    <s v=""/>
    <s v=""/>
    <s v=""/>
    <s v=""/>
    <s v=""/>
    <s v=""/>
    <s v=""/>
    <s v=""/>
    <s v=""/>
    <s v=""/>
    <m/>
    <n v="0"/>
    <n v="275.4905"/>
    <n v="199.6215"/>
    <m/>
    <m/>
    <n v="0"/>
    <s v=""/>
    <n v="0"/>
    <s v=""/>
    <s v="{1BD537D8-8B51-422C-9EEB-831D596D6D93}"/>
    <s v=""/>
    <s v=""/>
    <s v=""/>
    <s v=""/>
    <s v=""/>
    <s v=""/>
    <s v=""/>
    <s v=""/>
    <s v=""/>
    <s v=""/>
    <x v="0"/>
    <s v=""/>
  </r>
  <r>
    <s v="BIIB"/>
    <n v="232.6"/>
    <m/>
    <n v="197.70999999999998"/>
    <x v="2"/>
    <x v="2"/>
    <s v="Good quarter with beats on top &amp; bottom, along with plans to reduce 11% of global workforce"/>
    <m/>
    <m/>
    <m/>
    <m/>
    <m/>
    <m/>
    <m/>
    <m/>
    <m/>
    <m/>
    <m/>
    <s v="BULLISH"/>
    <d v="2022-08-02T07:20:00"/>
    <d v="2022-08-02T07:20:00"/>
    <m/>
    <m/>
    <m/>
    <m/>
    <m/>
    <m/>
    <m/>
    <m/>
    <s v=""/>
    <n v="0"/>
    <n v="0"/>
    <s v=""/>
    <n v="275"/>
    <n v="236.84"/>
    <s v=""/>
    <s v=""/>
    <s v=""/>
    <s v=""/>
    <s v=""/>
    <n v="0"/>
    <s v="N/A"/>
    <n v="0"/>
    <n v="0"/>
    <n v="0"/>
    <s v="N/A"/>
    <m/>
    <n v="324.5"/>
    <s v=""/>
    <s v=""/>
    <n v="0"/>
    <n v="0"/>
    <n v="0.39509888220120382"/>
    <m/>
    <m/>
    <m/>
    <m/>
    <m/>
    <s v=""/>
    <m/>
    <m/>
    <m/>
    <s v=""/>
    <s v=""/>
    <m/>
    <s v=""/>
    <m/>
    <d v="2022-01-04T00:00:00"/>
    <n v="225.2"/>
    <n v="277.7"/>
    <n v="209"/>
    <s v="RISE"/>
    <s v="RANGE"/>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308.27499999999998"/>
    <n v="453.57"/>
    <m/>
    <m/>
    <n v="0"/>
    <s v=""/>
    <n v="0"/>
    <s v=""/>
    <s v="{B18F52FE-E6CB-4DEB-8B97-EB3BD3022B03}"/>
    <s v=""/>
    <s v=""/>
    <s v=""/>
    <s v=""/>
    <s v=""/>
    <s v=""/>
    <s v=""/>
    <s v=""/>
    <s v=""/>
    <s v=""/>
    <x v="0"/>
    <s v=""/>
  </r>
  <r>
    <s v="BK"/>
    <n v="45.81"/>
    <m/>
    <n v="38.938499999999998"/>
    <x v="31"/>
    <x v="7"/>
    <m/>
    <m/>
    <m/>
    <m/>
    <m/>
    <m/>
    <m/>
    <m/>
    <m/>
    <m/>
    <m/>
    <m/>
    <s v="BULLISH"/>
    <d v="2022-07-15T06:35:00"/>
    <d v="2022-07-15T06:35:00"/>
    <s v="Confirmed"/>
    <m/>
    <m/>
    <m/>
    <m/>
    <n v="4"/>
    <m/>
    <m/>
    <s v=""/>
    <n v="0"/>
    <n v="0"/>
    <s v=""/>
    <m/>
    <m/>
    <s v=""/>
    <s v=""/>
    <s v=""/>
    <s v=""/>
    <s v=""/>
    <n v="0.76"/>
    <d v="2017-02-10T00:00:00"/>
    <n v="0"/>
    <n v="0"/>
    <n v="1.6590264134468458E-2"/>
    <d v="2017-01-26T00:00:00"/>
    <m/>
    <n v="48.81"/>
    <s v=""/>
    <s v=""/>
    <n v="0"/>
    <n v="0"/>
    <n v="6.5487884741322847E-2"/>
    <n v="51.5"/>
    <s v="T1"/>
    <m/>
    <s v="Losses"/>
    <m/>
    <s v=""/>
    <m/>
    <m/>
    <m/>
    <s v=""/>
    <s v=""/>
    <n v="48"/>
    <n v="44.64"/>
    <m/>
    <d v="2017-01-05T00:00:00"/>
    <n v="47.1"/>
    <n v="50.9"/>
    <n v="45.9"/>
    <s v="LTD RISE"/>
    <s v="BULLISH"/>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46.369500000000002"/>
    <n v="89.329499999999996"/>
    <m/>
    <m/>
    <n v="0"/>
    <s v=""/>
    <n v="0"/>
    <s v=""/>
    <s v="{FFD6580A-D07A-4413-8C5A-5FF0EC144786}"/>
    <s v=""/>
    <s v=""/>
    <s v=""/>
    <s v=""/>
    <s v=""/>
    <s v=""/>
    <s v=""/>
    <s v=""/>
    <s v=""/>
    <s v=""/>
    <x v="0"/>
    <s v=""/>
  </r>
  <r>
    <s v="BLDR"/>
    <n v="30.16"/>
    <m/>
    <n v="25.635999999999999"/>
    <x v="32"/>
    <x v="11"/>
    <m/>
    <m/>
    <m/>
    <m/>
    <m/>
    <m/>
    <m/>
    <m/>
    <m/>
    <m/>
    <m/>
    <m/>
    <m/>
    <d v="2022-08-09T07:00:00"/>
    <d v="2022-08-09T07:00:00"/>
    <m/>
    <m/>
    <m/>
    <m/>
    <m/>
    <m/>
    <m/>
    <m/>
    <s v=""/>
    <n v="0"/>
    <n v="0"/>
    <s v=""/>
    <m/>
    <m/>
    <s v=""/>
    <s v=""/>
    <s v=""/>
    <s v=""/>
    <s v=""/>
    <m/>
    <m/>
    <n v="0"/>
    <n v="0"/>
    <n v="0"/>
    <m/>
    <m/>
    <n v="47.15"/>
    <s v=""/>
    <s v=""/>
    <n v="0"/>
    <n v="0"/>
    <n v="0.56332891246684347"/>
    <m/>
    <m/>
    <m/>
    <m/>
    <m/>
    <s v=""/>
    <m/>
    <m/>
    <m/>
    <s v=""/>
    <s v=""/>
    <m/>
    <s v=""/>
    <m/>
    <m/>
    <m/>
    <m/>
    <m/>
    <m/>
    <m/>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44.792499999999997"/>
    <n v="58.811999999999998"/>
    <m/>
    <m/>
    <n v="0"/>
    <s v=""/>
    <n v="0"/>
    <s v=""/>
    <m/>
    <s v=""/>
    <s v=""/>
    <s v=""/>
    <s v=""/>
    <s v=""/>
    <s v=""/>
    <s v=""/>
    <s v=""/>
    <s v=""/>
    <s v=""/>
    <x v="0"/>
    <s v=""/>
  </r>
  <r>
    <s v="BLNK"/>
    <n v="38.770000000000003"/>
    <s v="Prem"/>
    <n v="32.954500000000003"/>
    <x v="1"/>
    <x v="1"/>
    <m/>
    <m/>
    <m/>
    <m/>
    <m/>
    <m/>
    <m/>
    <m/>
    <m/>
    <m/>
    <m/>
    <m/>
    <s v="BEARISH"/>
    <d v="2022-08-08T16:00:00"/>
    <d v="2022-08-08T16:00:00"/>
    <m/>
    <s v="conference"/>
    <m/>
    <m/>
    <m/>
    <m/>
    <m/>
    <m/>
    <s v=""/>
    <n v="0"/>
    <n v="0"/>
    <s v=""/>
    <m/>
    <m/>
    <s v=""/>
    <s v=""/>
    <s v=""/>
    <s v=""/>
    <s v=""/>
    <m/>
    <m/>
    <n v="0"/>
    <n v="0"/>
    <n v="0"/>
    <m/>
    <m/>
    <n v="34.6"/>
    <s v=""/>
    <s v=""/>
    <n v="0"/>
    <n v="0"/>
    <n v="-0.1075573897343307"/>
    <n v="37"/>
    <s v="assignment"/>
    <n v="37"/>
    <s v="free money"/>
    <s v="CCs"/>
    <s v=""/>
    <m/>
    <m/>
    <m/>
    <s v=""/>
    <s v=""/>
    <n v="43.41"/>
    <n v="40.371299999999991"/>
    <s v="Wk $37.50"/>
    <d v="2021-05-31T00:00:00"/>
    <n v="38.07"/>
    <n v="33.81"/>
    <n v="31.78"/>
    <s v="RANGE"/>
    <s v="BEARISH"/>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32.869999999999997"/>
    <n v="75.601500000000001"/>
    <m/>
    <m/>
    <n v="0"/>
    <s v=""/>
    <n v="0"/>
    <s v=""/>
    <m/>
    <s v=""/>
    <s v=""/>
    <s v=""/>
    <s v=""/>
    <s v=""/>
    <s v=""/>
    <s v=""/>
    <s v=""/>
    <s v=""/>
    <s v=""/>
    <x v="0"/>
    <s v=""/>
  </r>
  <r>
    <s v="DD"/>
    <n v="63.16"/>
    <m/>
    <n v="53.685999999999993"/>
    <x v="33"/>
    <x v="0"/>
    <m/>
    <m/>
    <m/>
    <m/>
    <m/>
    <m/>
    <m/>
    <m/>
    <m/>
    <m/>
    <m/>
    <m/>
    <s v="NEUTRAL"/>
    <d v="2022-08-02T06:00:00"/>
    <d v="2022-08-02T06:00:00"/>
    <m/>
    <m/>
    <m/>
    <n v="1"/>
    <m/>
    <m/>
    <m/>
    <m/>
    <s v=""/>
    <n v="0"/>
    <n v="0"/>
    <s v=""/>
    <m/>
    <m/>
    <s v=""/>
    <s v=""/>
    <s v=""/>
    <s v=""/>
    <s v=""/>
    <n v="1.2"/>
    <d v="2019-12-13T00:00:00"/>
    <n v="0"/>
    <n v="0"/>
    <n v="1.8999366687777075E-2"/>
    <d v="2019-10-30T00:00:00"/>
    <n v="64"/>
    <n v="67.2"/>
    <n v="1.3299556681444006E-2"/>
    <s v=""/>
    <n v="0"/>
    <n v="0"/>
    <n v="6.3964534515516258E-2"/>
    <m/>
    <m/>
    <m/>
    <m/>
    <m/>
    <s v=""/>
    <m/>
    <m/>
    <m/>
    <s v=""/>
    <s v=""/>
    <m/>
    <s v=""/>
    <m/>
    <d v="2020-11-12T00:00:00"/>
    <n v="57.62"/>
    <n v="64.33"/>
    <n v="55.0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3.839999999999996"/>
    <n v="123.16199999999999"/>
    <m/>
    <m/>
    <n v="0"/>
    <s v=""/>
    <n v="0"/>
    <s v=""/>
    <s v="{180656A5-1233-46B2-809B-B299554CCAF6}"/>
    <s v=""/>
    <s v=""/>
    <s v=""/>
    <s v=""/>
    <s v=""/>
    <s v=""/>
    <s v=""/>
    <s v=""/>
    <s v=""/>
    <s v=""/>
    <x v="0"/>
    <s v=""/>
  </r>
  <r>
    <s v="AG_1"/>
    <n v="8.68"/>
    <s v="Prem"/>
    <n v="7.3779999999999992"/>
    <x v="28"/>
    <x v="0"/>
    <m/>
    <m/>
    <m/>
    <m/>
    <m/>
    <m/>
    <m/>
    <m/>
    <m/>
    <m/>
    <m/>
    <m/>
    <s v="BULLISH"/>
    <d v="2023-02-08T00:00:00"/>
    <d v="2023-02-08T00:00:00"/>
    <m/>
    <m/>
    <m/>
    <m/>
    <m/>
    <m/>
    <n v="4000"/>
    <n v="32000"/>
    <n v="8"/>
    <n v="34720"/>
    <n v="2720"/>
    <n v="8.5000000000000006E-2"/>
    <m/>
    <m/>
    <s v=""/>
    <s v=""/>
    <s v=""/>
    <s v=""/>
    <s v=""/>
    <m/>
    <m/>
    <n v="0"/>
    <n v="0"/>
    <n v="0"/>
    <m/>
    <m/>
    <n v="10.24"/>
    <s v=""/>
    <n v="0.28000000000000003"/>
    <n v="8960"/>
    <n v="6240"/>
    <n v="0.17972350230414752"/>
    <m/>
    <m/>
    <m/>
    <m/>
    <s v="CCs"/>
    <s v="Y"/>
    <m/>
    <m/>
    <m/>
    <s v=""/>
    <s v=""/>
    <n v="7.01"/>
    <n v="6.5192999999999994"/>
    <n v="4"/>
    <d v="2022-12-23T00:00:00"/>
    <n v="8.6199999999999992"/>
    <n v="9.2100000000000009"/>
    <n v="7.68"/>
    <s v="RANGE"/>
    <s v="RANGE"/>
    <m/>
    <m/>
    <m/>
    <m/>
    <m/>
    <m/>
    <m/>
    <m/>
    <n v="0"/>
    <n v="0"/>
    <m/>
    <s v=""/>
    <s v=""/>
    <m/>
    <m/>
    <m/>
    <m/>
    <m/>
    <m/>
    <n v="0"/>
    <s v=""/>
    <s v=""/>
    <s v=""/>
    <s v=""/>
    <n v="0"/>
    <s v=""/>
    <n v="0"/>
    <m/>
    <n v="0"/>
    <s v=""/>
    <s v=""/>
    <s v=""/>
    <m/>
    <n v="0"/>
    <m/>
    <s v=""/>
    <s v=""/>
    <s v=""/>
    <m/>
    <s v=""/>
    <s v=""/>
    <s v=""/>
    <s v=""/>
    <s v=""/>
    <m/>
    <m/>
    <s v=""/>
    <s v=""/>
    <s v=""/>
    <s v=""/>
    <m/>
    <m/>
    <m/>
    <m/>
    <m/>
    <m/>
    <n v="0"/>
    <s v=""/>
    <s v=""/>
    <m/>
    <s v=""/>
    <s v=""/>
    <s v=""/>
    <s v=""/>
    <s v=""/>
    <s v=""/>
    <s v=""/>
    <m/>
    <s v=""/>
    <m/>
    <s v=""/>
    <s v=""/>
    <s v=""/>
    <s v=""/>
    <n v="40"/>
    <d v="2022-12-30T00:00:00"/>
    <n v="9.5"/>
    <n v="40"/>
    <d v="2022-12-21T00:00:00"/>
    <m/>
    <n v="0.12"/>
    <n v="9"/>
    <n v="4"/>
    <n v="480"/>
    <n v="32000"/>
    <n v="0.6"/>
    <n v="9.3800000000000008"/>
    <s v="Y"/>
    <m/>
    <n v="0"/>
    <m/>
    <m/>
    <n v="0"/>
    <s v=""/>
    <s v=""/>
    <m/>
    <n v="0"/>
    <n v="0"/>
    <n v="0"/>
    <s v=""/>
    <n v="9.4470046082949344E-2"/>
    <n v="38000"/>
    <s v=""/>
    <n v="6480"/>
    <n v="9.5"/>
    <n v="0.82000000000000028"/>
    <n v="0.11750000000000003"/>
    <n v="89.511853090413652"/>
    <n v="1.3552068473609131"/>
    <n v="0"/>
    <n v="0"/>
    <n v="480.82"/>
    <n v="0.83095889535493828"/>
    <s v=""/>
    <s v=""/>
    <s v=""/>
    <s v="Calc"/>
    <n v="800"/>
    <n v="9.7279999999999998"/>
    <n v="16.925999999999998"/>
    <m/>
    <m/>
    <n v="0"/>
    <n v="0"/>
    <n v="0"/>
    <n v="0.20250000000000001"/>
    <s v="{2F8A891A-907E-4633-921C-DE6BCF88842E}"/>
    <s v=""/>
    <s v=""/>
    <s v=""/>
    <s v=""/>
    <s v=""/>
    <s v=""/>
    <s v="AG221230C00009500"/>
    <n v="1"/>
    <s v="Y"/>
    <s v="LNG SC "/>
    <x v="2"/>
    <n v="2.2445109383723374E-2"/>
  </r>
  <r>
    <s v="AG_2"/>
    <n v="8.68"/>
    <s v="Prem"/>
    <n v="7.3779999999999992"/>
    <x v="28"/>
    <x v="0"/>
    <m/>
    <m/>
    <m/>
    <m/>
    <m/>
    <m/>
    <m/>
    <m/>
    <m/>
    <m/>
    <m/>
    <m/>
    <s v="BULLISH"/>
    <d v="2023-02-08T00:00:00"/>
    <d v="2023-02-08T00:00:00"/>
    <m/>
    <m/>
    <m/>
    <m/>
    <m/>
    <m/>
    <n v="2000"/>
    <n v="16420"/>
    <n v="8.2100000000000009"/>
    <n v="17360"/>
    <n v="940"/>
    <n v="5.7247259439707675E-2"/>
    <m/>
    <m/>
    <s v=""/>
    <s v=""/>
    <s v=""/>
    <s v=""/>
    <s v=""/>
    <m/>
    <m/>
    <n v="0"/>
    <n v="0"/>
    <n v="0"/>
    <m/>
    <m/>
    <n v="10.24"/>
    <s v=""/>
    <n v="0.24725943970767356"/>
    <n v="4060"/>
    <n v="3120"/>
    <n v="0.17972350230414752"/>
    <m/>
    <m/>
    <m/>
    <m/>
    <s v="CCs"/>
    <s v="Y"/>
    <m/>
    <m/>
    <m/>
    <s v=""/>
    <s v=""/>
    <n v="7.21"/>
    <n v="6.7052999999999994"/>
    <n v="5"/>
    <d v="2022-12-23T00:00:00"/>
    <n v="8.6199999999999992"/>
    <n v="9.2100000000000009"/>
    <n v="7.68"/>
    <s v="RANGE"/>
    <s v="RANGE"/>
    <m/>
    <m/>
    <m/>
    <m/>
    <m/>
    <m/>
    <m/>
    <m/>
    <n v="0"/>
    <n v="0"/>
    <m/>
    <s v=""/>
    <s v=""/>
    <m/>
    <m/>
    <m/>
    <m/>
    <m/>
    <m/>
    <n v="0"/>
    <s v=""/>
    <s v=""/>
    <s v=""/>
    <s v=""/>
    <n v="0"/>
    <s v=""/>
    <n v="0"/>
    <m/>
    <n v="0"/>
    <s v=""/>
    <s v=""/>
    <s v=""/>
    <m/>
    <n v="0"/>
    <m/>
    <s v=""/>
    <s v=""/>
    <s v=""/>
    <m/>
    <s v=""/>
    <s v=""/>
    <s v=""/>
    <s v=""/>
    <s v=""/>
    <m/>
    <m/>
    <s v=""/>
    <s v=""/>
    <s v=""/>
    <s v=""/>
    <m/>
    <m/>
    <m/>
    <m/>
    <m/>
    <m/>
    <n v="0"/>
    <s v=""/>
    <s v=""/>
    <m/>
    <s v=""/>
    <s v=""/>
    <s v=""/>
    <s v=""/>
    <s v=""/>
    <s v=""/>
    <s v=""/>
    <m/>
    <s v=""/>
    <m/>
    <s v=""/>
    <s v=""/>
    <s v=""/>
    <s v=""/>
    <n v="20"/>
    <d v="2022-12-30T00:00:00"/>
    <n v="9.5"/>
    <n v="20"/>
    <d v="2022-12-21T00:00:00"/>
    <m/>
    <n v="0.12"/>
    <n v="9"/>
    <n v="4"/>
    <n v="240"/>
    <n v="16420"/>
    <n v="0.61575000000000002"/>
    <n v="9.3800000000000008"/>
    <s v="Y"/>
    <m/>
    <n v="0"/>
    <m/>
    <m/>
    <n v="0"/>
    <s v=""/>
    <s v=""/>
    <m/>
    <n v="0"/>
    <n v="0"/>
    <n v="0"/>
    <s v=""/>
    <n v="9.4470046082949344E-2"/>
    <n v="19000"/>
    <s v=""/>
    <n v="2820"/>
    <n v="9.5"/>
    <n v="0.82000000000000028"/>
    <n v="0.11449451887941536"/>
    <n v="80.146891381424368"/>
    <n v="1.317614424410541"/>
    <n v="0"/>
    <n v="0"/>
    <n v="240.82"/>
    <n v="0.80485236880355582"/>
    <s v=""/>
    <s v=""/>
    <s v=""/>
    <s v="Calc"/>
    <n v="400"/>
    <n v="9.7279999999999998"/>
    <n v="16.925999999999998"/>
    <m/>
    <m/>
    <n v="0"/>
    <n v="0"/>
    <n v="0"/>
    <n v="0.17174177831912302"/>
    <s v="{2F8A891A-907E-4633-921C-DE6BCF88842E}"/>
    <s v=""/>
    <s v=""/>
    <s v=""/>
    <s v=""/>
    <s v=""/>
    <s v=""/>
    <s v="AG221230C00009500"/>
    <n v="1"/>
    <s v="Y"/>
    <s v="LNG SC "/>
    <x v="3"/>
    <n v="1.1222554691861687E-2"/>
  </r>
  <r>
    <s v="BP"/>
    <n v="22.09"/>
    <s v="LT"/>
    <n v="18.776499999999999"/>
    <x v="34"/>
    <x v="6"/>
    <m/>
    <m/>
    <m/>
    <m/>
    <m/>
    <m/>
    <m/>
    <m/>
    <m/>
    <m/>
    <s v="45 Call"/>
    <m/>
    <s v="BULLISH"/>
    <d v="2022-08-02T05:00:00"/>
    <d v="2022-08-02T05:00:00"/>
    <m/>
    <m/>
    <m/>
    <m/>
    <m/>
    <m/>
    <m/>
    <m/>
    <s v=""/>
    <n v="0"/>
    <n v="0"/>
    <s v=""/>
    <m/>
    <m/>
    <s v=""/>
    <s v=""/>
    <s v=""/>
    <s v=""/>
    <s v=""/>
    <n v="2.3199999999999998"/>
    <d v="2020-06-27T00:00:00"/>
    <n v="0"/>
    <n v="0"/>
    <n v="0.10502489814395653"/>
    <d v="2020-05-13T00:00:00"/>
    <m/>
    <n v="27.98"/>
    <s v=""/>
    <s v=""/>
    <n v="0"/>
    <n v="0"/>
    <n v="0.26663648709823451"/>
    <m/>
    <m/>
    <m/>
    <m/>
    <m/>
    <s v=""/>
    <m/>
    <n v="2.3839999999999999"/>
    <d v="2020-05-01T00:00:00"/>
    <n v="19.706"/>
    <n v="24.474"/>
    <m/>
    <s v=""/>
    <m/>
    <d v="2020-07-31T00:00:00"/>
    <n v="24"/>
    <n v="25.4"/>
    <n v="19.8"/>
    <s v="DECLIN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6.581"/>
    <n v="43.075499999999998"/>
    <m/>
    <m/>
    <n v="0"/>
    <s v=""/>
    <n v="0"/>
    <s v=""/>
    <s v="{1C90A2CC-E3C1-45F4-8BC4-B5B6B87DFFCB}"/>
    <s v=""/>
    <s v=""/>
    <s v=""/>
    <s v=""/>
    <s v=""/>
    <s v=""/>
    <s v=""/>
    <s v=""/>
    <s v=""/>
    <s v=""/>
    <x v="0"/>
    <s v=""/>
  </r>
  <r>
    <s v="BRK.B"/>
    <n v="260.02"/>
    <s v="LT"/>
    <n v="221.01699999999997"/>
    <x v="15"/>
    <x v="7"/>
    <m/>
    <m/>
    <m/>
    <m/>
    <m/>
    <m/>
    <m/>
    <m/>
    <m/>
    <m/>
    <m/>
    <m/>
    <s v="BULLISH"/>
    <d v="2022-08-01T08:00:00"/>
    <d v="2022-08-01T08:00:00"/>
    <m/>
    <m/>
    <m/>
    <m/>
    <m/>
    <m/>
    <m/>
    <m/>
    <s v=""/>
    <n v="0"/>
    <n v="0"/>
    <s v=""/>
    <m/>
    <m/>
    <s v=""/>
    <s v=""/>
    <s v=""/>
    <s v=""/>
    <s v=""/>
    <m/>
    <m/>
    <n v="0"/>
    <n v="0"/>
    <n v="0"/>
    <m/>
    <m/>
    <n v="260"/>
    <s v=""/>
    <s v=""/>
    <n v="0"/>
    <n v="0"/>
    <n v="-7.6917160218374791E-5"/>
    <n v="257.5"/>
    <s v="assignment"/>
    <n v="257.5"/>
    <s v="free money"/>
    <s v="CCs"/>
    <s v=""/>
    <m/>
    <m/>
    <m/>
    <s v=""/>
    <s v=""/>
    <n v="222.71"/>
    <n v="207.12029999999999"/>
    <m/>
    <d v="2021-03-08T00:00:00"/>
    <n v="239.7"/>
    <n v="262.22000000000003"/>
    <n v="228.25"/>
    <s v="LTD RISE"/>
    <s v="BULLISH"/>
    <m/>
    <s v=""/>
    <m/>
    <m/>
    <m/>
    <m/>
    <m/>
    <m/>
    <n v="0"/>
    <n v="0"/>
    <m/>
    <s v=""/>
    <s v=""/>
    <m/>
    <m/>
    <m/>
    <m/>
    <m/>
    <m/>
    <n v="0"/>
    <s v=""/>
    <s v=""/>
    <s v=""/>
    <s v=""/>
    <n v="0"/>
    <s v=""/>
    <n v="0"/>
    <m/>
    <n v="0"/>
    <s v=""/>
    <s v=""/>
    <s v=""/>
    <m/>
    <n v="0"/>
    <m/>
    <s v=""/>
    <s v=""/>
    <s v=""/>
    <d v="2021-01-09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7"/>
    <n v="507.03899999999993"/>
    <m/>
    <m/>
    <n v="0"/>
    <s v=""/>
    <n v="0"/>
    <s v=""/>
    <m/>
    <s v=""/>
    <s v=""/>
    <s v=""/>
    <s v=""/>
    <s v=""/>
    <s v=""/>
    <s v=""/>
    <s v=""/>
    <s v=""/>
    <s v=""/>
    <x v="0"/>
    <s v=""/>
  </r>
  <r>
    <s v="BRKS"/>
    <n v="31.59"/>
    <m/>
    <n v="26.851499999999998"/>
    <x v="16"/>
    <x v="3"/>
    <m/>
    <m/>
    <m/>
    <m/>
    <m/>
    <m/>
    <m/>
    <m/>
    <m/>
    <m/>
    <m/>
    <m/>
    <s v="BULLISH"/>
    <d v="2022-08-01T08:00:00"/>
    <d v="2022-08-01T08:00:00"/>
    <m/>
    <m/>
    <m/>
    <m/>
    <m/>
    <m/>
    <m/>
    <m/>
    <s v=""/>
    <n v="0"/>
    <n v="0"/>
    <s v=""/>
    <m/>
    <m/>
    <s v=""/>
    <s v=""/>
    <s v=""/>
    <s v=""/>
    <s v=""/>
    <m/>
    <m/>
    <n v="0"/>
    <n v="0"/>
    <n v="0"/>
    <m/>
    <m/>
    <n v="95.17"/>
    <s v=""/>
    <s v=""/>
    <n v="0"/>
    <n v="0"/>
    <n v="2.012662234884456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0.411500000000004"/>
    <n v="61.600499999999997"/>
    <m/>
    <m/>
    <n v="0"/>
    <s v=""/>
    <n v="0"/>
    <s v=""/>
    <s v="{9CBDF77F-E3E6-4FEC-BD9A-B33E19BDDA6E}"/>
    <s v=""/>
    <s v=""/>
    <s v=""/>
    <s v=""/>
    <s v=""/>
    <s v=""/>
    <s v=""/>
    <s v=""/>
    <s v=""/>
    <s v=""/>
    <x v="0"/>
    <s v=""/>
  </r>
  <r>
    <s v="BTU"/>
    <n v="20.81"/>
    <m/>
    <n v="17.688499999999998"/>
    <x v="35"/>
    <x v="6"/>
    <m/>
    <m/>
    <m/>
    <m/>
    <m/>
    <m/>
    <m/>
    <m/>
    <m/>
    <m/>
    <m/>
    <m/>
    <s v="BULLISH"/>
    <d v="2022-07-28T07:00:00"/>
    <d v="2022-07-28T07:00:00"/>
    <m/>
    <m/>
    <m/>
    <m/>
    <m/>
    <m/>
    <m/>
    <m/>
    <s v=""/>
    <n v="0"/>
    <n v="0"/>
    <s v=""/>
    <m/>
    <m/>
    <s v=""/>
    <s v=""/>
    <s v=""/>
    <s v=""/>
    <s v=""/>
    <m/>
    <m/>
    <n v="0"/>
    <n v="0"/>
    <n v="0"/>
    <m/>
    <m/>
    <n v="19.600000000000001"/>
    <s v=""/>
    <s v=""/>
    <n v="0"/>
    <n v="0"/>
    <n v="-5.8145122537241585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62"/>
    <n v="40.579499999999996"/>
    <m/>
    <m/>
    <n v="0"/>
    <s v=""/>
    <n v="0"/>
    <s v=""/>
    <m/>
    <s v=""/>
    <s v=""/>
    <s v=""/>
    <s v=""/>
    <s v=""/>
    <s v=""/>
    <s v=""/>
    <s v=""/>
    <s v=""/>
    <s v=""/>
    <x v="0"/>
    <s v=""/>
  </r>
  <r>
    <s v="BUD"/>
    <n v="98.22"/>
    <m/>
    <n v="83.486999999999995"/>
    <x v="36"/>
    <x v="12"/>
    <m/>
    <m/>
    <m/>
    <m/>
    <m/>
    <m/>
    <m/>
    <m/>
    <m/>
    <m/>
    <m/>
    <m/>
    <m/>
    <d v="2022-08-04T09:25:00"/>
    <d v="2022-08-04T09:25:00"/>
    <m/>
    <m/>
    <m/>
    <m/>
    <m/>
    <m/>
    <m/>
    <m/>
    <s v=""/>
    <n v="0"/>
    <n v="0"/>
    <s v=""/>
    <m/>
    <m/>
    <s v=""/>
    <s v=""/>
    <s v=""/>
    <s v=""/>
    <s v=""/>
    <n v="4.5999999999999996"/>
    <d v="2016-11-30T00:00:00"/>
    <n v="0"/>
    <n v="0"/>
    <n v="4.6833638770107919E-2"/>
    <d v="2016-07-26T00:00:00"/>
    <m/>
    <n v="77.75"/>
    <s v=""/>
    <s v=""/>
    <n v="0"/>
    <n v="0"/>
    <n v="-0.20840969252698024"/>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doc"/>
    <n v="0"/>
    <n v="73.862499999999997"/>
    <n v="191.529"/>
    <m/>
    <m/>
    <n v="0"/>
    <s v=""/>
    <n v="0"/>
    <s v=""/>
    <s v="{BC2C8657-E661-4FCB-B61A-5AE8CE54F012}"/>
    <s v=""/>
    <s v=""/>
    <s v=""/>
    <s v=""/>
    <s v=""/>
    <s v=""/>
    <s v=""/>
    <s v=""/>
    <s v=""/>
    <s v=""/>
    <x v="0"/>
    <s v=""/>
  </r>
  <r>
    <s v="BURL"/>
    <n v="186.92"/>
    <m/>
    <n v="158.88199999999998"/>
    <x v="18"/>
    <x v="8"/>
    <m/>
    <m/>
    <m/>
    <m/>
    <m/>
    <m/>
    <m/>
    <m/>
    <m/>
    <m/>
    <m/>
    <m/>
    <s v="BULLISH"/>
    <d v="2022-08-25T06:45:00"/>
    <d v="2022-08-25T06:45:00"/>
    <m/>
    <m/>
    <m/>
    <m/>
    <m/>
    <m/>
    <m/>
    <m/>
    <s v=""/>
    <n v="0"/>
    <n v="0"/>
    <s v=""/>
    <m/>
    <m/>
    <s v=""/>
    <s v=""/>
    <s v=""/>
    <s v=""/>
    <s v=""/>
    <m/>
    <m/>
    <n v="0"/>
    <n v="0"/>
    <n v="0"/>
    <m/>
    <n v="220"/>
    <n v="269.67"/>
    <n v="0.17697410656965554"/>
    <s v=""/>
    <n v="0"/>
    <n v="0"/>
    <n v="0.44270276053926833"/>
    <m/>
    <m/>
    <n v="306"/>
    <m/>
    <m/>
    <s v=""/>
    <m/>
    <m/>
    <m/>
    <s v=""/>
    <s v=""/>
    <m/>
    <s v=""/>
    <m/>
    <d v="2019-10-10T00:00:00"/>
    <n v="180"/>
    <n v="231.17"/>
    <n v="162.30000000000001"/>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56.18650000000002"/>
    <n v="364.49399999999997"/>
    <m/>
    <m/>
    <n v="0"/>
    <s v=""/>
    <n v="0"/>
    <s v=""/>
    <s v="{2F28B7FF-1C27-4CFB-AE14-87A6341A3CC5}"/>
    <s v=""/>
    <s v=""/>
    <s v=""/>
    <s v=""/>
    <s v=""/>
    <s v=""/>
    <s v=""/>
    <s v=""/>
    <s v=""/>
    <s v=""/>
    <x v="0"/>
    <s v=""/>
  </r>
  <r>
    <s v="BYND"/>
    <n v="139.91999999999999"/>
    <m/>
    <n v="118.93199999999999"/>
    <x v="37"/>
    <x v="12"/>
    <m/>
    <m/>
    <m/>
    <m/>
    <m/>
    <m/>
    <m/>
    <m/>
    <m/>
    <m/>
    <m/>
    <m/>
    <s v="BULLISH"/>
    <d v="2022-08-10T16:05:00"/>
    <d v="2022-08-10T16:05:00"/>
    <m/>
    <m/>
    <m/>
    <m/>
    <m/>
    <m/>
    <m/>
    <m/>
    <s v=""/>
    <n v="0"/>
    <n v="0"/>
    <s v=""/>
    <m/>
    <m/>
    <s v=""/>
    <s v=""/>
    <s v=""/>
    <s v=""/>
    <s v=""/>
    <m/>
    <m/>
    <n v="0"/>
    <n v="0"/>
    <n v="0"/>
    <m/>
    <m/>
    <n v="119.06"/>
    <s v=""/>
    <s v=""/>
    <n v="0"/>
    <n v="0"/>
    <n v="-0.14908519153802163"/>
    <n v="155"/>
    <s v="free money"/>
    <n v="140"/>
    <s v="max loss"/>
    <s v="BuPS"/>
    <s v=""/>
    <m/>
    <m/>
    <m/>
    <s v=""/>
    <s v=""/>
    <m/>
    <s v=""/>
    <m/>
    <d v="2020-12-21T00:00:00"/>
    <n v="127.4"/>
    <n v="170.2"/>
    <n v="112.8"/>
    <s v="LTD 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3.107"/>
    <n v="272.84399999999999"/>
    <m/>
    <m/>
    <n v="0"/>
    <s v=""/>
    <n v="0"/>
    <s v=""/>
    <s v="{A9094A24-723C-4ED5-9846-F80383292398}"/>
    <s v=""/>
    <s v=""/>
    <s v=""/>
    <s v=""/>
    <s v=""/>
    <s v=""/>
    <s v=""/>
    <s v=""/>
    <s v=""/>
    <s v=""/>
    <x v="0"/>
    <s v=""/>
  </r>
  <r>
    <s v="C"/>
    <n v="78.709999999999994"/>
    <s v="CORE"/>
    <n v="66.903499999999994"/>
    <x v="30"/>
    <x v="7"/>
    <s v="rising interest rates and global expansion with good international exposure."/>
    <s v="cramer still has it at $80 and a 2 ranking"/>
    <m/>
    <s v="Mildly Bullish_x000a_At 20-d which is flat but still well above the 100-d which is rising"/>
    <s v="Neutral_x000a_NO divergence._x000a_Histogram shows weak momentum near center._x000a_"/>
    <s v="Bullish_x000a_M: Buy, W: Buy D: Buy (4 bars)"/>
    <s v="Mildly Bullish_x000a_M: Blue W: Blue D: Green (new bars today!)"/>
    <s v="Neutral"/>
    <s v="Great"/>
    <s v="Average"/>
    <s v="70 calls"/>
    <m/>
    <s v="BULLISH"/>
    <d v="2023-01-13T00:00:00"/>
    <d v="2023-01-13T00:00:00"/>
    <s v="Confirmed"/>
    <m/>
    <m/>
    <m/>
    <m/>
    <m/>
    <m/>
    <m/>
    <s v=""/>
    <n v="0"/>
    <n v="0"/>
    <s v=""/>
    <m/>
    <m/>
    <s v=""/>
    <s v=""/>
    <s v=""/>
    <s v=""/>
    <s v=""/>
    <n v="0.95750000000000002"/>
    <d v="2017-08-25T00:00:00"/>
    <n v="0"/>
    <n v="0"/>
    <n v="1.216490916020836E-2"/>
    <d v="2019-11-03T00:00:00"/>
    <n v="92"/>
    <n v="85.23"/>
    <n v="0.16884766865709577"/>
    <s v=""/>
    <n v="0"/>
    <n v="0"/>
    <n v="8.2835726083089964E-2"/>
    <n v="76.150000000000006"/>
    <s v="ITM"/>
    <n v="76.150000000000006"/>
    <s v="Losses"/>
    <s v="LCs"/>
    <s v=""/>
    <n v="76.150000000000006"/>
    <m/>
    <m/>
    <s v=""/>
    <s v=""/>
    <n v="3.65"/>
    <n v="3.3944999999999999"/>
    <m/>
    <d v="2021-05-27T00:00:00"/>
    <n v="75.8"/>
    <n v="83.9"/>
    <n v="73.2"/>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0.968500000000006"/>
    <n v="153.4845"/>
    <m/>
    <m/>
    <n v="0"/>
    <s v=""/>
    <n v="0"/>
    <s v=""/>
    <s v="{7DAA12AF-5BCA-42C2-9DE2-CB0D378BEAF2}"/>
    <s v=""/>
    <s v=""/>
    <s v=""/>
    <s v=""/>
    <s v=""/>
    <s v=""/>
    <s v=""/>
    <s v=""/>
    <s v=""/>
    <s v=""/>
    <x v="0"/>
    <s v=""/>
  </r>
  <r>
    <s v="CAR"/>
    <n v="31.41"/>
    <m/>
    <n v="26.698499999999999"/>
    <x v="38"/>
    <x v="8"/>
    <m/>
    <m/>
    <m/>
    <m/>
    <m/>
    <m/>
    <m/>
    <m/>
    <m/>
    <m/>
    <m/>
    <m/>
    <m/>
    <d v="2022-08-01T16:00:00"/>
    <d v="2022-08-01T16:00:00"/>
    <m/>
    <m/>
    <m/>
    <m/>
    <m/>
    <m/>
    <m/>
    <m/>
    <s v=""/>
    <n v="0"/>
    <n v="0"/>
    <s v=""/>
    <m/>
    <m/>
    <s v=""/>
    <s v=""/>
    <s v=""/>
    <s v=""/>
    <s v=""/>
    <n v="0"/>
    <s v="N/A"/>
    <n v="0"/>
    <n v="0"/>
    <n v="0"/>
    <d v="2006-02-21T00:00:00"/>
    <m/>
    <n v="51.5"/>
    <s v=""/>
    <s v=""/>
    <n v="0"/>
    <n v="0"/>
    <n v="0.63960522126711239"/>
    <m/>
    <m/>
    <m/>
    <m/>
    <m/>
    <s v=""/>
    <m/>
    <m/>
    <m/>
    <s v=""/>
    <s v=""/>
    <m/>
    <s v=""/>
    <m/>
    <d v="2016-05-30T00:00:00"/>
    <n v="26.4"/>
    <n v="33.299999999999997"/>
    <n v="26.4"/>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8.924999999999997"/>
    <n v="61.249499999999998"/>
    <m/>
    <m/>
    <n v="0"/>
    <s v=""/>
    <n v="0"/>
    <s v=""/>
    <s v="{80C268A5-3249-4683-8EB5-8062F99754DA}"/>
    <s v=""/>
    <s v=""/>
    <s v=""/>
    <s v=""/>
    <s v=""/>
    <s v=""/>
    <s v=""/>
    <s v=""/>
    <s v=""/>
    <s v=""/>
    <x v="0"/>
    <s v=""/>
  </r>
  <r>
    <s v="CAT"/>
    <n v="128.4"/>
    <m/>
    <n v="109.14"/>
    <x v="39"/>
    <x v="13"/>
    <m/>
    <m/>
    <m/>
    <m/>
    <m/>
    <m/>
    <m/>
    <m/>
    <m/>
    <m/>
    <m/>
    <m/>
    <s v="BULLISH"/>
    <d v="2022-07-28T06:30:00"/>
    <d v="2022-07-28T06:30:00"/>
    <m/>
    <m/>
    <m/>
    <m/>
    <m/>
    <m/>
    <m/>
    <m/>
    <s v=""/>
    <n v="0"/>
    <n v="0"/>
    <s v=""/>
    <m/>
    <m/>
    <s v=""/>
    <s v=""/>
    <s v=""/>
    <s v=""/>
    <s v=""/>
    <n v="4.12"/>
    <s v="2./20/2020"/>
    <n v="0"/>
    <n v="0"/>
    <n v="3.2087227414330219E-2"/>
    <d v="2020-01-18T00:00:00"/>
    <n v="150"/>
    <n v="201.25"/>
    <n v="0.1682242990654205"/>
    <s v=""/>
    <n v="0"/>
    <n v="0"/>
    <n v="0.56736760124610586"/>
    <m/>
    <m/>
    <m/>
    <m/>
    <m/>
    <s v=""/>
    <m/>
    <m/>
    <m/>
    <s v=""/>
    <s v=""/>
    <m/>
    <s v=""/>
    <m/>
    <d v="2019-10-09T00:00:00"/>
    <n v="123.6"/>
    <n v="128.9"/>
    <n v="108.8"/>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91.1875"/>
    <n v="250.38"/>
    <m/>
    <m/>
    <n v="0"/>
    <s v=""/>
    <n v="0"/>
    <s v=""/>
    <s v="{662A9CC1-A939-4A1C-9DE2-3E2550A89066}"/>
    <s v=""/>
    <s v=""/>
    <s v=""/>
    <s v=""/>
    <s v=""/>
    <s v=""/>
    <s v=""/>
    <s v=""/>
    <s v=""/>
    <s v=""/>
    <x v="0"/>
    <s v=""/>
  </r>
  <r>
    <s v="CBS"/>
    <n v="48.91"/>
    <m/>
    <n v="41.573499999999996"/>
    <x v="40"/>
    <x v="8"/>
    <m/>
    <m/>
    <m/>
    <m/>
    <m/>
    <m/>
    <m/>
    <m/>
    <m/>
    <m/>
    <m/>
    <m/>
    <s v="BULLISH"/>
    <d v="2022-07-28T06:30:00"/>
    <d v="2022-07-28T06:30:00"/>
    <m/>
    <m/>
    <m/>
    <m/>
    <m/>
    <m/>
    <m/>
    <m/>
    <s v=""/>
    <n v="0"/>
    <n v="0"/>
    <s v=""/>
    <m/>
    <m/>
    <s v=""/>
    <s v=""/>
    <s v=""/>
    <s v=""/>
    <s v=""/>
    <m/>
    <m/>
    <n v="0"/>
    <n v="0"/>
    <n v="0"/>
    <m/>
    <m/>
    <n v="69.540000000000006"/>
    <s v=""/>
    <s v=""/>
    <n v="0"/>
    <n v="0"/>
    <n v="0.42179513391944412"/>
    <m/>
    <m/>
    <m/>
    <m/>
    <m/>
    <s v=""/>
    <m/>
    <m/>
    <m/>
    <s v=""/>
    <s v=""/>
    <m/>
    <s v=""/>
    <m/>
    <d v="2018-07-27T00:00:00"/>
    <n v="59.5"/>
    <n v="61.7"/>
    <n v="49.7"/>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6.063000000000002"/>
    <n v="95.374499999999998"/>
    <m/>
    <m/>
    <n v="0"/>
    <s v=""/>
    <n v="0"/>
    <s v=""/>
    <s v="{141495B3-F3C7-4FC7-AD66-8EDDF1A82B7E}"/>
    <s v=""/>
    <s v=""/>
    <s v=""/>
    <s v=""/>
    <s v=""/>
    <s v=""/>
    <s v=""/>
    <s v=""/>
    <s v=""/>
    <s v=""/>
    <x v="0"/>
    <s v=""/>
  </r>
  <r>
    <s v="CBS"/>
    <n v="48.91"/>
    <m/>
    <n v="41.573499999999996"/>
    <x v="40"/>
    <x v="8"/>
    <m/>
    <m/>
    <m/>
    <m/>
    <m/>
    <m/>
    <m/>
    <m/>
    <m/>
    <m/>
    <m/>
    <m/>
    <m/>
    <d v="2022-07-28T06:30:00"/>
    <d v="2022-07-28T06:30:00"/>
    <m/>
    <m/>
    <m/>
    <m/>
    <m/>
    <m/>
    <m/>
    <m/>
    <s v=""/>
    <n v="0"/>
    <n v="0"/>
    <s v=""/>
    <m/>
    <m/>
    <s v=""/>
    <s v=""/>
    <s v=""/>
    <s v=""/>
    <s v=""/>
    <m/>
    <m/>
    <n v="0"/>
    <n v="0"/>
    <n v="0"/>
    <m/>
    <n v="0.01"/>
    <n v="62.89"/>
    <n v="-0.99979554283377636"/>
    <s v=""/>
    <n v="0"/>
    <n v="0"/>
    <n v="0.28583111838069936"/>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9.7455"/>
    <n v="95.374499999999998"/>
    <m/>
    <m/>
    <n v="0"/>
    <s v=""/>
    <n v="0"/>
    <s v=""/>
    <s v="{7671341B-9B64-4FF3-B864-B0546904CCD5}"/>
    <s v=""/>
    <s v=""/>
    <s v=""/>
    <s v=""/>
    <s v=""/>
    <s v=""/>
    <s v=""/>
    <s v=""/>
    <s v=""/>
    <s v=""/>
    <x v="0"/>
    <s v=""/>
  </r>
  <r>
    <s v="BA"/>
    <n v="186.38"/>
    <s v="Prem"/>
    <n v="158.423"/>
    <x v="41"/>
    <x v="11"/>
    <s v="upeat aerospace cycle, backlog in sales, dropping oil prices, low historical valuation, maybe posed for 10% breakout to upside bassed on charts (Options Action)"/>
    <m/>
    <m/>
    <m/>
    <m/>
    <m/>
    <m/>
    <m/>
    <m/>
    <m/>
    <m/>
    <m/>
    <s v="BULLISH"/>
    <d v="2023-01-25T00:00:00"/>
    <d v="2023-01-25T00:00:00"/>
    <m/>
    <m/>
    <m/>
    <m/>
    <m/>
    <m/>
    <m/>
    <m/>
    <s v=""/>
    <n v="0"/>
    <n v="0"/>
    <s v=""/>
    <n v="265"/>
    <m/>
    <s v=""/>
    <s v=""/>
    <s v=""/>
    <s v=""/>
    <s v=""/>
    <n v="4.3600000000000003"/>
    <d v="2016-03-04T00:00:00"/>
    <n v="0"/>
    <n v="0"/>
    <n v="2.3393067925743107E-2"/>
    <d v="2018-05-08T00:00:00"/>
    <n v="265"/>
    <n v="191.12"/>
    <n v="0.42182637622062458"/>
    <s v=""/>
    <n v="0"/>
    <n v="0"/>
    <n v="2.5431913295418013E-2"/>
    <n v="180"/>
    <s v="free money"/>
    <n v="180"/>
    <s v="Assignment"/>
    <s v="SPs"/>
    <m/>
    <m/>
    <m/>
    <m/>
    <s v=""/>
    <s v=""/>
    <n v="155.9"/>
    <n v="144.98699999999999"/>
    <m/>
    <d v="2022-12-19T00:00:00"/>
    <n v="173.3"/>
    <n v="205.3"/>
    <n v="163.19999999999999"/>
    <s v="LTD RISE"/>
    <s v="RANGE"/>
    <m/>
    <s v=""/>
    <m/>
    <m/>
    <m/>
    <m/>
    <m/>
    <m/>
    <n v="0"/>
    <n v="0"/>
    <m/>
    <s v=""/>
    <s v=""/>
    <m/>
    <m/>
    <m/>
    <m/>
    <m/>
    <m/>
    <n v="0"/>
    <s v=""/>
    <s v=""/>
    <s v=""/>
    <s v=""/>
    <n v="0"/>
    <s v=""/>
    <n v="0"/>
    <m/>
    <n v="0"/>
    <s v=""/>
    <s v=""/>
    <s v=""/>
    <m/>
    <n v="0"/>
    <m/>
    <s v=""/>
    <s v=""/>
    <s v=""/>
    <m/>
    <s v=""/>
    <s v=""/>
    <s v=""/>
    <s v=""/>
    <s v=""/>
    <m/>
    <m/>
    <s v=""/>
    <s v=""/>
    <s v=""/>
    <s v=""/>
    <m/>
    <m/>
    <m/>
    <m/>
    <m/>
    <m/>
    <n v="0"/>
    <s v=""/>
    <s v=""/>
    <m/>
    <s v=""/>
    <s v=""/>
    <s v=""/>
    <m/>
    <s v=""/>
    <s v=""/>
    <s v=""/>
    <m/>
    <s v=""/>
    <m/>
    <s v=""/>
    <s v=""/>
    <s v=""/>
    <s v=""/>
    <n v="0"/>
    <m/>
    <m/>
    <m/>
    <m/>
    <m/>
    <m/>
    <s v=""/>
    <s v=""/>
    <n v="0"/>
    <n v="0"/>
    <n v="0"/>
    <n v="0"/>
    <s v=""/>
    <m/>
    <n v="0"/>
    <m/>
    <m/>
    <s v=""/>
    <s v=""/>
    <s v=""/>
    <m/>
    <s v=""/>
    <n v="0"/>
    <n v="0"/>
    <s v=""/>
    <s v=""/>
    <s v=""/>
    <s v=""/>
    <s v=""/>
    <s v=""/>
    <s v=""/>
    <s v=""/>
    <s v=""/>
    <s v=""/>
    <s v=""/>
    <s v=""/>
    <s v=""/>
    <s v=""/>
    <s v=""/>
    <s v=""/>
    <s v=""/>
    <s v="Wb"/>
    <n v="0"/>
    <n v="181.56399999999999"/>
    <n v="363.44099999999997"/>
    <m/>
    <m/>
    <n v="0"/>
    <s v=""/>
    <n v="0"/>
    <s v=""/>
    <s v="{63F05D95-E0E2-4096-900B-9BC47E8C48DC}"/>
    <s v=""/>
    <s v=""/>
    <s v=""/>
    <s v=""/>
    <s v=""/>
    <s v=""/>
    <s v=""/>
    <s v=""/>
    <s v=""/>
    <s v=""/>
    <x v="0"/>
    <s v=""/>
  </r>
  <r>
    <s v="CRWD"/>
    <n v="124"/>
    <s v="ER"/>
    <n v="105.39999999999999"/>
    <x v="8"/>
    <x v="3"/>
    <m/>
    <m/>
    <m/>
    <m/>
    <m/>
    <m/>
    <m/>
    <m/>
    <m/>
    <m/>
    <m/>
    <m/>
    <m/>
    <d v="2023-02-28T00:00:00"/>
    <d v="2023-02-28T00:00:00"/>
    <m/>
    <m/>
    <m/>
    <m/>
    <m/>
    <m/>
    <m/>
    <m/>
    <s v=""/>
    <n v="0"/>
    <n v="0"/>
    <s v=""/>
    <m/>
    <m/>
    <s v=""/>
    <s v=""/>
    <s v=""/>
    <s v=""/>
    <s v=""/>
    <m/>
    <m/>
    <n v="0"/>
    <n v="0"/>
    <n v="0"/>
    <m/>
    <m/>
    <n v="233.7"/>
    <s v=""/>
    <s v=""/>
    <n v="0"/>
    <n v="0"/>
    <n v="0.88467741935483857"/>
    <n v="217.5"/>
    <s v="max gain"/>
    <n v="185"/>
    <s v="Assignment"/>
    <s v="RiskReversal"/>
    <s v=""/>
    <m/>
    <m/>
    <m/>
    <s v=""/>
    <s v=""/>
    <n v="0.5"/>
    <n v="0.46499999999999997"/>
    <m/>
    <d v="2022-11-28T00:00:00"/>
    <n v="125.5"/>
    <n v="167.2"/>
    <n v="111.2"/>
    <s v="LTD RISE"/>
    <s v="BEARISH"/>
    <m/>
    <s v=""/>
    <m/>
    <m/>
    <m/>
    <m/>
    <m/>
    <m/>
    <n v="0"/>
    <n v="0"/>
    <m/>
    <s v=""/>
    <s v=""/>
    <m/>
    <m/>
    <m/>
    <m/>
    <m/>
    <m/>
    <n v="0"/>
    <s v=""/>
    <s v=""/>
    <s v=""/>
    <s v=""/>
    <n v="0"/>
    <s v=""/>
    <n v="0"/>
    <n v="0.4"/>
    <n v="0"/>
    <s v=""/>
    <s v=""/>
    <s v=""/>
    <m/>
    <n v="0"/>
    <m/>
    <s v=""/>
    <s v=""/>
    <s v=""/>
    <m/>
    <s v=""/>
    <s v=""/>
    <s v=""/>
    <s v=""/>
    <s v=""/>
    <m/>
    <m/>
    <s v=""/>
    <s v=""/>
    <s v=""/>
    <s v=""/>
    <m/>
    <m/>
    <m/>
    <m/>
    <m/>
    <m/>
    <n v="0"/>
    <s v=""/>
    <s v=""/>
    <m/>
    <s v=""/>
    <s v=""/>
    <s v=""/>
    <s v=""/>
    <s v=""/>
    <s v=""/>
    <s v=""/>
    <m/>
    <s v=""/>
    <m/>
    <s v=""/>
    <s v=""/>
    <s v=""/>
    <s v=""/>
    <n v="0"/>
    <m/>
    <m/>
    <m/>
    <m/>
    <m/>
    <m/>
    <s v=""/>
    <s v=""/>
    <n v="0"/>
    <n v="0"/>
    <n v="0"/>
    <n v="0"/>
    <s v=""/>
    <m/>
    <n v="0"/>
    <n v="0.14000000000000001"/>
    <m/>
    <s v=""/>
    <s v=""/>
    <b v="0"/>
    <d v="2021-03-19T00:00:00"/>
    <s v=""/>
    <n v="0"/>
    <n v="0.14000000000000001"/>
    <n v="1.1290322580645162E-3"/>
    <s v=""/>
    <s v=""/>
    <s v=""/>
    <s v=""/>
    <s v=""/>
    <s v=""/>
    <s v=""/>
    <s v=""/>
    <s v=""/>
    <s v=""/>
    <s v=""/>
    <s v=""/>
    <s v=""/>
    <s v=""/>
    <s v=""/>
    <s v=""/>
    <m/>
    <n v="0"/>
    <n v="222.01499999999999"/>
    <n v="241.79999999999998"/>
    <m/>
    <m/>
    <n v="0"/>
    <s v=""/>
    <n v="0"/>
    <s v=""/>
    <m/>
    <s v=""/>
    <s v=""/>
    <s v=""/>
    <s v=""/>
    <s v=""/>
    <s v=""/>
    <s v=""/>
    <s v=""/>
    <s v=""/>
    <s v=""/>
    <x v="0"/>
    <s v=""/>
  </r>
  <r>
    <s v="CCL"/>
    <n v="22.17"/>
    <s v="Swing"/>
    <n v="18.8445"/>
    <x v="42"/>
    <x v="8"/>
    <m/>
    <m/>
    <m/>
    <m/>
    <m/>
    <m/>
    <m/>
    <m/>
    <m/>
    <m/>
    <m/>
    <m/>
    <s v="BULLISH"/>
    <d v="2022-06-27T09:15:00"/>
    <d v="2022-06-27T09:15:00"/>
    <m/>
    <m/>
    <m/>
    <m/>
    <m/>
    <m/>
    <m/>
    <m/>
    <s v=""/>
    <n v="0"/>
    <n v="0"/>
    <s v=""/>
    <n v="30"/>
    <m/>
    <s v=""/>
    <s v=""/>
    <s v=""/>
    <s v=""/>
    <s v=""/>
    <m/>
    <m/>
    <n v="0"/>
    <n v="0"/>
    <n v="0"/>
    <m/>
    <n v="30"/>
    <n v="24.73"/>
    <n v="0.35317997293640041"/>
    <s v=""/>
    <n v="0"/>
    <n v="0"/>
    <n v="0.11547135769057278"/>
    <n v="22"/>
    <s v="assignment"/>
    <n v="22"/>
    <s v="free money"/>
    <s v="CCs"/>
    <s v=""/>
    <m/>
    <m/>
    <m/>
    <s v=""/>
    <s v=""/>
    <n v="21.42"/>
    <n v="19.9206"/>
    <m/>
    <d v="2022-02-11T00:00:00"/>
    <n v="21"/>
    <n v="27.6"/>
    <n v="19.100000000000001"/>
    <s v="RISE"/>
    <s v="BULLISH"/>
    <m/>
    <m/>
    <m/>
    <m/>
    <m/>
    <m/>
    <m/>
    <m/>
    <n v="0"/>
    <n v="0"/>
    <m/>
    <s v=""/>
    <m/>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3.493500000000001"/>
    <n v="43.231500000000004"/>
    <m/>
    <m/>
    <n v="0"/>
    <s v=""/>
    <n v="0"/>
    <s v=""/>
    <s v="{311E0B8B-81BD-40B8-81C4-D5C5E1BAB6E9}"/>
    <s v=""/>
    <s v=""/>
    <s v=""/>
    <s v=""/>
    <s v=""/>
    <s v=""/>
    <s v=""/>
    <s v=""/>
    <s v=""/>
    <s v=""/>
    <x v="0"/>
    <s v=""/>
  </r>
  <r>
    <s v="CELG"/>
    <n v="95.14"/>
    <m/>
    <n v="80.869"/>
    <x v="23"/>
    <x v="2"/>
    <s v="Revlimid expansion, good pipeline, top &amp; bottom line growth"/>
    <m/>
    <m/>
    <m/>
    <m/>
    <m/>
    <m/>
    <m/>
    <m/>
    <m/>
    <m/>
    <m/>
    <m/>
    <d v="2022-06-27T09:15:00"/>
    <d v="2022-06-27T09:15:00"/>
    <m/>
    <m/>
    <m/>
    <m/>
    <m/>
    <m/>
    <m/>
    <m/>
    <s v=""/>
    <n v="0"/>
    <n v="0"/>
    <s v=""/>
    <m/>
    <m/>
    <s v=""/>
    <s v=""/>
    <s v=""/>
    <s v=""/>
    <s v=""/>
    <n v="0"/>
    <s v="N/A"/>
    <n v="0"/>
    <n v="0"/>
    <n v="0"/>
    <s v="N/A"/>
    <m/>
    <n v="95"/>
    <s v=""/>
    <s v=""/>
    <n v="0"/>
    <n v="0"/>
    <n v="-1.4715156611309708E-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0.25"/>
    <n v="185.523"/>
    <m/>
    <n v="85.79"/>
    <n v="0"/>
    <s v=""/>
    <n v="0"/>
    <s v=""/>
    <s v="{4A731E44-4F2B-4561-912E-BD0220CFAE6D}"/>
    <s v=""/>
    <s v=""/>
    <s v=""/>
    <s v=""/>
    <s v=""/>
    <s v=""/>
    <s v=""/>
    <s v=""/>
    <s v=""/>
    <s v=""/>
    <x v="0"/>
    <s v=""/>
  </r>
  <r>
    <s v="CHKP"/>
    <n v="111.04"/>
    <m/>
    <n v="94.384"/>
    <x v="43"/>
    <x v="3"/>
    <m/>
    <m/>
    <m/>
    <m/>
    <m/>
    <m/>
    <m/>
    <m/>
    <m/>
    <m/>
    <m/>
    <m/>
    <s v="BULLISH"/>
    <d v="2022-07-27T05:00:00"/>
    <d v="2022-07-27T05:00:00"/>
    <m/>
    <m/>
    <m/>
    <m/>
    <m/>
    <m/>
    <m/>
    <m/>
    <s v=""/>
    <n v="0"/>
    <n v="0"/>
    <s v=""/>
    <m/>
    <m/>
    <s v=""/>
    <s v=""/>
    <s v=""/>
    <s v=""/>
    <s v=""/>
    <n v="0"/>
    <s v="N/A"/>
    <n v="0"/>
    <n v="0"/>
    <n v="0"/>
    <s v="N/A"/>
    <m/>
    <n v="105"/>
    <s v=""/>
    <s v=""/>
    <n v="0"/>
    <n v="0"/>
    <n v="-5.4394812680115326E-2"/>
    <n v="101.05"/>
    <s v="ITM"/>
    <n v="101.4"/>
    <s v="Losses"/>
    <m/>
    <s v=""/>
    <m/>
    <m/>
    <m/>
    <s v=""/>
    <s v=""/>
    <m/>
    <s v=""/>
    <m/>
    <d v="2017-03-10T00:00:00"/>
    <n v="101.4"/>
    <n v="103.2"/>
    <n v="95.6"/>
    <s v="LTD DEC"/>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9.75"/>
    <n v="216.52800000000002"/>
    <m/>
    <m/>
    <n v="0"/>
    <s v=""/>
    <n v="0"/>
    <s v=""/>
    <s v="{6E07AF3B-33E1-4BED-8E7D-98B27ED6EB22}"/>
    <s v=""/>
    <s v=""/>
    <s v=""/>
    <s v=""/>
    <s v=""/>
    <s v=""/>
    <s v=""/>
    <s v=""/>
    <s v=""/>
    <s v=""/>
    <x v="0"/>
    <s v=""/>
  </r>
  <r>
    <s v="CHWY"/>
    <n v="113.95"/>
    <s v="Swing"/>
    <n v="96.857500000000002"/>
    <x v="29"/>
    <x v="1"/>
    <m/>
    <m/>
    <m/>
    <m/>
    <m/>
    <m/>
    <m/>
    <m/>
    <m/>
    <m/>
    <m/>
    <m/>
    <m/>
    <d v="2022-08-31T16:05:00"/>
    <d v="2022-08-31T16:05:00"/>
    <m/>
    <m/>
    <m/>
    <m/>
    <m/>
    <m/>
    <m/>
    <m/>
    <s v=""/>
    <n v="0"/>
    <n v="0"/>
    <s v=""/>
    <m/>
    <m/>
    <s v=""/>
    <s v=""/>
    <s v=""/>
    <s v=""/>
    <s v=""/>
    <m/>
    <m/>
    <n v="0"/>
    <n v="0"/>
    <n v="0"/>
    <m/>
    <m/>
    <n v="101.42"/>
    <s v=""/>
    <s v=""/>
    <n v="0"/>
    <n v="0"/>
    <n v="-0.10996050899517333"/>
    <n v="120"/>
    <s v="ITM"/>
    <n v="106.83"/>
    <s v="stop out"/>
    <m/>
    <s v=""/>
    <m/>
    <m/>
    <m/>
    <s v=""/>
    <s v=""/>
    <n v="9.19"/>
    <n v="8.5466999999999995"/>
    <m/>
    <d v="2021-02-17T00:00:00"/>
    <n v="101.2"/>
    <n v="129.97"/>
    <n v="87.12"/>
    <s v="RANGE"/>
    <s v="RANGE"/>
    <m/>
    <s v=""/>
    <m/>
    <m/>
    <m/>
    <m/>
    <m/>
    <m/>
    <n v="0"/>
    <n v="0"/>
    <m/>
    <s v=""/>
    <s v=""/>
    <m/>
    <m/>
    <m/>
    <m/>
    <m/>
    <m/>
    <n v="0"/>
    <s v=""/>
    <s v=""/>
    <s v=""/>
    <s v=""/>
    <n v="0"/>
    <s v=""/>
    <n v="0"/>
    <m/>
    <n v="0"/>
    <s v=""/>
    <s v=""/>
    <s v=""/>
    <m/>
    <n v="0"/>
    <m/>
    <s v=""/>
    <s v=""/>
    <s v=""/>
    <m/>
    <s v=""/>
    <s v=""/>
    <s v=""/>
    <s v=""/>
    <s v=""/>
    <m/>
    <m/>
    <s v=""/>
    <s v=""/>
    <s v=""/>
    <s v=""/>
    <m/>
    <m/>
    <m/>
    <m/>
    <m/>
    <m/>
    <n v="0"/>
    <s v=""/>
    <s v=""/>
    <m/>
    <s v=""/>
    <s v=""/>
    <s v=""/>
    <s v=""/>
    <s v=""/>
    <s v=""/>
    <s v=""/>
    <m/>
    <s v=""/>
    <s v="Stock 6.83"/>
    <s v=""/>
    <s v=""/>
    <s v=""/>
    <s v=""/>
    <n v="0"/>
    <m/>
    <m/>
    <m/>
    <m/>
    <m/>
    <m/>
    <s v=""/>
    <s v=""/>
    <n v="0"/>
    <n v="0"/>
    <n v="0"/>
    <n v="0"/>
    <s v=""/>
    <m/>
    <n v="0"/>
    <m/>
    <m/>
    <s v=""/>
    <s v=""/>
    <s v=""/>
    <m/>
    <s v=""/>
    <n v="0"/>
    <n v="0"/>
    <s v=""/>
    <s v=""/>
    <s v=""/>
    <s v=""/>
    <s v=""/>
    <s v=""/>
    <s v=""/>
    <s v=""/>
    <s v=""/>
    <s v=""/>
    <s v=""/>
    <s v=""/>
    <s v=""/>
    <s v=""/>
    <s v=""/>
    <s v=""/>
    <s v=""/>
    <m/>
    <n v="0"/>
    <n v="96.349000000000004"/>
    <n v="222.20249999999999"/>
    <m/>
    <m/>
    <n v="0"/>
    <s v=""/>
    <n v="0"/>
    <s v=""/>
    <m/>
    <s v=""/>
    <s v=""/>
    <s v=""/>
    <s v=""/>
    <s v=""/>
    <s v=""/>
    <s v=""/>
    <s v=""/>
    <s v=""/>
    <s v=""/>
    <x v="0"/>
    <s v=""/>
  </r>
  <r>
    <s v="CI"/>
    <n v="169.9"/>
    <m/>
    <n v="144.41499999999999"/>
    <x v="25"/>
    <x v="2"/>
    <s v="10% discount to peers, buybacks &amp; div increases likely, growing international assets, well positioned for ACA driven volume, higher interest rates"/>
    <m/>
    <m/>
    <m/>
    <m/>
    <m/>
    <m/>
    <m/>
    <m/>
    <m/>
    <m/>
    <m/>
    <m/>
    <d v="2022-08-05T06:00:00"/>
    <d v="2022-08-05T06:00:00"/>
    <m/>
    <m/>
    <m/>
    <m/>
    <m/>
    <m/>
    <m/>
    <m/>
    <s v=""/>
    <n v="0"/>
    <n v="0"/>
    <s v=""/>
    <m/>
    <m/>
    <s v=""/>
    <s v=""/>
    <s v=""/>
    <s v=""/>
    <s v=""/>
    <n v="0.04"/>
    <d v="2016-04-10T00:00:00"/>
    <n v="0"/>
    <n v="0"/>
    <n v="2.3543260741612713E-4"/>
    <d v="2015-03-06T00:00:00"/>
    <m/>
    <n v="115"/>
    <s v=""/>
    <s v=""/>
    <n v="0"/>
    <n v="0"/>
    <n v="-0.32313125367863449"/>
    <m/>
    <m/>
    <m/>
    <m/>
    <m/>
    <s v=""/>
    <m/>
    <m/>
    <m/>
    <s v=""/>
    <s v=""/>
    <m/>
    <s v=""/>
    <m/>
    <m/>
    <m/>
    <m/>
    <m/>
    <m/>
    <m/>
    <m/>
    <s v=""/>
    <m/>
    <m/>
    <m/>
    <m/>
    <d v="2017-03-20T00:00:00"/>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9.25"/>
    <n v="331.30500000000001"/>
    <m/>
    <m/>
    <n v="0"/>
    <s v=""/>
    <n v="0"/>
    <s v=""/>
    <s v="{8CE45186-8D96-4B2E-B729-556BB99CE679}"/>
    <s v=""/>
    <s v=""/>
    <s v=""/>
    <s v=""/>
    <s v=""/>
    <s v=""/>
    <s v=""/>
    <s v=""/>
    <s v=""/>
    <s v=""/>
    <x v="0"/>
    <s v=""/>
  </r>
  <r>
    <s v="CIEN"/>
    <n v="59.6"/>
    <s v="Swing"/>
    <n v="50.66"/>
    <x v="44"/>
    <x v="3"/>
    <s v="growth"/>
    <s v="dependent on telecom capex &amp; China LTE, which is slowing"/>
    <m/>
    <s v="UP"/>
    <s v="DIVERGE"/>
    <s v="UP"/>
    <s v="NO CROSS"/>
    <s v="Middle"/>
    <s v="UP"/>
    <s v="LOW"/>
    <m/>
    <m/>
    <s v="BULLISH"/>
    <d v="2022-09-01T07:00:00"/>
    <d v="2022-09-01T07:00:00"/>
    <m/>
    <m/>
    <m/>
    <m/>
    <m/>
    <m/>
    <m/>
    <m/>
    <s v=""/>
    <n v="0"/>
    <n v="0"/>
    <s v=""/>
    <m/>
    <m/>
    <s v=""/>
    <s v=""/>
    <s v=""/>
    <s v=""/>
    <s v=""/>
    <n v="0"/>
    <s v="N/A"/>
    <n v="0"/>
    <n v="0"/>
    <n v="0"/>
    <s v="N/A"/>
    <n v="68"/>
    <n v="60.88"/>
    <n v="0.1409395973154362"/>
    <s v=""/>
    <n v="0"/>
    <n v="0"/>
    <n v="2.1476510067114114E-2"/>
    <n v="59.8"/>
    <s v="T1"/>
    <n v="53.9"/>
    <s v="stop out"/>
    <s v="long equity"/>
    <s v=""/>
    <m/>
    <m/>
    <m/>
    <s v=""/>
    <s v=""/>
    <m/>
    <s v=""/>
    <m/>
    <d v="2020-08-20T00:00:00"/>
    <n v="57.1"/>
    <n v="65.400000000000006"/>
    <n v="54.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57.835999999999999"/>
    <n v="116.22"/>
    <m/>
    <n v="22.18"/>
    <n v="0"/>
    <s v=""/>
    <n v="0"/>
    <s v=""/>
    <s v="{B2212D8D-E00F-46D2-941D-A6E6530FBC13}"/>
    <s v=""/>
    <s v=""/>
    <s v=""/>
    <s v=""/>
    <s v=""/>
    <s v=""/>
    <s v=""/>
    <s v=""/>
    <s v=""/>
    <s v=""/>
    <x v="0"/>
    <s v=""/>
  </r>
  <r>
    <s v="GOOGL"/>
    <n v="94.75"/>
    <s v="CORE"/>
    <n v="80.537499999999994"/>
    <x v="45"/>
    <x v="3"/>
    <s v="Great quarter with beats on top and bottom, well primed for growth in mobile and &quot;other bets&quot;"/>
    <m/>
    <m/>
    <s v="DOWN"/>
    <s v="NEUTRAL"/>
    <s v="DOWN"/>
    <s v="DOWN"/>
    <s v="Middle"/>
    <s v="SIDEWAYS"/>
    <s v="HIGH"/>
    <m/>
    <m/>
    <s v="BULLISH"/>
    <d v="2022-07-26T16:00:00"/>
    <d v="2022-07-26T16:00:00"/>
    <m/>
    <m/>
    <m/>
    <n v="1"/>
    <b v="1"/>
    <m/>
    <m/>
    <m/>
    <s v=""/>
    <n v="0"/>
    <n v="0"/>
    <s v=""/>
    <n v="2727"/>
    <n v="2565"/>
    <s v=""/>
    <s v=""/>
    <s v=""/>
    <s v=""/>
    <s v=""/>
    <n v="0"/>
    <s v="N/A"/>
    <n v="0"/>
    <n v="0"/>
    <n v="0"/>
    <s v="N/A"/>
    <n v="1600"/>
    <n v="1541.44"/>
    <n v="15.886543535620053"/>
    <s v=""/>
    <n v="0"/>
    <n v="0"/>
    <n v="15.268496042216359"/>
    <n v="2727"/>
    <s v="T1"/>
    <n v="2518"/>
    <s v="stop out"/>
    <s v="long equity"/>
    <s v=""/>
    <m/>
    <m/>
    <m/>
    <s v=""/>
    <s v=""/>
    <n v="2537.5"/>
    <n v="2359.875"/>
    <m/>
    <d v="2022-04-19T00:00:00"/>
    <n v="2567"/>
    <n v="2664.25"/>
    <n v="2534"/>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64.3679999999999"/>
    <n v="184.76249999999999"/>
    <m/>
    <n v="658.88"/>
    <n v="0"/>
    <s v=""/>
    <n v="0"/>
    <s v=""/>
    <s v="{BFC823CD-F066-4E0C-9526-21836E28F5F4}"/>
    <s v=""/>
    <s v=""/>
    <s v=""/>
    <s v=""/>
    <s v=""/>
    <s v=""/>
    <s v=""/>
    <s v=""/>
    <s v=""/>
    <s v=""/>
    <x v="0"/>
    <s v=""/>
  </r>
  <r>
    <s v="CLF"/>
    <n v="30.56"/>
    <s v="Position"/>
    <n v="25.975999999999999"/>
    <x v="46"/>
    <x v="0"/>
    <m/>
    <m/>
    <m/>
    <m/>
    <m/>
    <m/>
    <m/>
    <m/>
    <m/>
    <m/>
    <m/>
    <m/>
    <s v="BULLISH"/>
    <d v="2022-07-22T06:00:00"/>
    <d v="2022-07-22T06:00:00"/>
    <m/>
    <m/>
    <m/>
    <m/>
    <m/>
    <m/>
    <m/>
    <m/>
    <s v=""/>
    <n v="0"/>
    <n v="0"/>
    <s v=""/>
    <m/>
    <m/>
    <s v=""/>
    <s v=""/>
    <s v=""/>
    <s v=""/>
    <s v=""/>
    <m/>
    <m/>
    <n v="0"/>
    <n v="0"/>
    <n v="0"/>
    <m/>
    <m/>
    <n v="31.86"/>
    <s v=""/>
    <s v=""/>
    <n v="0"/>
    <n v="0"/>
    <n v="4.253926701570683E-2"/>
    <m/>
    <m/>
    <m/>
    <m/>
    <s v="SPs"/>
    <s v=""/>
    <n v="28"/>
    <m/>
    <m/>
    <s v=""/>
    <s v=""/>
    <n v="32.299999999999997"/>
    <n v="30.038999999999994"/>
    <m/>
    <d v="2022-04-18T00:00:00"/>
    <n v="27.7"/>
    <n v="36.6"/>
    <n v="24.7"/>
    <s v="LTD RISE"/>
    <s v="RANGE"/>
    <m/>
    <s v=""/>
    <m/>
    <m/>
    <m/>
    <m/>
    <m/>
    <m/>
    <n v="0"/>
    <n v="0"/>
    <m/>
    <s v=""/>
    <s v=""/>
    <m/>
    <m/>
    <m/>
    <m/>
    <m/>
    <m/>
    <n v="0"/>
    <s v=""/>
    <s v=""/>
    <s v=""/>
    <s v=""/>
    <n v="0"/>
    <s v=""/>
    <n v="0"/>
    <m/>
    <n v="0"/>
    <s v=""/>
    <s v=""/>
    <s v=""/>
    <m/>
    <n v="0"/>
    <m/>
    <s v=""/>
    <s v=""/>
    <s v=""/>
    <m/>
    <s v=""/>
    <s v=""/>
    <s v=""/>
    <s v=""/>
    <s v=""/>
    <n v="28"/>
    <m/>
    <s v=""/>
    <s v=""/>
    <s v=""/>
    <s v=""/>
    <m/>
    <m/>
    <m/>
    <m/>
    <m/>
    <m/>
    <n v="0"/>
    <s v=""/>
    <s v=""/>
    <m/>
    <s v=""/>
    <s v=""/>
    <s v=""/>
    <s v=""/>
    <s v=""/>
    <s v=""/>
    <s v=""/>
    <m/>
    <s v=""/>
    <m/>
    <s v=""/>
    <s v=""/>
    <s v=""/>
    <s v=""/>
    <n v="0"/>
    <m/>
    <m/>
    <m/>
    <m/>
    <m/>
    <m/>
    <s v=""/>
    <s v=""/>
    <n v="0"/>
    <n v="0"/>
    <n v="0"/>
    <n v="0"/>
    <s v=""/>
    <m/>
    <n v="0"/>
    <m/>
    <m/>
    <s v=""/>
    <s v=""/>
    <s v=""/>
    <m/>
    <s v=""/>
    <n v="0"/>
    <n v="0"/>
    <s v=""/>
    <s v=""/>
    <s v=""/>
    <s v=""/>
    <s v=""/>
    <s v=""/>
    <s v=""/>
    <s v=""/>
    <s v=""/>
    <s v=""/>
    <s v=""/>
    <s v=""/>
    <s v=""/>
    <s v=""/>
    <s v=""/>
    <s v=""/>
    <s v=""/>
    <m/>
    <n v="0"/>
    <n v="30.266999999999999"/>
    <n v="59.591999999999999"/>
    <m/>
    <m/>
    <n v="0"/>
    <s v=""/>
    <n v="0"/>
    <s v=""/>
    <m/>
    <s v=""/>
    <s v=""/>
    <s v=""/>
    <s v=""/>
    <s v=""/>
    <s v=""/>
    <s v=""/>
    <s v=""/>
    <s v=""/>
    <s v=""/>
    <x v="0"/>
    <s v=""/>
  </r>
  <r>
    <s v="JPM"/>
    <n v="98.28"/>
    <m/>
    <n v="83.537999999999997"/>
    <x v="47"/>
    <x v="7"/>
    <s v="interest rate recovery"/>
    <m/>
    <m/>
    <m/>
    <m/>
    <m/>
    <m/>
    <m/>
    <m/>
    <m/>
    <s v="115 call, 100 P"/>
    <m/>
    <s v="BULLISH"/>
    <d v="2022-07-13T07:00:00"/>
    <d v="2022-07-13T07:00:00"/>
    <m/>
    <m/>
    <m/>
    <n v="1"/>
    <b v="1"/>
    <m/>
    <m/>
    <m/>
    <s v=""/>
    <n v="0"/>
    <n v="0"/>
    <s v=""/>
    <m/>
    <m/>
    <s v=""/>
    <s v=""/>
    <s v=""/>
    <s v=""/>
    <s v=""/>
    <n v="3.6"/>
    <d v="2019-10-31T00:00:00"/>
    <n v="0"/>
    <n v="0"/>
    <n v="3.6630036630036632E-2"/>
    <d v="2020-01-03T00:00:00"/>
    <n v="120"/>
    <n v="113.88"/>
    <n v="0.22100122100122099"/>
    <s v=""/>
    <n v="0"/>
    <n v="0"/>
    <n v="0.15873015873015867"/>
    <m/>
    <m/>
    <m/>
    <m/>
    <m/>
    <s v=""/>
    <m/>
    <m/>
    <m/>
    <s v=""/>
    <s v=""/>
    <m/>
    <s v=""/>
    <m/>
    <d v="2019-12-18T00:00:00"/>
    <n v="135.4"/>
    <n v="132.30000000000001"/>
    <n v="144.4"/>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8.18599999999999"/>
    <n v="191.64599999999999"/>
    <m/>
    <m/>
    <n v="0"/>
    <s v=""/>
    <n v="0"/>
    <s v=""/>
    <s v="{DC95900F-070B-46FA-82EA-E3F4CD7332C9}"/>
    <s v=""/>
    <s v=""/>
    <s v=""/>
    <s v=""/>
    <s v=""/>
    <s v=""/>
    <s v=""/>
    <s v=""/>
    <s v=""/>
    <s v=""/>
    <x v="0"/>
    <s v=""/>
  </r>
  <r>
    <s v="CMCSA"/>
    <n v="43.35"/>
    <m/>
    <n v="36.847500000000004"/>
    <x v="40"/>
    <x v="8"/>
    <s v="good 3 Q, expected merger w/ TWC"/>
    <m/>
    <m/>
    <s v="UP"/>
    <s v="DIVERGE"/>
    <s v="NO CROSS"/>
    <s v="NO CROSS"/>
    <s v="Middle"/>
    <s v="UP"/>
    <s v="HIGH"/>
    <m/>
    <m/>
    <s v="BULLISH"/>
    <d v="2022-07-28T07:00:00"/>
    <d v="2022-07-28T07:00:00"/>
    <m/>
    <s v="tax reform beneficiary, provider of data to growing data stream consumers"/>
    <m/>
    <m/>
    <b v="1"/>
    <m/>
    <m/>
    <m/>
    <s v=""/>
    <n v="0"/>
    <n v="0"/>
    <s v=""/>
    <m/>
    <m/>
    <s v=""/>
    <s v=""/>
    <s v=""/>
    <s v=""/>
    <s v=""/>
    <n v="0.84"/>
    <s v="2/233/2020"/>
    <n v="0"/>
    <n v="0"/>
    <n v="1.9377162629757784E-2"/>
    <d v="2020-02-01T00:00:00"/>
    <n v="56"/>
    <n v="45.6"/>
    <n v="0.29181084198385232"/>
    <s v=""/>
    <n v="0"/>
    <n v="0"/>
    <n v="5.1903114186851208E-2"/>
    <m/>
    <m/>
    <m/>
    <m/>
    <m/>
    <s v=""/>
    <m/>
    <m/>
    <m/>
    <s v=""/>
    <s v=""/>
    <m/>
    <s v=""/>
    <m/>
    <d v="2019-10-08T00:00:00"/>
    <n v="45.8"/>
    <n v="47.1"/>
    <n v="41.3"/>
    <s v="DECLINE"/>
    <s v="RANGE"/>
    <m/>
    <s v=""/>
    <m/>
    <m/>
    <m/>
    <m/>
    <d v="2017-03-16T00:00:00"/>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43.32"/>
    <n v="84.532499999999999"/>
    <m/>
    <m/>
    <n v="0"/>
    <s v=""/>
    <n v="0"/>
    <s v=""/>
    <s v="{AED795D5-2E25-4180-A8C0-B5134F39EF1B}"/>
    <s v=""/>
    <s v=""/>
    <s v=""/>
    <s v=""/>
    <s v=""/>
    <s v=""/>
    <s v=""/>
    <s v=""/>
    <s v=""/>
    <s v=""/>
    <x v="0"/>
    <s v=""/>
  </r>
  <r>
    <s v="CMG"/>
    <n v="817.9"/>
    <m/>
    <n v="695.21499999999992"/>
    <x v="48"/>
    <x v="8"/>
    <m/>
    <m/>
    <m/>
    <m/>
    <m/>
    <m/>
    <m/>
    <m/>
    <m/>
    <m/>
    <m/>
    <m/>
    <s v="BEARISH"/>
    <d v="2022-07-26T16:10:00"/>
    <d v="2022-07-26T16:10:00"/>
    <m/>
    <m/>
    <m/>
    <m/>
    <m/>
    <m/>
    <m/>
    <m/>
    <s v=""/>
    <n v="0"/>
    <n v="0"/>
    <s v=""/>
    <m/>
    <m/>
    <s v=""/>
    <s v=""/>
    <s v=""/>
    <s v=""/>
    <s v=""/>
    <m/>
    <m/>
    <n v="0"/>
    <n v="0"/>
    <n v="0"/>
    <m/>
    <m/>
    <n v="557.25"/>
    <s v=""/>
    <s v=""/>
    <n v="0"/>
    <n v="0"/>
    <n v="-0.3186819904633818"/>
    <m/>
    <m/>
    <m/>
    <m/>
    <m/>
    <s v=""/>
    <m/>
    <m/>
    <m/>
    <s v=""/>
    <s v=""/>
    <m/>
    <s v=""/>
    <m/>
    <d v="2019-03-26T00:00:00"/>
    <n v="655"/>
    <n v="724"/>
    <n v="648"/>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29.38749999999993"/>
    <n v="1594.905"/>
    <m/>
    <m/>
    <n v="0"/>
    <s v=""/>
    <n v="0"/>
    <s v=""/>
    <s v="{3065901B-0E6A-4B5B-9C22-C090FF560A70}"/>
    <s v=""/>
    <s v=""/>
    <s v=""/>
    <s v=""/>
    <s v=""/>
    <s v=""/>
    <s v=""/>
    <s v=""/>
    <s v=""/>
    <s v=""/>
    <x v="0"/>
    <s v=""/>
  </r>
  <r>
    <s v="CMI"/>
    <n v="149.96"/>
    <m/>
    <n v="127.46600000000001"/>
    <x v="49"/>
    <x v="13"/>
    <s v="truck-cycle story"/>
    <m/>
    <m/>
    <m/>
    <m/>
    <m/>
    <m/>
    <m/>
    <m/>
    <m/>
    <m/>
    <m/>
    <m/>
    <d v="2022-08-02T07:30:00"/>
    <d v="2022-08-02T07:30:00"/>
    <m/>
    <m/>
    <m/>
    <m/>
    <m/>
    <m/>
    <m/>
    <m/>
    <s v=""/>
    <n v="0"/>
    <n v="0"/>
    <s v=""/>
    <m/>
    <m/>
    <s v=""/>
    <s v=""/>
    <s v=""/>
    <s v=""/>
    <s v=""/>
    <n v="3.9"/>
    <d v="2015-12-01T00:00:00"/>
    <n v="0"/>
    <n v="0"/>
    <n v="2.600693518271539E-2"/>
    <d v="2015-08-17T00:00:00"/>
    <m/>
    <n v="155"/>
    <s v=""/>
    <s v=""/>
    <n v="0"/>
    <n v="0"/>
    <n v="3.3608962389970604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7.25"/>
    <n v="292.42200000000003"/>
    <m/>
    <m/>
    <n v="0"/>
    <s v=""/>
    <n v="0"/>
    <s v=""/>
    <s v="{E59D9FE5-220D-4884-9455-EAAC127F89FD}"/>
    <s v=""/>
    <s v=""/>
    <s v=""/>
    <s v=""/>
    <s v=""/>
    <s v=""/>
    <s v=""/>
    <s v=""/>
    <s v=""/>
    <s v=""/>
    <x v="0"/>
    <s v=""/>
  </r>
  <r>
    <s v="CNC"/>
    <n v="48.7"/>
    <m/>
    <n v="41.395000000000003"/>
    <x v="25"/>
    <x v="2"/>
    <m/>
    <m/>
    <m/>
    <m/>
    <m/>
    <m/>
    <m/>
    <m/>
    <m/>
    <m/>
    <m/>
    <m/>
    <s v="NEUTRAL"/>
    <d v="2022-07-26T06:00:00"/>
    <d v="2022-07-26T06:00:00"/>
    <m/>
    <m/>
    <m/>
    <m/>
    <m/>
    <m/>
    <m/>
    <m/>
    <s v=""/>
    <n v="0"/>
    <n v="0"/>
    <s v=""/>
    <m/>
    <m/>
    <s v=""/>
    <s v=""/>
    <s v=""/>
    <s v=""/>
    <s v=""/>
    <m/>
    <m/>
    <n v="0"/>
    <n v="0"/>
    <n v="0"/>
    <m/>
    <m/>
    <n v="74.78"/>
    <s v=""/>
    <s v=""/>
    <n v="0"/>
    <n v="0"/>
    <n v="0.53552361396303894"/>
    <n v="60"/>
    <s v="Losses"/>
    <n v="45"/>
    <s v="Losses"/>
    <s v="condor"/>
    <s v=""/>
    <m/>
    <m/>
    <m/>
    <s v=""/>
    <s v=""/>
    <m/>
    <s v=""/>
    <m/>
    <d v="2019-05-21T00:00:00"/>
    <n v="52.4"/>
    <n v="65.400000000000006"/>
    <n v="47.9"/>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1.040999999999997"/>
    <n v="94.965000000000003"/>
    <m/>
    <m/>
    <n v="0"/>
    <s v=""/>
    <n v="0"/>
    <s v=""/>
    <s v="{654C2FCB-9A05-47F2-90C8-C8F4390EF8B3}"/>
    <s v=""/>
    <s v=""/>
    <s v=""/>
    <s v=""/>
    <s v=""/>
    <s v=""/>
    <s v=""/>
    <s v=""/>
    <s v=""/>
    <s v=""/>
    <x v="0"/>
    <s v=""/>
  </r>
  <r>
    <s v="CODA"/>
    <n v="10.130000000000001"/>
    <m/>
    <n v="8.6105"/>
    <x v="50"/>
    <x v="13"/>
    <m/>
    <m/>
    <m/>
    <m/>
    <m/>
    <m/>
    <m/>
    <m/>
    <m/>
    <m/>
    <m/>
    <m/>
    <s v="BULLISH"/>
    <d v="2022-07-26T06:00:00"/>
    <d v="2022-07-26T06:00:00"/>
    <m/>
    <m/>
    <m/>
    <m/>
    <m/>
    <m/>
    <m/>
    <m/>
    <s v=""/>
    <n v="0"/>
    <n v="0"/>
    <s v=""/>
    <m/>
    <m/>
    <s v=""/>
    <s v=""/>
    <s v=""/>
    <s v=""/>
    <s v=""/>
    <m/>
    <m/>
    <n v="0"/>
    <n v="0"/>
    <n v="0"/>
    <m/>
    <m/>
    <n v="18"/>
    <s v=""/>
    <s v=""/>
    <n v="0"/>
    <n v="0"/>
    <n v="0.77690029615004919"/>
    <n v="19.28"/>
    <s v="T1"/>
    <n v="9.25"/>
    <s v="stop out"/>
    <s v="long equity"/>
    <s v=""/>
    <m/>
    <m/>
    <m/>
    <s v=""/>
    <s v=""/>
    <m/>
    <s v=""/>
    <m/>
    <d v="2019-08-29T00:00:00"/>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7.099999999999998"/>
    <n v="19.753500000000003"/>
    <m/>
    <m/>
    <n v="0"/>
    <s v=""/>
    <n v="0"/>
    <s v=""/>
    <s v="{5F6927B9-1611-4D3F-819A-DDAD55F0BEF3}"/>
    <s v=""/>
    <s v=""/>
    <s v=""/>
    <s v=""/>
    <s v=""/>
    <s v=""/>
    <s v=""/>
    <s v=""/>
    <s v=""/>
    <s v=""/>
    <x v="0"/>
    <s v=""/>
  </r>
  <r>
    <s v="CODX"/>
    <n v="18.55"/>
    <s v="Swing"/>
    <n v="15.7675"/>
    <x v="51"/>
    <x v="2"/>
    <m/>
    <m/>
    <m/>
    <m/>
    <m/>
    <m/>
    <m/>
    <m/>
    <m/>
    <m/>
    <m/>
    <m/>
    <s v="BULLISH"/>
    <d v="2022-08-11T16:00:00"/>
    <d v="2022-08-11T16:00:00"/>
    <m/>
    <m/>
    <m/>
    <m/>
    <m/>
    <m/>
    <m/>
    <m/>
    <s v=""/>
    <n v="0"/>
    <n v="0"/>
    <s v=""/>
    <m/>
    <m/>
    <s v=""/>
    <s v=""/>
    <s v=""/>
    <s v=""/>
    <s v=""/>
    <m/>
    <m/>
    <n v="0"/>
    <n v="0"/>
    <n v="0"/>
    <m/>
    <m/>
    <m/>
    <s v=""/>
    <s v=""/>
    <n v="0"/>
    <n v="0"/>
    <s v=""/>
    <m/>
    <m/>
    <m/>
    <m/>
    <m/>
    <s v=""/>
    <m/>
    <m/>
    <m/>
    <s v=""/>
    <s v=""/>
    <m/>
    <s v=""/>
    <m/>
    <m/>
    <m/>
    <m/>
    <m/>
    <m/>
    <m/>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36.172499999999999"/>
    <m/>
    <m/>
    <n v="0"/>
    <s v=""/>
    <n v="0"/>
    <s v=""/>
    <s v="{1B78C132-DDDC-42BB-BF3A-0E6EBA0B6893}"/>
    <s v=""/>
    <s v=""/>
    <s v=""/>
    <s v=""/>
    <s v=""/>
    <s v=""/>
    <s v=""/>
    <s v=""/>
    <s v=""/>
    <s v=""/>
    <x v="0"/>
    <s v=""/>
  </r>
  <r>
    <s v="BOIL"/>
    <n v="21.54"/>
    <s v="Swing"/>
    <n v="18.308999999999997"/>
    <x v="52"/>
    <x v="7"/>
    <m/>
    <m/>
    <m/>
    <m/>
    <m/>
    <m/>
    <m/>
    <m/>
    <m/>
    <m/>
    <m/>
    <m/>
    <s v="BULLISH"/>
    <d v="2023-02-08T00:00:00"/>
    <d v="2023-02-08T00:00:00"/>
    <m/>
    <m/>
    <m/>
    <m/>
    <m/>
    <m/>
    <m/>
    <m/>
    <s v=""/>
    <n v="0"/>
    <n v="0"/>
    <s v=""/>
    <m/>
    <m/>
    <s v=""/>
    <s v=""/>
    <s v=""/>
    <s v=""/>
    <s v=""/>
    <m/>
    <m/>
    <n v="0"/>
    <n v="0"/>
    <n v="0"/>
    <m/>
    <m/>
    <m/>
    <s v=""/>
    <s v=""/>
    <n v="0"/>
    <n v="0"/>
    <s v=""/>
    <n v="41"/>
    <s v="free money"/>
    <n v="41"/>
    <s v="Assignment"/>
    <s v="SPs"/>
    <s v=""/>
    <m/>
    <m/>
    <m/>
    <s v=""/>
    <s v=""/>
    <n v="35.28"/>
    <n v="32.810400000000001"/>
    <m/>
    <d v="2022-12-23T00:00:00"/>
    <n v="24.9"/>
    <n v="28.69"/>
    <n v="14.46"/>
    <s v="DECLINE"/>
    <s v="BULLISH"/>
    <m/>
    <d v="2023-01-20T00:00:00"/>
    <m/>
    <m/>
    <m/>
    <m/>
    <m/>
    <m/>
    <n v="0"/>
    <n v="0"/>
    <m/>
    <s v=""/>
    <s v=""/>
    <d v="2023-01-20T00:00:00"/>
    <n v="41"/>
    <n v="8"/>
    <d v="2022-12-12T00:00:00"/>
    <d v="2022-12-12T00:00:00"/>
    <n v="11.08"/>
    <n v="8864"/>
    <n v="29.92"/>
    <n v="39"/>
    <n v="0.27024390243902441"/>
    <n v="8.3815993370620596"/>
    <n v="32800"/>
    <n v="-0.38904363974001871"/>
    <n v="32800"/>
    <m/>
    <n v="32800"/>
    <s v=""/>
    <s v=""/>
    <n v="-6704"/>
    <n v="18.600000000000001"/>
    <n v="2.2160000000000002"/>
    <m/>
    <n v="2.2160000000000002"/>
    <d v="2022-12-31T16:00:00"/>
    <b v="0"/>
    <d v="2022-12-31T00:00:00"/>
    <n v="1772.8000000000002"/>
    <n v="39.769999999999996"/>
    <n v="7879.9999999999964"/>
    <n v="13.85"/>
    <n v="2216"/>
    <m/>
    <m/>
    <s v=""/>
    <n v="-14880.000000000002"/>
    <n v="-6016.0000000000018"/>
    <n v="-0.67870036101083053"/>
    <m/>
    <m/>
    <m/>
    <m/>
    <m/>
    <m/>
    <n v="0"/>
    <s v=""/>
    <s v=""/>
    <m/>
    <s v=""/>
    <s v=""/>
    <s v=""/>
    <s v=""/>
    <s v=""/>
    <s v=""/>
    <s v=""/>
    <m/>
    <s v=""/>
    <m/>
    <s v=""/>
    <s v=""/>
    <s v=""/>
    <s v=""/>
    <n v="0"/>
    <m/>
    <m/>
    <m/>
    <m/>
    <m/>
    <m/>
    <s v=""/>
    <s v=""/>
    <n v="0"/>
    <n v="0"/>
    <n v="0"/>
    <n v="0"/>
    <s v=""/>
    <m/>
    <n v="0"/>
    <m/>
    <m/>
    <s v=""/>
    <s v=""/>
    <s v=""/>
    <m/>
    <s v=""/>
    <n v="0"/>
    <n v="0"/>
    <s v=""/>
    <s v=""/>
    <s v=""/>
    <s v=""/>
    <s v=""/>
    <s v=""/>
    <s v=""/>
    <s v=""/>
    <s v=""/>
    <s v=""/>
    <s v=""/>
    <s v=""/>
    <s v=""/>
    <s v=""/>
    <s v=""/>
    <s v=""/>
    <s v=""/>
    <m/>
    <n v="0"/>
    <n v="0"/>
    <n v="42.003"/>
    <m/>
    <m/>
    <n v="0"/>
    <s v=""/>
    <n v="0"/>
    <s v=""/>
    <s v="{BFDC771B-85D2-4BAE-B1D3-929E2BEC40CB}"/>
    <s v=""/>
    <s v=""/>
    <s v="BOIL230120P00041000"/>
    <n v="1"/>
    <s v=""/>
    <s v=""/>
    <s v=""/>
    <s v=""/>
    <s v="Y"/>
    <s v="SP "/>
    <x v="4"/>
    <n v="1.5690599830864564E-2"/>
  </r>
  <r>
    <s v="NLOK"/>
    <n v="20.385000000000002"/>
    <m/>
    <n v="17.327249999999999"/>
    <x v="8"/>
    <x v="3"/>
    <m/>
    <m/>
    <m/>
    <m/>
    <m/>
    <m/>
    <m/>
    <m/>
    <m/>
    <m/>
    <m/>
    <m/>
    <m/>
    <d v="2022-08-04T16:50:00"/>
    <d v="2022-08-04T16:50:00"/>
    <m/>
    <m/>
    <m/>
    <n v="1"/>
    <m/>
    <m/>
    <m/>
    <m/>
    <s v=""/>
    <n v="0"/>
    <n v="0"/>
    <s v=""/>
    <m/>
    <m/>
    <s v=""/>
    <s v=""/>
    <s v=""/>
    <s v=""/>
    <s v=""/>
    <m/>
    <m/>
    <n v="0"/>
    <n v="0"/>
    <n v="0"/>
    <m/>
    <n v="24"/>
    <n v="22"/>
    <n v="0.17733627667402493"/>
    <s v=""/>
    <n v="0"/>
    <n v="0"/>
    <n v="7.9224920284522854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9"/>
    <n v="39.750750000000004"/>
    <m/>
    <m/>
    <n v="0"/>
    <s v=""/>
    <n v="0"/>
    <s v=""/>
    <m/>
    <s v=""/>
    <s v=""/>
    <s v=""/>
    <s v=""/>
    <s v=""/>
    <s v=""/>
    <s v=""/>
    <s v=""/>
    <s v=""/>
    <s v=""/>
    <x v="0"/>
    <s v=""/>
  </r>
  <r>
    <s v="PEP"/>
    <n v="142.69999999999999"/>
    <s v="CORE"/>
    <n v="121.29499999999999"/>
    <x v="53"/>
    <x v="4"/>
    <m/>
    <m/>
    <m/>
    <m/>
    <m/>
    <m/>
    <m/>
    <m/>
    <m/>
    <m/>
    <m/>
    <m/>
    <s v="BULLISH"/>
    <d v="2022-07-12T06:00:00"/>
    <d v="2022-07-12T06:00:00"/>
    <s v="Confirmed"/>
    <m/>
    <m/>
    <n v="1"/>
    <m/>
    <n v="2"/>
    <m/>
    <m/>
    <s v=""/>
    <n v="0"/>
    <n v="0"/>
    <s v=""/>
    <n v="147"/>
    <n v="130"/>
    <s v=""/>
    <s v=""/>
    <s v=""/>
    <s v=""/>
    <s v=""/>
    <n v="3.84"/>
    <d v="2020-06-30T00:00:00"/>
    <n v="0"/>
    <n v="0"/>
    <n v="2.690960056061668E-2"/>
    <d v="2020-07-05T00:00:00"/>
    <n v="145"/>
    <n v="151.96"/>
    <n v="1.6117729502452778E-2"/>
    <s v=""/>
    <n v="0"/>
    <n v="0"/>
    <n v="6.4891380518570574E-2"/>
    <n v="138"/>
    <s v="assignment"/>
    <n v="138"/>
    <s v="free money"/>
    <s v="CCs"/>
    <s v=""/>
    <m/>
    <n v="2.91"/>
    <d v="2021-04-01T00:00:00"/>
    <n v="139.79"/>
    <n v="145.60999999999999"/>
    <n v="125.09"/>
    <n v="116.33369999999999"/>
    <s v="Let it expire if &gt; 139"/>
    <d v="2021-03-23T00:00:00"/>
    <n v="131.80000000000001"/>
    <n v="145.80000000000001"/>
    <n v="127.7"/>
    <s v="RISE"/>
    <s v="RANGE"/>
    <m/>
    <s v=""/>
    <m/>
    <m/>
    <m/>
    <m/>
    <m/>
    <m/>
    <n v="0"/>
    <n v="0"/>
    <m/>
    <s v=""/>
    <s v=""/>
    <m/>
    <m/>
    <m/>
    <m/>
    <m/>
    <m/>
    <n v="0"/>
    <s v=""/>
    <s v=""/>
    <s v=""/>
    <s v=""/>
    <n v="0"/>
    <s v=""/>
    <n v="0"/>
    <n v="0.15"/>
    <n v="0"/>
    <s v=""/>
    <s v=""/>
    <s v=""/>
    <m/>
    <n v="0"/>
    <m/>
    <s v=""/>
    <s v=""/>
    <s v=""/>
    <m/>
    <s v=""/>
    <s v=""/>
    <s v=""/>
    <s v=""/>
    <s v=""/>
    <m/>
    <m/>
    <s v=""/>
    <s v=""/>
    <s v=""/>
    <s v=""/>
    <m/>
    <m/>
    <m/>
    <m/>
    <m/>
    <m/>
    <n v="0"/>
    <s v=""/>
    <s v=""/>
    <n v="0"/>
    <s v=""/>
    <s v=""/>
    <s v=""/>
    <s v=""/>
    <s v=""/>
    <s v=""/>
    <s v=""/>
    <m/>
    <s v=""/>
    <m/>
    <s v=""/>
    <s v=""/>
    <s v=""/>
    <s v=""/>
    <n v="0"/>
    <m/>
    <m/>
    <m/>
    <m/>
    <m/>
    <m/>
    <s v=""/>
    <s v=""/>
    <n v="0"/>
    <n v="0"/>
    <n v="0"/>
    <n v="0"/>
    <s v=""/>
    <m/>
    <n v="0"/>
    <m/>
    <m/>
    <s v=""/>
    <s v=""/>
    <s v=""/>
    <m/>
    <s v=""/>
    <n v="0"/>
    <n v="0"/>
    <s v=""/>
    <s v=""/>
    <s v=""/>
    <s v=""/>
    <s v=""/>
    <s v=""/>
    <s v=""/>
    <s v=""/>
    <s v=""/>
    <s v=""/>
    <s v=""/>
    <s v=""/>
    <s v=""/>
    <s v=""/>
    <s v=""/>
    <s v=""/>
    <s v=""/>
    <m/>
    <n v="0"/>
    <n v="144.36199999999999"/>
    <n v="278.26499999999999"/>
    <m/>
    <m/>
    <n v="0"/>
    <s v=""/>
    <n v="0"/>
    <s v=""/>
    <s v="{CAEACB77-850F-4D60-95E8-CC22F144E4D9}"/>
    <s v=""/>
    <s v=""/>
    <s v=""/>
    <s v=""/>
    <s v=""/>
    <s v=""/>
    <s v=""/>
    <s v=""/>
    <s v=""/>
    <s v=""/>
    <x v="0"/>
    <s v=""/>
  </r>
  <r>
    <s v="CPRT"/>
    <n v="82.94"/>
    <m/>
    <n v="70.498999999999995"/>
    <x v="54"/>
    <x v="8"/>
    <m/>
    <m/>
    <m/>
    <m/>
    <m/>
    <m/>
    <m/>
    <m/>
    <m/>
    <m/>
    <m/>
    <m/>
    <m/>
    <d v="2022-08-18T18:15:00"/>
    <d v="2022-08-18T18:15:00"/>
    <m/>
    <m/>
    <m/>
    <m/>
    <m/>
    <m/>
    <m/>
    <m/>
    <s v=""/>
    <n v="0"/>
    <n v="0"/>
    <s v=""/>
    <m/>
    <m/>
    <s v=""/>
    <s v=""/>
    <s v=""/>
    <s v=""/>
    <s v=""/>
    <m/>
    <m/>
    <n v="0"/>
    <n v="0"/>
    <n v="0"/>
    <m/>
    <m/>
    <m/>
    <s v=""/>
    <s v=""/>
    <n v="0"/>
    <n v="0"/>
    <s v=""/>
    <m/>
    <m/>
    <m/>
    <m/>
    <m/>
    <s v=""/>
    <m/>
    <m/>
    <m/>
    <s v=""/>
    <s v=""/>
    <m/>
    <s v=""/>
    <m/>
    <d v="2019-10-13T00:00:00"/>
    <n v="78.7"/>
    <n v="89.1"/>
    <n v="75.2"/>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61.733"/>
    <m/>
    <m/>
    <n v="0"/>
    <s v=""/>
    <n v="0"/>
    <s v=""/>
    <s v="{C52D6780-B6F3-471F-98A0-CF29B611B2E2}"/>
    <s v=""/>
    <s v=""/>
    <s v=""/>
    <s v=""/>
    <s v=""/>
    <s v=""/>
    <s v=""/>
    <s v=""/>
    <s v=""/>
    <s v=""/>
    <x v="0"/>
    <s v=""/>
  </r>
  <r>
    <s v="SBUX"/>
    <n v="75.78"/>
    <m/>
    <n v="64.412999999999997"/>
    <x v="55"/>
    <x v="8"/>
    <s v="Solid quarter with impressive growth still to be found with international and technological progress"/>
    <s v="Tough to keep going up, and up, and up!"/>
    <m/>
    <s v="SIDEWAYS"/>
    <s v="CONVERGE"/>
    <s v="NO CROSS"/>
    <s v="NO CROSS"/>
    <s v="Middle"/>
    <s v="UP"/>
    <s v="AVG"/>
    <m/>
    <m/>
    <s v="BULLISH"/>
    <d v="2022-08-02T16:10:00"/>
    <d v="2022-08-02T16:10:00"/>
    <m/>
    <m/>
    <m/>
    <n v="1"/>
    <b v="1"/>
    <m/>
    <m/>
    <m/>
    <s v=""/>
    <n v="0"/>
    <n v="0"/>
    <s v=""/>
    <m/>
    <m/>
    <s v=""/>
    <s v=""/>
    <s v=""/>
    <s v=""/>
    <s v=""/>
    <n v="0.8"/>
    <d v="2016-08-20T00:00:00"/>
    <n v="0"/>
    <n v="0"/>
    <n v="1.0556875164951175E-2"/>
    <d v="2016-08-01T00:00:00"/>
    <n v="95"/>
    <n v="80.28"/>
    <n v="0.25362892583795194"/>
    <s v=""/>
    <n v="0"/>
    <n v="0"/>
    <n v="5.9382422802850353E-2"/>
    <n v="82.5"/>
    <s v="free money"/>
    <n v="82.5"/>
    <s v="Assignment"/>
    <s v="SPs"/>
    <s v=""/>
    <m/>
    <m/>
    <m/>
    <s v=""/>
    <s v=""/>
    <m/>
    <s v=""/>
    <m/>
    <d v="2020-02-07T00:00:00"/>
    <n v="87.07"/>
    <n v="88.1"/>
    <n v="83.55"/>
    <s v="LTD DEC"/>
    <s v="RANGE"/>
    <m/>
    <s v=""/>
    <m/>
    <m/>
    <m/>
    <m/>
    <m/>
    <m/>
    <n v="0"/>
    <n v="0"/>
    <m/>
    <s v=""/>
    <s v=""/>
    <m/>
    <m/>
    <m/>
    <m/>
    <m/>
    <m/>
    <n v="0"/>
    <s v=""/>
    <s v=""/>
    <s v=""/>
    <s v=""/>
    <n v="0"/>
    <s v=""/>
    <n v="0"/>
    <m/>
    <n v="0"/>
    <s v=""/>
    <s v=""/>
    <s v=""/>
    <n v="0"/>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6.265999999999991"/>
    <n v="147.77099999999999"/>
    <m/>
    <n v="88.88"/>
    <n v="0"/>
    <s v=""/>
    <n v="0"/>
    <s v=""/>
    <s v="{58ACF3D6-B512-4548-9C4C-9240EAFA5161}"/>
    <s v=""/>
    <s v=""/>
    <s v=""/>
    <s v=""/>
    <s v=""/>
    <s v=""/>
    <s v=""/>
    <s v=""/>
    <s v=""/>
    <s v=""/>
    <x v="0"/>
    <s v=""/>
  </r>
  <r>
    <s v="CRON"/>
    <n v="8.1300000000000008"/>
    <s v="Swing"/>
    <n v="6.9105000000000008"/>
    <x v="23"/>
    <x v="2"/>
    <m/>
    <m/>
    <m/>
    <m/>
    <m/>
    <m/>
    <m/>
    <m/>
    <m/>
    <m/>
    <m/>
    <m/>
    <s v="BULLISH"/>
    <d v="2022-08-09T07:30:00"/>
    <d v="2022-08-09T07:30:00"/>
    <m/>
    <m/>
    <m/>
    <m/>
    <m/>
    <m/>
    <m/>
    <m/>
    <s v=""/>
    <n v="0"/>
    <n v="0"/>
    <s v=""/>
    <m/>
    <m/>
    <s v=""/>
    <s v=""/>
    <s v=""/>
    <s v=""/>
    <s v=""/>
    <m/>
    <m/>
    <n v="0"/>
    <n v="0"/>
    <n v="0"/>
    <m/>
    <m/>
    <s v="-"/>
    <s v=""/>
    <s v=""/>
    <n v="0"/>
    <n v="0"/>
    <s v=""/>
    <m/>
    <m/>
    <m/>
    <m/>
    <m/>
    <m/>
    <m/>
    <m/>
    <m/>
    <s v=""/>
    <s v=""/>
    <m/>
    <s v=""/>
    <m/>
    <d v="2020-11-08T00:00:00"/>
    <n v="5.44"/>
    <n v="8.9499999999999993"/>
    <n v="4.25"/>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5.8535"/>
    <m/>
    <m/>
    <n v="0"/>
    <s v=""/>
    <n v="0"/>
    <s v=""/>
    <s v="{A43965DD-60CA-41F4-BBA3-674716E1B326}"/>
    <s v=""/>
    <s v=""/>
    <s v=""/>
    <s v=""/>
    <s v=""/>
    <s v=""/>
    <s v=""/>
    <s v=""/>
    <s v=""/>
    <s v=""/>
    <x v="0"/>
    <s v=""/>
  </r>
  <r>
    <s v="BOIL_1"/>
    <n v="21.54"/>
    <s v="Swing"/>
    <n v="18.308999999999997"/>
    <x v="52"/>
    <x v="7"/>
    <m/>
    <m/>
    <m/>
    <m/>
    <m/>
    <m/>
    <m/>
    <m/>
    <m/>
    <m/>
    <m/>
    <m/>
    <s v="BULLISH"/>
    <d v="2023-02-08T00:00:00"/>
    <d v="2023-02-08T00:00:00"/>
    <m/>
    <m/>
    <m/>
    <m/>
    <m/>
    <m/>
    <n v="200"/>
    <n v="7000"/>
    <n v="35"/>
    <n v="4308"/>
    <n v="-2692"/>
    <n v="-0.38457142857142856"/>
    <m/>
    <m/>
    <s v=""/>
    <s v=""/>
    <s v=""/>
    <s v=""/>
    <s v=""/>
    <m/>
    <m/>
    <n v="0"/>
    <n v="0"/>
    <n v="0"/>
    <m/>
    <m/>
    <m/>
    <s v=""/>
    <s v=""/>
    <n v="0"/>
    <n v="0"/>
    <s v=""/>
    <m/>
    <m/>
    <m/>
    <m/>
    <m/>
    <s v=""/>
    <m/>
    <m/>
    <m/>
    <s v=""/>
    <s v=""/>
    <n v="26.51"/>
    <n v="24.654299999999999"/>
    <m/>
    <d v="2022-12-23T00:00:00"/>
    <n v="24.9"/>
    <n v="28.69"/>
    <n v="14.46"/>
    <s v="RANGE"/>
    <s v="BULLISH"/>
    <m/>
    <s v=""/>
    <m/>
    <m/>
    <m/>
    <m/>
    <m/>
    <m/>
    <n v="0"/>
    <n v="0"/>
    <m/>
    <s v=""/>
    <s v=""/>
    <m/>
    <m/>
    <m/>
    <m/>
    <m/>
    <m/>
    <n v="0"/>
    <s v=""/>
    <s v=""/>
    <s v=""/>
    <s v=""/>
    <n v="0"/>
    <s v=""/>
    <n v="0"/>
    <m/>
    <n v="0"/>
    <s v=""/>
    <s v=""/>
    <s v=""/>
    <m/>
    <n v="0"/>
    <m/>
    <s v=""/>
    <s v=""/>
    <s v=""/>
    <m/>
    <s v=""/>
    <s v=""/>
    <s v=""/>
    <s v=""/>
    <s v=""/>
    <m/>
    <m/>
    <s v=""/>
    <s v=""/>
    <s v=""/>
    <s v=""/>
    <m/>
    <m/>
    <m/>
    <m/>
    <m/>
    <m/>
    <n v="0"/>
    <s v=""/>
    <s v=""/>
    <m/>
    <s v=""/>
    <s v=""/>
    <s v=""/>
    <s v=""/>
    <s v=""/>
    <s v=""/>
    <s v=""/>
    <m/>
    <s v=""/>
    <m/>
    <s v=""/>
    <s v=""/>
    <s v=""/>
    <s v=""/>
    <n v="2"/>
    <m/>
    <m/>
    <m/>
    <m/>
    <m/>
    <m/>
    <s v=""/>
    <s v=""/>
    <n v="0"/>
    <n v="0"/>
    <n v="0"/>
    <n v="0"/>
    <s v=""/>
    <m/>
    <n v="0"/>
    <m/>
    <m/>
    <s v=""/>
    <s v=""/>
    <s v=""/>
    <m/>
    <s v=""/>
    <n v="0"/>
    <n v="0"/>
    <s v=""/>
    <s v=""/>
    <s v=""/>
    <s v=""/>
    <s v=""/>
    <s v=""/>
    <s v=""/>
    <s v=""/>
    <s v=""/>
    <s v=""/>
    <s v=""/>
    <s v=""/>
    <s v=""/>
    <s v=""/>
    <s v=""/>
    <s v=""/>
    <s v=""/>
    <m/>
    <n v="40"/>
    <n v="0"/>
    <n v="42.003"/>
    <m/>
    <m/>
    <n v="0"/>
    <n v="0"/>
    <n v="0"/>
    <s v=""/>
    <s v="{BFDC771B-85D2-4BAE-B1D3-929E2BEC40CB}"/>
    <s v=""/>
    <s v=""/>
    <s v=""/>
    <s v=""/>
    <s v=""/>
    <s v=""/>
    <s v=""/>
    <s v=""/>
    <s v=""/>
    <s v="LNG "/>
    <x v="5"/>
    <n v="4.5886613810182135E-3"/>
  </r>
  <r>
    <s v="BOIL_2"/>
    <n v="21.54"/>
    <s v="Swing"/>
    <n v="18.308999999999997"/>
    <x v="52"/>
    <x v="7"/>
    <m/>
    <m/>
    <m/>
    <m/>
    <m/>
    <m/>
    <m/>
    <m/>
    <m/>
    <m/>
    <m/>
    <m/>
    <s v="BULLISH"/>
    <d v="2023-02-08T00:00:00"/>
    <d v="2023-02-08T00:00:00"/>
    <m/>
    <m/>
    <m/>
    <m/>
    <m/>
    <m/>
    <n v="10000"/>
    <n v="370000"/>
    <n v="37"/>
    <n v="215400"/>
    <n v="-154600"/>
    <n v="-0.41783783783783784"/>
    <m/>
    <m/>
    <s v=""/>
    <s v=""/>
    <s v=""/>
    <s v=""/>
    <s v=""/>
    <m/>
    <m/>
    <n v="0"/>
    <n v="0"/>
    <n v="0"/>
    <m/>
    <m/>
    <m/>
    <s v=""/>
    <s v=""/>
    <n v="0"/>
    <n v="0"/>
    <s v=""/>
    <m/>
    <s v="free money"/>
    <m/>
    <s v="Assignment"/>
    <s v="long equity"/>
    <s v=""/>
    <m/>
    <m/>
    <m/>
    <s v=""/>
    <s v=""/>
    <n v="30.75"/>
    <n v="28.597499999999997"/>
    <m/>
    <d v="2022-12-23T00:00:00"/>
    <n v="24.9"/>
    <n v="28.69"/>
    <n v="14.46"/>
    <s v="RANGE"/>
    <s v="BULLISH"/>
    <m/>
    <s v=""/>
    <m/>
    <m/>
    <m/>
    <m/>
    <m/>
    <m/>
    <n v="0"/>
    <n v="0"/>
    <m/>
    <s v=""/>
    <s v=""/>
    <m/>
    <m/>
    <m/>
    <m/>
    <m/>
    <m/>
    <n v="0"/>
    <s v=""/>
    <s v=""/>
    <s v=""/>
    <s v=""/>
    <n v="0"/>
    <s v=""/>
    <n v="0"/>
    <m/>
    <n v="0"/>
    <s v=""/>
    <s v=""/>
    <s v=""/>
    <m/>
    <n v="0"/>
    <m/>
    <s v=""/>
    <s v=""/>
    <s v=""/>
    <m/>
    <s v=""/>
    <s v=""/>
    <s v=""/>
    <s v=""/>
    <s v=""/>
    <m/>
    <m/>
    <s v=""/>
    <s v=""/>
    <s v=""/>
    <s v=""/>
    <m/>
    <m/>
    <m/>
    <m/>
    <m/>
    <m/>
    <n v="0"/>
    <s v=""/>
    <s v=""/>
    <m/>
    <s v=""/>
    <s v=""/>
    <s v=""/>
    <s v=""/>
    <s v=""/>
    <s v=""/>
    <s v=""/>
    <m/>
    <s v=""/>
    <m/>
    <s v=""/>
    <s v=""/>
    <s v=""/>
    <s v=""/>
    <n v="100"/>
    <m/>
    <m/>
    <m/>
    <m/>
    <m/>
    <m/>
    <s v=""/>
    <s v=""/>
    <n v="0"/>
    <n v="0"/>
    <n v="0"/>
    <n v="0"/>
    <s v=""/>
    <m/>
    <n v="0"/>
    <m/>
    <m/>
    <s v=""/>
    <s v=""/>
    <s v=""/>
    <m/>
    <s v=""/>
    <n v="0"/>
    <n v="0"/>
    <s v=""/>
    <s v=""/>
    <s v=""/>
    <s v=""/>
    <s v=""/>
    <s v=""/>
    <s v=""/>
    <s v=""/>
    <s v=""/>
    <s v=""/>
    <s v=""/>
    <s v=""/>
    <s v=""/>
    <s v=""/>
    <s v=""/>
    <s v=""/>
    <s v=""/>
    <m/>
    <n v="2000"/>
    <n v="0"/>
    <n v="42.003"/>
    <m/>
    <m/>
    <n v="0"/>
    <n v="0"/>
    <n v="0"/>
    <s v=""/>
    <s v="{BFDC771B-85D2-4BAE-B1D3-929E2BEC40CB}"/>
    <s v=""/>
    <s v=""/>
    <s v=""/>
    <s v=""/>
    <s v=""/>
    <s v=""/>
    <s v=""/>
    <s v=""/>
    <s v=""/>
    <s v="LNG "/>
    <x v="6"/>
    <n v="0.24254353013953414"/>
  </r>
  <r>
    <s v="DIA"/>
    <n v="331.93"/>
    <s v="Position"/>
    <n v="282.14049999999997"/>
    <x v="52"/>
    <x v="7"/>
    <m/>
    <m/>
    <m/>
    <m/>
    <m/>
    <m/>
    <m/>
    <m/>
    <m/>
    <m/>
    <m/>
    <m/>
    <s v="BEARISH"/>
    <d v="2023-02-08T00:00:00"/>
    <d v="2023-02-08T00:00:00"/>
    <m/>
    <m/>
    <m/>
    <m/>
    <m/>
    <m/>
    <m/>
    <m/>
    <s v=""/>
    <n v="0"/>
    <n v="0"/>
    <s v=""/>
    <m/>
    <m/>
    <s v=""/>
    <s v=""/>
    <s v=""/>
    <s v=""/>
    <s v=""/>
    <m/>
    <m/>
    <n v="0"/>
    <n v="0"/>
    <n v="0"/>
    <m/>
    <m/>
    <m/>
    <s v=""/>
    <s v=""/>
    <n v="0"/>
    <n v="0"/>
    <s v=""/>
    <n v="330"/>
    <s v="OTM"/>
    <n v="325"/>
    <s v="Assignment"/>
    <s v="BePS"/>
    <s v=""/>
    <m/>
    <m/>
    <m/>
    <s v=""/>
    <s v=""/>
    <n v="35.65"/>
    <n v="33.154499999999999"/>
    <m/>
    <d v="2022-12-23T00:00:00"/>
    <n v="337.27"/>
    <n v="343.75"/>
    <n v="319.83"/>
    <s v="DECLINE"/>
    <s v="RANGE"/>
    <m/>
    <d v="2024-12-20T00:00:00"/>
    <d v="2024-12-20T00:00:00"/>
    <n v="330"/>
    <n v="10"/>
    <d v="2022-09-09T00:00:00"/>
    <d v="2022-09-09T00:00:00"/>
    <n v="36.85"/>
    <n v="36850"/>
    <n v="330000"/>
    <n v="26"/>
    <s v=""/>
    <n v="26000"/>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647.26350000000002"/>
    <m/>
    <m/>
    <n v="0"/>
    <s v=""/>
    <n v="0"/>
    <s v=""/>
    <m/>
    <s v="DIA241220P00330000"/>
    <n v="1"/>
    <s v=""/>
    <s v=""/>
    <s v=""/>
    <s v=""/>
    <s v=""/>
    <s v=""/>
    <s v="Y"/>
    <s v="LP "/>
    <x v="7"/>
    <n v="2.4156024555788736E-2"/>
  </r>
  <r>
    <s v="CS"/>
    <n v="11.58"/>
    <m/>
    <n v="9.843"/>
    <x v="56"/>
    <x v="7"/>
    <m/>
    <m/>
    <m/>
    <m/>
    <m/>
    <m/>
    <m/>
    <m/>
    <m/>
    <m/>
    <m/>
    <m/>
    <s v="BULLISH"/>
    <d v="2022-07-27T00:00:00"/>
    <d v="2022-07-27T00:00:00"/>
    <m/>
    <m/>
    <m/>
    <m/>
    <m/>
    <m/>
    <m/>
    <m/>
    <s v=""/>
    <n v="0"/>
    <n v="0"/>
    <s v=""/>
    <m/>
    <m/>
    <s v=""/>
    <s v=""/>
    <s v=""/>
    <s v=""/>
    <s v=""/>
    <n v="0.72"/>
    <d v="2017-06-13T00:00:00"/>
    <n v="0"/>
    <n v="0"/>
    <n v="6.2176165803108807E-2"/>
    <d v="2017-05-08T00:00:00"/>
    <m/>
    <n v="11.2"/>
    <s v=""/>
    <s v=""/>
    <n v="0"/>
    <n v="0"/>
    <n v="-3.2815198618307492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639999999999999"/>
    <n v="22.581"/>
    <m/>
    <m/>
    <n v="0"/>
    <s v=""/>
    <n v="0"/>
    <s v=""/>
    <s v="{D356279B-CBDB-4B63-8619-D6CF3150F3F0}"/>
    <s v=""/>
    <s v=""/>
    <s v=""/>
    <s v=""/>
    <s v=""/>
    <s v=""/>
    <s v=""/>
    <s v=""/>
    <s v=""/>
    <s v=""/>
    <x v="0"/>
    <s v=""/>
  </r>
  <r>
    <s v="CSCO"/>
    <n v="46.4"/>
    <s v="LT"/>
    <n v="39.44"/>
    <x v="44"/>
    <x v="3"/>
    <m/>
    <m/>
    <m/>
    <s v="UP"/>
    <s v="CONVERGE"/>
    <s v="NO CROSS"/>
    <s v="NO CROSS"/>
    <s v="Middle"/>
    <s v="DOWN"/>
    <s v="AVG"/>
    <m/>
    <m/>
    <s v="BULLISH"/>
    <d v="2022-08-17T16:05:00"/>
    <d v="2022-08-17T16:05:00"/>
    <m/>
    <m/>
    <m/>
    <m/>
    <m/>
    <n v="1"/>
    <m/>
    <m/>
    <s v=""/>
    <n v="0"/>
    <n v="0"/>
    <s v=""/>
    <m/>
    <m/>
    <s v=""/>
    <s v=""/>
    <s v=""/>
    <s v=""/>
    <s v=""/>
    <n v="1.4"/>
    <d v="2019-01-23T00:00:00"/>
    <n v="0"/>
    <n v="0"/>
    <n v="3.0172413793103446E-2"/>
    <d v="2020-01-03T00:00:00"/>
    <n v="56"/>
    <n v="49.35"/>
    <n v="0.20689655172413796"/>
    <s v=""/>
    <n v="0"/>
    <n v="0"/>
    <n v="6.3577586206896616E-2"/>
    <n v="47.5"/>
    <s v="free money"/>
    <n v="47.5"/>
    <s v="Assignment"/>
    <s v="SPs"/>
    <s v=""/>
    <m/>
    <m/>
    <m/>
    <s v=""/>
    <s v=""/>
    <m/>
    <s v=""/>
    <m/>
    <d v="2020-03-09T00:00:00"/>
    <n v="41.5"/>
    <n v="44.1"/>
    <n v="32.1"/>
    <s v="DECLIN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6.8825"/>
    <n v="90.47999999999999"/>
    <m/>
    <m/>
    <n v="0"/>
    <s v=""/>
    <n v="0"/>
    <s v=""/>
    <s v="{9EFF860A-7DEB-463C-9634-31FD817552E2}"/>
    <s v=""/>
    <s v=""/>
    <s v=""/>
    <s v=""/>
    <s v=""/>
    <s v=""/>
    <s v=""/>
    <s v=""/>
    <s v=""/>
    <s v=""/>
    <x v="0"/>
    <s v=""/>
  </r>
  <r>
    <s v="CSFL"/>
    <n v="22.96"/>
    <m/>
    <n v="19.516000000000002"/>
    <x v="57"/>
    <x v="7"/>
    <m/>
    <m/>
    <m/>
    <m/>
    <m/>
    <m/>
    <m/>
    <m/>
    <m/>
    <m/>
    <m/>
    <m/>
    <m/>
    <d v="2022-08-17T16:05:00"/>
    <d v="2022-08-17T16:05:00"/>
    <m/>
    <m/>
    <m/>
    <m/>
    <m/>
    <m/>
    <m/>
    <m/>
    <s v=""/>
    <n v="0"/>
    <n v="0"/>
    <s v=""/>
    <m/>
    <m/>
    <s v=""/>
    <s v=""/>
    <s v=""/>
    <s v=""/>
    <s v=""/>
    <n v="0.08"/>
    <d v="2015-12-30T00:00:00"/>
    <n v="0"/>
    <n v="0"/>
    <n v="3.4843205574912892E-3"/>
    <d v="2015-09-09T00:00:00"/>
    <m/>
    <n v="16"/>
    <s v=""/>
    <s v=""/>
    <n v="0"/>
    <n v="0"/>
    <n v="-0.3031358885017421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2"/>
    <n v="44.771999999999998"/>
    <m/>
    <m/>
    <n v="0"/>
    <s v=""/>
    <n v="0"/>
    <s v=""/>
    <s v="{FF8D6851-C9D1-4A34-A61E-57C2B3C02FB8}"/>
    <s v=""/>
    <s v=""/>
    <s v=""/>
    <s v=""/>
    <s v=""/>
    <s v=""/>
    <s v=""/>
    <s v=""/>
    <s v=""/>
    <s v=""/>
    <x v="0"/>
    <s v=""/>
  </r>
  <r>
    <s v="CTVA"/>
    <n v="31.63"/>
    <m/>
    <n v="26.885499999999997"/>
    <x v="58"/>
    <x v="0"/>
    <m/>
    <m/>
    <m/>
    <m/>
    <m/>
    <m/>
    <m/>
    <m/>
    <m/>
    <m/>
    <s v="70 calls"/>
    <m/>
    <s v="BULLISH"/>
    <d v="2022-08-03T17:00:00"/>
    <d v="2022-08-03T17:00:00"/>
    <m/>
    <s v="file form 10s for breakup entities"/>
    <m/>
    <m/>
    <b v="1"/>
    <n v="3"/>
    <m/>
    <m/>
    <s v=""/>
    <n v="0"/>
    <n v="0"/>
    <s v=""/>
    <m/>
    <m/>
    <s v=""/>
    <s v=""/>
    <s v=""/>
    <s v=""/>
    <s v=""/>
    <m/>
    <m/>
    <n v="0"/>
    <n v="0"/>
    <n v="0"/>
    <d v="2019-08-28T00:00:00"/>
    <n v="70"/>
    <n v="31.35"/>
    <n v="1.2130888397091371"/>
    <s v=""/>
    <n v="0"/>
    <n v="0"/>
    <n v="-8.8523553588364719E-3"/>
    <n v="180"/>
    <s v="ITM"/>
    <n v="160"/>
    <s v="Assignment"/>
    <m/>
    <s v=""/>
    <m/>
    <m/>
    <m/>
    <s v=""/>
    <s v=""/>
    <m/>
    <s v=""/>
    <m/>
    <d v="2019-05-23T00:00:00"/>
    <n v="29.2"/>
    <n v="34.6"/>
    <n v="27.4"/>
    <s v="LTD 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9.782499999999999"/>
    <n v="61.6785"/>
    <m/>
    <m/>
    <n v="0"/>
    <s v=""/>
    <n v="0"/>
    <s v=""/>
    <s v="{B0B975CA-30DF-4F94-B0DC-C330BF1528F7}"/>
    <s v=""/>
    <s v=""/>
    <s v=""/>
    <s v=""/>
    <s v=""/>
    <s v=""/>
    <s v=""/>
    <s v=""/>
    <s v=""/>
    <s v=""/>
    <x v="0"/>
    <s v=""/>
  </r>
  <r>
    <s v="SGEN"/>
    <n v="168.815"/>
    <m/>
    <n v="143.49275"/>
    <x v="23"/>
    <x v="2"/>
    <m/>
    <m/>
    <m/>
    <m/>
    <m/>
    <m/>
    <m/>
    <m/>
    <m/>
    <m/>
    <m/>
    <m/>
    <m/>
    <d v="2022-07-28T16:00:00"/>
    <d v="2022-07-28T16:00:00"/>
    <m/>
    <m/>
    <m/>
    <n v="1"/>
    <m/>
    <m/>
    <m/>
    <m/>
    <s v=""/>
    <n v="0"/>
    <n v="0"/>
    <s v=""/>
    <m/>
    <m/>
    <s v=""/>
    <s v=""/>
    <s v=""/>
    <s v=""/>
    <s v=""/>
    <m/>
    <m/>
    <n v="0"/>
    <n v="0"/>
    <n v="0"/>
    <m/>
    <n v="185"/>
    <n v="167.53"/>
    <n v="9.5874181796641311E-2"/>
    <s v=""/>
    <n v="0"/>
    <n v="0"/>
    <n v="-7.6118828303171912E-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9.15349999999998"/>
    <n v="329.18925000000002"/>
    <m/>
    <m/>
    <n v="0"/>
    <s v=""/>
    <n v="0"/>
    <s v=""/>
    <m/>
    <s v=""/>
    <s v=""/>
    <s v=""/>
    <s v=""/>
    <s v=""/>
    <s v=""/>
    <s v=""/>
    <s v=""/>
    <s v=""/>
    <s v=""/>
    <x v="0"/>
    <s v=""/>
  </r>
  <r>
    <s v="CVX"/>
    <n v="157.16999999999999"/>
    <s v="Prem"/>
    <n v="133.59449999999998"/>
    <x v="34"/>
    <x v="6"/>
    <m/>
    <m/>
    <m/>
    <m/>
    <m/>
    <m/>
    <m/>
    <m/>
    <m/>
    <m/>
    <m/>
    <m/>
    <s v="BULLISH"/>
    <d v="2022-10-28T06:15:00"/>
    <d v="2022-10-28T06:15:00"/>
    <s v="Confirmed"/>
    <m/>
    <m/>
    <m/>
    <m/>
    <m/>
    <m/>
    <m/>
    <s v=""/>
    <n v="0"/>
    <n v="0"/>
    <s v=""/>
    <n v="200"/>
    <n v="171.45"/>
    <s v=""/>
    <s v=""/>
    <s v=""/>
    <s v=""/>
    <s v=""/>
    <n v="4.28"/>
    <d v="2015-12-10T00:00:00"/>
    <n v="0"/>
    <n v="0"/>
    <n v="2.723165998600242E-2"/>
    <d v="2022-08-18T00:00:00"/>
    <m/>
    <n v="178.07"/>
    <s v=""/>
    <s v=""/>
    <n v="0"/>
    <n v="0"/>
    <n v="0.13297703124005858"/>
    <n v="155"/>
    <s v="assignment"/>
    <n v="155"/>
    <s v="free money"/>
    <s v="CCs"/>
    <s v=""/>
    <m/>
    <m/>
    <m/>
    <s v=""/>
    <s v=""/>
    <n v="142.72"/>
    <n v="132.72959999999998"/>
    <m/>
    <d v="2022-10-04T00:00:00"/>
    <n v="159.5"/>
    <n v="168.6"/>
    <n v="132.4"/>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9.16649999999998"/>
    <n v="306.48149999999998"/>
    <m/>
    <m/>
    <n v="0"/>
    <s v=""/>
    <n v="0"/>
    <s v=""/>
    <s v="{4D5E22E3-6D2C-43AB-9C02-AB9F07088B3D}"/>
    <s v=""/>
    <s v=""/>
    <s v=""/>
    <s v=""/>
    <s v=""/>
    <s v=""/>
    <s v=""/>
    <s v=""/>
    <s v=""/>
    <s v=""/>
    <x v="0"/>
    <s v=""/>
  </r>
  <r>
    <s v="CZR"/>
    <n v="102.22"/>
    <s v="Swing"/>
    <n v="86.887"/>
    <x v="42"/>
    <x v="1"/>
    <m/>
    <m/>
    <m/>
    <m/>
    <m/>
    <m/>
    <m/>
    <m/>
    <m/>
    <m/>
    <m/>
    <m/>
    <s v="BULLISH"/>
    <d v="2022-08-02T16:00:00"/>
    <d v="2022-08-02T16:00:00"/>
    <m/>
    <m/>
    <m/>
    <m/>
    <m/>
    <m/>
    <m/>
    <m/>
    <s v=""/>
    <n v="0"/>
    <n v="0"/>
    <s v=""/>
    <n v="100"/>
    <n v="86.17"/>
    <s v=""/>
    <s v=""/>
    <s v=""/>
    <s v=""/>
    <s v=""/>
    <m/>
    <m/>
    <n v="0"/>
    <n v="0"/>
    <n v="0"/>
    <m/>
    <m/>
    <n v="102.64"/>
    <s v=""/>
    <s v=""/>
    <n v="0"/>
    <n v="0"/>
    <n v="4.1087849735863989E-3"/>
    <n v="94"/>
    <s v="assignment"/>
    <n v="86.5"/>
    <s v="stop out"/>
    <s v="CCs"/>
    <s v=""/>
    <m/>
    <m/>
    <m/>
    <s v=""/>
    <s v=""/>
    <n v="79.23"/>
    <n v="73.683899999999994"/>
    <m/>
    <d v="2021-05-01T00:00:00"/>
    <n v="91.19"/>
    <n v="117.48"/>
    <n v="76.17"/>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7.507999999999996"/>
    <n v="199.32899999999998"/>
    <m/>
    <m/>
    <n v="0"/>
    <s v=""/>
    <n v="0"/>
    <s v=""/>
    <m/>
    <s v=""/>
    <s v=""/>
    <s v=""/>
    <s v=""/>
    <s v=""/>
    <s v=""/>
    <s v=""/>
    <s v=""/>
    <s v=""/>
    <s v=""/>
    <x v="0"/>
    <s v=""/>
  </r>
  <r>
    <s v="DAL"/>
    <n v="59.53"/>
    <m/>
    <n v="50.600499999999997"/>
    <x v="59"/>
    <x v="8"/>
    <m/>
    <m/>
    <m/>
    <m/>
    <m/>
    <m/>
    <m/>
    <m/>
    <m/>
    <m/>
    <m/>
    <m/>
    <m/>
    <d v="2022-07-13T06:30:00"/>
    <d v="2022-07-13T06:30:00"/>
    <m/>
    <m/>
    <m/>
    <m/>
    <m/>
    <m/>
    <m/>
    <m/>
    <s v=""/>
    <n v="0"/>
    <n v="0"/>
    <s v=""/>
    <m/>
    <m/>
    <s v=""/>
    <s v=""/>
    <s v=""/>
    <s v=""/>
    <s v=""/>
    <n v="0.54"/>
    <d v="2016-06-09T00:00:00"/>
    <n v="0"/>
    <n v="0"/>
    <n v="9.0710566101125482E-3"/>
    <d v="2016-05-10T00:00:00"/>
    <m/>
    <n v="60"/>
    <s v=""/>
    <s v=""/>
    <n v="0"/>
    <n v="0"/>
    <n v="7.8951789013942363E-3"/>
    <m/>
    <m/>
    <m/>
    <m/>
    <m/>
    <s v=""/>
    <m/>
    <m/>
    <m/>
    <s v=""/>
    <s v=""/>
    <m/>
    <s v=""/>
    <m/>
    <m/>
    <m/>
    <m/>
    <m/>
    <m/>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7"/>
    <n v="116.0835"/>
    <m/>
    <m/>
    <n v="0"/>
    <s v=""/>
    <n v="0"/>
    <s v=""/>
    <s v="{584F06BA-38CE-42AA-B963-A3A3972E09DF}"/>
    <s v=""/>
    <s v=""/>
    <s v=""/>
    <s v=""/>
    <s v=""/>
    <s v=""/>
    <s v=""/>
    <s v=""/>
    <s v=""/>
    <s v=""/>
    <x v="0"/>
    <s v=""/>
  </r>
  <r>
    <s v="TJX"/>
    <n v="67.7"/>
    <s v="Swing"/>
    <n v="57.545000000000002"/>
    <x v="60"/>
    <x v="8"/>
    <m/>
    <m/>
    <m/>
    <m/>
    <m/>
    <m/>
    <m/>
    <m/>
    <m/>
    <m/>
    <m/>
    <m/>
    <s v="BULLISH"/>
    <d v="2022-08-17T07:30:00"/>
    <d v="2022-08-17T07:30:00"/>
    <m/>
    <m/>
    <m/>
    <n v="1"/>
    <m/>
    <m/>
    <m/>
    <m/>
    <s v=""/>
    <n v="0"/>
    <n v="0"/>
    <s v=""/>
    <m/>
    <m/>
    <s v=""/>
    <s v=""/>
    <s v=""/>
    <s v=""/>
    <s v=""/>
    <n v="0.92"/>
    <d v="2020-06-05T00:00:00"/>
    <n v="0"/>
    <n v="0"/>
    <n v="1.3589364844903988E-2"/>
    <d v="2020-05-12T00:00:00"/>
    <n v="64"/>
    <n v="63.24"/>
    <n v="-5.4652880354505211E-2"/>
    <s v=""/>
    <n v="0"/>
    <n v="0"/>
    <n v="-6.5878877400295424E-2"/>
    <n v="62.5"/>
    <s v="assignment"/>
    <n v="62.5"/>
    <s v="free money"/>
    <s v="SPs"/>
    <m/>
    <m/>
    <m/>
    <m/>
    <m/>
    <m/>
    <m/>
    <s v=""/>
    <m/>
    <d v="2020-12-14T00:00:00"/>
    <n v="61.8"/>
    <n v="75.7"/>
    <n v="57"/>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0.077999999999996"/>
    <n v="132.01500000000001"/>
    <m/>
    <m/>
    <n v="0"/>
    <s v=""/>
    <n v="0"/>
    <s v=""/>
    <s v="{6244EA1E-F836-4308-91C5-7FDAABE405B7}"/>
    <s v=""/>
    <s v=""/>
    <s v=""/>
    <s v=""/>
    <s v=""/>
    <s v=""/>
    <s v=""/>
    <s v=""/>
    <s v=""/>
    <s v=""/>
    <x v="0"/>
    <s v=""/>
  </r>
  <r>
    <s v="DDOG"/>
    <n v="111.66"/>
    <m/>
    <n v="94.911000000000001"/>
    <x v="10"/>
    <x v="3"/>
    <m/>
    <m/>
    <m/>
    <m/>
    <m/>
    <m/>
    <m/>
    <m/>
    <m/>
    <m/>
    <m/>
    <m/>
    <s v="BULLISH"/>
    <d v="2022-08-04T07:00:00"/>
    <d v="2022-08-04T07:00:00"/>
    <m/>
    <m/>
    <m/>
    <m/>
    <m/>
    <m/>
    <m/>
    <m/>
    <s v=""/>
    <n v="0"/>
    <n v="0"/>
    <s v=""/>
    <n v="130"/>
    <n v="110.5"/>
    <s v=""/>
    <s v=""/>
    <s v=""/>
    <s v=""/>
    <s v=""/>
    <m/>
    <m/>
    <n v="0"/>
    <n v="0"/>
    <n v="0"/>
    <m/>
    <m/>
    <n v="95.93"/>
    <s v=""/>
    <s v=""/>
    <n v="0"/>
    <n v="0"/>
    <n v="-0.14087408203474824"/>
    <m/>
    <m/>
    <m/>
    <m/>
    <m/>
    <s v=""/>
    <m/>
    <m/>
    <m/>
    <s v=""/>
    <s v=""/>
    <m/>
    <s v=""/>
    <m/>
    <d v="2020-10-14T00:00:00"/>
    <n v="103.5"/>
    <n v="138.80000000000001"/>
    <n v="92.3"/>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1.133499999999998"/>
    <n v="217.73699999999999"/>
    <m/>
    <m/>
    <n v="0"/>
    <s v=""/>
    <n v="0"/>
    <s v=""/>
    <m/>
    <s v=""/>
    <s v=""/>
    <s v=""/>
    <s v=""/>
    <s v=""/>
    <s v=""/>
    <s v=""/>
    <s v=""/>
    <s v=""/>
    <s v=""/>
    <x v="0"/>
    <s v=""/>
  </r>
  <r>
    <s v="DE"/>
    <n v="369.66"/>
    <s v="Swing"/>
    <n v="314.21100000000001"/>
    <x v="39"/>
    <x v="13"/>
    <m/>
    <m/>
    <m/>
    <m/>
    <m/>
    <m/>
    <m/>
    <m/>
    <m/>
    <m/>
    <m/>
    <m/>
    <s v="BULLISH"/>
    <d v="2022-08-19T06:45:00"/>
    <d v="2022-08-19T06:45:00"/>
    <s v="Confirmed"/>
    <m/>
    <m/>
    <m/>
    <m/>
    <m/>
    <m/>
    <m/>
    <s v=""/>
    <n v="0"/>
    <n v="0"/>
    <s v=""/>
    <n v="430"/>
    <n v="406.95"/>
    <s v=""/>
    <s v=""/>
    <s v=""/>
    <s v=""/>
    <s v=""/>
    <m/>
    <m/>
    <n v="0"/>
    <n v="0"/>
    <n v="0"/>
    <m/>
    <m/>
    <n v="437.3"/>
    <s v=""/>
    <s v=""/>
    <n v="0"/>
    <n v="0"/>
    <n v="0.18297895363306818"/>
    <n v="340"/>
    <s v="assignment"/>
    <n v="340"/>
    <s v="free money"/>
    <s v="CCs"/>
    <s v=""/>
    <m/>
    <m/>
    <m/>
    <s v=""/>
    <s v=""/>
    <n v="401.27"/>
    <n v="373.18109999999996"/>
    <m/>
    <d v="2022-08-18T00:00:00"/>
    <n v="349"/>
    <n v="399"/>
    <n v="331"/>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15.435"/>
    <n v="720.83699999999999"/>
    <m/>
    <m/>
    <n v="0"/>
    <s v=""/>
    <n v="0"/>
    <s v=""/>
    <s v="{330D127F-6D8A-49DB-ACE2-CBDADB741FE2}"/>
    <s v=""/>
    <s v=""/>
    <s v=""/>
    <s v=""/>
    <s v=""/>
    <s v=""/>
    <s v=""/>
    <s v=""/>
    <s v=""/>
    <s v=""/>
    <x v="0"/>
    <s v=""/>
  </r>
  <r>
    <s v="DEN"/>
    <n v="85.75"/>
    <s v="Swing"/>
    <n v="72.887500000000003"/>
    <x v="20"/>
    <x v="6"/>
    <m/>
    <m/>
    <m/>
    <m/>
    <m/>
    <m/>
    <m/>
    <m/>
    <m/>
    <m/>
    <m/>
    <m/>
    <s v="BULLISH"/>
    <d v="2022-08-04T06:30:00"/>
    <d v="2022-08-04T06:30:00"/>
    <m/>
    <m/>
    <m/>
    <m/>
    <m/>
    <m/>
    <m/>
    <m/>
    <s v=""/>
    <n v="0"/>
    <n v="0"/>
    <s v=""/>
    <n v="100"/>
    <n v="72.900000000000006"/>
    <s v=""/>
    <s v=""/>
    <s v=""/>
    <s v=""/>
    <s v=""/>
    <m/>
    <m/>
    <n v="0"/>
    <n v="0"/>
    <n v="0"/>
    <m/>
    <m/>
    <n v="87.82"/>
    <s v=""/>
    <s v=""/>
    <n v="0"/>
    <n v="0"/>
    <n v="2.4139941690962018E-2"/>
    <m/>
    <m/>
    <m/>
    <m/>
    <m/>
    <s v=""/>
    <m/>
    <m/>
    <m/>
    <s v=""/>
    <s v=""/>
    <n v="76.400000000000006"/>
    <n v="71.052000000000007"/>
    <m/>
    <d v="2021-11-01T00:00:00"/>
    <n v="80.17"/>
    <n v="98.45"/>
    <n v="73.28"/>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3.428999999999988"/>
    <n v="167.21250000000001"/>
    <m/>
    <m/>
    <n v="0"/>
    <s v=""/>
    <n v="0"/>
    <s v=""/>
    <m/>
    <s v=""/>
    <s v=""/>
    <s v=""/>
    <s v=""/>
    <s v=""/>
    <s v=""/>
    <s v=""/>
    <s v=""/>
    <s v=""/>
    <s v=""/>
    <x v="0"/>
    <s v=""/>
  </r>
  <r>
    <s v="DG"/>
    <n v="135.58000000000001"/>
    <m/>
    <n v="115.24300000000001"/>
    <x v="18"/>
    <x v="8"/>
    <s v="Shares were up this week after the company posted a &quot;good enough&quot; quarter and reaffirmed its commitment to its attempted acquisition of Family Dollar (FDO:NYSE). Earnings per share and revenue were generally in-line with expectations at $0.79 and $4.72 billion, respectively. Expectations were for EPS of $0.80 on sales of $4.76 billion, with same-store sales below at 2.8% vs. expectations of 3.1%. The guidance was encouraging, with top- and bottom-line results in line and same-store sales accelerating to 5% sequentially against an easy 1.8% y/y comparison. Management stated that it is &quot;as committed as ever&quot; to the Family Dollar acquisition, and that it has had &quot;valuable and productive discussions&quot; with both the SEC and FTC to address any concerns that the respective agencies may have regarding the potential deal. FDO shareholders are expected to vote on the deal on Dec. 23, which will be a key catalyst for all involved parties. But beforehand we expect DG to up the bid once more and provide store divestitures, which will have an impact on the synergies expected. We continue to like this company on both a standalone basis (as a play on lower gas prices and the improving employment picture) and as a special situation because of the potential acquisition of FDO. We'll receive more clarity on the deal in the coming weeks, but for now we're comfortable with the company's direction. We added to the position this week as shares were still near our cost basis"/>
    <m/>
    <m/>
    <s v="SIDEWAYS"/>
    <s v="CONVERGE"/>
    <s v="NO CROSS"/>
    <s v="NO CROSS"/>
    <s v="Middle"/>
    <s v="DOWN"/>
    <s v="LOW"/>
    <m/>
    <m/>
    <s v="BULLISH"/>
    <d v="2022-08-25T06:55:00"/>
    <d v="2022-08-25T06:55:00"/>
    <m/>
    <m/>
    <m/>
    <m/>
    <m/>
    <m/>
    <m/>
    <m/>
    <s v=""/>
    <n v="0"/>
    <n v="0"/>
    <s v=""/>
    <m/>
    <m/>
    <s v=""/>
    <s v=""/>
    <s v=""/>
    <s v=""/>
    <s v=""/>
    <n v="1"/>
    <d v="2016-12-28T00:00:00"/>
    <n v="0"/>
    <n v="0"/>
    <n v="7.3757191326154293E-3"/>
    <d v="2016-12-08T00:00:00"/>
    <m/>
    <n v="90"/>
    <s v=""/>
    <s v=""/>
    <n v="0"/>
    <n v="0"/>
    <n v="-0.33618527806461135"/>
    <n v="72.5"/>
    <s v="assignment"/>
    <n v="72.5"/>
    <s v="keep?"/>
    <m/>
    <s v=""/>
    <m/>
    <m/>
    <m/>
    <s v=""/>
    <s v=""/>
    <m/>
    <s v=""/>
    <m/>
    <d v="2016-11-08T00:00:00"/>
    <n v="67.3"/>
    <n v="73.900000000000006"/>
    <n v="65.09999999999999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5.5"/>
    <n v="264.38100000000003"/>
    <m/>
    <m/>
    <n v="0"/>
    <s v=""/>
    <n v="0"/>
    <s v=""/>
    <s v="{1E6F7740-2382-42CE-B896-95050ACE1FB7}"/>
    <s v=""/>
    <s v=""/>
    <s v=""/>
    <s v=""/>
    <s v=""/>
    <s v=""/>
    <s v=""/>
    <s v=""/>
    <s v=""/>
    <s v=""/>
    <x v="0"/>
    <s v=""/>
  </r>
  <r>
    <s v="DHR"/>
    <n v="140.31"/>
    <m/>
    <n v="119.26349999999999"/>
    <x v="49"/>
    <x v="13"/>
    <m/>
    <m/>
    <m/>
    <m/>
    <m/>
    <m/>
    <m/>
    <m/>
    <m/>
    <m/>
    <m/>
    <m/>
    <s v="BULLISH"/>
    <d v="2022-07-21T06:00:00"/>
    <d v="2022-07-21T06:00:00"/>
    <m/>
    <m/>
    <m/>
    <m/>
    <b v="1"/>
    <m/>
    <m/>
    <m/>
    <s v=""/>
    <n v="0"/>
    <n v="0"/>
    <s v=""/>
    <m/>
    <m/>
    <s v=""/>
    <s v=""/>
    <s v=""/>
    <s v=""/>
    <s v=""/>
    <n v="0.56000000000000005"/>
    <d v="2017-10-28T00:00:00"/>
    <n v="0"/>
    <n v="0"/>
    <n v="3.9911624260565897E-3"/>
    <d v="2018-06-27T00:00:00"/>
    <n v="118"/>
    <n v="154.54"/>
    <n v="-0.15900506022379018"/>
    <s v=""/>
    <n v="0"/>
    <n v="0"/>
    <n v="0.10141828807640217"/>
    <m/>
    <m/>
    <m/>
    <m/>
    <m/>
    <s v=""/>
    <m/>
    <m/>
    <m/>
    <s v=""/>
    <s v=""/>
    <m/>
    <s v=""/>
    <m/>
    <d v="2018-01-09T00:00:00"/>
    <n v="95.3"/>
    <n v="101.7"/>
    <n v="95.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6.81299999999999"/>
    <n v="273.60449999999997"/>
    <m/>
    <m/>
    <n v="0"/>
    <s v=""/>
    <n v="0"/>
    <s v=""/>
    <s v="{2A9DFBEE-BC6A-438C-AEAB-F1993571D7B9}"/>
    <s v=""/>
    <s v=""/>
    <s v=""/>
    <s v=""/>
    <s v=""/>
    <s v=""/>
    <s v=""/>
    <s v=""/>
    <s v=""/>
    <s v=""/>
    <x v="0"/>
    <s v=""/>
  </r>
  <r>
    <s v="TSLA"/>
    <n v="167.82"/>
    <s v="Position"/>
    <n v="142.64699999999999"/>
    <x v="61"/>
    <x v="12"/>
    <m/>
    <m/>
    <m/>
    <m/>
    <m/>
    <m/>
    <m/>
    <m/>
    <m/>
    <m/>
    <m/>
    <m/>
    <s v="BEARISH"/>
    <d v="2023-01-18T00:00:00"/>
    <d v="2023-01-18T00:00:00"/>
    <m/>
    <m/>
    <m/>
    <m/>
    <m/>
    <m/>
    <m/>
    <m/>
    <s v=""/>
    <n v="0"/>
    <n v="0"/>
    <s v=""/>
    <n v="1500"/>
    <n v="1000"/>
    <s v=""/>
    <s v=""/>
    <s v=""/>
    <s v=""/>
    <s v=""/>
    <n v="0"/>
    <s v="N/A"/>
    <n v="0"/>
    <n v="0"/>
    <n v="0"/>
    <s v="N/A"/>
    <m/>
    <n v="263.11"/>
    <s v=""/>
    <s v=""/>
    <n v="0"/>
    <n v="0"/>
    <n v="0.56781074961268041"/>
    <n v="175"/>
    <s v="assignment"/>
    <n v="220"/>
    <s v="ITM"/>
    <s v="gumbo"/>
    <s v=""/>
    <m/>
    <m/>
    <m/>
    <s v=""/>
    <s v=""/>
    <n v="46.47"/>
    <n v="43.217099999999995"/>
    <m/>
    <d v="2022-12-12T00:00:00"/>
    <n v="159.5"/>
    <n v="215.9"/>
    <n v="141.6"/>
    <s v="LTD RISE"/>
    <s v="RANGE"/>
    <m/>
    <s v=""/>
    <m/>
    <m/>
    <m/>
    <m/>
    <m/>
    <m/>
    <n v="0"/>
    <n v="0"/>
    <m/>
    <s v=""/>
    <s v=""/>
    <m/>
    <m/>
    <m/>
    <m/>
    <m/>
    <m/>
    <n v="0"/>
    <s v=""/>
    <s v=""/>
    <s v=""/>
    <s v=""/>
    <n v="0"/>
    <s v=""/>
    <n v="0"/>
    <m/>
    <n v="0"/>
    <s v=""/>
    <s v=""/>
    <s v=""/>
    <m/>
    <n v="0"/>
    <m/>
    <s v=""/>
    <s v=""/>
    <s v=""/>
    <m/>
    <s v=""/>
    <s v=""/>
    <s v=""/>
    <s v=""/>
    <s v=""/>
    <m/>
    <m/>
    <s v=""/>
    <s v=""/>
    <s v=""/>
    <s v=""/>
    <m/>
    <m/>
    <m/>
    <m/>
    <m/>
    <m/>
    <n v="0"/>
    <s v=""/>
    <s v=""/>
    <m/>
    <s v=""/>
    <s v=""/>
    <s v=""/>
    <s v=""/>
    <s v=""/>
    <s v=""/>
    <s v=""/>
    <m/>
    <s v=""/>
    <n v="160.6"/>
    <s v=""/>
    <s v=""/>
    <s v=""/>
    <s v=""/>
    <n v="0"/>
    <m/>
    <m/>
    <m/>
    <m/>
    <m/>
    <m/>
    <s v=""/>
    <s v=""/>
    <n v="0"/>
    <n v="0"/>
    <n v="0"/>
    <n v="0"/>
    <s v=""/>
    <m/>
    <n v="0"/>
    <m/>
    <m/>
    <s v=""/>
    <s v=""/>
    <s v=""/>
    <m/>
    <s v=""/>
    <n v="0"/>
    <n v="0"/>
    <s v=""/>
    <s v=""/>
    <s v=""/>
    <s v=""/>
    <s v=""/>
    <s v=""/>
    <s v=""/>
    <s v=""/>
    <s v=""/>
    <s v=""/>
    <s v=""/>
    <s v=""/>
    <s v=""/>
    <s v=""/>
    <s v=""/>
    <s v=""/>
    <s v=""/>
    <m/>
    <n v="0"/>
    <n v="249.9545"/>
    <n v="327.24899999999997"/>
    <m/>
    <m/>
    <n v="0"/>
    <s v=""/>
    <n v="0"/>
    <s v=""/>
    <s v="{8B61F219-36BF-4A7A-AEF6-7016061FE67D}"/>
    <s v=""/>
    <s v=""/>
    <s v=""/>
    <s v=""/>
    <s v=""/>
    <s v=""/>
    <s v=""/>
    <s v=""/>
    <s v=""/>
    <s v=""/>
    <x v="0"/>
    <s v=""/>
  </r>
  <r>
    <s v="BITO"/>
    <n v="10.734999999999999"/>
    <s v="Swing"/>
    <n v="9.1247499999999988"/>
    <x v="52"/>
    <x v="7"/>
    <m/>
    <m/>
    <m/>
    <m/>
    <m/>
    <m/>
    <m/>
    <m/>
    <m/>
    <m/>
    <m/>
    <m/>
    <s v="BULLISH"/>
    <s v="N/A"/>
    <m/>
    <m/>
    <m/>
    <m/>
    <m/>
    <m/>
    <m/>
    <m/>
    <m/>
    <s v=""/>
    <n v="0"/>
    <n v="0"/>
    <s v=""/>
    <m/>
    <m/>
    <s v=""/>
    <s v=""/>
    <s v=""/>
    <s v=""/>
    <s v=""/>
    <m/>
    <m/>
    <n v="0"/>
    <n v="0"/>
    <n v="0"/>
    <m/>
    <m/>
    <m/>
    <s v=""/>
    <s v=""/>
    <n v="0"/>
    <n v="0"/>
    <s v=""/>
    <m/>
    <m/>
    <m/>
    <m/>
    <m/>
    <s v=""/>
    <m/>
    <m/>
    <m/>
    <s v=""/>
    <s v=""/>
    <n v="3.09"/>
    <n v="2.8736999999999995"/>
    <m/>
    <d v="2022-12-09T00:00:00"/>
    <n v="10.68"/>
    <n v="11.09"/>
    <n v="10.53"/>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20.933249999999997"/>
    <m/>
    <m/>
    <n v="0"/>
    <s v=""/>
    <n v="0"/>
    <s v=""/>
    <m/>
    <s v=""/>
    <s v=""/>
    <s v=""/>
    <s v=""/>
    <s v=""/>
    <s v=""/>
    <s v=""/>
    <s v=""/>
    <s v=""/>
    <s v=""/>
    <x v="0"/>
    <s v=""/>
  </r>
  <r>
    <s v="DIS"/>
    <n v="88.01"/>
    <s v="CORE"/>
    <n v="74.808500000000009"/>
    <x v="62"/>
    <x v="9"/>
    <s v="(1) Fox acquisition consumated subject to regulatory approval (~ 1 yr)  (2) stand alone streaming with ESPN (ESPN+), spring 2018;  (3) China growth."/>
    <s v="expense of streaming ESPN / BamTech and uncertainty as to whether this solves the problem. Patience required with ESPN not live until 2018, and DIS channel live in 2019, regulators may not approve Fox deal"/>
    <m/>
    <s v="Bullish_x000a_Price pulling back towards 20-d which is up trending and above 100-d"/>
    <s v="Bullish_x000a_no divergence._x000a_Histogram at center with MACD above signal &amp; positive_x000a_"/>
    <s v="Bullish_x000a_M: Buy W: Buy D: Sell"/>
    <s v="Mixed_x000a_M: Green W: Blue D: Red"/>
    <s v="Neutral_x000a_Coming down from having been overbough over 80 last week, now 57"/>
    <s v="?"/>
    <s v="Below Average"/>
    <s v="Buy back calls for $100 or better and try another trade before Feb-6 earnings? Short calls @ 1.12 for $1k?"/>
    <d v="2018-01-09T14:46:57"/>
    <s v="BULLISH"/>
    <d v="2023-02-07T00:00:00"/>
    <d v="2023-02-07T00:00:00"/>
    <m/>
    <m/>
    <m/>
    <n v="2"/>
    <b v="1"/>
    <m/>
    <n v="400"/>
    <n v="38000"/>
    <n v="95"/>
    <n v="35204"/>
    <n v="-2796"/>
    <n v="-7.3578947368421049E-2"/>
    <n v="210"/>
    <n v="134.9"/>
    <n v="115"/>
    <n v="39.900000000000006"/>
    <s v="2.9  : 1"/>
    <n v="46000"/>
    <n v="15960.000000000002"/>
    <m/>
    <m/>
    <n v="0"/>
    <n v="0"/>
    <n v="0"/>
    <m/>
    <n v="210"/>
    <n v="126.29"/>
    <n v="1.3860924894898305"/>
    <n v="0.32936842105263159"/>
    <n v="12516"/>
    <n v="15312"/>
    <n v="0.43495057379843199"/>
    <n v="95"/>
    <s v="assignment"/>
    <n v="95"/>
    <s v="free money"/>
    <s v="CCs"/>
    <s v=""/>
    <m/>
    <m/>
    <m/>
    <s v=""/>
    <s v=""/>
    <n v="91.56"/>
    <n v="85.15079999999999"/>
    <m/>
    <d v="2022-12-26T00:00:00"/>
    <n v="92.6"/>
    <n v="98.4"/>
    <n v="75.7"/>
    <s v="DECLINE"/>
    <s v="BEARISH"/>
    <m/>
    <d v="2023-01-20T00:00:00"/>
    <m/>
    <m/>
    <m/>
    <m/>
    <m/>
    <m/>
    <n v="0"/>
    <n v="0"/>
    <m/>
    <s v=""/>
    <s v=""/>
    <m/>
    <m/>
    <m/>
    <m/>
    <m/>
    <m/>
    <n v="0"/>
    <s v=""/>
    <s v=""/>
    <s v=""/>
    <s v=""/>
    <n v="0"/>
    <s v=""/>
    <n v="0"/>
    <m/>
    <n v="0"/>
    <s v=""/>
    <s v=""/>
    <s v=""/>
    <m/>
    <n v="0"/>
    <m/>
    <s v=""/>
    <s v=""/>
    <s v=""/>
    <m/>
    <s v=""/>
    <s v=""/>
    <s v=""/>
    <s v=""/>
    <s v=""/>
    <m/>
    <m/>
    <s v=""/>
    <s v=""/>
    <s v=""/>
    <s v=""/>
    <m/>
    <m/>
    <m/>
    <m/>
    <m/>
    <m/>
    <n v="0"/>
    <s v=""/>
    <s v=""/>
    <m/>
    <s v=""/>
    <s v=""/>
    <s v=""/>
    <s v=""/>
    <s v=""/>
    <s v=""/>
    <s v=""/>
    <m/>
    <s v=""/>
    <m/>
    <s v=""/>
    <s v=""/>
    <s v=""/>
    <s v=""/>
    <n v="4"/>
    <d v="2023-01-20T00:00:00"/>
    <n v="95"/>
    <n v="4"/>
    <d v="2022-12-21T00:00:00"/>
    <d v="2022-12-21T00:00:00"/>
    <n v="0.92"/>
    <n v="30"/>
    <n v="25"/>
    <n v="368"/>
    <n v="38000"/>
    <n v="7.125"/>
    <n v="94.08"/>
    <s v=""/>
    <m/>
    <n v="0.18400000000000002"/>
    <n v="0.83"/>
    <m/>
    <n v="0.18400000000000002"/>
    <d v="2023-01-05T04:00:00"/>
    <b v="0"/>
    <d v="2023-01-05T00:00:00"/>
    <n v="73.600000000000009"/>
    <n v="0"/>
    <n v="0.83"/>
    <n v="9.4307465060788544E-3"/>
    <n v="7.9422792864447159E-2"/>
    <n v="37999.17"/>
    <s v=""/>
    <n v="367.16999999999825"/>
    <n v="94.997924999999995"/>
    <n v="6.9899999999999949"/>
    <n v="8.3263157894736789E-2"/>
    <n v="1.6460416165746774"/>
    <n v="1.037570991699432"/>
    <n v="0"/>
    <n v="0"/>
    <n v="374.99"/>
    <n v="0.12690400962071258"/>
    <n v="-332"/>
    <n v="36"/>
    <n v="9.7826086956521743E-2"/>
    <s v="Wb"/>
    <n v="80"/>
    <n v="119.9755"/>
    <n v="171.61950000000002"/>
    <m/>
    <m/>
    <n v="0"/>
    <n v="0"/>
    <n v="0"/>
    <n v="9.6623684210525862E-3"/>
    <s v="{A397172B-EFC7-420A-AD29-B0DBFFF5C2A5}"/>
    <s v=""/>
    <s v=""/>
    <s v=""/>
    <s v=""/>
    <s v=""/>
    <s v=""/>
    <s v="DIS230120C00095000"/>
    <n v="1"/>
    <s v="Y"/>
    <s v="LNG SC "/>
    <x v="8"/>
    <n v="2.4668643584353916E-2"/>
  </r>
  <r>
    <s v="DWAC"/>
    <n v="18.155000000000001"/>
    <s v="Swing"/>
    <n v="15.431750000000001"/>
    <x v="63"/>
    <x v="14"/>
    <m/>
    <m/>
    <m/>
    <m/>
    <m/>
    <m/>
    <m/>
    <m/>
    <m/>
    <m/>
    <m/>
    <m/>
    <m/>
    <s v="N/A"/>
    <m/>
    <m/>
    <m/>
    <m/>
    <m/>
    <m/>
    <m/>
    <m/>
    <m/>
    <s v=""/>
    <n v="0"/>
    <n v="0"/>
    <s v=""/>
    <n v="24.94"/>
    <m/>
    <s v=""/>
    <s v=""/>
    <s v=""/>
    <s v=""/>
    <s v=""/>
    <m/>
    <m/>
    <n v="0"/>
    <n v="0"/>
    <n v="0"/>
    <m/>
    <m/>
    <m/>
    <s v=""/>
    <s v=""/>
    <n v="0"/>
    <n v="0"/>
    <s v=""/>
    <m/>
    <m/>
    <m/>
    <m/>
    <m/>
    <s v=""/>
    <m/>
    <m/>
    <m/>
    <s v=""/>
    <s v=""/>
    <n v="21.77"/>
    <n v="20.246099999999998"/>
    <m/>
    <d v="2022-12-22T00:00:00"/>
    <n v="18.11"/>
    <n v="19.59"/>
    <n v="15.54"/>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35.402250000000002"/>
    <m/>
    <m/>
    <n v="0"/>
    <s v=""/>
    <n v="0"/>
    <s v=""/>
    <m/>
    <s v=""/>
    <s v=""/>
    <s v=""/>
    <s v=""/>
    <s v=""/>
    <s v=""/>
    <s v=""/>
    <s v=""/>
    <s v=""/>
    <s v=""/>
    <x v="0"/>
    <s v=""/>
  </r>
  <r>
    <s v="DKNG"/>
    <n v="15.56"/>
    <s v="Swing"/>
    <n v="13.226000000000001"/>
    <x v="64"/>
    <x v="15"/>
    <m/>
    <m/>
    <m/>
    <m/>
    <m/>
    <m/>
    <m/>
    <m/>
    <m/>
    <m/>
    <m/>
    <m/>
    <s v="BULLISH"/>
    <d v="2022-08-05T07:00:00"/>
    <d v="2022-08-05T07:00:00"/>
    <m/>
    <m/>
    <m/>
    <m/>
    <m/>
    <m/>
    <m/>
    <m/>
    <s v=""/>
    <n v="0"/>
    <n v="0"/>
    <s v=""/>
    <n v="80"/>
    <n v="45.7"/>
    <s v=""/>
    <s v=""/>
    <s v=""/>
    <s v=""/>
    <s v=""/>
    <m/>
    <m/>
    <n v="0"/>
    <n v="0"/>
    <n v="0"/>
    <m/>
    <n v="80"/>
    <n v="33.56"/>
    <n v="4.1413881748071972"/>
    <s v=""/>
    <n v="0"/>
    <n v="0"/>
    <n v="1.1568123393316194"/>
    <m/>
    <m/>
    <m/>
    <m/>
    <s v="CCs"/>
    <s v=""/>
    <m/>
    <m/>
    <m/>
    <s v=""/>
    <s v=""/>
    <n v="30.95"/>
    <n v="28.783499999999997"/>
    <m/>
    <d v="2022-05-11T00:00:00"/>
    <n v="22.7"/>
    <n v="23.8"/>
    <n v="19.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b"/>
    <n v="0"/>
    <n v="31.882000000000001"/>
    <n v="30.341999999999999"/>
    <m/>
    <m/>
    <n v="0"/>
    <s v=""/>
    <n v="0"/>
    <s v=""/>
    <s v="{D6A4ABDE-16F5-433A-A6DE-1B108EF77091}"/>
    <s v=""/>
    <s v=""/>
    <s v=""/>
    <s v=""/>
    <s v=""/>
    <s v=""/>
    <s v=""/>
    <s v=""/>
    <s v=""/>
    <s v=""/>
    <x v="0"/>
    <s v=""/>
  </r>
  <r>
    <s v="DKS"/>
    <n v="55.19"/>
    <m/>
    <n v="46.911499999999997"/>
    <x v="65"/>
    <x v="8"/>
    <m/>
    <m/>
    <m/>
    <m/>
    <m/>
    <m/>
    <m/>
    <m/>
    <m/>
    <m/>
    <m/>
    <m/>
    <m/>
    <d v="2022-08-24T07:30:00"/>
    <d v="2022-08-24T07:30:00"/>
    <m/>
    <m/>
    <m/>
    <m/>
    <m/>
    <m/>
    <m/>
    <m/>
    <s v=""/>
    <n v="0"/>
    <n v="0"/>
    <s v=""/>
    <m/>
    <m/>
    <s v=""/>
    <s v=""/>
    <s v=""/>
    <s v=""/>
    <s v=""/>
    <m/>
    <m/>
    <n v="0"/>
    <n v="0"/>
    <n v="0"/>
    <m/>
    <m/>
    <n v="39.17"/>
    <s v=""/>
    <s v=""/>
    <n v="0"/>
    <n v="0"/>
    <n v="-0.29026997644500807"/>
    <m/>
    <m/>
    <n v="57"/>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7.211500000000001"/>
    <n v="107.62049999999999"/>
    <m/>
    <m/>
    <n v="0"/>
    <s v=""/>
    <n v="0"/>
    <s v=""/>
    <s v="{62A8D1D0-33DD-40D2-8C18-E3996457DCC8}"/>
    <s v=""/>
    <s v=""/>
    <s v=""/>
    <s v=""/>
    <s v=""/>
    <s v=""/>
    <s v=""/>
    <s v=""/>
    <s v=""/>
    <s v=""/>
    <x v="0"/>
    <s v=""/>
  </r>
  <r>
    <s v="DNOW"/>
    <n v="11.87"/>
    <m/>
    <n v="10.089499999999999"/>
    <x v="66"/>
    <x v="0"/>
    <s v="split off from NOV, letting it ride awhile"/>
    <m/>
    <m/>
    <m/>
    <m/>
    <m/>
    <m/>
    <m/>
    <m/>
    <m/>
    <m/>
    <m/>
    <m/>
    <d v="2022-08-04T06:45:00"/>
    <d v="2022-08-04T06:45:00"/>
    <m/>
    <m/>
    <m/>
    <m/>
    <m/>
    <n v="4"/>
    <m/>
    <m/>
    <s v=""/>
    <n v="0"/>
    <n v="0"/>
    <s v=""/>
    <m/>
    <m/>
    <s v=""/>
    <s v=""/>
    <s v=""/>
    <s v=""/>
    <s v=""/>
    <n v="0"/>
    <s v="N/A"/>
    <n v="0"/>
    <n v="0"/>
    <n v="0"/>
    <s v="N/A"/>
    <m/>
    <n v="20"/>
    <s v=""/>
    <s v=""/>
    <n v="0"/>
    <n v="0"/>
    <n v="0.68491996630160079"/>
    <m/>
    <m/>
    <m/>
    <m/>
    <m/>
    <s v=""/>
    <m/>
    <m/>
    <m/>
    <s v=""/>
    <s v=""/>
    <m/>
    <s v=""/>
    <m/>
    <m/>
    <m/>
    <n v="21.8"/>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9"/>
    <n v="23.1465"/>
    <n v="50"/>
    <n v="34.880000000000003"/>
    <n v="1744.0000000000002"/>
    <s v=""/>
    <e v="#VALUE!"/>
    <e v="#VALUE!"/>
    <s v="{EDE1BA6A-3E26-4927-82D1-7044C9071370}"/>
    <s v=""/>
    <s v=""/>
    <s v=""/>
    <s v=""/>
    <s v=""/>
    <s v=""/>
    <s v=""/>
    <s v=""/>
    <s v=""/>
    <s v=""/>
    <x v="0"/>
    <s v=""/>
  </r>
  <r>
    <s v="DOCU"/>
    <n v="249.791"/>
    <m/>
    <n v="212.32235"/>
    <x v="10"/>
    <x v="3"/>
    <m/>
    <m/>
    <m/>
    <m/>
    <m/>
    <m/>
    <m/>
    <m/>
    <m/>
    <m/>
    <m/>
    <m/>
    <s v="BULLISH"/>
    <d v="2022-06-09T16:05:00"/>
    <d v="2022-06-09T16:05:00"/>
    <s v="Confirmed"/>
    <m/>
    <m/>
    <m/>
    <m/>
    <m/>
    <m/>
    <m/>
    <s v=""/>
    <n v="0"/>
    <n v="0"/>
    <s v=""/>
    <m/>
    <m/>
    <s v=""/>
    <s v=""/>
    <s v=""/>
    <s v=""/>
    <s v=""/>
    <m/>
    <m/>
    <n v="0"/>
    <n v="0"/>
    <n v="0"/>
    <m/>
    <m/>
    <n v="90.46"/>
    <s v=""/>
    <s v=""/>
    <n v="0"/>
    <n v="0"/>
    <n v="-0.63785724865987969"/>
    <n v="135"/>
    <s v="free money"/>
    <n v="135"/>
    <s v="Assignment"/>
    <m/>
    <s v=""/>
    <m/>
    <m/>
    <m/>
    <s v=""/>
    <s v=""/>
    <m/>
    <s v=""/>
    <m/>
    <d v="2020-06-09T00:00:00"/>
    <n v="131.5"/>
    <n v="167.5"/>
    <n v="119.8"/>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5.936999999999983"/>
    <n v="487.09244999999999"/>
    <m/>
    <m/>
    <n v="0"/>
    <s v=""/>
    <n v="0"/>
    <s v=""/>
    <s v="{B3807DBE-DE4E-49DA-83BC-FDD096F6BCAE}"/>
    <s v=""/>
    <s v=""/>
    <s v=""/>
    <s v=""/>
    <s v=""/>
    <s v=""/>
    <s v=""/>
    <s v=""/>
    <s v=""/>
    <s v=""/>
    <x v="0"/>
    <s v=""/>
  </r>
  <r>
    <s v="DOW"/>
    <n v="64.680000000000007"/>
    <s v="Swing"/>
    <n v="54.978000000000002"/>
    <x v="58"/>
    <x v="0"/>
    <m/>
    <m/>
    <m/>
    <m/>
    <m/>
    <m/>
    <m/>
    <m/>
    <m/>
    <m/>
    <m/>
    <m/>
    <s v="BULLISH"/>
    <d v="2022-07-21T06:00:00"/>
    <d v="2022-07-21T06:00:00"/>
    <m/>
    <m/>
    <m/>
    <m/>
    <m/>
    <m/>
    <m/>
    <m/>
    <s v=""/>
    <n v="0"/>
    <n v="0"/>
    <s v=""/>
    <m/>
    <m/>
    <s v=""/>
    <s v=""/>
    <s v=""/>
    <s v=""/>
    <s v=""/>
    <n v="2.8"/>
    <d v="2019-06-14T00:00:00"/>
    <n v="0"/>
    <n v="0"/>
    <n v="4.3290043290043281E-2"/>
    <d v="2019-08-30T00:00:00"/>
    <n v="62"/>
    <n v="56.95"/>
    <n v="-4.1434755720470104E-2"/>
    <s v=""/>
    <n v="0"/>
    <n v="0"/>
    <n v="-0.11951144094001241"/>
    <m/>
    <m/>
    <m/>
    <m/>
    <m/>
    <s v=""/>
    <m/>
    <n v="1.9079999999999999"/>
    <d v="2021-04-16T00:00:00"/>
    <n v="62.772000000000006"/>
    <n v="66.588000000000008"/>
    <n v="59.69"/>
    <n v="55.511699999999998"/>
    <m/>
    <d v="2021-04-12T00:00:00"/>
    <n v="60.8"/>
    <n v="69.900000000000006"/>
    <n v="57.7"/>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4.102499999999999"/>
    <n v="126.126"/>
    <m/>
    <m/>
    <n v="0"/>
    <s v=""/>
    <n v="0"/>
    <s v=""/>
    <s v="{CD9EA3DD-405D-4CD5-98D3-770DB88310F9}"/>
    <s v=""/>
    <s v=""/>
    <s v=""/>
    <s v=""/>
    <s v=""/>
    <s v=""/>
    <s v=""/>
    <s v=""/>
    <s v=""/>
    <s v=""/>
    <x v="0"/>
    <s v=""/>
  </r>
  <r>
    <s v="DPZ"/>
    <n v="247.83"/>
    <m/>
    <n v="210.65550000000002"/>
    <x v="48"/>
    <x v="8"/>
    <m/>
    <m/>
    <m/>
    <m/>
    <m/>
    <m/>
    <m/>
    <m/>
    <m/>
    <m/>
    <m/>
    <m/>
    <m/>
    <d v="2022-07-28T07:30:00"/>
    <d v="2022-07-28T07:30:00"/>
    <m/>
    <m/>
    <m/>
    <m/>
    <m/>
    <m/>
    <m/>
    <m/>
    <s v=""/>
    <n v="0"/>
    <n v="0"/>
    <s v=""/>
    <m/>
    <m/>
    <s v=""/>
    <s v=""/>
    <s v=""/>
    <s v=""/>
    <s v=""/>
    <n v="1.24"/>
    <d v="2015-12-30T00:00:00"/>
    <n v="0"/>
    <n v="0"/>
    <n v="5.0034297704071333E-3"/>
    <d v="2015-09-09T00:00:00"/>
    <m/>
    <n v="110"/>
    <s v=""/>
    <s v=""/>
    <n v="0"/>
    <n v="0"/>
    <n v="-0.5561473590767864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4.5"/>
    <n v="483.26850000000002"/>
    <m/>
    <m/>
    <n v="0"/>
    <s v=""/>
    <n v="0"/>
    <s v=""/>
    <s v="{B68688BA-6836-410F-B149-B50F5277E13C}"/>
    <s v=""/>
    <s v=""/>
    <s v=""/>
    <s v=""/>
    <s v=""/>
    <s v=""/>
    <s v=""/>
    <s v=""/>
    <s v=""/>
    <s v=""/>
    <x v="0"/>
    <s v=""/>
  </r>
  <r>
    <s v="DQ"/>
    <n v="70.150000000000006"/>
    <s v="Swing"/>
    <n v="59.627500000000005"/>
    <x v="16"/>
    <x v="3"/>
    <m/>
    <m/>
    <m/>
    <m/>
    <m/>
    <m/>
    <m/>
    <m/>
    <m/>
    <m/>
    <m/>
    <m/>
    <s v="BULLISH"/>
    <d v="2022-08-17T06:45:00"/>
    <d v="2022-08-17T06:45:00"/>
    <m/>
    <m/>
    <m/>
    <m/>
    <m/>
    <m/>
    <m/>
    <m/>
    <s v=""/>
    <n v="0"/>
    <n v="0"/>
    <s v=""/>
    <n v="90"/>
    <n v="64.25"/>
    <s v=""/>
    <s v=""/>
    <s v=""/>
    <s v=""/>
    <s v=""/>
    <m/>
    <m/>
    <n v="0"/>
    <n v="0"/>
    <n v="0"/>
    <m/>
    <m/>
    <n v="81"/>
    <s v=""/>
    <s v=""/>
    <n v="0"/>
    <n v="0"/>
    <n v="0.15466856735566634"/>
    <n v="55"/>
    <s v="free money"/>
    <n v="55"/>
    <s v="Assignment"/>
    <s v="SPs"/>
    <s v=""/>
    <m/>
    <m/>
    <m/>
    <s v=""/>
    <s v=""/>
    <n v="61.12"/>
    <n v="56.841599999999993"/>
    <m/>
    <d v="2022-07-11T00:00:00"/>
    <n v="72.06"/>
    <n v="84.06"/>
    <n v="66.95"/>
    <s v="RANGE"/>
    <s v="BULLISH"/>
    <s v="Recognia sees Bullish Bottom Triangle that should lead to 64.00 - 67.00 by Jul-06, 2022"/>
    <s v=""/>
    <m/>
    <m/>
    <m/>
    <m/>
    <m/>
    <m/>
    <n v="0"/>
    <n v="0"/>
    <m/>
    <s v=""/>
    <s v=""/>
    <m/>
    <m/>
    <m/>
    <m/>
    <m/>
    <m/>
    <n v="0"/>
    <s v=""/>
    <s v=""/>
    <s v=""/>
    <s v=""/>
    <n v="0"/>
    <s v=""/>
    <n v="0"/>
    <m/>
    <n v="0"/>
    <s v=""/>
    <s v=""/>
    <s v=""/>
    <m/>
    <n v="0"/>
    <m/>
    <s v=""/>
    <s v=""/>
    <s v=""/>
    <m/>
    <s v=""/>
    <s v=""/>
    <s v=""/>
    <s v=""/>
    <s v=""/>
    <m/>
    <n v="3.3"/>
    <s v=""/>
    <s v=""/>
    <s v=""/>
    <s v=""/>
    <m/>
    <m/>
    <m/>
    <m/>
    <m/>
    <m/>
    <n v="0"/>
    <s v=""/>
    <s v=""/>
    <m/>
    <s v=""/>
    <s v=""/>
    <s v=""/>
    <s v=""/>
    <s v=""/>
    <s v=""/>
    <s v=""/>
    <m/>
    <s v=""/>
    <m/>
    <s v=""/>
    <s v=""/>
    <s v=""/>
    <s v=""/>
    <n v="0"/>
    <m/>
    <m/>
    <m/>
    <m/>
    <m/>
    <m/>
    <s v=""/>
    <s v=""/>
    <n v="0"/>
    <n v="0"/>
    <n v="0"/>
    <n v="0"/>
    <s v=""/>
    <m/>
    <n v="0"/>
    <m/>
    <m/>
    <s v=""/>
    <m/>
    <s v=""/>
    <m/>
    <s v=""/>
    <n v="0"/>
    <n v="0"/>
    <s v=""/>
    <s v=""/>
    <s v=""/>
    <s v=""/>
    <s v=""/>
    <s v=""/>
    <s v=""/>
    <s v=""/>
    <s v=""/>
    <s v=""/>
    <s v=""/>
    <s v=""/>
    <s v=""/>
    <s v=""/>
    <s v=""/>
    <s v=""/>
    <s v=""/>
    <m/>
    <n v="0"/>
    <n v="76.95"/>
    <n v="136.79250000000002"/>
    <m/>
    <m/>
    <n v="0"/>
    <s v=""/>
    <n v="0"/>
    <s v=""/>
    <m/>
    <s v=""/>
    <s v=""/>
    <s v=""/>
    <s v=""/>
    <s v=""/>
    <s v=""/>
    <s v=""/>
    <s v=""/>
    <s v=""/>
    <s v=""/>
    <x v="0"/>
    <s v=""/>
  </r>
  <r>
    <s v="DRI"/>
    <n v="122.43"/>
    <m/>
    <n v="104.0655"/>
    <x v="48"/>
    <x v="8"/>
    <m/>
    <m/>
    <m/>
    <m/>
    <m/>
    <m/>
    <m/>
    <m/>
    <m/>
    <m/>
    <m/>
    <m/>
    <m/>
    <d v="2022-06-23T07:00:00"/>
    <d v="2022-06-23T07:00:00"/>
    <s v="Confirmed"/>
    <m/>
    <m/>
    <m/>
    <m/>
    <m/>
    <m/>
    <m/>
    <s v=""/>
    <n v="0"/>
    <n v="0"/>
    <s v=""/>
    <m/>
    <m/>
    <s v=""/>
    <s v=""/>
    <s v=""/>
    <s v=""/>
    <s v=""/>
    <m/>
    <m/>
    <n v="0"/>
    <n v="0"/>
    <n v="0"/>
    <m/>
    <m/>
    <n v="102.82"/>
    <s v=""/>
    <s v=""/>
    <n v="0"/>
    <n v="0"/>
    <n v="-0.1601731601731602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7.678999999999988"/>
    <n v="238.73850000000002"/>
    <m/>
    <m/>
    <n v="0"/>
    <s v=""/>
    <n v="0"/>
    <s v=""/>
    <s v="{6F3DA2A1-7582-449C-A05C-EBB7DFB51C37}"/>
    <s v=""/>
    <s v=""/>
    <s v=""/>
    <s v=""/>
    <s v=""/>
    <s v=""/>
    <s v=""/>
    <s v=""/>
    <s v=""/>
    <s v=""/>
    <x v="0"/>
    <s v=""/>
  </r>
  <r>
    <s v="DUK"/>
    <n v="89.75"/>
    <m/>
    <n v="76.287499999999994"/>
    <x v="67"/>
    <x v="5"/>
    <m/>
    <m/>
    <m/>
    <m/>
    <m/>
    <m/>
    <m/>
    <m/>
    <m/>
    <m/>
    <m/>
    <m/>
    <m/>
    <d v="2022-08-08T07:00:00"/>
    <d v="2022-08-08T07:00:00"/>
    <m/>
    <m/>
    <m/>
    <m/>
    <m/>
    <m/>
    <m/>
    <m/>
    <s v=""/>
    <n v="0"/>
    <n v="0"/>
    <s v=""/>
    <m/>
    <m/>
    <s v=""/>
    <s v=""/>
    <s v=""/>
    <s v=""/>
    <s v=""/>
    <n v="3.56"/>
    <d v="2018-03-16T00:00:00"/>
    <n v="0"/>
    <n v="0"/>
    <n v="3.9665738161559889E-2"/>
    <d v="2018-02-15T00:00:00"/>
    <m/>
    <n v="88.25"/>
    <s v=""/>
    <s v=""/>
    <n v="0"/>
    <n v="0"/>
    <n v="-1.6713091922005572E-2"/>
    <m/>
    <m/>
    <m/>
    <m/>
    <m/>
    <s v=""/>
    <m/>
    <m/>
    <m/>
    <s v=""/>
    <s v=""/>
    <m/>
    <s v=""/>
    <m/>
    <d v="2018-01-11T00:00:00"/>
    <n v="81.2"/>
    <n v="82.5"/>
    <n v="76.900000000000006"/>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3.837499999999991"/>
    <n v="175.01249999999999"/>
    <m/>
    <m/>
    <n v="0"/>
    <s v=""/>
    <n v="0"/>
    <s v=""/>
    <s v="{D21C173B-7C49-427B-9272-774348ED745C}"/>
    <s v=""/>
    <s v=""/>
    <s v=""/>
    <s v=""/>
    <s v=""/>
    <s v=""/>
    <s v=""/>
    <s v=""/>
    <s v=""/>
    <s v=""/>
    <x v="0"/>
    <s v=""/>
  </r>
  <r>
    <s v="DVA"/>
    <n v="123.38"/>
    <m/>
    <n v="104.87299999999999"/>
    <x v="68"/>
    <x v="2"/>
    <m/>
    <m/>
    <m/>
    <m/>
    <m/>
    <m/>
    <m/>
    <m/>
    <m/>
    <m/>
    <m/>
    <m/>
    <s v="BULLISH"/>
    <d v="2022-08-04T16:05:00"/>
    <d v="2022-08-04T16:05:00"/>
    <m/>
    <m/>
    <m/>
    <m/>
    <m/>
    <m/>
    <m/>
    <m/>
    <s v=""/>
    <n v="0"/>
    <n v="0"/>
    <s v=""/>
    <n v="175"/>
    <n v="113"/>
    <s v=""/>
    <s v=""/>
    <s v=""/>
    <s v=""/>
    <s v=""/>
    <m/>
    <m/>
    <n v="0"/>
    <n v="0"/>
    <n v="0"/>
    <m/>
    <m/>
    <n v="127"/>
    <s v=""/>
    <s v=""/>
    <n v="0"/>
    <n v="0"/>
    <n v="2.9340249635273177E-2"/>
    <m/>
    <m/>
    <n v="113"/>
    <s v="stop out"/>
    <m/>
    <s v=""/>
    <m/>
    <m/>
    <m/>
    <s v=""/>
    <s v=""/>
    <n v="122.28"/>
    <n v="113.7204"/>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0.64999999999999"/>
    <n v="240.59099999999998"/>
    <m/>
    <m/>
    <n v="0"/>
    <s v=""/>
    <n v="0"/>
    <s v=""/>
    <m/>
    <s v=""/>
    <s v=""/>
    <s v=""/>
    <s v=""/>
    <s v=""/>
    <s v=""/>
    <s v=""/>
    <s v=""/>
    <s v=""/>
    <s v=""/>
    <x v="0"/>
    <s v=""/>
  </r>
  <r>
    <s v="DVN"/>
    <n v="24.05"/>
    <m/>
    <n v="20.442499999999999"/>
    <x v="69"/>
    <x v="0"/>
    <m/>
    <m/>
    <m/>
    <m/>
    <m/>
    <m/>
    <m/>
    <m/>
    <m/>
    <m/>
    <m/>
    <m/>
    <m/>
    <d v="2022-08-01T16:05:00"/>
    <d v="2022-08-01T16:05:00"/>
    <m/>
    <m/>
    <m/>
    <m/>
    <m/>
    <m/>
    <m/>
    <m/>
    <s v=""/>
    <n v="0"/>
    <n v="0"/>
    <s v=""/>
    <m/>
    <m/>
    <s v=""/>
    <s v=""/>
    <s v=""/>
    <s v=""/>
    <s v=""/>
    <n v="0.24"/>
    <d v="2017-03-31T00:00:00"/>
    <n v="0"/>
    <n v="0"/>
    <n v="9.979209979209978E-3"/>
    <d v="2017-03-09T00:00:00"/>
    <m/>
    <m/>
    <s v=""/>
    <s v=""/>
    <n v="0"/>
    <n v="0"/>
    <s v=""/>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46.897500000000001"/>
    <m/>
    <m/>
    <n v="0"/>
    <s v=""/>
    <n v="0"/>
    <s v=""/>
    <s v="{5199A4EC-C146-486C-8C6D-B58A7EE19E21}"/>
    <s v=""/>
    <s v=""/>
    <s v=""/>
    <s v=""/>
    <s v=""/>
    <s v=""/>
    <s v=""/>
    <s v=""/>
    <s v=""/>
    <s v=""/>
    <x v="0"/>
    <s v=""/>
  </r>
  <r>
    <s v="DXC"/>
    <n v="35.909999999999997"/>
    <m/>
    <n v="30.523499999999995"/>
    <x v="7"/>
    <x v="3"/>
    <m/>
    <m/>
    <m/>
    <m/>
    <m/>
    <m/>
    <m/>
    <m/>
    <m/>
    <m/>
    <m/>
    <m/>
    <s v="BULLISH"/>
    <d v="2022-08-24T16:15:00"/>
    <d v="2022-08-24T16:15:00"/>
    <m/>
    <m/>
    <m/>
    <m/>
    <m/>
    <m/>
    <m/>
    <m/>
    <s v=""/>
    <n v="0"/>
    <n v="0"/>
    <s v=""/>
    <m/>
    <m/>
    <s v=""/>
    <s v=""/>
    <s v=""/>
    <s v=""/>
    <s v=""/>
    <n v="0.72"/>
    <d v="2017-10-11T00:00:00"/>
    <n v="0"/>
    <n v="0"/>
    <n v="2.005012531328321E-2"/>
    <d v="2017-09-08T00:00:00"/>
    <n v="100"/>
    <n v="111.5"/>
    <n v="1.7847396268448903"/>
    <s v=""/>
    <n v="0"/>
    <n v="0"/>
    <n v="2.104984683932052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5.925"/>
    <n v="70.024499999999989"/>
    <m/>
    <m/>
    <n v="0"/>
    <s v=""/>
    <n v="0"/>
    <s v=""/>
    <s v="{4CDE1ECA-25E8-44C7-8580-2F382B44BF54}"/>
    <s v=""/>
    <s v=""/>
    <s v=""/>
    <s v=""/>
    <s v=""/>
    <s v=""/>
    <s v=""/>
    <s v=""/>
    <s v=""/>
    <s v=""/>
    <x v="0"/>
    <s v=""/>
  </r>
  <r>
    <s v="EBAY"/>
    <n v="56.71"/>
    <s v="Prem"/>
    <n v="48.203499999999998"/>
    <x v="70"/>
    <x v="8"/>
    <m/>
    <m/>
    <m/>
    <m/>
    <m/>
    <m/>
    <m/>
    <m/>
    <m/>
    <m/>
    <m/>
    <m/>
    <s v="BULLISH"/>
    <d v="2022-08-03T16:05:00"/>
    <d v="2022-08-03T16:05:00"/>
    <m/>
    <m/>
    <m/>
    <m/>
    <m/>
    <m/>
    <m/>
    <m/>
    <s v=""/>
    <n v="0"/>
    <n v="0"/>
    <s v=""/>
    <m/>
    <m/>
    <s v=""/>
    <s v=""/>
    <s v=""/>
    <s v=""/>
    <s v=""/>
    <m/>
    <s v="N/A"/>
    <n v="0"/>
    <n v="0"/>
    <n v="0"/>
    <m/>
    <m/>
    <m/>
    <s v=""/>
    <s v=""/>
    <n v="0"/>
    <n v="0"/>
    <s v=""/>
    <n v="34"/>
    <s v="ITM"/>
    <n v="32"/>
    <s v="Losses"/>
    <m/>
    <s v=""/>
    <m/>
    <m/>
    <m/>
    <s v=""/>
    <s v=""/>
    <m/>
    <s v=""/>
    <m/>
    <d v="2021-01-13T00:00:00"/>
    <n v="53.16"/>
    <n v="57.26"/>
    <n v="51.77"/>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10.58450000000001"/>
    <m/>
    <m/>
    <n v="0"/>
    <s v=""/>
    <n v="0"/>
    <s v=""/>
    <s v="{CB65D80B-663A-4E5D-8F9D-EEB0023565D1}"/>
    <s v=""/>
    <s v=""/>
    <s v=""/>
    <s v=""/>
    <s v=""/>
    <s v=""/>
    <s v=""/>
    <s v=""/>
    <s v=""/>
    <s v=""/>
    <x v="0"/>
    <s v=""/>
  </r>
  <r>
    <s v="ECL"/>
    <n v="205.97"/>
    <m/>
    <n v="175.0745"/>
    <x v="71"/>
    <x v="12"/>
    <m/>
    <m/>
    <m/>
    <m/>
    <m/>
    <m/>
    <m/>
    <m/>
    <m/>
    <m/>
    <m/>
    <m/>
    <m/>
    <d v="2022-07-26T08:30:00"/>
    <d v="2022-07-26T08:30:00"/>
    <m/>
    <m/>
    <m/>
    <m/>
    <m/>
    <m/>
    <m/>
    <m/>
    <s v=""/>
    <n v="0"/>
    <n v="0"/>
    <s v=""/>
    <m/>
    <m/>
    <s v=""/>
    <s v=""/>
    <s v=""/>
    <s v=""/>
    <s v=""/>
    <n v="1.4"/>
    <d v="2017-01-17T00:00:00"/>
    <n v="0"/>
    <n v="0"/>
    <n v="6.7971063747147642E-3"/>
    <d v="2016-12-14T00:00:00"/>
    <m/>
    <n v="125.06"/>
    <s v=""/>
    <s v=""/>
    <n v="0"/>
    <n v="0"/>
    <n v="-0.39282419769869398"/>
    <m/>
    <m/>
    <m/>
    <m/>
    <m/>
    <s v=""/>
    <m/>
    <m/>
    <m/>
    <s v=""/>
    <s v=""/>
    <m/>
    <s v=""/>
    <m/>
    <d v="2016-12-01T00:00:00"/>
    <n v="114.2"/>
    <n v="121.8"/>
    <n v="111.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8.807"/>
    <n v="401.64150000000001"/>
    <m/>
    <m/>
    <n v="0"/>
    <s v=""/>
    <n v="0"/>
    <s v=""/>
    <s v="{76EF5D98-4C65-4C26-B19C-591F67CCA617}"/>
    <s v=""/>
    <s v=""/>
    <s v=""/>
    <s v=""/>
    <s v=""/>
    <s v=""/>
    <s v=""/>
    <s v=""/>
    <s v=""/>
    <s v=""/>
    <x v="0"/>
    <s v=""/>
  </r>
  <r>
    <s v="ED"/>
    <n v="87.26"/>
    <m/>
    <n v="74.171000000000006"/>
    <x v="67"/>
    <x v="5"/>
    <s v="NYC lawsuit settlement, rate imp"/>
    <s v="interest rates rising"/>
    <m/>
    <m/>
    <m/>
    <m/>
    <m/>
    <m/>
    <m/>
    <m/>
    <m/>
    <m/>
    <m/>
    <d v="2022-08-04T20:30:00"/>
    <d v="2022-08-04T20:30:00"/>
    <m/>
    <m/>
    <m/>
    <m/>
    <m/>
    <m/>
    <m/>
    <m/>
    <s v=""/>
    <n v="0"/>
    <n v="0"/>
    <s v=""/>
    <m/>
    <m/>
    <s v=""/>
    <s v=""/>
    <s v=""/>
    <s v=""/>
    <s v=""/>
    <n v="2.6"/>
    <d v="2015-12-15T00:00:00"/>
    <n v="0"/>
    <n v="0"/>
    <n v="2.9796011918404766E-2"/>
    <d v="2015-08-13T00:00:00"/>
    <m/>
    <n v="63"/>
    <s v=""/>
    <s v=""/>
    <n v="0"/>
    <n v="0"/>
    <n v="-0.27801971120788455"/>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9.849999999999994"/>
    <n v="170.15700000000001"/>
    <m/>
    <n v="60"/>
    <n v="0"/>
    <s v=""/>
    <n v="0"/>
    <s v=""/>
    <s v="{E27BEF32-055E-4A03-A943-9A51C1B9A2F6}"/>
    <s v=""/>
    <s v=""/>
    <s v=""/>
    <s v=""/>
    <s v=""/>
    <s v=""/>
    <s v=""/>
    <s v=""/>
    <s v=""/>
    <s v=""/>
    <x v="0"/>
    <s v=""/>
  </r>
  <r>
    <s v="EGLE"/>
    <n v="67.58"/>
    <s v="Swing"/>
    <n v="57.442999999999998"/>
    <x v="72"/>
    <x v="11"/>
    <m/>
    <m/>
    <m/>
    <m/>
    <m/>
    <m/>
    <m/>
    <m/>
    <m/>
    <m/>
    <m/>
    <m/>
    <m/>
    <d v="2022-08-04T17:00:00"/>
    <d v="2022-08-04T17:00:00"/>
    <m/>
    <m/>
    <m/>
    <m/>
    <m/>
    <m/>
    <m/>
    <m/>
    <s v=""/>
    <n v="0"/>
    <n v="0"/>
    <s v=""/>
    <n v="75"/>
    <n v="63.65"/>
    <s v=""/>
    <s v=""/>
    <s v=""/>
    <s v=""/>
    <s v=""/>
    <m/>
    <m/>
    <n v="0"/>
    <n v="0"/>
    <n v="0"/>
    <m/>
    <m/>
    <n v="78.099999999999994"/>
    <s v=""/>
    <s v=""/>
    <n v="0"/>
    <n v="0"/>
    <n v="0.155667357206274"/>
    <m/>
    <m/>
    <m/>
    <m/>
    <m/>
    <s v=""/>
    <m/>
    <m/>
    <m/>
    <s v=""/>
    <s v=""/>
    <n v="66.23"/>
    <n v="61.593899999999998"/>
    <m/>
    <d v="2022-05-23T00:00:00"/>
    <n v="69.95"/>
    <n v="74.77"/>
    <n v="69.930000000000007"/>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4.194999999999993"/>
    <n v="131.78100000000001"/>
    <m/>
    <m/>
    <n v="0"/>
    <s v=""/>
    <n v="0"/>
    <s v=""/>
    <m/>
    <s v=""/>
    <s v=""/>
    <s v=""/>
    <s v=""/>
    <s v=""/>
    <s v=""/>
    <s v=""/>
    <s v=""/>
    <s v=""/>
    <s v=""/>
    <x v="0"/>
    <s v=""/>
  </r>
  <r>
    <s v="EL"/>
    <n v="233.5"/>
    <m/>
    <n v="198.47499999999999"/>
    <x v="17"/>
    <x v="4"/>
    <m/>
    <m/>
    <m/>
    <m/>
    <m/>
    <m/>
    <m/>
    <m/>
    <m/>
    <m/>
    <m/>
    <m/>
    <s v="BULLISH"/>
    <d v="2022-08-02T06:45:00"/>
    <d v="2022-08-02T06:45:00"/>
    <m/>
    <m/>
    <m/>
    <m/>
    <m/>
    <m/>
    <m/>
    <m/>
    <s v=""/>
    <n v="0"/>
    <n v="0"/>
    <s v=""/>
    <m/>
    <m/>
    <s v=""/>
    <s v=""/>
    <s v=""/>
    <s v=""/>
    <s v=""/>
    <m/>
    <m/>
    <n v="0"/>
    <n v="0"/>
    <n v="0"/>
    <m/>
    <m/>
    <n v="223.86"/>
    <s v=""/>
    <s v=""/>
    <n v="0"/>
    <n v="0"/>
    <n v="-4.1284796573875744E-2"/>
    <m/>
    <m/>
    <m/>
    <m/>
    <m/>
    <s v=""/>
    <m/>
    <m/>
    <m/>
    <s v=""/>
    <s v=""/>
    <m/>
    <s v=""/>
    <m/>
    <d v="2020-10-20T00:00:00"/>
    <n v="215.8"/>
    <n v="239.2"/>
    <n v="204.5"/>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12.667"/>
    <n v="455.32499999999999"/>
    <m/>
    <m/>
    <n v="0"/>
    <s v=""/>
    <n v="0"/>
    <s v=""/>
    <m/>
    <s v=""/>
    <s v=""/>
    <s v=""/>
    <s v=""/>
    <s v=""/>
    <s v=""/>
    <s v=""/>
    <s v=""/>
    <s v=""/>
    <s v=""/>
    <x v="0"/>
    <s v=""/>
  </r>
  <r>
    <s v="EMR"/>
    <n v="59.48"/>
    <m/>
    <n v="50.557999999999993"/>
    <x v="73"/>
    <x v="13"/>
    <m/>
    <m/>
    <m/>
    <m/>
    <m/>
    <m/>
    <m/>
    <m/>
    <m/>
    <m/>
    <m/>
    <m/>
    <s v="BULLISH"/>
    <d v="2022-08-03T06:55:00"/>
    <d v="2022-08-03T06:55:00"/>
    <m/>
    <m/>
    <m/>
    <m/>
    <m/>
    <m/>
    <m/>
    <m/>
    <s v=""/>
    <n v="0"/>
    <n v="0"/>
    <s v=""/>
    <m/>
    <m/>
    <s v=""/>
    <s v=""/>
    <s v=""/>
    <s v=""/>
    <s v=""/>
    <n v="1.88"/>
    <d v="2015-12-10T00:00:00"/>
    <n v="0"/>
    <n v="0"/>
    <n v="3.160726294552791E-2"/>
    <d v="2015-08-10T00:00:00"/>
    <n v="80"/>
    <n v="72.260000000000005"/>
    <n v="0.34498991257565575"/>
    <s v=""/>
    <n v="0"/>
    <n v="0"/>
    <n v="0.2148621385339611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8.647000000000006"/>
    <n v="115.98599999999999"/>
    <m/>
    <m/>
    <n v="0"/>
    <s v=""/>
    <n v="0"/>
    <s v=""/>
    <s v="{9F3004D3-2C40-487D-A2D3-E48EFE525E23}"/>
    <s v=""/>
    <s v=""/>
    <s v=""/>
    <s v=""/>
    <s v=""/>
    <s v=""/>
    <s v=""/>
    <s v=""/>
    <s v=""/>
    <s v=""/>
    <x v="0"/>
    <s v=""/>
  </r>
  <r>
    <s v="COIN"/>
    <n v="42.6"/>
    <s v="Swing"/>
    <n v="36.21"/>
    <x v="10"/>
    <x v="3"/>
    <m/>
    <m/>
    <m/>
    <m/>
    <m/>
    <m/>
    <m/>
    <m/>
    <m/>
    <m/>
    <m/>
    <m/>
    <s v="BULLISH"/>
    <d v="2023-02-02T00:00:00"/>
    <d v="2023-02-02T00:00:00"/>
    <m/>
    <m/>
    <m/>
    <m/>
    <m/>
    <m/>
    <m/>
    <m/>
    <s v=""/>
    <n v="0"/>
    <n v="0"/>
    <s v=""/>
    <n v="280"/>
    <n v="238.5"/>
    <s v=""/>
    <s v=""/>
    <s v=""/>
    <s v=""/>
    <s v=""/>
    <m/>
    <m/>
    <n v="0"/>
    <n v="0"/>
    <n v="0"/>
    <m/>
    <m/>
    <n v="75.400000000000006"/>
    <s v=""/>
    <s v=""/>
    <n v="0"/>
    <n v="0"/>
    <n v="0.76995305164319261"/>
    <n v="45"/>
    <s v="ITM"/>
    <n v="55"/>
    <s v="Assignment"/>
    <s v="BuCS"/>
    <s v=""/>
    <m/>
    <m/>
    <m/>
    <s v=""/>
    <s v=""/>
    <n v="-31.73"/>
    <n v="-29.508899999999997"/>
    <m/>
    <d v="2022-12-07T00:00:00"/>
    <n v="35.799999999999997"/>
    <n v="61.8"/>
    <n v="28.2"/>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1.63"/>
    <n v="83.070000000000007"/>
    <m/>
    <m/>
    <n v="0"/>
    <s v=""/>
    <n v="0"/>
    <s v=""/>
    <s v="{19D2BAA8-EA6E-4C13-A4D3-CC2B70BCF6E0}"/>
    <s v=""/>
    <s v=""/>
    <s v=""/>
    <s v=""/>
    <s v=""/>
    <s v=""/>
    <s v=""/>
    <s v=""/>
    <s v=""/>
    <s v=""/>
    <x v="0"/>
    <s v=""/>
  </r>
  <r>
    <s v="EOG"/>
    <n v="79.37"/>
    <m/>
    <n v="67.464500000000001"/>
    <x v="69"/>
    <x v="0"/>
    <s v="Great company but get back in next year"/>
    <s v="Great management"/>
    <m/>
    <s v="UP"/>
    <s v="CONVERGE"/>
    <s v="UP"/>
    <s v="UP"/>
    <s v="Over 80"/>
    <s v="UP"/>
    <s v="AVG"/>
    <m/>
    <m/>
    <m/>
    <d v="2022-07-26T16:05:00"/>
    <d v="2022-07-26T16:05:00"/>
    <m/>
    <m/>
    <m/>
    <m/>
    <m/>
    <n v="3"/>
    <m/>
    <m/>
    <s v=""/>
    <n v="0"/>
    <n v="0"/>
    <s v=""/>
    <m/>
    <m/>
    <s v=""/>
    <s v=""/>
    <s v=""/>
    <s v=""/>
    <s v=""/>
    <n v="0.67"/>
    <d v="2016-01-29T00:00:00"/>
    <n v="0"/>
    <n v="0"/>
    <n v="8.4414766284490357E-3"/>
    <d v="2016-01-11T00:00:00"/>
    <m/>
    <n v="90"/>
    <s v=""/>
    <s v=""/>
    <n v="0"/>
    <n v="0"/>
    <n v="0.13392969635882568"/>
    <m/>
    <m/>
    <m/>
    <m/>
    <m/>
    <s v=""/>
    <m/>
    <m/>
    <m/>
    <s v=""/>
    <s v=""/>
    <m/>
    <s v=""/>
    <m/>
    <m/>
    <n v="90.4"/>
    <n v="96.1"/>
    <n v="72.7"/>
    <m/>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5.5"/>
    <n v="154.7715"/>
    <m/>
    <m/>
    <n v="0"/>
    <s v=""/>
    <n v="0"/>
    <s v=""/>
    <s v="{26C62638-5CE9-480F-A27A-C442B6F0D57C}"/>
    <s v=""/>
    <s v=""/>
    <s v=""/>
    <s v=""/>
    <s v=""/>
    <s v=""/>
    <s v=""/>
    <s v=""/>
    <s v=""/>
    <s v=""/>
    <x v="0"/>
    <s v=""/>
  </r>
  <r>
    <s v="ESV"/>
    <n v="8.19"/>
    <m/>
    <n v="6.9614999999999991"/>
    <x v="74"/>
    <x v="0"/>
    <s v="There have been significant declines over the past two weeks for the entire offshore driller complex following the OPEC decision not to cut oil production, and SeaDrill's (SDRL:NYSE) decision to eliminate its dividend. The dividend cut should not have come as a surprise; SeaDrill stock was yielding 18% before the cut was announced, and similar actions could come from competitors Diamond Offshore (DO:NYSE) and/or Transocean (RIG:NYSE), which have inferior technology, weaker balance sheets and older fleets than Ensco does. We continue to believe, however, that Ensco will benefit from its best-in-class market position, evident in the company's recent balance sheet moves, $11 billion backlog and the fact that the company cold-stacked several of its older rigs in the first half of the year. Recall that the company reported a positive third-quarter earnings surprise, with a strong performance in both jackups and floaters and a strong utilization rate of 96%, as cost controls led to a 550 basis point increase in margins. But what was more important (and more forward-thinking), was the improvement to its financial flexibility by raising $1.3 billion in debt and increasing its revolver to $2.25 billion, which should help to protect the 8.9% dividend yield. The company is the best positioned in the group to handle the current macro challenges, and we believe shares can climb higher once investors begin to differentiate the competitors within the space. This is a volatile stock and not for the faint of heart -- but being down 40% from highs, the valuation is extremely cheap and oversold. In the long term, it is the quality name in the space and when oil stabilizes and eventually moves higher, we expect the stock to follow. We'll collect the dividend while we wait. "/>
    <s v="Broad energy selloff, over supply of offshore drillers some of which have already cut their dividends."/>
    <m/>
    <m/>
    <m/>
    <m/>
    <m/>
    <m/>
    <m/>
    <m/>
    <m/>
    <m/>
    <m/>
    <d v="2022-07-26T16:05:00"/>
    <d v="2022-07-26T16:05:00"/>
    <m/>
    <m/>
    <m/>
    <m/>
    <m/>
    <m/>
    <m/>
    <m/>
    <s v=""/>
    <n v="0"/>
    <n v="0"/>
    <s v=""/>
    <m/>
    <m/>
    <s v=""/>
    <s v=""/>
    <s v=""/>
    <s v=""/>
    <s v=""/>
    <n v="0.6"/>
    <d v="2015-12-18T00:00:00"/>
    <n v="0"/>
    <n v="0"/>
    <n v="7.3260073260073263E-2"/>
    <d v="2015-08-31T00:00:00"/>
    <m/>
    <n v="20"/>
    <s v=""/>
    <s v=""/>
    <n v="0"/>
    <n v="0"/>
    <n v="1.442002442002442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9"/>
    <n v="15.970499999999999"/>
    <m/>
    <n v="57.88"/>
    <n v="0"/>
    <s v=""/>
    <n v="0"/>
    <s v=""/>
    <s v="{F0D0512F-62FC-4950-99B9-F45F95A6EA53}"/>
    <s v=""/>
    <s v=""/>
    <s v=""/>
    <s v=""/>
    <s v=""/>
    <s v=""/>
    <s v=""/>
    <s v=""/>
    <s v=""/>
    <s v=""/>
    <x v="0"/>
    <s v=""/>
  </r>
  <r>
    <s v="ETH"/>
    <n v="27.03"/>
    <s v="Swing"/>
    <n v="22.9755"/>
    <x v="75"/>
    <x v="1"/>
    <m/>
    <m/>
    <m/>
    <m/>
    <m/>
    <m/>
    <m/>
    <m/>
    <m/>
    <m/>
    <m/>
    <m/>
    <s v="BULLISH"/>
    <d v="2022-07-26T16:05:00"/>
    <d v="2022-07-26T16:05:00"/>
    <m/>
    <m/>
    <m/>
    <m/>
    <m/>
    <m/>
    <m/>
    <m/>
    <s v=""/>
    <n v="0"/>
    <n v="0"/>
    <s v=""/>
    <n v="28.44"/>
    <m/>
    <s v=""/>
    <s v=""/>
    <s v=""/>
    <s v=""/>
    <s v=""/>
    <m/>
    <m/>
    <n v="0"/>
    <n v="0"/>
    <n v="0"/>
    <m/>
    <m/>
    <n v="34"/>
    <s v=""/>
    <s v=""/>
    <n v="0"/>
    <n v="0"/>
    <n v="0.25786163522012573"/>
    <n v="28.44"/>
    <s v="T1"/>
    <n v="26.88"/>
    <s v="stop out"/>
    <m/>
    <s v=""/>
    <m/>
    <m/>
    <m/>
    <s v=""/>
    <s v=""/>
    <n v="26.17"/>
    <n v="24.338100000000001"/>
    <s v="GTC Expires Jul-2"/>
    <d v="2021-06-28T00:00:00"/>
    <n v="27.19"/>
    <n v="28.29"/>
    <n v="25.18"/>
    <s v="RANGE"/>
    <s v="RANGE"/>
    <m/>
    <m/>
    <m/>
    <m/>
    <m/>
    <m/>
    <m/>
    <m/>
    <n v="0"/>
    <n v="0"/>
    <m/>
    <s v=""/>
    <m/>
    <m/>
    <m/>
    <m/>
    <m/>
    <m/>
    <m/>
    <n v="0"/>
    <s v=""/>
    <s v=""/>
    <s v=""/>
    <s v=""/>
    <n v="0"/>
    <s v=""/>
    <n v="0"/>
    <m/>
    <n v="0"/>
    <s v=""/>
    <s v=""/>
    <s v=""/>
    <m/>
    <n v="0"/>
    <m/>
    <s v=""/>
    <s v=""/>
    <s v=""/>
    <m/>
    <s v=""/>
    <s v=""/>
    <s v=""/>
    <s v=""/>
    <s v=""/>
    <m/>
    <m/>
    <s v=""/>
    <s v=""/>
    <s v=""/>
    <m/>
    <m/>
    <m/>
    <m/>
    <m/>
    <m/>
    <m/>
    <n v="0"/>
    <s v=""/>
    <s v=""/>
    <m/>
    <s v=""/>
    <s v=""/>
    <s v=""/>
    <s v=""/>
    <s v=""/>
    <s v=""/>
    <s v=""/>
    <m/>
    <s v=""/>
    <m/>
    <s v=""/>
    <s v=""/>
    <s v=""/>
    <m/>
    <n v="0"/>
    <m/>
    <m/>
    <m/>
    <m/>
    <m/>
    <m/>
    <s v=""/>
    <s v=""/>
    <n v="0"/>
    <n v="0"/>
    <n v="0"/>
    <n v="0"/>
    <s v=""/>
    <m/>
    <n v="0"/>
    <m/>
    <m/>
    <s v=""/>
    <s v=""/>
    <s v=""/>
    <m/>
    <s v=""/>
    <n v="0"/>
    <n v="0"/>
    <s v=""/>
    <s v=""/>
    <s v=""/>
    <s v=""/>
    <s v=""/>
    <s v=""/>
    <s v=""/>
    <s v=""/>
    <s v=""/>
    <s v=""/>
    <s v=""/>
    <s v=""/>
    <s v=""/>
    <s v=""/>
    <s v=""/>
    <s v=""/>
    <s v=""/>
    <m/>
    <n v="0"/>
    <n v="32.299999999999997"/>
    <n v="52.708500000000001"/>
    <m/>
    <m/>
    <n v="0"/>
    <s v=""/>
    <n v="0"/>
    <s v=""/>
    <m/>
    <s v=""/>
    <s v=""/>
    <s v=""/>
    <s v=""/>
    <s v=""/>
    <s v=""/>
    <s v=""/>
    <s v=""/>
    <s v=""/>
    <s v=""/>
    <x v="0"/>
    <s v=""/>
  </r>
  <r>
    <s v="ETN"/>
    <n v="79.03"/>
    <m/>
    <n v="67.1755"/>
    <x v="49"/>
    <x v="13"/>
    <s v="Cramer expects mid-year &quot;cash-return-event&quot;, good growth &amp; margin improvement"/>
    <s v="high dollar headwinds"/>
    <m/>
    <m/>
    <m/>
    <m/>
    <m/>
    <m/>
    <m/>
    <m/>
    <m/>
    <m/>
    <m/>
    <d v="2022-08-02T06:30:00"/>
    <d v="2022-08-02T06:30:00"/>
    <m/>
    <m/>
    <m/>
    <m/>
    <m/>
    <m/>
    <m/>
    <m/>
    <s v=""/>
    <n v="0"/>
    <n v="0"/>
    <s v=""/>
    <m/>
    <m/>
    <s v=""/>
    <s v=""/>
    <s v=""/>
    <s v=""/>
    <s v=""/>
    <n v="2.2000000000000002"/>
    <d v="2015-11-21T00:00:00"/>
    <n v="0"/>
    <n v="0"/>
    <n v="2.7837530051879035E-2"/>
    <d v="2015-07-28T00:00:00"/>
    <m/>
    <n v="74"/>
    <s v=""/>
    <s v=""/>
    <n v="0"/>
    <n v="0"/>
    <n v="-6.3646716436796161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0.3"/>
    <n v="154.10849999999999"/>
    <m/>
    <m/>
    <n v="0"/>
    <s v=""/>
    <n v="0"/>
    <s v=""/>
    <s v="{AA037B2F-0D25-4B86-939D-98DC80ACEAC2}"/>
    <s v=""/>
    <s v=""/>
    <s v=""/>
    <s v=""/>
    <s v=""/>
    <s v=""/>
    <s v=""/>
    <s v=""/>
    <s v=""/>
    <s v=""/>
    <x v="0"/>
    <s v=""/>
  </r>
  <r>
    <s v="EWZ"/>
    <n v="45.8"/>
    <m/>
    <n v="38.93"/>
    <x v="52"/>
    <x v="7"/>
    <m/>
    <m/>
    <m/>
    <m/>
    <m/>
    <m/>
    <m/>
    <m/>
    <m/>
    <m/>
    <m/>
    <m/>
    <s v="BULLISH"/>
    <d v="2022-08-02T06:30:00"/>
    <d v="2022-08-02T06:30:00"/>
    <m/>
    <m/>
    <m/>
    <m/>
    <m/>
    <m/>
    <m/>
    <m/>
    <s v=""/>
    <n v="0"/>
    <n v="0"/>
    <s v=""/>
    <m/>
    <m/>
    <s v=""/>
    <s v=""/>
    <s v=""/>
    <s v=""/>
    <s v=""/>
    <m/>
    <m/>
    <n v="0"/>
    <n v="0"/>
    <n v="0"/>
    <m/>
    <m/>
    <s v="-"/>
    <s v=""/>
    <s v=""/>
    <n v="0"/>
    <n v="0"/>
    <s v=""/>
    <n v="40.5"/>
    <s v="free money"/>
    <n v="40.5"/>
    <s v="Assignment"/>
    <s v="SPs"/>
    <s v=""/>
    <m/>
    <m/>
    <m/>
    <s v=""/>
    <s v=""/>
    <m/>
    <s v=""/>
    <m/>
    <d v="2019-12-04T00:00:00"/>
    <n v="42.4"/>
    <n v="46.6"/>
    <n v="40.799999999999997"/>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89.309999999999988"/>
    <m/>
    <m/>
    <n v="0"/>
    <s v=""/>
    <n v="0"/>
    <s v=""/>
    <s v="{1D72F8E7-72EC-4490-9B7D-34054A061033}"/>
    <s v=""/>
    <s v=""/>
    <s v=""/>
    <s v=""/>
    <s v=""/>
    <s v=""/>
    <s v=""/>
    <s v=""/>
    <s v=""/>
    <s v=""/>
    <x v="0"/>
    <s v=""/>
  </r>
  <r>
    <s v="EZU"/>
    <n v="37.74"/>
    <m/>
    <n v="32.079000000000001"/>
    <x v="52"/>
    <x v="7"/>
    <m/>
    <m/>
    <m/>
    <m/>
    <m/>
    <m/>
    <m/>
    <m/>
    <m/>
    <m/>
    <m/>
    <m/>
    <s v="BULLISH"/>
    <d v="2022-08-02T06:30:00"/>
    <d v="2022-08-02T06:30:00"/>
    <m/>
    <m/>
    <m/>
    <m/>
    <m/>
    <m/>
    <m/>
    <m/>
    <s v=""/>
    <n v="0"/>
    <n v="0"/>
    <s v=""/>
    <m/>
    <m/>
    <s v=""/>
    <s v=""/>
    <s v=""/>
    <s v=""/>
    <s v=""/>
    <m/>
    <s v="N/A"/>
    <n v="0"/>
    <n v="0"/>
    <n v="0"/>
    <m/>
    <m/>
    <s v="-"/>
    <s v=""/>
    <s v=""/>
    <n v="0"/>
    <n v="0"/>
    <s v=""/>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73.593000000000004"/>
    <m/>
    <m/>
    <n v="0"/>
    <s v=""/>
    <n v="0"/>
    <s v=""/>
    <s v="{820E9F3B-4E92-4D9A-B36B-A44FEC2883C5}"/>
    <s v=""/>
    <s v=""/>
    <s v=""/>
    <s v=""/>
    <s v=""/>
    <s v=""/>
    <s v=""/>
    <s v=""/>
    <s v=""/>
    <s v=""/>
    <x v="0"/>
    <s v=""/>
  </r>
  <r>
    <s v="FAST"/>
    <n v="29.74"/>
    <m/>
    <n v="25.278999999999996"/>
    <x v="76"/>
    <x v="8"/>
    <m/>
    <m/>
    <m/>
    <m/>
    <m/>
    <m/>
    <m/>
    <m/>
    <m/>
    <m/>
    <m/>
    <m/>
    <s v="BULLISH"/>
    <d v="2022-07-13T06:50:00"/>
    <d v="2022-07-13T06:50:00"/>
    <m/>
    <m/>
    <m/>
    <m/>
    <m/>
    <m/>
    <m/>
    <m/>
    <s v=""/>
    <n v="0"/>
    <n v="0"/>
    <s v=""/>
    <m/>
    <m/>
    <s v=""/>
    <s v=""/>
    <s v=""/>
    <s v=""/>
    <s v=""/>
    <n v="1.28"/>
    <d v="2017-05-28T00:00:00"/>
    <n v="0"/>
    <n v="0"/>
    <n v="4.3039677202420988E-2"/>
    <d v="2017-04-27T00:00:00"/>
    <m/>
    <n v="50.4"/>
    <s v=""/>
    <s v=""/>
    <n v="0"/>
    <n v="0"/>
    <n v="0.69468728984532624"/>
    <n v="51.58"/>
    <s v="ITM"/>
    <n v="51.58"/>
    <s v="Losses"/>
    <m/>
    <s v=""/>
    <m/>
    <m/>
    <m/>
    <s v=""/>
    <s v=""/>
    <m/>
    <s v=""/>
    <m/>
    <d v="2017-03-10T00:00:00"/>
    <n v="52.1"/>
    <n v="53.6"/>
    <n v="47.9"/>
    <s v="LTD DEC"/>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7.879999999999995"/>
    <n v="57.992999999999995"/>
    <m/>
    <m/>
    <n v="0"/>
    <s v=""/>
    <n v="0"/>
    <s v=""/>
    <s v="{DCDF9AE0-FAAB-408A-AFAF-61200767F17C}"/>
    <s v=""/>
    <s v=""/>
    <s v=""/>
    <s v=""/>
    <s v=""/>
    <s v=""/>
    <s v=""/>
    <s v=""/>
    <s v=""/>
    <s v=""/>
    <x v="0"/>
    <s v=""/>
  </r>
  <r>
    <s v="FCEL"/>
    <n v="4.91"/>
    <s v="Lottery"/>
    <n v="4.1734999999999998"/>
    <x v="77"/>
    <x v="11"/>
    <m/>
    <m/>
    <m/>
    <m/>
    <m/>
    <m/>
    <m/>
    <m/>
    <m/>
    <m/>
    <m/>
    <m/>
    <s v="Lottery"/>
    <d v="2022-06-09T07:30:00"/>
    <d v="2022-06-09T07:30:00"/>
    <s v="Confirmed"/>
    <m/>
    <m/>
    <m/>
    <m/>
    <m/>
    <m/>
    <m/>
    <s v=""/>
    <n v="0"/>
    <n v="0"/>
    <s v=""/>
    <n v="20"/>
    <n v="15"/>
    <s v=""/>
    <s v=""/>
    <s v=""/>
    <s v=""/>
    <s v=""/>
    <m/>
    <m/>
    <n v="0"/>
    <n v="0"/>
    <n v="0"/>
    <m/>
    <n v="20"/>
    <n v="5.61"/>
    <n v="3.0733197556008145"/>
    <s v=""/>
    <n v="0"/>
    <n v="0"/>
    <n v="0.14256619144602856"/>
    <m/>
    <m/>
    <m/>
    <m/>
    <m/>
    <s v=""/>
    <m/>
    <m/>
    <m/>
    <s v=""/>
    <s v=""/>
    <n v="11.35"/>
    <n v="10.555499999999999"/>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3295000000000003"/>
    <n v="9.5745000000000005"/>
    <m/>
    <m/>
    <n v="0"/>
    <s v=""/>
    <n v="0"/>
    <s v=""/>
    <s v="{BB549F43-26B8-4DDC-A210-1139E6482E1E}"/>
    <s v=""/>
    <s v=""/>
    <s v=""/>
    <s v=""/>
    <s v=""/>
    <s v=""/>
    <s v=""/>
    <s v=""/>
    <s v=""/>
    <s v=""/>
    <x v="0"/>
    <s v=""/>
  </r>
  <r>
    <s v="HL"/>
    <n v="5.26"/>
    <s v="Swing"/>
    <n v="4.4710000000000001"/>
    <x v="11"/>
    <x v="0"/>
    <m/>
    <m/>
    <m/>
    <m/>
    <m/>
    <m/>
    <m/>
    <m/>
    <m/>
    <m/>
    <m/>
    <m/>
    <s v="BULLISH"/>
    <d v="2023-02-08T00:00:00"/>
    <d v="2023-02-08T00:00:00"/>
    <m/>
    <m/>
    <m/>
    <m/>
    <m/>
    <m/>
    <m/>
    <m/>
    <s v=""/>
    <n v="0"/>
    <n v="0"/>
    <s v=""/>
    <m/>
    <m/>
    <s v=""/>
    <s v=""/>
    <s v=""/>
    <s v=""/>
    <s v=""/>
    <m/>
    <m/>
    <n v="0"/>
    <n v="0"/>
    <n v="0"/>
    <m/>
    <m/>
    <n v="5.78"/>
    <s v=""/>
    <s v=""/>
    <n v="0"/>
    <n v="0"/>
    <n v="9.8859315589353708E-2"/>
    <n v="5"/>
    <s v="assignment"/>
    <n v="5"/>
    <s v="free money"/>
    <s v="CCs"/>
    <s v=""/>
    <m/>
    <m/>
    <m/>
    <s v=""/>
    <s v=""/>
    <n v="4.63"/>
    <n v="4.3058999999999994"/>
    <m/>
    <d v="2022-12-16T00:00:00"/>
    <n v="5.46"/>
    <n v="5.7"/>
    <n v="4.79"/>
    <s v="LTD DEC"/>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4909999999999997"/>
    <n v="10.257"/>
    <m/>
    <m/>
    <n v="0"/>
    <s v=""/>
    <n v="0"/>
    <s v=""/>
    <m/>
    <s v=""/>
    <s v=""/>
    <s v=""/>
    <s v=""/>
    <s v=""/>
    <s v=""/>
    <s v=""/>
    <s v=""/>
    <s v=""/>
    <s v=""/>
    <x v="0"/>
    <s v=""/>
  </r>
  <r>
    <s v="FDC"/>
    <n v="31.69"/>
    <m/>
    <n v="26.936499999999999"/>
    <x v="78"/>
    <x v="8"/>
    <s v="Beneficiary of tax reform expected to aggressively apply tax savings toward debt reduction, removing one overhang on the shares"/>
    <m/>
    <m/>
    <m/>
    <m/>
    <m/>
    <m/>
    <m/>
    <m/>
    <m/>
    <s v="buy 2019 calls?"/>
    <d v="2018-01-15T15:19:48"/>
    <s v="BULLISH"/>
    <d v="2022-07-21T07:45:00"/>
    <d v="2022-07-21T07:45:00"/>
    <m/>
    <m/>
    <m/>
    <m/>
    <m/>
    <m/>
    <m/>
    <m/>
    <s v=""/>
    <n v="0"/>
    <n v="0"/>
    <s v=""/>
    <m/>
    <m/>
    <s v=""/>
    <s v=""/>
    <s v=""/>
    <s v=""/>
    <s v=""/>
    <m/>
    <m/>
    <n v="0"/>
    <n v="0"/>
    <n v="0"/>
    <m/>
    <n v="21"/>
    <n v="21.22"/>
    <n v="-0.33733038813505839"/>
    <s v=""/>
    <n v="0"/>
    <n v="0"/>
    <n v="-0.33038813505837811"/>
    <m/>
    <m/>
    <m/>
    <m/>
    <m/>
    <s v=""/>
    <m/>
    <m/>
    <m/>
    <s v=""/>
    <s v=""/>
    <m/>
    <s v=""/>
    <m/>
    <d v="2022-05-11T00:00:00"/>
    <n v="22.7"/>
    <n v="23.8"/>
    <n v="19.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158999999999999"/>
    <n v="61.795500000000004"/>
    <m/>
    <m/>
    <n v="0"/>
    <s v=""/>
    <n v="0"/>
    <s v=""/>
    <s v="{38E8E17B-AB36-49B0-8BE1-E3578416434F}"/>
    <s v=""/>
    <s v=""/>
    <s v=""/>
    <s v=""/>
    <s v=""/>
    <s v=""/>
    <s v=""/>
    <s v=""/>
    <s v=""/>
    <s v=""/>
    <x v="0"/>
    <s v=""/>
  </r>
  <r>
    <s v="FDX"/>
    <n v="296.08"/>
    <s v="Swing"/>
    <n v="251.66799999999998"/>
    <x v="79"/>
    <x v="8"/>
    <m/>
    <m/>
    <m/>
    <m/>
    <m/>
    <m/>
    <m/>
    <m/>
    <m/>
    <m/>
    <m/>
    <m/>
    <s v="BULLISH"/>
    <d v="2022-06-23T16:00:00"/>
    <d v="2022-06-23T16:00:00"/>
    <s v="Confirmed"/>
    <m/>
    <m/>
    <m/>
    <m/>
    <m/>
    <m/>
    <m/>
    <s v=""/>
    <n v="0"/>
    <n v="0"/>
    <s v=""/>
    <m/>
    <m/>
    <s v=""/>
    <s v=""/>
    <s v=""/>
    <s v=""/>
    <s v=""/>
    <m/>
    <m/>
    <n v="0"/>
    <n v="0"/>
    <n v="0"/>
    <m/>
    <m/>
    <n v="336.19"/>
    <s v=""/>
    <s v=""/>
    <n v="0"/>
    <n v="0"/>
    <n v="0.13547014320453937"/>
    <n v="320"/>
    <s v="assignment"/>
    <n v="300"/>
    <s v="Losses"/>
    <s v="Diagonal"/>
    <s v=""/>
    <s v="BuPS also"/>
    <m/>
    <m/>
    <s v=""/>
    <s v=""/>
    <n v="11.67"/>
    <n v="10.8531"/>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9.38049999999998"/>
    <n v="577.35599999999999"/>
    <m/>
    <m/>
    <n v="0"/>
    <s v=""/>
    <n v="0"/>
    <s v=""/>
    <s v="{DE785C8F-02BA-4F49-ACAF-6F73F05A4D76}"/>
    <s v=""/>
    <s v=""/>
    <s v=""/>
    <s v=""/>
    <s v=""/>
    <s v=""/>
    <s v=""/>
    <s v=""/>
    <s v=""/>
    <s v=""/>
    <x v="0"/>
    <s v=""/>
  </r>
  <r>
    <s v="FFIV"/>
    <n v="133.44"/>
    <m/>
    <n v="113.42399999999999"/>
    <x v="80"/>
    <x v="3"/>
    <m/>
    <m/>
    <m/>
    <m/>
    <m/>
    <m/>
    <m/>
    <m/>
    <m/>
    <m/>
    <m/>
    <m/>
    <s v="BULLISH"/>
    <d v="2022-07-26T16:05:00"/>
    <d v="2022-07-26T16:05:00"/>
    <m/>
    <s v="conference"/>
    <d v="2014-09-02T00:00:00"/>
    <m/>
    <m/>
    <m/>
    <m/>
    <m/>
    <s v=""/>
    <n v="0"/>
    <n v="0"/>
    <s v=""/>
    <m/>
    <m/>
    <s v=""/>
    <s v=""/>
    <s v=""/>
    <s v=""/>
    <s v=""/>
    <n v="0"/>
    <s v="N/A"/>
    <n v="0"/>
    <n v="0"/>
    <n v="0"/>
    <s v="N/A"/>
    <n v="125"/>
    <n v="134.13999999999999"/>
    <n v="-6.3249400479616288E-2"/>
    <s v=""/>
    <n v="0"/>
    <n v="0"/>
    <n v="5.2458033573140632E-3"/>
    <m/>
    <m/>
    <m/>
    <m/>
    <m/>
    <s v=""/>
    <m/>
    <m/>
    <m/>
    <s v=""/>
    <s v=""/>
    <m/>
    <s v=""/>
    <m/>
    <d v="2022-05-11T00:00:00"/>
    <n v="22.7"/>
    <n v="23.8"/>
    <n v="19.3"/>
    <s v="DECLINE"/>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7.43299999999998"/>
    <n v="260.20799999999997"/>
    <m/>
    <n v="121.18"/>
    <n v="0"/>
    <s v=""/>
    <n v="0"/>
    <s v=""/>
    <s v="{5D1CF3B1-946A-4B8A-8ACA-CBB093E487F6}"/>
    <s v=""/>
    <s v=""/>
    <s v=""/>
    <s v=""/>
    <s v=""/>
    <s v=""/>
    <s v=""/>
    <s v=""/>
    <s v=""/>
    <s v=""/>
    <x v="0"/>
    <s v=""/>
  </r>
  <r>
    <s v="FIVE"/>
    <n v="109.16"/>
    <m/>
    <n v="92.786000000000001"/>
    <x v="70"/>
    <x v="8"/>
    <m/>
    <m/>
    <m/>
    <m/>
    <m/>
    <m/>
    <m/>
    <m/>
    <m/>
    <m/>
    <m/>
    <m/>
    <s v="BULLISH"/>
    <d v="2022-06-08T16:00:00"/>
    <d v="2022-06-08T16:00:00"/>
    <s v="Confirmed"/>
    <m/>
    <m/>
    <m/>
    <m/>
    <m/>
    <m/>
    <m/>
    <s v=""/>
    <n v="0"/>
    <n v="0"/>
    <s v=""/>
    <m/>
    <m/>
    <s v=""/>
    <s v=""/>
    <s v=""/>
    <s v=""/>
    <s v=""/>
    <m/>
    <m/>
    <n v="0"/>
    <n v="0"/>
    <n v="0"/>
    <m/>
    <m/>
    <n v="85.19"/>
    <s v=""/>
    <s v=""/>
    <n v="0"/>
    <n v="0"/>
    <n v="-0.21958592891168927"/>
    <n v="120"/>
    <s v="ITM"/>
    <n v="115"/>
    <s v="Assignment"/>
    <m/>
    <s v=""/>
    <m/>
    <m/>
    <m/>
    <s v=""/>
    <s v=""/>
    <m/>
    <s v=""/>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0.930499999999995"/>
    <n v="212.86199999999999"/>
    <m/>
    <m/>
    <n v="0"/>
    <s v=""/>
    <n v="0"/>
    <s v=""/>
    <s v="{882F57CA-158B-41B1-B78B-45F7FA03D986}"/>
    <s v=""/>
    <s v=""/>
    <s v=""/>
    <s v=""/>
    <s v=""/>
    <s v=""/>
    <s v=""/>
    <s v=""/>
    <s v=""/>
    <s v=""/>
    <x v="0"/>
    <s v=""/>
  </r>
  <r>
    <s v="FL"/>
    <n v="40.92"/>
    <m/>
    <n v="34.782000000000004"/>
    <x v="81"/>
    <x v="12"/>
    <m/>
    <m/>
    <m/>
    <m/>
    <m/>
    <m/>
    <m/>
    <m/>
    <m/>
    <m/>
    <m/>
    <m/>
    <s v="BULLISH"/>
    <d v="2022-08-19T06:45:00"/>
    <d v="2022-08-19T06:45:00"/>
    <m/>
    <m/>
    <m/>
    <m/>
    <m/>
    <n v="2"/>
    <m/>
    <m/>
    <s v=""/>
    <n v="0"/>
    <n v="0"/>
    <s v=""/>
    <m/>
    <m/>
    <s v=""/>
    <s v=""/>
    <s v=""/>
    <s v=""/>
    <s v=""/>
    <n v="1.24"/>
    <d v="2017-04-28T00:00:00"/>
    <n v="0"/>
    <n v="0"/>
    <n v="3.03030303030303E-2"/>
    <d v="2019-07-17T00:00:00"/>
    <m/>
    <n v="33.520000000000003"/>
    <s v=""/>
    <s v=""/>
    <n v="0"/>
    <n v="0"/>
    <n v="-0.1808406647116324"/>
    <n v="55"/>
    <s v="free money"/>
    <n v="50"/>
    <s v="max loss"/>
    <m/>
    <s v=""/>
    <m/>
    <m/>
    <m/>
    <s v=""/>
    <s v=""/>
    <m/>
    <s v=""/>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844000000000001"/>
    <n v="79.793999999999997"/>
    <m/>
    <m/>
    <n v="0"/>
    <s v=""/>
    <n v="0"/>
    <s v=""/>
    <s v="{3E4C95F2-6E29-4171-935C-FC0AD84DA4BD}"/>
    <s v=""/>
    <s v=""/>
    <s v=""/>
    <s v=""/>
    <s v=""/>
    <s v=""/>
    <s v=""/>
    <s v=""/>
    <s v=""/>
    <s v=""/>
    <x v="0"/>
    <s v=""/>
  </r>
  <r>
    <s v="FLEX"/>
    <n v="12.86"/>
    <m/>
    <n v="10.930999999999999"/>
    <x v="82"/>
    <x v="3"/>
    <m/>
    <m/>
    <m/>
    <m/>
    <m/>
    <m/>
    <m/>
    <m/>
    <m/>
    <m/>
    <m/>
    <m/>
    <s v="BULLISH"/>
    <d v="2022-08-03T16:00:00"/>
    <d v="2022-08-03T16:00:00"/>
    <m/>
    <m/>
    <m/>
    <m/>
    <m/>
    <m/>
    <m/>
    <m/>
    <s v=""/>
    <n v="0"/>
    <n v="0"/>
    <s v=""/>
    <m/>
    <m/>
    <s v=""/>
    <s v=""/>
    <s v=""/>
    <s v=""/>
    <s v=""/>
    <m/>
    <m/>
    <n v="0"/>
    <n v="0"/>
    <n v="0"/>
    <m/>
    <m/>
    <n v="13.6"/>
    <s v=""/>
    <s v=""/>
    <n v="0"/>
    <n v="0"/>
    <n v="5.7542768273716974E-2"/>
    <m/>
    <m/>
    <m/>
    <m/>
    <m/>
    <s v=""/>
    <m/>
    <m/>
    <m/>
    <s v=""/>
    <s v=""/>
    <n v="12.7"/>
    <n v="11.810999999999998"/>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92"/>
    <n v="25.076999999999998"/>
    <m/>
    <m/>
    <n v="0"/>
    <s v=""/>
    <n v="0"/>
    <s v=""/>
    <s v="{DDC9D136-72F8-4940-9C95-0336B02D0EA5}"/>
    <s v=""/>
    <s v=""/>
    <s v=""/>
    <s v=""/>
    <s v=""/>
    <s v=""/>
    <s v=""/>
    <s v=""/>
    <s v=""/>
    <s v=""/>
    <x v="0"/>
    <s v=""/>
  </r>
  <r>
    <s v="FLT"/>
    <n v="303.79000000000002"/>
    <m/>
    <n v="258.22149999999999"/>
    <x v="78"/>
    <x v="8"/>
    <m/>
    <m/>
    <m/>
    <m/>
    <m/>
    <m/>
    <m/>
    <m/>
    <m/>
    <m/>
    <m/>
    <m/>
    <m/>
    <d v="2022-08-04T16:05:00"/>
    <d v="2022-08-04T16:05:00"/>
    <m/>
    <m/>
    <m/>
    <m/>
    <m/>
    <m/>
    <m/>
    <m/>
    <s v=""/>
    <n v="0"/>
    <n v="0"/>
    <s v=""/>
    <m/>
    <m/>
    <s v=""/>
    <s v=""/>
    <s v=""/>
    <s v=""/>
    <s v=""/>
    <m/>
    <m/>
    <n v="0"/>
    <n v="0"/>
    <n v="0"/>
    <m/>
    <m/>
    <n v="267.76"/>
    <s v=""/>
    <s v=""/>
    <n v="0"/>
    <n v="0"/>
    <n v="-0.11860166562428003"/>
    <m/>
    <m/>
    <m/>
    <m/>
    <m/>
    <s v=""/>
    <m/>
    <m/>
    <m/>
    <s v=""/>
    <s v=""/>
    <m/>
    <s v=""/>
    <m/>
    <d v="2022-05-11T00:00:00"/>
    <n v="22.7"/>
    <n v="23.8"/>
    <n v="19.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54.37199999999999"/>
    <n v="592.39049999999997"/>
    <m/>
    <m/>
    <n v="0"/>
    <s v=""/>
    <n v="0"/>
    <s v=""/>
    <s v="{AFD82012-55BE-46EB-BA7E-C5382C69D050}"/>
    <s v=""/>
    <s v=""/>
    <s v=""/>
    <s v=""/>
    <s v=""/>
    <s v=""/>
    <s v=""/>
    <s v=""/>
    <s v=""/>
    <s v=""/>
    <x v="0"/>
    <s v=""/>
  </r>
  <r>
    <s v="FNV"/>
    <n v="142.84"/>
    <m/>
    <n v="121.414"/>
    <x v="11"/>
    <x v="0"/>
    <m/>
    <m/>
    <m/>
    <m/>
    <m/>
    <m/>
    <m/>
    <m/>
    <m/>
    <m/>
    <m/>
    <m/>
    <s v="BULLISH"/>
    <d v="2022-08-03T17:00:00"/>
    <d v="2022-08-03T17:00:00"/>
    <m/>
    <m/>
    <m/>
    <m/>
    <m/>
    <m/>
    <m/>
    <m/>
    <s v=""/>
    <n v="0"/>
    <n v="0"/>
    <s v=""/>
    <n v="175"/>
    <n v="139.9"/>
    <s v=""/>
    <s v=""/>
    <s v=""/>
    <s v=""/>
    <s v=""/>
    <m/>
    <m/>
    <n v="0"/>
    <n v="0"/>
    <n v="0"/>
    <m/>
    <m/>
    <n v="81.27"/>
    <s v=""/>
    <s v=""/>
    <n v="0"/>
    <n v="0"/>
    <n v="-0.43104172500700089"/>
    <n v="160"/>
    <s v="T1"/>
    <n v="132.80000000000001"/>
    <s v="stop out"/>
    <s v="long equity"/>
    <s v=""/>
    <m/>
    <m/>
    <m/>
    <s v=""/>
    <s v=""/>
    <m/>
    <s v=""/>
    <m/>
    <d v="2022-05-11T00:00:00"/>
    <n v="22.7"/>
    <n v="23.8"/>
    <n v="19.3"/>
    <s v="DECLINE"/>
    <s v="BULLISH"/>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7.206499999999991"/>
    <n v="278.53800000000001"/>
    <m/>
    <m/>
    <n v="0"/>
    <s v=""/>
    <n v="0"/>
    <s v=""/>
    <m/>
    <s v=""/>
    <s v=""/>
    <s v=""/>
    <s v=""/>
    <s v=""/>
    <s v=""/>
    <s v=""/>
    <s v=""/>
    <s v=""/>
    <s v=""/>
    <x v="0"/>
    <s v=""/>
  </r>
  <r>
    <s v="FOCS"/>
    <n v="46.17"/>
    <m/>
    <n v="39.244500000000002"/>
    <x v="83"/>
    <x v="7"/>
    <m/>
    <m/>
    <m/>
    <m/>
    <m/>
    <m/>
    <m/>
    <m/>
    <m/>
    <m/>
    <m/>
    <m/>
    <s v="BULLISH"/>
    <d v="2022-08-04T07:55:00"/>
    <d v="2022-08-04T07:55:00"/>
    <m/>
    <m/>
    <m/>
    <m/>
    <m/>
    <m/>
    <m/>
    <m/>
    <s v=""/>
    <n v="0"/>
    <n v="0"/>
    <s v=""/>
    <m/>
    <m/>
    <s v=""/>
    <s v=""/>
    <s v=""/>
    <s v=""/>
    <s v=""/>
    <m/>
    <m/>
    <n v="0"/>
    <n v="0"/>
    <n v="0"/>
    <m/>
    <m/>
    <n v="46.55"/>
    <s v=""/>
    <s v=""/>
    <n v="0"/>
    <n v="0"/>
    <n v="8.2304526748970212E-3"/>
    <m/>
    <m/>
    <n v="39.9"/>
    <s v="stop out"/>
    <s v="long equity"/>
    <s v=""/>
    <m/>
    <m/>
    <m/>
    <s v=""/>
    <s v=""/>
    <m/>
    <s v=""/>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4.222499999999997"/>
    <n v="90.031500000000008"/>
    <m/>
    <m/>
    <n v="0"/>
    <s v=""/>
    <n v="0"/>
    <s v=""/>
    <m/>
    <s v=""/>
    <s v=""/>
    <s v=""/>
    <s v=""/>
    <s v=""/>
    <s v=""/>
    <s v=""/>
    <s v=""/>
    <s v=""/>
    <s v=""/>
    <x v="0"/>
    <s v=""/>
  </r>
  <r>
    <s v="FOXA"/>
    <n v="35.4"/>
    <m/>
    <n v="30.089999999999996"/>
    <x v="40"/>
    <x v="8"/>
    <s v="new Cramer pick based on industry leading cable growth, greater sustainability of ggrowth vs domestic peers and &quot;optionality from investnents in new platforms&quot;"/>
    <s v="not sure what optionality from investments in new platforms means. Listed as Sell on EW although most analysts have it as Strong Buy. Trading below 100 day MA"/>
    <m/>
    <s v="UP"/>
    <s v="CONVERGE"/>
    <s v="UP"/>
    <s v="UP"/>
    <s v="Middle"/>
    <s v="UP"/>
    <s v="LOW"/>
    <m/>
    <m/>
    <m/>
    <d v="2022-08-09T00:00:00"/>
    <d v="2022-08-09T00:00:00"/>
    <m/>
    <m/>
    <m/>
    <m/>
    <m/>
    <m/>
    <m/>
    <m/>
    <s v=""/>
    <n v="0"/>
    <n v="0"/>
    <s v=""/>
    <m/>
    <m/>
    <s v=""/>
    <s v=""/>
    <s v=""/>
    <s v=""/>
    <s v=""/>
    <n v="0.3"/>
    <d v="2015-10-14T00:00:00"/>
    <n v="0"/>
    <n v="0"/>
    <n v="8.4745762711864406E-3"/>
    <d v="2015-09-02T00:00:00"/>
    <m/>
    <n v="34.270000000000003"/>
    <s v=""/>
    <s v=""/>
    <n v="0"/>
    <n v="0"/>
    <n v="-3.1920903954802134E-2"/>
    <m/>
    <m/>
    <m/>
    <m/>
    <m/>
    <s v=""/>
    <m/>
    <m/>
    <m/>
    <s v=""/>
    <s v=""/>
    <m/>
    <s v=""/>
    <m/>
    <d v="2022-05-11T00:00:00"/>
    <n v="22.7"/>
    <n v="23.8"/>
    <n v="19.3"/>
    <s v="DECLINE"/>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2.5565"/>
    <n v="69.03"/>
    <m/>
    <m/>
    <n v="0"/>
    <s v=""/>
    <n v="0"/>
    <s v=""/>
    <s v="{ADDC6BC6-E2D6-4436-96A8-4511B5213E18}"/>
    <s v=""/>
    <s v=""/>
    <s v=""/>
    <s v=""/>
    <s v=""/>
    <s v=""/>
    <s v=""/>
    <s v=""/>
    <s v=""/>
    <s v=""/>
    <x v="0"/>
    <s v=""/>
  </r>
  <r>
    <s v="FROG"/>
    <n v="66.84"/>
    <s v="Swing"/>
    <n v="56.814"/>
    <x v="10"/>
    <x v="3"/>
    <m/>
    <m/>
    <m/>
    <m/>
    <m/>
    <m/>
    <m/>
    <m/>
    <m/>
    <m/>
    <m/>
    <m/>
    <s v="BULLISH"/>
    <d v="2022-08-08T16:05:00"/>
    <d v="2022-08-08T16:05:00"/>
    <m/>
    <m/>
    <m/>
    <m/>
    <m/>
    <m/>
    <m/>
    <m/>
    <s v=""/>
    <n v="0"/>
    <n v="0"/>
    <s v=""/>
    <m/>
    <m/>
    <s v=""/>
    <s v=""/>
    <s v=""/>
    <s v=""/>
    <s v=""/>
    <m/>
    <m/>
    <n v="0"/>
    <n v="0"/>
    <n v="0"/>
    <m/>
    <m/>
    <n v="76.78"/>
    <s v=""/>
    <s v=""/>
    <n v="0"/>
    <n v="0"/>
    <n v="0.14871334530221419"/>
    <m/>
    <m/>
    <m/>
    <m/>
    <m/>
    <s v=""/>
    <m/>
    <m/>
    <m/>
    <s v=""/>
    <s v=""/>
    <m/>
    <s v=""/>
    <s v="roll up?"/>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2.941000000000003"/>
    <n v="130.33799999999999"/>
    <m/>
    <m/>
    <n v="0"/>
    <s v=""/>
    <n v="0"/>
    <s v=""/>
    <m/>
    <s v=""/>
    <s v=""/>
    <s v=""/>
    <s v=""/>
    <s v=""/>
    <s v=""/>
    <s v=""/>
    <s v=""/>
    <s v=""/>
    <s v=""/>
    <x v="0"/>
    <s v=""/>
  </r>
  <r>
    <s v="FTCH"/>
    <n v="35.049999999999997"/>
    <m/>
    <n v="29.792499999999997"/>
    <x v="29"/>
    <x v="1"/>
    <m/>
    <m/>
    <m/>
    <m/>
    <m/>
    <m/>
    <m/>
    <m/>
    <m/>
    <m/>
    <m/>
    <m/>
    <s v="BULLISH"/>
    <d v="2022-08-25T16:05:00"/>
    <d v="2022-08-25T16:05:00"/>
    <m/>
    <m/>
    <m/>
    <m/>
    <m/>
    <m/>
    <m/>
    <m/>
    <s v=""/>
    <n v="0"/>
    <n v="0"/>
    <s v=""/>
    <m/>
    <m/>
    <s v=""/>
    <s v=""/>
    <s v=""/>
    <s v=""/>
    <s v=""/>
    <m/>
    <m/>
    <n v="0"/>
    <n v="0"/>
    <n v="0"/>
    <m/>
    <m/>
    <n v="30.67"/>
    <s v=""/>
    <s v=""/>
    <n v="0"/>
    <n v="0"/>
    <n v="-0.12496433666191144"/>
    <m/>
    <m/>
    <m/>
    <m/>
    <m/>
    <s v=""/>
    <m/>
    <m/>
    <m/>
    <s v=""/>
    <s v=""/>
    <m/>
    <s v=""/>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9.136500000000002"/>
    <n v="68.347499999999997"/>
    <m/>
    <m/>
    <n v="0"/>
    <s v=""/>
    <n v="0"/>
    <s v=""/>
    <m/>
    <s v=""/>
    <s v=""/>
    <s v=""/>
    <s v=""/>
    <s v=""/>
    <s v=""/>
    <s v=""/>
    <s v=""/>
    <s v=""/>
    <s v=""/>
    <x v="0"/>
    <s v=""/>
  </r>
  <r>
    <s v="FUBO"/>
    <n v="6.21"/>
    <s v="Swing"/>
    <n v="5.2785000000000002"/>
    <x v="84"/>
    <x v="9"/>
    <m/>
    <m/>
    <m/>
    <m/>
    <m/>
    <m/>
    <m/>
    <m/>
    <m/>
    <m/>
    <m/>
    <m/>
    <m/>
    <d v="2022-07-28T17:00:00"/>
    <d v="2022-07-28T17:00:00"/>
    <m/>
    <m/>
    <m/>
    <m/>
    <m/>
    <m/>
    <m/>
    <m/>
    <s v=""/>
    <n v="0"/>
    <n v="0"/>
    <s v=""/>
    <m/>
    <m/>
    <s v=""/>
    <s v=""/>
    <s v=""/>
    <s v=""/>
    <s v=""/>
    <m/>
    <m/>
    <n v="0"/>
    <n v="0"/>
    <n v="0"/>
    <m/>
    <n v="0"/>
    <n v="16.11"/>
    <n v="-1"/>
    <s v=""/>
    <n v="0"/>
    <n v="0"/>
    <n v="1.5942028985507244"/>
    <n v="8"/>
    <s v="assignment"/>
    <n v="8"/>
    <s v="free money"/>
    <s v="CCs"/>
    <s v=""/>
    <m/>
    <m/>
    <m/>
    <s v=""/>
    <s v=""/>
    <n v="22.45"/>
    <n v="20.878499999999999"/>
    <m/>
    <d v="2022-03-26T00:00:00"/>
    <n v="7.27"/>
    <n v="8.58"/>
    <n v="4.45"/>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304499999999999"/>
    <n v="12.109499999999999"/>
    <m/>
    <m/>
    <n v="0"/>
    <s v=""/>
    <n v="0"/>
    <s v=""/>
    <s v="{A3855D45-5D09-40C2-9837-DAC3CB9F84D0}"/>
    <s v=""/>
    <s v=""/>
    <s v=""/>
    <s v=""/>
    <s v=""/>
    <s v=""/>
    <s v=""/>
    <s v=""/>
    <s v=""/>
    <s v=""/>
    <x v="0"/>
    <s v=""/>
  </r>
  <r>
    <s v="GBTC"/>
    <n v="34.69"/>
    <s v="CORE"/>
    <n v="29.486499999999996"/>
    <x v="52"/>
    <x v="16"/>
    <m/>
    <m/>
    <m/>
    <m/>
    <m/>
    <m/>
    <m/>
    <m/>
    <m/>
    <m/>
    <m/>
    <m/>
    <m/>
    <d v="2022-07-21T06:45:00"/>
    <d v="2022-07-21T06:45:00"/>
    <m/>
    <m/>
    <m/>
    <m/>
    <m/>
    <m/>
    <m/>
    <m/>
    <s v=""/>
    <n v="0"/>
    <n v="0"/>
    <s v=""/>
    <m/>
    <m/>
    <s v=""/>
    <s v=""/>
    <s v=""/>
    <s v=""/>
    <s v=""/>
    <m/>
    <m/>
    <n v="0"/>
    <n v="0"/>
    <n v="0"/>
    <m/>
    <m/>
    <n v="40"/>
    <s v=""/>
    <s v=""/>
    <n v="0"/>
    <n v="0"/>
    <n v="0.15307004900547716"/>
    <m/>
    <m/>
    <m/>
    <m/>
    <m/>
    <s v=""/>
    <m/>
    <m/>
    <m/>
    <s v=""/>
    <s v=""/>
    <m/>
    <s v=""/>
    <m/>
    <d v="2022-05-11T00:00:00"/>
    <n v="22.7"/>
    <n v="23.8"/>
    <n v="19.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
    <n v="67.645499999999998"/>
    <m/>
    <m/>
    <n v="0"/>
    <s v=""/>
    <n v="0"/>
    <s v=""/>
    <m/>
    <s v=""/>
    <s v=""/>
    <s v=""/>
    <s v=""/>
    <s v=""/>
    <s v=""/>
    <s v=""/>
    <s v=""/>
    <s v=""/>
    <s v=""/>
    <x v="0"/>
    <s v=""/>
  </r>
  <r>
    <s v="GDDY"/>
    <n v="63.59"/>
    <m/>
    <n v="54.051500000000004"/>
    <x v="85"/>
    <x v="3"/>
    <m/>
    <m/>
    <m/>
    <m/>
    <m/>
    <m/>
    <m/>
    <m/>
    <m/>
    <m/>
    <m/>
    <m/>
    <s v="BEARISH"/>
    <d v="2022-08-03T16:05:00"/>
    <d v="2022-08-03T16:05:00"/>
    <m/>
    <m/>
    <m/>
    <m/>
    <m/>
    <n v="4"/>
    <m/>
    <m/>
    <s v=""/>
    <n v="0"/>
    <n v="0"/>
    <s v=""/>
    <m/>
    <m/>
    <s v=""/>
    <s v=""/>
    <s v=""/>
    <s v=""/>
    <s v=""/>
    <n v="0"/>
    <s v="N/A"/>
    <n v="0"/>
    <n v="0"/>
    <n v="0"/>
    <s v="N/A"/>
    <m/>
    <n v="79.540000000000006"/>
    <s v=""/>
    <s v=""/>
    <n v="0"/>
    <n v="0"/>
    <n v="0.25082560150967137"/>
    <n v="35"/>
    <s v="Losses"/>
    <n v="30"/>
    <s v="ITM"/>
    <m/>
    <s v=""/>
    <m/>
    <m/>
    <m/>
    <s v=""/>
    <s v=""/>
    <m/>
    <s v=""/>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5.563000000000002"/>
    <n v="124.0005"/>
    <m/>
    <m/>
    <n v="0"/>
    <s v=""/>
    <n v="0"/>
    <s v=""/>
    <s v="{D3411823-5E16-4528-9AB4-BC120FC1F84C}"/>
    <s v=""/>
    <s v=""/>
    <s v=""/>
    <s v=""/>
    <s v=""/>
    <s v=""/>
    <s v=""/>
    <s v=""/>
    <s v=""/>
    <s v=""/>
    <x v="0"/>
    <s v=""/>
  </r>
  <r>
    <s v="GE"/>
    <n v="75.319999999999993"/>
    <s v="Position"/>
    <n v="64.021999999999991"/>
    <x v="86"/>
    <x v="11"/>
    <s v="reasonable valuation &amp; 3% yield"/>
    <s v="other industrials offer more upside"/>
    <m/>
    <m/>
    <m/>
    <m/>
    <m/>
    <m/>
    <m/>
    <m/>
    <m/>
    <m/>
    <s v="BULLISH"/>
    <d v="2022-10-25T06:20:00"/>
    <d v="2022-10-25T06:20:00"/>
    <m/>
    <m/>
    <m/>
    <m/>
    <m/>
    <m/>
    <m/>
    <m/>
    <s v=""/>
    <n v="0"/>
    <n v="0"/>
    <s v=""/>
    <n v="136"/>
    <n v="104"/>
    <s v=""/>
    <s v=""/>
    <s v=""/>
    <s v=""/>
    <s v=""/>
    <n v="0.96"/>
    <d v="2017-10-25T00:00:00"/>
    <n v="0"/>
    <n v="0"/>
    <n v="1.2745618693574084E-2"/>
    <d v="2017-09-14T00:00:00"/>
    <n v="21"/>
    <n v="110.22"/>
    <n v="-0.72118959107806691"/>
    <s v=""/>
    <n v="0"/>
    <n v="0"/>
    <n v="0.4633563462559746"/>
    <m/>
    <m/>
    <m/>
    <m/>
    <m/>
    <s v=""/>
    <m/>
    <m/>
    <m/>
    <s v=""/>
    <s v=""/>
    <n v="93.46"/>
    <n v="86.917799999999986"/>
    <m/>
    <d v="2022-09-13T00:00:00"/>
    <n v="76.8"/>
    <n v="80.5"/>
    <n v="65"/>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4.70899999999999"/>
    <n v="146.874"/>
    <m/>
    <n v="26.48"/>
    <n v="0"/>
    <s v=""/>
    <n v="0"/>
    <s v=""/>
    <s v="{DC1B80EC-0528-4862-9611-0CF4B52F570A}"/>
    <s v=""/>
    <s v=""/>
    <s v=""/>
    <s v=""/>
    <s v=""/>
    <s v=""/>
    <s v=""/>
    <s v=""/>
    <s v=""/>
    <s v=""/>
    <x v="0"/>
    <s v=""/>
  </r>
  <r>
    <s v="KTOS"/>
    <n v="9.15"/>
    <s v="Swing"/>
    <n v="7.7774999999999999"/>
    <x v="41"/>
    <x v="11"/>
    <m/>
    <m/>
    <m/>
    <m/>
    <m/>
    <m/>
    <m/>
    <m/>
    <m/>
    <m/>
    <m/>
    <m/>
    <s v="BULLISH"/>
    <d v="2023-02-02T00:00:00"/>
    <d v="2023-02-02T00:00:00"/>
    <m/>
    <m/>
    <m/>
    <m/>
    <m/>
    <m/>
    <m/>
    <m/>
    <s v=""/>
    <n v="0"/>
    <n v="0"/>
    <s v=""/>
    <n v="10.5"/>
    <n v="9.0299999999999994"/>
    <s v=""/>
    <s v=""/>
    <s v=""/>
    <s v=""/>
    <s v=""/>
    <m/>
    <m/>
    <n v="0"/>
    <n v="0"/>
    <n v="0"/>
    <m/>
    <m/>
    <n v="23.21"/>
    <s v=""/>
    <s v=""/>
    <n v="0"/>
    <n v="0"/>
    <n v="1.5366120218579236"/>
    <n v="10.5"/>
    <s v="T1"/>
    <n v="9.0299999999999994"/>
    <s v="stop out"/>
    <m/>
    <s v=""/>
    <m/>
    <m/>
    <m/>
    <s v=""/>
    <s v=""/>
    <n v="9.33"/>
    <n v="8.6768999999999998"/>
    <m/>
    <d v="2022-11-23T00:00:00"/>
    <n v="9.34"/>
    <n v="9.4700000000000006"/>
    <n v="9.06"/>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2.049499999999998"/>
    <n v="17.842500000000001"/>
    <m/>
    <m/>
    <n v="0"/>
    <s v=""/>
    <n v="0"/>
    <s v=""/>
    <s v="{6769565A-0B0C-4785-B3EF-7A2643C373C3}"/>
    <s v=""/>
    <s v=""/>
    <s v=""/>
    <s v=""/>
    <s v=""/>
    <s v=""/>
    <s v=""/>
    <s v=""/>
    <s v=""/>
    <s v=""/>
    <x v="0"/>
    <s v=""/>
  </r>
  <r>
    <s v="GH"/>
    <n v="103.08"/>
    <m/>
    <n v="87.617999999999995"/>
    <x v="87"/>
    <x v="2"/>
    <m/>
    <m/>
    <m/>
    <m/>
    <m/>
    <m/>
    <m/>
    <m/>
    <m/>
    <m/>
    <m/>
    <m/>
    <s v="BULLISH"/>
    <d v="2022-08-04T16:05:00"/>
    <d v="2022-08-04T16:05:00"/>
    <m/>
    <m/>
    <m/>
    <m/>
    <m/>
    <m/>
    <m/>
    <m/>
    <s v=""/>
    <n v="0"/>
    <n v="0"/>
    <s v=""/>
    <m/>
    <m/>
    <s v=""/>
    <s v=""/>
    <s v=""/>
    <s v=""/>
    <s v=""/>
    <m/>
    <m/>
    <n v="0"/>
    <n v="0"/>
    <n v="0"/>
    <m/>
    <m/>
    <n v="108.33"/>
    <s v=""/>
    <s v=""/>
    <n v="0"/>
    <n v="0"/>
    <n v="5.093131548311991E-2"/>
    <n v="95"/>
    <s v="assignment"/>
    <n v="85"/>
    <s v="stop out"/>
    <s v="BuyWrite"/>
    <s v=""/>
    <m/>
    <m/>
    <m/>
    <s v=""/>
    <s v=""/>
    <m/>
    <s v=""/>
    <m/>
    <d v="2022-05-11T00:00:00"/>
    <n v="22.7"/>
    <n v="23.8"/>
    <n v="19.3"/>
    <s v="DECLINE"/>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2.9135"/>
    <n v="201.006"/>
    <m/>
    <m/>
    <n v="0"/>
    <s v=""/>
    <n v="0"/>
    <s v=""/>
    <s v="{64AF0BD7-B6C8-4FAF-BD32-28A9E237DFCE}"/>
    <s v=""/>
    <s v=""/>
    <s v=""/>
    <s v=""/>
    <s v=""/>
    <s v=""/>
    <s v=""/>
    <s v=""/>
    <s v=""/>
    <s v=""/>
    <x v="0"/>
    <s v=""/>
  </r>
  <r>
    <s v="GILD"/>
    <n v="65.239999999999995"/>
    <m/>
    <n v="55.453999999999994"/>
    <x v="23"/>
    <x v="2"/>
    <s v="Maybe more M&amp;A, hope for return to premium multiple, good boost from tax cuts"/>
    <s v="Too good in that they are curing some of their market, therebye shrinking it"/>
    <m/>
    <s v="Mixed_x000a_Gap up today with rising 20-d still slightly below 100-d"/>
    <s v="Mixed_x000a_NO divergence._x000a_Histogram rising slightly above center_x000a_"/>
    <s v="Mixed_x000a_M: Buy, W: Buy D: Sell (6 bars)"/>
    <s v="Bearish_x000a_M: Blue W: Blue D: Red (2 bars coinciding with market sell-off over Korea)"/>
    <s v="Bullish_x000a_Rising to 70"/>
    <s v="Improving"/>
    <s v="Strong"/>
    <s v="earnings three weeks; worth Feb-2 calls @ $85? Likely not, check again tomorrow"/>
    <m/>
    <s v="BULLISH"/>
    <d v="2022-07-28T16:00:00"/>
    <d v="2022-07-28T16:00:00"/>
    <m/>
    <m/>
    <m/>
    <m/>
    <m/>
    <n v="2"/>
    <m/>
    <m/>
    <s v=""/>
    <n v="0"/>
    <n v="0"/>
    <s v=""/>
    <m/>
    <m/>
    <s v=""/>
    <s v=""/>
    <s v=""/>
    <s v=""/>
    <s v=""/>
    <n v="2.08"/>
    <d v="2017-09-29T00:00:00"/>
    <n v="0"/>
    <n v="0"/>
    <n v="3.1882280809319437E-2"/>
    <d v="2018-09-14T00:00:00"/>
    <m/>
    <n v="75.319999999999993"/>
    <s v=""/>
    <s v=""/>
    <n v="0"/>
    <n v="0"/>
    <n v="0.15450643776824033"/>
    <m/>
    <m/>
    <m/>
    <m/>
    <m/>
    <s v=""/>
    <m/>
    <m/>
    <m/>
    <s v=""/>
    <s v=""/>
    <m/>
    <s v=""/>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1.553999999999988"/>
    <n v="127.21799999999999"/>
    <m/>
    <m/>
    <n v="0"/>
    <s v=""/>
    <n v="0"/>
    <s v=""/>
    <s v="{E871EC27-4B25-497F-AC56-5D1335B58138}"/>
    <s v=""/>
    <s v=""/>
    <s v=""/>
    <s v=""/>
    <s v=""/>
    <s v=""/>
    <s v=""/>
    <s v=""/>
    <s v=""/>
    <s v=""/>
    <x v="0"/>
    <s v=""/>
  </r>
  <r>
    <s v="GIS"/>
    <n v="54.66"/>
    <m/>
    <n v="46.460999999999999"/>
    <x v="37"/>
    <x v="12"/>
    <m/>
    <m/>
    <m/>
    <m/>
    <m/>
    <m/>
    <m/>
    <m/>
    <m/>
    <m/>
    <m/>
    <m/>
    <s v="BULLISH"/>
    <d v="2022-06-29T07:00:00"/>
    <d v="2022-06-29T07:00:00"/>
    <s v="Confirmed"/>
    <m/>
    <m/>
    <m/>
    <m/>
    <m/>
    <m/>
    <m/>
    <s v=""/>
    <n v="0"/>
    <n v="0"/>
    <s v=""/>
    <m/>
    <m/>
    <s v=""/>
    <s v=""/>
    <s v=""/>
    <s v=""/>
    <s v=""/>
    <m/>
    <m/>
    <n v="0"/>
    <n v="0"/>
    <n v="0"/>
    <m/>
    <m/>
    <n v="58.88"/>
    <s v=""/>
    <s v=""/>
    <n v="0"/>
    <n v="0"/>
    <n v="7.7204537138675561E-2"/>
    <m/>
    <m/>
    <m/>
    <m/>
    <m/>
    <s v=""/>
    <m/>
    <m/>
    <m/>
    <s v=""/>
    <s v=""/>
    <m/>
    <s v=""/>
    <m/>
    <d v="2022-05-11T00:00:00"/>
    <n v="22.7"/>
    <n v="23.8"/>
    <n v="19.3"/>
    <s v="DECLINE"/>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5.936"/>
    <n v="106.58699999999999"/>
    <m/>
    <m/>
    <n v="0"/>
    <s v=""/>
    <n v="0"/>
    <s v=""/>
    <s v="{41373C92-A821-48A0-B4E3-66456895501F}"/>
    <s v=""/>
    <s v=""/>
    <s v=""/>
    <s v=""/>
    <s v=""/>
    <s v=""/>
    <s v=""/>
    <s v=""/>
    <s v=""/>
    <s v=""/>
    <x v="0"/>
    <s v=""/>
  </r>
  <r>
    <s v="GLD"/>
    <n v="141.26"/>
    <m/>
    <n v="120.07099999999998"/>
    <x v="52"/>
    <x v="7"/>
    <m/>
    <m/>
    <m/>
    <m/>
    <m/>
    <m/>
    <m/>
    <m/>
    <m/>
    <m/>
    <m/>
    <m/>
    <s v="BULLISH"/>
    <d v="2022-06-29T07:00:00"/>
    <d v="2022-06-29T07:00:00"/>
    <s v="Confirmed"/>
    <m/>
    <m/>
    <m/>
    <m/>
    <n v="2"/>
    <m/>
    <m/>
    <s v=""/>
    <n v="0"/>
    <n v="0"/>
    <s v=""/>
    <m/>
    <m/>
    <s v=""/>
    <s v=""/>
    <s v=""/>
    <s v=""/>
    <s v=""/>
    <n v="0"/>
    <s v="N/A"/>
    <n v="0"/>
    <n v="0"/>
    <n v="0"/>
    <s v="N/A"/>
    <m/>
    <s v="-"/>
    <s v=""/>
    <s v=""/>
    <n v="0"/>
    <n v="0"/>
    <s v=""/>
    <n v="116"/>
    <s v="Capped Gain"/>
    <n v="112"/>
    <s v="Losses"/>
    <m/>
    <s v=""/>
    <m/>
    <m/>
    <m/>
    <s v=""/>
    <s v=""/>
    <m/>
    <s v=""/>
    <m/>
    <d v="2022-05-11T00:00:00"/>
    <n v="22.7"/>
    <n v="23.8"/>
    <n v="19.3"/>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75.45699999999999"/>
    <m/>
    <m/>
    <n v="0"/>
    <s v=""/>
    <n v="0"/>
    <s v=""/>
    <s v="{53858FC8-5301-444C-A574-31C8DA7F105D}"/>
    <s v=""/>
    <s v=""/>
    <s v=""/>
    <s v=""/>
    <s v=""/>
    <s v=""/>
    <s v=""/>
    <s v=""/>
    <s v=""/>
    <s v=""/>
    <x v="0"/>
    <s v=""/>
  </r>
  <r>
    <s v="GM"/>
    <n v="34.25"/>
    <s v="Swing"/>
    <n v="29.112500000000001"/>
    <x v="61"/>
    <x v="12"/>
    <s v="increasingly applying technology (autonomous driving, EV)"/>
    <s v="loser in tax bill with large tax deferments that are of less value"/>
    <m/>
    <s v="Mixed_x000a_Dropping below 20-day which is down trending but still above 100-d which is up trending"/>
    <s v="Neutral_x000a_Flat MACD, histogram almost at center line and flat as well"/>
    <s v="UP"/>
    <s v="UP"/>
    <s v="Neutral"/>
    <s v="UP"/>
    <s v="Weak_x000a_Holdiday week"/>
    <s v="trade in play"/>
    <d v="2017-12-26T00:00:00"/>
    <s v="BULLISH"/>
    <d v="2022-10-25T06:00:00"/>
    <d v="2022-10-25T06:00:00"/>
    <s v="Confirmed"/>
    <m/>
    <m/>
    <m/>
    <m/>
    <m/>
    <m/>
    <m/>
    <s v=""/>
    <n v="0"/>
    <n v="0"/>
    <s v=""/>
    <m/>
    <m/>
    <s v=""/>
    <s v=""/>
    <s v=""/>
    <s v=""/>
    <s v=""/>
    <m/>
    <m/>
    <n v="0"/>
    <n v="0"/>
    <n v="0"/>
    <m/>
    <m/>
    <n v="70.83"/>
    <s v=""/>
    <s v=""/>
    <n v="0"/>
    <n v="0"/>
    <n v="1.068029197080292"/>
    <m/>
    <m/>
    <m/>
    <m/>
    <m/>
    <s v=""/>
    <m/>
    <m/>
    <m/>
    <s v=""/>
    <s v=""/>
    <n v="6.44"/>
    <n v="5.9892000000000003"/>
    <m/>
    <d v="2022-10-18T00:00:00"/>
    <n v="36.200000000000003"/>
    <n v="38.9"/>
    <n v="28.2"/>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7.288499999999999"/>
    <n v="66.787499999999994"/>
    <m/>
    <n v="45"/>
    <n v="0"/>
    <s v=""/>
    <n v="0"/>
    <s v=""/>
    <s v="{087D3E63-CFBE-48EC-844E-B6545AB987FF}"/>
    <s v=""/>
    <s v=""/>
    <s v=""/>
    <s v=""/>
    <s v=""/>
    <s v=""/>
    <s v=""/>
    <s v=""/>
    <s v=""/>
    <s v=""/>
    <x v="0"/>
    <s v=""/>
  </r>
  <r>
    <s v="GME"/>
    <n v="92.41"/>
    <m/>
    <n v="78.54849999999999"/>
    <x v="1"/>
    <x v="1"/>
    <m/>
    <m/>
    <m/>
    <m/>
    <m/>
    <m/>
    <m/>
    <m/>
    <m/>
    <m/>
    <m/>
    <m/>
    <m/>
    <d v="2022-08-31T16:05:00"/>
    <d v="2022-08-31T16:05:00"/>
    <m/>
    <m/>
    <m/>
    <m/>
    <m/>
    <m/>
    <m/>
    <m/>
    <s v=""/>
    <n v="0"/>
    <n v="0"/>
    <s v=""/>
    <m/>
    <m/>
    <s v=""/>
    <s v=""/>
    <s v=""/>
    <s v=""/>
    <s v=""/>
    <m/>
    <m/>
    <n v="0"/>
    <n v="0"/>
    <n v="0"/>
    <m/>
    <m/>
    <n v="13.44"/>
    <s v=""/>
    <s v=""/>
    <n v="0"/>
    <n v="0"/>
    <n v="-0.85456119467590086"/>
    <m/>
    <m/>
    <m/>
    <m/>
    <m/>
    <s v=""/>
    <m/>
    <m/>
    <m/>
    <s v=""/>
    <s v=""/>
    <m/>
    <s v=""/>
    <m/>
    <d v="2022-05-11T00:00:00"/>
    <n v="22.7"/>
    <n v="23.8"/>
    <n v="19.3"/>
    <s v="DECLINE"/>
    <m/>
    <m/>
    <s v=""/>
    <m/>
    <m/>
    <m/>
    <m/>
    <m/>
    <m/>
    <n v="0"/>
    <n v="0"/>
    <m/>
    <s v=""/>
    <s v=""/>
    <m/>
    <m/>
    <m/>
    <m/>
    <m/>
    <m/>
    <n v="0"/>
    <s v=""/>
    <s v=""/>
    <s v=""/>
    <s v=""/>
    <n v="0"/>
    <s v=""/>
    <n v="0"/>
    <m/>
    <n v="0"/>
    <s v=""/>
    <s v=""/>
    <s v=""/>
    <n v="37.450000000000003"/>
    <n v="0"/>
    <m/>
    <s v=""/>
    <s v=""/>
    <b v="0"/>
    <m/>
    <s v=""/>
    <s v=""/>
    <s v=""/>
    <s v=""/>
    <s v=""/>
    <m/>
    <m/>
    <s v=""/>
    <s v=""/>
    <s v=""/>
    <s v=""/>
    <m/>
    <m/>
    <m/>
    <m/>
    <m/>
    <m/>
    <n v="0"/>
    <s v=""/>
    <s v=""/>
    <m/>
    <s v=""/>
    <s v=""/>
    <s v=""/>
    <s v=""/>
    <s v=""/>
    <s v=""/>
    <s v=""/>
    <m/>
    <s v=""/>
    <m/>
    <s v=""/>
    <s v=""/>
    <s v=""/>
    <s v=""/>
    <n v="0"/>
    <m/>
    <m/>
    <m/>
    <m/>
    <m/>
    <m/>
    <s v=""/>
    <s v=""/>
    <n v="0"/>
    <n v="0"/>
    <n v="0"/>
    <n v="0"/>
    <s v=""/>
    <m/>
    <n v="0"/>
    <n v="37.450000000000003"/>
    <m/>
    <s v=""/>
    <s v=""/>
    <b v="0"/>
    <m/>
    <s v=""/>
    <n v="0"/>
    <n v="37.450000000000003"/>
    <n v="0.4052591710853804"/>
    <s v=""/>
    <s v=""/>
    <s v=""/>
    <s v=""/>
    <s v=""/>
    <s v=""/>
    <s v=""/>
    <s v=""/>
    <s v=""/>
    <s v=""/>
    <s v=""/>
    <s v=""/>
    <s v=""/>
    <s v=""/>
    <s v=""/>
    <s v=""/>
    <m/>
    <n v="0"/>
    <n v="12.767999999999999"/>
    <n v="180.1995"/>
    <m/>
    <m/>
    <n v="0"/>
    <s v=""/>
    <n v="0"/>
    <s v=""/>
    <m/>
    <s v=""/>
    <s v=""/>
    <s v=""/>
    <s v=""/>
    <s v=""/>
    <s v=""/>
    <s v=""/>
    <s v=""/>
    <s v=""/>
    <s v=""/>
    <x v="0"/>
    <s v=""/>
  </r>
  <r>
    <s v="GNRC"/>
    <n v="417.22"/>
    <m/>
    <n v="354.637"/>
    <x v="86"/>
    <x v="11"/>
    <m/>
    <m/>
    <m/>
    <m/>
    <m/>
    <m/>
    <m/>
    <m/>
    <m/>
    <m/>
    <m/>
    <m/>
    <m/>
    <d v="2022-08-03T06:00:00"/>
    <d v="2022-08-03T06:00:00"/>
    <m/>
    <m/>
    <m/>
    <m/>
    <m/>
    <m/>
    <m/>
    <m/>
    <s v=""/>
    <n v="0"/>
    <n v="0"/>
    <s v=""/>
    <m/>
    <m/>
    <s v=""/>
    <s v=""/>
    <s v=""/>
    <s v=""/>
    <s v=""/>
    <m/>
    <m/>
    <n v="0"/>
    <n v="0"/>
    <n v="0"/>
    <m/>
    <m/>
    <n v="420.43"/>
    <s v=""/>
    <s v=""/>
    <n v="0"/>
    <n v="0"/>
    <n v="7.693782656631943E-3"/>
    <m/>
    <m/>
    <m/>
    <m/>
    <m/>
    <s v=""/>
    <m/>
    <m/>
    <m/>
    <s v=""/>
    <s v=""/>
    <m/>
    <s v=""/>
    <m/>
    <d v="2022-05-11T00:00:00"/>
    <n v="22.7"/>
    <n v="23.8"/>
    <n v="19.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99.4085"/>
    <n v="813.57900000000006"/>
    <m/>
    <m/>
    <n v="0"/>
    <s v=""/>
    <n v="0"/>
    <s v=""/>
    <m/>
    <s v=""/>
    <s v=""/>
    <s v=""/>
    <s v=""/>
    <s v=""/>
    <s v=""/>
    <s v=""/>
    <s v=""/>
    <s v=""/>
    <s v=""/>
    <x v="0"/>
    <s v=""/>
  </r>
  <r>
    <s v="GOGL"/>
    <n v="11.66"/>
    <m/>
    <n v="9.9109999999999996"/>
    <x v="72"/>
    <x v="11"/>
    <m/>
    <m/>
    <m/>
    <m/>
    <m/>
    <m/>
    <m/>
    <m/>
    <m/>
    <m/>
    <m/>
    <m/>
    <m/>
    <d v="2022-08-18T02:00:00"/>
    <d v="2022-08-18T02:00:00"/>
    <m/>
    <m/>
    <m/>
    <m/>
    <m/>
    <m/>
    <m/>
    <m/>
    <s v=""/>
    <n v="0"/>
    <n v="0"/>
    <s v=""/>
    <m/>
    <m/>
    <s v=""/>
    <s v=""/>
    <s v=""/>
    <s v=""/>
    <s v=""/>
    <m/>
    <m/>
    <n v="0"/>
    <n v="0"/>
    <n v="0"/>
    <m/>
    <m/>
    <n v="14.68"/>
    <s v=""/>
    <s v=""/>
    <n v="0"/>
    <n v="0"/>
    <n v="0.2590051457975985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946"/>
    <n v="22.736999999999998"/>
    <m/>
    <m/>
    <n v="0"/>
    <s v=""/>
    <n v="0"/>
    <s v=""/>
    <m/>
    <s v=""/>
    <s v=""/>
    <s v=""/>
    <s v=""/>
    <s v=""/>
    <s v=""/>
    <s v=""/>
    <s v=""/>
    <s v=""/>
    <s v=""/>
    <x v="0"/>
    <s v=""/>
  </r>
  <r>
    <s v="GOGO"/>
    <n v="16.2"/>
    <s v="Swing"/>
    <n v="13.77"/>
    <x v="88"/>
    <x v="9"/>
    <m/>
    <m/>
    <m/>
    <m/>
    <m/>
    <m/>
    <m/>
    <m/>
    <m/>
    <m/>
    <m/>
    <m/>
    <s v="BULLISH"/>
    <d v="2022-08-04T07:00:00"/>
    <d v="2022-08-04T07:00:00"/>
    <m/>
    <m/>
    <m/>
    <m/>
    <m/>
    <m/>
    <m/>
    <m/>
    <s v=""/>
    <n v="0"/>
    <n v="0"/>
    <s v=""/>
    <m/>
    <m/>
    <s v=""/>
    <s v=""/>
    <s v=""/>
    <s v=""/>
    <s v=""/>
    <m/>
    <m/>
    <n v="0"/>
    <n v="0"/>
    <n v="0"/>
    <m/>
    <m/>
    <n v="14"/>
    <s v=""/>
    <s v=""/>
    <n v="0"/>
    <n v="0"/>
    <n v="-0.13580246913580243"/>
    <n v="14"/>
    <s v="assignment"/>
    <n v="14"/>
    <s v="free money"/>
    <s v="CCs"/>
    <s v=""/>
    <m/>
    <m/>
    <m/>
    <s v=""/>
    <s v=""/>
    <n v="10.83"/>
    <n v="10.071899999999999"/>
    <m/>
    <d v="2022-05-11T00:00:00"/>
    <n v="22.7"/>
    <n v="23.8"/>
    <n v="19.3"/>
    <s v="DECLINE"/>
    <s v="BULLISH"/>
    <m/>
    <s v=""/>
    <m/>
    <m/>
    <m/>
    <m/>
    <m/>
    <m/>
    <n v="0"/>
    <n v="0"/>
    <m/>
    <s v=""/>
    <m/>
    <m/>
    <m/>
    <m/>
    <m/>
    <m/>
    <m/>
    <n v="0"/>
    <s v=""/>
    <s v=""/>
    <s v=""/>
    <s v=""/>
    <n v="0"/>
    <s v=""/>
    <n v="0"/>
    <m/>
    <n v="0"/>
    <s v=""/>
    <s v=""/>
    <s v=""/>
    <m/>
    <n v="0"/>
    <m/>
    <s v=""/>
    <s v=""/>
    <s v=""/>
    <m/>
    <s v=""/>
    <s v=""/>
    <s v=""/>
    <s v=""/>
    <s v=""/>
    <m/>
    <m/>
    <s v=""/>
    <s v=""/>
    <s v=""/>
    <m/>
    <m/>
    <m/>
    <m/>
    <m/>
    <m/>
    <m/>
    <n v="0"/>
    <s v=""/>
    <s v=""/>
    <m/>
    <s v=""/>
    <s v=""/>
    <s v=""/>
    <s v=""/>
    <s v=""/>
    <s v=""/>
    <s v=""/>
    <m/>
    <s v=""/>
    <m/>
    <s v=""/>
    <s v=""/>
    <s v=""/>
    <m/>
    <n v="0"/>
    <m/>
    <m/>
    <m/>
    <m/>
    <m/>
    <m/>
    <s v=""/>
    <s v=""/>
    <n v="0"/>
    <n v="0"/>
    <n v="0"/>
    <n v="0"/>
    <s v=""/>
    <m/>
    <n v="0"/>
    <m/>
    <m/>
    <s v=""/>
    <s v=""/>
    <s v=""/>
    <m/>
    <s v=""/>
    <n v="0"/>
    <n v="0"/>
    <s v=""/>
    <s v=""/>
    <s v=""/>
    <s v=""/>
    <s v=""/>
    <s v=""/>
    <s v=""/>
    <s v=""/>
    <s v=""/>
    <s v=""/>
    <s v=""/>
    <s v=""/>
    <s v=""/>
    <s v=""/>
    <s v=""/>
    <s v=""/>
    <s v=""/>
    <m/>
    <n v="0"/>
    <n v="13.299999999999999"/>
    <n v="31.589999999999996"/>
    <m/>
    <m/>
    <n v="0"/>
    <s v=""/>
    <n v="0"/>
    <s v=""/>
    <m/>
    <s v=""/>
    <s v=""/>
    <s v=""/>
    <s v=""/>
    <s v=""/>
    <s v=""/>
    <s v=""/>
    <s v=""/>
    <s v=""/>
    <s v=""/>
    <x v="0"/>
    <s v=""/>
  </r>
  <r>
    <s v="GFS"/>
    <n v="61.86"/>
    <s v="Swing"/>
    <n v="52.580999999999996"/>
    <x v="3"/>
    <x v="3"/>
    <m/>
    <m/>
    <m/>
    <m/>
    <m/>
    <m/>
    <m/>
    <m/>
    <m/>
    <m/>
    <m/>
    <m/>
    <s v="BULLISH"/>
    <d v="2023-02-07T00:00:00"/>
    <d v="2023-02-07T00:00:00"/>
    <m/>
    <m/>
    <m/>
    <m/>
    <m/>
    <m/>
    <m/>
    <m/>
    <s v=""/>
    <n v="0"/>
    <n v="0"/>
    <s v=""/>
    <m/>
    <m/>
    <s v=""/>
    <s v=""/>
    <s v=""/>
    <s v=""/>
    <s v=""/>
    <m/>
    <m/>
    <n v="0"/>
    <n v="0"/>
    <n v="0"/>
    <m/>
    <m/>
    <n v="68.930000000000007"/>
    <s v=""/>
    <s v=""/>
    <n v="0"/>
    <n v="0"/>
    <n v="0.11429033301002275"/>
    <n v="70"/>
    <s v="assignment"/>
    <n v="70"/>
    <s v="free money"/>
    <s v="CCs"/>
    <s v=""/>
    <m/>
    <m/>
    <m/>
    <s v=""/>
    <s v=""/>
    <n v="51.86"/>
    <n v="48.229799999999997"/>
    <m/>
    <d v="2022-12-16T00:00:00"/>
    <n v="61.71"/>
    <n v="63.66"/>
    <n v="58.53"/>
    <s v="RANG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5.483500000000006"/>
    <n v="120.627"/>
    <m/>
    <m/>
    <n v="0"/>
    <s v=""/>
    <n v="0"/>
    <s v=""/>
    <s v="{0AEF0458-4962-42DD-A718-77308CF6D20C}"/>
    <s v=""/>
    <s v=""/>
    <s v=""/>
    <s v=""/>
    <s v=""/>
    <s v=""/>
    <s v=""/>
    <s v=""/>
    <s v=""/>
    <s v=""/>
    <x v="0"/>
    <s v=""/>
  </r>
  <r>
    <s v="FCX"/>
    <n v="38.1"/>
    <m/>
    <n v="32.384999999999998"/>
    <x v="89"/>
    <x v="0"/>
    <s v="This *will* eventually recover when there is demand for basic materials; solid dividend"/>
    <s v="copper pricing &amp; Indonesian contract headwinds, slower macro growth. This will be a PAINFUL hold"/>
    <m/>
    <m/>
    <m/>
    <m/>
    <m/>
    <m/>
    <m/>
    <m/>
    <m/>
    <m/>
    <s v="BULLISH"/>
    <d v="2023-01-19T00:00:00"/>
    <d v="2023-01-19T00:00:00"/>
    <m/>
    <m/>
    <m/>
    <m/>
    <m/>
    <m/>
    <n v="1000"/>
    <n v="38530"/>
    <n v="38.53"/>
    <n v="38100"/>
    <n v="-430"/>
    <n v="-1.1160134959771606E-2"/>
    <n v="45"/>
    <n v="37.200000000000003"/>
    <n v="6.4699999999999989"/>
    <n v="-1.3299999999999983"/>
    <s v="4.9  : 1"/>
    <n v="6469.9999999999991"/>
    <n v="-1329.9999999999982"/>
    <n v="0"/>
    <d v="2015-11-02T00:00:00"/>
    <n v="0"/>
    <n v="0"/>
    <n v="0"/>
    <d v="2015-10-09T00:00:00"/>
    <n v="45"/>
    <n v="38.770000000000003"/>
    <n v="0.18110236220472437"/>
    <n v="6.2289125356864783E-3"/>
    <n v="240"/>
    <n v="670"/>
    <n v="1.7585301837270386E-2"/>
    <n v="39"/>
    <s v="assignment"/>
    <n v="39"/>
    <s v="free money"/>
    <s v="CCs"/>
    <s v=""/>
    <m/>
    <m/>
    <m/>
    <s v=""/>
    <s v=""/>
    <n v="37.5"/>
    <n v="34.875"/>
    <m/>
    <d v="2022-12-20T00:00:00"/>
    <n v="41.1"/>
    <n v="44.1"/>
    <n v="32"/>
    <s v="LTD DEC"/>
    <s v="RANGE"/>
    <m/>
    <d v="2022-12-30T00:00:00"/>
    <m/>
    <m/>
    <m/>
    <m/>
    <m/>
    <m/>
    <n v="0"/>
    <n v="0"/>
    <m/>
    <s v=""/>
    <s v=""/>
    <m/>
    <m/>
    <m/>
    <m/>
    <m/>
    <m/>
    <n v="0"/>
    <s v=""/>
    <s v=""/>
    <s v=""/>
    <s v=""/>
    <n v="0"/>
    <s v=""/>
    <n v="0"/>
    <m/>
    <n v="0"/>
    <s v=""/>
    <s v=""/>
    <s v=""/>
    <m/>
    <n v="0"/>
    <m/>
    <s v=""/>
    <s v=""/>
    <s v=""/>
    <m/>
    <s v=""/>
    <s v=""/>
    <s v=""/>
    <s v=""/>
    <s v=""/>
    <m/>
    <m/>
    <s v=""/>
    <s v=""/>
    <s v=""/>
    <s v=""/>
    <m/>
    <m/>
    <m/>
    <m/>
    <m/>
    <m/>
    <n v="0"/>
    <s v=""/>
    <s v=""/>
    <m/>
    <s v=""/>
    <s v=""/>
    <s v=""/>
    <s v=""/>
    <s v=""/>
    <s v=""/>
    <s v=""/>
    <m/>
    <s v=""/>
    <m/>
    <s v=""/>
    <s v=""/>
    <s v=""/>
    <s v=""/>
    <n v="10"/>
    <d v="2022-12-30T00:00:00"/>
    <n v="39"/>
    <n v="10"/>
    <d v="2022-12-23T00:00:00"/>
    <d v="2022-12-23T00:00:00"/>
    <n v="0.33"/>
    <n v="7"/>
    <n v="4"/>
    <n v="330"/>
    <n v="38530"/>
    <n v="2.8897499999999998"/>
    <n v="38.67"/>
    <s v=""/>
    <m/>
    <n v="6.6000000000000003E-2"/>
    <n v="7.0000000000000007E-2"/>
    <m/>
    <n v="6.6000000000000003E-2"/>
    <d v="2022-12-26T16:00:00"/>
    <b v="0"/>
    <d v="2022-12-26T00:00:00"/>
    <n v="66"/>
    <n v="0"/>
    <n v="7.0000000000000007E-2"/>
    <n v="1.8372703412073493E-3"/>
    <n v="2.362204724409445E-2"/>
    <n v="38999.93"/>
    <s v=""/>
    <n v="799.93000000000029"/>
    <n v="38.999929999999999"/>
    <n v="0.89999999999999858"/>
    <n v="3.1923176745393161E-2"/>
    <n v="4.1476936455500999"/>
    <n v="1.04"/>
    <n v="0"/>
    <n v="0"/>
    <n v="330.9"/>
    <n v="0.56189024062784942"/>
    <n v="-70"/>
    <n v="260"/>
    <n v="0.78787878787878785"/>
    <m/>
    <n v="200"/>
    <n v="36.831499999999998"/>
    <n v="74.295000000000002"/>
    <m/>
    <n v="46.18"/>
    <n v="0"/>
    <n v="0"/>
    <n v="0"/>
    <n v="2.0761225019465358E-2"/>
    <s v="{41710929-221E-495A-BA85-3970DC2CBF63}"/>
    <s v=""/>
    <s v=""/>
    <s v=""/>
    <s v=""/>
    <s v=""/>
    <s v=""/>
    <s v="FCX221230C00039000"/>
    <n v="1"/>
    <s v="Y"/>
    <s v="LNG SC "/>
    <x v="9"/>
    <n v="2.5040980679270821E-2"/>
  </r>
  <r>
    <s v="GOLD"/>
    <n v="17.39"/>
    <s v="Position"/>
    <n v="14.781499999999999"/>
    <x v="11"/>
    <x v="17"/>
    <m/>
    <m/>
    <m/>
    <m/>
    <m/>
    <m/>
    <m/>
    <m/>
    <m/>
    <m/>
    <m/>
    <m/>
    <s v="BULLISH"/>
    <d v="2023-02-02T00:00:00"/>
    <d v="2023-02-02T00:00:00"/>
    <m/>
    <m/>
    <m/>
    <m/>
    <m/>
    <m/>
    <n v="5000"/>
    <n v="103980"/>
    <n v="20.795999999999999"/>
    <n v="86950"/>
    <n v="-17030"/>
    <n v="-0.16378149644162338"/>
    <n v="27.5"/>
    <m/>
    <n v="6.7040000000000006"/>
    <s v=""/>
    <s v=""/>
    <n v="33520"/>
    <s v=""/>
    <m/>
    <m/>
    <n v="0"/>
    <n v="0"/>
    <n v="0"/>
    <m/>
    <m/>
    <n v="20.36"/>
    <s v=""/>
    <n v="-2.0965570301981151E-2"/>
    <n v="-2180"/>
    <n v="14850"/>
    <n v="0.17078780908568136"/>
    <m/>
    <m/>
    <m/>
    <m/>
    <s v="CCs"/>
    <s v=""/>
    <m/>
    <m/>
    <m/>
    <s v=""/>
    <s v=""/>
    <n v="17.559999999999999"/>
    <n v="16.330799999999996"/>
    <n v="2"/>
    <d v="2022-12-19T00:00:00"/>
    <n v="15.5"/>
    <n v="19.5"/>
    <n v="14.2"/>
    <s v="RISE"/>
    <s v="BEARISH"/>
    <m/>
    <d v="2022-12-30T00:00:00"/>
    <m/>
    <m/>
    <m/>
    <m/>
    <m/>
    <m/>
    <n v="0"/>
    <n v="0"/>
    <m/>
    <s v=""/>
    <s v=""/>
    <m/>
    <m/>
    <m/>
    <m/>
    <m/>
    <m/>
    <n v="0"/>
    <s v=""/>
    <s v=""/>
    <s v=""/>
    <s v=""/>
    <n v="0"/>
    <s v=""/>
    <n v="0"/>
    <m/>
    <n v="0"/>
    <s v=""/>
    <s v=""/>
    <s v=""/>
    <m/>
    <n v="0"/>
    <m/>
    <s v=""/>
    <s v=""/>
    <s v=""/>
    <m/>
    <s v=""/>
    <s v=""/>
    <s v=""/>
    <s v=""/>
    <s v=""/>
    <m/>
    <m/>
    <s v=""/>
    <s v=""/>
    <s v=""/>
    <s v=""/>
    <m/>
    <m/>
    <m/>
    <m/>
    <m/>
    <m/>
    <n v="0"/>
    <s v=""/>
    <s v=""/>
    <m/>
    <s v=""/>
    <s v=""/>
    <s v=""/>
    <s v=""/>
    <s v=""/>
    <s v=""/>
    <s v=""/>
    <m/>
    <s v=""/>
    <m/>
    <s v=""/>
    <s v=""/>
    <s v=""/>
    <s v=""/>
    <n v="50"/>
    <d v="2022-12-30T00:00:00"/>
    <n v="17.5"/>
    <n v="50"/>
    <d v="2022-12-20T00:00:00"/>
    <d v="2022-12-20T00:00:00"/>
    <n v="0.25"/>
    <n v="10"/>
    <n v="4"/>
    <n v="1250"/>
    <n v="103980"/>
    <n v="1.5597000000000001"/>
    <n v="17.25"/>
    <s v=""/>
    <m/>
    <n v="2.5000000000000001E-2"/>
    <n v="0.26"/>
    <m/>
    <n v="2.5000000000000001E-2"/>
    <d v="2022-12-30T16:00:00"/>
    <b v="0"/>
    <d v="2022-12-25T00:00:00"/>
    <n v="125"/>
    <n v="0"/>
    <n v="0.26"/>
    <n v="1.4951121334100058E-2"/>
    <n v="6.3254744105807606E-3"/>
    <n v="87499.74"/>
    <s v=""/>
    <n v="-15230.259999999995"/>
    <n v="17.499948"/>
    <n v="0.10999999999999943"/>
    <n v="1.731102135025964E-2"/>
    <n v="0.87094861483323127"/>
    <n v="0.99658314350797272"/>
    <n v="5.9999999999998721E-2"/>
    <n v="3.4168564920272625E-3"/>
    <n v="1250.1099999999999"/>
    <n v="0.5468304464957372"/>
    <n v="-1300"/>
    <n v="-50"/>
    <n v="-0.04"/>
    <s v="Calc"/>
    <n v="1000"/>
    <n v="19.341999999999999"/>
    <n v="33.910499999999999"/>
    <m/>
    <m/>
    <n v="0"/>
    <n v="0"/>
    <n v="0"/>
    <n v="-0.14647297557222538"/>
    <s v="{A2DC67D8-B9D2-4839-9790-40D527A7F20E}"/>
    <s v=""/>
    <s v=""/>
    <s v=""/>
    <s v=""/>
    <s v=""/>
    <s v=""/>
    <s v="GOLD221230C00017500"/>
    <n v="1"/>
    <s v="Y"/>
    <s v="LNG SC "/>
    <x v="10"/>
    <n v="6.7341883381714443E-2"/>
  </r>
  <r>
    <s v="GOLD_1"/>
    <n v="17.39"/>
    <s v="Position"/>
    <n v="14.781499999999999"/>
    <x v="11"/>
    <x v="17"/>
    <m/>
    <m/>
    <m/>
    <m/>
    <m/>
    <m/>
    <m/>
    <m/>
    <m/>
    <m/>
    <m/>
    <m/>
    <s v="BULLISH"/>
    <d v="2023-02-02T00:00:00"/>
    <d v="2023-02-02T00:00:00"/>
    <m/>
    <m/>
    <m/>
    <m/>
    <m/>
    <m/>
    <m/>
    <m/>
    <s v=""/>
    <n v="0"/>
    <n v="0"/>
    <s v=""/>
    <n v="27.5"/>
    <m/>
    <s v=""/>
    <s v=""/>
    <s v=""/>
    <s v=""/>
    <s v=""/>
    <m/>
    <m/>
    <n v="0"/>
    <n v="0"/>
    <n v="0"/>
    <m/>
    <m/>
    <n v="20.36"/>
    <s v=""/>
    <s v=""/>
    <n v="0"/>
    <n v="0"/>
    <n v="0.17078780908568136"/>
    <m/>
    <m/>
    <m/>
    <m/>
    <s v="CCs"/>
    <s v=""/>
    <m/>
    <m/>
    <m/>
    <s v=""/>
    <s v=""/>
    <n v="7.04"/>
    <n v="6.5471999999999992"/>
    <n v="4"/>
    <d v="2022-12-19T00:00:00"/>
    <n v="15.5"/>
    <n v="19.5"/>
    <n v="14.2"/>
    <s v="RISE"/>
    <s v="BEARISH"/>
    <m/>
    <d v="2022-12-30T00:00:00"/>
    <m/>
    <m/>
    <m/>
    <m/>
    <m/>
    <m/>
    <n v="0"/>
    <n v="0"/>
    <m/>
    <s v=""/>
    <s v=""/>
    <m/>
    <m/>
    <m/>
    <m/>
    <m/>
    <m/>
    <n v="0"/>
    <s v=""/>
    <s v=""/>
    <s v=""/>
    <s v=""/>
    <n v="0"/>
    <s v=""/>
    <n v="0"/>
    <m/>
    <n v="0"/>
    <s v=""/>
    <s v=""/>
    <s v=""/>
    <m/>
    <n v="0"/>
    <m/>
    <s v=""/>
    <s v=""/>
    <s v=""/>
    <m/>
    <s v=""/>
    <s v=""/>
    <s v=""/>
    <s v=""/>
    <s v=""/>
    <m/>
    <m/>
    <s v=""/>
    <s v=""/>
    <s v=""/>
    <s v=""/>
    <d v="2023-01-20T00:00:00"/>
    <n v="15"/>
    <n v="20"/>
    <d v="2021-04-22T00:00:00"/>
    <d v="2021-04-22T00:00:00"/>
    <n v="8.0500000000000007"/>
    <n v="16100"/>
    <s v=""/>
    <n v="23.05"/>
    <n v="1.97"/>
    <n v="3940"/>
    <n v="-12160"/>
    <n v="-0.75527950310559011"/>
    <n v="12.075000000000001"/>
    <n v="24150.000000000004"/>
    <n v="8050.0000000000036"/>
    <n v="0.50000000000000022"/>
    <m/>
    <n v="6.0375000000000005"/>
    <m/>
    <n v="6.0375000000000005"/>
    <n v="12075.000000000002"/>
    <n v="-4024.9999999999982"/>
    <n v="-0.24999999999999989"/>
    <n v="20"/>
    <d v="2022-12-30T00:00:00"/>
    <n v="17.5"/>
    <n v="20"/>
    <d v="2022-12-20T00:00:00"/>
    <d v="2022-12-20T00:00:00"/>
    <n v="0.25"/>
    <n v="10"/>
    <n v="4"/>
    <n v="500"/>
    <n v="3940"/>
    <n v="0.14774999999999999"/>
    <n v="17.25"/>
    <s v=""/>
    <m/>
    <n v="2.5000000000000001E-2"/>
    <n v="0.26"/>
    <m/>
    <n v="2.5000000000000001E-2"/>
    <d v="2022-12-30T16:00:00"/>
    <b v="0"/>
    <d v="2022-12-25T00:00:00"/>
    <n v="50"/>
    <n v="0"/>
    <n v="0.26"/>
    <n v="1.4951121334100058E-2"/>
    <n v="6.3254744105807606E-3"/>
    <n v="34999.74"/>
    <s v=""/>
    <s v=""/>
    <n v="17.499869999999998"/>
    <n v="0.10999999999999943"/>
    <n v="4.4720496894409864E-2"/>
    <n v="3.9374670818357478"/>
    <n v="2.4857954545454546"/>
    <n v="0"/>
    <n v="0"/>
    <n v="500.11"/>
    <n v="77.389705197618994"/>
    <n v="-520"/>
    <n v="-20"/>
    <n v="-0.04"/>
    <s v="Calc"/>
    <n v="0"/>
    <n v="19.341999999999999"/>
    <n v="33.910499999999999"/>
    <m/>
    <m/>
    <n v="0"/>
    <s v=""/>
    <n v="0"/>
    <s v=""/>
    <s v="{E3AC8484-6E7A-47C8-8039-633226532ECA}"/>
    <s v=""/>
    <s v=""/>
    <s v=""/>
    <s v=""/>
    <s v="GOLD230120C00015000"/>
    <n v="1"/>
    <s v="GOLD221230C00017500"/>
    <n v="1"/>
    <s v="Y"/>
    <s v="SC LC "/>
    <x v="11"/>
    <n v="1.0226159649126303E-2"/>
  </r>
  <r>
    <s v="GOLD_3"/>
    <n v="17.39"/>
    <s v="Position"/>
    <n v="14.781499999999999"/>
    <x v="11"/>
    <x v="17"/>
    <m/>
    <m/>
    <m/>
    <m/>
    <m/>
    <m/>
    <m/>
    <m/>
    <m/>
    <m/>
    <m/>
    <m/>
    <s v="BULLISH"/>
    <d v="2023-02-02T00:00:00"/>
    <d v="2023-02-02T00:00:00"/>
    <m/>
    <m/>
    <m/>
    <m/>
    <m/>
    <m/>
    <m/>
    <m/>
    <s v=""/>
    <n v="0"/>
    <n v="0"/>
    <s v=""/>
    <n v="27.5"/>
    <m/>
    <s v=""/>
    <s v=""/>
    <s v=""/>
    <s v=""/>
    <s v=""/>
    <m/>
    <m/>
    <n v="0"/>
    <n v="0"/>
    <n v="0"/>
    <m/>
    <m/>
    <n v="20.36"/>
    <s v=""/>
    <s v=""/>
    <n v="0"/>
    <n v="0"/>
    <n v="0.17078780908568136"/>
    <m/>
    <m/>
    <m/>
    <m/>
    <s v="CCs"/>
    <s v=""/>
    <m/>
    <m/>
    <m/>
    <s v=""/>
    <s v=""/>
    <n v="4.12"/>
    <n v="3.8315999999999999"/>
    <n v="5"/>
    <d v="2022-12-19T00:00:00"/>
    <n v="15.5"/>
    <n v="19.5"/>
    <n v="14.2"/>
    <s v="RISE"/>
    <s v="BEARISH"/>
    <m/>
    <d v="2022-12-30T00:00:00"/>
    <m/>
    <m/>
    <m/>
    <m/>
    <m/>
    <m/>
    <n v="0"/>
    <n v="0"/>
    <m/>
    <s v=""/>
    <s v=""/>
    <m/>
    <m/>
    <m/>
    <m/>
    <m/>
    <m/>
    <n v="0"/>
    <s v=""/>
    <s v=""/>
    <s v=""/>
    <s v=""/>
    <n v="0"/>
    <s v=""/>
    <n v="0"/>
    <m/>
    <n v="0"/>
    <s v=""/>
    <s v=""/>
    <s v=""/>
    <m/>
    <n v="0"/>
    <m/>
    <s v=""/>
    <s v=""/>
    <s v=""/>
    <m/>
    <s v=""/>
    <s v=""/>
    <s v=""/>
    <s v=""/>
    <s v=""/>
    <m/>
    <m/>
    <s v=""/>
    <s v=""/>
    <s v=""/>
    <s v=""/>
    <d v="2024-01-19T00:00:00"/>
    <n v="15"/>
    <n v="10"/>
    <d v="2022-06-28T00:00:00"/>
    <d v="2022-06-28T00:00:00"/>
    <n v="4.8499999999999996"/>
    <n v="4850"/>
    <s v=""/>
    <n v="19.850000000000001"/>
    <n v="3.55"/>
    <n v="3550"/>
    <n v="-1300"/>
    <n v="-0.26804123711340205"/>
    <n v="7.2749999999999995"/>
    <n v="7275"/>
    <n v="2425"/>
    <n v="0.5"/>
    <m/>
    <n v="3.6374999999999997"/>
    <m/>
    <n v="3.6374999999999997"/>
    <n v="3637.5"/>
    <n v="-1212.5"/>
    <n v="-0.25"/>
    <n v="10"/>
    <d v="2022-12-30T00:00:00"/>
    <n v="17.5"/>
    <n v="10"/>
    <d v="2022-12-20T00:00:00"/>
    <d v="2022-12-20T00:00:00"/>
    <n v="0.25"/>
    <n v="10"/>
    <n v="4"/>
    <n v="250"/>
    <n v="3550"/>
    <n v="0.26624999999999999"/>
    <n v="17.25"/>
    <s v=""/>
    <m/>
    <n v="2.5000000000000001E-2"/>
    <n v="0.26"/>
    <m/>
    <n v="2.5000000000000001E-2"/>
    <d v="2022-12-30T16:00:00"/>
    <b v="0"/>
    <d v="2022-12-25T00:00:00"/>
    <n v="25"/>
    <n v="0"/>
    <n v="0.26"/>
    <n v="1.4951121334100058E-2"/>
    <n v="6.3254744105807606E-3"/>
    <n v="17499.740000000002"/>
    <s v=""/>
    <s v=""/>
    <n v="17.499740000000003"/>
    <n v="0.10999999999999943"/>
    <n v="7.4226804123711229E-2"/>
    <n v="12.645939499044605"/>
    <n v="4.2475728155339807"/>
    <n v="0"/>
    <n v="0"/>
    <n v="250.11"/>
    <n v="11.001215929321058"/>
    <n v="-260"/>
    <n v="-10"/>
    <n v="-0.04"/>
    <s v="Calc"/>
    <n v="0"/>
    <n v="19.341999999999999"/>
    <n v="33.910499999999999"/>
    <m/>
    <m/>
    <n v="0"/>
    <s v=""/>
    <n v="0"/>
    <s v=""/>
    <s v="{6BA05C0E-89F0-47FD-B8D0-EF23C67BE8DA}"/>
    <s v=""/>
    <s v=""/>
    <s v=""/>
    <s v=""/>
    <s v="GOLD240119C00015000"/>
    <n v="1"/>
    <s v="GOLD221230C00017500"/>
    <n v="1"/>
    <s v="Y"/>
    <s v="SC LC "/>
    <x v="12"/>
    <n v="3.0154060503833975E-3"/>
  </r>
  <r>
    <s v="GOLD_4"/>
    <n v="17.39"/>
    <s v="Position"/>
    <n v="14.781499999999999"/>
    <x v="11"/>
    <x v="17"/>
    <m/>
    <m/>
    <m/>
    <m/>
    <m/>
    <m/>
    <m/>
    <m/>
    <m/>
    <m/>
    <m/>
    <m/>
    <s v="BULLISH"/>
    <d v="2023-02-02T00:00:00"/>
    <d v="2023-02-02T00:00:00"/>
    <m/>
    <m/>
    <m/>
    <m/>
    <m/>
    <m/>
    <m/>
    <m/>
    <s v=""/>
    <n v="0"/>
    <n v="0"/>
    <s v=""/>
    <n v="27.5"/>
    <m/>
    <s v=""/>
    <s v=""/>
    <s v=""/>
    <s v=""/>
    <s v=""/>
    <m/>
    <m/>
    <n v="0"/>
    <n v="0"/>
    <n v="0"/>
    <m/>
    <m/>
    <n v="20.36"/>
    <s v=""/>
    <s v=""/>
    <n v="0"/>
    <n v="0"/>
    <n v="0.17078780908568136"/>
    <m/>
    <m/>
    <m/>
    <m/>
    <s v="CCs"/>
    <s v=""/>
    <m/>
    <m/>
    <m/>
    <s v=""/>
    <s v=""/>
    <n v="1.22"/>
    <n v="1.1345999999999998"/>
    <n v="6"/>
    <d v="2022-12-19T00:00:00"/>
    <n v="15.5"/>
    <n v="19.5"/>
    <n v="14.2"/>
    <s v="RISE"/>
    <s v="BEARISH"/>
    <m/>
    <d v="2022-12-30T00:00:00"/>
    <m/>
    <m/>
    <m/>
    <m/>
    <m/>
    <m/>
    <n v="0"/>
    <n v="0"/>
    <m/>
    <s v=""/>
    <s v=""/>
    <m/>
    <m/>
    <m/>
    <m/>
    <m/>
    <m/>
    <n v="0"/>
    <s v=""/>
    <s v=""/>
    <s v=""/>
    <s v=""/>
    <n v="0"/>
    <s v=""/>
    <n v="0"/>
    <m/>
    <n v="0"/>
    <s v=""/>
    <s v=""/>
    <s v=""/>
    <m/>
    <n v="0"/>
    <m/>
    <s v=""/>
    <s v=""/>
    <s v=""/>
    <m/>
    <s v=""/>
    <s v=""/>
    <s v=""/>
    <s v=""/>
    <s v=""/>
    <m/>
    <m/>
    <s v=""/>
    <s v=""/>
    <s v=""/>
    <s v=""/>
    <d v="2024-01-19T00:00:00"/>
    <n v="20"/>
    <n v="10"/>
    <d v="2022-07-06T00:00:00"/>
    <d v="2022-07-06T00:00:00"/>
    <n v="1.96"/>
    <n v="1960.0000000000002"/>
    <s v=""/>
    <n v="21.96"/>
    <n v="1.72"/>
    <n v="1720"/>
    <n v="-240.00000000000023"/>
    <n v="-0.12244897959183684"/>
    <n v="2.94"/>
    <n v="2940"/>
    <n v="979.99999999999977"/>
    <n v="0.49999999999999983"/>
    <m/>
    <n v="1.47"/>
    <m/>
    <n v="1.47"/>
    <n v="1470"/>
    <n v="-490.00000000000023"/>
    <n v="-0.25000000000000011"/>
    <n v="10"/>
    <d v="2022-12-30T00:00:00"/>
    <n v="17.5"/>
    <n v="10"/>
    <d v="2022-12-20T00:00:00"/>
    <d v="2022-12-20T00:00:00"/>
    <n v="0.25"/>
    <n v="10"/>
    <n v="4"/>
    <n v="250"/>
    <n v="1720"/>
    <n v="0.129"/>
    <n v="17.25"/>
    <s v=""/>
    <m/>
    <n v="2.5000000000000001E-2"/>
    <n v="0.26"/>
    <m/>
    <n v="2.5000000000000001E-2"/>
    <d v="2022-12-30T16:00:00"/>
    <b v="0"/>
    <d v="2022-12-25T00:00:00"/>
    <n v="25"/>
    <n v="0"/>
    <n v="0.26"/>
    <n v="1.4951121334100058E-2"/>
    <n v="6.3254744105807606E-3"/>
    <n v="17499.740000000002"/>
    <s v=""/>
    <s v=""/>
    <n v="17.499740000000003"/>
    <n v="0.10999999999999943"/>
    <n v="0.18367346938775481"/>
    <n v="469.93920248245797"/>
    <n v="14.344262295081968"/>
    <n v="0"/>
    <n v="0"/>
    <n v="250.11"/>
    <n v="140.94301999246991"/>
    <n v="-260"/>
    <n v="-10"/>
    <n v="-0.04"/>
    <s v="Calc"/>
    <n v="0"/>
    <n v="19.341999999999999"/>
    <n v="33.910499999999999"/>
    <m/>
    <m/>
    <n v="0"/>
    <s v=""/>
    <n v="0"/>
    <s v=""/>
    <s v="{26C1A85A-C67A-48DC-8E7F-6E0432AF41E1}"/>
    <s v=""/>
    <s v=""/>
    <s v=""/>
    <s v=""/>
    <s v="GOLD240119C00020000"/>
    <n v="1"/>
    <s v="GOLD221230C00017500"/>
    <n v="1"/>
    <s v="Y"/>
    <s v="SC LC "/>
    <x v="13"/>
    <n v="1.1209444230773065E-3"/>
  </r>
  <r>
    <s v="WM"/>
    <n v="107.28"/>
    <m/>
    <n v="91.188000000000002"/>
    <x v="90"/>
    <x v="13"/>
    <m/>
    <m/>
    <m/>
    <m/>
    <m/>
    <m/>
    <m/>
    <m/>
    <m/>
    <m/>
    <m/>
    <m/>
    <s v="BULLISH"/>
    <d v="2022-07-26T07:05:00"/>
    <d v="2022-07-26T07:05:00"/>
    <m/>
    <s v="Acquisition of Advanced Disposal"/>
    <d v="2020-09-30T00:00:00"/>
    <n v="1"/>
    <b v="1"/>
    <m/>
    <m/>
    <m/>
    <s v=""/>
    <n v="0"/>
    <n v="0"/>
    <s v=""/>
    <m/>
    <m/>
    <s v=""/>
    <s v=""/>
    <s v=""/>
    <s v=""/>
    <s v=""/>
    <m/>
    <m/>
    <n v="0"/>
    <n v="0"/>
    <n v="0"/>
    <d v="2019-03-01T00:00:00"/>
    <n v="130"/>
    <n v="110.69"/>
    <n v="0.21178225205070841"/>
    <s v=""/>
    <n v="0"/>
    <n v="0"/>
    <n v="3.1785980611483938E-2"/>
    <n v="100"/>
    <s v="max gain"/>
    <n v="96.5"/>
    <s v="ITM"/>
    <m/>
    <s v=""/>
    <m/>
    <m/>
    <m/>
    <s v=""/>
    <s v=""/>
    <m/>
    <s v=""/>
    <m/>
    <d v="2019-02-07T00:00:00"/>
    <n v="93.3"/>
    <n v="103.6"/>
    <n v="89.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5.15549999999999"/>
    <n v="209.196"/>
    <m/>
    <m/>
    <n v="0"/>
    <s v=""/>
    <n v="0"/>
    <s v=""/>
    <s v="{DB5E8FA9-6C2E-48A7-B278-ADAA646EFF7D}"/>
    <s v=""/>
    <s v=""/>
    <s v=""/>
    <s v=""/>
    <s v=""/>
    <s v=""/>
    <s v=""/>
    <s v=""/>
    <s v=""/>
    <s v=""/>
    <x v="0"/>
    <s v=""/>
  </r>
  <r>
    <s v="GRWG"/>
    <n v="21.27"/>
    <m/>
    <n v="18.079499999999999"/>
    <x v="91"/>
    <x v="1"/>
    <m/>
    <m/>
    <m/>
    <m/>
    <m/>
    <m/>
    <m/>
    <m/>
    <m/>
    <m/>
    <m/>
    <m/>
    <s v="BULLISH"/>
    <d v="2022-08-09T16:00:00"/>
    <d v="2022-08-09T16:00:00"/>
    <m/>
    <m/>
    <m/>
    <m/>
    <m/>
    <m/>
    <m/>
    <m/>
    <s v=""/>
    <n v="0"/>
    <n v="0"/>
    <s v=""/>
    <n v="60"/>
    <s v="{07/03/21 @ 08:25 AM}: _x000a_41.6"/>
    <s v=""/>
    <s v=""/>
    <s v=""/>
    <s v=""/>
    <s v=""/>
    <m/>
    <m/>
    <n v="0"/>
    <n v="0"/>
    <n v="0"/>
    <m/>
    <m/>
    <n v="59.88"/>
    <s v=""/>
    <s v=""/>
    <n v="0"/>
    <n v="0"/>
    <n v="1.8152327221438647"/>
    <m/>
    <m/>
    <m/>
    <m/>
    <m/>
    <s v=""/>
    <m/>
    <m/>
    <m/>
    <s v=""/>
    <s v=""/>
    <n v="41.45"/>
    <n v="38.548499999999997"/>
    <m/>
    <d v="2021-10-07T00:00:00"/>
    <n v="25.41"/>
    <n v="26.7"/>
    <n v="22.16"/>
    <s v="RANG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6.886000000000003"/>
    <n v="41.476500000000001"/>
    <m/>
    <m/>
    <n v="0"/>
    <s v=""/>
    <n v="0"/>
    <s v=""/>
    <m/>
    <s v=""/>
    <s v=""/>
    <s v=""/>
    <s v=""/>
    <s v=""/>
    <s v=""/>
    <s v=""/>
    <s v=""/>
    <s v=""/>
    <s v=""/>
    <x v="0"/>
    <s v=""/>
  </r>
  <r>
    <s v="AAPL"/>
    <n v="167.23"/>
    <s v="Swing"/>
    <n v="142.1455"/>
    <x v="92"/>
    <x v="3"/>
    <m/>
    <m/>
    <m/>
    <s v="DOWN"/>
    <s v="CONVERGE"/>
    <s v="NO CROSS"/>
    <s v="NO CROSS"/>
    <s v="Middle"/>
    <s v="DOWN"/>
    <s v="AVG"/>
    <s v="185 calls"/>
    <m/>
    <s v="BULLISH"/>
    <d v="2022-07-28T16:30:00"/>
    <d v="2022-07-28T16:30:00"/>
    <m/>
    <m/>
    <m/>
    <n v="2"/>
    <b v="1"/>
    <m/>
    <m/>
    <m/>
    <s v=""/>
    <n v="0"/>
    <n v="0"/>
    <s v=""/>
    <m/>
    <m/>
    <s v=""/>
    <s v=""/>
    <s v=""/>
    <s v=""/>
    <s v=""/>
    <n v="2.2799999999999998"/>
    <d v="2019-11-15T00:00:00"/>
    <n v="0"/>
    <n v="0"/>
    <n v="1.363391735932548E-2"/>
    <m/>
    <m/>
    <n v="193.49"/>
    <s v=""/>
    <s v=""/>
    <n v="0"/>
    <n v="0"/>
    <n v="0.15702924116486289"/>
    <m/>
    <m/>
    <m/>
    <m/>
    <s v="CCs"/>
    <s v=""/>
    <n v="159.5"/>
    <m/>
    <m/>
    <s v=""/>
    <s v=""/>
    <n v="152.27000000000001"/>
    <n v="141.61109999999999"/>
    <m/>
    <d v="2022-04-22T00:00:00"/>
    <n v="177.9"/>
    <n v="186.1"/>
    <n v="151.80000000000001"/>
    <s v="DECLINE"/>
    <s v="BULLISH"/>
    <m/>
    <s v=""/>
    <m/>
    <m/>
    <m/>
    <m/>
    <m/>
    <m/>
    <n v="0"/>
    <n v="0"/>
    <m/>
    <s v=""/>
    <s v=""/>
    <m/>
    <m/>
    <m/>
    <m/>
    <m/>
    <m/>
    <n v="0"/>
    <s v=""/>
    <s v=""/>
    <s v=""/>
    <s v=""/>
    <n v="0"/>
    <s v=""/>
    <n v="0"/>
    <n v="0.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3.81549999999999"/>
    <n v="326.09849999999994"/>
    <m/>
    <m/>
    <n v="0"/>
    <s v=""/>
    <n v="0"/>
    <s v=""/>
    <s v="{1BA783CE-7AF3-4306-8F08-6854743B1D17}"/>
    <s v=""/>
    <s v=""/>
    <s v=""/>
    <s v=""/>
    <s v=""/>
    <s v=""/>
    <s v=""/>
    <s v=""/>
    <s v=""/>
    <s v=""/>
    <x v="0"/>
    <s v=""/>
  </r>
  <r>
    <s v="GSK"/>
    <n v="40.47"/>
    <m/>
    <n v="34.399499999999996"/>
    <x v="93"/>
    <x v="2"/>
    <s v="Fast Money unanimous pick; possible reverse death cross showing momentum pickup and at low end of trading range. New nano medical device technology that looks exciting even at 2-5 years out"/>
    <m/>
    <m/>
    <m/>
    <m/>
    <m/>
    <m/>
    <m/>
    <m/>
    <m/>
    <m/>
    <m/>
    <m/>
    <d v="2022-07-27T00:00:00"/>
    <d v="2022-07-27T00:00:00"/>
    <m/>
    <m/>
    <m/>
    <m/>
    <m/>
    <m/>
    <m/>
    <m/>
    <s v=""/>
    <n v="0"/>
    <n v="0"/>
    <s v=""/>
    <m/>
    <m/>
    <s v=""/>
    <s v=""/>
    <s v=""/>
    <s v=""/>
    <s v=""/>
    <n v="2.31"/>
    <d v="2016-01-01T00:00:00"/>
    <n v="0"/>
    <n v="0"/>
    <n v="5.7079318013343219E-2"/>
    <d v="2015-08-10T00:00:00"/>
    <m/>
    <n v="48.25"/>
    <s v=""/>
    <s v=""/>
    <n v="0"/>
    <n v="0"/>
    <n v="0.19224116629602178"/>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5.837499999999999"/>
    <n v="78.916499999999999"/>
    <m/>
    <m/>
    <n v="0"/>
    <s v=""/>
    <n v="0"/>
    <s v=""/>
    <s v="{A18190CB-1000-4646-A354-3B0CA558F520}"/>
    <s v=""/>
    <s v=""/>
    <s v=""/>
    <s v=""/>
    <s v=""/>
    <s v=""/>
    <s v=""/>
    <s v=""/>
    <s v=""/>
    <s v=""/>
    <x v="0"/>
    <s v=""/>
  </r>
  <r>
    <s v="HUT"/>
    <n v="1.5"/>
    <s v="Swing"/>
    <n v="1.2749999999999999"/>
    <x v="83"/>
    <x v="7"/>
    <m/>
    <m/>
    <m/>
    <m/>
    <m/>
    <m/>
    <m/>
    <m/>
    <m/>
    <m/>
    <m/>
    <m/>
    <s v="Lottery"/>
    <d v="2023-02-09T00:00:00"/>
    <d v="2023-02-09T00:00:00"/>
    <m/>
    <m/>
    <m/>
    <m/>
    <m/>
    <m/>
    <m/>
    <m/>
    <s v=""/>
    <n v="0"/>
    <n v="0"/>
    <s v=""/>
    <m/>
    <m/>
    <s v=""/>
    <s v=""/>
    <s v=""/>
    <s v=""/>
    <s v=""/>
    <m/>
    <m/>
    <n v="0"/>
    <n v="0"/>
    <n v="0"/>
    <m/>
    <m/>
    <m/>
    <s v=""/>
    <s v=""/>
    <n v="0"/>
    <n v="0"/>
    <s v=""/>
    <m/>
    <m/>
    <m/>
    <m/>
    <m/>
    <s v=""/>
    <m/>
    <m/>
    <m/>
    <s v=""/>
    <s v=""/>
    <n v="8.7200000000000006"/>
    <n v="8.1096000000000004"/>
    <m/>
    <d v="2022-11-10T00:00:00"/>
    <n v="1.9"/>
    <n v="2.0699999999999998"/>
    <n v="1.4"/>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2.9249999999999998"/>
    <m/>
    <m/>
    <n v="0"/>
    <s v=""/>
    <n v="0"/>
    <s v=""/>
    <s v="{F303ADC1-DA41-47B6-8138-156AFBEB74F8}"/>
    <s v=""/>
    <s v=""/>
    <s v=""/>
    <s v=""/>
    <s v=""/>
    <s v=""/>
    <s v=""/>
    <s v=""/>
    <s v=""/>
    <s v=""/>
    <x v="0"/>
    <s v=""/>
  </r>
  <r>
    <s v="GOLD_5"/>
    <n v="17.39"/>
    <s v="Position"/>
    <n v="14.781499999999999"/>
    <x v="11"/>
    <x v="17"/>
    <m/>
    <m/>
    <m/>
    <m/>
    <m/>
    <m/>
    <m/>
    <m/>
    <m/>
    <m/>
    <m/>
    <m/>
    <s v="BULLISH"/>
    <d v="2023-02-02T00:00:00"/>
    <d v="2023-02-02T00:00:00"/>
    <m/>
    <m/>
    <m/>
    <m/>
    <m/>
    <m/>
    <m/>
    <m/>
    <s v=""/>
    <n v="0"/>
    <n v="0"/>
    <s v=""/>
    <n v="27.5"/>
    <m/>
    <s v=""/>
    <s v=""/>
    <s v=""/>
    <s v=""/>
    <s v=""/>
    <m/>
    <m/>
    <n v="0"/>
    <n v="0"/>
    <n v="0"/>
    <m/>
    <m/>
    <n v="20.36"/>
    <s v=""/>
    <s v=""/>
    <n v="0"/>
    <n v="0"/>
    <n v="0.17078780908568136"/>
    <m/>
    <m/>
    <m/>
    <m/>
    <s v="CCs"/>
    <s v=""/>
    <m/>
    <m/>
    <m/>
    <s v=""/>
    <s v=""/>
    <n v="1.87"/>
    <n v="1.7391000000000001"/>
    <n v="7"/>
    <d v="2022-12-19T00:00:00"/>
    <n v="15.5"/>
    <n v="19.5"/>
    <n v="14.2"/>
    <s v="RISE"/>
    <s v="BEARISH"/>
    <m/>
    <d v="2022-12-30T00:00:00"/>
    <m/>
    <m/>
    <m/>
    <m/>
    <m/>
    <m/>
    <n v="0"/>
    <n v="0"/>
    <m/>
    <s v=""/>
    <s v=""/>
    <m/>
    <m/>
    <m/>
    <m/>
    <m/>
    <m/>
    <n v="0"/>
    <s v=""/>
    <s v=""/>
    <s v=""/>
    <s v=""/>
    <n v="0"/>
    <s v=""/>
    <n v="0"/>
    <m/>
    <n v="0"/>
    <s v=""/>
    <s v=""/>
    <s v=""/>
    <m/>
    <n v="0"/>
    <m/>
    <s v=""/>
    <s v=""/>
    <s v=""/>
    <m/>
    <s v=""/>
    <s v=""/>
    <s v=""/>
    <s v=""/>
    <s v=""/>
    <m/>
    <m/>
    <s v=""/>
    <s v=""/>
    <s v=""/>
    <s v=""/>
    <d v="2024-01-19T00:00:00"/>
    <n v="17"/>
    <n v="10"/>
    <d v="2022-07-14T00:00:00"/>
    <d v="2022-07-14T00:00:00"/>
    <n v="2.23"/>
    <n v="2230"/>
    <s v=""/>
    <n v="19.23"/>
    <n v="2.69"/>
    <n v="2690"/>
    <n v="460"/>
    <n v="0.20627802690582961"/>
    <n v="3.3449999999999998"/>
    <n v="3344.9999999999995"/>
    <n v="1114.9999999999995"/>
    <n v="0.49999999999999978"/>
    <m/>
    <n v="1.6724999999999999"/>
    <m/>
    <n v="1.6724999999999999"/>
    <n v="1672.4999999999998"/>
    <n v="-557.50000000000023"/>
    <n v="-0.25000000000000011"/>
    <n v="10"/>
    <d v="2022-12-30T00:00:00"/>
    <n v="17.5"/>
    <n v="10"/>
    <d v="2022-12-20T00:00:00"/>
    <d v="2022-12-20T00:00:00"/>
    <n v="0.25"/>
    <n v="10"/>
    <n v="4"/>
    <n v="250"/>
    <n v="2690"/>
    <n v="0.20175000000000001"/>
    <n v="17.25"/>
    <s v=""/>
    <m/>
    <n v="2.5000000000000001E-2"/>
    <n v="0.26"/>
    <m/>
    <n v="2.5000000000000001E-2"/>
    <d v="2022-12-30T16:00:00"/>
    <b v="0"/>
    <d v="2022-12-25T00:00:00"/>
    <n v="25"/>
    <n v="0"/>
    <n v="0.26"/>
    <n v="1.4951121334100058E-2"/>
    <n v="6.3254744105807606E-3"/>
    <n v="17499.740000000002"/>
    <s v=""/>
    <s v=""/>
    <n v="17.499740000000003"/>
    <n v="0.10999999999999943"/>
    <n v="0.16143497757847508"/>
    <n v="234.67520184548925"/>
    <n v="9.3582887700534751"/>
    <n v="0"/>
    <n v="0"/>
    <n v="250.11"/>
    <n v="24.663295312728714"/>
    <n v="-260"/>
    <n v="-10"/>
    <n v="-0.04"/>
    <s v="Calc"/>
    <n v="0"/>
    <n v="19.341999999999999"/>
    <n v="33.910499999999999"/>
    <m/>
    <m/>
    <n v="0"/>
    <s v=""/>
    <n v="0"/>
    <s v=""/>
    <s v="{650338CB-CDA4-493F-9506-B2FE0FD0F429}"/>
    <s v=""/>
    <s v=""/>
    <s v=""/>
    <s v=""/>
    <s v="GOLD240119C00017000"/>
    <n v="1"/>
    <s v="GOLD221230C00017500"/>
    <n v="1"/>
    <s v="Y"/>
    <s v="SC LC "/>
    <x v="14"/>
    <n v="1.2979356477737232E-3"/>
  </r>
  <r>
    <s v="HALO"/>
    <n v="50"/>
    <m/>
    <n v="42.5"/>
    <x v="23"/>
    <x v="2"/>
    <m/>
    <m/>
    <m/>
    <m/>
    <m/>
    <m/>
    <m/>
    <m/>
    <m/>
    <m/>
    <m/>
    <m/>
    <m/>
    <d v="2022-07-18T07:30:00"/>
    <d v="2022-07-18T07:30:00"/>
    <s v="Confirmed"/>
    <m/>
    <m/>
    <m/>
    <m/>
    <m/>
    <m/>
    <m/>
    <s v=""/>
    <n v="0"/>
    <n v="0"/>
    <s v=""/>
    <n v="60"/>
    <n v="43"/>
    <s v=""/>
    <s v=""/>
    <s v=""/>
    <s v=""/>
    <s v=""/>
    <m/>
    <m/>
    <n v="0"/>
    <n v="0"/>
    <n v="0"/>
    <m/>
    <m/>
    <n v="47.67"/>
    <s v=""/>
    <s v=""/>
    <n v="0"/>
    <n v="0"/>
    <n v="-4.6599999999999968E-2"/>
    <m/>
    <m/>
    <m/>
    <m/>
    <m/>
    <s v=""/>
    <m/>
    <m/>
    <m/>
    <s v=""/>
    <s v=""/>
    <n v="48.42"/>
    <n v="45.0306"/>
    <m/>
    <d v="2022-07-11T00:00:00"/>
    <n v="49.51"/>
    <n v="58.72"/>
    <n v="46.04"/>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5.286499999999997"/>
    <n v="97.5"/>
    <m/>
    <m/>
    <n v="0"/>
    <s v=""/>
    <n v="0"/>
    <s v=""/>
    <m/>
    <s v=""/>
    <s v=""/>
    <s v=""/>
    <s v=""/>
    <s v=""/>
    <s v=""/>
    <s v=""/>
    <s v=""/>
    <s v=""/>
    <s v=""/>
    <x v="0"/>
    <s v=""/>
  </r>
  <r>
    <s v="HAS"/>
    <n v="114.53"/>
    <m/>
    <n v="97.350499999999997"/>
    <x v="94"/>
    <x v="12"/>
    <m/>
    <m/>
    <m/>
    <m/>
    <m/>
    <m/>
    <m/>
    <m/>
    <m/>
    <m/>
    <m/>
    <m/>
    <s v="BULLISH"/>
    <d v="2022-07-19T06:30:00"/>
    <d v="2022-07-19T06:30:00"/>
    <m/>
    <m/>
    <m/>
    <m/>
    <m/>
    <m/>
    <m/>
    <m/>
    <s v=""/>
    <n v="0"/>
    <n v="0"/>
    <s v=""/>
    <m/>
    <m/>
    <s v=""/>
    <s v=""/>
    <s v=""/>
    <s v=""/>
    <s v=""/>
    <m/>
    <m/>
    <n v="0"/>
    <n v="0"/>
    <n v="0"/>
    <m/>
    <m/>
    <n v="91.67"/>
    <s v=""/>
    <s v=""/>
    <n v="0"/>
    <n v="0"/>
    <n v="-0.19959835850868768"/>
    <n v="115"/>
    <s v="max gain"/>
    <n v="105"/>
    <s v="max loss"/>
    <s v="BuCS"/>
    <s v=""/>
    <m/>
    <m/>
    <m/>
    <s v=""/>
    <s v=""/>
    <m/>
    <s v=""/>
    <m/>
    <d v="2019-07-23T00:00:00"/>
    <n v="112.4"/>
    <n v="125"/>
    <n v="109.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7.086500000000001"/>
    <n v="223.33349999999999"/>
    <m/>
    <m/>
    <n v="0"/>
    <s v=""/>
    <n v="0"/>
    <s v=""/>
    <s v="{FDA4BE7D-5FB8-46BF-9A03-BB8B86FEE8C7}"/>
    <s v=""/>
    <s v=""/>
    <s v=""/>
    <s v=""/>
    <s v=""/>
    <s v=""/>
    <s v=""/>
    <s v=""/>
    <s v=""/>
    <s v=""/>
    <x v="0"/>
    <s v=""/>
  </r>
  <r>
    <s v="HD"/>
    <n v="265.31"/>
    <m/>
    <n v="225.51349999999999"/>
    <x v="95"/>
    <x v="8"/>
    <m/>
    <m/>
    <m/>
    <m/>
    <m/>
    <m/>
    <m/>
    <m/>
    <m/>
    <m/>
    <m/>
    <m/>
    <s v="BULLISH"/>
    <d v="2022-08-16T06:00:00"/>
    <d v="2022-08-16T06:00:00"/>
    <m/>
    <m/>
    <m/>
    <m/>
    <b v="1"/>
    <m/>
    <m/>
    <m/>
    <s v=""/>
    <n v="0"/>
    <n v="0"/>
    <s v=""/>
    <m/>
    <m/>
    <s v=""/>
    <s v=""/>
    <s v=""/>
    <s v=""/>
    <s v=""/>
    <n v="2.76"/>
    <d v="2017-03-15T00:00:00"/>
    <n v="0"/>
    <n v="0"/>
    <n v="1.0402924880328672E-2"/>
    <d v="2019-05-27T00:00:00"/>
    <n v="230"/>
    <n v="255.74"/>
    <n v="-0.133089593305944"/>
    <s v=""/>
    <n v="0"/>
    <n v="0"/>
    <n v="-3.6071011269835258E-2"/>
    <m/>
    <m/>
    <m/>
    <m/>
    <m/>
    <s v=""/>
    <m/>
    <m/>
    <m/>
    <s v=""/>
    <s v=""/>
    <m/>
    <s v=""/>
    <m/>
    <d v="2019-10-08T00:00:00"/>
    <n v="219.9"/>
    <n v="240.4"/>
    <n v="213.6"/>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2.953"/>
    <n v="517.35450000000003"/>
    <m/>
    <m/>
    <n v="0"/>
    <s v=""/>
    <n v="0"/>
    <s v=""/>
    <s v="{E3D2239A-4F6C-4BB4-8C5B-ABE3A59B098C}"/>
    <s v=""/>
    <s v=""/>
    <s v=""/>
    <s v=""/>
    <s v=""/>
    <s v=""/>
    <s v=""/>
    <s v=""/>
    <s v=""/>
    <s v=""/>
    <x v="0"/>
    <s v=""/>
  </r>
  <r>
    <s v="HIBB"/>
    <n v="33.07"/>
    <m/>
    <n v="28.109500000000001"/>
    <x v="1"/>
    <x v="1"/>
    <m/>
    <m/>
    <m/>
    <m/>
    <m/>
    <m/>
    <m/>
    <m/>
    <m/>
    <m/>
    <m/>
    <m/>
    <m/>
    <d v="2022-08-26T06:30:00"/>
    <d v="2022-08-26T06:30:00"/>
    <m/>
    <m/>
    <m/>
    <m/>
    <m/>
    <m/>
    <m/>
    <m/>
    <s v=""/>
    <n v="0"/>
    <n v="0"/>
    <s v=""/>
    <m/>
    <m/>
    <s v=""/>
    <s v=""/>
    <s v=""/>
    <s v=""/>
    <s v=""/>
    <m/>
    <m/>
    <n v="0"/>
    <n v="0"/>
    <n v="0"/>
    <m/>
    <m/>
    <n v="29.5"/>
    <s v=""/>
    <s v=""/>
    <n v="0"/>
    <n v="0"/>
    <n v="-0.10795282733595404"/>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8.024999999999999"/>
    <n v="64.486499999999992"/>
    <m/>
    <m/>
    <n v="0"/>
    <s v=""/>
    <n v="0"/>
    <s v=""/>
    <m/>
    <s v=""/>
    <s v=""/>
    <s v=""/>
    <s v=""/>
    <s v=""/>
    <s v=""/>
    <s v=""/>
    <s v=""/>
    <s v=""/>
    <s v=""/>
    <x v="0"/>
    <s v=""/>
  </r>
  <r>
    <s v="HIG"/>
    <n v="58.6"/>
    <m/>
    <n v="49.81"/>
    <x v="96"/>
    <x v="7"/>
    <s v="re-rate potential based on life ins. M&amp;A"/>
    <m/>
    <m/>
    <m/>
    <m/>
    <m/>
    <m/>
    <m/>
    <m/>
    <m/>
    <m/>
    <m/>
    <m/>
    <d v="2022-07-28T16:15:00"/>
    <d v="2022-07-28T16:15:00"/>
    <m/>
    <m/>
    <m/>
    <m/>
    <m/>
    <m/>
    <m/>
    <m/>
    <s v=""/>
    <n v="0"/>
    <n v="0"/>
    <s v=""/>
    <m/>
    <m/>
    <s v=""/>
    <s v=""/>
    <s v=""/>
    <s v=""/>
    <s v=""/>
    <n v="0.84"/>
    <d v="2016-01-01T00:00:00"/>
    <n v="0"/>
    <n v="0"/>
    <n v="1.4334470989761091E-2"/>
    <d v="2015-08-26T00:00:00"/>
    <m/>
    <n v="54.5"/>
    <s v=""/>
    <s v=""/>
    <n v="0"/>
    <n v="0"/>
    <n v="-6.9965870307167263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1.774999999999999"/>
    <n v="114.27"/>
    <m/>
    <n v="38.880000000000003"/>
    <n v="0"/>
    <s v=""/>
    <n v="0"/>
    <s v=""/>
    <s v="{D173FEA7-855A-4798-8898-C0EFE8DCCEF9}"/>
    <s v=""/>
    <s v=""/>
    <s v=""/>
    <s v=""/>
    <s v=""/>
    <s v=""/>
    <s v=""/>
    <s v=""/>
    <s v=""/>
    <s v=""/>
    <x v="0"/>
    <s v=""/>
  </r>
  <r>
    <s v="HL"/>
    <n v="6.03"/>
    <m/>
    <n v="5.1254999999999997"/>
    <x v="11"/>
    <x v="0"/>
    <m/>
    <m/>
    <m/>
    <m/>
    <m/>
    <m/>
    <m/>
    <m/>
    <m/>
    <m/>
    <m/>
    <m/>
    <m/>
    <d v="2022-08-09T03:30:00"/>
    <d v="2022-08-09T03:30:00"/>
    <m/>
    <m/>
    <m/>
    <m/>
    <m/>
    <m/>
    <m/>
    <m/>
    <s v=""/>
    <n v="0"/>
    <n v="0"/>
    <s v=""/>
    <m/>
    <m/>
    <s v=""/>
    <s v=""/>
    <s v=""/>
    <s v=""/>
    <s v=""/>
    <m/>
    <m/>
    <n v="0"/>
    <n v="0"/>
    <n v="0"/>
    <m/>
    <m/>
    <n v="5.9"/>
    <s v=""/>
    <s v=""/>
    <n v="0"/>
    <n v="0"/>
    <n v="-2.1558872305140944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6050000000000004"/>
    <n v="11.7585"/>
    <m/>
    <m/>
    <n v="0"/>
    <s v=""/>
    <n v="0"/>
    <s v=""/>
    <m/>
    <s v=""/>
    <s v=""/>
    <s v=""/>
    <s v=""/>
    <s v=""/>
    <s v=""/>
    <s v=""/>
    <s v=""/>
    <s v=""/>
    <s v=""/>
    <x v="0"/>
    <s v=""/>
  </r>
  <r>
    <s v="HON"/>
    <n v="149.43"/>
    <m/>
    <n v="127.0155"/>
    <x v="49"/>
    <x v="13"/>
    <s v="Cramer is buying CEO Dave Cole and his commitment to drive shareholder value via M&amp;A and/or buybacks. EW has strong buy listing. Pretty strong support down at 101.47 too."/>
    <m/>
    <m/>
    <m/>
    <m/>
    <m/>
    <m/>
    <m/>
    <m/>
    <m/>
    <m/>
    <m/>
    <s v="BULLISH"/>
    <d v="2022-07-29T06:30:00"/>
    <d v="2022-07-29T06:30:00"/>
    <m/>
    <s v="spinoff Homes &amp; Transportation Services div, aerospace growth"/>
    <m/>
    <m/>
    <b v="1"/>
    <n v="3"/>
    <m/>
    <m/>
    <s v=""/>
    <n v="0"/>
    <n v="0"/>
    <s v=""/>
    <m/>
    <m/>
    <s v=""/>
    <s v=""/>
    <s v=""/>
    <s v=""/>
    <s v=""/>
    <n v="2.52"/>
    <d v="2019-12-06T00:00:00"/>
    <n v="0"/>
    <n v="0"/>
    <n v="1.6864083517365989E-2"/>
    <d v="2019-11-15T00:00:00"/>
    <n v="175"/>
    <n v="157.85"/>
    <n v="0.17111691092819376"/>
    <s v=""/>
    <n v="0"/>
    <n v="0"/>
    <n v="5.6347453657230727E-2"/>
    <m/>
    <m/>
    <m/>
    <m/>
    <m/>
    <s v=""/>
    <m/>
    <m/>
    <m/>
    <s v=""/>
    <s v=""/>
    <m/>
    <s v=""/>
    <m/>
    <d v="2019-10-08T00:00:00"/>
    <n v="165.4"/>
    <n v="170.7"/>
    <n v="149.5"/>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9.95749999999998"/>
    <n v="291.38850000000002"/>
    <m/>
    <m/>
    <n v="0"/>
    <s v=""/>
    <n v="0"/>
    <s v=""/>
    <s v="{54C65AEA-CAF4-4A32-84DF-BE67C8389CA3}"/>
    <s v=""/>
    <s v=""/>
    <s v=""/>
    <s v=""/>
    <s v=""/>
    <s v=""/>
    <s v=""/>
    <s v=""/>
    <s v=""/>
    <s v=""/>
    <x v="0"/>
    <s v=""/>
  </r>
  <r>
    <s v="HRB"/>
    <n v="27.47"/>
    <m/>
    <n v="23.349499999999999"/>
    <x v="97"/>
    <x v="8"/>
    <m/>
    <m/>
    <m/>
    <m/>
    <m/>
    <m/>
    <m/>
    <m/>
    <m/>
    <m/>
    <m/>
    <m/>
    <s v="BULLISH"/>
    <d v="2022-07-29T06:30:00"/>
    <d v="2022-07-29T06:30:00"/>
    <m/>
    <m/>
    <m/>
    <m/>
    <m/>
    <m/>
    <m/>
    <m/>
    <s v=""/>
    <n v="0"/>
    <n v="0"/>
    <s v=""/>
    <m/>
    <m/>
    <s v=""/>
    <s v=""/>
    <s v=""/>
    <s v=""/>
    <s v=""/>
    <n v="0.88"/>
    <d v="2017-01-03T00:00:00"/>
    <n v="0"/>
    <n v="0"/>
    <n v="3.2034947215143793E-2"/>
    <d v="2016-12-08T00:00:00"/>
    <m/>
    <n v="17.329999999999998"/>
    <s v=""/>
    <s v=""/>
    <n v="0"/>
    <n v="0"/>
    <n v="-0.36912995995631603"/>
    <n v="26"/>
    <s v="ITM"/>
    <n v="23"/>
    <s v="Assignment"/>
    <m/>
    <s v=""/>
    <m/>
    <m/>
    <m/>
    <s v=""/>
    <s v=""/>
    <m/>
    <s v=""/>
    <m/>
    <d v="2016-10-12T00:00:00"/>
    <n v="21.6"/>
    <n v="25.7"/>
    <n v="20.2"/>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463499999999996"/>
    <n v="53.566499999999998"/>
    <m/>
    <m/>
    <n v="0"/>
    <s v=""/>
    <n v="0"/>
    <s v=""/>
    <s v="{272CADD7-405B-47DF-8D0E-B556C7F51C9F}"/>
    <s v=""/>
    <s v=""/>
    <s v=""/>
    <s v=""/>
    <s v=""/>
    <s v=""/>
    <s v=""/>
    <s v=""/>
    <s v=""/>
    <s v=""/>
    <x v="0"/>
    <s v=""/>
  </r>
  <r>
    <s v="HSBC"/>
    <n v="37.78"/>
    <m/>
    <n v="32.113"/>
    <x v="56"/>
    <x v="7"/>
    <m/>
    <m/>
    <m/>
    <m/>
    <m/>
    <m/>
    <m/>
    <m/>
    <m/>
    <m/>
    <m/>
    <m/>
    <s v="BULLISH"/>
    <d v="2022-07-26T00:00:00"/>
    <d v="2022-07-26T00:00:00"/>
    <m/>
    <m/>
    <m/>
    <m/>
    <m/>
    <m/>
    <m/>
    <m/>
    <s v=""/>
    <n v="0"/>
    <n v="0"/>
    <s v=""/>
    <m/>
    <m/>
    <s v=""/>
    <s v=""/>
    <s v=""/>
    <s v=""/>
    <s v=""/>
    <n v="2"/>
    <d v="2016-09-28T00:00:00"/>
    <n v="0"/>
    <n v="0"/>
    <n v="5.293806246691371E-2"/>
    <d v="2016-11-08T00:00:00"/>
    <m/>
    <n v="28.47"/>
    <s v=""/>
    <s v=""/>
    <n v="0"/>
    <n v="0"/>
    <n v="-0.24642668078348337"/>
    <m/>
    <m/>
    <m/>
    <m/>
    <m/>
    <s v=""/>
    <m/>
    <m/>
    <m/>
    <s v=""/>
    <s v=""/>
    <m/>
    <s v=""/>
    <m/>
    <d v="2016-09-20T00:00:00"/>
    <n v="36.700000000000003"/>
    <n v="40"/>
    <n v="35.6"/>
    <s v="LTD RISE"/>
    <s v="RANGE"/>
    <m/>
    <s v=""/>
    <m/>
    <m/>
    <m/>
    <m/>
    <m/>
    <m/>
    <m/>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7.046499999999998"/>
    <n v="73.671000000000006"/>
    <m/>
    <m/>
    <n v="0"/>
    <s v=""/>
    <n v="0"/>
    <s v=""/>
    <s v="{FF9D9E4D-9A21-4303-BBA4-578561BCF15C}"/>
    <s v=""/>
    <s v=""/>
    <s v=""/>
    <s v=""/>
    <s v=""/>
    <s v=""/>
    <s v=""/>
    <s v=""/>
    <s v=""/>
    <s v=""/>
    <x v="0"/>
    <s v=""/>
  </r>
  <r>
    <s v="IIPR"/>
    <n v="112.8"/>
    <s v="Div"/>
    <n v="95.88"/>
    <x v="98"/>
    <x v="7"/>
    <m/>
    <m/>
    <m/>
    <m/>
    <m/>
    <m/>
    <m/>
    <m/>
    <m/>
    <m/>
    <m/>
    <m/>
    <s v="Lottery"/>
    <d v="2023-02-01T00:00:00"/>
    <d v="2023-02-01T00:00:00"/>
    <m/>
    <m/>
    <m/>
    <m/>
    <m/>
    <m/>
    <m/>
    <m/>
    <s v=""/>
    <n v="0"/>
    <n v="0"/>
    <s v=""/>
    <m/>
    <m/>
    <s v=""/>
    <s v=""/>
    <s v=""/>
    <s v=""/>
    <s v=""/>
    <m/>
    <m/>
    <n v="0"/>
    <n v="0"/>
    <n v="0"/>
    <m/>
    <m/>
    <n v="227"/>
    <s v=""/>
    <s v=""/>
    <n v="0"/>
    <n v="0"/>
    <n v="1.0124113475177305"/>
    <m/>
    <m/>
    <m/>
    <m/>
    <m/>
    <s v=""/>
    <m/>
    <m/>
    <m/>
    <s v=""/>
    <s v=""/>
    <n v="256.2"/>
    <n v="238.26599999999996"/>
    <m/>
    <d v="2022-11-11T00:00:00"/>
    <n v="99"/>
    <n v="138.19999999999999"/>
    <n v="87.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15.64999999999998"/>
    <n v="219.95999999999998"/>
    <m/>
    <m/>
    <n v="0"/>
    <s v=""/>
    <n v="0"/>
    <s v=""/>
    <s v="{C2F21FB6-DB2A-4563-A061-47B3461FA112}"/>
    <s v=""/>
    <s v=""/>
    <s v=""/>
    <s v=""/>
    <s v=""/>
    <s v=""/>
    <s v=""/>
    <s v=""/>
    <s v=""/>
    <s v=""/>
    <x v="0"/>
    <s v=""/>
  </r>
  <r>
    <s v="I"/>
    <n v="12.13"/>
    <m/>
    <n v="10.310500000000001"/>
    <x v="99"/>
    <x v="3"/>
    <m/>
    <m/>
    <m/>
    <m/>
    <m/>
    <m/>
    <m/>
    <m/>
    <m/>
    <m/>
    <m/>
    <m/>
    <m/>
    <d v="2022-07-26T16:05:00"/>
    <d v="2022-07-26T16:05:00"/>
    <m/>
    <m/>
    <m/>
    <m/>
    <m/>
    <m/>
    <m/>
    <m/>
    <s v=""/>
    <n v="0"/>
    <n v="0"/>
    <s v=""/>
    <m/>
    <m/>
    <s v=""/>
    <s v=""/>
    <s v=""/>
    <s v=""/>
    <s v=""/>
    <m/>
    <m/>
    <n v="0"/>
    <n v="0"/>
    <n v="0"/>
    <m/>
    <m/>
    <n v="8.99"/>
    <s v=""/>
    <s v=""/>
    <n v="0"/>
    <n v="0"/>
    <n v="-0.2588623248145094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5404999999999998"/>
    <n v="23.653500000000001"/>
    <m/>
    <m/>
    <n v="0"/>
    <s v=""/>
    <n v="0"/>
    <s v=""/>
    <s v="{2E5E51DA-1A9C-4DCE-8D4C-BE8DCF76B3FC}"/>
    <s v=""/>
    <s v=""/>
    <s v=""/>
    <s v=""/>
    <s v=""/>
    <s v=""/>
    <s v=""/>
    <s v=""/>
    <s v=""/>
    <s v=""/>
    <x v="0"/>
    <s v=""/>
  </r>
  <r>
    <s v="IBB"/>
    <n v="105.48"/>
    <m/>
    <n v="89.658000000000001"/>
    <x v="100"/>
    <x v="2"/>
    <m/>
    <m/>
    <m/>
    <m/>
    <m/>
    <m/>
    <m/>
    <m/>
    <m/>
    <m/>
    <m/>
    <m/>
    <s v="BULLISH"/>
    <d v="2022-07-26T16:05:00"/>
    <d v="2022-07-26T16:05:00"/>
    <m/>
    <m/>
    <s v="prayer"/>
    <m/>
    <m/>
    <n v="2"/>
    <m/>
    <m/>
    <s v=""/>
    <n v="0"/>
    <n v="0"/>
    <s v=""/>
    <m/>
    <m/>
    <s v=""/>
    <s v=""/>
    <s v=""/>
    <s v=""/>
    <s v=""/>
    <m/>
    <m/>
    <n v="0"/>
    <n v="0"/>
    <n v="0"/>
    <m/>
    <m/>
    <s v="-"/>
    <s v=""/>
    <s v=""/>
    <n v="0"/>
    <n v="0"/>
    <s v=""/>
    <n v="125"/>
    <s v="assignment"/>
    <n v="113"/>
    <s v="Assignment"/>
    <m/>
    <s v=""/>
    <m/>
    <m/>
    <m/>
    <s v=""/>
    <s v=""/>
    <m/>
    <s v=""/>
    <m/>
    <d v="2018-09-07T00:00:00"/>
    <n v="115.7"/>
    <n v="126.5"/>
    <n v="112.6"/>
    <s v="RISE"/>
    <s v="BULLISH"/>
    <m/>
    <s v=""/>
    <m/>
    <m/>
    <m/>
    <m/>
    <m/>
    <m/>
    <n v="0"/>
    <n v="0"/>
    <m/>
    <s v=""/>
    <s v=""/>
    <m/>
    <m/>
    <m/>
    <m/>
    <m/>
    <m/>
    <n v="0"/>
    <s v=""/>
    <s v=""/>
    <s v=""/>
    <s v=""/>
    <n v="0"/>
    <s v=""/>
    <n v="0"/>
    <m/>
    <n v="0"/>
    <s v=""/>
    <s v=""/>
    <s v=""/>
    <n v="0.75"/>
    <n v="0"/>
    <m/>
    <s v=""/>
    <s v=""/>
    <b v="0"/>
    <d v="2018-09-21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05.68600000000001"/>
    <m/>
    <m/>
    <n v="0"/>
    <s v=""/>
    <n v="0"/>
    <s v=""/>
    <s v="{7B2FB7E3-5E8E-4C22-A26D-412EBC3F1101}"/>
    <s v=""/>
    <s v=""/>
    <s v=""/>
    <s v=""/>
    <s v=""/>
    <s v=""/>
    <s v=""/>
    <s v=""/>
    <s v=""/>
    <s v=""/>
    <x v="0"/>
    <s v=""/>
  </r>
  <r>
    <s v="IBM"/>
    <n v="136.13"/>
    <m/>
    <n v="115.7105"/>
    <x v="7"/>
    <x v="3"/>
    <m/>
    <m/>
    <m/>
    <m/>
    <m/>
    <m/>
    <m/>
    <m/>
    <m/>
    <m/>
    <m/>
    <m/>
    <m/>
    <d v="2022-07-19T16:10:00"/>
    <d v="2022-07-19T16:10:00"/>
    <m/>
    <m/>
    <m/>
    <m/>
    <m/>
    <m/>
    <m/>
    <m/>
    <s v=""/>
    <n v="0"/>
    <n v="0"/>
    <s v=""/>
    <m/>
    <m/>
    <s v=""/>
    <s v=""/>
    <s v=""/>
    <s v=""/>
    <s v=""/>
    <n v="5.2"/>
    <d v="2015-12-10T00:00:00"/>
    <n v="0"/>
    <n v="0"/>
    <n v="3.8198780577389263E-2"/>
    <d v="2015-08-04T00:00:00"/>
    <m/>
    <n v="131.61000000000001"/>
    <s v=""/>
    <s v=""/>
    <n v="0"/>
    <n v="0"/>
    <n v="-3.3203555424961298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5.02950000000001"/>
    <n v="265.45349999999996"/>
    <m/>
    <m/>
    <n v="0"/>
    <s v=""/>
    <n v="0"/>
    <s v=""/>
    <s v="{77492510-552B-47C8-9C51-4037E8C632EB}"/>
    <s v=""/>
    <s v=""/>
    <s v=""/>
    <s v=""/>
    <s v=""/>
    <s v=""/>
    <s v=""/>
    <s v=""/>
    <s v=""/>
    <s v=""/>
    <x v="0"/>
    <s v=""/>
  </r>
  <r>
    <s v="GOLD_6"/>
    <n v="17.39"/>
    <s v="Position"/>
    <n v="14.781499999999999"/>
    <x v="11"/>
    <x v="17"/>
    <m/>
    <m/>
    <m/>
    <m/>
    <m/>
    <m/>
    <m/>
    <m/>
    <m/>
    <m/>
    <m/>
    <m/>
    <s v="BULLISH"/>
    <d v="2023-02-02T00:00:00"/>
    <d v="2023-02-02T00:00:00"/>
    <m/>
    <m/>
    <m/>
    <m/>
    <m/>
    <m/>
    <m/>
    <m/>
    <s v=""/>
    <n v="0"/>
    <n v="0"/>
    <s v=""/>
    <n v="27.5"/>
    <m/>
    <s v=""/>
    <s v=""/>
    <s v=""/>
    <s v=""/>
    <s v=""/>
    <m/>
    <m/>
    <n v="0"/>
    <n v="0"/>
    <n v="0"/>
    <m/>
    <m/>
    <n v="20.36"/>
    <s v=""/>
    <s v=""/>
    <n v="0"/>
    <n v="0"/>
    <n v="0.17078780908568136"/>
    <m/>
    <m/>
    <m/>
    <m/>
    <s v="CCs"/>
    <s v=""/>
    <m/>
    <m/>
    <m/>
    <s v=""/>
    <s v=""/>
    <n v="5.27"/>
    <n v="4.9010999999999996"/>
    <n v="8"/>
    <d v="2022-12-19T00:00:00"/>
    <n v="15.5"/>
    <n v="19.5"/>
    <n v="14.2"/>
    <s v="RISE"/>
    <s v="BEARISH"/>
    <m/>
    <d v="2022-12-30T00:00:00"/>
    <m/>
    <m/>
    <m/>
    <m/>
    <m/>
    <m/>
    <n v="0"/>
    <n v="0"/>
    <m/>
    <s v=""/>
    <s v=""/>
    <m/>
    <m/>
    <m/>
    <m/>
    <m/>
    <m/>
    <n v="0"/>
    <s v=""/>
    <s v=""/>
    <s v=""/>
    <s v=""/>
    <n v="0"/>
    <s v=""/>
    <n v="0"/>
    <m/>
    <n v="0"/>
    <s v=""/>
    <s v=""/>
    <s v=""/>
    <m/>
    <n v="0"/>
    <m/>
    <s v=""/>
    <s v=""/>
    <s v=""/>
    <m/>
    <s v=""/>
    <s v=""/>
    <s v=""/>
    <s v=""/>
    <s v=""/>
    <m/>
    <m/>
    <s v=""/>
    <s v=""/>
    <s v=""/>
    <s v=""/>
    <d v="2025-01-17T00:00:00"/>
    <n v="10"/>
    <n v="20"/>
    <d v="2022-09-23T00:00:00"/>
    <d v="2022-09-23T00:00:00"/>
    <n v="5.45"/>
    <n v="10900"/>
    <s v=""/>
    <n v="15.45"/>
    <n v="7.15"/>
    <n v="14300"/>
    <n v="3400"/>
    <n v="0.31192660550458717"/>
    <n v="8.1750000000000007"/>
    <n v="16350"/>
    <n v="5450"/>
    <n v="0.5"/>
    <m/>
    <n v="4.0875000000000004"/>
    <m/>
    <n v="4.0875000000000004"/>
    <n v="8175"/>
    <n v="-2725"/>
    <n v="-0.25"/>
    <n v="20"/>
    <d v="2022-12-30T00:00:00"/>
    <n v="17.5"/>
    <n v="20"/>
    <d v="2022-12-20T00:00:00"/>
    <d v="2022-12-20T00:00:00"/>
    <n v="0.25"/>
    <n v="10"/>
    <n v="4"/>
    <n v="500"/>
    <n v="14300"/>
    <n v="0.53625"/>
    <n v="17.25"/>
    <s v=""/>
    <m/>
    <n v="2.5000000000000001E-2"/>
    <n v="0.26"/>
    <m/>
    <n v="2.5000000000000001E-2"/>
    <d v="2022-12-30T16:00:00"/>
    <b v="0"/>
    <d v="2022-12-25T00:00:00"/>
    <n v="50"/>
    <n v="0"/>
    <n v="0.26"/>
    <n v="1.4951121334100058E-2"/>
    <n v="6.3254744105807606E-3"/>
    <n v="34999.74"/>
    <s v=""/>
    <s v=""/>
    <n v="17.499869999999998"/>
    <n v="0.10999999999999943"/>
    <n v="6.6055045871559526E-2"/>
    <n v="9.3265796500554004"/>
    <n v="3.3206831119544593"/>
    <n v="0"/>
    <n v="0"/>
    <n v="500.11"/>
    <n v="2.5067520621855648"/>
    <n v="-520"/>
    <n v="-20"/>
    <n v="-0.04"/>
    <s v="Calc"/>
    <n v="0"/>
    <n v="19.341999999999999"/>
    <n v="33.910499999999999"/>
    <m/>
    <m/>
    <n v="0"/>
    <s v=""/>
    <n v="0"/>
    <s v=""/>
    <s v="{0138F754-8769-40A8-A260-86FB437A9898}"/>
    <s v=""/>
    <s v=""/>
    <s v=""/>
    <s v=""/>
    <s v="GOLD250117C00010000"/>
    <n v="1"/>
    <s v="GOLD221230C00017500"/>
    <n v="1"/>
    <s v="Y"/>
    <s v="SC LC "/>
    <x v="15"/>
    <n v="6.8174397660842028E-3"/>
  </r>
  <r>
    <s v="INMD"/>
    <n v="48.23"/>
    <m/>
    <n v="40.995499999999993"/>
    <x v="101"/>
    <x v="2"/>
    <m/>
    <m/>
    <m/>
    <m/>
    <m/>
    <m/>
    <m/>
    <m/>
    <m/>
    <m/>
    <m/>
    <m/>
    <s v="BULLISH"/>
    <d v="2022-08-01T07:00:00"/>
    <d v="2022-08-01T07:00:00"/>
    <m/>
    <m/>
    <m/>
    <m/>
    <m/>
    <m/>
    <m/>
    <m/>
    <s v=""/>
    <n v="0"/>
    <n v="0"/>
    <s v=""/>
    <m/>
    <m/>
    <s v=""/>
    <s v=""/>
    <s v=""/>
    <s v=""/>
    <s v=""/>
    <m/>
    <m/>
    <n v="0"/>
    <n v="0"/>
    <n v="0"/>
    <m/>
    <m/>
    <n v="42.5"/>
    <s v=""/>
    <s v=""/>
    <n v="0"/>
    <n v="0"/>
    <n v="-0.11880572257930742"/>
    <n v="50"/>
    <s v="T1"/>
    <m/>
    <m/>
    <m/>
    <s v=""/>
    <m/>
    <m/>
    <m/>
    <s v=""/>
    <s v=""/>
    <n v="43.48"/>
    <n v="40.436399999999992"/>
    <m/>
    <d v="2020-01-29T00:00:00"/>
    <n v="42.28"/>
    <n v="49.95"/>
    <n v="29.7"/>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0.375"/>
    <n v="94.04849999999999"/>
    <m/>
    <m/>
    <n v="0"/>
    <s v=""/>
    <n v="0"/>
    <s v=""/>
    <s v="{5AF32A47-6971-4132-AD7B-9BACB0BE397D}"/>
    <s v=""/>
    <s v=""/>
    <s v=""/>
    <s v=""/>
    <s v=""/>
    <s v=""/>
    <s v=""/>
    <s v=""/>
    <s v=""/>
    <s v=""/>
    <x v="0"/>
    <s v=""/>
  </r>
  <r>
    <s v="INTC"/>
    <n v="45.98"/>
    <m/>
    <n v="39.082999999999998"/>
    <x v="102"/>
    <x v="3"/>
    <m/>
    <m/>
    <m/>
    <m/>
    <m/>
    <m/>
    <m/>
    <m/>
    <m/>
    <m/>
    <m/>
    <m/>
    <s v="BULLISH"/>
    <d v="2022-07-28T16:00:00"/>
    <d v="2022-07-28T16:00:00"/>
    <m/>
    <m/>
    <m/>
    <m/>
    <m/>
    <n v="2"/>
    <m/>
    <m/>
    <s v=""/>
    <n v="0"/>
    <n v="0"/>
    <s v=""/>
    <m/>
    <m/>
    <s v=""/>
    <s v=""/>
    <s v=""/>
    <s v=""/>
    <s v=""/>
    <n v="1.0900000000000001"/>
    <d v="2017-09-01T00:00:00"/>
    <n v="0"/>
    <n v="0"/>
    <n v="2.370595911265768E-2"/>
    <d v="2019-08-06T00:00:00"/>
    <m/>
    <n v="63.1"/>
    <s v=""/>
    <s v=""/>
    <n v="0"/>
    <n v="0"/>
    <n v="0.37233579817311885"/>
    <n v="49"/>
    <s v="free money"/>
    <n v="49"/>
    <s v="Assignment"/>
    <m/>
    <s v=""/>
    <m/>
    <m/>
    <m/>
    <s v=""/>
    <s v=""/>
    <m/>
    <s v=""/>
    <m/>
    <d v="2019-07-15T00:00:00"/>
    <n v="48.3"/>
    <n v="53.6"/>
    <n v="46.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59.945"/>
    <n v="89.660999999999987"/>
    <m/>
    <n v="41.18"/>
    <n v="0"/>
    <s v=""/>
    <n v="0"/>
    <s v=""/>
    <s v="{8381C062-70C4-4973-A45F-D512819BD328}"/>
    <s v=""/>
    <s v=""/>
    <s v=""/>
    <s v=""/>
    <s v=""/>
    <s v=""/>
    <s v=""/>
    <s v=""/>
    <s v=""/>
    <s v=""/>
    <x v="0"/>
    <s v=""/>
  </r>
  <r>
    <s v="IPG"/>
    <n v="21.2"/>
    <m/>
    <n v="18.02"/>
    <x v="103"/>
    <x v="8"/>
    <m/>
    <m/>
    <m/>
    <m/>
    <m/>
    <m/>
    <m/>
    <m/>
    <m/>
    <m/>
    <m/>
    <m/>
    <s v="BULLISH"/>
    <d v="2022-07-28T07:00:00"/>
    <d v="2022-07-28T07:00:00"/>
    <m/>
    <m/>
    <m/>
    <m/>
    <m/>
    <m/>
    <m/>
    <m/>
    <s v=""/>
    <n v="0"/>
    <n v="0"/>
    <s v=""/>
    <m/>
    <m/>
    <s v=""/>
    <s v=""/>
    <s v=""/>
    <s v=""/>
    <s v=""/>
    <n v="0.6"/>
    <d v="2017-03-15T00:00:00"/>
    <n v="0"/>
    <n v="0"/>
    <n v="2.8301886792452831E-2"/>
    <d v="2017-02-27T00:00:00"/>
    <m/>
    <n v="21.2"/>
    <s v=""/>
    <s v=""/>
    <n v="0"/>
    <n v="0"/>
    <n v="0"/>
    <m/>
    <m/>
    <m/>
    <m/>
    <m/>
    <s v=""/>
    <m/>
    <m/>
    <m/>
    <s v=""/>
    <s v=""/>
    <m/>
    <s v=""/>
    <m/>
    <d v="2017-02-01T00:00:00"/>
    <n v="23.48"/>
    <n v="24.8"/>
    <n v="22"/>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139999999999997"/>
    <n v="41.339999999999996"/>
    <m/>
    <m/>
    <n v="0"/>
    <s v=""/>
    <n v="0"/>
    <s v=""/>
    <s v="{D991A7AF-64AD-4BD9-A8F4-38FE98C4CA00}"/>
    <s v=""/>
    <s v=""/>
    <s v=""/>
    <s v=""/>
    <s v=""/>
    <s v=""/>
    <s v=""/>
    <s v=""/>
    <s v=""/>
    <s v=""/>
    <x v="0"/>
    <s v=""/>
  </r>
  <r>
    <s v="IPOB"/>
    <n v="19.919799999999999"/>
    <s v="Swing"/>
    <n v="16.931829999999998"/>
    <x v="104"/>
    <x v="7"/>
    <m/>
    <m/>
    <m/>
    <m/>
    <m/>
    <m/>
    <m/>
    <m/>
    <m/>
    <m/>
    <m/>
    <m/>
    <m/>
    <d v="2022-07-28T07:00:00"/>
    <d v="2022-07-28T07:00:00"/>
    <m/>
    <m/>
    <m/>
    <m/>
    <m/>
    <m/>
    <m/>
    <m/>
    <s v=""/>
    <n v="0"/>
    <n v="0"/>
    <s v=""/>
    <m/>
    <m/>
    <s v=""/>
    <s v=""/>
    <s v=""/>
    <s v=""/>
    <s v=""/>
    <m/>
    <m/>
    <n v="0"/>
    <n v="0"/>
    <n v="0"/>
    <m/>
    <m/>
    <s v="-"/>
    <s v=""/>
    <s v=""/>
    <n v="0"/>
    <n v="0"/>
    <s v=""/>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38.843609999999998"/>
    <m/>
    <m/>
    <n v="0"/>
    <s v=""/>
    <n v="0"/>
    <s v=""/>
    <m/>
    <s v=""/>
    <s v=""/>
    <s v=""/>
    <s v=""/>
    <s v=""/>
    <s v=""/>
    <s v=""/>
    <s v=""/>
    <s v=""/>
    <s v=""/>
    <x v="0"/>
    <s v=""/>
  </r>
  <r>
    <s v="IQ"/>
    <n v="26.7"/>
    <m/>
    <n v="22.695"/>
    <x v="19"/>
    <x v="9"/>
    <m/>
    <m/>
    <m/>
    <m/>
    <m/>
    <m/>
    <m/>
    <m/>
    <m/>
    <m/>
    <m/>
    <m/>
    <s v="BULLISH"/>
    <d v="2022-08-25T04:30:00"/>
    <d v="2022-08-25T04:30:00"/>
    <m/>
    <m/>
    <m/>
    <m/>
    <m/>
    <m/>
    <m/>
    <m/>
    <s v=""/>
    <n v="0"/>
    <n v="0"/>
    <s v=""/>
    <m/>
    <m/>
    <s v=""/>
    <s v=""/>
    <s v=""/>
    <s v=""/>
    <s v=""/>
    <m/>
    <m/>
    <n v="0"/>
    <n v="0"/>
    <n v="0"/>
    <m/>
    <m/>
    <n v="23.5"/>
    <s v=""/>
    <s v=""/>
    <n v="0"/>
    <n v="0"/>
    <n v="-0.11985018726591758"/>
    <n v="22.5"/>
    <s v="free money"/>
    <n v="22.5"/>
    <s v="Assignment"/>
    <s v="SPs"/>
    <s v=""/>
    <m/>
    <n v="2.282"/>
    <d v="2020-11-20T00:00:00"/>
    <n v="24.417999999999999"/>
    <n v="28.981999999999999"/>
    <m/>
    <s v=""/>
    <m/>
    <d v="2020-11-08T00:00:00"/>
    <n v="24.3"/>
    <n v="28.8"/>
    <n v="23"/>
    <s v="RISE"/>
    <s v="BULLISH"/>
    <m/>
    <s v=""/>
    <m/>
    <m/>
    <m/>
    <m/>
    <m/>
    <m/>
    <n v="0"/>
    <n v="0"/>
    <m/>
    <s v=""/>
    <s v=""/>
    <m/>
    <m/>
    <m/>
    <m/>
    <m/>
    <m/>
    <n v="0"/>
    <s v=""/>
    <s v=""/>
    <s v=""/>
    <s v=""/>
    <n v="0"/>
    <s v=""/>
    <n v="0"/>
    <m/>
    <n v="0"/>
    <s v=""/>
    <s v=""/>
    <s v=""/>
    <m/>
    <n v="0"/>
    <m/>
    <s v=""/>
    <s v=""/>
    <s v=""/>
    <m/>
    <s v=""/>
    <s v=""/>
    <s v=""/>
    <s v=""/>
    <s v=""/>
    <n v="1.95"/>
    <n v="1.95"/>
    <s v=""/>
    <s v=""/>
    <s v=""/>
    <s v=""/>
    <m/>
    <m/>
    <m/>
    <m/>
    <m/>
    <m/>
    <n v="0"/>
    <s v=""/>
    <s v=""/>
    <m/>
    <s v=""/>
    <s v=""/>
    <s v=""/>
    <s v=""/>
    <s v=""/>
    <s v=""/>
    <s v=""/>
    <m/>
    <s v=""/>
    <m/>
    <s v=""/>
    <s v=""/>
    <s v=""/>
    <s v=""/>
    <n v="0"/>
    <m/>
    <m/>
    <m/>
    <m/>
    <m/>
    <m/>
    <s v=""/>
    <s v=""/>
    <n v="0"/>
    <n v="0"/>
    <n v="0"/>
    <n v="0"/>
    <s v=""/>
    <m/>
    <n v="0"/>
    <m/>
    <m/>
    <s v=""/>
    <s v=""/>
    <s v=""/>
    <m/>
    <s v=""/>
    <n v="0"/>
    <n v="0"/>
    <s v=""/>
    <s v=""/>
    <s v=""/>
    <s v=""/>
    <s v=""/>
    <s v=""/>
    <s v=""/>
    <s v=""/>
    <s v=""/>
    <s v=""/>
    <s v=""/>
    <s v=""/>
    <s v=""/>
    <s v=""/>
    <s v=""/>
    <s v=""/>
    <s v=""/>
    <m/>
    <n v="0"/>
    <n v="22.324999999999999"/>
    <n v="52.064999999999998"/>
    <m/>
    <m/>
    <n v="0"/>
    <s v=""/>
    <n v="0"/>
    <s v=""/>
    <m/>
    <s v=""/>
    <s v=""/>
    <s v=""/>
    <s v=""/>
    <s v=""/>
    <s v=""/>
    <s v=""/>
    <s v=""/>
    <s v=""/>
    <s v=""/>
    <x v="0"/>
    <s v=""/>
  </r>
  <r>
    <s v="ISRG"/>
    <n v="515.5"/>
    <m/>
    <n v="438.17500000000001"/>
    <x v="105"/>
    <x v="2"/>
    <m/>
    <m/>
    <m/>
    <m/>
    <m/>
    <m/>
    <m/>
    <m/>
    <m/>
    <m/>
    <m/>
    <m/>
    <s v="BULLISH"/>
    <d v="2022-07-21T16:05:00"/>
    <d v="2022-07-21T16:05:00"/>
    <m/>
    <m/>
    <m/>
    <m/>
    <m/>
    <m/>
    <m/>
    <m/>
    <s v=""/>
    <n v="0"/>
    <n v="0"/>
    <s v=""/>
    <m/>
    <m/>
    <s v=""/>
    <s v=""/>
    <s v=""/>
    <s v=""/>
    <s v=""/>
    <m/>
    <m/>
    <n v="0"/>
    <n v="0"/>
    <n v="0"/>
    <m/>
    <m/>
    <n v="576.79999999999995"/>
    <s v=""/>
    <s v=""/>
    <n v="0"/>
    <n v="0"/>
    <n v="0.11891367604267693"/>
    <n v="530"/>
    <s v="max gain"/>
    <n v="480"/>
    <s v="max loss"/>
    <m/>
    <s v=""/>
    <m/>
    <m/>
    <m/>
    <s v=""/>
    <s v=""/>
    <m/>
    <s v=""/>
    <m/>
    <d v="2018-07-06T00:00:00"/>
    <n v="472"/>
    <n v="532"/>
    <n v="453"/>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47.95999999999992"/>
    <n v="1005.225"/>
    <m/>
    <m/>
    <n v="0"/>
    <s v=""/>
    <n v="0"/>
    <s v=""/>
    <s v="{23CC4039-E53D-4BF5-854C-DAE25D1C1A5E}"/>
    <s v=""/>
    <s v=""/>
    <s v=""/>
    <s v=""/>
    <s v=""/>
    <s v=""/>
    <s v=""/>
    <s v=""/>
    <s v=""/>
    <s v=""/>
    <x v="0"/>
    <s v=""/>
  </r>
  <r>
    <s v="ITW"/>
    <n v="149.53"/>
    <m/>
    <n v="127.1005"/>
    <x v="49"/>
    <x v="13"/>
    <m/>
    <m/>
    <m/>
    <m/>
    <m/>
    <m/>
    <m/>
    <m/>
    <m/>
    <m/>
    <m/>
    <m/>
    <s v="BULLISH"/>
    <d v="2022-08-02T08:00:00"/>
    <d v="2022-08-02T08:00:00"/>
    <m/>
    <m/>
    <m/>
    <m/>
    <b v="1"/>
    <m/>
    <m/>
    <m/>
    <s v=""/>
    <n v="0"/>
    <n v="0"/>
    <s v=""/>
    <m/>
    <m/>
    <s v=""/>
    <s v=""/>
    <s v=""/>
    <s v=""/>
    <s v=""/>
    <n v="3.12"/>
    <d v="2017-10-12T00:00:00"/>
    <n v="0"/>
    <n v="0"/>
    <n v="2.0865378184979605E-2"/>
    <d v="2018-06-27T00:00:00"/>
    <n v="185"/>
    <n v="144.47"/>
    <n v="0.23720992442988029"/>
    <s v=""/>
    <n v="0"/>
    <n v="0"/>
    <n v="-3.3839363338460528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7.2465"/>
    <n v="291.58350000000002"/>
    <m/>
    <m/>
    <n v="0"/>
    <s v=""/>
    <n v="0"/>
    <s v=""/>
    <s v="{1CB92B17-61E8-4C44-A943-34E526D9410B}"/>
    <s v=""/>
    <s v=""/>
    <s v=""/>
    <s v=""/>
    <s v=""/>
    <s v=""/>
    <s v=""/>
    <s v=""/>
    <s v=""/>
    <s v=""/>
    <x v="0"/>
    <s v=""/>
  </r>
  <r>
    <s v="IWM"/>
    <n v="150.62"/>
    <m/>
    <n v="128.02699999999999"/>
    <x v="52"/>
    <x v="7"/>
    <m/>
    <m/>
    <m/>
    <m/>
    <m/>
    <m/>
    <m/>
    <m/>
    <m/>
    <m/>
    <m/>
    <m/>
    <m/>
    <d v="2022-08-02T08:00:00"/>
    <d v="2022-08-02T08:00:00"/>
    <m/>
    <m/>
    <m/>
    <m/>
    <m/>
    <m/>
    <m/>
    <m/>
    <s v=""/>
    <n v="0"/>
    <n v="0"/>
    <s v=""/>
    <m/>
    <m/>
    <s v=""/>
    <s v=""/>
    <s v=""/>
    <s v=""/>
    <s v=""/>
    <n v="2.12"/>
    <s v="N/A"/>
    <n v="0"/>
    <n v="0"/>
    <n v="1.4075156021776657E-2"/>
    <s v="N/A"/>
    <m/>
    <s v="-"/>
    <s v=""/>
    <s v=""/>
    <n v="0"/>
    <n v="0"/>
    <s v=""/>
    <m/>
    <m/>
    <m/>
    <m/>
    <m/>
    <s v=""/>
    <m/>
    <m/>
    <m/>
    <s v=""/>
    <s v=""/>
    <m/>
    <s v=""/>
    <m/>
    <m/>
    <n v="111"/>
    <n v="107.1"/>
    <n v="123.6"/>
    <m/>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93.709"/>
    <m/>
    <m/>
    <n v="0"/>
    <s v=""/>
    <n v="0"/>
    <s v=""/>
    <s v="{533D5EB9-CD13-4FAC-8898-F06987DFFC31}"/>
    <s v=""/>
    <s v=""/>
    <s v=""/>
    <s v=""/>
    <s v=""/>
    <s v=""/>
    <s v=""/>
    <s v=""/>
    <s v=""/>
    <s v=""/>
    <x v="0"/>
    <s v=""/>
  </r>
  <r>
    <s v="JACK"/>
    <n v="87.62"/>
    <m/>
    <n v="74.477000000000004"/>
    <x v="48"/>
    <x v="8"/>
    <s v="Crushed by tough comps and comparison with renewed MCD, large (3x normal!) short interest. Chance for operating margin improvement"/>
    <s v="must be a reason why everyone is short"/>
    <m/>
    <m/>
    <m/>
    <m/>
    <m/>
    <m/>
    <m/>
    <m/>
    <m/>
    <m/>
    <m/>
    <d v="2022-08-25T08:30:00"/>
    <d v="2022-08-25T08:30:00"/>
    <m/>
    <m/>
    <m/>
    <m/>
    <m/>
    <m/>
    <m/>
    <m/>
    <s v=""/>
    <n v="0"/>
    <n v="0"/>
    <s v=""/>
    <m/>
    <m/>
    <s v=""/>
    <s v=""/>
    <s v=""/>
    <s v=""/>
    <s v=""/>
    <n v="1.2"/>
    <d v="2016-09-07T00:00:00"/>
    <n v="0"/>
    <n v="0"/>
    <n v="1.3695503309746632E-2"/>
    <d v="2016-08-18T00:00:00"/>
    <m/>
    <n v="59.94"/>
    <s v=""/>
    <s v=""/>
    <n v="0"/>
    <n v="0"/>
    <n v="-0.31590960967815573"/>
    <m/>
    <m/>
    <m/>
    <m/>
    <m/>
    <s v=""/>
    <m/>
    <m/>
    <m/>
    <s v=""/>
    <s v=""/>
    <m/>
    <s v=""/>
    <m/>
    <d v="2016-02-05T00:00:00"/>
    <n v="79.400000000000006"/>
    <n v="85.2"/>
    <n v="67.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6.942999999999998"/>
    <n v="170.85900000000001"/>
    <m/>
    <m/>
    <n v="0"/>
    <s v=""/>
    <n v="0"/>
    <s v=""/>
    <s v="{178C7EA1-8440-4EF4-865C-4003C7E3423A}"/>
    <s v=""/>
    <s v=""/>
    <s v=""/>
    <s v=""/>
    <s v=""/>
    <s v=""/>
    <s v=""/>
    <s v=""/>
    <s v=""/>
    <s v=""/>
    <x v="0"/>
    <s v=""/>
  </r>
  <r>
    <s v="JBLU"/>
    <n v="19.45"/>
    <m/>
    <n v="16.532499999999999"/>
    <x v="106"/>
    <x v="8"/>
    <m/>
    <m/>
    <m/>
    <m/>
    <m/>
    <m/>
    <m/>
    <m/>
    <m/>
    <m/>
    <m/>
    <m/>
    <s v="BULLISH"/>
    <d v="2022-07-26T07:00:00"/>
    <d v="2022-07-26T07:00:00"/>
    <m/>
    <m/>
    <m/>
    <m/>
    <m/>
    <n v="3"/>
    <m/>
    <m/>
    <s v=""/>
    <n v="0"/>
    <n v="0"/>
    <s v=""/>
    <m/>
    <m/>
    <s v=""/>
    <s v=""/>
    <s v=""/>
    <s v=""/>
    <s v=""/>
    <n v="0"/>
    <s v="N/A"/>
    <n v="0"/>
    <n v="0"/>
    <n v="0"/>
    <s v="N/A"/>
    <m/>
    <n v="13.83"/>
    <s v=""/>
    <s v=""/>
    <n v="0"/>
    <n v="0"/>
    <n v="-0.28894601542416448"/>
    <n v="23"/>
    <s v="ITM"/>
    <n v="19"/>
    <s v="Assignment"/>
    <m/>
    <s v=""/>
    <m/>
    <m/>
    <m/>
    <s v=""/>
    <s v=""/>
    <m/>
    <s v=""/>
    <m/>
    <d v="2017-02-07T00:00:00"/>
    <n v="20.399999999999999"/>
    <n v="21.4"/>
    <n v="17.100000000000001"/>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138499999999999"/>
    <n v="37.927499999999995"/>
    <m/>
    <m/>
    <n v="0"/>
    <s v=""/>
    <n v="0"/>
    <s v=""/>
    <s v="{F2058BA6-0F47-46F3-83A9-323D8718FDFF}"/>
    <s v=""/>
    <s v=""/>
    <s v=""/>
    <s v=""/>
    <s v=""/>
    <s v=""/>
    <s v=""/>
    <s v=""/>
    <s v=""/>
    <s v=""/>
    <x v="0"/>
    <s v=""/>
  </r>
  <r>
    <s v="JCI"/>
    <n v="42.31"/>
    <m/>
    <n v="35.963500000000003"/>
    <x v="107"/>
    <x v="12"/>
    <s v="transition to true multi-industrial, china growth"/>
    <m/>
    <m/>
    <m/>
    <m/>
    <m/>
    <m/>
    <m/>
    <m/>
    <m/>
    <m/>
    <m/>
    <m/>
    <d v="2022-08-03T06:55:00"/>
    <d v="2022-08-03T06:55:00"/>
    <m/>
    <m/>
    <m/>
    <m/>
    <m/>
    <m/>
    <m/>
    <m/>
    <s v=""/>
    <n v="0"/>
    <n v="0"/>
    <s v=""/>
    <m/>
    <m/>
    <s v=""/>
    <s v=""/>
    <s v=""/>
    <s v=""/>
    <s v=""/>
    <n v="1.04"/>
    <d v="2016-01-02T00:00:00"/>
    <n v="0"/>
    <n v="0"/>
    <n v="2.4580477428503899E-2"/>
    <d v="2015-08-31T00:00:00"/>
    <m/>
    <n v="35.380000000000003"/>
    <s v=""/>
    <s v=""/>
    <n v="0"/>
    <n v="0"/>
    <n v="-0.1637910659418576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3.611000000000004"/>
    <n v="82.504500000000007"/>
    <m/>
    <n v="49.88"/>
    <n v="0"/>
    <s v=""/>
    <n v="0"/>
    <s v=""/>
    <s v="{F4ECC752-C414-47EF-8E11-A22D0D683590}"/>
    <s v=""/>
    <s v=""/>
    <s v=""/>
    <s v=""/>
    <s v=""/>
    <s v=""/>
    <s v=""/>
    <s v=""/>
    <s v=""/>
    <s v=""/>
    <x v="0"/>
    <s v=""/>
  </r>
  <r>
    <s v="JD"/>
    <n v="76.099999999999994"/>
    <m/>
    <n v="64.684999999999988"/>
    <x v="29"/>
    <x v="1"/>
    <m/>
    <m/>
    <m/>
    <m/>
    <m/>
    <m/>
    <m/>
    <m/>
    <m/>
    <m/>
    <m/>
    <m/>
    <m/>
    <d v="2022-08-16T06:30:00"/>
    <d v="2022-08-16T06:30:00"/>
    <m/>
    <m/>
    <m/>
    <m/>
    <m/>
    <m/>
    <m/>
    <m/>
    <s v=""/>
    <n v="0"/>
    <n v="0"/>
    <s v=""/>
    <m/>
    <m/>
    <s v=""/>
    <s v=""/>
    <s v=""/>
    <s v=""/>
    <s v=""/>
    <m/>
    <m/>
    <n v="0"/>
    <n v="0"/>
    <n v="0"/>
    <m/>
    <m/>
    <n v="77.27"/>
    <s v=""/>
    <s v=""/>
    <n v="0"/>
    <n v="0"/>
    <n v="1.537450722733248E-2"/>
    <m/>
    <m/>
    <m/>
    <m/>
    <m/>
    <s v=""/>
    <m/>
    <m/>
    <m/>
    <s v=""/>
    <s v=""/>
    <m/>
    <s v=""/>
    <m/>
    <d v="2020-08-26T00:00:00"/>
    <n v="72.599999999999994"/>
    <n v="88.8"/>
    <n v="67.8"/>
    <s v="RISE"/>
    <s v="RANGE"/>
    <m/>
    <s v=""/>
    <m/>
    <m/>
    <m/>
    <m/>
    <m/>
    <m/>
    <n v="0"/>
    <n v="0"/>
    <m/>
    <s v=""/>
    <s v=""/>
    <m/>
    <m/>
    <m/>
    <m/>
    <m/>
    <n v="5.7"/>
    <n v="0"/>
    <n v="-5.7"/>
    <s v=""/>
    <s v=""/>
    <s v=""/>
    <n v="0"/>
    <n v="1.0749014454664916"/>
    <n v="0"/>
    <m/>
    <n v="0"/>
    <s v=""/>
    <s v=""/>
    <s v=""/>
    <m/>
    <s v=""/>
    <m/>
    <s v=""/>
    <d v="1899-12-30T00:00:00"/>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3.406499999999994"/>
    <n v="148.39499999999998"/>
    <m/>
    <m/>
    <n v="0"/>
    <s v=""/>
    <n v="0"/>
    <s v=""/>
    <m/>
    <s v=""/>
    <s v=""/>
    <s v=""/>
    <s v=""/>
    <s v=""/>
    <s v=""/>
    <s v=""/>
    <s v=""/>
    <s v=""/>
    <s v=""/>
    <x v="0"/>
    <s v=""/>
  </r>
  <r>
    <s v="ABT"/>
    <n v="98.95"/>
    <m/>
    <n v="84.107500000000002"/>
    <x v="108"/>
    <x v="2"/>
    <m/>
    <m/>
    <m/>
    <m/>
    <m/>
    <m/>
    <m/>
    <m/>
    <m/>
    <m/>
    <m/>
    <m/>
    <s v="BULLISH"/>
    <d v="2022-07-20T07:30:00"/>
    <d v="2022-07-20T07:30:00"/>
    <m/>
    <m/>
    <m/>
    <n v="2"/>
    <m/>
    <m/>
    <m/>
    <m/>
    <s v=""/>
    <n v="0"/>
    <n v="0"/>
    <s v=""/>
    <m/>
    <m/>
    <s v=""/>
    <s v=""/>
    <s v=""/>
    <s v=""/>
    <s v=""/>
    <n v="1.32"/>
    <d v="2017-08-15T00:00:00"/>
    <n v="0"/>
    <n v="0"/>
    <n v="1.3340070742799394E-2"/>
    <d v="2020-01-11T00:00:00"/>
    <n v="110"/>
    <n v="134.88"/>
    <n v="0.11167256189994944"/>
    <s v=""/>
    <n v="0"/>
    <n v="0"/>
    <n v="0.36311268317331979"/>
    <m/>
    <m/>
    <m/>
    <m/>
    <m/>
    <s v=""/>
    <m/>
    <m/>
    <m/>
    <s v=""/>
    <s v=""/>
    <m/>
    <s v=""/>
    <m/>
    <d v="2019-10-08T00:00:00"/>
    <n v="82.7"/>
    <n v="85.5"/>
    <n v="74.099999999999994"/>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8.136"/>
    <n v="192.95250000000001"/>
    <m/>
    <m/>
    <n v="0"/>
    <s v=""/>
    <n v="0"/>
    <s v=""/>
    <s v="{63689E7E-E462-4BCB-BDB7-96B3D19B15BF}"/>
    <s v=""/>
    <s v=""/>
    <s v=""/>
    <s v=""/>
    <s v=""/>
    <s v=""/>
    <s v=""/>
    <s v=""/>
    <s v=""/>
    <s v=""/>
    <x v="0"/>
    <s v=""/>
  </r>
  <r>
    <s v="JNPR"/>
    <n v="35.659999999999997"/>
    <s v="Swing"/>
    <n v="30.310999999999996"/>
    <x v="63"/>
    <x v="14"/>
    <m/>
    <m/>
    <m/>
    <m/>
    <m/>
    <m/>
    <m/>
    <m/>
    <m/>
    <m/>
    <m/>
    <m/>
    <s v="BULLISH"/>
    <d v="2022-07-26T16:15:00"/>
    <d v="2022-07-26T16:15:00"/>
    <m/>
    <m/>
    <m/>
    <m/>
    <m/>
    <m/>
    <m/>
    <m/>
    <s v=""/>
    <n v="0"/>
    <n v="0"/>
    <s v=""/>
    <m/>
    <m/>
    <s v=""/>
    <s v=""/>
    <s v=""/>
    <s v=""/>
    <s v=""/>
    <m/>
    <m/>
    <n v="0"/>
    <n v="0"/>
    <n v="0"/>
    <m/>
    <m/>
    <n v="35.69"/>
    <s v=""/>
    <s v=""/>
    <n v="0"/>
    <n v="0"/>
    <n v="8.4127874369044136E-4"/>
    <m/>
    <m/>
    <m/>
    <m/>
    <m/>
    <s v=""/>
    <m/>
    <m/>
    <m/>
    <s v=""/>
    <s v=""/>
    <m/>
    <s v=""/>
    <m/>
    <d v="2022-03-23T00:00:00"/>
    <n v="33.9"/>
    <n v="38.6"/>
    <n v="32.4"/>
    <s v="RISE"/>
    <s v="BULLISH"/>
    <m/>
    <m/>
    <m/>
    <m/>
    <m/>
    <m/>
    <m/>
    <m/>
    <n v="0"/>
    <n v="0"/>
    <m/>
    <s v=""/>
    <m/>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3.905499999999996"/>
    <n v="69.536999999999992"/>
    <m/>
    <m/>
    <n v="0"/>
    <s v=""/>
    <n v="0"/>
    <s v=""/>
    <m/>
    <s v=""/>
    <s v=""/>
    <s v=""/>
    <s v=""/>
    <s v=""/>
    <s v=""/>
    <s v=""/>
    <s v=""/>
    <s v=""/>
    <s v=""/>
    <x v="0"/>
    <s v=""/>
  </r>
  <r>
    <s v="JO"/>
    <n v="62.87"/>
    <s v="Prem"/>
    <n v="53.439499999999995"/>
    <x v="52"/>
    <x v="7"/>
    <m/>
    <m/>
    <m/>
    <m/>
    <m/>
    <m/>
    <m/>
    <m/>
    <m/>
    <m/>
    <m/>
    <m/>
    <s v="BULLISH"/>
    <d v="2022-07-26T16:15:00"/>
    <d v="2022-07-26T16:15:00"/>
    <m/>
    <m/>
    <m/>
    <m/>
    <m/>
    <m/>
    <m/>
    <m/>
    <s v=""/>
    <n v="0"/>
    <n v="0"/>
    <s v=""/>
    <m/>
    <m/>
    <s v=""/>
    <s v=""/>
    <s v=""/>
    <s v=""/>
    <s v=""/>
    <m/>
    <m/>
    <n v="0"/>
    <n v="0"/>
    <n v="0"/>
    <m/>
    <m/>
    <m/>
    <s v=""/>
    <s v=""/>
    <n v="0"/>
    <n v="0"/>
    <s v=""/>
    <n v="56"/>
    <s v="assignment"/>
    <n v="56"/>
    <s v="Losses"/>
    <s v="CCs"/>
    <s v=""/>
    <m/>
    <m/>
    <m/>
    <s v=""/>
    <s v=""/>
    <n v="54.25"/>
    <n v="50.452499999999993"/>
    <m/>
    <d v="2021-11-14T00:00:00"/>
    <n v="58.71"/>
    <n v="64.540000000000006"/>
    <n v="56.67"/>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22.59649999999999"/>
    <m/>
    <m/>
    <n v="0"/>
    <s v=""/>
    <n v="0"/>
    <s v=""/>
    <s v="{2127DB49-A154-4F86-BB48-9BB139FF31EA}"/>
    <s v=""/>
    <s v=""/>
    <s v=""/>
    <s v=""/>
    <s v=""/>
    <s v=""/>
    <s v=""/>
    <s v=""/>
    <s v=""/>
    <s v=""/>
    <x v="0"/>
    <s v=""/>
  </r>
  <r>
    <s v="AMZN"/>
    <n v="101.295"/>
    <s v="Swing"/>
    <n v="86.100750000000005"/>
    <x v="29"/>
    <x v="1"/>
    <m/>
    <m/>
    <m/>
    <m/>
    <m/>
    <m/>
    <m/>
    <m/>
    <m/>
    <m/>
    <s v="2000 call"/>
    <m/>
    <s v="BULLISH"/>
    <d v="2022-07-28T16:00:00"/>
    <d v="2022-07-28T16:00:00"/>
    <m/>
    <m/>
    <m/>
    <n v="2"/>
    <b v="1"/>
    <n v="2"/>
    <m/>
    <m/>
    <s v=""/>
    <n v="0"/>
    <n v="0"/>
    <s v=""/>
    <n v="4000"/>
    <n v="3385"/>
    <s v=""/>
    <s v=""/>
    <s v=""/>
    <s v=""/>
    <s v=""/>
    <m/>
    <s v="N/A"/>
    <n v="0"/>
    <n v="0"/>
    <n v="0"/>
    <m/>
    <n v="4000"/>
    <n v="4010.49"/>
    <n v="38.488622340688089"/>
    <s v=""/>
    <n v="0"/>
    <n v="0"/>
    <n v="38.592181252776541"/>
    <n v="8"/>
    <s v="assignment"/>
    <n v="8"/>
    <s v="free money"/>
    <s v="CCs"/>
    <s v=""/>
    <m/>
    <m/>
    <m/>
    <s v=""/>
    <s v=""/>
    <n v="3176.7350000000001"/>
    <n v="2954.36355"/>
    <m/>
    <d v="2021-12-02T00:00:00"/>
    <n v="3479.5"/>
    <n v="3511.75"/>
    <n v="3370.5"/>
    <s v="LTD RISE"/>
    <s v="RANGE"/>
    <m/>
    <s v=""/>
    <m/>
    <m/>
    <m/>
    <m/>
    <m/>
    <m/>
    <n v="0"/>
    <n v="0"/>
    <m/>
    <s v=""/>
    <s v=""/>
    <m/>
    <m/>
    <m/>
    <m/>
    <m/>
    <m/>
    <n v="0"/>
    <s v=""/>
    <s v=""/>
    <s v=""/>
    <s v=""/>
    <n v="0"/>
    <s v=""/>
    <n v="0"/>
    <n v="0.0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09.9654999999998"/>
    <n v="197.52525"/>
    <m/>
    <m/>
    <n v="0"/>
    <s v=""/>
    <n v="0"/>
    <s v=""/>
    <s v="{FBBD2E7F-5DCD-48EF-8006-B1D089D70FC9}"/>
    <s v=""/>
    <s v=""/>
    <s v=""/>
    <s v=""/>
    <s v=""/>
    <s v=""/>
    <s v=""/>
    <s v=""/>
    <s v=""/>
    <s v=""/>
    <x v="0"/>
    <s v=""/>
  </r>
  <r>
    <s v="JWN"/>
    <n v="29.3"/>
    <m/>
    <n v="24.905000000000001"/>
    <x v="109"/>
    <x v="8"/>
    <m/>
    <m/>
    <m/>
    <m/>
    <m/>
    <m/>
    <m/>
    <m/>
    <m/>
    <m/>
    <m/>
    <m/>
    <m/>
    <d v="2022-08-23T16:05:00"/>
    <d v="2022-08-23T16:05:00"/>
    <m/>
    <m/>
    <m/>
    <m/>
    <m/>
    <m/>
    <m/>
    <m/>
    <s v=""/>
    <n v="0"/>
    <n v="0"/>
    <s v=""/>
    <m/>
    <m/>
    <s v=""/>
    <s v=""/>
    <s v=""/>
    <s v=""/>
    <s v=""/>
    <m/>
    <m/>
    <n v="0"/>
    <n v="0"/>
    <n v="0"/>
    <m/>
    <n v="60"/>
    <n v="25.94"/>
    <n v="1.0477815699658704"/>
    <s v=""/>
    <n v="0"/>
    <n v="0"/>
    <n v="-0.11467576791808871"/>
    <m/>
    <m/>
    <m/>
    <m/>
    <m/>
    <s v=""/>
    <m/>
    <m/>
    <m/>
    <s v=""/>
    <s v=""/>
    <m/>
    <s v=""/>
    <m/>
    <d v="2018-03-15T00:00:00"/>
    <n v="52.1"/>
    <n v="55.4"/>
    <n v="43.1"/>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643000000000001"/>
    <n v="57.134999999999998"/>
    <m/>
    <m/>
    <n v="0"/>
    <s v=""/>
    <n v="0"/>
    <s v=""/>
    <s v="{3E783568-9835-495E-A946-52D62A05FDAD}"/>
    <s v=""/>
    <s v=""/>
    <s v=""/>
    <s v=""/>
    <s v=""/>
    <s v=""/>
    <s v=""/>
    <s v=""/>
    <s v=""/>
    <s v=""/>
    <x v="0"/>
    <s v=""/>
  </r>
  <r>
    <s v="KEY"/>
    <n v="16.47"/>
    <m/>
    <n v="13.999499999999999"/>
    <x v="110"/>
    <x v="7"/>
    <m/>
    <m/>
    <m/>
    <m/>
    <m/>
    <m/>
    <m/>
    <m/>
    <m/>
    <m/>
    <m/>
    <m/>
    <s v="BULLISH"/>
    <d v="2022-07-21T06:30:00"/>
    <d v="2022-07-21T06:30:00"/>
    <m/>
    <m/>
    <m/>
    <m/>
    <m/>
    <m/>
    <m/>
    <m/>
    <s v=""/>
    <n v="0"/>
    <n v="0"/>
    <s v=""/>
    <m/>
    <m/>
    <s v=""/>
    <s v=""/>
    <s v=""/>
    <s v=""/>
    <s v=""/>
    <n v="0.3"/>
    <d v="2015-12-15T00:00:00"/>
    <n v="0"/>
    <n v="0"/>
    <n v="1.8214936247723135E-2"/>
    <d v="2015-08-26T00:00:00"/>
    <n v="21"/>
    <n v="13.16"/>
    <n v="0.27504553734061937"/>
    <s v=""/>
    <n v="0"/>
    <n v="0"/>
    <n v="-0.20097146326654516"/>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501999999999999"/>
    <n v="32.116499999999995"/>
    <m/>
    <m/>
    <n v="0"/>
    <s v=""/>
    <n v="0"/>
    <s v=""/>
    <s v="{DB024C9F-B37C-4F30-A1B0-01BCABEB311D}"/>
    <s v=""/>
    <s v=""/>
    <s v=""/>
    <s v=""/>
    <s v=""/>
    <s v=""/>
    <s v=""/>
    <s v=""/>
    <s v=""/>
    <s v=""/>
    <x v="0"/>
    <s v=""/>
  </r>
  <r>
    <s v="KGC"/>
    <n v="8.9700000000000006"/>
    <m/>
    <n v="7.6245000000000003"/>
    <x v="11"/>
    <x v="0"/>
    <m/>
    <m/>
    <m/>
    <m/>
    <m/>
    <m/>
    <m/>
    <m/>
    <m/>
    <m/>
    <m/>
    <m/>
    <m/>
    <d v="2022-07-21T06:30:00"/>
    <d v="2022-07-21T06:30:00"/>
    <m/>
    <m/>
    <m/>
    <m/>
    <m/>
    <m/>
    <m/>
    <m/>
    <s v=""/>
    <n v="0"/>
    <n v="0"/>
    <s v=""/>
    <m/>
    <m/>
    <s v=""/>
    <s v=""/>
    <s v=""/>
    <s v=""/>
    <s v=""/>
    <m/>
    <m/>
    <n v="0"/>
    <n v="0"/>
    <n v="0"/>
    <m/>
    <m/>
    <n v="10.55"/>
    <s v=""/>
    <s v=""/>
    <n v="0"/>
    <n v="0"/>
    <n v="0.1761426978818283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022500000000001"/>
    <n v="17.491500000000002"/>
    <m/>
    <m/>
    <n v="0"/>
    <s v=""/>
    <n v="0"/>
    <s v=""/>
    <m/>
    <s v=""/>
    <s v=""/>
    <s v=""/>
    <s v=""/>
    <s v=""/>
    <s v=""/>
    <s v=""/>
    <s v=""/>
    <s v=""/>
    <s v=""/>
    <x v="0"/>
    <s v=""/>
  </r>
  <r>
    <s v="KHC"/>
    <n v="26.5"/>
    <m/>
    <n v="22.524999999999999"/>
    <x v="111"/>
    <x v="12"/>
    <s v="First post meger report upcoming"/>
    <m/>
    <m/>
    <m/>
    <m/>
    <m/>
    <m/>
    <m/>
    <m/>
    <m/>
    <m/>
    <m/>
    <m/>
    <d v="2022-07-27T07:00:00"/>
    <d v="2022-07-27T07:00:00"/>
    <m/>
    <m/>
    <m/>
    <m/>
    <m/>
    <m/>
    <m/>
    <m/>
    <s v=""/>
    <n v="0"/>
    <n v="0"/>
    <s v=""/>
    <m/>
    <m/>
    <s v=""/>
    <s v=""/>
    <s v=""/>
    <s v=""/>
    <s v=""/>
    <n v="2.2999999999999998"/>
    <d v="2016-10-08T00:00:00"/>
    <n v="0"/>
    <n v="0"/>
    <n v="8.6792452830188674E-2"/>
    <d v="2016-08-23T00:00:00"/>
    <m/>
    <n v="28.24"/>
    <s v=""/>
    <s v=""/>
    <n v="0"/>
    <n v="0"/>
    <n v="6.5660377358490507E-2"/>
    <m/>
    <m/>
    <m/>
    <m/>
    <m/>
    <s v=""/>
    <m/>
    <m/>
    <m/>
    <s v=""/>
    <s v=""/>
    <m/>
    <s v=""/>
    <m/>
    <d v="2016-02-03T00:00:00"/>
    <n v="71.599999999999994"/>
    <n v="82.3"/>
    <n v="66.400000000000006"/>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6.827999999999996"/>
    <n v="51.674999999999997"/>
    <m/>
    <n v="88.88"/>
    <n v="0"/>
    <s v=""/>
    <n v="0"/>
    <s v=""/>
    <s v="{8DA739A0-96B7-4A73-83CD-33911C8EABF1}"/>
    <s v=""/>
    <s v=""/>
    <s v=""/>
    <s v=""/>
    <s v=""/>
    <s v=""/>
    <s v=""/>
    <s v=""/>
    <s v=""/>
    <s v=""/>
    <x v="0"/>
    <s v=""/>
  </r>
  <r>
    <s v="KKR"/>
    <n v="35.85"/>
    <m/>
    <n v="30.4725"/>
    <x v="31"/>
    <x v="7"/>
    <m/>
    <m/>
    <m/>
    <m/>
    <m/>
    <m/>
    <m/>
    <m/>
    <m/>
    <m/>
    <m/>
    <m/>
    <m/>
    <d v="2022-08-02T06:50:00"/>
    <d v="2022-08-02T06:50:00"/>
    <m/>
    <m/>
    <m/>
    <m/>
    <m/>
    <m/>
    <m/>
    <m/>
    <s v=""/>
    <n v="0"/>
    <n v="0"/>
    <s v=""/>
    <m/>
    <m/>
    <s v=""/>
    <s v=""/>
    <s v=""/>
    <s v=""/>
    <s v=""/>
    <m/>
    <m/>
    <n v="0"/>
    <n v="0"/>
    <n v="0"/>
    <m/>
    <m/>
    <n v="40.35"/>
    <s v=""/>
    <s v=""/>
    <n v="0"/>
    <n v="0"/>
    <n v="0.12552301255230125"/>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332499999999996"/>
    <n v="69.907499999999999"/>
    <m/>
    <m/>
    <n v="0"/>
    <s v=""/>
    <n v="0"/>
    <s v=""/>
    <m/>
    <s v=""/>
    <s v=""/>
    <s v=""/>
    <s v=""/>
    <s v=""/>
    <s v=""/>
    <s v=""/>
    <s v=""/>
    <s v=""/>
    <s v=""/>
    <x v="0"/>
    <s v=""/>
  </r>
  <r>
    <s v="KMI"/>
    <n v="20.37"/>
    <m/>
    <n v="17.314499999999999"/>
    <x v="112"/>
    <x v="0"/>
    <s v="largest midstream energy firm on the continent, positioned as a natural consolidator."/>
    <s v="oil is just a mess"/>
    <m/>
    <s v="UP"/>
    <s v="CONVERGE"/>
    <s v="NO CROSS"/>
    <s v="NO CROSS"/>
    <s v="Over 80"/>
    <s v="UP"/>
    <s v="HIGH"/>
    <m/>
    <m/>
    <s v="BULLISH"/>
    <d v="2022-07-20T16:05:00"/>
    <d v="2022-07-20T16:05:00"/>
    <m/>
    <m/>
    <m/>
    <m/>
    <m/>
    <n v="0"/>
    <m/>
    <m/>
    <s v=""/>
    <n v="0"/>
    <n v="0"/>
    <s v=""/>
    <m/>
    <m/>
    <s v=""/>
    <s v=""/>
    <s v=""/>
    <s v=""/>
    <s v=""/>
    <n v="0.5"/>
    <d v="2017-02-15T00:00:00"/>
    <n v="0"/>
    <n v="0"/>
    <n v="2.4545900834560628E-2"/>
    <d v="2017-01-26T00:00:00"/>
    <m/>
    <n v="18.43"/>
    <s v=""/>
    <s v=""/>
    <n v="0"/>
    <n v="0"/>
    <n v="-9.5238095238095302E-2"/>
    <n v="21.01"/>
    <s v="free money"/>
    <n v="21"/>
    <s v="Assignment"/>
    <m/>
    <s v=""/>
    <m/>
    <m/>
    <m/>
    <s v=""/>
    <s v=""/>
    <m/>
    <s v=""/>
    <m/>
    <d v="2016-12-12T00:00:00"/>
    <n v="22.7"/>
    <n v="23.9"/>
    <n v="19.100000000000001"/>
    <s v="LTD DEC"/>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17.508499999999998"/>
    <n v="39.721499999999999"/>
    <m/>
    <m/>
    <n v="0"/>
    <s v=""/>
    <n v="0"/>
    <s v=""/>
    <s v="{3B02850D-6B29-4A1A-A6CD-B74B1ED69C11}"/>
    <s v=""/>
    <s v=""/>
    <s v=""/>
    <s v=""/>
    <s v=""/>
    <s v=""/>
    <s v=""/>
    <s v=""/>
    <s v=""/>
    <s v=""/>
    <x v="0"/>
    <s v=""/>
  </r>
  <r>
    <s v="KO"/>
    <n v="53.42"/>
    <m/>
    <n v="45.407000000000004"/>
    <x v="113"/>
    <x v="12"/>
    <m/>
    <m/>
    <m/>
    <m/>
    <m/>
    <m/>
    <m/>
    <m/>
    <m/>
    <m/>
    <m/>
    <m/>
    <s v="NEUTRAL"/>
    <d v="2022-07-25T06:55:00"/>
    <d v="2022-07-25T06:55:00"/>
    <m/>
    <m/>
    <m/>
    <m/>
    <m/>
    <m/>
    <m/>
    <m/>
    <s v=""/>
    <n v="0"/>
    <n v="0"/>
    <s v=""/>
    <m/>
    <m/>
    <s v=""/>
    <s v=""/>
    <s v=""/>
    <s v=""/>
    <s v=""/>
    <m/>
    <m/>
    <n v="0"/>
    <n v="0"/>
    <n v="0"/>
    <m/>
    <m/>
    <n v="53.05"/>
    <s v=""/>
    <s v=""/>
    <n v="0"/>
    <n v="0"/>
    <n v="-6.9262448521153971E-3"/>
    <n v="52.5"/>
    <s v="ITM"/>
    <n v="46"/>
    <s v="Assignment"/>
    <m/>
    <s v=""/>
    <m/>
    <m/>
    <m/>
    <s v=""/>
    <s v=""/>
    <m/>
    <s v=""/>
    <m/>
    <d v="2019-05-08T00:00:00"/>
    <n v="47.1"/>
    <n v="49.7"/>
    <n v="46.3"/>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0.397499999999994"/>
    <n v="104.169"/>
    <m/>
    <m/>
    <n v="0"/>
    <s v=""/>
    <n v="0"/>
    <s v=""/>
    <s v="{EE0D4A5A-9BEE-468D-9068-299BF7A1ABE1}"/>
    <s v=""/>
    <s v=""/>
    <s v=""/>
    <s v=""/>
    <s v=""/>
    <s v=""/>
    <s v=""/>
    <s v=""/>
    <s v=""/>
    <s v=""/>
    <x v="0"/>
    <s v=""/>
  </r>
  <r>
    <s v="KOLD"/>
    <n v="13.68"/>
    <s v="Swing"/>
    <n v="11.628"/>
    <x v="52"/>
    <x v="7"/>
    <m/>
    <m/>
    <m/>
    <m/>
    <m/>
    <m/>
    <m/>
    <m/>
    <m/>
    <m/>
    <m/>
    <m/>
    <m/>
    <d v="2022-11-10T06:30:00"/>
    <d v="2022-11-10T06:30:00"/>
    <m/>
    <m/>
    <m/>
    <m/>
    <m/>
    <m/>
    <m/>
    <m/>
    <s v=""/>
    <n v="0"/>
    <n v="0"/>
    <s v=""/>
    <m/>
    <m/>
    <s v=""/>
    <s v=""/>
    <s v=""/>
    <s v=""/>
    <s v=""/>
    <m/>
    <m/>
    <n v="0"/>
    <n v="0"/>
    <n v="0"/>
    <m/>
    <m/>
    <m/>
    <s v=""/>
    <s v=""/>
    <n v="0"/>
    <n v="0"/>
    <s v=""/>
    <n v="10"/>
    <s v="free money"/>
    <n v="10"/>
    <s v="Assignment"/>
    <s v="SPs"/>
    <s v=""/>
    <m/>
    <m/>
    <m/>
    <s v=""/>
    <s v=""/>
    <n v="8.4499999999999993"/>
    <n v="7.8584999999999985"/>
    <m/>
    <d v="2022-09-07T00:00:00"/>
    <n v="13.22"/>
    <n v="15.14"/>
    <n v="12.37"/>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26.675999999999998"/>
    <m/>
    <m/>
    <n v="0"/>
    <s v=""/>
    <n v="0"/>
    <s v=""/>
    <s v="{FDF25B13-6E92-4573-A111-0020070B436E}"/>
    <s v=""/>
    <s v=""/>
    <s v=""/>
    <s v=""/>
    <s v=""/>
    <s v=""/>
    <s v=""/>
    <s v=""/>
    <s v=""/>
    <s v=""/>
    <x v="0"/>
    <s v=""/>
  </r>
  <r>
    <s v="KR"/>
    <n v="23.32"/>
    <m/>
    <n v="19.821999999999999"/>
    <x v="114"/>
    <x v="8"/>
    <m/>
    <m/>
    <m/>
    <m/>
    <m/>
    <m/>
    <m/>
    <m/>
    <m/>
    <m/>
    <m/>
    <m/>
    <s v="BULLISH"/>
    <d v="2022-06-16T08:00:00"/>
    <d v="2022-06-16T08:00:00"/>
    <s v="Confirmed"/>
    <m/>
    <m/>
    <m/>
    <m/>
    <m/>
    <m/>
    <m/>
    <s v=""/>
    <n v="0"/>
    <n v="0"/>
    <s v=""/>
    <m/>
    <m/>
    <s v=""/>
    <s v=""/>
    <s v=""/>
    <s v=""/>
    <s v=""/>
    <n v="0.48"/>
    <d v="2017-09-01T00:00:00"/>
    <n v="0"/>
    <n v="0"/>
    <n v="2.0583190394511147E-2"/>
    <d v="2017-08-10T00:00:00"/>
    <m/>
    <n v="34.15"/>
    <s v=""/>
    <s v=""/>
    <n v="0"/>
    <n v="0"/>
    <n v="0.46440823327615771"/>
    <m/>
    <m/>
    <m/>
    <m/>
    <m/>
    <s v=""/>
    <m/>
    <m/>
    <m/>
    <s v=""/>
    <s v=""/>
    <m/>
    <s v=""/>
    <m/>
    <d v="2017-06-12T00:00:00"/>
    <n v="29.4"/>
    <n v="32.9"/>
    <n v="28.3"/>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2.442499999999995"/>
    <n v="45.473999999999997"/>
    <m/>
    <m/>
    <n v="0"/>
    <s v=""/>
    <n v="0"/>
    <s v=""/>
    <s v="{81EB0FCD-CA16-4242-BD2A-29E1A2DA2DEF}"/>
    <s v=""/>
    <s v=""/>
    <s v=""/>
    <s v=""/>
    <s v=""/>
    <s v=""/>
    <s v=""/>
    <s v=""/>
    <s v=""/>
    <s v=""/>
    <x v="0"/>
    <s v=""/>
  </r>
  <r>
    <s v="KSS"/>
    <n v="22.03"/>
    <s v="Swing"/>
    <n v="18.7255"/>
    <x v="60"/>
    <x v="8"/>
    <m/>
    <m/>
    <m/>
    <m/>
    <m/>
    <m/>
    <m/>
    <m/>
    <m/>
    <m/>
    <m/>
    <m/>
    <s v="BULLISH"/>
    <d v="2022-08-18T07:00:00"/>
    <d v="2022-08-18T07:00:00"/>
    <m/>
    <m/>
    <m/>
    <m/>
    <m/>
    <m/>
    <m/>
    <m/>
    <s v=""/>
    <n v="0"/>
    <n v="0"/>
    <s v=""/>
    <m/>
    <m/>
    <s v=""/>
    <s v=""/>
    <s v=""/>
    <s v=""/>
    <s v=""/>
    <n v="2.68"/>
    <d v="2019-12-25T00:00:00"/>
    <n v="0"/>
    <n v="0"/>
    <n v="0.12165229232864276"/>
    <d v="2019-12-10T00:00:00"/>
    <n v="56"/>
    <n v="20.88"/>
    <n v="1.5419881979119381"/>
    <s v=""/>
    <n v="0"/>
    <n v="0"/>
    <n v="-5.2201543349977397E-2"/>
    <n v="20"/>
    <s v="free money"/>
    <n v="20"/>
    <s v="Assignment"/>
    <s v="SPs"/>
    <s v=""/>
    <m/>
    <m/>
    <m/>
    <s v=""/>
    <s v=""/>
    <m/>
    <s v=""/>
    <m/>
    <d v="2020-09-08T00:00:00"/>
    <n v="19.2"/>
    <n v="26.7"/>
    <n v="16.899999999999999"/>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9.835999999999999"/>
    <n v="42.958500000000001"/>
    <m/>
    <m/>
    <n v="0"/>
    <s v=""/>
    <n v="0"/>
    <s v=""/>
    <s v="{0644BE2D-ECC7-4E81-9225-BF2ECF52DCC4}"/>
    <s v=""/>
    <s v=""/>
    <s v=""/>
    <s v=""/>
    <s v=""/>
    <s v=""/>
    <s v=""/>
    <s v=""/>
    <s v=""/>
    <s v=""/>
    <x v="0"/>
    <s v=""/>
  </r>
  <r>
    <s v="GUSH"/>
    <n v="149.88999999999999"/>
    <s v="Swing"/>
    <n v="127.40649999999998"/>
    <x v="52"/>
    <x v="7"/>
    <m/>
    <m/>
    <m/>
    <m/>
    <m/>
    <m/>
    <m/>
    <m/>
    <m/>
    <m/>
    <m/>
    <m/>
    <s v="BEARISH"/>
    <d v="2023-02-02T00:00:00"/>
    <d v="2023-02-02T00:00:00"/>
    <m/>
    <m/>
    <m/>
    <m/>
    <m/>
    <m/>
    <m/>
    <m/>
    <s v=""/>
    <n v="0"/>
    <n v="0"/>
    <s v=""/>
    <m/>
    <m/>
    <s v=""/>
    <s v=""/>
    <s v=""/>
    <s v=""/>
    <s v=""/>
    <m/>
    <m/>
    <n v="0"/>
    <n v="0"/>
    <n v="0"/>
    <m/>
    <m/>
    <m/>
    <s v=""/>
    <s v=""/>
    <n v="0"/>
    <n v="0"/>
    <s v=""/>
    <n v="190"/>
    <s v="OTM"/>
    <n v="190"/>
    <s v="Assignment"/>
    <s v="Lateral Spread"/>
    <s v=""/>
    <m/>
    <m/>
    <m/>
    <s v=""/>
    <s v=""/>
    <n v="32.15"/>
    <n v="29.899499999999996"/>
    <m/>
    <d v="2022-12-23T00:00:00"/>
    <n v="140.38"/>
    <n v="148.13999999999999"/>
    <n v="123.54"/>
    <s v="RANGE"/>
    <s v="BEARISH"/>
    <m/>
    <d v="2023-01-20T00:00:00"/>
    <d v="2024-01-19T00:00:00"/>
    <n v="190"/>
    <n v="2"/>
    <d v="2022-10-27T00:00:00"/>
    <d v="2022-10-31T00:00:00"/>
    <n v="66.5"/>
    <n v="13300"/>
    <n v="38000"/>
    <n v="59.5"/>
    <s v=""/>
    <n v="11900"/>
    <d v="2023-01-20T00:00:00"/>
    <n v="190"/>
    <n v="2"/>
    <d v="2022-12-12T00:00:00"/>
    <d v="2022-12-12T00:00:00"/>
    <n v="50.64"/>
    <n v="10128"/>
    <n v="139.36000000000001"/>
    <n v="39"/>
    <n v="0.26652631578947367"/>
    <n v="8.1277520610316731"/>
    <n v="38000"/>
    <n v="7.0251517779704939E-2"/>
    <n v="0"/>
    <m/>
    <n v="38000"/>
    <s v=""/>
    <s v=""/>
    <s v=""/>
    <n v="45.4"/>
    <n v="10.128"/>
    <m/>
    <n v="10.128"/>
    <d v="2022-12-31T16:00:00"/>
    <b v="0"/>
    <d v="2022-12-31T00:00:00"/>
    <n v="2025.6"/>
    <n v="184.29999999999998"/>
    <n v="8987.9999999999964"/>
    <n v="63.3"/>
    <n v="2532"/>
    <m/>
    <m/>
    <s v=""/>
    <n v="-9080"/>
    <n v="1048"/>
    <n v="0.10347551342812006"/>
    <m/>
    <m/>
    <m/>
    <m/>
    <m/>
    <m/>
    <n v="0"/>
    <s v=""/>
    <s v=""/>
    <m/>
    <s v=""/>
    <s v=""/>
    <s v=""/>
    <s v=""/>
    <s v=""/>
    <s v=""/>
    <s v=""/>
    <m/>
    <s v=""/>
    <m/>
    <s v=""/>
    <s v=""/>
    <s v=""/>
    <s v=""/>
    <n v="0"/>
    <m/>
    <m/>
    <m/>
    <m/>
    <m/>
    <m/>
    <s v=""/>
    <s v=""/>
    <n v="0"/>
    <n v="0"/>
    <n v="0"/>
    <n v="0"/>
    <s v=""/>
    <m/>
    <n v="0"/>
    <m/>
    <m/>
    <s v=""/>
    <s v=""/>
    <s v=""/>
    <m/>
    <s v=""/>
    <n v="0"/>
    <n v="0"/>
    <s v=""/>
    <s v=""/>
    <s v=""/>
    <s v=""/>
    <s v=""/>
    <s v=""/>
    <s v=""/>
    <s v=""/>
    <s v=""/>
    <s v=""/>
    <s v=""/>
    <s v=""/>
    <s v=""/>
    <s v=""/>
    <s v=""/>
    <s v=""/>
    <s v=""/>
    <m/>
    <n v="0"/>
    <n v="0"/>
    <n v="292.28549999999996"/>
    <m/>
    <m/>
    <n v="0"/>
    <s v=""/>
    <n v="0"/>
    <s v=""/>
    <m/>
    <s v="GUSH240119P00190000"/>
    <n v="1"/>
    <s v="GUSH230120P00190000"/>
    <n v="1"/>
    <s v=""/>
    <s v=""/>
    <s v=""/>
    <s v=""/>
    <s v="Y"/>
    <s v="SP LP "/>
    <x v="16"/>
    <n v="2.698919519704027E-2"/>
  </r>
  <r>
    <s v="GUSH_1"/>
    <n v="149.88999999999999"/>
    <s v="Swing"/>
    <n v="127.40649999999998"/>
    <x v="52"/>
    <x v="7"/>
    <m/>
    <m/>
    <m/>
    <m/>
    <m/>
    <m/>
    <m/>
    <m/>
    <m/>
    <m/>
    <m/>
    <m/>
    <s v="BULLISH"/>
    <d v="2023-02-02T00:00:00"/>
    <d v="2023-02-02T00:00:00"/>
    <m/>
    <m/>
    <m/>
    <m/>
    <m/>
    <m/>
    <m/>
    <m/>
    <s v=""/>
    <n v="0"/>
    <n v="0"/>
    <s v=""/>
    <m/>
    <m/>
    <s v=""/>
    <s v=""/>
    <s v=""/>
    <s v=""/>
    <s v=""/>
    <m/>
    <m/>
    <n v="0"/>
    <n v="0"/>
    <n v="0"/>
    <m/>
    <m/>
    <m/>
    <s v=""/>
    <s v=""/>
    <n v="0"/>
    <n v="0"/>
    <s v=""/>
    <n v="175"/>
    <s v="assignment"/>
    <n v="135"/>
    <s v="Losses"/>
    <s v="BuCS"/>
    <s v=""/>
    <m/>
    <m/>
    <m/>
    <s v=""/>
    <s v=""/>
    <n v="45.44"/>
    <n v="42.259199999999993"/>
    <s v="Can buy 2 more"/>
    <d v="2022-12-23T00:00:00"/>
    <n v="140.38"/>
    <n v="148.13999999999999"/>
    <n v="123.54"/>
    <s v="RANGE"/>
    <s v="BEARISH"/>
    <m/>
    <d v="2024-01-19T00:00:00"/>
    <m/>
    <m/>
    <m/>
    <m/>
    <m/>
    <m/>
    <n v="0"/>
    <n v="0"/>
    <m/>
    <s v=""/>
    <s v=""/>
    <m/>
    <m/>
    <m/>
    <m/>
    <m/>
    <m/>
    <n v="0"/>
    <s v=""/>
    <s v=""/>
    <s v=""/>
    <s v=""/>
    <n v="0"/>
    <s v=""/>
    <n v="0"/>
    <m/>
    <n v="0"/>
    <s v=""/>
    <s v=""/>
    <s v=""/>
    <m/>
    <n v="0"/>
    <m/>
    <s v=""/>
    <s v=""/>
    <s v=""/>
    <m/>
    <s v=""/>
    <s v=""/>
    <s v=""/>
    <s v=""/>
    <s v=""/>
    <m/>
    <m/>
    <s v=""/>
    <s v=""/>
    <s v=""/>
    <s v=""/>
    <d v="2024-01-19T00:00:00"/>
    <n v="135"/>
    <n v="2"/>
    <d v="2022-12-16T00:00:00"/>
    <d v="2022-12-16T00:00:00"/>
    <n v="49.37"/>
    <n v="9874"/>
    <s v=""/>
    <n v="184.37"/>
    <n v="52.4"/>
    <n v="10480"/>
    <n v="606"/>
    <n v="6.1373303625683613E-2"/>
    <n v="74.054999999999993"/>
    <n v="14810.999999999998"/>
    <n v="4936.9999999999982"/>
    <n v="0.49999999999999983"/>
    <m/>
    <n v="37.027499999999996"/>
    <m/>
    <n v="37.027499999999996"/>
    <n v="7405.4999999999991"/>
    <n v="-2468.5000000000009"/>
    <n v="-0.25000000000000011"/>
    <n v="2"/>
    <m/>
    <m/>
    <m/>
    <m/>
    <m/>
    <m/>
    <s v=""/>
    <s v=""/>
    <n v="0"/>
    <n v="0"/>
    <n v="0"/>
    <n v="0"/>
    <s v=""/>
    <m/>
    <n v="0"/>
    <m/>
    <m/>
    <s v=""/>
    <s v=""/>
    <s v=""/>
    <m/>
    <s v=""/>
    <n v="0"/>
    <n v="0"/>
    <s v=""/>
    <s v=""/>
    <s v=""/>
    <s v=""/>
    <s v=""/>
    <s v=""/>
    <s v=""/>
    <s v=""/>
    <s v=""/>
    <s v=""/>
    <s v=""/>
    <s v=""/>
    <s v=""/>
    <s v=""/>
    <s v=""/>
    <s v=""/>
    <s v=""/>
    <m/>
    <n v="0"/>
    <n v="0"/>
    <n v="292.28549999999996"/>
    <m/>
    <m/>
    <n v="0"/>
    <s v=""/>
    <n v="0"/>
    <s v=""/>
    <s v="{B493E49B-A7A7-41BA-BFC6-59DF23EA2507}"/>
    <s v=""/>
    <s v=""/>
    <s v=""/>
    <s v=""/>
    <s v="GUSH240119C00135000"/>
    <n v="1"/>
    <s v=""/>
    <s v=""/>
    <s v="Y"/>
    <s v="LC "/>
    <x v="17"/>
    <n v="6.4726346394534057E-3"/>
  </r>
  <r>
    <s v="HAL"/>
    <n v="39.090000000000003"/>
    <s v="Swing"/>
    <n v="33.226500000000001"/>
    <x v="66"/>
    <x v="6"/>
    <m/>
    <m/>
    <m/>
    <m/>
    <m/>
    <m/>
    <m/>
    <m/>
    <m/>
    <m/>
    <m/>
    <m/>
    <s v="BULLISH"/>
    <d v="2023-01-24T00:00:00"/>
    <d v="2023-01-24T00:00:00"/>
    <s v="Confirmed"/>
    <m/>
    <m/>
    <m/>
    <m/>
    <m/>
    <n v="1000"/>
    <n v="38730"/>
    <n v="38.729999999999997"/>
    <n v="39090"/>
    <n v="360"/>
    <n v="9.2951200619674663E-3"/>
    <n v="46"/>
    <n v="37.549999999999997"/>
    <n v="7.2700000000000031"/>
    <n v="-1.1799999999999997"/>
    <s v="6.2  : 1"/>
    <n v="7270.0000000000027"/>
    <n v="-1179.9999999999998"/>
    <m/>
    <m/>
    <n v="0"/>
    <n v="0"/>
    <n v="0"/>
    <m/>
    <m/>
    <n v="45.68"/>
    <s v=""/>
    <n v="0.17944745675187193"/>
    <n v="6950"/>
    <n v="6590"/>
    <n v="0.16858531593757983"/>
    <n v="38"/>
    <s v="assignment"/>
    <n v="38"/>
    <s v="free money"/>
    <s v="CCs"/>
    <s v=""/>
    <m/>
    <m/>
    <m/>
    <s v=""/>
    <s v=""/>
    <n v="36.71"/>
    <n v="34.140299999999996"/>
    <m/>
    <d v="2022-12-20T00:00:00"/>
    <n v="33.4"/>
    <n v="42"/>
    <n v="30.4"/>
    <s v="LTD RISE"/>
    <s v="BULLISH"/>
    <m/>
    <d v="2022-12-30T00:00:00"/>
    <m/>
    <m/>
    <m/>
    <m/>
    <m/>
    <m/>
    <n v="0"/>
    <n v="0"/>
    <m/>
    <s v=""/>
    <s v=""/>
    <m/>
    <m/>
    <m/>
    <m/>
    <m/>
    <m/>
    <n v="0"/>
    <s v=""/>
    <s v=""/>
    <s v=""/>
    <s v=""/>
    <n v="0"/>
    <s v=""/>
    <n v="0"/>
    <m/>
    <n v="0"/>
    <s v=""/>
    <s v=""/>
    <s v=""/>
    <m/>
    <n v="0"/>
    <m/>
    <s v=""/>
    <s v=""/>
    <s v=""/>
    <m/>
    <s v=""/>
    <s v=""/>
    <s v=""/>
    <s v=""/>
    <s v=""/>
    <m/>
    <m/>
    <s v=""/>
    <s v=""/>
    <s v=""/>
    <s v=""/>
    <m/>
    <m/>
    <m/>
    <m/>
    <m/>
    <m/>
    <n v="0"/>
    <s v=""/>
    <s v=""/>
    <m/>
    <s v=""/>
    <s v=""/>
    <s v=""/>
    <s v=""/>
    <s v=""/>
    <s v=""/>
    <s v=""/>
    <m/>
    <s v=""/>
    <m/>
    <s v=""/>
    <s v=""/>
    <s v=""/>
    <s v=""/>
    <n v="10"/>
    <d v="2022-12-30T00:00:00"/>
    <n v="38"/>
    <n v="10"/>
    <d v="2022-12-23T00:00:00"/>
    <d v="2022-12-23T00:00:00"/>
    <n v="0.43"/>
    <n v="7"/>
    <n v="4"/>
    <n v="430"/>
    <n v="38730"/>
    <n v="2.9047499999999999"/>
    <n v="37.57"/>
    <s v=""/>
    <m/>
    <n v="8.6000000000000007E-2"/>
    <n v="1.51"/>
    <m/>
    <n v="8.6000000000000007E-2"/>
    <d v="2022-12-26T16:00:00"/>
    <b v="0"/>
    <d v="2022-12-26T00:00:00"/>
    <n v="86.000000000000014"/>
    <n v="1.0900000000000034"/>
    <n v="0.4199999999999966"/>
    <n v="1.0744435917114263E-2"/>
    <n v="-2.7884369403939711E-2"/>
    <n v="37998.49"/>
    <n v="1091.510000000002"/>
    <n v="-301.51000000000204"/>
    <n v="37.998489999999997"/>
    <s v=""/>
    <n v="1.1102504518461141E-2"/>
    <n v="0.7784215248261912"/>
    <s v=""/>
    <n v="0"/>
    <n v="0"/>
    <n v="430"/>
    <n v="0.7784215248261912"/>
    <n v="-1510"/>
    <n v="-1080"/>
    <n v="-2.5116279069767442"/>
    <m/>
    <n v="200"/>
    <n v="43.396000000000001"/>
    <n v="76.225500000000011"/>
    <m/>
    <m/>
    <n v="0"/>
    <n v="0"/>
    <n v="0"/>
    <n v="-7.7849212496773051E-3"/>
    <s v="{938E10F5-75AD-4E62-A96E-7EBDED124E18}"/>
    <s v=""/>
    <s v=""/>
    <s v=""/>
    <s v=""/>
    <s v=""/>
    <s v=""/>
    <s v="HAL221230C00038000"/>
    <n v="1"/>
    <s v="Y"/>
    <s v="LNG SC "/>
    <x v="18"/>
    <n v="2.5342521284309163E-2"/>
  </r>
  <r>
    <s v="KWEB"/>
    <n v="51.744999999999997"/>
    <m/>
    <n v="43.983249999999998"/>
    <x v="63"/>
    <x v="14"/>
    <m/>
    <m/>
    <m/>
    <m/>
    <m/>
    <m/>
    <m/>
    <m/>
    <m/>
    <m/>
    <m/>
    <m/>
    <m/>
    <d v="2022-07-28T06:25:00"/>
    <d v="2022-07-28T06:25:00"/>
    <m/>
    <m/>
    <m/>
    <m/>
    <m/>
    <m/>
    <m/>
    <m/>
    <s v=""/>
    <n v="0"/>
    <n v="0"/>
    <s v=""/>
    <m/>
    <m/>
    <s v=""/>
    <s v=""/>
    <s v=""/>
    <s v=""/>
    <s v=""/>
    <m/>
    <m/>
    <n v="0"/>
    <n v="0"/>
    <n v="0"/>
    <m/>
    <m/>
    <m/>
    <s v=""/>
    <s v=""/>
    <n v="0"/>
    <n v="0"/>
    <s v=""/>
    <n v="52.5"/>
    <s v="max gain"/>
    <n v="52.5"/>
    <s v="Losses"/>
    <s v="BuPS"/>
    <s v=""/>
    <m/>
    <m/>
    <m/>
    <s v=""/>
    <s v=""/>
    <n v="1.48"/>
    <n v="1.3763999999999998"/>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00.90275"/>
    <m/>
    <m/>
    <n v="0"/>
    <s v=""/>
    <n v="0"/>
    <s v=""/>
    <m/>
    <s v=""/>
    <s v=""/>
    <s v=""/>
    <s v=""/>
    <s v=""/>
    <s v=""/>
    <s v=""/>
    <s v=""/>
    <s v=""/>
    <s v=""/>
    <x v="0"/>
    <s v=""/>
  </r>
  <r>
    <s v="LABU"/>
    <n v="42.88"/>
    <m/>
    <n v="36.448"/>
    <x v="52"/>
    <x v="7"/>
    <m/>
    <m/>
    <m/>
    <m/>
    <m/>
    <m/>
    <m/>
    <m/>
    <m/>
    <m/>
    <m/>
    <m/>
    <m/>
    <d v="2022-07-28T06:25:00"/>
    <d v="2022-07-28T06:25:00"/>
    <m/>
    <m/>
    <m/>
    <m/>
    <m/>
    <m/>
    <m/>
    <m/>
    <s v=""/>
    <n v="0"/>
    <n v="0"/>
    <s v=""/>
    <m/>
    <m/>
    <s v=""/>
    <s v=""/>
    <s v=""/>
    <s v=""/>
    <s v=""/>
    <m/>
    <m/>
    <n v="0"/>
    <n v="0"/>
    <n v="0"/>
    <m/>
    <m/>
    <s v="-"/>
    <s v=""/>
    <s v=""/>
    <n v="0"/>
    <n v="0"/>
    <s v=""/>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83.616"/>
    <m/>
    <m/>
    <n v="0"/>
    <s v=""/>
    <n v="0"/>
    <s v=""/>
    <s v="{73AE56AA-005E-482A-B0E4-099719F98224}"/>
    <s v=""/>
    <s v=""/>
    <s v=""/>
    <s v=""/>
    <s v=""/>
    <s v=""/>
    <s v=""/>
    <s v=""/>
    <s v=""/>
    <s v=""/>
    <x v="0"/>
    <s v=""/>
  </r>
  <r>
    <s v="LAZR"/>
    <n v="30.67"/>
    <s v="Prem"/>
    <n v="26.069500000000001"/>
    <x v="10"/>
    <x v="3"/>
    <m/>
    <m/>
    <m/>
    <m/>
    <m/>
    <m/>
    <m/>
    <m/>
    <m/>
    <m/>
    <m/>
    <m/>
    <m/>
    <d v="2022-08-04T16:00:00"/>
    <d v="2022-08-04T16:00:00"/>
    <m/>
    <m/>
    <m/>
    <m/>
    <m/>
    <m/>
    <m/>
    <m/>
    <s v=""/>
    <n v="0"/>
    <n v="0"/>
    <s v=""/>
    <m/>
    <m/>
    <s v=""/>
    <s v=""/>
    <s v=""/>
    <s v=""/>
    <s v=""/>
    <m/>
    <m/>
    <n v="0"/>
    <n v="0"/>
    <n v="0"/>
    <m/>
    <m/>
    <s v="-"/>
    <s v=""/>
    <s v=""/>
    <n v="0"/>
    <n v="0"/>
    <s v=""/>
    <n v="25"/>
    <s v="free money"/>
    <n v="25"/>
    <s v="Assignment"/>
    <s v="SPs"/>
    <s v=""/>
    <m/>
    <m/>
    <m/>
    <s v=""/>
    <s v=""/>
    <m/>
    <s v=""/>
    <m/>
    <d v="2021-01-04T00:00:00"/>
    <n v="31.93"/>
    <n v="65.73"/>
    <n v="16.07"/>
    <s v="LTD DEC"/>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59.8065"/>
    <m/>
    <m/>
    <n v="0"/>
    <s v=""/>
    <n v="0"/>
    <s v=""/>
    <m/>
    <s v=""/>
    <s v=""/>
    <s v=""/>
    <s v=""/>
    <s v=""/>
    <s v=""/>
    <s v=""/>
    <s v=""/>
    <s v=""/>
    <s v=""/>
    <x v="0"/>
    <s v=""/>
  </r>
  <r>
    <s v="LCID"/>
    <n v="20.38"/>
    <s v="Swing"/>
    <n v="17.323"/>
    <x v="115"/>
    <x v="1"/>
    <m/>
    <m/>
    <m/>
    <m/>
    <m/>
    <m/>
    <m/>
    <m/>
    <m/>
    <m/>
    <m/>
    <m/>
    <s v="BULLISH"/>
    <d v="2022-08-03T16:05:00"/>
    <d v="2022-08-03T16:05:00"/>
    <s v="Confirmed"/>
    <m/>
    <m/>
    <m/>
    <m/>
    <m/>
    <m/>
    <m/>
    <s v=""/>
    <n v="0"/>
    <n v="0"/>
    <s v=""/>
    <n v="57"/>
    <n v="35"/>
    <s v=""/>
    <s v=""/>
    <s v=""/>
    <s v=""/>
    <s v=""/>
    <m/>
    <m/>
    <n v="0"/>
    <n v="0"/>
    <n v="0"/>
    <m/>
    <m/>
    <n v="23.33"/>
    <s v=""/>
    <s v=""/>
    <n v="0"/>
    <n v="0"/>
    <n v="0.14474975466143275"/>
    <n v="25"/>
    <s v="T1"/>
    <n v="19.850000000000001"/>
    <s v="stop out"/>
    <s v="long equity"/>
    <s v=""/>
    <m/>
    <m/>
    <m/>
    <s v=""/>
    <s v=""/>
    <n v="21.92"/>
    <n v="20.3856"/>
    <m/>
    <d v="2022-07-19T00:00:00"/>
    <n v="17.8"/>
    <n v="25.3"/>
    <n v="17.8"/>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b"/>
    <n v="0"/>
    <n v="22.163499999999999"/>
    <n v="39.741"/>
    <m/>
    <m/>
    <n v="0"/>
    <s v=""/>
    <n v="0"/>
    <s v=""/>
    <s v="{774CA4D8-DE6F-4B78-AF4A-F6DEA3900055}"/>
    <s v=""/>
    <s v=""/>
    <s v=""/>
    <s v=""/>
    <s v=""/>
    <s v=""/>
    <s v=""/>
    <s v=""/>
    <s v=""/>
    <s v=""/>
    <x v="0"/>
    <s v=""/>
  </r>
  <r>
    <s v="LEA"/>
    <n v="114.54"/>
    <m/>
    <n v="97.359000000000009"/>
    <x v="107"/>
    <x v="12"/>
    <s v="Shares were up more than 2% this week due to the reported strength of U.S. auto sales last month, which posted a 17.2 million SAAR, the highest November SAAR since 2003, helped by falling unemployment rates, lower oil, lower gas prices and Black Friday deals. This is, of course, good news for Lear, which supplies seating and electronics to many of the large automakers. Shares have rallied from its October lows but we see it approaching the old highs at the very least given the strong quarterly performance, restructuring, recent Ottawa Eagle acquisition, and there's room for further buybacks on top of the $700 million one underway. Plus, we like the attractive 10.6 multiple, which is below the group average and its own historical average"/>
    <m/>
    <m/>
    <m/>
    <m/>
    <m/>
    <m/>
    <m/>
    <m/>
    <m/>
    <m/>
    <m/>
    <m/>
    <d v="2022-08-02T06:30:00"/>
    <d v="2022-08-02T06:30:00"/>
    <m/>
    <m/>
    <m/>
    <m/>
    <m/>
    <m/>
    <m/>
    <m/>
    <s v=""/>
    <n v="0"/>
    <n v="0"/>
    <s v=""/>
    <m/>
    <m/>
    <s v=""/>
    <s v=""/>
    <s v=""/>
    <s v=""/>
    <s v=""/>
    <n v="1"/>
    <d v="2015-12-21T00:00:00"/>
    <n v="0"/>
    <n v="0"/>
    <n v="8.7305744718002443E-3"/>
    <d v="2015-08-27T00:00:00"/>
    <m/>
    <n v="117.75"/>
    <s v=""/>
    <s v=""/>
    <n v="0"/>
    <n v="0"/>
    <n v="2.8025144054478729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1.8625"/>
    <n v="223.35300000000001"/>
    <m/>
    <n v="108.18"/>
    <n v="0"/>
    <s v=""/>
    <n v="0"/>
    <s v=""/>
    <s v="{98825FA2-148B-454C-BC2B-86BF99AA5F92}"/>
    <s v=""/>
    <s v=""/>
    <s v=""/>
    <s v=""/>
    <s v=""/>
    <s v=""/>
    <s v=""/>
    <s v=""/>
    <s v=""/>
    <s v=""/>
    <x v="0"/>
    <s v=""/>
  </r>
  <r>
    <s v="LEN"/>
    <n v="83.32"/>
    <m/>
    <n v="70.821999999999989"/>
    <x v="116"/>
    <x v="1"/>
    <m/>
    <m/>
    <m/>
    <m/>
    <m/>
    <m/>
    <m/>
    <m/>
    <m/>
    <m/>
    <m/>
    <m/>
    <s v="BULLISH"/>
    <d v="2022-06-15T16:30:00"/>
    <d v="2022-06-15T16:30:00"/>
    <m/>
    <m/>
    <m/>
    <m/>
    <m/>
    <m/>
    <m/>
    <m/>
    <s v=""/>
    <n v="0"/>
    <n v="0"/>
    <s v=""/>
    <m/>
    <m/>
    <s v=""/>
    <s v=""/>
    <s v=""/>
    <s v=""/>
    <s v=""/>
    <m/>
    <m/>
    <n v="0"/>
    <n v="0"/>
    <n v="0"/>
    <m/>
    <m/>
    <n v="87.53"/>
    <s v=""/>
    <s v=""/>
    <n v="0"/>
    <n v="0"/>
    <n v="5.052808449351906E-2"/>
    <n v="75"/>
    <s v="free money"/>
    <n v="75"/>
    <s v="Assignment"/>
    <s v="SPs"/>
    <s v=""/>
    <m/>
    <m/>
    <m/>
    <s v=""/>
    <s v=""/>
    <m/>
    <s v=""/>
    <m/>
    <d v="2020-10-12T00:00:00"/>
    <n v="78.900000000000006"/>
    <n v="95.6"/>
    <n v="73.09999999999999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3.153499999999994"/>
    <n v="162.47399999999999"/>
    <m/>
    <m/>
    <n v="0"/>
    <s v=""/>
    <n v="0"/>
    <s v=""/>
    <m/>
    <s v=""/>
    <s v=""/>
    <s v=""/>
    <s v=""/>
    <s v=""/>
    <s v=""/>
    <s v=""/>
    <s v=""/>
    <s v=""/>
    <s v=""/>
    <x v="0"/>
    <s v=""/>
  </r>
  <r>
    <s v="LITE"/>
    <n v="72.62"/>
    <s v="Swing"/>
    <n v="61.727000000000004"/>
    <x v="44"/>
    <x v="3"/>
    <m/>
    <m/>
    <m/>
    <m/>
    <m/>
    <m/>
    <m/>
    <m/>
    <m/>
    <m/>
    <m/>
    <m/>
    <s v="BULLISH"/>
    <d v="2022-09-03T00:00:00"/>
    <d v="2022-09-03T00:00:00"/>
    <s v="Confirmed"/>
    <m/>
    <m/>
    <m/>
    <m/>
    <n v="4"/>
    <m/>
    <m/>
    <s v=""/>
    <n v="0"/>
    <n v="0"/>
    <s v=""/>
    <m/>
    <m/>
    <s v=""/>
    <s v=""/>
    <s v=""/>
    <s v=""/>
    <s v=""/>
    <m/>
    <m/>
    <n v="0"/>
    <n v="0"/>
    <n v="0"/>
    <m/>
    <n v="140"/>
    <n v="96"/>
    <n v="0.92784356926466527"/>
    <s v=""/>
    <n v="0"/>
    <n v="0"/>
    <n v="0.32194987606719905"/>
    <n v="110"/>
    <s v="T1"/>
    <n v="81.11"/>
    <s v="stop out"/>
    <s v="LEAPS"/>
    <s v=""/>
    <m/>
    <m/>
    <m/>
    <s v=""/>
    <s v=""/>
    <m/>
    <s v=""/>
    <m/>
    <d v="2020-08-26T00:00:00"/>
    <n v="88.63"/>
    <n v="101.94"/>
    <n v="80.53"/>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1.199999999999989"/>
    <n v="141.60900000000001"/>
    <m/>
    <m/>
    <n v="0"/>
    <s v=""/>
    <n v="0"/>
    <s v=""/>
    <s v="{2496A88D-1AB8-4EDC-BA2D-2D05D6A955E1}"/>
    <s v=""/>
    <s v=""/>
    <s v=""/>
    <s v=""/>
    <s v=""/>
    <s v=""/>
    <s v=""/>
    <s v=""/>
    <s v=""/>
    <s v=""/>
    <x v="0"/>
    <s v=""/>
  </r>
  <r>
    <s v="LKNCY"/>
    <n v="22.49"/>
    <s v="Lottery"/>
    <n v="19.116499999999998"/>
    <x v="48"/>
    <x v="8"/>
    <m/>
    <m/>
    <m/>
    <m/>
    <m/>
    <m/>
    <m/>
    <m/>
    <m/>
    <m/>
    <m/>
    <m/>
    <s v="Lottery"/>
    <d v="2023-01-24T00:00:00"/>
    <d v="2023-01-24T00:00:00"/>
    <s v="Confirmed"/>
    <m/>
    <m/>
    <m/>
    <m/>
    <m/>
    <n v="300"/>
    <n v="13209.6"/>
    <n v="44.032000000000004"/>
    <n v="6746.9999999999991"/>
    <n v="-6462.6000000000013"/>
    <n v="-0.48923510174418611"/>
    <m/>
    <m/>
    <s v=""/>
    <s v=""/>
    <s v=""/>
    <s v=""/>
    <s v=""/>
    <m/>
    <m/>
    <n v="0"/>
    <n v="0"/>
    <n v="0"/>
    <m/>
    <m/>
    <n v="5.78"/>
    <s v=""/>
    <n v="-0.86873183139534882"/>
    <n v="-11475.6"/>
    <n v="-5012.9999999999991"/>
    <n v="-0.74299688750555792"/>
    <m/>
    <m/>
    <m/>
    <m/>
    <m/>
    <s v=""/>
    <m/>
    <m/>
    <m/>
    <s v=""/>
    <s v=""/>
    <n v="41.63"/>
    <n v="38.715899999999998"/>
    <m/>
    <d v="2022-12-23T00:00:00"/>
    <n v="23.48"/>
    <n v="24.45"/>
    <n v="21.59"/>
    <s v="RANGE"/>
    <s v="RANGE"/>
    <m/>
    <s v=""/>
    <m/>
    <m/>
    <m/>
    <m/>
    <m/>
    <m/>
    <n v="0"/>
    <n v="0"/>
    <m/>
    <s v=""/>
    <s v=""/>
    <m/>
    <m/>
    <m/>
    <m/>
    <m/>
    <m/>
    <n v="0"/>
    <s v=""/>
    <s v=""/>
    <s v=""/>
    <s v=""/>
    <n v="0"/>
    <s v=""/>
    <n v="0"/>
    <m/>
    <n v="0"/>
    <s v=""/>
    <s v=""/>
    <s v=""/>
    <m/>
    <n v="0"/>
    <m/>
    <s v=""/>
    <s v=""/>
    <s v=""/>
    <m/>
    <s v=""/>
    <s v=""/>
    <s v=""/>
    <s v=""/>
    <s v=""/>
    <m/>
    <m/>
    <s v=""/>
    <s v=""/>
    <s v=""/>
    <s v=""/>
    <m/>
    <m/>
    <m/>
    <m/>
    <m/>
    <m/>
    <n v="0"/>
    <s v=""/>
    <s v=""/>
    <m/>
    <s v=""/>
    <s v=""/>
    <s v=""/>
    <s v=""/>
    <s v=""/>
    <s v=""/>
    <s v=""/>
    <m/>
    <s v=""/>
    <m/>
    <s v=""/>
    <s v=""/>
    <s v=""/>
    <s v=""/>
    <n v="3"/>
    <m/>
    <m/>
    <m/>
    <m/>
    <m/>
    <m/>
    <s v=""/>
    <s v=""/>
    <n v="0"/>
    <n v="0"/>
    <n v="0"/>
    <n v="0"/>
    <s v=""/>
    <m/>
    <n v="0"/>
    <m/>
    <m/>
    <s v=""/>
    <s v=""/>
    <s v=""/>
    <m/>
    <s v=""/>
    <n v="0"/>
    <n v="0"/>
    <s v=""/>
    <s v=""/>
    <s v=""/>
    <s v=""/>
    <s v=""/>
    <s v=""/>
    <s v=""/>
    <s v=""/>
    <s v=""/>
    <s v=""/>
    <s v=""/>
    <s v=""/>
    <s v=""/>
    <s v=""/>
    <s v=""/>
    <s v=""/>
    <s v=""/>
    <m/>
    <n v="60"/>
    <n v="5.4909999999999997"/>
    <n v="43.855499999999999"/>
    <m/>
    <m/>
    <n v="0"/>
    <n v="0"/>
    <n v="0"/>
    <s v=""/>
    <s v="{55AFD75F-8239-4D7B-8FF0-ED7706C09EB3}"/>
    <s v=""/>
    <s v=""/>
    <s v=""/>
    <s v=""/>
    <s v=""/>
    <s v=""/>
    <s v=""/>
    <s v=""/>
    <s v=""/>
    <s v="LNG "/>
    <x v="19"/>
    <n v="8.659197339814028E-3"/>
  </r>
  <r>
    <s v="LLY"/>
    <n v="356.33"/>
    <m/>
    <n v="302.88049999999998"/>
    <x v="93"/>
    <x v="2"/>
    <s v="Cramer 11/3/2015:_x000a_&quot;we are confident in its combination of established and pipeline drugs. We will be looking to add to the name further if shares drop into the mid-$70s. ..we view Lilly as a compelling, pipeline-driven resurgence story after overcoming a serious earnings squeeze following the loss of two major patents (Cymbalta/Zyprexa). The stock's most recent selloff, which was due to the announced discontinuation of its CETP inhibitor Evacetrapib, was overdone in our opinion, especially given the company's budding pipeline._x000a_Going forward, we expect revenue growth (driven by forthcoming product launches in core therapy areas) combined with margin expansion (which was already demonstrated in its most recent quarterly results, reported on Oct. 22) to create a powerful acceleration in both earnings and cash flow. Specifically, its new diabetes drugs (Jardiance, Glyxambi, Trulicity and Abasaglar), other contributions in oncology (Cyramza, Abemaciclib), inflammation (Baricitinib, Ixekizumab) and Alzheimer's (Solanezumab) provide a view into a promising future. In all, the evolution of Lilly's business away from small molecule CNS products toward long-tailed biologics across diabetes, immunology and oncology, together with a top-tier animal health business (Elanco) and promising _x000a_Alzheimer's research, helps pave a path toward long-term growth."/>
    <s v="drug industry in generl getting dumped on by Democrats over pricing"/>
    <m/>
    <m/>
    <m/>
    <m/>
    <m/>
    <m/>
    <m/>
    <m/>
    <m/>
    <m/>
    <s v="BULLISH"/>
    <d v="2022-11-01T06:25:00"/>
    <d v="2022-11-01T06:25:00"/>
    <s v="Confirmed"/>
    <s v="Elanco Animal Health division sale or spin"/>
    <s v="2018 Q2"/>
    <m/>
    <m/>
    <m/>
    <m/>
    <m/>
    <s v=""/>
    <n v="0"/>
    <n v="0"/>
    <s v=""/>
    <m/>
    <m/>
    <s v=""/>
    <s v=""/>
    <s v=""/>
    <s v=""/>
    <s v=""/>
    <n v="2.04"/>
    <d v="2016-09-10T00:00:00"/>
    <n v="0"/>
    <n v="0"/>
    <n v="5.7250301686638796E-3"/>
    <d v="2019-05-14T00:00:00"/>
    <m/>
    <n v="147.29"/>
    <s v=""/>
    <s v=""/>
    <n v="0"/>
    <n v="0"/>
    <n v="-0.58664720904779277"/>
    <n v="335"/>
    <s v="WRITE CC"/>
    <n v="320"/>
    <s v="Assignment"/>
    <s v="SPs"/>
    <s v=""/>
    <m/>
    <m/>
    <m/>
    <s v=""/>
    <s v=""/>
    <n v="324.27999999999997"/>
    <n v="301.58039999999994"/>
    <m/>
    <d v="2022-10-20T00:00:00"/>
    <n v="312"/>
    <n v="368"/>
    <n v="295"/>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139.9255"/>
    <n v="694.84349999999995"/>
    <m/>
    <m/>
    <n v="0"/>
    <s v=""/>
    <n v="0"/>
    <s v=""/>
    <s v="{34391AA7-7C69-40A4-89E3-4F7453C86B1B}"/>
    <s v=""/>
    <s v=""/>
    <s v=""/>
    <s v=""/>
    <s v=""/>
    <s v=""/>
    <s v=""/>
    <s v=""/>
    <s v=""/>
    <s v=""/>
    <x v="0"/>
    <s v=""/>
  </r>
  <r>
    <s v="LMT"/>
    <n v="406.08"/>
    <m/>
    <n v="345.16799999999995"/>
    <x v="50"/>
    <x v="13"/>
    <s v="Business is on the upswing thanks to Mid-East chaos"/>
    <s v="missed price jump"/>
    <m/>
    <m/>
    <m/>
    <m/>
    <m/>
    <m/>
    <m/>
    <m/>
    <m/>
    <m/>
    <s v="BULLISH"/>
    <d v="2022-10-18T07:30:00"/>
    <d v="2022-10-18T07:30:00"/>
    <m/>
    <m/>
    <m/>
    <m/>
    <m/>
    <n v="1"/>
    <m/>
    <m/>
    <s v=""/>
    <n v="0"/>
    <n v="0"/>
    <s v=""/>
    <m/>
    <m/>
    <s v=""/>
    <s v=""/>
    <s v=""/>
    <s v=""/>
    <s v=""/>
    <n v="6.6"/>
    <d v="2016-09-24T00:00:00"/>
    <n v="0"/>
    <n v="0"/>
    <n v="1.6252955082742316E-2"/>
    <d v="2019-11-30T00:00:00"/>
    <m/>
    <n v="434.12"/>
    <s v=""/>
    <s v=""/>
    <n v="0"/>
    <n v="0"/>
    <n v="6.9050433412135598E-2"/>
    <n v="385"/>
    <s v="free money"/>
    <n v="385"/>
    <s v="Assignment"/>
    <s v="SPs"/>
    <s v=""/>
    <m/>
    <m/>
    <m/>
    <s v=""/>
    <s v=""/>
    <n v="382.55"/>
    <n v="355.7715"/>
    <m/>
    <d v="2022-07-25T00:00:00"/>
    <n v="416"/>
    <n v="434"/>
    <n v="362"/>
    <s v="DECLINE"/>
    <s v="RANGE"/>
    <m/>
    <s v=""/>
    <m/>
    <m/>
    <m/>
    <m/>
    <m/>
    <m/>
    <n v="0"/>
    <n v="0"/>
    <m/>
    <s v=""/>
    <s v=""/>
    <m/>
    <m/>
    <m/>
    <m/>
    <m/>
    <m/>
    <n v="0"/>
    <s v=""/>
    <s v=""/>
    <s v=""/>
    <s v=""/>
    <n v="0"/>
    <s v=""/>
    <n v="0"/>
    <m/>
    <n v="0"/>
    <s v=""/>
    <s v=""/>
    <s v=""/>
    <m/>
    <n v="0"/>
    <m/>
    <s v=""/>
    <s v=""/>
    <s v=""/>
    <d v="2022-07-29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12.41399999999999"/>
    <n v="791.85599999999999"/>
    <m/>
    <m/>
    <n v="0"/>
    <s v=""/>
    <n v="0"/>
    <s v=""/>
    <s v="{B933738F-E59C-4758-B476-34ECA02B8F89}"/>
    <s v=""/>
    <s v=""/>
    <s v=""/>
    <s v=""/>
    <s v=""/>
    <s v=""/>
    <s v=""/>
    <s v=""/>
    <s v=""/>
    <s v=""/>
    <x v="0"/>
    <s v=""/>
  </r>
  <r>
    <s v="LNG"/>
    <n v="155.91999999999999"/>
    <s v="Swing"/>
    <n v="132.53199999999998"/>
    <x v="117"/>
    <x v="6"/>
    <m/>
    <m/>
    <m/>
    <m/>
    <m/>
    <m/>
    <m/>
    <m/>
    <m/>
    <m/>
    <m/>
    <m/>
    <s v="BULLISH"/>
    <d v="2023-02-02T00:00:00"/>
    <d v="2023-02-02T00:00:00"/>
    <m/>
    <m/>
    <m/>
    <m/>
    <m/>
    <m/>
    <m/>
    <m/>
    <s v=""/>
    <n v="0"/>
    <n v="0"/>
    <s v=""/>
    <n v="157"/>
    <n v="133.9"/>
    <s v=""/>
    <s v=""/>
    <s v=""/>
    <s v=""/>
    <s v=""/>
    <m/>
    <m/>
    <n v="0"/>
    <n v="0"/>
    <n v="0"/>
    <m/>
    <m/>
    <n v="158.55000000000001"/>
    <s v=""/>
    <s v=""/>
    <n v="0"/>
    <n v="0"/>
    <n v="1.6867624422781068E-2"/>
    <n v="165"/>
    <s v="T1"/>
    <n v="150"/>
    <s v="stop out"/>
    <s v="LCs"/>
    <s v=""/>
    <m/>
    <m/>
    <m/>
    <s v=""/>
    <s v=""/>
    <n v="2.4300000000000002"/>
    <n v="2.2599"/>
    <m/>
    <d v="2022-12-19T00:00:00"/>
    <n v="167.4"/>
    <n v="177.8"/>
    <n v="137.1"/>
    <s v="DECLINE"/>
    <s v="BULLISH"/>
    <m/>
    <d v="2023-02-17T00:00:00"/>
    <m/>
    <m/>
    <m/>
    <m/>
    <m/>
    <m/>
    <n v="0"/>
    <n v="0"/>
    <m/>
    <s v=""/>
    <s v=""/>
    <m/>
    <m/>
    <m/>
    <m/>
    <m/>
    <m/>
    <n v="0"/>
    <s v=""/>
    <s v=""/>
    <s v=""/>
    <s v=""/>
    <n v="0"/>
    <s v=""/>
    <n v="0"/>
    <m/>
    <n v="0"/>
    <s v=""/>
    <s v=""/>
    <s v=""/>
    <m/>
    <n v="0"/>
    <m/>
    <s v=""/>
    <s v=""/>
    <s v=""/>
    <m/>
    <s v=""/>
    <s v=""/>
    <s v=""/>
    <s v=""/>
    <s v=""/>
    <m/>
    <m/>
    <s v=""/>
    <s v=""/>
    <s v=""/>
    <s v=""/>
    <d v="2023-02-17T00:00:00"/>
    <n v="175"/>
    <n v="10"/>
    <d v="2022-12-20T00:00:00"/>
    <d v="2022-12-20T00:00:00"/>
    <n v="2.4279999999999999"/>
    <n v="2428"/>
    <s v=""/>
    <n v="177.428"/>
    <n v="2.85"/>
    <n v="2850"/>
    <n v="422"/>
    <n v="0.17380560131795716"/>
    <n v="3.6419999999999999"/>
    <n v="3642"/>
    <n v="1214"/>
    <n v="0.5"/>
    <m/>
    <n v="1.821"/>
    <m/>
    <n v="1.821"/>
    <n v="1821"/>
    <n v="-607"/>
    <n v="-0.25"/>
    <n v="10"/>
    <m/>
    <m/>
    <m/>
    <m/>
    <m/>
    <m/>
    <s v=""/>
    <s v=""/>
    <n v="0"/>
    <n v="0"/>
    <n v="0"/>
    <n v="0"/>
    <s v=""/>
    <m/>
    <n v="0"/>
    <m/>
    <m/>
    <s v=""/>
    <s v=""/>
    <s v=""/>
    <m/>
    <s v=""/>
    <n v="0"/>
    <n v="0"/>
    <s v=""/>
    <s v=""/>
    <s v=""/>
    <s v=""/>
    <s v=""/>
    <s v=""/>
    <s v=""/>
    <s v=""/>
    <s v=""/>
    <s v=""/>
    <s v=""/>
    <s v=""/>
    <s v=""/>
    <s v=""/>
    <s v=""/>
    <s v=""/>
    <s v=""/>
    <m/>
    <n v="0"/>
    <n v="150.6225"/>
    <n v="304.04399999999998"/>
    <m/>
    <m/>
    <n v="0"/>
    <s v=""/>
    <n v="0"/>
    <s v=""/>
    <m/>
    <s v=""/>
    <s v=""/>
    <s v=""/>
    <s v=""/>
    <s v="LNG230217C00175000"/>
    <n v="1"/>
    <s v=""/>
    <s v=""/>
    <s v="Y"/>
    <s v="LC "/>
    <x v="20"/>
    <n v="1.5916099761588889E-3"/>
  </r>
  <r>
    <s v="LNTH"/>
    <n v="82.635000000000005"/>
    <m/>
    <n v="70.239750000000001"/>
    <x v="51"/>
    <x v="2"/>
    <m/>
    <m/>
    <m/>
    <m/>
    <m/>
    <m/>
    <m/>
    <m/>
    <m/>
    <m/>
    <m/>
    <m/>
    <m/>
    <d v="2022-11-03T07:00:00"/>
    <d v="2022-11-03T07:00:00"/>
    <m/>
    <m/>
    <m/>
    <m/>
    <m/>
    <m/>
    <m/>
    <m/>
    <s v=""/>
    <n v="0"/>
    <n v="0"/>
    <s v=""/>
    <m/>
    <m/>
    <s v=""/>
    <s v=""/>
    <s v=""/>
    <s v=""/>
    <s v=""/>
    <m/>
    <m/>
    <n v="0"/>
    <n v="0"/>
    <n v="0"/>
    <m/>
    <m/>
    <n v="92"/>
    <s v=""/>
    <s v=""/>
    <n v="0"/>
    <n v="0"/>
    <n v="0.11332970291038899"/>
    <n v="65"/>
    <s v="free money"/>
    <n v="65"/>
    <s v="Assignment"/>
    <s v="SPs"/>
    <s v=""/>
    <m/>
    <m/>
    <m/>
    <s v=""/>
    <s v=""/>
    <n v="61.5"/>
    <n v="57.194999999999993"/>
    <m/>
    <d v="2022-08-15T00:00:00"/>
    <n v="78.41"/>
    <n v="97.41"/>
    <n v="71.55"/>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7.399999999999991"/>
    <n v="161.13825"/>
    <m/>
    <m/>
    <n v="0"/>
    <s v=""/>
    <n v="0"/>
    <s v=""/>
    <s v="{F913FC11-CA3A-4A1A-B727-AC49F5B25177}"/>
    <s v=""/>
    <s v=""/>
    <s v=""/>
    <s v=""/>
    <s v=""/>
    <s v=""/>
    <s v=""/>
    <s v=""/>
    <s v=""/>
    <s v=""/>
    <x v="0"/>
    <s v=""/>
  </r>
  <r>
    <s v="LOW"/>
    <n v="165.26939999999999"/>
    <s v="ST"/>
    <n v="140.47898999999998"/>
    <x v="95"/>
    <x v="8"/>
    <s v="Clean 4thQ beat, executing on all fronts and movin g beyond history of underperformance to Home Depot."/>
    <s v="not cheap but still below HD"/>
    <m/>
    <s v="UP"/>
    <s v="DIVERGE"/>
    <s v="NO CROSS"/>
    <s v="NO CROSS"/>
    <s v="Middle"/>
    <s v="DOWN"/>
    <s v="AVG"/>
    <m/>
    <m/>
    <m/>
    <d v="2022-08-17T06:00:00"/>
    <d v="2022-08-17T06:00:00"/>
    <m/>
    <m/>
    <m/>
    <m/>
    <m/>
    <m/>
    <m/>
    <m/>
    <s v=""/>
    <n v="0"/>
    <n v="0"/>
    <s v=""/>
    <m/>
    <m/>
    <s v=""/>
    <s v=""/>
    <s v=""/>
    <s v=""/>
    <s v=""/>
    <n v="1.1200000000000001"/>
    <d v="2015-11-04T00:00:00"/>
    <n v="0"/>
    <n v="0"/>
    <n v="6.7768140986776753E-3"/>
    <d v="2015-07-16T00:00:00"/>
    <m/>
    <n v="117.76"/>
    <s v=""/>
    <s v=""/>
    <n v="0"/>
    <n v="0"/>
    <n v="-0.28746640333903306"/>
    <n v="120"/>
    <s v="Losses"/>
    <n v="115"/>
    <s v="max gain"/>
    <s v="BeCS"/>
    <s v=""/>
    <m/>
    <m/>
    <m/>
    <s v=""/>
    <s v=""/>
    <m/>
    <s v=""/>
    <m/>
    <d v="2020-05-20T00:00:00"/>
    <n v="109"/>
    <n v="133.69999999999999"/>
    <n v="100.8"/>
    <s v="RIS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1.872"/>
    <n v="322.27533"/>
    <m/>
    <m/>
    <n v="0"/>
    <s v=""/>
    <n v="0"/>
    <s v=""/>
    <s v="{2920C6EC-BAEA-4B20-A9C1-46FE9C9BABA4}"/>
    <s v=""/>
    <s v=""/>
    <s v=""/>
    <s v=""/>
    <s v=""/>
    <s v=""/>
    <s v=""/>
    <s v=""/>
    <s v=""/>
    <s v=""/>
    <x v="0"/>
    <s v=""/>
  </r>
  <r>
    <s v="LRCX"/>
    <n v="345.72"/>
    <m/>
    <n v="293.86200000000002"/>
    <x v="16"/>
    <x v="3"/>
    <m/>
    <m/>
    <m/>
    <m/>
    <m/>
    <m/>
    <m/>
    <m/>
    <m/>
    <m/>
    <m/>
    <m/>
    <s v="BULLISH"/>
    <d v="2022-07-20T16:05:00"/>
    <d v="2022-07-20T16:05:00"/>
    <m/>
    <m/>
    <m/>
    <m/>
    <m/>
    <m/>
    <m/>
    <m/>
    <s v=""/>
    <n v="0"/>
    <n v="0"/>
    <s v=""/>
    <m/>
    <m/>
    <s v=""/>
    <s v=""/>
    <s v=""/>
    <s v=""/>
    <s v=""/>
    <n v="4.5999999999999996"/>
    <s v="1/163/2020"/>
    <n v="0"/>
    <n v="0"/>
    <n v="1.3305565197269465E-2"/>
    <d v="2019-12-30T00:00:00"/>
    <n v="230"/>
    <n v="334.68"/>
    <n v="-0.33472174013652672"/>
    <s v=""/>
    <n v="0"/>
    <n v="0"/>
    <n v="-3.1933356473446778E-2"/>
    <m/>
    <m/>
    <m/>
    <m/>
    <m/>
    <s v=""/>
    <m/>
    <m/>
    <m/>
    <s v=""/>
    <s v=""/>
    <m/>
    <s v=""/>
    <m/>
    <d v="2019-10-08T00:00:00"/>
    <n v="217.4"/>
    <n v="248"/>
    <n v="207.9"/>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7.94599999999997"/>
    <n v="674.154"/>
    <m/>
    <m/>
    <n v="0"/>
    <s v=""/>
    <n v="0"/>
    <s v=""/>
    <s v="{21D1EE1E-75A5-4403-8754-5204775F977C}"/>
    <s v=""/>
    <s v=""/>
    <s v=""/>
    <s v=""/>
    <s v=""/>
    <s v=""/>
    <s v=""/>
    <s v=""/>
    <s v=""/>
    <s v=""/>
    <x v="0"/>
    <s v=""/>
  </r>
  <r>
    <s v="LULU"/>
    <n v="368.75"/>
    <s v="Swing"/>
    <n v="313.4375"/>
    <x v="118"/>
    <x v="12"/>
    <m/>
    <m/>
    <m/>
    <m/>
    <m/>
    <m/>
    <m/>
    <m/>
    <m/>
    <m/>
    <m/>
    <m/>
    <s v="BULLISH"/>
    <d v="2022-09-01T16:05:00"/>
    <d v="2022-09-01T16:05:00"/>
    <m/>
    <m/>
    <m/>
    <m/>
    <m/>
    <m/>
    <m/>
    <m/>
    <s v=""/>
    <n v="0"/>
    <n v="0"/>
    <s v=""/>
    <n v="350"/>
    <n v="299.88"/>
    <s v=""/>
    <s v=""/>
    <s v=""/>
    <s v=""/>
    <s v=""/>
    <m/>
    <m/>
    <n v="0"/>
    <n v="0"/>
    <n v="0"/>
    <s v="N/A"/>
    <m/>
    <n v="320.74"/>
    <s v=""/>
    <s v=""/>
    <n v="0"/>
    <n v="0"/>
    <n v="-0.13019661016949149"/>
    <n v="350"/>
    <s v="assignment"/>
    <n v="350"/>
    <s v="free money"/>
    <s v="CCs"/>
    <s v=""/>
    <m/>
    <m/>
    <m/>
    <s v=""/>
    <s v=""/>
    <m/>
    <s v=""/>
    <m/>
    <d v="2020-08-14T00:00:00"/>
    <n v="333"/>
    <n v="385"/>
    <n v="31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04.70299999999997"/>
    <n v="719.0625"/>
    <m/>
    <m/>
    <n v="0"/>
    <s v=""/>
    <n v="0"/>
    <s v=""/>
    <s v="{AF4CCB4E-80DB-4638-9773-88B68020A2AB}"/>
    <s v=""/>
    <s v=""/>
    <s v=""/>
    <s v=""/>
    <s v=""/>
    <s v=""/>
    <s v=""/>
    <s v=""/>
    <s v=""/>
    <s v=""/>
    <x v="0"/>
    <s v=""/>
  </r>
  <r>
    <s v="LUV"/>
    <n v="50.45"/>
    <m/>
    <n v="42.8825"/>
    <x v="106"/>
    <x v="8"/>
    <s v="Latest numbers show rising ASM &amp; RASM with declining Load factor. Kinks in new reservation system being worked out and should provide boost once completely operational"/>
    <s v="Iceland's budget airline (WOW) adding 12 U.S. destinations, hurricaine Harvey affecting Houston"/>
    <m/>
    <s v="Bearish_x000a_20-d is down trending and below 100-d, death dross on Aug-9"/>
    <s v="Bearish_x000a_NO divergence._x000a_Histogram at centerbut flat._x000a_"/>
    <s v="Bearish_x000a_M: Sell W: Sell, D: Sell"/>
    <s v="Neutral_x000a_M: Red W: Red, D: Blue"/>
    <s v="Oversold"/>
    <s v="Horrible"/>
    <s v="Average"/>
    <m/>
    <d v="2017-08-28T15:12:41"/>
    <s v="BULLISH"/>
    <d v="2022-07-28T06:45:00"/>
    <d v="2022-07-28T06:45:00"/>
    <m/>
    <m/>
    <m/>
    <m/>
    <m/>
    <m/>
    <m/>
    <m/>
    <s v=""/>
    <n v="0"/>
    <n v="0"/>
    <s v=""/>
    <m/>
    <m/>
    <s v=""/>
    <s v=""/>
    <s v=""/>
    <s v=""/>
    <s v=""/>
    <n v="0.5"/>
    <d v="2017-09-14T00:00:00"/>
    <n v="0"/>
    <n v="0"/>
    <n v="9.9108027750247768E-3"/>
    <d v="2017-09-01T00:00:00"/>
    <m/>
    <n v="44.56"/>
    <s v=""/>
    <s v=""/>
    <n v="0"/>
    <n v="0"/>
    <n v="-0.11674925668979187"/>
    <n v="50.5"/>
    <s v="free money"/>
    <n v="50.5"/>
    <s v="Assignment"/>
    <m/>
    <s v=""/>
    <m/>
    <m/>
    <m/>
    <s v=""/>
    <s v=""/>
    <m/>
    <s v=""/>
    <m/>
    <d v="2017-09-08T00:00:00"/>
    <n v="50"/>
    <n v="57.3"/>
    <n v="47.5"/>
    <s v="LTD 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2.332000000000001"/>
    <n v="98.377499999999998"/>
    <m/>
    <m/>
    <n v="0"/>
    <s v=""/>
    <n v="0"/>
    <s v=""/>
    <s v="{86B08927-4EC8-4F40-815E-5E5A8A74ACE6}"/>
    <s v=""/>
    <s v=""/>
    <s v=""/>
    <s v=""/>
    <s v=""/>
    <s v=""/>
    <s v=""/>
    <s v=""/>
    <s v=""/>
    <s v=""/>
    <x v="0"/>
    <s v=""/>
  </r>
  <r>
    <s v="LVGO"/>
    <n v="138.88999999999999"/>
    <m/>
    <n v="118.05649999999999"/>
    <x v="108"/>
    <x v="2"/>
    <m/>
    <m/>
    <m/>
    <m/>
    <m/>
    <m/>
    <m/>
    <m/>
    <m/>
    <m/>
    <m/>
    <m/>
    <m/>
    <d v="2022-07-28T06:45:00"/>
    <d v="2022-07-28T06:45:00"/>
    <m/>
    <m/>
    <m/>
    <m/>
    <m/>
    <m/>
    <m/>
    <m/>
    <s v=""/>
    <n v="0"/>
    <n v="0"/>
    <s v=""/>
    <m/>
    <m/>
    <s v=""/>
    <s v=""/>
    <s v=""/>
    <s v=""/>
    <s v=""/>
    <m/>
    <m/>
    <n v="0"/>
    <n v="0"/>
    <n v="0"/>
    <m/>
    <m/>
    <n v="127.41"/>
    <s v=""/>
    <s v=""/>
    <n v="0"/>
    <n v="0"/>
    <n v="-8.2655338757289878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1.03949999999999"/>
    <n v="270.83549999999997"/>
    <m/>
    <m/>
    <n v="0"/>
    <s v=""/>
    <n v="0"/>
    <s v=""/>
    <m/>
    <s v=""/>
    <s v=""/>
    <s v=""/>
    <s v=""/>
    <s v=""/>
    <s v=""/>
    <s v=""/>
    <s v=""/>
    <s v=""/>
    <s v=""/>
    <x v="0"/>
    <s v=""/>
  </r>
  <r>
    <s v="LVS"/>
    <n v="40.869999999999997"/>
    <s v="CORE"/>
    <n v="34.7395"/>
    <x v="42"/>
    <x v="15"/>
    <s v="K;ein raised his PT to $80; growing Macau revenue, good shot at Japan license, chance of merger with Wynn(?) "/>
    <s v="China is always a risk"/>
    <m/>
    <s v="Mixed_x000a_pullback to 20d which is down-trending but still will above the 100-d"/>
    <s v="Bearish_x000a_No divergence._x000a_Histogram is at center but downtrending with MACD below the signal line and negative (Trading Central)_x000a_"/>
    <s v="Mixed_x000a_M: Buy W: Sell D: Buy (new bar today!)"/>
    <s v="Mixed_x000a_M: Blue W: Blue D: Green (today!)"/>
    <s v="Under 20"/>
    <s v="Good"/>
    <s v="Average"/>
    <s v="65 call, 50 P?"/>
    <m/>
    <s v="NEUTRAL"/>
    <d v="2022-07-27T16:20:00"/>
    <d v="2022-07-27T16:20:00"/>
    <m/>
    <s v="Macau revenue release"/>
    <d v="2021-05-31T00:00:00"/>
    <m/>
    <m/>
    <m/>
    <m/>
    <m/>
    <s v=""/>
    <n v="0"/>
    <n v="0"/>
    <s v=""/>
    <n v="70"/>
    <n v="45"/>
    <s v=""/>
    <s v=""/>
    <s v=""/>
    <s v=""/>
    <s v=""/>
    <m/>
    <m/>
    <n v="0"/>
    <n v="0"/>
    <n v="0"/>
    <m/>
    <m/>
    <n v="68.5"/>
    <s v=""/>
    <s v=""/>
    <n v="0"/>
    <n v="0"/>
    <n v="0.67604599951064359"/>
    <m/>
    <m/>
    <m/>
    <m/>
    <m/>
    <s v=""/>
    <m/>
    <m/>
    <m/>
    <s v=""/>
    <s v=""/>
    <n v="52.7"/>
    <n v="49.011000000000003"/>
    <m/>
    <d v="2021-08-05T00:00:00"/>
    <n v="42.1"/>
    <n v="44.3"/>
    <n v="35"/>
    <s v="DECLINE"/>
    <s v="RANGE"/>
    <m/>
    <s v=""/>
    <m/>
    <m/>
    <m/>
    <m/>
    <m/>
    <m/>
    <n v="0"/>
    <n v="0"/>
    <m/>
    <s v=""/>
    <s v=""/>
    <m/>
    <m/>
    <m/>
    <m/>
    <m/>
    <m/>
    <n v="0"/>
    <s v=""/>
    <s v=""/>
    <s v=""/>
    <s v=""/>
    <n v="0"/>
    <s v=""/>
    <n v="0"/>
    <m/>
    <n v="0"/>
    <s v=""/>
    <s v=""/>
    <s v=""/>
    <m/>
    <n v="0"/>
    <m/>
    <s v=""/>
    <s v=""/>
    <s v=""/>
    <m/>
    <s v=""/>
    <s v=""/>
    <s v=""/>
    <s v=""/>
    <s v=""/>
    <m/>
    <m/>
    <s v=""/>
    <s v=""/>
    <s v=""/>
    <s v=""/>
    <m/>
    <m/>
    <m/>
    <m/>
    <m/>
    <n v="4.2"/>
    <n v="0"/>
    <s v=""/>
    <s v=""/>
    <m/>
    <s v=""/>
    <s v=""/>
    <s v=""/>
    <n v="6.3000000000000007"/>
    <s v=""/>
    <s v=""/>
    <s v=""/>
    <m/>
    <s v=""/>
    <m/>
    <s v=""/>
    <s v=""/>
    <s v=""/>
    <s v=""/>
    <n v="0"/>
    <m/>
    <m/>
    <m/>
    <m/>
    <m/>
    <m/>
    <s v=""/>
    <s v=""/>
    <n v="0"/>
    <n v="0"/>
    <n v="0"/>
    <n v="0"/>
    <s v=""/>
    <m/>
    <n v="0"/>
    <m/>
    <m/>
    <s v=""/>
    <s v=""/>
    <s v=""/>
    <m/>
    <s v=""/>
    <n v="0"/>
    <n v="0"/>
    <s v=""/>
    <s v=""/>
    <s v=""/>
    <s v=""/>
    <s v=""/>
    <s v=""/>
    <s v=""/>
    <s v=""/>
    <s v=""/>
    <s v=""/>
    <s v=""/>
    <s v=""/>
    <s v=""/>
    <s v=""/>
    <s v=""/>
    <s v=""/>
    <s v=""/>
    <m/>
    <n v="0"/>
    <n v="65.075000000000003"/>
    <n v="79.696499999999986"/>
    <m/>
    <m/>
    <n v="0"/>
    <s v=""/>
    <n v="0"/>
    <s v=""/>
    <s v="{C016408D-9402-4203-BDF7-4D935D1A4DE1}"/>
    <s v=""/>
    <s v=""/>
    <s v=""/>
    <s v=""/>
    <s v=""/>
    <s v=""/>
    <s v=""/>
    <s v=""/>
    <s v=""/>
    <s v=""/>
    <x v="0"/>
    <s v=""/>
  </r>
  <r>
    <s v="LYFT"/>
    <n v="52.99"/>
    <m/>
    <n v="45.041499999999999"/>
    <x v="13"/>
    <x v="3"/>
    <m/>
    <m/>
    <m/>
    <m/>
    <m/>
    <m/>
    <m/>
    <m/>
    <m/>
    <m/>
    <m/>
    <m/>
    <s v="BULLISH"/>
    <d v="2022-08-02T16:05:00"/>
    <d v="2022-08-02T16:05:00"/>
    <m/>
    <m/>
    <m/>
    <m/>
    <m/>
    <m/>
    <m/>
    <m/>
    <s v=""/>
    <n v="0"/>
    <n v="0"/>
    <s v=""/>
    <m/>
    <m/>
    <s v=""/>
    <s v=""/>
    <s v=""/>
    <s v=""/>
    <s v=""/>
    <m/>
    <m/>
    <n v="0"/>
    <n v="0"/>
    <n v="0"/>
    <m/>
    <m/>
    <n v="52.75"/>
    <s v=""/>
    <s v=""/>
    <n v="0"/>
    <n v="0"/>
    <n v="-4.5291564446122284E-3"/>
    <n v="60"/>
    <s v="free money"/>
    <n v="55"/>
    <s v="max loss"/>
    <s v="BuPS"/>
    <s v=""/>
    <m/>
    <m/>
    <m/>
    <s v=""/>
    <s v=""/>
    <m/>
    <s v=""/>
    <m/>
    <d v="2019-08-13T00:00:00"/>
    <n v="61"/>
    <n v="64.599999999999994"/>
    <n v="48.5"/>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0.112499999999997"/>
    <n v="103.3305"/>
    <m/>
    <m/>
    <n v="0"/>
    <s v=""/>
    <n v="0"/>
    <s v=""/>
    <s v="{9D358DDA-F147-4F1F-9391-96212E464F31}"/>
    <s v=""/>
    <s v=""/>
    <s v=""/>
    <s v=""/>
    <s v=""/>
    <s v=""/>
    <s v=""/>
    <s v=""/>
    <s v=""/>
    <s v=""/>
    <x v="0"/>
    <s v=""/>
  </r>
  <r>
    <s v="M"/>
    <n v="19.43"/>
    <m/>
    <n v="16.515499999999999"/>
    <x v="60"/>
    <x v="8"/>
    <s v="holiday season approaching with lower gas prices increasing consumer power, enhanced omnichanel buying (applePay, same day delivery, buy online &amp; store pickup) should increase margins, no international exposure"/>
    <s v="poor guidance from JC Penny, concern over solvency of Sears"/>
    <m/>
    <m/>
    <m/>
    <m/>
    <m/>
    <m/>
    <m/>
    <m/>
    <m/>
    <m/>
    <m/>
    <d v="2022-08-25T06:55:00"/>
    <d v="2022-08-25T06:55:00"/>
    <m/>
    <m/>
    <m/>
    <m/>
    <m/>
    <n v="4"/>
    <m/>
    <m/>
    <s v=""/>
    <n v="0"/>
    <n v="0"/>
    <s v=""/>
    <m/>
    <m/>
    <s v=""/>
    <s v=""/>
    <s v=""/>
    <s v=""/>
    <s v=""/>
    <n v="1.44"/>
    <d v="2016-01-04T00:00:00"/>
    <n v="0"/>
    <n v="0"/>
    <n v="7.4112197632527022E-2"/>
    <d v="2016-03-09T00:00:00"/>
    <m/>
    <n v="8.81"/>
    <s v=""/>
    <s v=""/>
    <n v="0"/>
    <n v="0"/>
    <n v="-0.54657745753988674"/>
    <m/>
    <m/>
    <m/>
    <m/>
    <m/>
    <s v=""/>
    <m/>
    <m/>
    <m/>
    <s v=""/>
    <s v=""/>
    <m/>
    <s v=""/>
    <m/>
    <d v="2015-12-10T00:00:00"/>
    <n v="35.5"/>
    <n v="45.2"/>
    <n v="32"/>
    <m/>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3695000000000004"/>
    <n v="37.888500000000001"/>
    <m/>
    <m/>
    <n v="0"/>
    <s v=""/>
    <n v="0"/>
    <s v=""/>
    <s v="{078210DC-B5F4-4412-9C5D-9DA007AC8607}"/>
    <s v=""/>
    <s v=""/>
    <s v=""/>
    <s v=""/>
    <s v=""/>
    <s v=""/>
    <s v=""/>
    <s v=""/>
    <s v=""/>
    <s v=""/>
    <x v="0"/>
    <s v=""/>
  </r>
  <r>
    <s v="AVGO"/>
    <n v="305.79000000000002"/>
    <m/>
    <n v="259.92150000000004"/>
    <x v="3"/>
    <x v="3"/>
    <s v="Major supplier of new iPhone8 should reap benefits of 'super cycle'"/>
    <s v="super cycle may be delayed"/>
    <m/>
    <s v="Bearish_x000a_Earnings knocked price below but still above 100-d"/>
    <s v="Bullish (mild)_x000a_NO divergence._x000a_Histogram near center, MACD just above signal line_x000a_"/>
    <s v="Mixed_x000a_M: Buy W: Buy D: Sell"/>
    <s v="Bearish (mild)_x000a_M: Blue W: Blue D: Red"/>
    <s v="Neutral_x000a_%K crossed under 80 last Friday after earnings (guidance was uninspiring)"/>
    <s v="Good"/>
    <s v="Above Average"/>
    <m/>
    <d v="2017-08-26T18:39:16"/>
    <s v="BULLISH"/>
    <d v="2022-08-25T07:00:00"/>
    <d v="2022-08-25T07:00:00"/>
    <m/>
    <m/>
    <m/>
    <n v="2"/>
    <b v="1"/>
    <n v="2"/>
    <m/>
    <m/>
    <s v=""/>
    <n v="0"/>
    <n v="0"/>
    <s v=""/>
    <m/>
    <m/>
    <s v=""/>
    <s v=""/>
    <s v=""/>
    <s v=""/>
    <s v=""/>
    <n v="4.08"/>
    <d v="2017-09-30T00:00:00"/>
    <n v="0"/>
    <n v="0"/>
    <n v="1.3342489944079269E-2"/>
    <d v="2018-06-15T00:00:00"/>
    <n v="345"/>
    <n v="476.54"/>
    <n v="0.12822525262434997"/>
    <s v=""/>
    <n v="0"/>
    <n v="0"/>
    <n v="0.55838974459596447"/>
    <n v="8"/>
    <s v="assignment"/>
    <n v="8"/>
    <s v="free money"/>
    <s v="CCs"/>
    <s v=""/>
    <m/>
    <m/>
    <m/>
    <s v=""/>
    <s v=""/>
    <n v="232.5"/>
    <n v="216.22499999999999"/>
    <m/>
    <d v="2018-03-02T00:00:00"/>
    <n v="228.9"/>
    <n v="277"/>
    <n v="214"/>
    <s v="RISE"/>
    <s v="RANGE"/>
    <m/>
    <s v=""/>
    <m/>
    <m/>
    <m/>
    <m/>
    <m/>
    <m/>
    <n v="0"/>
    <n v="0"/>
    <m/>
    <s v=""/>
    <s v=""/>
    <m/>
    <m/>
    <m/>
    <m/>
    <m/>
    <m/>
    <n v="0"/>
    <s v=""/>
    <s v=""/>
    <s v=""/>
    <s v=""/>
    <n v="0"/>
    <s v=""/>
    <n v="0"/>
    <m/>
    <n v="0"/>
    <s v=""/>
    <s v=""/>
    <s v=""/>
    <n v="0.4"/>
    <n v="0"/>
    <m/>
    <s v=""/>
    <s v=""/>
    <b v="0"/>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52.71300000000002"/>
    <n v="596.29050000000007"/>
    <m/>
    <m/>
    <n v="0"/>
    <s v=""/>
    <n v="0"/>
    <s v=""/>
    <s v="{3550435D-00A9-4C21-8103-D8D6BFD4D11E}"/>
    <s v=""/>
    <s v=""/>
    <s v=""/>
    <s v=""/>
    <s v=""/>
    <s v=""/>
    <s v=""/>
    <s v=""/>
    <s v=""/>
    <s v=""/>
    <x v="0"/>
    <s v=""/>
  </r>
  <r>
    <s v="MAR"/>
    <n v="132.46"/>
    <m/>
    <n v="112.59100000000001"/>
    <x v="119"/>
    <x v="8"/>
    <m/>
    <m/>
    <m/>
    <m/>
    <m/>
    <m/>
    <m/>
    <m/>
    <m/>
    <m/>
    <m/>
    <m/>
    <s v="BULLISH"/>
    <d v="2022-08-03T07:00:00"/>
    <d v="2022-08-03T07:00:00"/>
    <m/>
    <m/>
    <m/>
    <m/>
    <m/>
    <m/>
    <m/>
    <m/>
    <s v=""/>
    <n v="0"/>
    <n v="0"/>
    <s v=""/>
    <m/>
    <m/>
    <s v=""/>
    <s v=""/>
    <s v=""/>
    <s v=""/>
    <s v=""/>
    <n v="1.32"/>
    <m/>
    <n v="0"/>
    <n v="0"/>
    <n v="9.9652725351049368E-3"/>
    <d v="2019-05-28T00:00:00"/>
    <n v="150"/>
    <n v="99.05"/>
    <n v="0.1324173335346519"/>
    <s v=""/>
    <n v="0"/>
    <n v="0"/>
    <n v="-0.25222708742261823"/>
    <n v="130"/>
    <s v="ITM"/>
    <n v="120"/>
    <s v="Assignment"/>
    <m/>
    <s v=""/>
    <m/>
    <m/>
    <m/>
    <s v=""/>
    <s v=""/>
    <m/>
    <s v=""/>
    <m/>
    <d v="2019-04-09T00:00:00"/>
    <n v="129.5"/>
    <n v="142.9"/>
    <n v="125.1"/>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4.097499999999997"/>
    <n v="258.29700000000003"/>
    <m/>
    <m/>
    <n v="0"/>
    <s v=""/>
    <n v="0"/>
    <s v=""/>
    <s v="{91FF562C-66CA-4258-8903-90D3D6F966C5}"/>
    <s v=""/>
    <s v=""/>
    <s v=""/>
    <s v=""/>
    <s v=""/>
    <s v=""/>
    <s v=""/>
    <s v=""/>
    <s v=""/>
    <s v=""/>
    <x v="0"/>
    <s v=""/>
  </r>
  <r>
    <s v="MARA"/>
    <n v="30.11"/>
    <s v="Swing"/>
    <n v="25.593499999999999"/>
    <x v="63"/>
    <x v="14"/>
    <m/>
    <m/>
    <m/>
    <m/>
    <m/>
    <m/>
    <m/>
    <m/>
    <m/>
    <m/>
    <m/>
    <m/>
    <m/>
    <d v="2022-08-03T16:05:00"/>
    <d v="2022-08-03T16:05:00"/>
    <m/>
    <m/>
    <m/>
    <m/>
    <m/>
    <m/>
    <m/>
    <m/>
    <s v=""/>
    <n v="0"/>
    <n v="0"/>
    <s v=""/>
    <m/>
    <m/>
    <s v=""/>
    <s v=""/>
    <s v=""/>
    <s v=""/>
    <s v=""/>
    <m/>
    <m/>
    <n v="0"/>
    <n v="0"/>
    <n v="0"/>
    <m/>
    <m/>
    <m/>
    <s v=""/>
    <s v=""/>
    <n v="0"/>
    <n v="0"/>
    <s v=""/>
    <m/>
    <m/>
    <m/>
    <m/>
    <m/>
    <s v=""/>
    <m/>
    <m/>
    <m/>
    <s v=""/>
    <s v=""/>
    <m/>
    <s v=""/>
    <m/>
    <d v="2021-06-24T00:00:00"/>
    <n v="27.95"/>
    <n v="33.33"/>
    <n v="26.03"/>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58.714500000000001"/>
    <m/>
    <m/>
    <n v="0"/>
    <s v=""/>
    <n v="0"/>
    <s v=""/>
    <m/>
    <s v=""/>
    <s v=""/>
    <s v=""/>
    <s v=""/>
    <s v=""/>
    <s v=""/>
    <s v=""/>
    <s v=""/>
    <s v=""/>
    <s v=""/>
    <x v="0"/>
    <s v=""/>
  </r>
  <r>
    <s v="MAS"/>
    <n v="39.159999999999997"/>
    <m/>
    <n v="33.285999999999994"/>
    <x v="120"/>
    <x v="13"/>
    <s v="break-up value $27-33 share"/>
    <m/>
    <m/>
    <m/>
    <m/>
    <m/>
    <m/>
    <m/>
    <m/>
    <m/>
    <m/>
    <m/>
    <m/>
    <d v="2022-07-27T07:00:00"/>
    <d v="2022-07-27T07:00:00"/>
    <m/>
    <s v="conference"/>
    <m/>
    <m/>
    <m/>
    <m/>
    <m/>
    <m/>
    <s v=""/>
    <n v="0"/>
    <n v="0"/>
    <s v=""/>
    <m/>
    <m/>
    <s v=""/>
    <s v=""/>
    <s v=""/>
    <s v=""/>
    <s v=""/>
    <n v="0.38"/>
    <d v="2015-11-09T00:00:00"/>
    <n v="0"/>
    <n v="0"/>
    <n v="9.7037793667007158E-3"/>
    <d v="2015-10-05T00:00:00"/>
    <m/>
    <n v="44.73"/>
    <s v=""/>
    <s v=""/>
    <n v="0"/>
    <n v="0"/>
    <n v="0.14223697650663944"/>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2.493499999999997"/>
    <n v="76.361999999999995"/>
    <m/>
    <n v="23.88"/>
    <n v="0"/>
    <s v=""/>
    <n v="0"/>
    <s v=""/>
    <s v="{F9BB5BE1-1CC8-430B-828E-661D8355F64B}"/>
    <s v=""/>
    <s v=""/>
    <s v=""/>
    <s v=""/>
    <s v=""/>
    <s v=""/>
    <s v=""/>
    <s v=""/>
    <s v=""/>
    <s v=""/>
    <x v="0"/>
    <s v=""/>
  </r>
  <r>
    <s v="MCC"/>
    <n v="2.71"/>
    <m/>
    <n v="2.3035000000000001"/>
    <x v="121"/>
    <x v="7"/>
    <m/>
    <m/>
    <m/>
    <m/>
    <m/>
    <m/>
    <m/>
    <m/>
    <m/>
    <m/>
    <m/>
    <m/>
    <s v="BULLISH"/>
    <d v="2022-07-27T07:00:00"/>
    <d v="2022-07-27T07:00:00"/>
    <m/>
    <m/>
    <m/>
    <m/>
    <m/>
    <m/>
    <m/>
    <m/>
    <s v=""/>
    <n v="0"/>
    <n v="0"/>
    <s v=""/>
    <m/>
    <m/>
    <s v=""/>
    <s v=""/>
    <s v=""/>
    <s v=""/>
    <s v=""/>
    <n v="1.2"/>
    <d v="2016-09-23T00:00:00"/>
    <n v="0"/>
    <n v="0"/>
    <n v="0.44280442804428044"/>
    <d v="2016-11-18T00:00:00"/>
    <m/>
    <s v="-"/>
    <s v=""/>
    <s v=""/>
    <n v="0"/>
    <n v="0"/>
    <s v=""/>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5.2844999999999995"/>
    <m/>
    <m/>
    <n v="0"/>
    <s v=""/>
    <n v="0"/>
    <s v=""/>
    <s v="{9EAA4BFB-3133-4784-B380-B604DFFD2D41}"/>
    <s v=""/>
    <s v=""/>
    <s v=""/>
    <s v=""/>
    <s v=""/>
    <s v=""/>
    <s v=""/>
    <s v=""/>
    <s v=""/>
    <s v=""/>
    <x v="0"/>
    <s v=""/>
  </r>
  <r>
    <s v="MCD"/>
    <n v="221.15"/>
    <m/>
    <n v="187.97749999999999"/>
    <x v="48"/>
    <x v="8"/>
    <s v="The company posted better October same-store sales than feared, which sent the stock higher for the week. Total global same-store sales fell 0.5%, less than the 2.2% decrease expected and well below the 3.3% decline seen in the third quarter. Regionally, U.S. sales fell 1%, Europe declined 0.7% and APMEA (Asia/Pacific, Middle East, and Africa) was down 4.2%. The European results were solid considering the macro-economic challenges and FX headwinds, and the effect of the chicken supply were the reasons for the APMEA results. But the U.S. result is definitively good news, especially compared to the 4.1% decline seen in September (the worst measure since February 2003). The improvement is ahead of schedule as the company has just recently begun implementing strategic changes, including a regional realignment and more autonomy for local heads to choose menu items and marketing campaigns that are most appropriate for their respective regions. We believe changes such as these, as well as the investments that the company is making in its digital capabilities, will turn around the downward sales trend for the company. With easy comps ahead and very low expectations -- as well as a strong balance sheet that could be levered to increase an already impressive dividend yield -- shares should continue on their upward trajectory"/>
    <s v="Europe concerns, China chicken supply issues, competition in USA"/>
    <m/>
    <m/>
    <m/>
    <m/>
    <m/>
    <m/>
    <m/>
    <m/>
    <m/>
    <m/>
    <m/>
    <d v="2022-07-28T07:00:00"/>
    <d v="2022-07-28T07:00:00"/>
    <m/>
    <m/>
    <m/>
    <m/>
    <m/>
    <m/>
    <m/>
    <m/>
    <s v=""/>
    <n v="0"/>
    <n v="0"/>
    <s v=""/>
    <m/>
    <m/>
    <s v=""/>
    <s v=""/>
    <s v=""/>
    <s v=""/>
    <s v=""/>
    <n v="3.4"/>
    <d v="2015-12-16T00:00:00"/>
    <n v="0"/>
    <n v="0"/>
    <n v="1.5374180420529052E-2"/>
    <d v="2015-08-26T00:00:00"/>
    <m/>
    <n v="198.29"/>
    <s v=""/>
    <s v=""/>
    <n v="0"/>
    <n v="0"/>
    <n v="-0.1033687542392042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8.37549999999999"/>
    <n v="431.24250000000001"/>
    <m/>
    <m/>
    <n v="0"/>
    <s v=""/>
    <n v="0"/>
    <s v=""/>
    <s v="{E6F4027A-5F7D-46E1-BA82-99AF6575890B}"/>
    <s v=""/>
    <s v=""/>
    <s v=""/>
    <s v=""/>
    <s v=""/>
    <s v=""/>
    <s v=""/>
    <s v=""/>
    <s v=""/>
    <s v=""/>
    <x v="0"/>
    <s v=""/>
  </r>
  <r>
    <s v="MDLZ"/>
    <n v="54.69"/>
    <m/>
    <n v="46.486499999999999"/>
    <x v="122"/>
    <x v="12"/>
    <s v="Flat since earnings beat on bottom line"/>
    <s v="weaker volume trends"/>
    <m/>
    <m/>
    <m/>
    <m/>
    <m/>
    <m/>
    <m/>
    <m/>
    <m/>
    <m/>
    <m/>
    <d v="2022-07-26T16:05:00"/>
    <d v="2022-07-26T16:05:00"/>
    <m/>
    <m/>
    <m/>
    <m/>
    <m/>
    <m/>
    <m/>
    <m/>
    <s v=""/>
    <n v="0"/>
    <n v="0"/>
    <s v=""/>
    <m/>
    <m/>
    <s v=""/>
    <s v=""/>
    <s v=""/>
    <s v=""/>
    <s v=""/>
    <n v="0.68"/>
    <d v="2016-04-14T00:00:00"/>
    <n v="0"/>
    <n v="0"/>
    <n v="1.2433717315779852E-2"/>
    <d v="2015-12-25T00:00:00"/>
    <m/>
    <n v="60.32"/>
    <s v=""/>
    <s v=""/>
    <n v="0"/>
    <n v="0"/>
    <n v="0.10294386542329499"/>
    <m/>
    <m/>
    <m/>
    <m/>
    <m/>
    <s v=""/>
    <m/>
    <m/>
    <m/>
    <s v=""/>
    <s v=""/>
    <m/>
    <s v=""/>
    <m/>
    <d v="2016-01-29T00:00:00"/>
    <n v="39.9"/>
    <n v="46.9"/>
    <n v="39.9"/>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7.303999999999995"/>
    <n v="106.6455"/>
    <m/>
    <m/>
    <n v="0"/>
    <s v=""/>
    <n v="0"/>
    <s v=""/>
    <s v="{65787883-7A03-4CBF-8E77-00ECA23D15BC}"/>
    <s v=""/>
    <s v=""/>
    <s v=""/>
    <s v=""/>
    <s v=""/>
    <s v=""/>
    <s v=""/>
    <s v=""/>
    <s v=""/>
    <s v=""/>
    <x v="0"/>
    <s v=""/>
  </r>
  <r>
    <s v="CLX"/>
    <n v="179.02"/>
    <s v="LT"/>
    <n v="152.167"/>
    <x v="123"/>
    <x v="12"/>
    <m/>
    <m/>
    <m/>
    <m/>
    <m/>
    <m/>
    <m/>
    <m/>
    <m/>
    <m/>
    <s v="{01/21/21 @ 08:16 AM}: Basis ~ $202.50, ER on Feb-4. Thinking of Feb $210 CC's"/>
    <m/>
    <s v="RANGE"/>
    <d v="2022-08-01T16:10:00"/>
    <d v="2022-08-01T16:10:00"/>
    <m/>
    <m/>
    <m/>
    <n v="2"/>
    <m/>
    <m/>
    <m/>
    <m/>
    <s v=""/>
    <n v="0"/>
    <n v="0"/>
    <s v=""/>
    <m/>
    <m/>
    <s v=""/>
    <s v=""/>
    <s v=""/>
    <s v=""/>
    <s v=""/>
    <m/>
    <m/>
    <n v="0"/>
    <n v="0"/>
    <n v="0"/>
    <m/>
    <n v="225"/>
    <n v="213.71"/>
    <n v="0.25684281085912181"/>
    <s v=""/>
    <n v="0"/>
    <n v="0"/>
    <n v="0.19377723159423527"/>
    <n v="192.5"/>
    <s v="assignment"/>
    <n v="192.5"/>
    <s v="free money"/>
    <s v="CCs"/>
    <s v=""/>
    <m/>
    <m/>
    <m/>
    <s v=""/>
    <s v=""/>
    <n v="197.32"/>
    <n v="183.50759999999997"/>
    <m/>
    <d v="2021-02-25T00:00:00"/>
    <n v="196.5"/>
    <n v="214.7"/>
    <n v="163.30000000000001"/>
    <s v="DECLINE"/>
    <s v="BEARISH"/>
    <m/>
    <s v=""/>
    <m/>
    <m/>
    <m/>
    <m/>
    <m/>
    <m/>
    <n v="0"/>
    <n v="0"/>
    <m/>
    <s v=""/>
    <s v=""/>
    <m/>
    <m/>
    <m/>
    <m/>
    <m/>
    <m/>
    <n v="0"/>
    <s v=""/>
    <s v=""/>
    <s v=""/>
    <s v=""/>
    <n v="0"/>
    <s v=""/>
    <n v="0"/>
    <m/>
    <n v="0"/>
    <s v=""/>
    <s v=""/>
    <s v=""/>
    <m/>
    <n v="0"/>
    <n v="0.55000000000000004"/>
    <s v=""/>
    <s v=""/>
    <s v=""/>
    <d v="2021-01-15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3.02449999999999"/>
    <n v="349.089"/>
    <m/>
    <m/>
    <n v="0"/>
    <s v=""/>
    <n v="0"/>
    <s v=""/>
    <s v="{D29F65EB-7146-4C31-AF59-7BAC7E15E814}"/>
    <s v=""/>
    <s v=""/>
    <s v=""/>
    <s v=""/>
    <s v=""/>
    <s v=""/>
    <s v=""/>
    <s v=""/>
    <s v=""/>
    <s v=""/>
    <x v="0"/>
    <s v=""/>
  </r>
  <r>
    <s v="MGM"/>
    <n v="22.614999999999998"/>
    <s v="Swing"/>
    <n v="19.222749999999998"/>
    <x v="42"/>
    <x v="15"/>
    <m/>
    <m/>
    <m/>
    <m/>
    <m/>
    <m/>
    <m/>
    <m/>
    <m/>
    <m/>
    <m/>
    <m/>
    <s v="BEARISH"/>
    <d v="2022-07-26T16:05:00"/>
    <d v="2022-07-26T16:05:00"/>
    <m/>
    <m/>
    <m/>
    <m/>
    <m/>
    <m/>
    <m/>
    <m/>
    <s v=""/>
    <n v="0"/>
    <n v="0"/>
    <s v=""/>
    <m/>
    <m/>
    <s v=""/>
    <s v=""/>
    <s v=""/>
    <s v=""/>
    <s v=""/>
    <m/>
    <m/>
    <n v="0"/>
    <n v="0"/>
    <n v="0"/>
    <m/>
    <m/>
    <n v="18.11"/>
    <s v=""/>
    <s v=""/>
    <n v="0"/>
    <n v="0"/>
    <n v="-0.19920406809639618"/>
    <n v="20"/>
    <s v="free money"/>
    <n v="20"/>
    <s v="Assignment"/>
    <s v="SPs"/>
    <s v=""/>
    <m/>
    <m/>
    <m/>
    <s v=""/>
    <s v=""/>
    <m/>
    <s v=""/>
    <m/>
    <d v="2020-09-01T00:00:00"/>
    <n v="20.100000000000001"/>
    <n v="27.3"/>
    <n v="17.8"/>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7.204499999999999"/>
    <n v="44.099249999999998"/>
    <m/>
    <m/>
    <n v="0"/>
    <s v=""/>
    <n v="0"/>
    <s v=""/>
    <m/>
    <s v=""/>
    <s v=""/>
    <s v=""/>
    <s v=""/>
    <s v=""/>
    <s v=""/>
    <s v=""/>
    <s v=""/>
    <s v=""/>
    <s v=""/>
    <x v="0"/>
    <s v=""/>
  </r>
  <r>
    <s v="CRM"/>
    <n v="244.43"/>
    <s v="CORE"/>
    <n v="207.7655"/>
    <x v="13"/>
    <x v="3"/>
    <m/>
    <m/>
    <m/>
    <m/>
    <m/>
    <m/>
    <m/>
    <m/>
    <m/>
    <m/>
    <m/>
    <m/>
    <s v="BULLISH"/>
    <d v="2022-08-30T16:05:00"/>
    <d v="2022-08-30T16:05:00"/>
    <m/>
    <m/>
    <m/>
    <n v="2"/>
    <m/>
    <m/>
    <m/>
    <m/>
    <s v=""/>
    <n v="0"/>
    <n v="0"/>
    <s v=""/>
    <n v="275"/>
    <n v="195"/>
    <s v=""/>
    <s v=""/>
    <s v=""/>
    <s v=""/>
    <s v=""/>
    <m/>
    <m/>
    <n v="0"/>
    <n v="0"/>
    <n v="0"/>
    <m/>
    <m/>
    <n v="277.33999999999997"/>
    <s v=""/>
    <s v=""/>
    <n v="0"/>
    <n v="0"/>
    <n v="0.13463977416847345"/>
    <n v="220"/>
    <s v="assignment"/>
    <n v="220"/>
    <s v="free money"/>
    <s v="CCs"/>
    <s v=""/>
    <m/>
    <m/>
    <m/>
    <s v=""/>
    <s v=""/>
    <n v="149.38"/>
    <n v="138.92339999999999"/>
    <m/>
    <d v="2021-06-18T00:00:00"/>
    <n v="232.8"/>
    <n v="267"/>
    <n v="221.9"/>
    <s v="RISE"/>
    <s v="RANGE"/>
    <m/>
    <s v=""/>
    <m/>
    <m/>
    <m/>
    <m/>
    <m/>
    <m/>
    <n v="0"/>
    <n v="0"/>
    <m/>
    <s v=""/>
    <s v=""/>
    <m/>
    <m/>
    <m/>
    <m/>
    <m/>
    <m/>
    <n v="0"/>
    <s v=""/>
    <s v=""/>
    <s v=""/>
    <s v=""/>
    <n v="0"/>
    <s v=""/>
    <n v="0"/>
    <n v="0.7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63.47299999999996"/>
    <n v="476.63850000000002"/>
    <m/>
    <m/>
    <n v="0"/>
    <s v=""/>
    <n v="0"/>
    <s v=""/>
    <s v="{607B67BC-A431-464A-838F-D27DFC8DB4BB}"/>
    <s v=""/>
    <s v=""/>
    <s v=""/>
    <s v=""/>
    <s v=""/>
    <s v=""/>
    <s v=""/>
    <s v=""/>
    <s v=""/>
    <s v=""/>
    <x v="0"/>
    <s v=""/>
  </r>
  <r>
    <s v="MMM"/>
    <n v="181.37"/>
    <m/>
    <n v="154.1645"/>
    <x v="49"/>
    <x v="13"/>
    <s v="above avg organic growth, defensive traits"/>
    <m/>
    <m/>
    <m/>
    <m/>
    <m/>
    <m/>
    <m/>
    <m/>
    <m/>
    <m/>
    <m/>
    <s v="BULLISH"/>
    <d v="2022-07-26T06:30:00"/>
    <d v="2022-07-26T06:30:00"/>
    <m/>
    <s v="global growth &amp; weaker dollar"/>
    <m/>
    <m/>
    <m/>
    <m/>
    <m/>
    <m/>
    <s v=""/>
    <n v="0"/>
    <n v="0"/>
    <s v=""/>
    <m/>
    <m/>
    <s v=""/>
    <s v=""/>
    <s v=""/>
    <s v=""/>
    <s v=""/>
    <n v="4.0999999999999996"/>
    <d v="2016-03-12T00:00:00"/>
    <n v="0"/>
    <n v="0"/>
    <n v="2.2605723107459886E-2"/>
    <d v="2019-11-15T00:00:00"/>
    <n v="184"/>
    <n v="146.47"/>
    <n v="1.450074433478522E-2"/>
    <s v=""/>
    <n v="0"/>
    <n v="0"/>
    <n v="-0.19242432596350006"/>
    <n v="180"/>
    <s v="assignment"/>
    <n v="180"/>
    <s v="free money"/>
    <s v="CCs"/>
    <s v=""/>
    <m/>
    <m/>
    <m/>
    <s v=""/>
    <s v=""/>
    <m/>
    <s v=""/>
    <m/>
    <d v="2020-01-08T00:00:00"/>
    <n v="171.9"/>
    <n v="189.8"/>
    <n v="165.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9.1465"/>
    <n v="353.67149999999998"/>
    <m/>
    <m/>
    <n v="0"/>
    <s v=""/>
    <n v="0"/>
    <s v=""/>
    <s v="{EBDFDCFE-F35F-4387-BC61-C382D7F4FE50}"/>
    <s v=""/>
    <s v=""/>
    <s v=""/>
    <s v=""/>
    <s v=""/>
    <s v=""/>
    <s v=""/>
    <s v=""/>
    <s v=""/>
    <s v=""/>
    <x v="0"/>
    <s v=""/>
  </r>
  <r>
    <s v="MMP"/>
    <n v="50.17"/>
    <s v="Div"/>
    <n v="42.644500000000001"/>
    <x v="112"/>
    <x v="6"/>
    <s v="Rising domestic production continuing into 2019 per US Energy Ifo Admin, rising oil prices, good income. Investments in Pasadena marine storage to export by an Aframax dock could be acretive, potential new Permian pipeline as well."/>
    <m/>
    <m/>
    <m/>
    <m/>
    <m/>
    <m/>
    <m/>
    <m/>
    <m/>
    <s v="65 calls"/>
    <m/>
    <s v="BULLISH"/>
    <d v="2023-01-26T00:00:00"/>
    <d v="2023-01-26T00:00:00"/>
    <m/>
    <m/>
    <m/>
    <m/>
    <m/>
    <m/>
    <n v="1200"/>
    <n v="84666"/>
    <n v="70.555000000000007"/>
    <n v="60204"/>
    <n v="-24462"/>
    <n v="-0.28892353483098293"/>
    <m/>
    <m/>
    <s v=""/>
    <s v=""/>
    <s v=""/>
    <s v=""/>
    <s v=""/>
    <n v="4.1100000000000003"/>
    <d v="2021-08-13T00:00:00"/>
    <n v="1233"/>
    <n v="4932"/>
    <n v="8.1921467012158661E-2"/>
    <d v="2021-08-05T00:00:00"/>
    <m/>
    <n v="56.4"/>
    <s v=""/>
    <n v="-0.20062362695769259"/>
    <n v="-16986"/>
    <n v="7476"/>
    <n v="0.12417779549531587"/>
    <m/>
    <m/>
    <m/>
    <m/>
    <m/>
    <s v=""/>
    <m/>
    <m/>
    <m/>
    <s v=""/>
    <s v=""/>
    <n v="51.84"/>
    <n v="48.211199999999998"/>
    <m/>
    <d v="2022-12-20T00:00:00"/>
    <n v="52.2"/>
    <n v="54.2"/>
    <n v="45.7"/>
    <s v="DECLINE"/>
    <s v="BULLISH"/>
    <m/>
    <s v=""/>
    <m/>
    <m/>
    <m/>
    <m/>
    <m/>
    <m/>
    <n v="0"/>
    <n v="0"/>
    <m/>
    <s v=""/>
    <s v=""/>
    <m/>
    <m/>
    <m/>
    <m/>
    <m/>
    <m/>
    <n v="0"/>
    <s v=""/>
    <s v=""/>
    <s v=""/>
    <s v=""/>
    <n v="0"/>
    <s v=""/>
    <n v="0"/>
    <m/>
    <n v="0"/>
    <s v=""/>
    <s v=""/>
    <s v=""/>
    <m/>
    <n v="0"/>
    <m/>
    <s v=""/>
    <s v=""/>
    <s v=""/>
    <m/>
    <s v=""/>
    <s v=""/>
    <s v=""/>
    <s v=""/>
    <s v=""/>
    <m/>
    <m/>
    <s v=""/>
    <s v=""/>
    <s v=""/>
    <s v=""/>
    <m/>
    <m/>
    <m/>
    <m/>
    <m/>
    <m/>
    <n v="0"/>
    <s v=""/>
    <s v=""/>
    <m/>
    <s v=""/>
    <s v=""/>
    <s v=""/>
    <s v=""/>
    <s v=""/>
    <s v=""/>
    <s v=""/>
    <m/>
    <s v=""/>
    <m/>
    <s v=""/>
    <s v=""/>
    <s v=""/>
    <s v=""/>
    <n v="12"/>
    <m/>
    <m/>
    <m/>
    <m/>
    <m/>
    <m/>
    <s v=""/>
    <s v=""/>
    <n v="0"/>
    <n v="0"/>
    <n v="0"/>
    <n v="0"/>
    <s v=""/>
    <m/>
    <n v="0"/>
    <m/>
    <m/>
    <s v=""/>
    <s v=""/>
    <s v=""/>
    <m/>
    <s v=""/>
    <n v="0"/>
    <n v="0"/>
    <s v=""/>
    <s v=""/>
    <s v=""/>
    <s v=""/>
    <s v=""/>
    <s v=""/>
    <s v=""/>
    <s v=""/>
    <s v=""/>
    <s v=""/>
    <s v=""/>
    <s v=""/>
    <s v=""/>
    <s v=""/>
    <s v=""/>
    <s v=""/>
    <s v=""/>
    <m/>
    <n v="240"/>
    <n v="53.58"/>
    <n v="97.831500000000005"/>
    <m/>
    <m/>
    <n v="0"/>
    <n v="0"/>
    <n v="0"/>
    <s v=""/>
    <s v="{A774DFA3-3A53-4C1D-BEA5-EC180E872ECC}"/>
    <s v=""/>
    <s v=""/>
    <s v=""/>
    <s v=""/>
    <s v=""/>
    <s v=""/>
    <s v=""/>
    <s v=""/>
    <s v=""/>
    <s v="LNG "/>
    <x v="21"/>
    <n v="5.5500514926469721E-2"/>
  </r>
  <r>
    <s v="MO"/>
    <n v="46.24"/>
    <s v="Div"/>
    <n v="39.304000000000002"/>
    <x v="124"/>
    <x v="12"/>
    <m/>
    <m/>
    <m/>
    <m/>
    <m/>
    <m/>
    <m/>
    <m/>
    <m/>
    <m/>
    <m/>
    <m/>
    <s v="BULLISH"/>
    <d v="2023-01-26T00:00:00"/>
    <d v="2023-01-26T00:00:00"/>
    <m/>
    <m/>
    <m/>
    <m/>
    <m/>
    <m/>
    <n v="400"/>
    <n v="18051.02"/>
    <n v="45.127549999999999"/>
    <n v="18496"/>
    <n v="444.97999999999956"/>
    <n v="2.4651238544968625E-2"/>
    <n v="65"/>
    <n v="32"/>
    <n v="19.872450000000001"/>
    <n v="-13.127549999999999"/>
    <s v="1.5  : 1"/>
    <n v="7948.9800000000005"/>
    <n v="-5251.0199999999995"/>
    <n v="3.44"/>
    <d v="2021-10-09T00:00:00"/>
    <n v="344"/>
    <n v="1376"/>
    <n v="7.4394463667820071E-2"/>
    <d v="2021-09-14T00:00:00"/>
    <m/>
    <n v="48.73"/>
    <s v=""/>
    <n v="7.9828175914712821E-2"/>
    <n v="1440.9799999999996"/>
    <n v="996"/>
    <n v="5.384948096885802E-2"/>
    <m/>
    <m/>
    <m/>
    <m/>
    <s v="CCs"/>
    <s v="Y"/>
    <m/>
    <n v="3.0129999999999999"/>
    <m/>
    <n v="43.227000000000004"/>
    <n v="49.253"/>
    <n v="41"/>
    <n v="38.129999999999995"/>
    <m/>
    <d v="2022-12-20T00:00:00"/>
    <n v="45"/>
    <n v="49.2"/>
    <n v="43.7"/>
    <s v="LTD RISE"/>
    <s v="RANGE"/>
    <m/>
    <d v="2022-12-30T00:00:00"/>
    <m/>
    <m/>
    <m/>
    <m/>
    <m/>
    <m/>
    <n v="0"/>
    <n v="0"/>
    <m/>
    <s v=""/>
    <s v=""/>
    <d v="2022-12-30T00:00:00"/>
    <n v="45"/>
    <n v="6"/>
    <d v="2022-12-21T00:00:00"/>
    <m/>
    <n v="0.33"/>
    <n v="198"/>
    <n v="44.67"/>
    <n v="9"/>
    <n v="7.3333333333333332E-3"/>
    <n v="0.34490343606902418"/>
    <n v="0"/>
    <n v="3.3953287197231841E-2"/>
    <n v="0"/>
    <m/>
    <n v="0"/>
    <s v="Y"/>
    <n v="27000"/>
    <s v=""/>
    <m/>
    <n v="0"/>
    <m/>
    <n v="0"/>
    <s v=""/>
    <s v=""/>
    <m/>
    <s v=""/>
    <n v="43.65"/>
    <n v="-612.00000000000091"/>
    <n v="0.41250000000000003"/>
    <n v="49.500000000000028"/>
    <m/>
    <n v="1.5"/>
    <n v="-702"/>
    <s v=""/>
    <s v=""/>
    <s v=""/>
    <m/>
    <m/>
    <m/>
    <m/>
    <m/>
    <m/>
    <m/>
    <m/>
    <s v=""/>
    <m/>
    <s v=""/>
    <s v=""/>
    <s v=""/>
    <s v=""/>
    <s v=""/>
    <s v=""/>
    <s v=""/>
    <m/>
    <s v=""/>
    <m/>
    <s v=""/>
    <s v=""/>
    <s v=""/>
    <s v=""/>
    <n v="4"/>
    <d v="2023-01-20T00:00:00"/>
    <n v="47.5"/>
    <n v="4"/>
    <d v="2022-12-20T00:00:00"/>
    <m/>
    <n v="0.37"/>
    <n v="31"/>
    <n v="25"/>
    <n v="148"/>
    <n v="18051.02"/>
    <n v="3.3845662499999998"/>
    <n v="47.13"/>
    <s v="Y"/>
    <m/>
    <n v="0"/>
    <m/>
    <m/>
    <n v="0"/>
    <s v=""/>
    <s v=""/>
    <m/>
    <n v="0"/>
    <n v="0"/>
    <n v="0"/>
    <s v=""/>
    <n v="2.7249134948096842E-2"/>
    <n v="19000"/>
    <s v=""/>
    <n v="1096.9799999999996"/>
    <n v="47.5"/>
    <n v="1.259999999999998"/>
    <n v="3.6119842535214032E-2"/>
    <n v="0.51858887907827333"/>
    <n v="1.1585365853658536"/>
    <n v="0"/>
    <n v="0"/>
    <n v="149.26"/>
    <n v="0.10181405314205727"/>
    <s v=""/>
    <s v=""/>
    <s v=""/>
    <m/>
    <n v="80"/>
    <n v="46.293499999999995"/>
    <n v="90.168000000000006"/>
    <m/>
    <m/>
    <n v="0"/>
    <n v="0"/>
    <n v="0"/>
    <n v="6.0771081080182698E-2"/>
    <s v="{F34AB7AF-A8E4-4516-B511-4F3E5833EB85}"/>
    <s v=""/>
    <s v=""/>
    <s v="MO221230P00045000"/>
    <n v="1"/>
    <s v=""/>
    <s v=""/>
    <s v="MO230120C00047500"/>
    <n v="1"/>
    <s v="Y"/>
    <s v="LNG SP SC "/>
    <x v="22"/>
    <n v="1.1897743437925797E-2"/>
  </r>
  <r>
    <s v="MPC"/>
    <n v="85.5"/>
    <s v="Swing"/>
    <n v="72.674999999999997"/>
    <x v="125"/>
    <x v="6"/>
    <m/>
    <m/>
    <m/>
    <m/>
    <m/>
    <m/>
    <m/>
    <m/>
    <m/>
    <m/>
    <m/>
    <m/>
    <s v="BULLISH"/>
    <d v="2022-08-02T06:40:00"/>
    <d v="2022-08-02T06:40:00"/>
    <m/>
    <m/>
    <m/>
    <m/>
    <m/>
    <m/>
    <m/>
    <m/>
    <s v=""/>
    <n v="0"/>
    <n v="0"/>
    <s v=""/>
    <n v="90"/>
    <n v="72.900000000000006"/>
    <s v=""/>
    <s v=""/>
    <s v=""/>
    <s v=""/>
    <s v=""/>
    <m/>
    <m/>
    <n v="0"/>
    <n v="0"/>
    <n v="0"/>
    <m/>
    <m/>
    <n v="86.43"/>
    <s v=""/>
    <s v=""/>
    <n v="0"/>
    <n v="0"/>
    <n v="1.087719298245622E-2"/>
    <m/>
    <m/>
    <m/>
    <m/>
    <m/>
    <s v=""/>
    <n v="72.900000000000006"/>
    <m/>
    <m/>
    <s v=""/>
    <s v=""/>
    <n v="77.180000000000007"/>
    <n v="71.7774"/>
    <m/>
    <d v="2022-03-28T00:00:00"/>
    <n v="77.400000000000006"/>
    <n v="90.2"/>
    <n v="73.2"/>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2.108500000000006"/>
    <n v="166.72499999999999"/>
    <m/>
    <m/>
    <n v="0"/>
    <s v=""/>
    <n v="0"/>
    <s v=""/>
    <m/>
    <s v=""/>
    <s v=""/>
    <s v=""/>
    <s v=""/>
    <s v=""/>
    <s v=""/>
    <s v=""/>
    <s v=""/>
    <s v=""/>
    <s v=""/>
    <x v="0"/>
    <s v=""/>
  </r>
  <r>
    <s v="MRK"/>
    <n v="76.25"/>
    <s v="MT"/>
    <n v="64.8125"/>
    <x v="93"/>
    <x v="2"/>
    <s v="Cramer looking to new (another) Hep C drug and possibl;e oncology approvals for Keytruda as catalysts over next few years?"/>
    <s v="revenue pressure from loss of legacy patents"/>
    <m/>
    <s v="DOWN"/>
    <s v="CONVERGE"/>
    <s v="NO CROSS"/>
    <s v="NO CROSS"/>
    <s v="Under 20"/>
    <s v="UP"/>
    <s v="LOW"/>
    <m/>
    <m/>
    <s v="BULLISH"/>
    <d v="2022-07-28T06:30:00"/>
    <d v="2022-07-28T06:30:00"/>
    <m/>
    <m/>
    <m/>
    <m/>
    <m/>
    <m/>
    <m/>
    <m/>
    <s v=""/>
    <n v="0"/>
    <n v="0"/>
    <s v=""/>
    <m/>
    <m/>
    <s v=""/>
    <s v=""/>
    <s v=""/>
    <s v=""/>
    <s v=""/>
    <n v="2.44"/>
    <d v="2020-06-13T00:00:00"/>
    <n v="0"/>
    <n v="0"/>
    <n v="3.2000000000000001E-2"/>
    <d v="2020-07-07T00:00:00"/>
    <m/>
    <n v="95.89"/>
    <s v=""/>
    <s v=""/>
    <n v="0"/>
    <n v="0"/>
    <n v="0.2575737704918033"/>
    <n v="70"/>
    <s v="free money"/>
    <n v="70"/>
    <s v="Assignment"/>
    <s v="SPs"/>
    <s v=""/>
    <m/>
    <m/>
    <m/>
    <s v=""/>
    <s v=""/>
    <m/>
    <s v=""/>
    <m/>
    <d v="2020-03-11T00:00:00"/>
    <n v="73.900000000000006"/>
    <n v="90.6"/>
    <n v="69.5"/>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1.095500000000001"/>
    <n v="148.6875"/>
    <m/>
    <m/>
    <n v="0"/>
    <s v=""/>
    <n v="0"/>
    <s v=""/>
    <s v="{9FBC125F-11E6-46C8-A79B-F46F7598DE24}"/>
    <s v=""/>
    <s v=""/>
    <s v=""/>
    <s v=""/>
    <s v=""/>
    <s v=""/>
    <s v=""/>
    <s v=""/>
    <s v=""/>
    <s v=""/>
    <x v="0"/>
    <s v=""/>
  </r>
  <r>
    <s v="MRNA"/>
    <n v="389.94"/>
    <m/>
    <n v="331.44900000000001"/>
    <x v="23"/>
    <x v="2"/>
    <m/>
    <m/>
    <m/>
    <m/>
    <m/>
    <m/>
    <m/>
    <m/>
    <m/>
    <m/>
    <m/>
    <m/>
    <s v="BULLISH"/>
    <d v="2022-08-03T07:10:00"/>
    <d v="2022-08-03T07:10:00"/>
    <m/>
    <m/>
    <m/>
    <m/>
    <m/>
    <m/>
    <m/>
    <m/>
    <s v=""/>
    <n v="0"/>
    <n v="0"/>
    <s v=""/>
    <m/>
    <m/>
    <s v=""/>
    <s v=""/>
    <s v=""/>
    <s v=""/>
    <s v=""/>
    <m/>
    <m/>
    <n v="0"/>
    <n v="0"/>
    <n v="0"/>
    <m/>
    <m/>
    <n v="184.92"/>
    <s v=""/>
    <s v=""/>
    <n v="0"/>
    <n v="0"/>
    <n v="-0.52577319587628868"/>
    <n v="270"/>
    <s v="free money"/>
    <n v="270"/>
    <s v="Assignment"/>
    <s v="SPs"/>
    <s v=""/>
    <m/>
    <m/>
    <m/>
    <s v=""/>
    <s v=""/>
    <n v="-4.6500000000000004"/>
    <n v="-4.3245000000000005"/>
    <m/>
    <d v="2021-09-01T00:00:00"/>
    <n v="323"/>
    <n v="495"/>
    <n v="264"/>
    <s v="LTD RISE"/>
    <s v="BULLISH"/>
    <m/>
    <s v=""/>
    <m/>
    <m/>
    <m/>
    <m/>
    <m/>
    <m/>
    <n v="0"/>
    <n v="0"/>
    <m/>
    <s v=""/>
    <s v=""/>
    <m/>
    <m/>
    <m/>
    <m/>
    <m/>
    <m/>
    <n v="0"/>
    <s v=""/>
    <s v=""/>
    <s v=""/>
    <s v=""/>
    <n v="0"/>
    <s v=""/>
    <n v="0"/>
    <n v="0.1"/>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75.67399999999998"/>
    <n v="760.38299999999992"/>
    <m/>
    <m/>
    <n v="0"/>
    <s v=""/>
    <n v="0"/>
    <s v=""/>
    <m/>
    <s v=""/>
    <s v=""/>
    <s v=""/>
    <s v=""/>
    <s v=""/>
    <s v=""/>
    <s v=""/>
    <s v=""/>
    <s v=""/>
    <s v=""/>
    <x v="0"/>
    <s v=""/>
  </r>
  <r>
    <s v="MRNA"/>
    <n v="389.94"/>
    <m/>
    <n v="331.44900000000001"/>
    <x v="23"/>
    <x v="2"/>
    <m/>
    <m/>
    <m/>
    <m/>
    <m/>
    <m/>
    <m/>
    <m/>
    <m/>
    <m/>
    <m/>
    <m/>
    <s v="BULLISH"/>
    <d v="2022-08-03T07:10:00"/>
    <d v="2022-08-03T07:10:00"/>
    <m/>
    <m/>
    <m/>
    <m/>
    <m/>
    <m/>
    <m/>
    <m/>
    <s v=""/>
    <n v="0"/>
    <n v="0"/>
    <s v=""/>
    <m/>
    <m/>
    <s v=""/>
    <s v=""/>
    <s v=""/>
    <s v=""/>
    <s v=""/>
    <m/>
    <m/>
    <n v="0"/>
    <n v="0"/>
    <n v="0"/>
    <m/>
    <m/>
    <n v="184.92"/>
    <s v=""/>
    <s v=""/>
    <n v="0"/>
    <n v="0"/>
    <n v="-0.52577319587628868"/>
    <n v="270"/>
    <s v="free money"/>
    <n v="270"/>
    <s v="Assignment"/>
    <s v="SPs"/>
    <s v=""/>
    <m/>
    <m/>
    <m/>
    <s v=""/>
    <s v=""/>
    <n v="-2.0499999999999998"/>
    <n v="-1.9064999999999996"/>
    <m/>
    <d v="2021-09-01T00:00:00"/>
    <n v="323"/>
    <n v="495"/>
    <n v="264"/>
    <s v="LTD RISE"/>
    <s v="BULLISH"/>
    <m/>
    <s v=""/>
    <m/>
    <m/>
    <m/>
    <m/>
    <m/>
    <m/>
    <n v="0"/>
    <n v="0"/>
    <m/>
    <s v=""/>
    <s v=""/>
    <m/>
    <m/>
    <m/>
    <m/>
    <m/>
    <m/>
    <n v="0"/>
    <s v=""/>
    <s v=""/>
    <s v=""/>
    <s v=""/>
    <n v="0"/>
    <s v=""/>
    <n v="0"/>
    <n v="0.2"/>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75.67399999999998"/>
    <n v="760.38299999999992"/>
    <m/>
    <m/>
    <n v="0"/>
    <s v=""/>
    <n v="0"/>
    <s v=""/>
    <m/>
    <s v=""/>
    <s v=""/>
    <s v=""/>
    <s v=""/>
    <s v=""/>
    <s v=""/>
    <s v=""/>
    <s v=""/>
    <s v=""/>
    <s v=""/>
    <x v="0"/>
    <s v=""/>
  </r>
  <r>
    <s v="MRO"/>
    <n v="27.44"/>
    <s v="LT"/>
    <n v="23.324000000000002"/>
    <x v="69"/>
    <x v="0"/>
    <s v="&quot;shrink to grow&quot; asset sales, production growth, discounted multiple improvement"/>
    <m/>
    <m/>
    <m/>
    <m/>
    <m/>
    <m/>
    <m/>
    <m/>
    <m/>
    <m/>
    <m/>
    <s v="BULLISH"/>
    <d v="2023-02-01T00:00:00"/>
    <d v="2023-02-01T00:00:00"/>
    <m/>
    <m/>
    <m/>
    <m/>
    <m/>
    <m/>
    <n v="1000"/>
    <n v="31409.4"/>
    <n v="31.409400000000002"/>
    <n v="27440"/>
    <n v="-3969.4000000000015"/>
    <n v="-0.12637618037912221"/>
    <n v="14"/>
    <n v="11.17"/>
    <n v="-17.409400000000002"/>
    <n v="-20.239400000000003"/>
    <s v="-0.9  : 1"/>
    <n v="-17409.400000000001"/>
    <n v="-20239.400000000005"/>
    <n v="0.86"/>
    <d v="2021-06-30T00:00:00"/>
    <n v="215"/>
    <n v="860"/>
    <n v="3.1341107871720113E-2"/>
    <d v="2021-05-16T00:00:00"/>
    <m/>
    <n v="34.9"/>
    <s v=""/>
    <n v="0.11113233617961497"/>
    <n v="3490.5999999999985"/>
    <n v="7460"/>
    <n v="0.27186588921282789"/>
    <m/>
    <m/>
    <m/>
    <m/>
    <s v="SPs"/>
    <s v=""/>
    <m/>
    <m/>
    <m/>
    <s v=""/>
    <s v=""/>
    <n v="29.75"/>
    <n v="27.667499999999997"/>
    <m/>
    <d v="2022-12-20T00:00:00"/>
    <n v="29.4"/>
    <n v="31.3"/>
    <n v="23.5"/>
    <s v="DECLINE"/>
    <s v="BULLISH"/>
    <m/>
    <s v=""/>
    <m/>
    <m/>
    <m/>
    <m/>
    <m/>
    <m/>
    <n v="0"/>
    <n v="0"/>
    <m/>
    <s v=""/>
    <s v=""/>
    <m/>
    <m/>
    <m/>
    <m/>
    <m/>
    <m/>
    <n v="0"/>
    <s v=""/>
    <s v=""/>
    <s v=""/>
    <s v=""/>
    <n v="0"/>
    <s v=""/>
    <n v="0"/>
    <m/>
    <n v="0"/>
    <s v=""/>
    <s v=""/>
    <s v=""/>
    <m/>
    <n v="0"/>
    <m/>
    <s v=""/>
    <s v=""/>
    <s v=""/>
    <m/>
    <s v=""/>
    <s v=""/>
    <s v=""/>
    <s v=""/>
    <s v=""/>
    <m/>
    <m/>
    <s v=""/>
    <s v=""/>
    <s v=""/>
    <s v=""/>
    <m/>
    <m/>
    <m/>
    <m/>
    <m/>
    <m/>
    <n v="0"/>
    <s v=""/>
    <s v=""/>
    <m/>
    <s v=""/>
    <s v=""/>
    <s v=""/>
    <s v=""/>
    <s v=""/>
    <s v=""/>
    <s v=""/>
    <m/>
    <s v=""/>
    <m/>
    <s v=""/>
    <s v=""/>
    <s v=""/>
    <s v=""/>
    <n v="10"/>
    <m/>
    <m/>
    <m/>
    <m/>
    <m/>
    <m/>
    <s v=""/>
    <s v=""/>
    <n v="0"/>
    <n v="0"/>
    <n v="0"/>
    <n v="0"/>
    <s v=""/>
    <m/>
    <n v="0"/>
    <m/>
    <m/>
    <s v=""/>
    <s v=""/>
    <s v=""/>
    <m/>
    <s v=""/>
    <n v="0"/>
    <n v="0"/>
    <s v=""/>
    <s v=""/>
    <s v=""/>
    <s v=""/>
    <s v=""/>
    <s v=""/>
    <s v=""/>
    <s v=""/>
    <s v=""/>
    <s v=""/>
    <s v=""/>
    <s v=""/>
    <s v=""/>
    <s v=""/>
    <s v=""/>
    <s v=""/>
    <s v=""/>
    <m/>
    <n v="200"/>
    <n v="33.154999999999994"/>
    <n v="53.508000000000003"/>
    <m/>
    <n v="39.58"/>
    <n v="0"/>
    <n v="0"/>
    <n v="0"/>
    <s v=""/>
    <s v="{AB3F0D69-7139-40F3-B1EA-AA3B612E66C8}"/>
    <s v=""/>
    <s v=""/>
    <s v=""/>
    <s v=""/>
    <s v=""/>
    <s v=""/>
    <s v=""/>
    <s v=""/>
    <s v=""/>
    <s v="LNG "/>
    <x v="23"/>
    <n v="2.0589585825850496E-2"/>
  </r>
  <r>
    <s v="NLY"/>
    <n v="22.49"/>
    <s v="Div"/>
    <n v="19.116499999999998"/>
    <x v="126"/>
    <x v="10"/>
    <m/>
    <m/>
    <m/>
    <m/>
    <m/>
    <m/>
    <m/>
    <m/>
    <m/>
    <m/>
    <m/>
    <m/>
    <s v="BULLISH"/>
    <d v="2023-01-25T00:00:00"/>
    <d v="2023-01-25T00:00:00"/>
    <m/>
    <m/>
    <m/>
    <m/>
    <m/>
    <m/>
    <n v="750"/>
    <n v="25377"/>
    <n v="33.835999999999999"/>
    <n v="16867.5"/>
    <n v="-8509.5"/>
    <n v="-0.33532332427000827"/>
    <n v="10"/>
    <n v="8.08"/>
    <n v="-23.835999999999999"/>
    <n v="-25.756"/>
    <s v="-0.9  : 1"/>
    <n v="-17877"/>
    <n v="-19317"/>
    <n v="0.88"/>
    <d v="2021-10-30T00:00:00"/>
    <n v="165"/>
    <n v="660"/>
    <n v="3.9128501556247225E-2"/>
    <d v="2021-09-09T00:00:00"/>
    <m/>
    <n v="19.47"/>
    <s v=""/>
    <n v="-0.42457737321196359"/>
    <n v="-10774.5"/>
    <n v="-2265"/>
    <n v="-0.13428190306803023"/>
    <m/>
    <m/>
    <m/>
    <m/>
    <m/>
    <s v=""/>
    <m/>
    <m/>
    <m/>
    <s v=""/>
    <s v=""/>
    <n v="28.07"/>
    <n v="26.1051"/>
    <m/>
    <d v="2022-12-19T00:00:00"/>
    <n v="20.2"/>
    <n v="24.6"/>
    <n v="18.8"/>
    <s v="LTD RISE"/>
    <s v="RANGE"/>
    <m/>
    <s v=""/>
    <m/>
    <m/>
    <m/>
    <m/>
    <m/>
    <m/>
    <n v="0"/>
    <n v="0"/>
    <m/>
    <s v=""/>
    <s v=""/>
    <m/>
    <m/>
    <m/>
    <m/>
    <m/>
    <m/>
    <n v="0"/>
    <s v=""/>
    <s v=""/>
    <s v=""/>
    <s v=""/>
    <n v="0"/>
    <s v=""/>
    <n v="0"/>
    <m/>
    <n v="0"/>
    <s v=""/>
    <s v=""/>
    <s v=""/>
    <m/>
    <n v="0"/>
    <m/>
    <s v=""/>
    <s v=""/>
    <s v=""/>
    <m/>
    <s v=""/>
    <s v=""/>
    <s v=""/>
    <s v=""/>
    <s v=""/>
    <m/>
    <m/>
    <s v=""/>
    <s v=""/>
    <s v=""/>
    <s v=""/>
    <m/>
    <m/>
    <m/>
    <m/>
    <m/>
    <m/>
    <n v="0"/>
    <s v=""/>
    <s v=""/>
    <m/>
    <s v=""/>
    <s v=""/>
    <s v=""/>
    <s v=""/>
    <s v=""/>
    <s v=""/>
    <s v=""/>
    <m/>
    <s v=""/>
    <m/>
    <s v=""/>
    <s v=""/>
    <s v=""/>
    <s v=""/>
    <n v="7"/>
    <m/>
    <m/>
    <m/>
    <m/>
    <m/>
    <m/>
    <s v=""/>
    <s v=""/>
    <n v="0"/>
    <n v="0"/>
    <n v="0"/>
    <n v="0"/>
    <s v=""/>
    <m/>
    <n v="0"/>
    <m/>
    <m/>
    <s v=""/>
    <s v=""/>
    <s v=""/>
    <m/>
    <s v=""/>
    <n v="0"/>
    <n v="0"/>
    <s v=""/>
    <s v=""/>
    <s v=""/>
    <s v=""/>
    <s v=""/>
    <s v=""/>
    <s v=""/>
    <s v=""/>
    <s v=""/>
    <s v=""/>
    <s v=""/>
    <s v=""/>
    <s v=""/>
    <s v=""/>
    <s v=""/>
    <s v=""/>
    <s v=""/>
    <m/>
    <n v="150"/>
    <n v="18.496499999999997"/>
    <n v="43.855499999999999"/>
    <m/>
    <m/>
    <n v="0"/>
    <n v="0"/>
    <n v="0"/>
    <s v=""/>
    <s v="{7D233809-7F86-494F-98FB-989CF5614CC3}"/>
    <s v=""/>
    <s v=""/>
    <s v=""/>
    <s v=""/>
    <s v=""/>
    <s v=""/>
    <s v=""/>
    <s v=""/>
    <s v=""/>
    <s v="LNG "/>
    <x v="24"/>
    <n v="1.6635208552299885E-2"/>
  </r>
  <r>
    <s v="MS"/>
    <n v="67.84"/>
    <s v="Swing"/>
    <n v="57.664000000000001"/>
    <x v="127"/>
    <x v="7"/>
    <s v="Strong top &amp; bottom line beat Q1"/>
    <s v="Banks tanking due to zero interest rate pressure on NIM"/>
    <m/>
    <s v="UP"/>
    <s v="CONVERGE"/>
    <s v="NO CROSS"/>
    <s v="NO CROSS"/>
    <s v="Middle"/>
    <s v="UP"/>
    <s v="HIGH"/>
    <m/>
    <m/>
    <s v="BULLISH"/>
    <d v="2022-07-14T07:30:00"/>
    <d v="2022-07-14T07:30:00"/>
    <m/>
    <m/>
    <m/>
    <m/>
    <m/>
    <m/>
    <m/>
    <m/>
    <s v=""/>
    <n v="0"/>
    <n v="0"/>
    <s v=""/>
    <m/>
    <m/>
    <s v=""/>
    <s v=""/>
    <s v=""/>
    <s v=""/>
    <s v=""/>
    <n v="0.6"/>
    <d v="2015-11-13T00:00:00"/>
    <n v="0"/>
    <n v="0"/>
    <n v="8.8443396226415092E-3"/>
    <d v="2015-10-26T00:00:00"/>
    <n v="75"/>
    <n v="61.59"/>
    <n v="0.10554245283018862"/>
    <s v=""/>
    <n v="0"/>
    <n v="0"/>
    <n v="-9.2128537735849059E-2"/>
    <n v="15.5"/>
    <s v="assignment"/>
    <n v="15.5"/>
    <s v="free money"/>
    <s v="CCs"/>
    <s v=""/>
    <m/>
    <m/>
    <m/>
    <s v=""/>
    <s v=""/>
    <n v="48.3"/>
    <n v="44.918999999999997"/>
    <m/>
    <d v="2020-12-28T00:00:00"/>
    <n v="66.31"/>
    <n v="73.42"/>
    <n v="52.29"/>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58.5105"/>
    <n v="132.28800000000001"/>
    <m/>
    <n v="32.880000000000003"/>
    <n v="0"/>
    <s v=""/>
    <n v="0"/>
    <s v=""/>
    <s v="{B98474D0-E3E0-4AFC-82F7-7A1C377F94F8}"/>
    <s v=""/>
    <s v=""/>
    <s v=""/>
    <s v=""/>
    <s v=""/>
    <s v=""/>
    <s v=""/>
    <s v=""/>
    <s v=""/>
    <s v=""/>
    <x v="0"/>
    <s v=""/>
  </r>
  <r>
    <s v="GS"/>
    <n v="351.68"/>
    <s v="Position"/>
    <n v="298.928"/>
    <x v="127"/>
    <x v="7"/>
    <s v="record M&amp;A pipeline, which has easy comparisons y/y. The company has No. 1 market share in M&amp;A and stands to benefit nicely in the back half of the year. It also has wiggle room on compensation expense, and that should also help lead to operating leverage on the bottom line. It trades at a discount to Morgan Stanley (MS:NYSE), and we that view as overdone."/>
    <s v="stock has run, low rates, pending litigation"/>
    <m/>
    <m/>
    <m/>
    <m/>
    <m/>
    <m/>
    <m/>
    <m/>
    <m/>
    <m/>
    <s v="BULLISH"/>
    <d v="2022-10-17T06:15:00"/>
    <d v="2022-10-17T06:15:00"/>
    <m/>
    <s v="higher volitility, interest rates"/>
    <m/>
    <n v="2"/>
    <m/>
    <m/>
    <m/>
    <m/>
    <s v=""/>
    <n v="0"/>
    <n v="0"/>
    <s v=""/>
    <n v="500"/>
    <n v="407.9"/>
    <s v=""/>
    <s v=""/>
    <s v=""/>
    <s v=""/>
    <s v=""/>
    <n v="5"/>
    <d v="2019-12-27T00:00:00"/>
    <n v="0"/>
    <n v="0"/>
    <n v="1.421747042766151E-2"/>
    <d v="2019-11-29T00:00:00"/>
    <n v="213"/>
    <n v="421.14"/>
    <n v="-0.39433575978161967"/>
    <s v=""/>
    <n v="0"/>
    <n v="0"/>
    <n v="0.19750909918107365"/>
    <n v="312.5"/>
    <s v="assignment"/>
    <n v="312.5"/>
    <s v="free money"/>
    <s v="CCs"/>
    <s v=""/>
    <m/>
    <m/>
    <m/>
    <s v=""/>
    <s v=""/>
    <n v="397.42"/>
    <n v="369.60059999999999"/>
    <m/>
    <d v="2022-08-11T00:00:00"/>
    <n v="328"/>
    <n v="380"/>
    <n v="312"/>
    <s v="RISE"/>
    <s v="RANGE"/>
    <m/>
    <s v=""/>
    <m/>
    <m/>
    <m/>
    <m/>
    <m/>
    <m/>
    <n v="0"/>
    <n v="0"/>
    <m/>
    <s v=""/>
    <m/>
    <m/>
    <m/>
    <m/>
    <m/>
    <m/>
    <m/>
    <n v="0"/>
    <s v=""/>
    <s v=""/>
    <s v=""/>
    <s v=""/>
    <n v="0"/>
    <s v=""/>
    <n v="0"/>
    <m/>
    <n v="0"/>
    <s v=""/>
    <s v=""/>
    <s v=""/>
    <m/>
    <n v="0"/>
    <m/>
    <s v=""/>
    <s v=""/>
    <s v=""/>
    <m/>
    <s v=""/>
    <s v=""/>
    <s v=""/>
    <s v=""/>
    <s v=""/>
    <m/>
    <m/>
    <s v=""/>
    <s v=""/>
    <s v=""/>
    <s v=""/>
    <m/>
    <m/>
    <m/>
    <m/>
    <m/>
    <m/>
    <n v="0"/>
    <s v=""/>
    <s v=""/>
    <m/>
    <s v=""/>
    <s v=""/>
    <s v=""/>
    <s v=""/>
    <s v=""/>
    <s v=""/>
    <s v=""/>
    <m/>
    <s v=""/>
    <m/>
    <s v=""/>
    <s v=""/>
    <s v=""/>
    <s v=""/>
    <n v="0"/>
    <m/>
    <m/>
    <m/>
    <m/>
    <m/>
    <m/>
    <s v=""/>
    <s v=""/>
    <n v="0"/>
    <n v="0"/>
    <n v="0"/>
    <n v="0"/>
    <s v=""/>
    <m/>
    <n v="0"/>
    <n v="17.100000000000001"/>
    <m/>
    <s v=""/>
    <s v=""/>
    <b v="0"/>
    <m/>
    <s v=""/>
    <n v="0"/>
    <n v="17.100000000000001"/>
    <n v="4.8623748862602366E-2"/>
    <s v=""/>
    <s v=""/>
    <s v=""/>
    <s v=""/>
    <s v=""/>
    <s v=""/>
    <s v=""/>
    <s v=""/>
    <s v=""/>
    <s v=""/>
    <s v=""/>
    <s v=""/>
    <s v=""/>
    <s v=""/>
    <s v=""/>
    <s v=""/>
    <m/>
    <n v="0"/>
    <n v="400.08299999999997"/>
    <n v="685.77599999999995"/>
    <m/>
    <n v="183.88"/>
    <n v="0"/>
    <s v=""/>
    <n v="0"/>
    <s v=""/>
    <s v="{D3970165-7F93-4362-ACCF-3E4A40CE1464}"/>
    <s v=""/>
    <s v=""/>
    <s v=""/>
    <s v=""/>
    <s v=""/>
    <s v=""/>
    <s v=""/>
    <s v=""/>
    <s v=""/>
    <s v=""/>
    <x v="0"/>
    <s v=""/>
  </r>
  <r>
    <s v="MU"/>
    <n v="86.07"/>
    <m/>
    <n v="73.159499999999994"/>
    <x v="3"/>
    <x v="3"/>
    <m/>
    <m/>
    <m/>
    <m/>
    <m/>
    <m/>
    <m/>
    <m/>
    <m/>
    <m/>
    <m/>
    <m/>
    <m/>
    <d v="2022-06-30T16:05:00"/>
    <d v="2022-06-30T16:05:00"/>
    <s v="Confirmed"/>
    <m/>
    <m/>
    <m/>
    <m/>
    <m/>
    <m/>
    <m/>
    <s v=""/>
    <n v="0"/>
    <n v="0"/>
    <s v=""/>
    <m/>
    <m/>
    <s v=""/>
    <s v=""/>
    <s v=""/>
    <s v=""/>
    <s v=""/>
    <m/>
    <m/>
    <n v="0"/>
    <n v="0"/>
    <n v="0"/>
    <m/>
    <m/>
    <n v="113.3"/>
    <s v=""/>
    <s v=""/>
    <n v="0"/>
    <n v="0"/>
    <n v="0.31637039618914842"/>
    <n v="85"/>
    <s v="free money"/>
    <n v="85"/>
    <s v="Losses"/>
    <s v="BuPS"/>
    <s v=""/>
    <m/>
    <m/>
    <m/>
    <s v=""/>
    <s v=""/>
    <n v="1.75"/>
    <n v="1.6274999999999999"/>
    <m/>
    <d v="2021-04-29T00:00:00"/>
    <n v="92.9"/>
    <n v="99.3"/>
    <n v="74.099999999999994"/>
    <s v="DECLINE"/>
    <s v="RANGE"/>
    <m/>
    <s v=""/>
    <m/>
    <m/>
    <m/>
    <m/>
    <m/>
    <m/>
    <n v="0"/>
    <n v="0"/>
    <m/>
    <s v=""/>
    <s v=""/>
    <m/>
    <m/>
    <m/>
    <m/>
    <m/>
    <m/>
    <n v="0"/>
    <s v=""/>
    <s v=""/>
    <s v=""/>
    <s v=""/>
    <n v="0"/>
    <s v=""/>
    <n v="0"/>
    <n v="0.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7.63499999999999"/>
    <n v="167.83649999999997"/>
    <m/>
    <m/>
    <n v="0"/>
    <s v=""/>
    <n v="0"/>
    <s v=""/>
    <m/>
    <s v=""/>
    <s v=""/>
    <s v=""/>
    <s v=""/>
    <s v=""/>
    <s v=""/>
    <s v=""/>
    <s v=""/>
    <s v=""/>
    <s v=""/>
    <x v="0"/>
    <s v=""/>
  </r>
  <r>
    <s v="NBEV"/>
    <n v="3.6"/>
    <m/>
    <n v="3.06"/>
    <x v="113"/>
    <x v="12"/>
    <m/>
    <m/>
    <m/>
    <m/>
    <m/>
    <m/>
    <m/>
    <m/>
    <m/>
    <m/>
    <m/>
    <m/>
    <m/>
    <d v="2022-07-01T00:00:00"/>
    <d v="2022-07-01T00:00:00"/>
    <m/>
    <m/>
    <m/>
    <m/>
    <m/>
    <m/>
    <m/>
    <m/>
    <s v=""/>
    <n v="0"/>
    <n v="0"/>
    <s v=""/>
    <m/>
    <m/>
    <s v=""/>
    <s v=""/>
    <s v=""/>
    <s v=""/>
    <s v=""/>
    <m/>
    <m/>
    <n v="0"/>
    <n v="0"/>
    <n v="0"/>
    <m/>
    <m/>
    <n v="4.67"/>
    <s v=""/>
    <s v=""/>
    <n v="0"/>
    <n v="0"/>
    <n v="0.2972222222222221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4364999999999997"/>
    <n v="7.02"/>
    <m/>
    <m/>
    <n v="0"/>
    <s v=""/>
    <n v="0"/>
    <s v=""/>
    <s v="{D000DEF7-E319-4DB2-9DDA-18A499B0160C}"/>
    <s v=""/>
    <s v=""/>
    <s v=""/>
    <s v=""/>
    <s v=""/>
    <s v=""/>
    <s v=""/>
    <s v=""/>
    <s v=""/>
    <s v=""/>
    <x v="0"/>
    <s v=""/>
  </r>
  <r>
    <s v="NBL"/>
    <n v="22.16"/>
    <m/>
    <n v="18.835999999999999"/>
    <x v="69"/>
    <x v="0"/>
    <m/>
    <m/>
    <m/>
    <m/>
    <m/>
    <m/>
    <m/>
    <m/>
    <m/>
    <m/>
    <m/>
    <m/>
    <m/>
    <d v="2022-07-01T00:00:00"/>
    <d v="2022-07-01T00:00:00"/>
    <m/>
    <m/>
    <m/>
    <m/>
    <m/>
    <m/>
    <m/>
    <m/>
    <s v=""/>
    <n v="0"/>
    <n v="0"/>
    <s v=""/>
    <m/>
    <m/>
    <s v=""/>
    <s v=""/>
    <s v=""/>
    <s v=""/>
    <s v=""/>
    <n v="0.72"/>
    <d v="2015-11-17T00:00:00"/>
    <n v="0"/>
    <n v="0"/>
    <n v="3.2490974729241874E-2"/>
    <d v="2015-07-28T00:00:00"/>
    <m/>
    <n v="12.86"/>
    <s v=""/>
    <s v=""/>
    <n v="0"/>
    <n v="0"/>
    <n v="-0.41967509025270761"/>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216999999999999"/>
    <n v="43.211999999999996"/>
    <m/>
    <m/>
    <n v="0"/>
    <s v=""/>
    <n v="0"/>
    <s v=""/>
    <s v="{28830C7A-7BCF-4B2F-978D-3898CD308D39}"/>
    <s v=""/>
    <s v=""/>
    <s v=""/>
    <s v=""/>
    <s v=""/>
    <s v=""/>
    <s v=""/>
    <s v=""/>
    <s v=""/>
    <s v=""/>
    <x v="0"/>
    <s v=""/>
  </r>
  <r>
    <s v="NCLH"/>
    <n v="15.095000000000001"/>
    <s v="Swing"/>
    <n v="12.83075"/>
    <x v="5"/>
    <x v="1"/>
    <m/>
    <m/>
    <m/>
    <m/>
    <m/>
    <m/>
    <m/>
    <m/>
    <m/>
    <m/>
    <m/>
    <m/>
    <s v="BULLISH"/>
    <d v="2022-08-09T07:00:00"/>
    <d v="2022-08-09T07:00:00"/>
    <m/>
    <s v="CDC Suspension Expiration"/>
    <d v="2020-07-24T00:00:00"/>
    <m/>
    <m/>
    <m/>
    <m/>
    <m/>
    <s v=""/>
    <n v="0"/>
    <n v="0"/>
    <s v=""/>
    <m/>
    <m/>
    <s v=""/>
    <s v=""/>
    <s v=""/>
    <s v=""/>
    <s v=""/>
    <m/>
    <m/>
    <n v="0"/>
    <n v="0"/>
    <n v="0"/>
    <m/>
    <m/>
    <n v="17.04"/>
    <s v=""/>
    <s v=""/>
    <n v="0"/>
    <n v="0"/>
    <n v="0.12885061278569052"/>
    <n v="18.5"/>
    <s v="assignment"/>
    <n v="18.5"/>
    <s v="free money"/>
    <s v="CCs"/>
    <s v=""/>
    <m/>
    <m/>
    <m/>
    <s v=""/>
    <s v=""/>
    <n v="14.45"/>
    <n v="13.438499999999998"/>
    <s v="500 shares, BTC CCs, puts will get assigned"/>
    <d v="2020-07-09T00:00:00"/>
    <n v="19.5"/>
    <n v="23.3"/>
    <n v="9"/>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187999999999999"/>
    <n v="29.43525"/>
    <m/>
    <m/>
    <n v="0"/>
    <s v=""/>
    <n v="0"/>
    <s v=""/>
    <s v="{DA0688C5-C62D-4859-9BE6-52D33F9D258B}"/>
    <s v=""/>
    <s v=""/>
    <s v=""/>
    <s v=""/>
    <s v=""/>
    <s v=""/>
    <s v=""/>
    <s v=""/>
    <s v=""/>
    <s v=""/>
    <x v="0"/>
    <s v=""/>
  </r>
  <r>
    <s v="NEM"/>
    <n v="72.61"/>
    <s v="Position"/>
    <n v="61.718499999999999"/>
    <x v="11"/>
    <x v="0"/>
    <m/>
    <m/>
    <m/>
    <m/>
    <m/>
    <m/>
    <m/>
    <m/>
    <m/>
    <m/>
    <m/>
    <m/>
    <s v="BULLISH"/>
    <d v="2022-07-22T07:00:00"/>
    <d v="2022-07-22T07:00:00"/>
    <m/>
    <m/>
    <m/>
    <m/>
    <m/>
    <m/>
    <m/>
    <m/>
    <s v=""/>
    <n v="0"/>
    <n v="0"/>
    <s v=""/>
    <m/>
    <m/>
    <s v=""/>
    <s v=""/>
    <s v=""/>
    <s v=""/>
    <s v=""/>
    <m/>
    <m/>
    <n v="0"/>
    <n v="0"/>
    <n v="0"/>
    <m/>
    <m/>
    <n v="66.97"/>
    <s v=""/>
    <s v=""/>
    <n v="0"/>
    <n v="0"/>
    <n v="-7.7675251342790255E-2"/>
    <n v="78"/>
    <s v="assignment"/>
    <n v="78"/>
    <s v="free money"/>
    <s v="CCs"/>
    <s v=""/>
    <m/>
    <n v="3.7719999999999998"/>
    <d v="2021-07-16T00:00:00"/>
    <n v="68.837999999999994"/>
    <n v="76.382000000000005"/>
    <n v="65.739999999999995"/>
    <n v="61.138199999999991"/>
    <m/>
    <d v="2022-03-14T00:00:00"/>
    <n v="71.3"/>
    <n v="86.4"/>
    <n v="66.5"/>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3.621499999999997"/>
    <n v="141.58949999999999"/>
    <m/>
    <m/>
    <n v="0"/>
    <s v=""/>
    <n v="0"/>
    <s v=""/>
    <s v="{3EBBA7AD-8DF4-41B0-9DFA-F7A98BC9F4A3}"/>
    <s v=""/>
    <s v=""/>
    <s v=""/>
    <s v=""/>
    <s v=""/>
    <s v=""/>
    <s v=""/>
    <s v=""/>
    <s v=""/>
    <s v=""/>
    <x v="0"/>
    <s v=""/>
  </r>
  <r>
    <s v="NET"/>
    <n v="85.56"/>
    <s v="Swing"/>
    <n v="72.725999999999999"/>
    <x v="13"/>
    <x v="3"/>
    <m/>
    <m/>
    <m/>
    <m/>
    <m/>
    <m/>
    <m/>
    <m/>
    <m/>
    <m/>
    <m/>
    <m/>
    <s v="BULLISH"/>
    <d v="2022-08-04T16:15:00"/>
    <d v="2022-08-04T16:15:00"/>
    <m/>
    <m/>
    <m/>
    <m/>
    <m/>
    <n v="2"/>
    <m/>
    <m/>
    <s v=""/>
    <n v="0"/>
    <n v="0"/>
    <s v=""/>
    <m/>
    <m/>
    <s v=""/>
    <s v=""/>
    <s v=""/>
    <s v=""/>
    <s v=""/>
    <m/>
    <m/>
    <n v="0"/>
    <n v="0"/>
    <n v="0"/>
    <m/>
    <m/>
    <n v="54.31"/>
    <s v=""/>
    <s v=""/>
    <n v="0"/>
    <n v="0"/>
    <n v="-0.36524076671341749"/>
    <n v="70"/>
    <s v="free money"/>
    <n v="70"/>
    <s v="Assignment"/>
    <s v="SPs"/>
    <s v=""/>
    <m/>
    <n v="8.7040000000000006"/>
    <d v="2021-02-12T00:00:00"/>
    <n v="76.855999999999995"/>
    <n v="94.26400000000001"/>
    <m/>
    <s v=""/>
    <m/>
    <d v="2021-02-05T00:00:00"/>
    <n v="78.27"/>
    <n v="94.41"/>
    <n v="69.400000000000006"/>
    <s v="RISE"/>
    <s v="BULLISH"/>
    <m/>
    <s v=""/>
    <m/>
    <m/>
    <m/>
    <m/>
    <m/>
    <m/>
    <n v="0"/>
    <n v="0"/>
    <m/>
    <s v=""/>
    <s v=""/>
    <m/>
    <m/>
    <m/>
    <m/>
    <m/>
    <m/>
    <n v="0"/>
    <s v=""/>
    <s v=""/>
    <s v=""/>
    <s v=""/>
    <n v="0"/>
    <s v=""/>
    <n v="0"/>
    <n v="0.8"/>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1.594499999999996"/>
    <n v="166.84200000000001"/>
    <m/>
    <m/>
    <n v="0"/>
    <s v=""/>
    <n v="0"/>
    <s v=""/>
    <s v="{D38A3650-D6F3-4E61-9920-5CA8DB26BE02}"/>
    <s v=""/>
    <s v=""/>
    <s v=""/>
    <s v=""/>
    <s v=""/>
    <s v=""/>
    <s v=""/>
    <s v=""/>
    <s v=""/>
    <s v=""/>
    <x v="0"/>
    <s v=""/>
  </r>
  <r>
    <s v="NFLX"/>
    <n v="490.76"/>
    <s v="Swing"/>
    <n v="417.14599999999996"/>
    <x v="128"/>
    <x v="8"/>
    <m/>
    <m/>
    <m/>
    <m/>
    <m/>
    <m/>
    <m/>
    <m/>
    <m/>
    <m/>
    <m/>
    <m/>
    <s v="RANGE"/>
    <d v="2022-07-19T16:00:00"/>
    <d v="2022-07-19T16:00:00"/>
    <m/>
    <m/>
    <m/>
    <m/>
    <m/>
    <n v="3"/>
    <m/>
    <m/>
    <s v=""/>
    <n v="0"/>
    <n v="0"/>
    <s v=""/>
    <m/>
    <m/>
    <s v=""/>
    <s v=""/>
    <s v=""/>
    <s v=""/>
    <s v=""/>
    <n v="0"/>
    <s v="N/A"/>
    <n v="0"/>
    <n v="0"/>
    <n v="0"/>
    <m/>
    <m/>
    <n v="547.22"/>
    <s v=""/>
    <s v=""/>
    <n v="0"/>
    <n v="0"/>
    <n v="0.11504605102290333"/>
    <n v="540"/>
    <s v="assignment"/>
    <n v="500"/>
    <s v="Losses"/>
    <s v="Diagonal"/>
    <s v=""/>
    <m/>
    <m/>
    <m/>
    <s v=""/>
    <s v=""/>
    <n v="16.7"/>
    <n v="15.530999999999999"/>
    <s v="long calls $500"/>
    <d v="2020-11-10T00:00:00"/>
    <n v="475.4"/>
    <n v="499.6"/>
    <n v="466"/>
    <s v="DECLINE"/>
    <s v="RANGE"/>
    <m/>
    <s v=""/>
    <m/>
    <m/>
    <m/>
    <m/>
    <m/>
    <m/>
    <n v="0"/>
    <n v="0"/>
    <n v="0.59"/>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19.85900000000004"/>
    <n v="956.98199999999997"/>
    <m/>
    <m/>
    <n v="0"/>
    <s v=""/>
    <n v="0"/>
    <s v=""/>
    <s v="{93165644-0ED4-4A73-9393-70F24045CDDF}"/>
    <s v=""/>
    <s v=""/>
    <s v=""/>
    <s v=""/>
    <s v=""/>
    <s v=""/>
    <s v=""/>
    <s v=""/>
    <s v=""/>
    <s v=""/>
    <x v="0"/>
    <s v=""/>
  </r>
  <r>
    <s v="NIO"/>
    <n v="19.48"/>
    <m/>
    <n v="16.558"/>
    <x v="115"/>
    <x v="1"/>
    <m/>
    <m/>
    <m/>
    <m/>
    <m/>
    <m/>
    <m/>
    <m/>
    <m/>
    <m/>
    <m/>
    <m/>
    <m/>
    <d v="2022-06-09T04:10:00"/>
    <d v="2022-06-09T04:10:00"/>
    <s v="Confirmed"/>
    <m/>
    <m/>
    <m/>
    <m/>
    <m/>
    <m/>
    <m/>
    <s v=""/>
    <n v="0"/>
    <n v="0"/>
    <s v=""/>
    <m/>
    <m/>
    <s v=""/>
    <s v=""/>
    <s v=""/>
    <s v=""/>
    <s v=""/>
    <m/>
    <m/>
    <n v="0"/>
    <n v="0"/>
    <n v="0"/>
    <m/>
    <m/>
    <n v="13.01"/>
    <s v=""/>
    <s v=""/>
    <n v="0"/>
    <n v="0"/>
    <n v="-0.3321355236139630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359499999999999"/>
    <n v="37.985999999999997"/>
    <m/>
    <m/>
    <n v="0"/>
    <s v=""/>
    <n v="0"/>
    <s v=""/>
    <m/>
    <s v=""/>
    <s v=""/>
    <s v=""/>
    <s v=""/>
    <s v=""/>
    <s v=""/>
    <s v=""/>
    <s v=""/>
    <s v=""/>
    <s v=""/>
    <x v="0"/>
    <s v=""/>
  </r>
  <r>
    <s v="NKE"/>
    <n v="134.31"/>
    <s v="LT"/>
    <n v="114.1635"/>
    <x v="81"/>
    <x v="12"/>
    <s v="margin improvement, direct mktg expansion, lapse in heady capex, benign commodity costs"/>
    <m/>
    <m/>
    <m/>
    <m/>
    <m/>
    <m/>
    <m/>
    <m/>
    <m/>
    <m/>
    <m/>
    <s v="BULLISH"/>
    <d v="2022-06-27T16:15:00"/>
    <d v="2022-06-27T16:15:00"/>
    <s v="Confirmed"/>
    <m/>
    <m/>
    <m/>
    <m/>
    <m/>
    <m/>
    <m/>
    <s v=""/>
    <n v="0"/>
    <n v="0"/>
    <s v=""/>
    <m/>
    <m/>
    <s v=""/>
    <s v=""/>
    <s v=""/>
    <s v=""/>
    <s v=""/>
    <n v="0.64"/>
    <d v="2016-07-04T00:00:00"/>
    <n v="0"/>
    <n v="0"/>
    <n v="4.7650956741865829E-3"/>
    <d v="2019-05-01T00:00:00"/>
    <m/>
    <n v="93.31"/>
    <s v=""/>
    <s v=""/>
    <n v="0"/>
    <n v="0"/>
    <n v="-0.30526394162757797"/>
    <n v="145"/>
    <s v="assignment"/>
    <n v="125"/>
    <s v="Assignment"/>
    <s v="Strangle"/>
    <s v=""/>
    <m/>
    <m/>
    <m/>
    <s v=""/>
    <s v=""/>
    <n v="121.71"/>
    <n v="113.19029999999999"/>
    <m/>
    <d v="2021-04-12T00:00:00"/>
    <n v="128.6"/>
    <n v="147"/>
    <n v="122.2"/>
    <s v="LTD RISE"/>
    <s v="RANGE"/>
    <m/>
    <s v=""/>
    <m/>
    <m/>
    <m/>
    <m/>
    <m/>
    <m/>
    <n v="0"/>
    <n v="0"/>
    <m/>
    <s v=""/>
    <s v=""/>
    <m/>
    <n v="125"/>
    <n v="1"/>
    <d v="2021-02-04T00:00:00"/>
    <d v="2021-02-04T00:00:00"/>
    <m/>
    <n v="0"/>
    <s v=""/>
    <s v=""/>
    <s v=""/>
    <s v=""/>
    <n v="0"/>
    <s v=""/>
    <n v="0"/>
    <m/>
    <n v="0"/>
    <s v=""/>
    <s v=""/>
    <s v=""/>
    <m/>
    <n v="0"/>
    <m/>
    <s v=""/>
    <s v=""/>
    <s v=""/>
    <m/>
    <s v=""/>
    <n v="121.25"/>
    <n v="-375"/>
    <s v=""/>
    <s v=""/>
    <m/>
    <m/>
    <s v=""/>
    <s v=""/>
    <s v=""/>
    <s v=""/>
    <m/>
    <m/>
    <m/>
    <m/>
    <m/>
    <m/>
    <n v="0"/>
    <s v=""/>
    <s v=""/>
    <m/>
    <s v=""/>
    <s v=""/>
    <s v=""/>
    <s v=""/>
    <s v=""/>
    <s v=""/>
    <s v=""/>
    <m/>
    <s v=""/>
    <m/>
    <s v=""/>
    <s v=""/>
    <s v=""/>
    <s v=""/>
    <n v="0"/>
    <m/>
    <m/>
    <m/>
    <m/>
    <m/>
    <m/>
    <s v=""/>
    <s v=""/>
    <n v="0"/>
    <n v="0"/>
    <n v="0"/>
    <n v="0"/>
    <s v=""/>
    <m/>
    <n v="0"/>
    <m/>
    <m/>
    <s v=""/>
    <s v=""/>
    <s v=""/>
    <m/>
    <s v=""/>
    <n v="0"/>
    <n v="0"/>
    <s v=""/>
    <s v=""/>
    <s v=""/>
    <s v=""/>
    <s v=""/>
    <s v=""/>
    <s v=""/>
    <s v=""/>
    <s v=""/>
    <s v=""/>
    <s v=""/>
    <s v=""/>
    <s v=""/>
    <s v=""/>
    <s v=""/>
    <s v=""/>
    <s v=""/>
    <m/>
    <n v="0"/>
    <n v="88.644499999999994"/>
    <n v="261.90449999999998"/>
    <m/>
    <n v="78.180000000000007"/>
    <n v="0"/>
    <s v=""/>
    <n v="0"/>
    <s v=""/>
    <s v="{74A28CC7-B290-49B3-A31B-0B318AF605C6}"/>
    <s v=""/>
    <s v=""/>
    <s v=""/>
    <s v=""/>
    <s v=""/>
    <s v=""/>
    <s v=""/>
    <s v=""/>
    <s v=""/>
    <s v=""/>
    <x v="0"/>
    <s v=""/>
  </r>
  <r>
    <s v="JNJ"/>
    <n v="162.38"/>
    <s v="Swing"/>
    <n v="138.023"/>
    <x v="93"/>
    <x v="2"/>
    <s v="Increased shareholder returns in response to activism looking to break up the company; Cramer feels it is perfect as megatrend company right now which is stable &amp; should also benefit from increased connectivity in cars."/>
    <m/>
    <m/>
    <m/>
    <m/>
    <m/>
    <m/>
    <m/>
    <m/>
    <m/>
    <m/>
    <m/>
    <s v="RANGE"/>
    <d v="2022-07-19T06:25:00"/>
    <d v="2022-07-19T06:25:00"/>
    <m/>
    <m/>
    <m/>
    <n v="2"/>
    <m/>
    <m/>
    <m/>
    <m/>
    <s v=""/>
    <n v="0"/>
    <n v="0"/>
    <s v=""/>
    <m/>
    <m/>
    <s v=""/>
    <s v=""/>
    <s v=""/>
    <s v=""/>
    <s v=""/>
    <n v="3.8"/>
    <d v="2019-12-10T00:00:00"/>
    <n v="0"/>
    <n v="0"/>
    <n v="2.3401896785318389E-2"/>
    <d v="2019-11-26T00:00:00"/>
    <n v="160"/>
    <n v="166.06"/>
    <n v="-1.4656977460278333E-2"/>
    <s v=""/>
    <n v="0"/>
    <n v="0"/>
    <n v="2.266288951841364E-2"/>
    <m/>
    <m/>
    <m/>
    <m/>
    <m/>
    <s v=""/>
    <m/>
    <m/>
    <m/>
    <s v=""/>
    <s v=""/>
    <m/>
    <s v=""/>
    <m/>
    <d v="2021-01-15T00:00:00"/>
    <n v="156.30000000000001"/>
    <n v="169.6"/>
    <n v="152.1"/>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7.75700000000001"/>
    <n v="316.64099999999996"/>
    <m/>
    <m/>
    <n v="0"/>
    <s v=""/>
    <n v="0"/>
    <s v=""/>
    <s v="{72B18052-993F-4D65-9484-9698AF3A203C}"/>
    <s v=""/>
    <s v=""/>
    <s v=""/>
    <s v=""/>
    <s v=""/>
    <s v=""/>
    <s v=""/>
    <s v=""/>
    <s v=""/>
    <s v=""/>
    <x v="0"/>
    <s v=""/>
  </r>
  <r>
    <s v="NNDM"/>
    <n v="2.41"/>
    <s v="Lottery"/>
    <n v="2.0485000000000002"/>
    <x v="129"/>
    <x v="3"/>
    <m/>
    <m/>
    <m/>
    <m/>
    <m/>
    <m/>
    <m/>
    <m/>
    <m/>
    <m/>
    <m/>
    <m/>
    <s v="Lottery"/>
    <d v="2023-03-02T00:00:00"/>
    <d v="2023-03-02T00:00:00"/>
    <m/>
    <m/>
    <m/>
    <m/>
    <m/>
    <m/>
    <n v="4000"/>
    <n v="41505"/>
    <n v="10.376250000000001"/>
    <n v="9640"/>
    <n v="-31865"/>
    <n v="-0.7677388266473919"/>
    <m/>
    <m/>
    <s v=""/>
    <s v=""/>
    <s v=""/>
    <s v=""/>
    <s v=""/>
    <m/>
    <m/>
    <n v="0"/>
    <n v="0"/>
    <n v="0"/>
    <m/>
    <m/>
    <n v="10"/>
    <s v=""/>
    <n v="-3.6260691482953862E-2"/>
    <n v="-1505"/>
    <n v="30360"/>
    <n v="3.1493775933609958"/>
    <m/>
    <m/>
    <m/>
    <m/>
    <m/>
    <s v=""/>
    <m/>
    <m/>
    <m/>
    <s v=""/>
    <s v=""/>
    <n v="10.66"/>
    <n v="9.9138000000000002"/>
    <m/>
    <d v="2022-12-23T00:00:00"/>
    <n v="2.33"/>
    <n v="2.79"/>
    <n v="2.14"/>
    <s v="LTD RISE"/>
    <s v="RANGE"/>
    <m/>
    <s v=""/>
    <m/>
    <m/>
    <m/>
    <m/>
    <m/>
    <m/>
    <n v="0"/>
    <n v="0"/>
    <m/>
    <s v=""/>
    <s v=""/>
    <m/>
    <m/>
    <m/>
    <m/>
    <m/>
    <m/>
    <n v="0"/>
    <s v=""/>
    <s v=""/>
    <s v=""/>
    <s v=""/>
    <n v="0"/>
    <s v=""/>
    <n v="0"/>
    <m/>
    <n v="0"/>
    <s v=""/>
    <s v=""/>
    <s v=""/>
    <m/>
    <n v="0"/>
    <m/>
    <s v=""/>
    <s v=""/>
    <s v=""/>
    <m/>
    <s v=""/>
    <s v=""/>
    <s v=""/>
    <s v=""/>
    <s v=""/>
    <m/>
    <m/>
    <s v=""/>
    <s v=""/>
    <s v=""/>
    <s v=""/>
    <m/>
    <m/>
    <m/>
    <m/>
    <m/>
    <m/>
    <n v="0"/>
    <s v=""/>
    <s v=""/>
    <m/>
    <s v=""/>
    <s v=""/>
    <s v=""/>
    <s v=""/>
    <s v=""/>
    <s v=""/>
    <s v=""/>
    <m/>
    <s v=""/>
    <m/>
    <s v=""/>
    <s v=""/>
    <s v=""/>
    <s v=""/>
    <n v="40"/>
    <m/>
    <m/>
    <m/>
    <m/>
    <m/>
    <m/>
    <s v=""/>
    <s v=""/>
    <n v="0"/>
    <n v="0"/>
    <n v="0"/>
    <n v="0"/>
    <s v=""/>
    <m/>
    <n v="0"/>
    <m/>
    <m/>
    <s v=""/>
    <s v=""/>
    <s v=""/>
    <m/>
    <s v=""/>
    <n v="0"/>
    <n v="0"/>
    <s v=""/>
    <s v=""/>
    <s v=""/>
    <s v=""/>
    <s v=""/>
    <s v=""/>
    <s v=""/>
    <s v=""/>
    <s v=""/>
    <s v=""/>
    <s v=""/>
    <s v=""/>
    <s v=""/>
    <s v=""/>
    <s v=""/>
    <s v=""/>
    <s v=""/>
    <m/>
    <n v="800"/>
    <n v="9.5"/>
    <n v="4.6995000000000005"/>
    <m/>
    <m/>
    <n v="0"/>
    <n v="0"/>
    <n v="0"/>
    <s v=""/>
    <s v="{2ECB5D86-9F66-425C-9042-A96D45E487D9}"/>
    <s v=""/>
    <s v=""/>
    <s v=""/>
    <s v=""/>
    <s v=""/>
    <s v=""/>
    <s v=""/>
    <s v=""/>
    <s v=""/>
    <s v="LNG "/>
    <x v="25"/>
    <n v="2.7207484374165848E-2"/>
  </r>
  <r>
    <s v="MA"/>
    <n v="385.94"/>
    <s v="Swing"/>
    <n v="328.04899999999998"/>
    <x v="26"/>
    <x v="7"/>
    <s v="world continues to transition from cash to plastic. Shareholder friendly with buybacks scheduled for two years. Great mgt team just reported a great Q1"/>
    <s v="ApplePay, receding but still present MCX (Merchant Customer Exchange), FX headwinds although well hedged"/>
    <m/>
    <s v="UP"/>
    <s v="NEUTRAL"/>
    <s v="NO CROSS"/>
    <s v="NO CROSS"/>
    <s v="Middle"/>
    <s v="DOWN"/>
    <s v="LOW"/>
    <m/>
    <m/>
    <s v="BULLISH"/>
    <d v="2022-07-28T08:00:00"/>
    <d v="2022-07-28T08:00:00"/>
    <m/>
    <m/>
    <m/>
    <n v="2"/>
    <b v="1"/>
    <m/>
    <m/>
    <m/>
    <s v=""/>
    <n v="0"/>
    <n v="0"/>
    <s v=""/>
    <m/>
    <m/>
    <s v=""/>
    <s v=""/>
    <s v=""/>
    <s v=""/>
    <s v=""/>
    <n v="1.32"/>
    <d v="2020-02-08T00:00:00"/>
    <n v="0"/>
    <n v="0"/>
    <n v="3.4202207597035812E-3"/>
    <d v="2020-01-08T00:00:00"/>
    <n v="315"/>
    <n v="429.91"/>
    <n v="-0.18381095507073639"/>
    <s v=""/>
    <n v="0"/>
    <n v="0"/>
    <n v="0.11392962636679284"/>
    <n v="390"/>
    <s v="max gain"/>
    <n v="370"/>
    <s v="max loss"/>
    <s v="BuCS"/>
    <s v=""/>
    <m/>
    <m/>
    <m/>
    <s v=""/>
    <s v=""/>
    <n v="5.16"/>
    <n v="4.7988"/>
    <m/>
    <d v="2021-07-29T00:00:00"/>
    <n v="369"/>
    <n v="423"/>
    <n v="351"/>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08.41450000000003"/>
    <n v="752.58299999999997"/>
    <m/>
    <m/>
    <n v="0"/>
    <s v=""/>
    <n v="0"/>
    <s v=""/>
    <s v="{40BCAF82-7026-4293-8E9C-D44E8F8FC5CE}"/>
    <s v=""/>
    <s v=""/>
    <s v=""/>
    <s v=""/>
    <s v=""/>
    <s v=""/>
    <s v=""/>
    <s v=""/>
    <s v=""/>
    <s v=""/>
    <x v="0"/>
    <s v=""/>
  </r>
  <r>
    <s v="NNDM_1"/>
    <n v="14.67"/>
    <s v="LT"/>
    <n v="12.4695"/>
    <x v="129"/>
    <x v="3"/>
    <m/>
    <m/>
    <m/>
    <m/>
    <m/>
    <m/>
    <m/>
    <m/>
    <m/>
    <m/>
    <m/>
    <m/>
    <m/>
    <d v="2022-08-30T06:40:00"/>
    <d v="2022-08-30T06:40:00"/>
    <m/>
    <m/>
    <m/>
    <m/>
    <m/>
    <m/>
    <m/>
    <m/>
    <s v=""/>
    <n v="0"/>
    <n v="0"/>
    <s v=""/>
    <m/>
    <m/>
    <s v=""/>
    <s v=""/>
    <s v=""/>
    <s v=""/>
    <s v=""/>
    <m/>
    <m/>
    <n v="0"/>
    <n v="0"/>
    <n v="0"/>
    <m/>
    <m/>
    <n v="10"/>
    <s v=""/>
    <s v=""/>
    <n v="0"/>
    <n v="0"/>
    <n v="-0.31833674164962505"/>
    <n v="10"/>
    <s v="free money"/>
    <n v="10"/>
    <s v="Assignment"/>
    <s v="SPs"/>
    <s v=""/>
    <m/>
    <m/>
    <m/>
    <s v=""/>
    <s v=""/>
    <m/>
    <s v=""/>
    <m/>
    <d v="2021-02-02T00:00:00"/>
    <n v="13.17"/>
    <n v="23.18"/>
    <n v="8.4499999999999993"/>
    <s v="LTD RISE"/>
    <s v="BULLISH"/>
    <m/>
    <s v=""/>
    <m/>
    <m/>
    <m/>
    <m/>
    <m/>
    <m/>
    <n v="0"/>
    <n v="0"/>
    <m/>
    <s v=""/>
    <s v=""/>
    <m/>
    <m/>
    <m/>
    <m/>
    <m/>
    <m/>
    <n v="0"/>
    <s v=""/>
    <s v=""/>
    <s v=""/>
    <s v=""/>
    <n v="0"/>
    <s v=""/>
    <n v="0"/>
    <n v="0.2"/>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5"/>
    <n v="28.6065"/>
    <m/>
    <m/>
    <n v="0"/>
    <s v=""/>
    <n v="0"/>
    <s v=""/>
    <m/>
    <s v=""/>
    <s v=""/>
    <s v=""/>
    <s v=""/>
    <s v=""/>
    <s v=""/>
    <s v=""/>
    <s v=""/>
    <s v=""/>
    <s v=""/>
    <x v="0"/>
    <s v=""/>
  </r>
  <r>
    <s v="NOC"/>
    <n v="370.54"/>
    <m/>
    <n v="314.959"/>
    <x v="130"/>
    <x v="13"/>
    <m/>
    <m/>
    <m/>
    <m/>
    <m/>
    <m/>
    <m/>
    <m/>
    <m/>
    <m/>
    <s v="stock recovery ratio call"/>
    <m/>
    <s v="BULLISH"/>
    <d v="2022-07-28T06:45:00"/>
    <d v="2022-07-28T06:45:00"/>
    <m/>
    <m/>
    <m/>
    <m/>
    <m/>
    <n v="3"/>
    <m/>
    <m/>
    <s v=""/>
    <n v="0"/>
    <n v="0"/>
    <s v=""/>
    <m/>
    <m/>
    <s v=""/>
    <s v=""/>
    <s v=""/>
    <s v=""/>
    <s v=""/>
    <n v="1.2"/>
    <d v="2019-03-19T00:00:00"/>
    <n v="0"/>
    <n v="0"/>
    <n v="3.2385167593242292E-3"/>
    <d v="2019-02-28T00:00:00"/>
    <m/>
    <n v="406.06"/>
    <s v=""/>
    <s v=""/>
    <n v="0"/>
    <n v="0"/>
    <n v="9.5860096075997145E-2"/>
    <m/>
    <m/>
    <m/>
    <m/>
    <m/>
    <s v=""/>
    <m/>
    <m/>
    <m/>
    <s v=""/>
    <s v=""/>
    <m/>
    <s v=""/>
    <m/>
    <d v="2018-12-20T00:00:00"/>
    <n v="262.39999999999998"/>
    <n v="274.5"/>
    <n v="222.5"/>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5.75700000000001"/>
    <n v="722.553"/>
    <m/>
    <m/>
    <n v="0"/>
    <s v=""/>
    <n v="0"/>
    <s v=""/>
    <s v="{C2A46E8B-90E2-4152-8A5C-3DDE0BB48E2A}"/>
    <s v=""/>
    <s v=""/>
    <s v=""/>
    <s v=""/>
    <s v=""/>
    <s v=""/>
    <s v=""/>
    <s v=""/>
    <s v=""/>
    <s v=""/>
    <x v="0"/>
    <s v=""/>
  </r>
  <r>
    <s v="NOK"/>
    <n v="6.2450000000000001"/>
    <s v="Prem"/>
    <n v="5.3082500000000001"/>
    <x v="44"/>
    <x v="3"/>
    <m/>
    <m/>
    <m/>
    <m/>
    <m/>
    <m/>
    <m/>
    <m/>
    <m/>
    <m/>
    <m/>
    <m/>
    <s v="BULLISH"/>
    <d v="2022-07-28T05:00:00"/>
    <d v="2022-07-28T05:00:00"/>
    <m/>
    <m/>
    <m/>
    <m/>
    <m/>
    <m/>
    <m/>
    <m/>
    <s v=""/>
    <n v="0"/>
    <n v="0"/>
    <s v=""/>
    <n v="6.15"/>
    <n v="4.05"/>
    <s v=""/>
    <s v=""/>
    <s v=""/>
    <s v=""/>
    <s v=""/>
    <m/>
    <m/>
    <n v="0"/>
    <n v="0"/>
    <n v="0"/>
    <m/>
    <m/>
    <n v="5.69"/>
    <s v=""/>
    <s v=""/>
    <n v="0"/>
    <n v="0"/>
    <n v="-8.8871096877501957E-2"/>
    <n v="6"/>
    <s v="assignment"/>
    <n v="6"/>
    <s v="free money"/>
    <s v="CCs"/>
    <s v=""/>
    <m/>
    <m/>
    <m/>
    <s v=""/>
    <s v=""/>
    <n v="3.6"/>
    <n v="3.3479999999999999"/>
    <m/>
    <d v="2021-12-31T00:00:00"/>
    <n v="6.03"/>
    <n v="6.83"/>
    <n v="5.75"/>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4055"/>
    <n v="12.17775"/>
    <m/>
    <m/>
    <n v="0"/>
    <s v=""/>
    <n v="0"/>
    <s v=""/>
    <s v="{2BD4A6A3-AE67-46A2-A7C2-227019C0CF5F}"/>
    <s v=""/>
    <s v=""/>
    <s v=""/>
    <s v=""/>
    <s v=""/>
    <s v=""/>
    <s v=""/>
    <s v=""/>
    <s v=""/>
    <s v=""/>
    <x v="0"/>
    <s v=""/>
  </r>
  <r>
    <s v="NOV"/>
    <n v="20.079999999999998"/>
    <m/>
    <n v="17.067999999999998"/>
    <x v="66"/>
    <x v="0"/>
    <s v="analysts generally bullish"/>
    <s v="oil getting hammerred"/>
    <m/>
    <m/>
    <m/>
    <m/>
    <m/>
    <m/>
    <m/>
    <m/>
    <m/>
    <m/>
    <m/>
    <d v="2022-07-28T17:00:00"/>
    <d v="2022-07-28T17:00:00"/>
    <m/>
    <m/>
    <m/>
    <m/>
    <m/>
    <m/>
    <m/>
    <m/>
    <s v=""/>
    <n v="0"/>
    <n v="0"/>
    <s v=""/>
    <m/>
    <m/>
    <s v=""/>
    <s v=""/>
    <s v=""/>
    <s v=""/>
    <s v=""/>
    <n v="1.84"/>
    <d v="2015-12-25T00:00:00"/>
    <n v="0"/>
    <n v="0"/>
    <n v="9.1633466135458183E-2"/>
    <d v="2015-09-07T00:00:00"/>
    <m/>
    <n v="14.46"/>
    <s v=""/>
    <s v=""/>
    <n v="0"/>
    <n v="0"/>
    <n v="-0.2798804780876493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737"/>
    <n v="39.155999999999999"/>
    <m/>
    <n v="93.88"/>
    <n v="0"/>
    <s v=""/>
    <n v="0"/>
    <s v=""/>
    <s v="{69533BBC-985F-4B74-B2DC-6AC5E57BADE5}"/>
    <s v=""/>
    <s v=""/>
    <s v=""/>
    <s v=""/>
    <s v=""/>
    <s v=""/>
    <s v=""/>
    <s v=""/>
    <s v=""/>
    <s v=""/>
    <x v="0"/>
    <s v=""/>
  </r>
  <r>
    <s v="NOW"/>
    <n v="553.89"/>
    <m/>
    <n v="470.80649999999997"/>
    <x v="7"/>
    <x v="3"/>
    <s v="growth"/>
    <m/>
    <m/>
    <m/>
    <m/>
    <m/>
    <m/>
    <m/>
    <m/>
    <m/>
    <m/>
    <m/>
    <m/>
    <d v="2022-07-27T16:10:00"/>
    <d v="2022-07-27T16:10:00"/>
    <m/>
    <m/>
    <m/>
    <m/>
    <m/>
    <m/>
    <m/>
    <m/>
    <s v=""/>
    <n v="0"/>
    <n v="0"/>
    <s v=""/>
    <m/>
    <m/>
    <s v=""/>
    <s v=""/>
    <s v=""/>
    <s v=""/>
    <s v=""/>
    <n v="0"/>
    <s v="N/A"/>
    <n v="0"/>
    <n v="0"/>
    <n v="0"/>
    <s v="N/A"/>
    <m/>
    <n v="552.77"/>
    <s v=""/>
    <s v=""/>
    <n v="0"/>
    <n v="0"/>
    <n v="-2.0220621423026317E-3"/>
    <m/>
    <m/>
    <m/>
    <m/>
    <m/>
    <s v=""/>
    <m/>
    <m/>
    <m/>
    <s v=""/>
    <s v=""/>
    <m/>
    <s v=""/>
    <m/>
    <d v="2020-12-23T00:00:00"/>
    <n v="548.99"/>
    <n v="597.22"/>
    <n v="534.82000000000005"/>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25.13149999999996"/>
    <n v="1080.0854999999999"/>
    <m/>
    <n v="67.88"/>
    <n v="0"/>
    <s v=""/>
    <n v="0"/>
    <s v=""/>
    <s v="{22C6DF32-D85C-4EC7-821B-1A653C7AE1BB}"/>
    <s v=""/>
    <s v=""/>
    <s v=""/>
    <s v=""/>
    <s v=""/>
    <s v=""/>
    <s v=""/>
    <s v=""/>
    <s v=""/>
    <s v=""/>
    <x v="0"/>
    <s v=""/>
  </r>
  <r>
    <s v="NUE"/>
    <n v="110.82"/>
    <m/>
    <n v="94.196999999999989"/>
    <x v="131"/>
    <x v="0"/>
    <s v="The stock is moving sharply lower during today's trading due to the market selloff and downgrade from an analyst. The stock was downgraded due to spread and volume pressures in the steel industry that will impact Nucor's bottom line. While investors may think this could cause another pre-announcement on earnings from NUE management, we note that the last time this occurred the stock was able to swiftly rebound. That being said, we believe the company should be trading higher based on its fundamentals and history of performance. _x000a_In addition, we see upside in the name based on our anticipation of an announcement made by the Trump administration on a Section 232 trade investigation regarding steel imports. Should this occur, we expect the demand for domestic steel to rise, along with its price. This will benefit NUE as its earnings would improve due to the absence of cheap Chinese steel imports pressuring the U.S. industry. _x000a_To summarize, the combination between this strong catalyst event and the fundamentals simply being better than this price level are both driving our purchase today."/>
    <s v="Trump lookin' frumpy lately"/>
    <m/>
    <s v="Bearish_x000a_20-d down trending and below the 20-d which is well below the 100-d "/>
    <s v="Bearish_x000a_No divergence._x000a_Histogram is below center._x000a_"/>
    <s v="Bearish_x000a_M: Sell W: Sell D: Sell"/>
    <s v="Bearish_x000a_M: Red W: Red D: Red"/>
    <s v="Neutral"/>
    <s v="Good"/>
    <s v="Average_x000a_Strengthening"/>
    <s v="Support at $53, maybe try  5 put sale"/>
    <m/>
    <s v="BULLISH"/>
    <d v="2022-07-21T08:00:00"/>
    <d v="2022-07-21T08:00:00"/>
    <m/>
    <m/>
    <m/>
    <m/>
    <m/>
    <m/>
    <m/>
    <m/>
    <s v=""/>
    <n v="0"/>
    <n v="0"/>
    <s v=""/>
    <n v="146"/>
    <n v="104.57"/>
    <s v=""/>
    <s v=""/>
    <s v=""/>
    <s v=""/>
    <s v=""/>
    <n v="1.51"/>
    <d v="2017-11-11T00:00:00"/>
    <n v="0"/>
    <n v="0"/>
    <n v="1.3625699332250498E-2"/>
    <d v="2017-09-27T00:00:00"/>
    <n v="75"/>
    <n v="43.78"/>
    <n v="-0.32322685435841902"/>
    <s v=""/>
    <n v="0"/>
    <n v="0"/>
    <n v="-0.60494495578415441"/>
    <m/>
    <m/>
    <m/>
    <m/>
    <m/>
    <s v=""/>
    <m/>
    <m/>
    <m/>
    <s v=""/>
    <s v=""/>
    <n v="107.3"/>
    <n v="99.788999999999987"/>
    <s v="ER Jan-27"/>
    <d v="2022-01-10T00:00:00"/>
    <n v="122.8"/>
    <n v="132.69999999999999"/>
    <n v="93.6"/>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1.591000000000001"/>
    <n v="216.09899999999999"/>
    <m/>
    <m/>
    <n v="0"/>
    <s v=""/>
    <n v="0"/>
    <s v=""/>
    <s v="{B3BE7E11-60C1-40D1-82CE-82410463083A}"/>
    <s v=""/>
    <s v=""/>
    <s v=""/>
    <s v=""/>
    <s v=""/>
    <s v=""/>
    <s v=""/>
    <s v=""/>
    <s v=""/>
    <s v=""/>
    <x v="0"/>
    <s v=""/>
  </r>
  <r>
    <s v="NUGT"/>
    <n v="83.98"/>
    <s v="Prem"/>
    <n v="71.382999999999996"/>
    <x v="11"/>
    <x v="17"/>
    <m/>
    <m/>
    <m/>
    <m/>
    <m/>
    <m/>
    <m/>
    <m/>
    <m/>
    <m/>
    <m/>
    <m/>
    <s v="BULLISH"/>
    <d v="2022-07-21T08:00:00"/>
    <d v="2022-07-21T08:00:00"/>
    <m/>
    <m/>
    <m/>
    <m/>
    <m/>
    <n v="2"/>
    <m/>
    <m/>
    <s v=""/>
    <n v="0"/>
    <n v="0"/>
    <s v=""/>
    <m/>
    <m/>
    <s v=""/>
    <s v=""/>
    <s v=""/>
    <s v=""/>
    <s v=""/>
    <m/>
    <m/>
    <n v="0"/>
    <n v="0"/>
    <n v="0"/>
    <m/>
    <m/>
    <s v="-"/>
    <s v=""/>
    <s v=""/>
    <n v="0"/>
    <n v="0"/>
    <s v=""/>
    <m/>
    <m/>
    <m/>
    <m/>
    <m/>
    <s v=""/>
    <m/>
    <m/>
    <m/>
    <s v=""/>
    <s v=""/>
    <m/>
    <s v=""/>
    <m/>
    <d v="2020-09-24T00:00:00"/>
    <n v="87.72"/>
    <n v="88.27"/>
    <n v="67.260000000000005"/>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63.761"/>
    <m/>
    <m/>
    <n v="0"/>
    <s v=""/>
    <n v="0"/>
    <s v=""/>
    <s v="{0928D7A3-98E7-4D62-94DB-E059D12106C3}"/>
    <s v=""/>
    <s v=""/>
    <s v=""/>
    <s v=""/>
    <s v=""/>
    <s v=""/>
    <s v=""/>
    <s v=""/>
    <s v=""/>
    <s v=""/>
    <x v="0"/>
    <s v=""/>
  </r>
  <r>
    <s v="NVDA"/>
    <n v="152.06"/>
    <s v="CORE"/>
    <n v="129.251"/>
    <x v="132"/>
    <x v="3"/>
    <m/>
    <m/>
    <m/>
    <m/>
    <m/>
    <m/>
    <m/>
    <m/>
    <m/>
    <m/>
    <m/>
    <m/>
    <s v="BULLISH"/>
    <d v="2023-02-15T00:00:00"/>
    <d v="2023-02-15T00:00:00"/>
    <m/>
    <m/>
    <m/>
    <n v="2"/>
    <b v="1"/>
    <m/>
    <n v="104"/>
    <n v="22634.36"/>
    <n v="217.63807692307694"/>
    <n v="15814.24"/>
    <n v="-6820.1200000000008"/>
    <n v="-0.30131711256691157"/>
    <n v="323"/>
    <n v="259"/>
    <n v="105.36192307692306"/>
    <n v="41.361923076923063"/>
    <s v="2.5  : 1"/>
    <n v="10957.64"/>
    <n v="4301.6399999999985"/>
    <n v="0.64"/>
    <d v="2021-06-30T00:00:00"/>
    <n v="16.64"/>
    <n v="66.56"/>
    <n v="4.2088649217414181E-3"/>
    <d v="2021-06-09T00:00:00"/>
    <n v="400"/>
    <n v="194.8"/>
    <n v="1.6305405760883862"/>
    <n v="-0.10493603530208054"/>
    <n v="-2375.16"/>
    <n v="4444.9600000000009"/>
    <n v="0.28107326055504411"/>
    <m/>
    <m/>
    <m/>
    <m/>
    <m/>
    <s v=""/>
    <m/>
    <m/>
    <m/>
    <s v=""/>
    <s v=""/>
    <n v="201.56"/>
    <n v="187.45079999999999"/>
    <m/>
    <d v="2022-12-21T00:00:00"/>
    <n v="176.6"/>
    <n v="193.9"/>
    <n v="128.6"/>
    <s v="RISE"/>
    <s v="RANGE"/>
    <m/>
    <s v=""/>
    <m/>
    <m/>
    <m/>
    <m/>
    <m/>
    <m/>
    <n v="0"/>
    <n v="0"/>
    <m/>
    <s v=""/>
    <s v=""/>
    <m/>
    <m/>
    <m/>
    <m/>
    <m/>
    <m/>
    <n v="0"/>
    <s v=""/>
    <s v=""/>
    <s v=""/>
    <s v=""/>
    <n v="0"/>
    <s v=""/>
    <n v="0"/>
    <m/>
    <n v="0"/>
    <s v=""/>
    <s v=""/>
    <s v=""/>
    <m/>
    <n v="0"/>
    <m/>
    <s v=""/>
    <s v=""/>
    <s v=""/>
    <m/>
    <s v=""/>
    <s v=""/>
    <s v=""/>
    <s v=""/>
    <s v=""/>
    <m/>
    <m/>
    <s v=""/>
    <s v=""/>
    <s v=""/>
    <s v=""/>
    <m/>
    <m/>
    <m/>
    <m/>
    <m/>
    <m/>
    <n v="0"/>
    <s v=""/>
    <s v=""/>
    <m/>
    <s v=""/>
    <s v=""/>
    <s v=""/>
    <s v=""/>
    <s v=""/>
    <s v=""/>
    <s v=""/>
    <m/>
    <s v=""/>
    <m/>
    <s v=""/>
    <s v=""/>
    <s v=""/>
    <s v=""/>
    <n v="1"/>
    <m/>
    <m/>
    <m/>
    <m/>
    <m/>
    <m/>
    <s v=""/>
    <s v=""/>
    <n v="0"/>
    <n v="0"/>
    <n v="0"/>
    <n v="0"/>
    <s v=""/>
    <m/>
    <n v="0"/>
    <m/>
    <m/>
    <s v=""/>
    <s v=""/>
    <s v=""/>
    <m/>
    <s v=""/>
    <n v="0"/>
    <n v="0"/>
    <s v=""/>
    <s v=""/>
    <s v=""/>
    <s v=""/>
    <s v=""/>
    <s v=""/>
    <s v=""/>
    <s v=""/>
    <s v=""/>
    <s v=""/>
    <s v=""/>
    <s v=""/>
    <s v=""/>
    <s v=""/>
    <s v=""/>
    <s v=""/>
    <s v=""/>
    <m/>
    <n v="20.8"/>
    <n v="185.06"/>
    <n v="296.517"/>
    <m/>
    <m/>
    <n v="0"/>
    <n v="0"/>
    <n v="0"/>
    <s v=""/>
    <s v="{B8E7ACFC-1AA4-4980-A58C-EDFEE5A30788}"/>
    <s v=""/>
    <s v=""/>
    <s v=""/>
    <s v=""/>
    <s v=""/>
    <s v=""/>
    <s v=""/>
    <s v=""/>
    <s v=""/>
    <s v="LNG "/>
    <x v="26"/>
    <n v="1.4837344802294773E-2"/>
  </r>
  <r>
    <s v="NVS"/>
    <n v="88.420900000000003"/>
    <m/>
    <n v="75.157764999999998"/>
    <x v="93"/>
    <x v="2"/>
    <m/>
    <m/>
    <m/>
    <m/>
    <m/>
    <m/>
    <m/>
    <m/>
    <m/>
    <m/>
    <m/>
    <m/>
    <s v="BULLISH"/>
    <d v="2022-07-26T00:00:00"/>
    <d v="2022-07-26T00:00:00"/>
    <m/>
    <m/>
    <m/>
    <m/>
    <m/>
    <m/>
    <m/>
    <m/>
    <s v=""/>
    <n v="0"/>
    <n v="0"/>
    <s v=""/>
    <m/>
    <m/>
    <s v=""/>
    <s v=""/>
    <s v=""/>
    <s v=""/>
    <s v=""/>
    <m/>
    <m/>
    <n v="0"/>
    <n v="0"/>
    <n v="0"/>
    <m/>
    <n v="100"/>
    <n v="102.67"/>
    <n v="0.13095433319497987"/>
    <s v=""/>
    <n v="0"/>
    <n v="0"/>
    <n v="0.16115081389128585"/>
    <n v="97.5"/>
    <s v="assignment"/>
    <n v="97.5"/>
    <s v="free money"/>
    <s v="CCs"/>
    <s v=""/>
    <m/>
    <m/>
    <m/>
    <s v=""/>
    <s v=""/>
    <m/>
    <s v=""/>
    <m/>
    <d v="2020-02-26T00:00:00"/>
    <n v="93.6"/>
    <n v="97.5"/>
    <n v="80.8"/>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7.536500000000004"/>
    <n v="172.42075500000001"/>
    <m/>
    <m/>
    <n v="0"/>
    <s v=""/>
    <n v="0"/>
    <s v=""/>
    <s v="{2DE7EFFC-9340-4E20-A8AC-1F2D44B18698}"/>
    <s v=""/>
    <s v=""/>
    <s v=""/>
    <s v=""/>
    <s v=""/>
    <s v=""/>
    <s v=""/>
    <s v=""/>
    <s v=""/>
    <s v=""/>
    <x v="0"/>
    <s v=""/>
  </r>
  <r>
    <s v="NVTA"/>
    <n v="51.5"/>
    <s v="Prem"/>
    <n v="43.774999999999999"/>
    <x v="51"/>
    <x v="2"/>
    <m/>
    <m/>
    <m/>
    <m/>
    <m/>
    <m/>
    <m/>
    <m/>
    <m/>
    <m/>
    <m/>
    <m/>
    <s v="BULLISH"/>
    <d v="2022-08-02T16:05:00"/>
    <d v="2022-08-02T16:05:00"/>
    <m/>
    <s v="JP Morgan Healthcare Conference"/>
    <d v="2021-01-12T10:50:00"/>
    <m/>
    <m/>
    <m/>
    <m/>
    <m/>
    <s v=""/>
    <n v="0"/>
    <n v="0"/>
    <s v=""/>
    <m/>
    <m/>
    <s v=""/>
    <s v=""/>
    <s v=""/>
    <s v=""/>
    <s v=""/>
    <m/>
    <m/>
    <n v="0"/>
    <n v="0"/>
    <n v="0"/>
    <m/>
    <m/>
    <n v="43.21"/>
    <s v=""/>
    <s v=""/>
    <n v="0"/>
    <n v="0"/>
    <n v="-0.16097087378640776"/>
    <m/>
    <m/>
    <m/>
    <m/>
    <m/>
    <s v=""/>
    <m/>
    <m/>
    <m/>
    <m/>
    <m/>
    <m/>
    <s v=""/>
    <m/>
    <d v="2021-02-12T00:00:00"/>
    <n v="50.49"/>
    <n v="69.03"/>
    <n v="40.74"/>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1.049500000000002"/>
    <n v="100.425"/>
    <m/>
    <m/>
    <n v="0"/>
    <s v=""/>
    <n v="0"/>
    <s v=""/>
    <m/>
    <s v=""/>
    <s v=""/>
    <s v=""/>
    <s v=""/>
    <s v=""/>
    <s v=""/>
    <s v=""/>
    <s v=""/>
    <s v=""/>
    <s v=""/>
    <x v="0"/>
    <s v=""/>
  </r>
  <r>
    <s v="NWL"/>
    <n v="15.84"/>
    <m/>
    <n v="13.464"/>
    <x v="123"/>
    <x v="12"/>
    <m/>
    <m/>
    <m/>
    <m/>
    <m/>
    <m/>
    <m/>
    <m/>
    <m/>
    <m/>
    <m/>
    <m/>
    <m/>
    <d v="2022-07-29T07:00:00"/>
    <d v="2022-07-29T07:00:00"/>
    <m/>
    <m/>
    <m/>
    <m/>
    <m/>
    <m/>
    <m/>
    <m/>
    <s v=""/>
    <n v="0"/>
    <n v="0"/>
    <s v=""/>
    <m/>
    <m/>
    <s v=""/>
    <s v=""/>
    <s v=""/>
    <s v=""/>
    <s v=""/>
    <n v="0.92"/>
    <d v="2017-09-15T00:00:00"/>
    <n v="0"/>
    <n v="0"/>
    <n v="5.8080808080808087E-2"/>
    <d v="2017-08-25T00:00:00"/>
    <m/>
    <n v="14.97"/>
    <s v=""/>
    <s v=""/>
    <n v="0"/>
    <n v="0"/>
    <n v="-5.4924242424242375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221500000000001"/>
    <n v="30.887999999999998"/>
    <m/>
    <m/>
    <n v="0"/>
    <s v=""/>
    <n v="0"/>
    <s v=""/>
    <s v="{73879866-0B51-49FC-B85F-2E4F234B0DFE}"/>
    <s v=""/>
    <s v=""/>
    <s v=""/>
    <s v=""/>
    <s v=""/>
    <s v=""/>
    <s v=""/>
    <s v=""/>
    <s v=""/>
    <s v=""/>
    <x v="0"/>
    <s v=""/>
  </r>
  <r>
    <s v="NXPI"/>
    <n v="99.88"/>
    <m/>
    <n v="84.897999999999996"/>
    <x v="102"/>
    <x v="3"/>
    <m/>
    <m/>
    <m/>
    <s v="UP"/>
    <s v="CONVERGE"/>
    <s v="NO CROSS"/>
    <s v="NO CROSS"/>
    <s v="Over 80"/>
    <s v="DOWN"/>
    <s v="HIGH"/>
    <m/>
    <m/>
    <s v="BULLISH"/>
    <d v="2022-08-01T16:10:00"/>
    <d v="2022-08-01T16:10:00"/>
    <m/>
    <m/>
    <m/>
    <m/>
    <m/>
    <m/>
    <m/>
    <m/>
    <s v=""/>
    <n v="0"/>
    <n v="0"/>
    <s v=""/>
    <m/>
    <m/>
    <s v=""/>
    <s v=""/>
    <s v=""/>
    <s v=""/>
    <s v=""/>
    <n v="0"/>
    <s v="N/A"/>
    <n v="0"/>
    <n v="0"/>
    <n v="0"/>
    <s v="N/A"/>
    <n v="110"/>
    <n v="115.09"/>
    <n v="0.10132158590308375"/>
    <s v=""/>
    <n v="0"/>
    <n v="0"/>
    <n v="0.1522827392871446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9.3355"/>
    <n v="194.76599999999999"/>
    <m/>
    <m/>
    <n v="0"/>
    <s v=""/>
    <n v="0"/>
    <s v=""/>
    <s v="{14ACF8AA-9E1B-43E8-B926-E86B5EC1F6DB}"/>
    <s v=""/>
    <s v=""/>
    <s v=""/>
    <s v=""/>
    <s v=""/>
    <s v=""/>
    <s v=""/>
    <s v=""/>
    <s v=""/>
    <s v=""/>
    <x v="0"/>
    <s v=""/>
  </r>
  <r>
    <s v="OIH"/>
    <n v="11.91"/>
    <m/>
    <n v="10.1235"/>
    <x v="52"/>
    <x v="7"/>
    <m/>
    <m/>
    <m/>
    <m/>
    <m/>
    <m/>
    <m/>
    <m/>
    <m/>
    <m/>
    <m/>
    <m/>
    <s v="BEARISH"/>
    <d v="2022-08-01T16:10:00"/>
    <d v="2022-08-01T16:10:00"/>
    <m/>
    <m/>
    <m/>
    <m/>
    <m/>
    <m/>
    <m/>
    <m/>
    <s v=""/>
    <n v="0"/>
    <n v="0"/>
    <s v=""/>
    <m/>
    <m/>
    <s v=""/>
    <s v=""/>
    <s v=""/>
    <s v=""/>
    <s v=""/>
    <n v="0"/>
    <s v="N/A"/>
    <n v="0"/>
    <n v="0"/>
    <n v="0"/>
    <s v="N/A"/>
    <m/>
    <s v="-"/>
    <s v=""/>
    <s v=""/>
    <n v="0"/>
    <n v="0"/>
    <s v=""/>
    <n v="30"/>
    <s v="exit loss"/>
    <n v="27"/>
    <s v="close profit"/>
    <m/>
    <s v=""/>
    <m/>
    <m/>
    <m/>
    <s v=""/>
    <s v=""/>
    <m/>
    <s v=""/>
    <m/>
    <d v="2016-12-07T00:00:00"/>
    <n v="32"/>
    <n v="38.299999999999997"/>
    <n v="29.8"/>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3.224499999999999"/>
    <m/>
    <m/>
    <n v="0"/>
    <s v=""/>
    <n v="0"/>
    <s v=""/>
    <s v="{2B5299D4-225F-43D1-989A-33F89F32DCCB}"/>
    <s v=""/>
    <s v=""/>
    <s v=""/>
    <s v=""/>
    <s v=""/>
    <s v=""/>
    <s v=""/>
    <s v=""/>
    <s v=""/>
    <s v=""/>
    <x v="0"/>
    <s v=""/>
  </r>
  <r>
    <s v="OKE"/>
    <n v="44.01"/>
    <s v="Swing"/>
    <n v="37.408499999999997"/>
    <x v="63"/>
    <x v="14"/>
    <m/>
    <m/>
    <m/>
    <m/>
    <m/>
    <m/>
    <m/>
    <m/>
    <m/>
    <m/>
    <m/>
    <m/>
    <m/>
    <d v="2022-08-02T16:15:00"/>
    <d v="2022-08-02T16:15:00"/>
    <m/>
    <m/>
    <m/>
    <m/>
    <m/>
    <m/>
    <m/>
    <m/>
    <s v=""/>
    <n v="0"/>
    <n v="0"/>
    <s v=""/>
    <m/>
    <m/>
    <s v=""/>
    <s v=""/>
    <s v=""/>
    <s v=""/>
    <s v=""/>
    <m/>
    <m/>
    <n v="0"/>
    <n v="0"/>
    <n v="0"/>
    <m/>
    <m/>
    <n v="37.270000000000003"/>
    <s v=""/>
    <s v=""/>
    <n v="0"/>
    <n v="0"/>
    <n v="-0.15314701204271747"/>
    <m/>
    <m/>
    <m/>
    <m/>
    <m/>
    <s v=""/>
    <m/>
    <m/>
    <m/>
    <s v=""/>
    <s v=""/>
    <m/>
    <s v=""/>
    <m/>
    <d v="2021-01-20T00:00:00"/>
    <n v="42.4"/>
    <n v="50.73"/>
    <n v="39.09000000000000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5.406500000000001"/>
    <n v="85.819499999999991"/>
    <m/>
    <m/>
    <n v="0"/>
    <s v=""/>
    <n v="0"/>
    <s v=""/>
    <m/>
    <s v=""/>
    <s v=""/>
    <s v=""/>
    <s v=""/>
    <s v=""/>
    <s v=""/>
    <s v=""/>
    <s v=""/>
    <s v=""/>
    <s v=""/>
    <x v="0"/>
    <s v=""/>
  </r>
  <r>
    <s v="OPEN"/>
    <n v="34"/>
    <m/>
    <n v="28.9"/>
    <x v="133"/>
    <x v="10"/>
    <m/>
    <m/>
    <m/>
    <m/>
    <m/>
    <m/>
    <m/>
    <m/>
    <m/>
    <m/>
    <m/>
    <m/>
    <s v="BULLISH"/>
    <d v="2022-08-04T16:05:00"/>
    <d v="2022-08-04T16:05:00"/>
    <m/>
    <m/>
    <m/>
    <m/>
    <m/>
    <m/>
    <m/>
    <m/>
    <s v=""/>
    <n v="0"/>
    <n v="0"/>
    <s v=""/>
    <m/>
    <m/>
    <s v=""/>
    <s v=""/>
    <s v=""/>
    <s v=""/>
    <s v=""/>
    <m/>
    <m/>
    <n v="0"/>
    <n v="0"/>
    <n v="0"/>
    <m/>
    <m/>
    <n v="32.5"/>
    <s v=""/>
    <s v=""/>
    <n v="0"/>
    <n v="0"/>
    <n v="-4.4117647058823532E-2"/>
    <m/>
    <m/>
    <m/>
    <m/>
    <m/>
    <s v=""/>
    <m/>
    <m/>
    <m/>
    <s v=""/>
    <s v=""/>
    <m/>
    <s v=""/>
    <m/>
    <d v="2021-02-09T00:00:00"/>
    <n v="26.34"/>
    <n v="36.43"/>
    <n v="21.19"/>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0.875"/>
    <n v="66.3"/>
    <m/>
    <m/>
    <n v="0"/>
    <s v=""/>
    <n v="0"/>
    <s v=""/>
    <m/>
    <s v=""/>
    <s v=""/>
    <s v=""/>
    <s v=""/>
    <s v=""/>
    <s v=""/>
    <s v=""/>
    <s v=""/>
    <s v=""/>
    <s v=""/>
    <x v="0"/>
    <s v=""/>
  </r>
  <r>
    <s v="ORC"/>
    <n v="5.38"/>
    <s v="Div"/>
    <n v="4.5729999999999995"/>
    <x v="63"/>
    <x v="14"/>
    <m/>
    <m/>
    <m/>
    <m/>
    <m/>
    <m/>
    <m/>
    <m/>
    <m/>
    <m/>
    <m/>
    <m/>
    <s v="BULLISH"/>
    <d v="2022-07-28T16:10:00"/>
    <d v="2022-07-28T16:10:00"/>
    <m/>
    <m/>
    <m/>
    <m/>
    <m/>
    <m/>
    <m/>
    <m/>
    <s v=""/>
    <n v="0"/>
    <n v="0"/>
    <s v=""/>
    <m/>
    <m/>
    <s v=""/>
    <s v=""/>
    <s v=""/>
    <s v=""/>
    <s v=""/>
    <m/>
    <m/>
    <n v="0"/>
    <n v="0"/>
    <n v="0"/>
    <m/>
    <m/>
    <m/>
    <s v=""/>
    <s v=""/>
    <n v="0"/>
    <n v="0"/>
    <s v=""/>
    <m/>
    <m/>
    <m/>
    <m/>
    <m/>
    <s v=""/>
    <m/>
    <m/>
    <m/>
    <s v=""/>
    <s v=""/>
    <n v="5.95"/>
    <n v="5.5335000000000001"/>
    <m/>
    <d v="2021-04-12T00:00:00"/>
    <n v="6"/>
    <n v="6.12"/>
    <n v="5.96"/>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0.491"/>
    <m/>
    <m/>
    <n v="0"/>
    <s v=""/>
    <n v="0"/>
    <s v=""/>
    <m/>
    <s v=""/>
    <s v=""/>
    <s v=""/>
    <s v=""/>
    <s v=""/>
    <s v=""/>
    <s v=""/>
    <s v=""/>
    <s v=""/>
    <s v=""/>
    <x v="0"/>
    <s v=""/>
  </r>
  <r>
    <s v="ORCL"/>
    <n v="53.97"/>
    <m/>
    <n v="45.874499999999998"/>
    <x v="13"/>
    <x v="3"/>
    <s v="cheap valuation, 2015 software/hardware/cloud growth"/>
    <s v="no upcoming catalysts, step down of Larry Ellison to R&amp;D (which Cramer likes but many do not), faster growing tech names"/>
    <m/>
    <m/>
    <m/>
    <m/>
    <m/>
    <m/>
    <m/>
    <m/>
    <m/>
    <m/>
    <m/>
    <d v="2022-06-13T16:05:00"/>
    <d v="2022-06-13T16:05:00"/>
    <s v="Confirmed"/>
    <s v="conference"/>
    <m/>
    <m/>
    <m/>
    <m/>
    <m/>
    <m/>
    <s v=""/>
    <n v="0"/>
    <n v="0"/>
    <s v=""/>
    <m/>
    <m/>
    <s v=""/>
    <s v=""/>
    <s v=""/>
    <s v=""/>
    <s v=""/>
    <n v="0.6"/>
    <d v="2015-10-28T00:00:00"/>
    <n v="0"/>
    <n v="0"/>
    <n v="1.1117287381878822E-2"/>
    <d v="2015-07-02T00:00:00"/>
    <m/>
    <n v="50.27"/>
    <s v=""/>
    <s v=""/>
    <n v="0"/>
    <n v="0"/>
    <n v="-6.8556605521585989E-2"/>
    <m/>
    <m/>
    <m/>
    <m/>
    <m/>
    <s v=""/>
    <m/>
    <m/>
    <m/>
    <s v=""/>
    <s v=""/>
    <m/>
    <s v=""/>
    <m/>
    <d v="2020-06-08T00:00:00"/>
    <n v="51.9"/>
    <n v="58.2"/>
    <n v="50.2"/>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7.756500000000003"/>
    <n v="105.2415"/>
    <m/>
    <n v="45.88"/>
    <n v="0"/>
    <s v=""/>
    <n v="0"/>
    <s v=""/>
    <s v="{4B199248-5391-494D-8DCE-8C08987B33E9}"/>
    <s v=""/>
    <s v=""/>
    <s v=""/>
    <s v=""/>
    <s v=""/>
    <s v=""/>
    <s v=""/>
    <s v=""/>
    <s v=""/>
    <s v=""/>
    <x v="0"/>
    <s v=""/>
  </r>
  <r>
    <s v="ORLY"/>
    <n v="466.69"/>
    <s v="Swing"/>
    <n v="396.68649999999997"/>
    <x v="1"/>
    <x v="1"/>
    <m/>
    <m/>
    <m/>
    <m/>
    <m/>
    <m/>
    <m/>
    <m/>
    <m/>
    <m/>
    <m/>
    <m/>
    <m/>
    <d v="2022-07-27T16:30:00"/>
    <d v="2022-07-27T16:30:00"/>
    <m/>
    <m/>
    <m/>
    <m/>
    <m/>
    <m/>
    <m/>
    <m/>
    <s v=""/>
    <n v="0"/>
    <n v="0"/>
    <s v=""/>
    <m/>
    <m/>
    <s v=""/>
    <s v=""/>
    <s v=""/>
    <s v=""/>
    <s v=""/>
    <m/>
    <m/>
    <n v="0"/>
    <n v="0"/>
    <n v="0"/>
    <m/>
    <m/>
    <n v="532.05999999999995"/>
    <s v=""/>
    <s v=""/>
    <n v="0"/>
    <n v="0"/>
    <n v="0.1400715678501788"/>
    <m/>
    <m/>
    <m/>
    <m/>
    <m/>
    <s v=""/>
    <m/>
    <m/>
    <m/>
    <s v=""/>
    <s v=""/>
    <m/>
    <s v=""/>
    <m/>
    <d v="2021-12-17T00:00:00"/>
    <n v="437"/>
    <n v="483"/>
    <n v="423"/>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05.45699999999994"/>
    <n v="910.04549999999995"/>
    <m/>
    <m/>
    <n v="0"/>
    <s v=""/>
    <n v="0"/>
    <s v=""/>
    <m/>
    <s v=""/>
    <s v=""/>
    <s v=""/>
    <s v=""/>
    <s v=""/>
    <s v=""/>
    <s v=""/>
    <s v=""/>
    <s v=""/>
    <s v=""/>
    <x v="0"/>
    <s v=""/>
  </r>
  <r>
    <s v="OSTK"/>
    <n v="90.79"/>
    <m/>
    <n v="77.171500000000009"/>
    <x v="29"/>
    <x v="1"/>
    <m/>
    <m/>
    <m/>
    <m/>
    <m/>
    <m/>
    <m/>
    <m/>
    <m/>
    <m/>
    <m/>
    <m/>
    <m/>
    <d v="2022-07-28T06:00:00"/>
    <d v="2022-07-28T06:00:00"/>
    <m/>
    <m/>
    <m/>
    <m/>
    <m/>
    <m/>
    <m/>
    <m/>
    <s v=""/>
    <n v="0"/>
    <n v="0"/>
    <s v=""/>
    <m/>
    <m/>
    <s v=""/>
    <s v=""/>
    <s v=""/>
    <s v=""/>
    <s v=""/>
    <m/>
    <m/>
    <n v="0"/>
    <n v="0"/>
    <n v="0"/>
    <m/>
    <m/>
    <n v="121.5"/>
    <s v=""/>
    <s v=""/>
    <n v="0"/>
    <n v="0"/>
    <n v="0.3382531115761646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5.425"/>
    <n v="177.04050000000001"/>
    <m/>
    <m/>
    <n v="0"/>
    <s v=""/>
    <n v="0"/>
    <s v=""/>
    <m/>
    <s v=""/>
    <s v=""/>
    <s v=""/>
    <s v=""/>
    <s v=""/>
    <s v=""/>
    <s v=""/>
    <s v=""/>
    <s v=""/>
    <s v=""/>
    <x v="0"/>
    <s v=""/>
  </r>
  <r>
    <s v="OXY"/>
    <n v="47.13"/>
    <m/>
    <n v="40.060500000000005"/>
    <x v="69"/>
    <x v="0"/>
    <s v="Management reaffirmed its shrink-to-grow strategy, whereby further asset sales are likely, and the company will redeploy the cash into faster-growing U.S. assets and continue to buy back shares. This is why the higher growth guidance in the Permian Basin is so bullish for the stock, as this is the core focus of the company and something we've been waiting a long time to see."/>
    <s v="Best oil team management"/>
    <m/>
    <m/>
    <m/>
    <m/>
    <m/>
    <m/>
    <m/>
    <m/>
    <m/>
    <m/>
    <m/>
    <d v="2022-08-09T16:30:00"/>
    <d v="2022-08-09T16:30:00"/>
    <m/>
    <m/>
    <m/>
    <m/>
    <m/>
    <m/>
    <m/>
    <m/>
    <s v=""/>
    <n v="0"/>
    <n v="0"/>
    <s v=""/>
    <m/>
    <m/>
    <s v=""/>
    <s v=""/>
    <s v=""/>
    <s v=""/>
    <s v=""/>
    <n v="3"/>
    <d v="2016-07-15T00:00:00"/>
    <n v="0"/>
    <n v="0"/>
    <n v="6.3653723742838952E-2"/>
    <d v="2016-09-06T00:00:00"/>
    <m/>
    <n v="15.45"/>
    <s v=""/>
    <s v=""/>
    <n v="0"/>
    <n v="0"/>
    <n v="-0.67218332272437942"/>
    <m/>
    <m/>
    <m/>
    <m/>
    <m/>
    <s v=""/>
    <m/>
    <m/>
    <m/>
    <s v=""/>
    <s v=""/>
    <m/>
    <s v=""/>
    <m/>
    <d v="2016-02-04T00:00:00"/>
    <n v="61"/>
    <n v="77.2"/>
    <n v="53.4"/>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14.677499999999998"/>
    <n v="91.903500000000008"/>
    <m/>
    <n v="114.18"/>
    <n v="0"/>
    <s v=""/>
    <n v="0"/>
    <s v=""/>
    <s v="{9898AD54-8C0C-4E20-A566-B0864A0D3C0E}"/>
    <s v=""/>
    <s v=""/>
    <s v=""/>
    <s v=""/>
    <s v=""/>
    <s v=""/>
    <s v=""/>
    <s v=""/>
    <s v=""/>
    <s v=""/>
    <x v="0"/>
    <s v=""/>
  </r>
  <r>
    <s v="PAAS"/>
    <n v="16.809999999999999"/>
    <s v="Swing"/>
    <n v="14.288499999999999"/>
    <x v="28"/>
    <x v="0"/>
    <m/>
    <m/>
    <m/>
    <m/>
    <m/>
    <m/>
    <m/>
    <m/>
    <m/>
    <m/>
    <m/>
    <m/>
    <m/>
    <d v="2023-02-08T00:00:00"/>
    <d v="2023-02-08T00:00:00"/>
    <m/>
    <m/>
    <m/>
    <m/>
    <m/>
    <m/>
    <n v="1000"/>
    <n v="15050"/>
    <n v="15.05"/>
    <n v="16810"/>
    <n v="1760"/>
    <n v="0.11694352159468438"/>
    <m/>
    <m/>
    <s v=""/>
    <s v=""/>
    <s v=""/>
    <s v=""/>
    <s v=""/>
    <n v="0.2"/>
    <d v="2015-12-08T00:00:00"/>
    <n v="50"/>
    <n v="200"/>
    <n v="1.1897679952409281E-2"/>
    <d v="2015-08-19T00:00:00"/>
    <m/>
    <n v="22.07"/>
    <s v=""/>
    <n v="0.46644518272425251"/>
    <n v="7020"/>
    <n v="5260"/>
    <n v="0.31290898274836421"/>
    <n v="16"/>
    <s v="assignment"/>
    <n v="16"/>
    <s v="free money"/>
    <s v="CCs"/>
    <s v=""/>
    <m/>
    <m/>
    <m/>
    <s v=""/>
    <s v=""/>
    <n v="12.96"/>
    <n v="12.0528"/>
    <m/>
    <d v="2022-12-23T00:00:00"/>
    <n v="16.5"/>
    <n v="17.75"/>
    <n v="15.01"/>
    <s v="LTD RISE"/>
    <s v="BULLISH"/>
    <m/>
    <d v="2023-01-20T00:00:00"/>
    <m/>
    <m/>
    <m/>
    <m/>
    <m/>
    <m/>
    <n v="0"/>
    <n v="0"/>
    <m/>
    <s v=""/>
    <s v=""/>
    <m/>
    <m/>
    <m/>
    <m/>
    <m/>
    <m/>
    <n v="0"/>
    <s v=""/>
    <s v=""/>
    <s v=""/>
    <s v=""/>
    <n v="0"/>
    <s v=""/>
    <n v="0"/>
    <m/>
    <n v="0"/>
    <s v=""/>
    <s v=""/>
    <s v=""/>
    <m/>
    <n v="0"/>
    <m/>
    <s v=""/>
    <s v=""/>
    <s v=""/>
    <m/>
    <s v=""/>
    <s v=""/>
    <s v=""/>
    <s v=""/>
    <s v=""/>
    <m/>
    <m/>
    <s v=""/>
    <s v=""/>
    <s v=""/>
    <s v=""/>
    <m/>
    <m/>
    <m/>
    <m/>
    <m/>
    <m/>
    <n v="0"/>
    <s v=""/>
    <s v=""/>
    <m/>
    <s v=""/>
    <s v=""/>
    <s v=""/>
    <s v=""/>
    <s v=""/>
    <s v=""/>
    <s v=""/>
    <m/>
    <s v=""/>
    <m/>
    <s v=""/>
    <s v=""/>
    <s v=""/>
    <s v=""/>
    <n v="10"/>
    <d v="2023-01-20T00:00:00"/>
    <n v="16"/>
    <n v="10"/>
    <d v="2022-12-16T00:00:00"/>
    <d v="2022-12-16T00:00:00"/>
    <n v="0.87"/>
    <n v="35"/>
    <n v="25"/>
    <n v="869.99999999999989"/>
    <n v="15050"/>
    <n v="1.1287499999999999"/>
    <n v="15.13"/>
    <s v=""/>
    <m/>
    <n v="0.17400000000000002"/>
    <n v="1.35"/>
    <m/>
    <n v="0.17400000000000002"/>
    <d v="2023-01-02T16:00:00"/>
    <b v="0"/>
    <d v="2023-01-02T00:00:00"/>
    <n v="174.00000000000003"/>
    <n v="0.80999999999999872"/>
    <n v="0.54000000000000137"/>
    <n v="3.2123735871505139E-2"/>
    <n v="-4.8185603807257511E-2"/>
    <n v="15998.65"/>
    <n v="811.35000000000036"/>
    <n v="1818.6499999999996"/>
    <n v="15.99865"/>
    <s v=""/>
    <n v="5.7807308970099662E-2"/>
    <n v="0.79690695851047288"/>
    <s v=""/>
    <n v="0"/>
    <n v="0"/>
    <n v="869.99999999999989"/>
    <n v="0.79690695851047288"/>
    <n v="-1350"/>
    <n v="-480.00000000000011"/>
    <n v="-0.5517241379310347"/>
    <m/>
    <n v="200"/>
    <n v="20.9665"/>
    <n v="32.779499999999999"/>
    <m/>
    <m/>
    <n v="0"/>
    <n v="0"/>
    <n v="0"/>
    <n v="0.12084053156146177"/>
    <s v="{81E65450-BDDE-4EAA-B58E-4CBD9E8EA059}"/>
    <s v=""/>
    <s v=""/>
    <s v=""/>
    <s v=""/>
    <s v=""/>
    <s v=""/>
    <s v="PAAS230120C00016000"/>
    <n v="1"/>
    <s v="Y"/>
    <s v="LNG SC "/>
    <x v="27"/>
    <n v="1.0449037487632902E-2"/>
  </r>
  <r>
    <s v="PANW"/>
    <n v="560.69000000000005"/>
    <s v="CORE"/>
    <n v="476.58650000000006"/>
    <x v="134"/>
    <x v="3"/>
    <m/>
    <m/>
    <m/>
    <m/>
    <m/>
    <m/>
    <m/>
    <m/>
    <m/>
    <m/>
    <s v="190 calls"/>
    <m/>
    <s v="BULLISH"/>
    <d v="2022-11-21T16:05:00"/>
    <d v="2022-11-21T16:05:00"/>
    <m/>
    <m/>
    <m/>
    <m/>
    <m/>
    <n v="1"/>
    <m/>
    <m/>
    <s v=""/>
    <n v="0"/>
    <n v="0"/>
    <s v=""/>
    <m/>
    <m/>
    <s v=""/>
    <s v=""/>
    <s v=""/>
    <s v=""/>
    <s v=""/>
    <m/>
    <m/>
    <n v="0"/>
    <n v="0"/>
    <n v="0"/>
    <m/>
    <m/>
    <n v="630.54"/>
    <s v=""/>
    <s v=""/>
    <n v="0"/>
    <n v="0"/>
    <n v="0.12457864417057536"/>
    <m/>
    <m/>
    <m/>
    <m/>
    <m/>
    <s v=""/>
    <m/>
    <m/>
    <m/>
    <s v=""/>
    <s v=""/>
    <n v="485.3"/>
    <n v="451.32900000000001"/>
    <m/>
    <d v="2022-09-13T00:00:00"/>
    <n v="529"/>
    <n v="645"/>
    <n v="488"/>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17"/>
    <m/>
    <s v=""/>
    <s v=""/>
    <b v="0"/>
    <d v="2022-08-26T00:00:00"/>
    <s v=""/>
    <n v="0"/>
    <n v="17"/>
    <n v="3.0319784551178008E-2"/>
    <s v=""/>
    <s v=""/>
    <s v=""/>
    <s v=""/>
    <s v=""/>
    <s v=""/>
    <s v=""/>
    <s v=""/>
    <s v=""/>
    <s v=""/>
    <s v=""/>
    <s v=""/>
    <s v=""/>
    <s v=""/>
    <s v=""/>
    <s v=""/>
    <m/>
    <n v="0"/>
    <n v="599.01299999999992"/>
    <n v="1093.3455000000001"/>
    <m/>
    <m/>
    <n v="0"/>
    <s v=""/>
    <n v="0"/>
    <s v=""/>
    <s v="{B9A32595-36FA-49E5-92B3-5A3DEDA91384}"/>
    <s v=""/>
    <s v=""/>
    <s v=""/>
    <s v=""/>
    <s v=""/>
    <s v=""/>
    <s v=""/>
    <s v=""/>
    <s v=""/>
    <s v=""/>
    <x v="0"/>
    <s v=""/>
  </r>
  <r>
    <s v="PBI"/>
    <n v="3.83"/>
    <m/>
    <n v="3.2555000000000001"/>
    <x v="135"/>
    <x v="12"/>
    <s v="Good dividend, "/>
    <s v="Dog of dogs"/>
    <m/>
    <s v="Bearish_x000a_20-d is down trending since earnings on Aug-1"/>
    <s v="Bearish_x000a_Some divergence._x000a_Histogram shows some momentum back towards center._x000a_"/>
    <s v="Bearish_x000a_M: Sell, W: Sell D: Sell"/>
    <s v="Bearish_x000a_M: Red, W: Red D: Blue"/>
    <s v="Oversold_x000a_%K crossed below 20 after Aug-1 earnings"/>
    <s v="Fair"/>
    <s v="Average_x000a_Strengthening"/>
    <s v="?"/>
    <d v="2017-08-12T17:21:13"/>
    <s v="BULLISH"/>
    <d v="2022-07-28T07:00:00"/>
    <d v="2022-07-28T07:00:00"/>
    <m/>
    <m/>
    <m/>
    <m/>
    <m/>
    <n v="4"/>
    <m/>
    <m/>
    <s v=""/>
    <n v="0"/>
    <n v="0"/>
    <s v=""/>
    <m/>
    <m/>
    <s v=""/>
    <s v=""/>
    <s v=""/>
    <s v=""/>
    <s v=""/>
    <n v="0.75"/>
    <d v="2017-09-12T00:00:00"/>
    <n v="0"/>
    <n v="0"/>
    <n v="0.195822454308094"/>
    <d v="2018-05-23T00:00:00"/>
    <m/>
    <n v="4.25"/>
    <s v=""/>
    <s v=""/>
    <n v="0"/>
    <n v="0"/>
    <n v="0.10966057441253262"/>
    <n v="16.5"/>
    <s v="BE"/>
    <n v="15"/>
    <s v="Assignment"/>
    <m/>
    <s v=""/>
    <m/>
    <m/>
    <m/>
    <s v=""/>
    <s v=""/>
    <m/>
    <s v=""/>
    <m/>
    <d v="2017-12-21T00:00:00"/>
    <n v="11.9"/>
    <n v="12.5"/>
    <n v="10.3"/>
    <s v="RANGE"/>
    <s v="BEARISH"/>
    <s v="**"/>
    <s v=""/>
    <m/>
    <m/>
    <m/>
    <m/>
    <m/>
    <m/>
    <n v="0"/>
    <n v="0"/>
    <m/>
    <s v=""/>
    <s v=""/>
    <m/>
    <m/>
    <m/>
    <m/>
    <m/>
    <m/>
    <n v="0"/>
    <s v=""/>
    <s v=""/>
    <s v=""/>
    <s v=""/>
    <n v="0"/>
    <s v=""/>
    <n v="0"/>
    <m/>
    <n v="0"/>
    <s v=""/>
    <s v=""/>
    <s v=""/>
    <n v="10.65"/>
    <n v="0"/>
    <m/>
    <s v=""/>
    <s v=""/>
    <b v="0"/>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0374999999999996"/>
    <n v="7.4684999999999997"/>
    <m/>
    <m/>
    <n v="0"/>
    <s v=""/>
    <n v="0"/>
    <s v=""/>
    <s v="{8457D723-45BC-4736-B78A-6E16AFD5C310}"/>
    <s v=""/>
    <s v=""/>
    <s v=""/>
    <s v=""/>
    <s v=""/>
    <s v=""/>
    <s v=""/>
    <s v=""/>
    <s v=""/>
    <s v=""/>
    <x v="0"/>
    <s v=""/>
  </r>
  <r>
    <s v="PENN"/>
    <n v="69"/>
    <m/>
    <n v="58.65"/>
    <x v="42"/>
    <x v="15"/>
    <m/>
    <m/>
    <m/>
    <m/>
    <m/>
    <m/>
    <m/>
    <m/>
    <m/>
    <m/>
    <m/>
    <m/>
    <s v="BULLISH"/>
    <d v="2022-08-04T07:00:00"/>
    <d v="2022-08-04T07:00:00"/>
    <m/>
    <m/>
    <m/>
    <m/>
    <m/>
    <m/>
    <m/>
    <m/>
    <s v=""/>
    <n v="0"/>
    <n v="0"/>
    <s v=""/>
    <m/>
    <m/>
    <s v=""/>
    <s v=""/>
    <s v=""/>
    <s v=""/>
    <s v=""/>
    <m/>
    <m/>
    <n v="0"/>
    <n v="0"/>
    <n v="0"/>
    <m/>
    <m/>
    <n v="55.34"/>
    <s v=""/>
    <s v=""/>
    <n v="0"/>
    <n v="0"/>
    <n v="-0.19797101449275356"/>
    <n v="75"/>
    <s v="T1"/>
    <n v="63.48"/>
    <s v="stop out"/>
    <s v="long equity"/>
    <s v=""/>
    <m/>
    <m/>
    <m/>
    <s v=""/>
    <s v=""/>
    <m/>
    <s v=""/>
    <m/>
    <d v="2020-09-22T00:00:00"/>
    <n v="63.9"/>
    <n v="90.9"/>
    <n v="55.4"/>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2.573"/>
    <n v="134.54999999999998"/>
    <m/>
    <m/>
    <n v="0"/>
    <s v=""/>
    <n v="0"/>
    <s v=""/>
    <m/>
    <s v=""/>
    <s v=""/>
    <s v=""/>
    <s v=""/>
    <s v=""/>
    <s v=""/>
    <s v=""/>
    <s v=""/>
    <s v=""/>
    <s v=""/>
    <x v="0"/>
    <s v=""/>
  </r>
  <r>
    <s v="META"/>
    <n v="99.92"/>
    <s v="Swing"/>
    <n v="84.932000000000002"/>
    <x v="45"/>
    <x v="3"/>
    <m/>
    <m/>
    <m/>
    <m/>
    <m/>
    <m/>
    <m/>
    <m/>
    <m/>
    <m/>
    <m/>
    <m/>
    <s v="BULLISH"/>
    <d v="2022-07-27T16:05:00"/>
    <d v="2022-07-27T16:05:00"/>
    <m/>
    <m/>
    <m/>
    <n v="2"/>
    <m/>
    <m/>
    <m/>
    <m/>
    <s v=""/>
    <n v="0"/>
    <n v="0"/>
    <s v=""/>
    <m/>
    <m/>
    <s v=""/>
    <s v=""/>
    <s v=""/>
    <s v=""/>
    <s v=""/>
    <m/>
    <m/>
    <n v="0"/>
    <n v="0"/>
    <n v="0"/>
    <m/>
    <n v="250"/>
    <n v="339.27"/>
    <n v="1.5020016012810247"/>
    <s v=""/>
    <n v="0"/>
    <n v="0"/>
    <n v="2.3954163330664526"/>
    <n v="315"/>
    <s v="free money"/>
    <n v="315"/>
    <s v="Losses"/>
    <s v="BuPS"/>
    <s v=""/>
    <m/>
    <m/>
    <m/>
    <s v=""/>
    <s v=""/>
    <m/>
    <s v=""/>
    <m/>
    <d v="2021-05-25T00:00:00"/>
    <n v="323.60000000000002"/>
    <n v="336.8"/>
    <n v="318.8"/>
    <s v="RISE"/>
    <s v="RANGE"/>
    <m/>
    <s v=""/>
    <m/>
    <m/>
    <m/>
    <m/>
    <m/>
    <m/>
    <n v="0"/>
    <n v="0"/>
    <m/>
    <s v=""/>
    <s v=""/>
    <m/>
    <n v="72"/>
    <m/>
    <m/>
    <m/>
    <m/>
    <n v="0"/>
    <s v=""/>
    <s v=""/>
    <s v=""/>
    <s v=""/>
    <n v="0"/>
    <s v=""/>
    <n v="0"/>
    <n v="0.2"/>
    <n v="0"/>
    <s v=""/>
    <s v=""/>
    <s v=""/>
    <m/>
    <n v="0"/>
    <m/>
    <s v=""/>
    <s v=""/>
    <s v=""/>
    <m/>
    <s v=""/>
    <n v="69.84"/>
    <n v="0"/>
    <s v=""/>
    <s v=""/>
    <m/>
    <m/>
    <s v=""/>
    <s v=""/>
    <s v=""/>
    <s v=""/>
    <m/>
    <m/>
    <m/>
    <m/>
    <m/>
    <m/>
    <n v="0"/>
    <s v=""/>
    <s v=""/>
    <m/>
    <s v=""/>
    <s v=""/>
    <s v=""/>
    <s v=""/>
    <s v=""/>
    <s v=""/>
    <s v=""/>
    <m/>
    <s v=""/>
    <m/>
    <s v=""/>
    <s v=""/>
    <s v=""/>
    <s v=""/>
    <n v="0"/>
    <m/>
    <m/>
    <m/>
    <m/>
    <m/>
    <m/>
    <s v=""/>
    <s v=""/>
    <n v="0"/>
    <n v="0"/>
    <n v="0"/>
    <n v="0"/>
    <s v=""/>
    <m/>
    <n v="0"/>
    <m/>
    <m/>
    <s v=""/>
    <s v=""/>
    <s v=""/>
    <m/>
    <s v=""/>
    <n v="0"/>
    <n v="0"/>
    <s v=""/>
    <s v=""/>
    <s v=""/>
    <s v=""/>
    <s v=""/>
    <s v=""/>
    <s v=""/>
    <s v=""/>
    <s v=""/>
    <s v=""/>
    <s v=""/>
    <s v=""/>
    <s v=""/>
    <s v=""/>
    <s v=""/>
    <s v=""/>
    <s v=""/>
    <m/>
    <n v="0"/>
    <n v="322.30649999999997"/>
    <n v="194.84399999999999"/>
    <m/>
    <m/>
    <n v="0"/>
    <s v=""/>
    <n v="0"/>
    <s v=""/>
    <s v="{77BDB3CD-BD86-4E6E-A379-C052398B41AA}"/>
    <s v=""/>
    <s v=""/>
    <s v=""/>
    <s v=""/>
    <s v=""/>
    <s v=""/>
    <s v=""/>
    <s v=""/>
    <s v=""/>
    <s v=""/>
    <x v="0"/>
    <s v=""/>
  </r>
  <r>
    <s v="PFE"/>
    <n v="36.35"/>
    <m/>
    <n v="30.897500000000001"/>
    <x v="93"/>
    <x v="2"/>
    <m/>
    <m/>
    <m/>
    <m/>
    <m/>
    <m/>
    <m/>
    <m/>
    <m/>
    <m/>
    <m/>
    <m/>
    <s v="BULLISH"/>
    <d v="2022-08-02T06:45:00"/>
    <d v="2022-08-02T06:45:00"/>
    <m/>
    <m/>
    <m/>
    <m/>
    <m/>
    <m/>
    <m/>
    <m/>
    <s v=""/>
    <n v="0"/>
    <n v="0"/>
    <s v=""/>
    <m/>
    <m/>
    <s v=""/>
    <s v=""/>
    <s v=""/>
    <s v=""/>
    <s v=""/>
    <n v="1.2"/>
    <d v="2016-12-01T00:00:00"/>
    <n v="0"/>
    <n v="0"/>
    <n v="3.3012379642365884E-2"/>
    <d v="2016-11-01T00:00:00"/>
    <m/>
    <n v="41.14"/>
    <s v=""/>
    <s v=""/>
    <n v="0"/>
    <n v="0"/>
    <n v="0.13177441540577714"/>
    <m/>
    <m/>
    <m/>
    <m/>
    <m/>
    <s v=""/>
    <m/>
    <m/>
    <m/>
    <s v=""/>
    <s v=""/>
    <m/>
    <s v=""/>
    <m/>
    <d v="2016-09-05T00:00:00"/>
    <n v="35.5"/>
    <n v="36.4"/>
    <n v="33.1"/>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9.082999999999998"/>
    <n v="70.882500000000007"/>
    <m/>
    <m/>
    <n v="0"/>
    <s v=""/>
    <n v="0"/>
    <s v=""/>
    <s v="{50737E04-32EA-484F-908F-81ACD3E40A84}"/>
    <s v=""/>
    <s v=""/>
    <s v=""/>
    <s v=""/>
    <s v=""/>
    <s v=""/>
    <s v=""/>
    <s v=""/>
    <s v=""/>
    <s v=""/>
    <x v="0"/>
    <s v=""/>
  </r>
  <r>
    <s v="PG"/>
    <n v="116.78"/>
    <m/>
    <n v="99.263000000000005"/>
    <x v="136"/>
    <x v="12"/>
    <m/>
    <m/>
    <m/>
    <m/>
    <m/>
    <m/>
    <m/>
    <m/>
    <m/>
    <m/>
    <m/>
    <m/>
    <m/>
    <d v="2022-07-29T07:00:00"/>
    <d v="2022-07-29T07:00:00"/>
    <s v="Confirmed"/>
    <m/>
    <m/>
    <m/>
    <m/>
    <m/>
    <m/>
    <m/>
    <s v=""/>
    <n v="0"/>
    <n v="0"/>
    <s v=""/>
    <m/>
    <m/>
    <s v=""/>
    <s v=""/>
    <s v=""/>
    <s v=""/>
    <s v=""/>
    <n v="2.68"/>
    <d v="2016-08-16T00:00:00"/>
    <n v="0"/>
    <n v="0"/>
    <n v="2.294913512587772E-2"/>
    <d v="2017-04-12T00:00:00"/>
    <m/>
    <n v="126.28"/>
    <s v=""/>
    <s v=""/>
    <n v="0"/>
    <n v="0"/>
    <n v="8.1349546155163557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9.96599999999999"/>
    <n v="227.721"/>
    <m/>
    <m/>
    <n v="0"/>
    <s v=""/>
    <n v="0"/>
    <s v=""/>
    <s v="{5373B646-8149-438E-AF68-CDD7444F41B2}"/>
    <s v=""/>
    <s v=""/>
    <s v=""/>
    <s v=""/>
    <s v=""/>
    <s v=""/>
    <s v=""/>
    <s v=""/>
    <s v=""/>
    <s v=""/>
    <x v="0"/>
    <s v=""/>
  </r>
  <r>
    <s v="PHM"/>
    <n v="40.22"/>
    <m/>
    <n v="34.186999999999998"/>
    <x v="63"/>
    <x v="14"/>
    <m/>
    <m/>
    <m/>
    <m/>
    <m/>
    <m/>
    <m/>
    <m/>
    <m/>
    <m/>
    <m/>
    <m/>
    <m/>
    <d v="2022-07-28T06:30:00"/>
    <d v="2022-07-28T06:30:00"/>
    <m/>
    <m/>
    <m/>
    <m/>
    <m/>
    <m/>
    <m/>
    <m/>
    <s v=""/>
    <n v="0"/>
    <n v="0"/>
    <s v=""/>
    <m/>
    <m/>
    <s v=""/>
    <s v=""/>
    <s v=""/>
    <s v=""/>
    <s v=""/>
    <m/>
    <m/>
    <n v="0"/>
    <n v="0"/>
    <n v="0"/>
    <m/>
    <m/>
    <n v="37.64"/>
    <s v=""/>
    <s v=""/>
    <n v="0"/>
    <n v="0"/>
    <n v="-6.4147190452511146E-2"/>
    <n v="41.42"/>
    <s v="ITM"/>
    <n v="40"/>
    <s v="Losses"/>
    <s v="LCs"/>
    <s v=""/>
    <m/>
    <m/>
    <m/>
    <s v=""/>
    <s v=""/>
    <m/>
    <s v=""/>
    <m/>
    <d v="2020-01-09T00:00:00"/>
    <n v="38.9"/>
    <n v="42.8"/>
    <n v="37.6"/>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5.757999999999996"/>
    <n v="78.429000000000002"/>
    <m/>
    <m/>
    <n v="0"/>
    <s v=""/>
    <n v="0"/>
    <s v=""/>
    <s v="{39DCD033-6016-433A-8413-9337334F7D4F}"/>
    <s v=""/>
    <s v=""/>
    <s v=""/>
    <s v=""/>
    <s v=""/>
    <s v=""/>
    <s v=""/>
    <s v=""/>
    <s v=""/>
    <s v=""/>
    <x v="0"/>
    <s v=""/>
  </r>
  <r>
    <s v="PINS"/>
    <n v="73.38"/>
    <s v="Swing"/>
    <n v="62.372999999999998"/>
    <x v="137"/>
    <x v="18"/>
    <m/>
    <m/>
    <m/>
    <m/>
    <m/>
    <m/>
    <m/>
    <m/>
    <m/>
    <m/>
    <m/>
    <m/>
    <s v="BULLISH"/>
    <d v="2022-07-27T16:00:00"/>
    <d v="2022-07-27T16:00:00"/>
    <m/>
    <m/>
    <m/>
    <m/>
    <m/>
    <m/>
    <m/>
    <m/>
    <s v=""/>
    <n v="0"/>
    <n v="0"/>
    <s v=""/>
    <n v="83.5"/>
    <n v="67.900000000000006"/>
    <s v=""/>
    <s v=""/>
    <s v=""/>
    <s v=""/>
    <s v=""/>
    <m/>
    <m/>
    <n v="0"/>
    <n v="0"/>
    <n v="0"/>
    <m/>
    <m/>
    <n v="36.57"/>
    <s v=""/>
    <s v=""/>
    <n v="0"/>
    <n v="0"/>
    <n v="-0.50163532297628777"/>
    <m/>
    <m/>
    <m/>
    <m/>
    <m/>
    <s v=""/>
    <m/>
    <m/>
    <m/>
    <s v=""/>
    <s v=""/>
    <m/>
    <s v=""/>
    <m/>
    <d v="2021-01-25T00:00:00"/>
    <n v="73.08"/>
    <n v="83.87"/>
    <n v="62.13"/>
    <s v="LTD RISE"/>
    <s v="RANGE"/>
    <m/>
    <s v=""/>
    <m/>
    <m/>
    <m/>
    <m/>
    <m/>
    <m/>
    <n v="0"/>
    <n v="0"/>
    <m/>
    <s v=""/>
    <s v=""/>
    <m/>
    <m/>
    <m/>
    <m/>
    <m/>
    <m/>
    <n v="0"/>
    <s v=""/>
    <s v=""/>
    <s v=""/>
    <s v=""/>
    <n v="0"/>
    <s v=""/>
    <n v="0"/>
    <n v="0.2"/>
    <n v="0"/>
    <s v=""/>
    <s v=""/>
    <s v=""/>
    <n v="0.03"/>
    <n v="0"/>
    <m/>
    <s v=""/>
    <s v=""/>
    <b v="0"/>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4.741500000000002"/>
    <n v="143.09099999999998"/>
    <m/>
    <m/>
    <n v="0"/>
    <s v=""/>
    <n v="0"/>
    <s v=""/>
    <s v="{98EB5CDB-BD46-40C8-8F12-FAF551063F85}"/>
    <s v=""/>
    <s v=""/>
    <s v=""/>
    <s v=""/>
    <s v=""/>
    <s v=""/>
    <s v=""/>
    <s v=""/>
    <s v=""/>
    <s v=""/>
    <x v="0"/>
    <s v=""/>
  </r>
  <r>
    <s v="PLAN"/>
    <n v="56.35"/>
    <m/>
    <n v="47.897500000000001"/>
    <x v="80"/>
    <x v="3"/>
    <m/>
    <m/>
    <m/>
    <m/>
    <m/>
    <m/>
    <m/>
    <m/>
    <m/>
    <m/>
    <m/>
    <m/>
    <s v="BULLISH"/>
    <d v="2022-08-25T08:30:00"/>
    <d v="2022-08-25T08:30:00"/>
    <m/>
    <m/>
    <m/>
    <m/>
    <m/>
    <m/>
    <m/>
    <m/>
    <s v=""/>
    <n v="0"/>
    <n v="0"/>
    <s v=""/>
    <m/>
    <m/>
    <s v=""/>
    <s v=""/>
    <s v=""/>
    <s v=""/>
    <s v=""/>
    <m/>
    <m/>
    <n v="0"/>
    <n v="0"/>
    <n v="0"/>
    <m/>
    <m/>
    <n v="49.78"/>
    <s v=""/>
    <s v=""/>
    <n v="0"/>
    <n v="0"/>
    <n v="-0.1165927240461402"/>
    <n v="40"/>
    <s v="assignment"/>
    <n v="33.5"/>
    <s v="Exit"/>
    <s v="$40 P"/>
    <s v=""/>
    <m/>
    <m/>
    <m/>
    <s v=""/>
    <s v=""/>
    <m/>
    <s v=""/>
    <m/>
    <m/>
    <m/>
    <m/>
    <m/>
    <m/>
    <s v="BULLISH"/>
    <s v="On May-13, 2019 Recognia sees bearish Triangle Top suggesting $31.25-$32.75 by Jun-14, 2019"/>
    <s v=""/>
    <m/>
    <m/>
    <m/>
    <m/>
    <m/>
    <m/>
    <n v="0"/>
    <n v="0"/>
    <m/>
    <s v=""/>
    <s v=""/>
    <m/>
    <m/>
    <m/>
    <m/>
    <m/>
    <m/>
    <n v="0"/>
    <s v=""/>
    <s v=""/>
    <s v=""/>
    <s v=""/>
    <n v="0"/>
    <s v=""/>
    <n v="0"/>
    <m/>
    <n v="0"/>
    <s v=""/>
    <s v=""/>
    <s v=""/>
    <m/>
    <n v="0"/>
    <n v="0.35"/>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7.290999999999997"/>
    <n v="109.88249999999999"/>
    <m/>
    <m/>
    <n v="0"/>
    <s v=""/>
    <n v="0"/>
    <s v=""/>
    <s v="{395BB72E-76C1-4514-AE42-EAA3A72D3C60}"/>
    <s v=""/>
    <s v=""/>
    <s v=""/>
    <s v=""/>
    <s v=""/>
    <s v=""/>
    <s v=""/>
    <s v=""/>
    <s v=""/>
    <s v=""/>
    <x v="0"/>
    <s v=""/>
  </r>
  <r>
    <s v="PLTR"/>
    <n v="11.45"/>
    <s v="Spec"/>
    <n v="9.7324999999999999"/>
    <x v="8"/>
    <x v="3"/>
    <m/>
    <m/>
    <m/>
    <m/>
    <m/>
    <m/>
    <m/>
    <m/>
    <m/>
    <m/>
    <m/>
    <m/>
    <s v="BULLISH"/>
    <d v="2022-11-08T06:00:00"/>
    <d v="2022-08-08T07:00:00"/>
    <s v="Confirmed"/>
    <m/>
    <m/>
    <m/>
    <m/>
    <m/>
    <m/>
    <m/>
    <s v=""/>
    <n v="0"/>
    <n v="0"/>
    <s v=""/>
    <m/>
    <m/>
    <s v=""/>
    <s v=""/>
    <s v=""/>
    <s v=""/>
    <s v=""/>
    <m/>
    <m/>
    <n v="0"/>
    <n v="0"/>
    <n v="0"/>
    <m/>
    <m/>
    <n v="15.05"/>
    <s v=""/>
    <s v=""/>
    <n v="0"/>
    <n v="0"/>
    <n v="0.3144104803493451"/>
    <n v="10.5"/>
    <s v="assignment"/>
    <n v="10.5"/>
    <s v="free money"/>
    <s v="CCs"/>
    <s v=""/>
    <m/>
    <n v="1.0469999999999999"/>
    <d v="2021-06-25T00:00:00"/>
    <n v="10.402999999999999"/>
    <n v="12.497"/>
    <n v="15.47"/>
    <n v="14.3871"/>
    <m/>
    <d v="2022-08-03T00:00:00"/>
    <n v="9.4"/>
    <n v="13.4"/>
    <n v="8.3000000000000007"/>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297499999999999"/>
    <n v="22.327499999999997"/>
    <m/>
    <m/>
    <n v="0"/>
    <s v=""/>
    <n v="0"/>
    <s v=""/>
    <s v="{FC911528-ED63-4E1E-ABF1-D132A5B6C2AE}"/>
    <s v=""/>
    <s v=""/>
    <s v=""/>
    <s v=""/>
    <s v=""/>
    <s v=""/>
    <s v=""/>
    <s v=""/>
    <s v=""/>
    <s v=""/>
    <x v="0"/>
    <s v=""/>
  </r>
  <r>
    <s v="PLUG"/>
    <n v="65.319999999999993"/>
    <m/>
    <n v="55.521999999999991"/>
    <x v="77"/>
    <x v="11"/>
    <m/>
    <m/>
    <m/>
    <m/>
    <m/>
    <m/>
    <m/>
    <m/>
    <m/>
    <m/>
    <m/>
    <m/>
    <s v="BULLISH"/>
    <d v="2022-08-08T16:10:00"/>
    <d v="2022-08-08T16:10:00"/>
    <m/>
    <m/>
    <m/>
    <m/>
    <m/>
    <m/>
    <m/>
    <m/>
    <s v=""/>
    <n v="0"/>
    <n v="0"/>
    <s v=""/>
    <m/>
    <m/>
    <s v=""/>
    <s v=""/>
    <s v=""/>
    <s v=""/>
    <s v=""/>
    <m/>
    <m/>
    <n v="0"/>
    <n v="0"/>
    <n v="0"/>
    <m/>
    <m/>
    <n v="51.14"/>
    <s v=""/>
    <s v=""/>
    <n v="0"/>
    <n v="0"/>
    <n v="-0.21708511941212483"/>
    <n v="50"/>
    <s v="free money"/>
    <n v="50"/>
    <s v="Assignment"/>
    <s v="SPs"/>
    <s v=""/>
    <m/>
    <m/>
    <m/>
    <m/>
    <m/>
    <m/>
    <s v=""/>
    <m/>
    <d v="2021-01-20T00:00:00"/>
    <n v="64.08"/>
    <n v="75.209999999999994"/>
    <n v="59.71"/>
    <s v="DECLINE"/>
    <s v="BULLISH"/>
    <m/>
    <s v=""/>
    <m/>
    <m/>
    <m/>
    <m/>
    <m/>
    <m/>
    <n v="0"/>
    <n v="0"/>
    <m/>
    <s v=""/>
    <s v=""/>
    <m/>
    <m/>
    <m/>
    <m/>
    <m/>
    <m/>
    <n v="0"/>
    <s v=""/>
    <s v=""/>
    <s v=""/>
    <s v=""/>
    <n v="0"/>
    <s v=""/>
    <n v="0"/>
    <m/>
    <n v="0"/>
    <s v=""/>
    <s v=""/>
    <s v=""/>
    <m/>
    <n v="0"/>
    <m/>
    <s v=""/>
    <s v=""/>
    <s v=""/>
    <m/>
    <s v=""/>
    <s v=""/>
    <s v=""/>
    <s v=""/>
    <s v=""/>
    <n v="5.25"/>
    <m/>
    <s v=""/>
    <s v=""/>
    <s v=""/>
    <s v=""/>
    <m/>
    <m/>
    <m/>
    <m/>
    <m/>
    <m/>
    <n v="0"/>
    <s v=""/>
    <s v=""/>
    <m/>
    <s v=""/>
    <s v=""/>
    <s v=""/>
    <s v=""/>
    <s v=""/>
    <s v=""/>
    <s v=""/>
    <m/>
    <s v=""/>
    <m/>
    <s v=""/>
    <s v=""/>
    <s v=""/>
    <s v=""/>
    <n v="0"/>
    <m/>
    <m/>
    <m/>
    <m/>
    <m/>
    <m/>
    <s v=""/>
    <s v=""/>
    <n v="0"/>
    <n v="0"/>
    <n v="0"/>
    <n v="0"/>
    <s v=""/>
    <m/>
    <n v="0"/>
    <m/>
    <m/>
    <s v=""/>
    <s v=""/>
    <s v=""/>
    <m/>
    <s v=""/>
    <n v="0"/>
    <n v="0"/>
    <s v=""/>
    <s v=""/>
    <s v=""/>
    <s v=""/>
    <s v=""/>
    <s v=""/>
    <s v=""/>
    <s v=""/>
    <s v=""/>
    <s v=""/>
    <s v=""/>
    <s v=""/>
    <s v=""/>
    <s v=""/>
    <s v=""/>
    <s v=""/>
    <s v=""/>
    <m/>
    <n v="0"/>
    <n v="48.582999999999998"/>
    <n v="127.37399999999998"/>
    <m/>
    <m/>
    <n v="0"/>
    <s v=""/>
    <n v="0"/>
    <s v=""/>
    <m/>
    <s v=""/>
    <s v=""/>
    <s v=""/>
    <s v=""/>
    <s v=""/>
    <s v=""/>
    <s v=""/>
    <s v=""/>
    <s v=""/>
    <s v=""/>
    <x v="0"/>
    <s v=""/>
  </r>
  <r>
    <s v="PNC"/>
    <n v="132.34"/>
    <m/>
    <n v="112.489"/>
    <x v="47"/>
    <x v="7"/>
    <m/>
    <m/>
    <m/>
    <m/>
    <m/>
    <m/>
    <m/>
    <m/>
    <m/>
    <m/>
    <m/>
    <m/>
    <m/>
    <d v="2022-07-14T06:50:00"/>
    <d v="2022-07-14T06:50:00"/>
    <m/>
    <m/>
    <m/>
    <m/>
    <m/>
    <m/>
    <m/>
    <m/>
    <s v=""/>
    <n v="0"/>
    <n v="0"/>
    <s v=""/>
    <m/>
    <m/>
    <s v=""/>
    <s v=""/>
    <s v=""/>
    <s v=""/>
    <s v=""/>
    <m/>
    <m/>
    <n v="0"/>
    <n v="0"/>
    <n v="0"/>
    <m/>
    <m/>
    <n v="111.89"/>
    <s v=""/>
    <s v=""/>
    <n v="0"/>
    <n v="0"/>
    <n v="-0.1545262203415445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6.29549999999999"/>
    <n v="258.06299999999999"/>
    <m/>
    <m/>
    <n v="0"/>
    <s v=""/>
    <n v="0"/>
    <s v=""/>
    <s v="{6F1B00A9-CC76-4550-AD7E-D94C297CDA77}"/>
    <s v=""/>
    <s v=""/>
    <s v=""/>
    <s v=""/>
    <s v=""/>
    <s v=""/>
    <s v=""/>
    <s v=""/>
    <s v=""/>
    <s v=""/>
    <x v="0"/>
    <s v=""/>
  </r>
  <r>
    <s v="PRGO"/>
    <n v="46.9"/>
    <m/>
    <n v="39.864999999999995"/>
    <x v="138"/>
    <x v="2"/>
    <s v="Generic vitamin supplier might benefit from abandonment of Chinese supplieres"/>
    <s v="might not"/>
    <m/>
    <s v="UP"/>
    <s v="CONVERGE"/>
    <s v="UP"/>
    <s v="UP"/>
    <s v="Over 80"/>
    <s v="UP"/>
    <s v="AVG"/>
    <m/>
    <m/>
    <m/>
    <d v="2022-08-10T06:30:00"/>
    <d v="2022-08-10T06:30:00"/>
    <m/>
    <m/>
    <m/>
    <m/>
    <m/>
    <m/>
    <m/>
    <m/>
    <s v=""/>
    <n v="0"/>
    <n v="0"/>
    <s v=""/>
    <m/>
    <m/>
    <s v=""/>
    <s v=""/>
    <s v=""/>
    <s v=""/>
    <s v=""/>
    <n v="0.5"/>
    <d v="2015-12-15T00:00:00"/>
    <n v="0"/>
    <n v="0"/>
    <n v="1.0660980810234541E-2"/>
    <d v="2015-08-24T00:00:00"/>
    <m/>
    <n v="55.33"/>
    <s v=""/>
    <s v=""/>
    <n v="0"/>
    <n v="0"/>
    <n v="0.1797441364605543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2.563499999999998"/>
    <n v="91.454999999999998"/>
    <m/>
    <m/>
    <n v="0"/>
    <s v=""/>
    <n v="0"/>
    <s v=""/>
    <s v="{6697245C-9783-42EE-8CFB-AA114E050694}"/>
    <s v=""/>
    <s v=""/>
    <s v=""/>
    <s v=""/>
    <s v=""/>
    <s v=""/>
    <s v=""/>
    <s v=""/>
    <s v=""/>
    <s v=""/>
    <x v="0"/>
    <s v=""/>
  </r>
  <r>
    <s v="PRNB"/>
    <n v="100.02"/>
    <m/>
    <n v="85.016999999999996"/>
    <x v="23"/>
    <x v="2"/>
    <m/>
    <m/>
    <m/>
    <m/>
    <m/>
    <m/>
    <m/>
    <m/>
    <m/>
    <m/>
    <m/>
    <m/>
    <m/>
    <d v="2022-08-10T06:30:00"/>
    <d v="2022-08-10T06:30:00"/>
    <m/>
    <m/>
    <m/>
    <m/>
    <m/>
    <m/>
    <m/>
    <m/>
    <s v=""/>
    <n v="0"/>
    <n v="0"/>
    <s v=""/>
    <m/>
    <m/>
    <s v=""/>
    <s v=""/>
    <s v=""/>
    <s v=""/>
    <s v=""/>
    <m/>
    <m/>
    <n v="0"/>
    <n v="0"/>
    <n v="0"/>
    <m/>
    <m/>
    <n v="99.88"/>
    <s v=""/>
    <s v=""/>
    <n v="0"/>
    <n v="0"/>
    <n v="-1.3997200559888079E-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4.885999999999996"/>
    <n v="195.03899999999999"/>
    <m/>
    <m/>
    <n v="0"/>
    <s v=""/>
    <n v="0"/>
    <s v=""/>
    <m/>
    <s v=""/>
    <s v=""/>
    <s v=""/>
    <s v=""/>
    <s v=""/>
    <s v=""/>
    <s v=""/>
    <s v=""/>
    <s v=""/>
    <s v=""/>
    <x v="0"/>
    <s v=""/>
  </r>
  <r>
    <s v="PTON"/>
    <n v="76.67"/>
    <s v="Swing"/>
    <n v="65.169499999999999"/>
    <x v="139"/>
    <x v="1"/>
    <m/>
    <m/>
    <m/>
    <m/>
    <m/>
    <m/>
    <m/>
    <m/>
    <m/>
    <m/>
    <m/>
    <m/>
    <s v="BULLISH"/>
    <d v="2022-08-09T07:00:00"/>
    <d v="2022-08-09T07:00:00"/>
    <m/>
    <m/>
    <m/>
    <m/>
    <m/>
    <m/>
    <m/>
    <m/>
    <s v=""/>
    <n v="0"/>
    <n v="0"/>
    <s v=""/>
    <m/>
    <m/>
    <s v=""/>
    <s v=""/>
    <s v=""/>
    <s v=""/>
    <s v=""/>
    <m/>
    <m/>
    <n v="0"/>
    <n v="0"/>
    <n v="0"/>
    <m/>
    <m/>
    <n v="61"/>
    <s v=""/>
    <s v=""/>
    <n v="0"/>
    <n v="0"/>
    <n v="-0.20438241815573238"/>
    <m/>
    <m/>
    <m/>
    <m/>
    <m/>
    <m/>
    <m/>
    <m/>
    <m/>
    <s v=""/>
    <s v=""/>
    <m/>
    <s v=""/>
    <m/>
    <d v="2020-08-19T00:00:00"/>
    <n v="47.87"/>
    <n v="82.02"/>
    <n v="35.75"/>
    <s v="LTD RISE"/>
    <s v="RANGE"/>
    <m/>
    <s v=""/>
    <m/>
    <m/>
    <m/>
    <m/>
    <m/>
    <m/>
    <n v="0"/>
    <n v="0"/>
    <m/>
    <s v=""/>
    <s v=""/>
    <m/>
    <m/>
    <m/>
    <m/>
    <m/>
    <m/>
    <n v="0"/>
    <s v=""/>
    <s v=""/>
    <s v=""/>
    <s v=""/>
    <n v="0"/>
    <s v=""/>
    <n v="0"/>
    <n v="0.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7.949999999999996"/>
    <n v="149.50649999999999"/>
    <m/>
    <m/>
    <n v="0"/>
    <s v=""/>
    <n v="0"/>
    <s v=""/>
    <s v="{A356A21F-F987-4536-AA95-4066CD955340}"/>
    <s v=""/>
    <s v=""/>
    <s v=""/>
    <s v=""/>
    <s v=""/>
    <s v=""/>
    <s v=""/>
    <s v=""/>
    <s v=""/>
    <s v=""/>
    <x v="0"/>
    <s v=""/>
  </r>
  <r>
    <s v="PVH"/>
    <n v="74.66"/>
    <m/>
    <n v="63.460999999999999"/>
    <x v="118"/>
    <x v="12"/>
    <s v="the PVH story is more of a restructuring one, with improvement to its internal operations and higher share gains with its customers. We believe last quarter was the beginning of better results, and with the stock down 10% since that strong report, we still like the risk/reward. The shares trade at a 10% discount to the group and to its historical average multiple"/>
    <s v=" It was a mixed week for the shares, with solid results from Macy's (M) offset by challenges at J.C. Penney(JCP) and Kohl's (KSS) -- three of PVH's top customers. Stepping back for the week, there were mixed results across the board and the environment remains choppy."/>
    <m/>
    <m/>
    <m/>
    <m/>
    <m/>
    <m/>
    <m/>
    <m/>
    <m/>
    <m/>
    <m/>
    <d v="2022-08-31T16:15:00"/>
    <d v="2022-08-31T16:15:00"/>
    <m/>
    <s v="retail earnigs (M)"/>
    <m/>
    <m/>
    <m/>
    <m/>
    <m/>
    <m/>
    <s v=""/>
    <n v="0"/>
    <n v="0"/>
    <s v=""/>
    <m/>
    <m/>
    <s v=""/>
    <s v=""/>
    <s v=""/>
    <s v=""/>
    <s v=""/>
    <n v="0.15"/>
    <d v="2015-12-15T00:00:00"/>
    <n v="0"/>
    <n v="0"/>
    <n v="2.009107956067506E-3"/>
    <d v="2015-08-20T00:00:00"/>
    <m/>
    <n v="51.63"/>
    <s v=""/>
    <s v=""/>
    <n v="0"/>
    <n v="0"/>
    <n v="-0.30846504152156434"/>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9.048499999999997"/>
    <n v="145.58699999999999"/>
    <m/>
    <n v="124.88"/>
    <n v="0"/>
    <s v=""/>
    <n v="0"/>
    <s v=""/>
    <s v="{FC518E9B-3BD9-4DD1-900A-E7E5CDCA61FB}"/>
    <s v=""/>
    <s v=""/>
    <s v=""/>
    <s v=""/>
    <s v=""/>
    <s v=""/>
    <s v=""/>
    <s v=""/>
    <s v=""/>
    <s v=""/>
    <x v="0"/>
    <s v=""/>
  </r>
  <r>
    <s v="PYPL"/>
    <n v="213.07"/>
    <m/>
    <n v="181.1095"/>
    <x v="26"/>
    <x v="7"/>
    <s v="Shares up after impressive earnings report, despite concern over announcement of Chase Pay"/>
    <m/>
    <m/>
    <m/>
    <m/>
    <m/>
    <m/>
    <m/>
    <m/>
    <m/>
    <m/>
    <m/>
    <s v="BULLISH"/>
    <d v="2022-07-27T16:15:00"/>
    <d v="2022-07-27T16:15:00"/>
    <m/>
    <m/>
    <m/>
    <m/>
    <m/>
    <n v="1"/>
    <m/>
    <m/>
    <s v=""/>
    <n v="0"/>
    <n v="0"/>
    <s v=""/>
    <m/>
    <m/>
    <s v=""/>
    <s v=""/>
    <s v=""/>
    <s v=""/>
    <s v=""/>
    <n v="0"/>
    <s v="N/A"/>
    <n v="0"/>
    <n v="0"/>
    <n v="0"/>
    <s v="N/A"/>
    <m/>
    <n v="220.2"/>
    <s v=""/>
    <s v=""/>
    <n v="0"/>
    <n v="0"/>
    <n v="3.3463181114187807E-2"/>
    <n v="220"/>
    <s v="max gain"/>
    <n v="214.3"/>
    <s v="Losses"/>
    <n v="0"/>
    <s v=""/>
    <m/>
    <m/>
    <m/>
    <s v=""/>
    <s v=""/>
    <m/>
    <s v=""/>
    <m/>
    <d v="2020-10-19T00:00:00"/>
    <n v="190.1"/>
    <n v="230.4"/>
    <n v="177.5"/>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9.18999999999997"/>
    <n v="415.48649999999998"/>
    <m/>
    <m/>
    <n v="0"/>
    <s v=""/>
    <n v="0"/>
    <s v=""/>
    <s v="{BA956363-80A4-4D3B-8557-7DC3744D9C13}"/>
    <s v=""/>
    <s v=""/>
    <s v=""/>
    <s v=""/>
    <s v=""/>
    <s v=""/>
    <s v=""/>
    <s v=""/>
    <s v=""/>
    <s v=""/>
    <x v="0"/>
    <s v=""/>
  </r>
  <r>
    <s v="PZZA"/>
    <n v="48"/>
    <m/>
    <n v="40.799999999999997"/>
    <x v="55"/>
    <x v="8"/>
    <m/>
    <m/>
    <m/>
    <m/>
    <m/>
    <m/>
    <m/>
    <m/>
    <m/>
    <m/>
    <m/>
    <m/>
    <s v="BEARISH"/>
    <d v="2022-08-04T06:30:00"/>
    <d v="2022-08-04T06:30:00"/>
    <m/>
    <m/>
    <m/>
    <m/>
    <m/>
    <m/>
    <m/>
    <m/>
    <s v=""/>
    <n v="0"/>
    <n v="0"/>
    <s v=""/>
    <m/>
    <m/>
    <s v=""/>
    <s v=""/>
    <s v=""/>
    <s v=""/>
    <s v=""/>
    <m/>
    <m/>
    <n v="0"/>
    <n v="0"/>
    <n v="0"/>
    <m/>
    <m/>
    <n v="65.67"/>
    <s v=""/>
    <s v=""/>
    <n v="0"/>
    <n v="0"/>
    <n v="0.36812500000000004"/>
    <n v="41.1"/>
    <s v="Losses"/>
    <n v="41.1"/>
    <s v="ITM"/>
    <s v="LPs"/>
    <s v=""/>
    <m/>
    <m/>
    <m/>
    <s v=""/>
    <s v=""/>
    <m/>
    <s v=""/>
    <m/>
    <d v="2019-08-22T00:00:00"/>
    <n v="46.1"/>
    <n v="48.5"/>
    <n v="38.9"/>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2.386499999999998"/>
    <n v="93.6"/>
    <m/>
    <m/>
    <n v="0"/>
    <s v=""/>
    <n v="0"/>
    <s v=""/>
    <s v="{DED9B0EF-49F7-44C6-8A03-34E31357C0C7}"/>
    <s v=""/>
    <s v=""/>
    <s v=""/>
    <s v=""/>
    <s v=""/>
    <s v=""/>
    <s v=""/>
    <s v=""/>
    <s v=""/>
    <s v=""/>
    <x v="0"/>
    <s v=""/>
  </r>
  <r>
    <s v="QCOM"/>
    <n v="90.61"/>
    <m/>
    <n v="77.018500000000003"/>
    <x v="44"/>
    <x v="3"/>
    <m/>
    <m/>
    <m/>
    <m/>
    <m/>
    <m/>
    <m/>
    <m/>
    <m/>
    <m/>
    <m/>
    <m/>
    <s v="BULLISH"/>
    <d v="2022-07-27T16:00:00"/>
    <d v="2022-07-27T16:00:00"/>
    <m/>
    <s v="ex-div"/>
    <m/>
    <m/>
    <m/>
    <m/>
    <m/>
    <m/>
    <s v=""/>
    <n v="0"/>
    <n v="0"/>
    <s v=""/>
    <m/>
    <m/>
    <s v=""/>
    <s v=""/>
    <s v=""/>
    <s v=""/>
    <s v=""/>
    <n v="2.12"/>
    <d v="2017-03-22T00:00:00"/>
    <n v="0"/>
    <n v="0"/>
    <n v="2.3396976051208478E-2"/>
    <d v="2020-05-25T00:00:00"/>
    <m/>
    <n v="90.53"/>
    <s v=""/>
    <s v=""/>
    <n v="0"/>
    <n v="0"/>
    <n v="-8.8290475664935765E-4"/>
    <n v="89"/>
    <s v="free money"/>
    <n v="89"/>
    <s v="Assignment"/>
    <s v="SPs"/>
    <s v=""/>
    <m/>
    <m/>
    <m/>
    <s v=""/>
    <s v=""/>
    <m/>
    <s v=""/>
    <m/>
    <d v="2020-02-03T00:00:00"/>
    <n v="96.3"/>
    <n v="100.2"/>
    <n v="82.3"/>
    <s v="LTD DEC"/>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6.003500000000003"/>
    <n v="176.68949999999998"/>
    <m/>
    <m/>
    <n v="0"/>
    <s v=""/>
    <n v="0"/>
    <s v=""/>
    <s v="{D0F30FA6-E6BA-49B5-81B6-C1BFE557BA87}"/>
    <s v=""/>
    <s v=""/>
    <s v=""/>
    <s v=""/>
    <s v=""/>
    <s v=""/>
    <s v=""/>
    <s v=""/>
    <s v=""/>
    <s v=""/>
    <x v="0"/>
    <s v=""/>
  </r>
  <r>
    <s v="QQQ"/>
    <n v="267.36"/>
    <s v="Position"/>
    <n v="227.256"/>
    <x v="52"/>
    <x v="7"/>
    <m/>
    <m/>
    <m/>
    <m/>
    <m/>
    <m/>
    <m/>
    <m/>
    <m/>
    <m/>
    <m/>
    <m/>
    <s v="BEARISH"/>
    <d v="2023-02-08T00:00:00"/>
    <d v="2023-02-08T00:00:00"/>
    <m/>
    <m/>
    <m/>
    <m/>
    <m/>
    <m/>
    <m/>
    <m/>
    <s v=""/>
    <n v="0"/>
    <n v="0"/>
    <s v=""/>
    <m/>
    <m/>
    <s v=""/>
    <s v=""/>
    <s v=""/>
    <s v=""/>
    <s v=""/>
    <n v="1.02"/>
    <s v="N/A"/>
    <n v="0"/>
    <n v="0"/>
    <n v="3.81508078994614E-3"/>
    <s v="N/A"/>
    <m/>
    <s v="-"/>
    <s v=""/>
    <s v=""/>
    <n v="0"/>
    <n v="0"/>
    <s v=""/>
    <n v="340"/>
    <s v="OTM"/>
    <n v="270"/>
    <s v="Assignment"/>
    <s v="BePS"/>
    <s v=""/>
    <m/>
    <m/>
    <m/>
    <s v=""/>
    <s v=""/>
    <n v="24.41"/>
    <n v="22.7013"/>
    <m/>
    <d v="2022-12-23T00:00:00"/>
    <n v="268"/>
    <n v="273.54000000000002"/>
    <n v="255.67"/>
    <s v="DECLINE"/>
    <s v="BEARISH"/>
    <m/>
    <d v="2023-01-20T00:00:00"/>
    <d v="2024-01-24T00:00:00"/>
    <n v="340"/>
    <n v="6"/>
    <d v="2022-08-10T00:00:00"/>
    <d v="2022-08-12T00:00:00"/>
    <n v="42.35"/>
    <n v="25410.000000000004"/>
    <n v="204000"/>
    <n v="59.34"/>
    <s v=""/>
    <n v="35604"/>
    <d v="2023-01-20T00:00:00"/>
    <n v="270"/>
    <n v="6"/>
    <d v="2022-12-12T00:00:00"/>
    <d v="2022-12-12T00:00:00"/>
    <n v="5.67"/>
    <n v="3401.9999999999995"/>
    <n v="264.33"/>
    <n v="39"/>
    <n v="2.0999999999999998E-2"/>
    <n v="0.21470743228564171"/>
    <n v="162000"/>
    <n v="1.1333034111310702E-2"/>
    <n v="-42000"/>
    <n v="0.1"/>
    <n v="16200"/>
    <s v=""/>
    <s v=""/>
    <n v="1818.0000000000077"/>
    <n v="7.32"/>
    <n v="1.1340000000000001"/>
    <m/>
    <n v="1.1340000000000001"/>
    <d v="2022-12-31T16:00:00"/>
    <b v="0"/>
    <d v="2022-12-31T00:00:00"/>
    <n v="680.40000000000009"/>
    <n v="261.89999999999998"/>
    <n v="-1458.0000000000141"/>
    <n v="7.0875000000000004"/>
    <n v="850.50000000000045"/>
    <m/>
    <m/>
    <s v=""/>
    <n v="-4392"/>
    <n v="-990.00000000000045"/>
    <n v="-0.29100529100529116"/>
    <m/>
    <m/>
    <m/>
    <m/>
    <m/>
    <m/>
    <n v="0"/>
    <s v=""/>
    <s v=""/>
    <m/>
    <s v=""/>
    <s v=""/>
    <s v=""/>
    <s v=""/>
    <s v=""/>
    <s v=""/>
    <s v=""/>
    <m/>
    <s v=""/>
    <m/>
    <s v=""/>
    <s v=""/>
    <s v=""/>
    <s v=""/>
    <n v="0"/>
    <m/>
    <m/>
    <m/>
    <m/>
    <m/>
    <m/>
    <s v=""/>
    <s v=""/>
    <n v="0"/>
    <n v="0"/>
    <n v="0"/>
    <n v="0"/>
    <s v=""/>
    <m/>
    <n v="0"/>
    <m/>
    <m/>
    <s v=""/>
    <s v=""/>
    <s v=""/>
    <m/>
    <s v=""/>
    <n v="0"/>
    <n v="0"/>
    <s v=""/>
    <s v=""/>
    <s v=""/>
    <s v=""/>
    <s v=""/>
    <s v=""/>
    <s v=""/>
    <s v=""/>
    <s v=""/>
    <s v=""/>
    <s v=""/>
    <s v=""/>
    <s v=""/>
    <s v=""/>
    <s v=""/>
    <s v=""/>
    <s v=""/>
    <m/>
    <n v="0"/>
    <e v="#VALUE!"/>
    <n v="521.35199999999998"/>
    <m/>
    <m/>
    <n v="0"/>
    <s v=""/>
    <n v="0"/>
    <s v=""/>
    <s v="{1C1F7BCA-327F-4A56-9C2A-29CAE4EED74F}"/>
    <s v="QQQ240124P00340000"/>
    <n v="1"/>
    <s v="QQQ230120P00270000"/>
    <n v="1"/>
    <s v=""/>
    <s v=""/>
    <s v=""/>
    <s v=""/>
    <s v="Y"/>
    <s v="SP LP "/>
    <x v="28"/>
    <n v="0.12062148619977134"/>
  </r>
  <r>
    <s v="QS"/>
    <n v="40.85"/>
    <s v="Swing"/>
    <n v="34.722500000000004"/>
    <x v="107"/>
    <x v="1"/>
    <m/>
    <m/>
    <m/>
    <m/>
    <m/>
    <m/>
    <m/>
    <m/>
    <m/>
    <m/>
    <m/>
    <m/>
    <s v="BULLISH"/>
    <d v="2022-07-26T16:15:00"/>
    <d v="2022-07-26T16:15:00"/>
    <m/>
    <m/>
    <m/>
    <m/>
    <m/>
    <m/>
    <m/>
    <m/>
    <s v=""/>
    <n v="0"/>
    <n v="0"/>
    <s v=""/>
    <m/>
    <m/>
    <s v=""/>
    <s v=""/>
    <s v=""/>
    <s v=""/>
    <s v=""/>
    <m/>
    <m/>
    <n v="0"/>
    <n v="0"/>
    <n v="0"/>
    <m/>
    <m/>
    <n v="58.25"/>
    <s v=""/>
    <s v=""/>
    <n v="0"/>
    <n v="0"/>
    <n v="0.42594859241126065"/>
    <m/>
    <m/>
    <m/>
    <m/>
    <m/>
    <s v=""/>
    <m/>
    <n v="4.25"/>
    <d v="2021-04-16T00:00:00"/>
    <n v="36.6"/>
    <n v="45.1"/>
    <n v="63.35"/>
    <n v="58.915499999999994"/>
    <m/>
    <d v="2021-04-09T00:00:00"/>
    <n v="47.36"/>
    <n v="49.99"/>
    <n v="40.51"/>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5.337499999999999"/>
    <n v="79.657499999999999"/>
    <m/>
    <m/>
    <n v="0"/>
    <s v=""/>
    <n v="0"/>
    <s v=""/>
    <m/>
    <s v=""/>
    <s v=""/>
    <s v=""/>
    <s v=""/>
    <s v=""/>
    <s v=""/>
    <s v=""/>
    <s v=""/>
    <s v=""/>
    <s v=""/>
    <x v="0"/>
    <s v=""/>
  </r>
  <r>
    <s v="RAD"/>
    <n v="15.25"/>
    <m/>
    <n v="12.9625"/>
    <x v="140"/>
    <x v="2"/>
    <m/>
    <m/>
    <m/>
    <m/>
    <m/>
    <m/>
    <m/>
    <m/>
    <m/>
    <m/>
    <m/>
    <m/>
    <s v="BULLISH"/>
    <d v="2022-06-23T07:00:00"/>
    <d v="2022-06-23T07:00:00"/>
    <s v="Confirmed"/>
    <m/>
    <m/>
    <m/>
    <m/>
    <m/>
    <m/>
    <m/>
    <s v=""/>
    <n v="0"/>
    <n v="0"/>
    <s v=""/>
    <m/>
    <m/>
    <s v=""/>
    <s v=""/>
    <s v=""/>
    <s v=""/>
    <s v=""/>
    <m/>
    <m/>
    <n v="0"/>
    <n v="0"/>
    <n v="0"/>
    <m/>
    <m/>
    <n v="10.17"/>
    <s v=""/>
    <s v=""/>
    <n v="0"/>
    <n v="0"/>
    <n v="-0.33311475409836067"/>
    <m/>
    <m/>
    <m/>
    <m/>
    <m/>
    <s v=""/>
    <m/>
    <m/>
    <m/>
    <s v=""/>
    <s v=""/>
    <m/>
    <s v=""/>
    <m/>
    <d v="2020-08-07T00:00:00"/>
    <n v="16.5"/>
    <n v="18.3"/>
    <n v="11.9"/>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6615000000000002"/>
    <n v="29.737500000000001"/>
    <m/>
    <m/>
    <n v="0"/>
    <s v=""/>
    <n v="0"/>
    <s v=""/>
    <m/>
    <s v=""/>
    <s v=""/>
    <s v=""/>
    <s v=""/>
    <s v=""/>
    <s v=""/>
    <s v=""/>
    <s v=""/>
    <s v=""/>
    <s v=""/>
    <x v="0"/>
    <s v=""/>
  </r>
  <r>
    <s v="RBLX"/>
    <n v="46.5"/>
    <s v="Swing"/>
    <n v="39.524999999999999"/>
    <x v="24"/>
    <x v="9"/>
    <m/>
    <m/>
    <m/>
    <m/>
    <m/>
    <m/>
    <m/>
    <m/>
    <m/>
    <m/>
    <m/>
    <m/>
    <s v="BULLISH"/>
    <d v="2022-11-16T16:20:00"/>
    <d v="2022-11-16T16:20:00"/>
    <s v="Confirmed"/>
    <m/>
    <m/>
    <m/>
    <m/>
    <m/>
    <m/>
    <m/>
    <s v=""/>
    <n v="0"/>
    <n v="0"/>
    <s v=""/>
    <m/>
    <m/>
    <s v=""/>
    <s v=""/>
    <s v=""/>
    <s v=""/>
    <s v=""/>
    <m/>
    <m/>
    <n v="0"/>
    <n v="0"/>
    <n v="0"/>
    <m/>
    <m/>
    <n v="38.5"/>
    <s v=""/>
    <s v=""/>
    <n v="0"/>
    <n v="0"/>
    <n v="-0.17204301075268819"/>
    <n v="38"/>
    <s v="assignment"/>
    <n v="38"/>
    <s v="free money"/>
    <s v="CCs"/>
    <s v=""/>
    <m/>
    <m/>
    <m/>
    <s v=""/>
    <s v=""/>
    <n v="43.81"/>
    <n v="40.743299999999998"/>
    <m/>
    <d v="2022-10-20T00:00:00"/>
    <n v="42.46"/>
    <n v="46.25"/>
    <n v="40.619999999999997"/>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6.574999999999996"/>
    <n v="90.674999999999997"/>
    <m/>
    <m/>
    <n v="0"/>
    <s v=""/>
    <n v="0"/>
    <s v=""/>
    <m/>
    <s v=""/>
    <s v=""/>
    <s v=""/>
    <s v=""/>
    <s v=""/>
    <s v=""/>
    <s v=""/>
    <s v=""/>
    <s v=""/>
    <s v=""/>
    <x v="0"/>
    <s v=""/>
  </r>
  <r>
    <s v="RDS.A"/>
    <n v="57.3"/>
    <m/>
    <n v="48.704999999999998"/>
    <x v="141"/>
    <x v="0"/>
    <s v="The stock was up solidly this week as oil prices bounced off of the multiyear lows set last Friday and rumors of possible M&amp;A involving the company and one of its primary competitors. The firm isn't about to embark on a big acquisition (the rumor was BP (BP:NYSE)) because it is doing the exact opposite: selling assets, shrinking its base and improving its balance sheet. While oil stocks are tough to own now (and we're picking very selectively until oil prices stabilizes), we view the RDS story as a special situation one with its cheap valuation (4.5x EV/EBITDA) and its existing restructuring story, which we feel will yield benefits once the commodity price normalizes"/>
    <s v="oil price declines"/>
    <m/>
    <m/>
    <m/>
    <m/>
    <m/>
    <m/>
    <m/>
    <m/>
    <m/>
    <m/>
    <m/>
    <d v="2022-06-23T07:00:00"/>
    <d v="2022-06-23T07:00:00"/>
    <s v="Confirmed"/>
    <m/>
    <m/>
    <m/>
    <m/>
    <m/>
    <m/>
    <m/>
    <s v=""/>
    <n v="0"/>
    <n v="0"/>
    <s v=""/>
    <m/>
    <m/>
    <s v=""/>
    <s v=""/>
    <s v=""/>
    <s v=""/>
    <s v=""/>
    <n v="2.92"/>
    <d v="2015-12-21T00:00:00"/>
    <n v="0"/>
    <n v="0"/>
    <n v="5.0959860383944157E-2"/>
    <d v="2015-08-10T00:00:00"/>
    <m/>
    <n v="50.85"/>
    <s v=""/>
    <s v=""/>
    <n v="0"/>
    <n v="0"/>
    <n v="-0.1125654450261779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8.307499999999997"/>
    <n v="111.73499999999999"/>
    <m/>
    <m/>
    <n v="0"/>
    <s v=""/>
    <n v="0"/>
    <s v=""/>
    <s v="{C3F67D61-2400-4455-87BD-4EA8432501BA}"/>
    <s v=""/>
    <s v=""/>
    <s v=""/>
    <s v=""/>
    <s v=""/>
    <s v=""/>
    <s v=""/>
    <s v=""/>
    <s v=""/>
    <s v=""/>
    <x v="0"/>
    <s v=""/>
  </r>
  <r>
    <s v="RGEN"/>
    <n v="156.06"/>
    <m/>
    <n v="132.65100000000001"/>
    <x v="105"/>
    <x v="2"/>
    <m/>
    <m/>
    <m/>
    <m/>
    <m/>
    <m/>
    <m/>
    <m/>
    <m/>
    <m/>
    <m/>
    <m/>
    <m/>
    <d v="2022-07-27T07:30:00"/>
    <d v="2022-07-27T07:30:00"/>
    <m/>
    <m/>
    <m/>
    <m/>
    <m/>
    <m/>
    <m/>
    <m/>
    <s v=""/>
    <n v="0"/>
    <n v="0"/>
    <s v=""/>
    <m/>
    <m/>
    <s v=""/>
    <s v=""/>
    <s v=""/>
    <s v=""/>
    <s v=""/>
    <m/>
    <m/>
    <n v="0"/>
    <n v="0"/>
    <n v="0"/>
    <m/>
    <m/>
    <n v="161.86000000000001"/>
    <s v=""/>
    <s v=""/>
    <n v="0"/>
    <n v="0"/>
    <n v="3.7165192874535506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3.767"/>
    <n v="304.31700000000001"/>
    <m/>
    <m/>
    <n v="0"/>
    <s v=""/>
    <n v="0"/>
    <s v=""/>
    <m/>
    <s v=""/>
    <s v=""/>
    <s v=""/>
    <s v=""/>
    <s v=""/>
    <s v=""/>
    <s v=""/>
    <s v=""/>
    <s v=""/>
    <s v=""/>
    <x v="0"/>
    <s v=""/>
  </r>
  <r>
    <s v="RHT"/>
    <n v="187.71"/>
    <m/>
    <n v="159.55350000000001"/>
    <x v="13"/>
    <x v="3"/>
    <s v="phenomenal qtr reported 3/25/15 with quick 10% price jump based on 19% constant currency revenue growth, $03 beat on EPS &amp; flat operating margin for FY 16. Strong demand for LINUX and overall adoption of open source with good free-to-paid conversion. Target raise from Cramer from $78 to $85"/>
    <s v="not cheap"/>
    <m/>
    <s v="UP"/>
    <s v="DIVERGE"/>
    <s v="NO CROSS"/>
    <s v="NO CROSS"/>
    <s v="Middle"/>
    <s v="UP"/>
    <s v="AVG"/>
    <m/>
    <m/>
    <m/>
    <d v="2022-07-27T07:30:00"/>
    <d v="2022-07-27T07:30:00"/>
    <m/>
    <m/>
    <m/>
    <m/>
    <m/>
    <m/>
    <m/>
    <m/>
    <s v=""/>
    <n v="0"/>
    <n v="0"/>
    <s v=""/>
    <m/>
    <m/>
    <s v=""/>
    <s v=""/>
    <s v=""/>
    <s v=""/>
    <s v=""/>
    <n v="0"/>
    <s v="N/A"/>
    <n v="0"/>
    <n v="0"/>
    <n v="0"/>
    <s v="N/A"/>
    <m/>
    <n v="128.85"/>
    <s v=""/>
    <s v=""/>
    <n v="0"/>
    <n v="0"/>
    <n v="-0.3135688029407064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m/>
    <s v=""/>
    <n v="0"/>
    <n v="0"/>
    <n v="0"/>
    <n v="0"/>
    <s v=""/>
    <m/>
    <n v="0"/>
    <m/>
    <m/>
    <s v=""/>
    <s v=""/>
    <s v=""/>
    <m/>
    <s v=""/>
    <n v="0"/>
    <n v="0"/>
    <s v=""/>
    <s v=""/>
    <s v=""/>
    <s v=""/>
    <s v=""/>
    <s v=""/>
    <s v=""/>
    <s v=""/>
    <s v=""/>
    <s v=""/>
    <s v=""/>
    <s v=""/>
    <s v=""/>
    <s v=""/>
    <s v=""/>
    <s v=""/>
    <s v=""/>
    <s v="wkb"/>
    <n v="0"/>
    <n v="122.40749999999998"/>
    <n v="366.03449999999998"/>
    <m/>
    <n v="63.18"/>
    <n v="0"/>
    <s v=""/>
    <n v="0"/>
    <s v=""/>
    <s v="{882F32D2-C1B3-494A-B03C-5157F27FA2D6}"/>
    <s v=""/>
    <s v=""/>
    <s v=""/>
    <s v=""/>
    <s v=""/>
    <s v=""/>
    <s v=""/>
    <s v=""/>
    <s v=""/>
    <s v=""/>
    <x v="0"/>
    <s v=""/>
  </r>
  <r>
    <s v="RIOT"/>
    <n v="35.83"/>
    <s v="Prem"/>
    <n v="30.455499999999997"/>
    <x v="10"/>
    <x v="3"/>
    <m/>
    <m/>
    <m/>
    <m/>
    <m/>
    <m/>
    <m/>
    <m/>
    <m/>
    <m/>
    <m/>
    <m/>
    <s v="BULLISH"/>
    <d v="2022-07-27T07:30:00"/>
    <d v="2022-07-27T07:30:00"/>
    <m/>
    <m/>
    <m/>
    <m/>
    <m/>
    <m/>
    <m/>
    <m/>
    <s v=""/>
    <n v="0"/>
    <n v="0"/>
    <s v=""/>
    <m/>
    <m/>
    <s v=""/>
    <s v=""/>
    <s v=""/>
    <s v=""/>
    <s v=""/>
    <m/>
    <m/>
    <n v="0"/>
    <n v="0"/>
    <n v="0"/>
    <m/>
    <m/>
    <n v="46.7"/>
    <s v=""/>
    <s v=""/>
    <n v="0"/>
    <n v="0"/>
    <n v="0.3033770583310077"/>
    <n v="40"/>
    <s v="ITM"/>
    <n v="35"/>
    <s v="stop out"/>
    <s v="LCs"/>
    <s v=""/>
    <m/>
    <m/>
    <m/>
    <s v=""/>
    <s v=""/>
    <n v="3.43"/>
    <n v="3.1898999999999997"/>
    <m/>
    <d v="2021-08-09T00:00:00"/>
    <n v="31.51"/>
    <n v="39.090000000000003"/>
    <n v="31.51"/>
    <s v="RISE"/>
    <s v="BULLISH"/>
    <m/>
    <s v=""/>
    <m/>
    <m/>
    <m/>
    <m/>
    <m/>
    <m/>
    <n v="0"/>
    <n v="0"/>
    <m/>
    <s v=""/>
    <s v=""/>
    <m/>
    <m/>
    <m/>
    <m/>
    <m/>
    <m/>
    <n v="0"/>
    <s v=""/>
    <s v=""/>
    <s v=""/>
    <s v=""/>
    <n v="0"/>
    <s v=""/>
    <n v="0"/>
    <n v="0.2"/>
    <n v="0"/>
    <s v=""/>
    <s v=""/>
    <s v=""/>
    <m/>
    <n v="0"/>
    <m/>
    <s v=""/>
    <s v=""/>
    <s v=""/>
    <m/>
    <s v=""/>
    <s v=""/>
    <s v=""/>
    <s v=""/>
    <s v=""/>
    <m/>
    <m/>
    <s v=""/>
    <s v=""/>
    <s v=""/>
    <s v=""/>
    <m/>
    <m/>
    <m/>
    <m/>
    <m/>
    <n v="3.43"/>
    <n v="0"/>
    <s v=""/>
    <s v=""/>
    <m/>
    <s v=""/>
    <s v=""/>
    <s v=""/>
    <m/>
    <s v=""/>
    <s v=""/>
    <s v=""/>
    <m/>
    <s v=""/>
    <m/>
    <s v=""/>
    <s v=""/>
    <s v=""/>
    <s v=""/>
    <n v="0"/>
    <m/>
    <m/>
    <m/>
    <m/>
    <m/>
    <m/>
    <s v=""/>
    <s v=""/>
    <n v="0"/>
    <n v="0"/>
    <n v="0"/>
    <n v="0"/>
    <s v=""/>
    <m/>
    <n v="0"/>
    <m/>
    <m/>
    <s v=""/>
    <s v=""/>
    <s v=""/>
    <m/>
    <s v=""/>
    <n v="0"/>
    <n v="0"/>
    <s v=""/>
    <s v=""/>
    <s v=""/>
    <s v=""/>
    <s v=""/>
    <s v=""/>
    <s v=""/>
    <s v=""/>
    <s v=""/>
    <s v=""/>
    <s v=""/>
    <s v=""/>
    <s v=""/>
    <s v=""/>
    <s v=""/>
    <s v=""/>
    <s v=""/>
    <m/>
    <n v="0"/>
    <n v="44.365000000000002"/>
    <n v="69.868499999999997"/>
    <m/>
    <m/>
    <n v="0"/>
    <s v=""/>
    <n v="0"/>
    <s v=""/>
    <m/>
    <s v=""/>
    <s v=""/>
    <s v=""/>
    <s v=""/>
    <s v=""/>
    <s v=""/>
    <s v=""/>
    <s v=""/>
    <s v=""/>
    <s v=""/>
    <x v="0"/>
    <s v=""/>
  </r>
  <r>
    <s v="RKT"/>
    <n v="20.68"/>
    <s v="Prem"/>
    <n v="17.577999999999999"/>
    <x v="142"/>
    <x v="7"/>
    <m/>
    <m/>
    <m/>
    <m/>
    <m/>
    <m/>
    <m/>
    <m/>
    <m/>
    <m/>
    <m/>
    <m/>
    <s v="BULLISH"/>
    <d v="2022-08-09T16:05:00"/>
    <d v="2022-08-09T16:05:00"/>
    <m/>
    <s v="LOCKUP EXP"/>
    <d v="2021-01-30T00:00:00"/>
    <m/>
    <m/>
    <m/>
    <m/>
    <m/>
    <s v=""/>
    <n v="0"/>
    <n v="0"/>
    <s v=""/>
    <n v="23"/>
    <n v="19"/>
    <s v=""/>
    <s v=""/>
    <s v=""/>
    <s v=""/>
    <s v=""/>
    <m/>
    <m/>
    <n v="0"/>
    <n v="0"/>
    <n v="0"/>
    <m/>
    <m/>
    <n v="24.7"/>
    <s v=""/>
    <s v=""/>
    <n v="0"/>
    <n v="0"/>
    <n v="0.19439071566731139"/>
    <n v="20"/>
    <s v="free money"/>
    <n v="20"/>
    <s v="Assignment"/>
    <s v="Strangle"/>
    <s v=""/>
    <m/>
    <m/>
    <m/>
    <s v=""/>
    <s v=""/>
    <m/>
    <s v=""/>
    <m/>
    <d v="2021-02-08T00:00:00"/>
    <n v="21.65"/>
    <n v="23.122"/>
    <n v="20.91"/>
    <s v="RANGE"/>
    <s v="RANGE"/>
    <m/>
    <s v=""/>
    <m/>
    <m/>
    <m/>
    <m/>
    <m/>
    <m/>
    <n v="0"/>
    <n v="0"/>
    <m/>
    <s v=""/>
    <s v=""/>
    <m/>
    <m/>
    <m/>
    <m/>
    <m/>
    <m/>
    <n v="0"/>
    <s v=""/>
    <s v=""/>
    <s v=""/>
    <s v=""/>
    <n v="0"/>
    <s v=""/>
    <n v="0"/>
    <n v="0.2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3.465"/>
    <n v="40.326000000000001"/>
    <m/>
    <m/>
    <n v="0"/>
    <s v=""/>
    <n v="0"/>
    <s v=""/>
    <m/>
    <s v=""/>
    <s v=""/>
    <s v=""/>
    <s v=""/>
    <s v=""/>
    <s v=""/>
    <s v=""/>
    <s v=""/>
    <s v=""/>
    <s v=""/>
    <x v="0"/>
    <s v=""/>
  </r>
  <r>
    <s v="RMD"/>
    <n v="160.47999999999999"/>
    <s v="Swing"/>
    <n v="136.40799999999999"/>
    <x v="105"/>
    <x v="2"/>
    <m/>
    <m/>
    <m/>
    <m/>
    <m/>
    <m/>
    <m/>
    <m/>
    <m/>
    <m/>
    <m/>
    <m/>
    <s v="BULLISH"/>
    <d v="2022-07-28T16:05:00"/>
    <d v="2022-07-28T16:05:00"/>
    <m/>
    <m/>
    <m/>
    <m/>
    <m/>
    <m/>
    <m/>
    <m/>
    <s v=""/>
    <n v="0"/>
    <n v="0"/>
    <s v=""/>
    <m/>
    <m/>
    <s v=""/>
    <s v=""/>
    <s v=""/>
    <s v=""/>
    <s v=""/>
    <m/>
    <m/>
    <n v="0"/>
    <n v="0"/>
    <n v="0"/>
    <m/>
    <m/>
    <n v="166.8"/>
    <s v=""/>
    <s v=""/>
    <n v="0"/>
    <n v="0"/>
    <n v="3.9381854436690067E-2"/>
    <m/>
    <m/>
    <m/>
    <m/>
    <m/>
    <s v=""/>
    <m/>
    <m/>
    <m/>
    <s v=""/>
    <s v=""/>
    <m/>
    <s v=""/>
    <m/>
    <d v="2020-05-22T00:00:00"/>
    <n v="168.4"/>
    <n v="177.5"/>
    <n v="142.30000000000001"/>
    <s v="LTD DEC"/>
    <s v="BULLISH"/>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8.46"/>
    <n v="312.93599999999998"/>
    <m/>
    <m/>
    <n v="0"/>
    <s v=""/>
    <n v="0"/>
    <s v=""/>
    <s v="{4EB9D7F4-1450-4907-BEFF-8F8F05704CCF}"/>
    <s v=""/>
    <s v=""/>
    <s v=""/>
    <s v=""/>
    <s v=""/>
    <s v=""/>
    <s v=""/>
    <s v=""/>
    <s v=""/>
    <s v=""/>
    <x v="0"/>
    <s v=""/>
  </r>
  <r>
    <s v="ROKU"/>
    <n v="122.02"/>
    <m/>
    <n v="103.717"/>
    <x v="128"/>
    <x v="8"/>
    <m/>
    <m/>
    <m/>
    <m/>
    <m/>
    <m/>
    <m/>
    <m/>
    <m/>
    <m/>
    <m/>
    <m/>
    <s v="BULLISH"/>
    <d v="2022-07-28T16:05:00"/>
    <d v="2022-07-28T16:05:00"/>
    <m/>
    <m/>
    <m/>
    <m/>
    <m/>
    <m/>
    <m/>
    <m/>
    <s v=""/>
    <n v="0"/>
    <n v="0"/>
    <s v=""/>
    <m/>
    <m/>
    <s v=""/>
    <s v=""/>
    <s v=""/>
    <s v=""/>
    <s v=""/>
    <m/>
    <m/>
    <n v="0"/>
    <n v="0"/>
    <n v="0"/>
    <m/>
    <m/>
    <n v="128.85"/>
    <s v=""/>
    <s v=""/>
    <n v="0"/>
    <n v="0"/>
    <n v="5.5974430421242408E-2"/>
    <n v="120"/>
    <s v="free money"/>
    <n v="110"/>
    <s v="max loss"/>
    <s v="BuPS"/>
    <s v=""/>
    <m/>
    <m/>
    <m/>
    <s v=""/>
    <s v=""/>
    <m/>
    <s v=""/>
    <m/>
    <d v="2020-02-17T00:00:00"/>
    <n v="118.4"/>
    <n v="175.5"/>
    <n v="106.9"/>
    <s v="LTD RISE"/>
    <s v="RANGE"/>
    <m/>
    <s v=""/>
    <m/>
    <m/>
    <m/>
    <m/>
    <m/>
    <m/>
    <n v="0"/>
    <n v="0"/>
    <n v="0.31"/>
    <s v=""/>
    <s v=""/>
    <m/>
    <m/>
    <m/>
    <m/>
    <m/>
    <m/>
    <n v="0"/>
    <s v=""/>
    <s v=""/>
    <s v=""/>
    <s v=""/>
    <n v="0"/>
    <s v=""/>
    <n v="0"/>
    <m/>
    <n v="0"/>
    <s v=""/>
    <s v=""/>
    <s v=""/>
    <n v="0"/>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2.40749999999998"/>
    <n v="237.93899999999999"/>
    <m/>
    <m/>
    <n v="0"/>
    <s v=""/>
    <n v="0"/>
    <s v=""/>
    <s v="{D96694F6-2467-4270-84A1-00CAB5CC13D4}"/>
    <s v=""/>
    <s v=""/>
    <s v=""/>
    <s v=""/>
    <s v=""/>
    <s v=""/>
    <s v=""/>
    <s v=""/>
    <s v=""/>
    <s v=""/>
    <x v="0"/>
    <s v=""/>
  </r>
  <r>
    <s v="ENPH"/>
    <n v="314"/>
    <m/>
    <n v="266.89999999999998"/>
    <x v="16"/>
    <x v="3"/>
    <m/>
    <m/>
    <m/>
    <m/>
    <m/>
    <m/>
    <m/>
    <m/>
    <m/>
    <m/>
    <m/>
    <m/>
    <s v="BEARISH"/>
    <d v="2023-01-24T00:00:00"/>
    <d v="2023-01-24T00:00:00"/>
    <m/>
    <m/>
    <m/>
    <m/>
    <m/>
    <m/>
    <m/>
    <m/>
    <s v=""/>
    <n v="0"/>
    <n v="0"/>
    <s v=""/>
    <m/>
    <m/>
    <s v=""/>
    <s v=""/>
    <s v=""/>
    <s v=""/>
    <s v=""/>
    <m/>
    <m/>
    <n v="0"/>
    <n v="0"/>
    <n v="0"/>
    <m/>
    <m/>
    <n v="36.67"/>
    <s v=""/>
    <s v=""/>
    <n v="0"/>
    <n v="0"/>
    <n v="-0.8832165605095541"/>
    <n v="65"/>
    <s v="max gain"/>
    <n v="60"/>
    <s v="free money"/>
    <s v="BeCS"/>
    <s v=""/>
    <m/>
    <m/>
    <m/>
    <s v=""/>
    <s v=""/>
    <m/>
    <s v=""/>
    <m/>
    <d v="2022-11-29T00:00:00"/>
    <n v="287"/>
    <n v="378"/>
    <n v="258"/>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4.836500000000001"/>
    <n v="612.29999999999995"/>
    <m/>
    <m/>
    <n v="0"/>
    <s v=""/>
    <n v="0"/>
    <s v=""/>
    <s v="{89F3C79D-1D98-495C-BAD2-1B087BFD287F}"/>
    <s v=""/>
    <s v=""/>
    <s v=""/>
    <s v=""/>
    <s v=""/>
    <s v=""/>
    <s v=""/>
    <s v=""/>
    <s v=""/>
    <s v=""/>
    <x v="0"/>
    <s v=""/>
  </r>
  <r>
    <s v="RUT"/>
    <n v="1504"/>
    <m/>
    <n v="1278.3999999999999"/>
    <x v="63"/>
    <x v="14"/>
    <m/>
    <m/>
    <m/>
    <m/>
    <m/>
    <m/>
    <m/>
    <m/>
    <m/>
    <m/>
    <m/>
    <m/>
    <s v="NEUTRAL"/>
    <d v="2022-07-26T06:55:00"/>
    <d v="2022-07-26T06:55:00"/>
    <m/>
    <m/>
    <m/>
    <m/>
    <m/>
    <m/>
    <m/>
    <m/>
    <s v=""/>
    <n v="0"/>
    <n v="0"/>
    <s v=""/>
    <m/>
    <m/>
    <s v=""/>
    <s v=""/>
    <s v=""/>
    <s v=""/>
    <s v=""/>
    <m/>
    <m/>
    <n v="0"/>
    <n v="0"/>
    <n v="0"/>
    <m/>
    <m/>
    <n v="124.53"/>
    <s v=""/>
    <s v=""/>
    <n v="0"/>
    <n v="0"/>
    <n v="-0.91720079787234043"/>
    <n v="1600"/>
    <s v="Losses"/>
    <n v="1400"/>
    <s v="Losses"/>
    <s v="condor"/>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8.3035"/>
    <n v="2932.7999999999997"/>
    <m/>
    <m/>
    <n v="0"/>
    <s v=""/>
    <n v="0"/>
    <s v=""/>
    <s v="{9A16C66A-6652-44AE-B014-F72E1AB76F06}"/>
    <s v=""/>
    <s v=""/>
    <s v=""/>
    <s v=""/>
    <s v=""/>
    <s v=""/>
    <s v=""/>
    <s v=""/>
    <s v=""/>
    <s v=""/>
    <x v="0"/>
    <s v=""/>
  </r>
  <r>
    <s v="RXT"/>
    <n v="20.149999999999999"/>
    <m/>
    <n v="17.127499999999998"/>
    <x v="8"/>
    <x v="3"/>
    <m/>
    <m/>
    <m/>
    <m/>
    <m/>
    <m/>
    <m/>
    <m/>
    <m/>
    <m/>
    <m/>
    <m/>
    <m/>
    <d v="2022-08-09T16:10:00"/>
    <d v="2022-08-09T16:10:00"/>
    <m/>
    <m/>
    <m/>
    <m/>
    <m/>
    <m/>
    <m/>
    <m/>
    <s v=""/>
    <n v="0"/>
    <n v="0"/>
    <s v=""/>
    <m/>
    <m/>
    <s v=""/>
    <s v=""/>
    <s v=""/>
    <s v=""/>
    <s v=""/>
    <m/>
    <m/>
    <n v="0"/>
    <n v="0"/>
    <n v="0"/>
    <m/>
    <m/>
    <n v="26.56"/>
    <s v=""/>
    <s v=""/>
    <n v="0"/>
    <n v="0"/>
    <n v="0.31811414392059556"/>
    <n v="25"/>
    <s v="max gain"/>
    <n v="21.38"/>
    <s v="Losses"/>
    <s v="BuCS"/>
    <s v=""/>
    <m/>
    <m/>
    <m/>
    <s v=""/>
    <s v=""/>
    <m/>
    <s v=""/>
    <m/>
    <d v="2020-12-28T00:00:00"/>
    <n v="17.14"/>
    <n v="18.84"/>
    <n v="14.56"/>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5.231999999999999"/>
    <n v="39.292499999999997"/>
    <m/>
    <m/>
    <n v="0"/>
    <s v=""/>
    <n v="0"/>
    <s v=""/>
    <m/>
    <s v=""/>
    <s v=""/>
    <s v=""/>
    <s v=""/>
    <s v=""/>
    <s v=""/>
    <s v=""/>
    <s v=""/>
    <s v=""/>
    <s v=""/>
    <x v="0"/>
    <s v=""/>
  </r>
  <r>
    <s v="SAP"/>
    <n v="129.13"/>
    <m/>
    <n v="109.76049999999999"/>
    <x v="13"/>
    <x v="3"/>
    <m/>
    <m/>
    <m/>
    <m/>
    <m/>
    <m/>
    <m/>
    <m/>
    <m/>
    <m/>
    <m/>
    <m/>
    <s v="NEUTRAL"/>
    <d v="2022-07-22T01:00:00"/>
    <d v="2022-07-22T01:00:00"/>
    <m/>
    <m/>
    <m/>
    <m/>
    <m/>
    <m/>
    <m/>
    <m/>
    <s v=""/>
    <n v="0"/>
    <n v="0"/>
    <s v=""/>
    <m/>
    <m/>
    <s v=""/>
    <s v=""/>
    <s v=""/>
    <s v=""/>
    <s v=""/>
    <m/>
    <m/>
    <n v="0"/>
    <n v="0"/>
    <n v="0"/>
    <m/>
    <m/>
    <n v="124.53"/>
    <s v=""/>
    <s v=""/>
    <n v="0"/>
    <n v="0"/>
    <n v="-3.5623015565708932E-2"/>
    <n v="130"/>
    <s v="ITM"/>
    <n v="125"/>
    <s v="ITM"/>
    <s v="Strangle"/>
    <s v=""/>
    <m/>
    <m/>
    <m/>
    <s v=""/>
    <s v=""/>
    <m/>
    <s v=""/>
    <m/>
    <d v="2019-10-11T00:00:00"/>
    <n v="127.5"/>
    <n v="134"/>
    <n v="116"/>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8.3035"/>
    <n v="251.80349999999999"/>
    <m/>
    <m/>
    <n v="0"/>
    <s v=""/>
    <n v="0"/>
    <s v=""/>
    <s v="{7D3711BD-6A95-4BB7-A9A7-A72F7A92738B}"/>
    <s v=""/>
    <s v=""/>
    <s v=""/>
    <s v=""/>
    <s v=""/>
    <s v=""/>
    <s v=""/>
    <s v=""/>
    <s v=""/>
    <s v=""/>
    <x v="0"/>
    <s v=""/>
  </r>
  <r>
    <s v="SAVE"/>
    <n v="49.56"/>
    <m/>
    <n v="42.125999999999998"/>
    <x v="59"/>
    <x v="8"/>
    <m/>
    <m/>
    <m/>
    <m/>
    <m/>
    <m/>
    <m/>
    <m/>
    <m/>
    <m/>
    <m/>
    <m/>
    <s v="BULLISH"/>
    <d v="2022-08-03T18:50:00"/>
    <d v="2022-08-03T18:50:00"/>
    <m/>
    <m/>
    <m/>
    <m/>
    <m/>
    <m/>
    <m/>
    <m/>
    <s v=""/>
    <n v="0"/>
    <n v="0"/>
    <s v=""/>
    <m/>
    <m/>
    <s v=""/>
    <s v=""/>
    <s v=""/>
    <s v=""/>
    <s v=""/>
    <m/>
    <m/>
    <n v="0"/>
    <n v="0"/>
    <n v="0"/>
    <m/>
    <m/>
    <n v="24.33"/>
    <s v=""/>
    <s v=""/>
    <n v="0"/>
    <n v="0"/>
    <n v="-0.5090799031476998"/>
    <n v="49.5"/>
    <s v="T1"/>
    <n v="39.96"/>
    <s v="stop out"/>
    <s v="Swing"/>
    <s v=""/>
    <m/>
    <m/>
    <m/>
    <s v=""/>
    <s v=""/>
    <m/>
    <s v=""/>
    <m/>
    <d v="2020-01-02T00:00:00"/>
    <n v="38.5"/>
    <n v="44.6"/>
    <n v="38.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3.113499999999998"/>
    <n v="96.641999999999996"/>
    <m/>
    <m/>
    <n v="0"/>
    <s v=""/>
    <n v="0"/>
    <s v=""/>
    <s v="{BB8F51E7-F6C6-4FB8-B022-30B2F2D40B1B}"/>
    <s v=""/>
    <s v=""/>
    <s v=""/>
    <s v=""/>
    <s v=""/>
    <s v=""/>
    <s v=""/>
    <s v=""/>
    <s v=""/>
    <s v=""/>
    <x v="0"/>
    <s v=""/>
  </r>
  <r>
    <s v="SBRA"/>
    <n v="21.99"/>
    <m/>
    <n v="18.691499999999998"/>
    <x v="143"/>
    <x v="7"/>
    <m/>
    <m/>
    <m/>
    <m/>
    <m/>
    <m/>
    <m/>
    <m/>
    <m/>
    <m/>
    <m/>
    <m/>
    <s v="BULLISH"/>
    <d v="2022-08-03T16:05:00"/>
    <d v="2022-08-03T16:05:00"/>
    <m/>
    <m/>
    <m/>
    <m/>
    <m/>
    <m/>
    <m/>
    <m/>
    <s v=""/>
    <n v="0"/>
    <n v="0"/>
    <s v=""/>
    <m/>
    <m/>
    <s v=""/>
    <s v=""/>
    <s v=""/>
    <s v=""/>
    <s v=""/>
    <m/>
    <m/>
    <n v="0"/>
    <n v="0"/>
    <n v="0"/>
    <m/>
    <m/>
    <n v="15.77"/>
    <s v=""/>
    <s v=""/>
    <n v="0"/>
    <n v="0"/>
    <n v="-0.28285584356525689"/>
    <m/>
    <m/>
    <m/>
    <m/>
    <m/>
    <s v=""/>
    <m/>
    <m/>
    <m/>
    <s v=""/>
    <s v=""/>
    <m/>
    <s v=""/>
    <m/>
    <d v="2020-02-21T00:00:00"/>
    <n v="21.7"/>
    <n v="22.82"/>
    <n v="19.79"/>
    <s v="LTD RIS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981499999999999"/>
    <n v="42.880499999999998"/>
    <m/>
    <m/>
    <n v="0"/>
    <s v=""/>
    <n v="0"/>
    <s v=""/>
    <s v="{145D8E49-B109-449A-9B19-BF17EE36B621}"/>
    <s v=""/>
    <s v=""/>
    <s v=""/>
    <s v=""/>
    <s v=""/>
    <s v=""/>
    <s v=""/>
    <s v=""/>
    <s v=""/>
    <s v=""/>
    <x v="0"/>
    <s v=""/>
  </r>
  <r>
    <s v="MKC"/>
    <n v="193.52"/>
    <m/>
    <n v="164.49199999999999"/>
    <x v="144"/>
    <x v="4"/>
    <m/>
    <m/>
    <m/>
    <m/>
    <m/>
    <m/>
    <m/>
    <m/>
    <m/>
    <m/>
    <m/>
    <m/>
    <m/>
    <d v="2022-06-29T06:30:00"/>
    <d v="2022-06-29T06:30:00"/>
    <s v="Confirmed"/>
    <m/>
    <m/>
    <n v="2"/>
    <m/>
    <m/>
    <m/>
    <m/>
    <s v=""/>
    <n v="0"/>
    <n v="0"/>
    <s v=""/>
    <m/>
    <m/>
    <s v=""/>
    <s v=""/>
    <s v=""/>
    <s v=""/>
    <s v=""/>
    <m/>
    <m/>
    <n v="0"/>
    <n v="0"/>
    <n v="0"/>
    <m/>
    <n v="185"/>
    <n v="171.11"/>
    <n v="-4.402645721372473E-2"/>
    <s v=""/>
    <n v="0"/>
    <n v="0"/>
    <n v="-0.1158019842910293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2.55450000000002"/>
    <n v="377.36400000000003"/>
    <m/>
    <m/>
    <n v="0"/>
    <s v=""/>
    <n v="0"/>
    <s v=""/>
    <m/>
    <s v=""/>
    <s v=""/>
    <s v=""/>
    <s v=""/>
    <s v=""/>
    <s v=""/>
    <s v=""/>
    <s v=""/>
    <s v=""/>
    <s v=""/>
    <x v="0"/>
    <s v=""/>
  </r>
  <r>
    <s v="SCHW"/>
    <n v="57.628999999999998"/>
    <m/>
    <n v="48.984649999999995"/>
    <x v="83"/>
    <x v="7"/>
    <m/>
    <m/>
    <m/>
    <m/>
    <m/>
    <m/>
    <m/>
    <m/>
    <m/>
    <m/>
    <m/>
    <m/>
    <m/>
    <d v="2022-07-18T08:45:00"/>
    <d v="2022-07-18T08:45:00"/>
    <m/>
    <m/>
    <m/>
    <m/>
    <m/>
    <m/>
    <m/>
    <m/>
    <s v=""/>
    <n v="0"/>
    <n v="0"/>
    <s v=""/>
    <m/>
    <m/>
    <s v=""/>
    <s v=""/>
    <s v=""/>
    <s v=""/>
    <s v=""/>
    <m/>
    <m/>
    <n v="0"/>
    <n v="0"/>
    <n v="0"/>
    <m/>
    <m/>
    <n v="64.459999999999994"/>
    <s v=""/>
    <s v=""/>
    <n v="0"/>
    <n v="0"/>
    <n v="0.1185340713876693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1.236999999999988"/>
    <n v="112.37654999999999"/>
    <m/>
    <m/>
    <n v="0"/>
    <s v=""/>
    <n v="0"/>
    <s v=""/>
    <m/>
    <s v=""/>
    <s v=""/>
    <s v=""/>
    <s v=""/>
    <s v=""/>
    <s v=""/>
    <s v=""/>
    <s v=""/>
    <s v=""/>
    <s v=""/>
    <x v="0"/>
    <s v=""/>
  </r>
  <r>
    <s v="SEDG"/>
    <n v="138.96"/>
    <m/>
    <n v="118.116"/>
    <x v="132"/>
    <x v="3"/>
    <m/>
    <m/>
    <m/>
    <m/>
    <m/>
    <m/>
    <m/>
    <m/>
    <m/>
    <m/>
    <m/>
    <m/>
    <s v="BULLISH"/>
    <d v="2022-08-01T16:05:00"/>
    <d v="2022-08-01T16:05:00"/>
    <m/>
    <m/>
    <m/>
    <m/>
    <m/>
    <m/>
    <m/>
    <m/>
    <s v=""/>
    <n v="0"/>
    <n v="0"/>
    <s v=""/>
    <m/>
    <m/>
    <s v=""/>
    <s v=""/>
    <s v=""/>
    <s v=""/>
    <s v=""/>
    <m/>
    <m/>
    <n v="0"/>
    <n v="0"/>
    <n v="0"/>
    <m/>
    <m/>
    <n v="114.33"/>
    <s v=""/>
    <s v=""/>
    <n v="0"/>
    <n v="0"/>
    <n v="-0.17724525043177899"/>
    <n v="110"/>
    <s v="max gain"/>
    <n v="95"/>
    <s v="Losses"/>
    <s v="BuCS"/>
    <s v=""/>
    <m/>
    <m/>
    <m/>
    <s v=""/>
    <s v=""/>
    <m/>
    <s v=""/>
    <m/>
    <d v="2020-02-11T00:00:00"/>
    <n v="100.97"/>
    <n v="115.09"/>
    <n v="95.8"/>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8.61349999999999"/>
    <n v="270.97200000000004"/>
    <m/>
    <m/>
    <n v="0"/>
    <s v=""/>
    <n v="0"/>
    <s v=""/>
    <s v="{51A8888A-5C3A-43B6-87B6-F0E747E89D0A}"/>
    <s v=""/>
    <s v=""/>
    <s v=""/>
    <s v=""/>
    <s v=""/>
    <s v=""/>
    <s v=""/>
    <s v=""/>
    <s v=""/>
    <s v=""/>
    <x v="0"/>
    <s v=""/>
  </r>
  <r>
    <s v="SFIX"/>
    <n v="19.61"/>
    <m/>
    <n v="16.668499999999998"/>
    <x v="70"/>
    <x v="8"/>
    <m/>
    <m/>
    <m/>
    <m/>
    <m/>
    <m/>
    <m/>
    <m/>
    <m/>
    <m/>
    <m/>
    <m/>
    <s v="NEUTRAL"/>
    <d v="2022-06-09T16:00:00"/>
    <d v="2022-06-09T16:00:00"/>
    <s v="Confirmed"/>
    <m/>
    <m/>
    <m/>
    <m/>
    <m/>
    <m/>
    <m/>
    <s v=""/>
    <n v="0"/>
    <n v="0"/>
    <s v=""/>
    <m/>
    <m/>
    <s v=""/>
    <s v=""/>
    <s v=""/>
    <s v=""/>
    <s v=""/>
    <m/>
    <m/>
    <n v="0"/>
    <n v="0"/>
    <n v="0"/>
    <m/>
    <m/>
    <n v="18.62"/>
    <s v=""/>
    <s v=""/>
    <n v="0"/>
    <n v="0"/>
    <n v="-5.0484446710861726E-2"/>
    <n v="18.5"/>
    <s v="assignment"/>
    <n v="21.15"/>
    <s v="ITM"/>
    <s v="RiskReversal"/>
    <s v=""/>
    <m/>
    <m/>
    <m/>
    <s v=""/>
    <s v=""/>
    <m/>
    <s v=""/>
    <m/>
    <d v="2019-10-04T00:00:00"/>
    <n v="18.670000000000002"/>
    <n v="19.649999999999999"/>
    <n v="16.39"/>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7.689"/>
    <n v="38.2395"/>
    <m/>
    <m/>
    <n v="0"/>
    <s v=""/>
    <n v="0"/>
    <s v=""/>
    <s v="{0C51B6AC-3E66-4AC4-A9B3-5D313C81DE88}"/>
    <s v=""/>
    <s v=""/>
    <s v=""/>
    <s v=""/>
    <s v=""/>
    <s v=""/>
    <s v=""/>
    <s v=""/>
    <s v=""/>
    <s v=""/>
    <x v="0"/>
    <s v=""/>
  </r>
  <r>
    <s v="SFM"/>
    <n v="24.88"/>
    <s v="Swing"/>
    <n v="21.148"/>
    <x v="114"/>
    <x v="4"/>
    <m/>
    <m/>
    <m/>
    <m/>
    <m/>
    <m/>
    <m/>
    <m/>
    <m/>
    <m/>
    <m/>
    <m/>
    <s v="BULLISH"/>
    <d v="2022-08-03T16:00:00"/>
    <d v="2022-08-03T16:00:00"/>
    <m/>
    <m/>
    <m/>
    <m/>
    <m/>
    <m/>
    <m/>
    <m/>
    <s v=""/>
    <n v="0"/>
    <n v="0"/>
    <s v=""/>
    <m/>
    <m/>
    <s v=""/>
    <s v=""/>
    <s v=""/>
    <s v=""/>
    <s v=""/>
    <m/>
    <m/>
    <n v="0"/>
    <n v="0"/>
    <n v="0"/>
    <m/>
    <m/>
    <n v="25.13"/>
    <s v=""/>
    <s v=""/>
    <n v="0"/>
    <n v="0"/>
    <n v="1.004823151125402E-2"/>
    <m/>
    <m/>
    <m/>
    <m/>
    <m/>
    <s v=""/>
    <m/>
    <m/>
    <m/>
    <s v=""/>
    <s v=""/>
    <m/>
    <s v=""/>
    <m/>
    <d v="2020-07-09T00:00:00"/>
    <n v="23.3"/>
    <n v="28.1"/>
    <n v="21.7"/>
    <s v="RIS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3.873499999999996"/>
    <n v="48.515999999999998"/>
    <m/>
    <m/>
    <n v="0"/>
    <s v=""/>
    <n v="0"/>
    <s v=""/>
    <m/>
    <s v=""/>
    <s v=""/>
    <s v=""/>
    <s v=""/>
    <s v=""/>
    <s v=""/>
    <s v=""/>
    <s v=""/>
    <s v=""/>
    <s v=""/>
    <x v="0"/>
    <s v=""/>
  </r>
  <r>
    <s v="MRVL"/>
    <n v="55.16"/>
    <s v="Swing"/>
    <n v="46.885999999999996"/>
    <x v="3"/>
    <x v="3"/>
    <m/>
    <m/>
    <m/>
    <m/>
    <m/>
    <m/>
    <m/>
    <m/>
    <m/>
    <m/>
    <m/>
    <m/>
    <s v="BULLISH"/>
    <d v="2022-08-25T16:05:00"/>
    <d v="2022-08-25T16:05:00"/>
    <s v="Confirmed"/>
    <m/>
    <m/>
    <n v="2"/>
    <m/>
    <n v="1"/>
    <m/>
    <m/>
    <s v=""/>
    <n v="0"/>
    <n v="0"/>
    <s v=""/>
    <m/>
    <m/>
    <s v=""/>
    <s v=""/>
    <s v=""/>
    <s v=""/>
    <s v=""/>
    <m/>
    <m/>
    <n v="0"/>
    <n v="0"/>
    <n v="0"/>
    <m/>
    <m/>
    <n v="52.04"/>
    <s v=""/>
    <s v=""/>
    <n v="0"/>
    <n v="0"/>
    <n v="-5.656272661348799E-2"/>
    <n v="52"/>
    <s v="free money"/>
    <n v="52"/>
    <s v="Assignment"/>
    <s v="SPs"/>
    <s v=""/>
    <m/>
    <m/>
    <m/>
    <s v=""/>
    <s v=""/>
    <n v="50.88"/>
    <n v="47.318399999999997"/>
    <m/>
    <d v="2022-07-31T00:00:00"/>
    <n v="49.3"/>
    <n v="65.099999999999994"/>
    <n v="44.3"/>
    <s v="RISE"/>
    <s v="BEARISH"/>
    <m/>
    <s v=""/>
    <m/>
    <m/>
    <m/>
    <m/>
    <m/>
    <m/>
    <n v="0"/>
    <n v="0"/>
    <m/>
    <s v=""/>
    <s v=""/>
    <m/>
    <m/>
    <m/>
    <m/>
    <m/>
    <m/>
    <n v="0"/>
    <s v=""/>
    <s v=""/>
    <s v=""/>
    <s v=""/>
    <n v="0"/>
    <s v=""/>
    <n v="0"/>
    <m/>
    <n v="0"/>
    <s v=""/>
    <s v=""/>
    <s v=""/>
    <m/>
    <n v="0"/>
    <m/>
    <s v=""/>
    <s v=""/>
    <s v=""/>
    <d v="2022-08-12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9.437999999999995"/>
    <n v="107.562"/>
    <m/>
    <m/>
    <n v="0"/>
    <s v=""/>
    <n v="0"/>
    <s v=""/>
    <s v="{9C8F7A73-5170-4629-A031-F2F415B9A684}"/>
    <s v=""/>
    <s v=""/>
    <s v=""/>
    <s v=""/>
    <s v=""/>
    <s v=""/>
    <s v=""/>
    <s v=""/>
    <s v=""/>
    <s v=""/>
    <x v="0"/>
    <s v=""/>
  </r>
  <r>
    <s v="RTX"/>
    <n v="99.3"/>
    <s v="Swing"/>
    <n v="84.405000000000001"/>
    <x v="41"/>
    <x v="11"/>
    <m/>
    <m/>
    <m/>
    <m/>
    <m/>
    <m/>
    <m/>
    <m/>
    <m/>
    <m/>
    <m/>
    <m/>
    <s v="BULLISH"/>
    <d v="2023-01-24T00:00:00"/>
    <d v="2023-01-24T00:00:00"/>
    <m/>
    <m/>
    <m/>
    <m/>
    <m/>
    <m/>
    <n v="400"/>
    <n v="37704"/>
    <n v="94.26"/>
    <n v="39720"/>
    <n v="2016"/>
    <n v="5.3469127943984722E-2"/>
    <m/>
    <m/>
    <s v=""/>
    <s v=""/>
    <s v=""/>
    <s v=""/>
    <s v=""/>
    <m/>
    <m/>
    <n v="0"/>
    <n v="0"/>
    <n v="0"/>
    <m/>
    <m/>
    <n v="104.43"/>
    <s v=""/>
    <n v="0.10789306174411203"/>
    <n v="4068"/>
    <n v="2052"/>
    <n v="5.1661631419939673E-2"/>
    <n v="100"/>
    <s v="assignment"/>
    <n v="100"/>
    <s v="free money"/>
    <s v="CCs"/>
    <s v=""/>
    <m/>
    <n v="2.8839999999999999"/>
    <d v="2021-04-01T00:00:00"/>
    <n v="96.415999999999997"/>
    <n v="102.184"/>
    <n v="88.63"/>
    <n v="82.425899999999984"/>
    <m/>
    <d v="2022-12-20T00:00:00"/>
    <n v="94.3"/>
    <n v="105.8"/>
    <n v="90.6"/>
    <s v="LTD RISE"/>
    <s v="RANGE"/>
    <m/>
    <s v=""/>
    <m/>
    <m/>
    <m/>
    <m/>
    <m/>
    <m/>
    <n v="0"/>
    <n v="0"/>
    <m/>
    <s v=""/>
    <s v=""/>
    <m/>
    <m/>
    <m/>
    <m/>
    <m/>
    <m/>
    <n v="0"/>
    <s v=""/>
    <s v=""/>
    <s v=""/>
    <s v=""/>
    <n v="0"/>
    <s v=""/>
    <n v="0"/>
    <m/>
    <n v="0"/>
    <s v=""/>
    <s v=""/>
    <s v=""/>
    <m/>
    <n v="0"/>
    <m/>
    <s v=""/>
    <s v=""/>
    <s v=""/>
    <m/>
    <s v=""/>
    <s v=""/>
    <s v=""/>
    <s v=""/>
    <s v=""/>
    <m/>
    <m/>
    <s v=""/>
    <s v=""/>
    <s v=""/>
    <s v=""/>
    <m/>
    <m/>
    <m/>
    <m/>
    <m/>
    <m/>
    <n v="0"/>
    <s v=""/>
    <s v=""/>
    <m/>
    <s v=""/>
    <s v=""/>
    <s v=""/>
    <s v=""/>
    <s v=""/>
    <s v=""/>
    <s v=""/>
    <m/>
    <s v=""/>
    <n v="3.9"/>
    <s v=""/>
    <s v=""/>
    <s v=""/>
    <s v=""/>
    <n v="4"/>
    <m/>
    <m/>
    <m/>
    <m/>
    <m/>
    <m/>
    <s v=""/>
    <s v=""/>
    <n v="0"/>
    <n v="0"/>
    <n v="0"/>
    <n v="0"/>
    <s v=""/>
    <m/>
    <n v="0"/>
    <m/>
    <m/>
    <s v=""/>
    <s v=""/>
    <s v=""/>
    <m/>
    <s v=""/>
    <n v="0"/>
    <n v="0"/>
    <s v=""/>
    <s v=""/>
    <s v=""/>
    <s v=""/>
    <s v=""/>
    <s v=""/>
    <s v=""/>
    <s v=""/>
    <s v=""/>
    <s v=""/>
    <s v=""/>
    <s v=""/>
    <s v=""/>
    <s v=""/>
    <s v=""/>
    <s v=""/>
    <s v=""/>
    <m/>
    <n v="80"/>
    <n v="99.208500000000001"/>
    <n v="193.63499999999999"/>
    <m/>
    <m/>
    <n v="0"/>
    <n v="0"/>
    <n v="0"/>
    <s v=""/>
    <s v="{E4424327-A999-4BF7-81A6-AF7BE27B9EC9}"/>
    <s v=""/>
    <s v=""/>
    <s v=""/>
    <s v=""/>
    <s v=""/>
    <s v=""/>
    <s v=""/>
    <s v=""/>
    <s v=""/>
    <s v="LNG "/>
    <x v="29"/>
    <n v="2.6037375722006206E-2"/>
  </r>
  <r>
    <s v="SIRI"/>
    <n v="6.12"/>
    <m/>
    <n v="5.202"/>
    <x v="145"/>
    <x v="8"/>
    <m/>
    <m/>
    <m/>
    <m/>
    <m/>
    <m/>
    <m/>
    <m/>
    <m/>
    <m/>
    <m/>
    <m/>
    <m/>
    <d v="2022-07-28T07:00:00"/>
    <d v="2022-07-28T07:00:00"/>
    <m/>
    <m/>
    <m/>
    <m/>
    <m/>
    <m/>
    <m/>
    <m/>
    <s v=""/>
    <n v="0"/>
    <n v="0"/>
    <s v=""/>
    <m/>
    <m/>
    <s v=""/>
    <s v=""/>
    <s v=""/>
    <s v=""/>
    <s v=""/>
    <m/>
    <m/>
    <n v="0"/>
    <n v="0"/>
    <n v="0"/>
    <m/>
    <m/>
    <n v="6.64"/>
    <s v=""/>
    <s v=""/>
    <n v="0"/>
    <n v="0"/>
    <n v="8.4967320261437843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3079999999999998"/>
    <n v="11.933999999999999"/>
    <m/>
    <m/>
    <n v="0"/>
    <s v=""/>
    <n v="0"/>
    <s v=""/>
    <s v="{EA099F19-3D6E-4C2E-85BF-0EE6D6D0D80C}"/>
    <s v=""/>
    <s v=""/>
    <s v=""/>
    <s v=""/>
    <s v=""/>
    <s v=""/>
    <s v=""/>
    <s v=""/>
    <s v=""/>
    <s v=""/>
    <x v="0"/>
    <s v=""/>
  </r>
  <r>
    <s v="SLB"/>
    <n v="19.48"/>
    <m/>
    <n v="16.558"/>
    <x v="66"/>
    <x v="0"/>
    <s v="Cramer believes recent meger between HAL &amp; BHI will actually be favorable to pricing for both that new entity and SLB as a duopoly between them takes effect. SLB has best in breed technology, market share, management, and balance sheet"/>
    <s v="Not clear that oil will not plunge again. Also writing puts into earnigs isnt the way Ellman teaches it, but IV has made for good risk rewards"/>
    <m/>
    <s v="UP"/>
    <s v="CONVERGE"/>
    <s v="UP"/>
    <s v="UP"/>
    <s v="Over 80"/>
    <s v="UP"/>
    <s v="AVG"/>
    <m/>
    <m/>
    <s v="BULLISH"/>
    <d v="2022-07-22T06:50:00"/>
    <d v="2022-07-22T06:50:00"/>
    <m/>
    <m/>
    <m/>
    <m/>
    <m/>
    <m/>
    <m/>
    <m/>
    <s v=""/>
    <n v="0"/>
    <n v="0"/>
    <s v=""/>
    <m/>
    <m/>
    <s v=""/>
    <s v=""/>
    <s v=""/>
    <s v=""/>
    <s v=""/>
    <n v="2"/>
    <d v="2020-01-11T00:00:00"/>
    <n v="0"/>
    <n v="0"/>
    <n v="0.10266940451745379"/>
    <d v="2019-12-03T00:00:00"/>
    <n v="55"/>
    <n v="21.43"/>
    <n v="1.8234086242299792"/>
    <s v=""/>
    <n v="0"/>
    <n v="0"/>
    <n v="0.10010266940451741"/>
    <m/>
    <m/>
    <n v="305"/>
    <m/>
    <m/>
    <s v=""/>
    <m/>
    <m/>
    <m/>
    <s v=""/>
    <s v=""/>
    <m/>
    <s v=""/>
    <m/>
    <d v="2019-10-09T00:00:00"/>
    <n v="31.02"/>
    <n v="31.41"/>
    <n v="30.01"/>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358499999999999"/>
    <n v="37.985999999999997"/>
    <m/>
    <m/>
    <n v="0"/>
    <s v=""/>
    <n v="0"/>
    <s v=""/>
    <s v="{0DA2A926-626A-4060-AE70-17FCB8CB1006}"/>
    <s v=""/>
    <s v=""/>
    <s v=""/>
    <s v=""/>
    <s v=""/>
    <s v=""/>
    <s v=""/>
    <s v=""/>
    <s v=""/>
    <s v=""/>
    <x v="0"/>
    <s v=""/>
  </r>
  <r>
    <s v="RWM"/>
    <n v="25"/>
    <s v="Swing"/>
    <n v="21.25"/>
    <x v="52"/>
    <x v="7"/>
    <m/>
    <m/>
    <m/>
    <m/>
    <m/>
    <m/>
    <m/>
    <m/>
    <m/>
    <m/>
    <m/>
    <m/>
    <m/>
    <d v="2023-01-24T00:00:00"/>
    <d v="2023-01-24T00:00:00"/>
    <m/>
    <m/>
    <m/>
    <m/>
    <m/>
    <m/>
    <m/>
    <m/>
    <s v=""/>
    <n v="0"/>
    <n v="0"/>
    <s v=""/>
    <n v="24.32"/>
    <n v="22.65"/>
    <s v=""/>
    <s v=""/>
    <s v=""/>
    <s v=""/>
    <s v=""/>
    <m/>
    <m/>
    <n v="0"/>
    <n v="0"/>
    <n v="0"/>
    <m/>
    <m/>
    <m/>
    <s v=""/>
    <s v=""/>
    <n v="0"/>
    <n v="0"/>
    <s v=""/>
    <n v="24.3"/>
    <s v="T1"/>
    <n v="22.13"/>
    <s v="stop out"/>
    <s v="long equity"/>
    <s v=""/>
    <m/>
    <m/>
    <m/>
    <s v=""/>
    <s v=""/>
    <n v="23.13"/>
    <n v="21.510899999999996"/>
    <m/>
    <d v="2022-12-20T00:00:00"/>
    <n v="24.89"/>
    <n v="25.39"/>
    <n v="24.69"/>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48.75"/>
    <m/>
    <m/>
    <n v="0"/>
    <s v=""/>
    <n v="0"/>
    <s v=""/>
    <m/>
    <s v=""/>
    <s v=""/>
    <s v=""/>
    <s v=""/>
    <s v=""/>
    <s v=""/>
    <s v=""/>
    <s v=""/>
    <s v=""/>
    <s v=""/>
    <x v="0"/>
    <s v=""/>
  </r>
  <r>
    <s v="SNAP"/>
    <n v="65.13"/>
    <s v="Swing"/>
    <n v="55.360499999999995"/>
    <x v="85"/>
    <x v="3"/>
    <m/>
    <m/>
    <m/>
    <m/>
    <m/>
    <m/>
    <m/>
    <m/>
    <m/>
    <m/>
    <m/>
    <m/>
    <s v="BULLISH"/>
    <d v="2022-07-21T16:10:00"/>
    <d v="2022-07-21T16:10:00"/>
    <m/>
    <m/>
    <m/>
    <m/>
    <m/>
    <m/>
    <m/>
    <m/>
    <s v=""/>
    <n v="0"/>
    <n v="0"/>
    <s v=""/>
    <n v="75"/>
    <n v="63.05"/>
    <s v=""/>
    <s v=""/>
    <s v=""/>
    <s v=""/>
    <s v=""/>
    <m/>
    <m/>
    <n v="0"/>
    <n v="0"/>
    <n v="0"/>
    <m/>
    <m/>
    <n v="77.12"/>
    <s v=""/>
    <s v=""/>
    <n v="0"/>
    <n v="0"/>
    <n v="0.18409335175802258"/>
    <n v="75"/>
    <s v="T1"/>
    <n v="63.05"/>
    <s v="stop out"/>
    <m/>
    <s v=""/>
    <m/>
    <n v="3.4329999999999998"/>
    <d v="2020-10-23T00:00:00"/>
    <n v="61.696999999999996"/>
    <n v="68.562999999999988"/>
    <n v="66.48"/>
    <n v="61.8264"/>
    <m/>
    <d v="2021-07-06T00:00:00"/>
    <n v="64.5"/>
    <n v="76.400000000000006"/>
    <n v="60.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3.263999999999996"/>
    <n v="127.00349999999999"/>
    <m/>
    <m/>
    <n v="0"/>
    <s v=""/>
    <n v="0"/>
    <s v=""/>
    <s v="{138F147C-7937-4F68-84BB-F86BB66F920E}"/>
    <s v=""/>
    <s v=""/>
    <s v=""/>
    <s v=""/>
    <s v=""/>
    <s v=""/>
    <s v=""/>
    <s v=""/>
    <s v=""/>
    <s v=""/>
    <x v="0"/>
    <s v=""/>
  </r>
  <r>
    <s v="SOFI"/>
    <n v="7.96"/>
    <s v="Position"/>
    <n v="6.766"/>
    <x v="26"/>
    <x v="7"/>
    <m/>
    <m/>
    <m/>
    <m/>
    <m/>
    <m/>
    <m/>
    <m/>
    <m/>
    <m/>
    <m/>
    <m/>
    <s v="BULLISH"/>
    <d v="2022-10-17T06:15:00"/>
    <d v="2022-10-17T06:15:00"/>
    <m/>
    <m/>
    <m/>
    <m/>
    <m/>
    <m/>
    <m/>
    <m/>
    <s v=""/>
    <n v="0"/>
    <n v="0"/>
    <s v=""/>
    <n v="30"/>
    <n v="16.399999999999999"/>
    <s v=""/>
    <s v=""/>
    <s v=""/>
    <s v=""/>
    <s v=""/>
    <m/>
    <m/>
    <n v="0"/>
    <n v="0"/>
    <n v="0"/>
    <m/>
    <m/>
    <n v="14.35"/>
    <s v=""/>
    <s v=""/>
    <n v="0"/>
    <n v="0"/>
    <n v="0.80276381909547734"/>
    <m/>
    <m/>
    <m/>
    <m/>
    <m/>
    <s v=""/>
    <m/>
    <m/>
    <m/>
    <s v=""/>
    <s v=""/>
    <n v="15.32"/>
    <n v="14.247599999999998"/>
    <m/>
    <d v="2022-08-03T00:00:00"/>
    <n v="5.82"/>
    <n v="8.1999999999999993"/>
    <n v="5.19"/>
    <s v="RISE"/>
    <s v="RANGE"/>
    <m/>
    <s v=""/>
    <m/>
    <m/>
    <m/>
    <m/>
    <m/>
    <m/>
    <n v="0"/>
    <n v="0"/>
    <m/>
    <s v=""/>
    <s v=""/>
    <m/>
    <m/>
    <m/>
    <m/>
    <m/>
    <m/>
    <n v="0"/>
    <s v=""/>
    <s v=""/>
    <s v=""/>
    <s v=""/>
    <n v="0"/>
    <s v=""/>
    <n v="0"/>
    <m/>
    <n v="0"/>
    <s v=""/>
    <s v=""/>
    <s v=""/>
    <m/>
    <n v="0"/>
    <m/>
    <s v=""/>
    <s v=""/>
    <s v=""/>
    <d v="2022-07-29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632499999999999"/>
    <n v="15.522"/>
    <m/>
    <m/>
    <n v="0"/>
    <s v=""/>
    <n v="0"/>
    <s v=""/>
    <s v="{0940800E-8051-47BC-87FE-06057DAA9B2D}"/>
    <s v=""/>
    <s v=""/>
    <s v=""/>
    <s v=""/>
    <s v=""/>
    <s v=""/>
    <s v=""/>
    <s v=""/>
    <s v=""/>
    <s v=""/>
    <x v="0"/>
    <s v=""/>
  </r>
  <r>
    <s v="SOLO"/>
    <n v="7.27"/>
    <s v="Prem"/>
    <n v="6.1794999999999991"/>
    <x v="115"/>
    <x v="1"/>
    <m/>
    <m/>
    <m/>
    <m/>
    <m/>
    <m/>
    <m/>
    <m/>
    <m/>
    <m/>
    <m/>
    <m/>
    <s v="BULLISH"/>
    <d v="2022-08-11T16:35:00"/>
    <d v="2022-08-11T16:35:00"/>
    <m/>
    <m/>
    <m/>
    <m/>
    <m/>
    <m/>
    <m/>
    <m/>
    <s v=""/>
    <n v="0"/>
    <n v="0"/>
    <s v=""/>
    <m/>
    <m/>
    <s v=""/>
    <s v=""/>
    <s v=""/>
    <s v=""/>
    <s v=""/>
    <m/>
    <m/>
    <n v="0"/>
    <n v="0"/>
    <n v="0"/>
    <m/>
    <m/>
    <s v="-"/>
    <s v=""/>
    <s v=""/>
    <n v="0"/>
    <n v="0"/>
    <s v=""/>
    <n v="10"/>
    <s v="assignment"/>
    <n v="10"/>
    <s v="free money"/>
    <s v="CCs"/>
    <s v=""/>
    <m/>
    <m/>
    <m/>
    <s v=""/>
    <s v=""/>
    <m/>
    <s v=""/>
    <m/>
    <d v="2021-02-22T00:00:00"/>
    <n v="7.72"/>
    <n v="10.67"/>
    <n v="6.2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4.176499999999999"/>
    <m/>
    <m/>
    <n v="0"/>
    <s v=""/>
    <n v="0"/>
    <s v=""/>
    <m/>
    <s v=""/>
    <s v=""/>
    <s v=""/>
    <s v=""/>
    <s v=""/>
    <s v=""/>
    <s v=""/>
    <s v=""/>
    <s v=""/>
    <s v=""/>
    <x v="0"/>
    <s v=""/>
  </r>
  <r>
    <s v="SONO"/>
    <n v="20.94"/>
    <s v="Swing"/>
    <n v="17.798999999999999"/>
    <x v="92"/>
    <x v="3"/>
    <m/>
    <m/>
    <m/>
    <m/>
    <m/>
    <m/>
    <m/>
    <m/>
    <m/>
    <m/>
    <m/>
    <m/>
    <s v="BULLISH"/>
    <d v="2022-08-10T16:05:00"/>
    <d v="2022-08-10T16:05:00"/>
    <m/>
    <m/>
    <m/>
    <m/>
    <m/>
    <m/>
    <m/>
    <m/>
    <s v=""/>
    <n v="0"/>
    <n v="0"/>
    <s v=""/>
    <m/>
    <m/>
    <s v=""/>
    <s v=""/>
    <s v=""/>
    <s v=""/>
    <s v=""/>
    <m/>
    <m/>
    <n v="0"/>
    <n v="0"/>
    <n v="0"/>
    <m/>
    <m/>
    <n v="16.43"/>
    <s v=""/>
    <s v=""/>
    <n v="0"/>
    <n v="0"/>
    <n v="-0.21537726838586443"/>
    <n v="17.5"/>
    <s v="assignment"/>
    <n v="17.5"/>
    <s v="free money"/>
    <s v="BuyWrite"/>
    <s v=""/>
    <m/>
    <n v="2.3039999999999998"/>
    <d v="2020-11-20T00:00:00"/>
    <n v="18.636000000000003"/>
    <n v="23.244"/>
    <m/>
    <s v=""/>
    <m/>
    <d v="2020-11-15T00:00:00"/>
    <n v="14.89"/>
    <n v="17.239999999999998"/>
    <n v="13.68"/>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608499999999999"/>
    <n v="40.832999999999998"/>
    <m/>
    <m/>
    <n v="0"/>
    <s v=""/>
    <n v="0"/>
    <s v=""/>
    <m/>
    <s v=""/>
    <s v=""/>
    <s v=""/>
    <s v=""/>
    <s v=""/>
    <s v=""/>
    <s v=""/>
    <s v=""/>
    <s v=""/>
    <s v=""/>
    <x v="0"/>
    <s v=""/>
  </r>
  <r>
    <s v="SPLK"/>
    <n v="116.27"/>
    <m/>
    <n v="98.829499999999996"/>
    <x v="13"/>
    <x v="3"/>
    <m/>
    <m/>
    <m/>
    <m/>
    <m/>
    <m/>
    <m/>
    <m/>
    <m/>
    <m/>
    <m/>
    <m/>
    <s v="BULLISH"/>
    <d v="2022-08-24T16:00:00"/>
    <d v="2022-08-24T16:00:00"/>
    <m/>
    <m/>
    <m/>
    <m/>
    <m/>
    <m/>
    <m/>
    <m/>
    <s v=""/>
    <n v="0"/>
    <n v="0"/>
    <s v=""/>
    <m/>
    <m/>
    <s v=""/>
    <s v=""/>
    <s v=""/>
    <s v=""/>
    <s v=""/>
    <m/>
    <m/>
    <n v="0"/>
    <n v="0"/>
    <n v="0"/>
    <m/>
    <m/>
    <n v="153.21"/>
    <s v=""/>
    <s v=""/>
    <n v="0"/>
    <n v="0"/>
    <n v="0.31770878128494034"/>
    <n v="132"/>
    <s v="max gain"/>
    <s v="127, 132"/>
    <s v="max loss"/>
    <s v="butterfly"/>
    <s v=""/>
    <m/>
    <m/>
    <m/>
    <s v=""/>
    <s v=""/>
    <m/>
    <s v=""/>
    <m/>
    <d v="2019-08-20T00:00:00"/>
    <n v="134.9"/>
    <n v="142.5"/>
    <n v="111.6"/>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5.54949999999999"/>
    <n v="226.72649999999999"/>
    <m/>
    <m/>
    <n v="0"/>
    <s v=""/>
    <n v="0"/>
    <s v=""/>
    <s v="{0F93BA3B-D3F7-4C4D-A0E3-650AD241B2A6}"/>
    <s v=""/>
    <s v=""/>
    <s v=""/>
    <s v=""/>
    <s v=""/>
    <s v=""/>
    <s v=""/>
    <s v=""/>
    <s v=""/>
    <s v=""/>
    <x v="0"/>
    <s v=""/>
  </r>
  <r>
    <s v="SPOT"/>
    <n v="272.75"/>
    <m/>
    <n v="231.83750000000001"/>
    <x v="19"/>
    <x v="9"/>
    <m/>
    <m/>
    <m/>
    <m/>
    <m/>
    <m/>
    <m/>
    <m/>
    <m/>
    <m/>
    <m/>
    <m/>
    <m/>
    <d v="2022-07-27T06:00:00"/>
    <d v="2022-07-27T06:00:00"/>
    <m/>
    <m/>
    <m/>
    <m/>
    <m/>
    <m/>
    <m/>
    <m/>
    <s v=""/>
    <n v="0"/>
    <n v="0"/>
    <s v=""/>
    <m/>
    <m/>
    <s v=""/>
    <s v=""/>
    <s v=""/>
    <s v=""/>
    <s v=""/>
    <m/>
    <m/>
    <n v="0"/>
    <n v="0"/>
    <n v="0"/>
    <m/>
    <m/>
    <n v="262.38"/>
    <s v=""/>
    <s v=""/>
    <n v="0"/>
    <n v="0"/>
    <n v="-3.8020164986251159E-2"/>
    <m/>
    <m/>
    <m/>
    <m/>
    <m/>
    <s v=""/>
    <m/>
    <m/>
    <m/>
    <s v=""/>
    <s v=""/>
    <m/>
    <s v=""/>
    <m/>
    <d v="2020-10-14T00:00:00"/>
    <n v="242.3"/>
    <n v="304.2"/>
    <n v="223.5"/>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9.261"/>
    <n v="531.86249999999995"/>
    <m/>
    <m/>
    <n v="0"/>
    <s v=""/>
    <n v="0"/>
    <s v=""/>
    <m/>
    <s v=""/>
    <s v=""/>
    <s v=""/>
    <s v=""/>
    <s v=""/>
    <s v=""/>
    <s v=""/>
    <s v=""/>
    <s v=""/>
    <s v=""/>
    <x v="0"/>
    <s v=""/>
  </r>
  <r>
    <s v="SPY"/>
    <n v="348.34"/>
    <s v="LT"/>
    <n v="296.089"/>
    <x v="52"/>
    <x v="7"/>
    <m/>
    <m/>
    <m/>
    <m/>
    <m/>
    <m/>
    <m/>
    <m/>
    <m/>
    <m/>
    <m/>
    <m/>
    <s v="NEUTRAL"/>
    <d v="2022-07-27T06:00:00"/>
    <d v="2022-07-27T06:00:00"/>
    <m/>
    <m/>
    <m/>
    <m/>
    <m/>
    <m/>
    <m/>
    <m/>
    <s v=""/>
    <n v="0"/>
    <n v="0"/>
    <s v=""/>
    <m/>
    <m/>
    <s v=""/>
    <s v=""/>
    <s v=""/>
    <s v=""/>
    <s v=""/>
    <m/>
    <m/>
    <n v="0"/>
    <n v="0"/>
    <n v="0"/>
    <m/>
    <m/>
    <s v="-"/>
    <s v=""/>
    <s v=""/>
    <n v="0"/>
    <n v="0"/>
    <s v=""/>
    <n v="335"/>
    <s v="assignment"/>
    <n v="335"/>
    <s v="Assignment"/>
    <s v="CCs"/>
    <s v=""/>
    <m/>
    <m/>
    <m/>
    <s v=""/>
    <s v=""/>
    <m/>
    <s v=""/>
    <m/>
    <d v="2020-08-26T00:00:00"/>
    <n v="332.82"/>
    <n v="353.29"/>
    <n v="325.9100000000000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679.26299999999992"/>
    <m/>
    <m/>
    <n v="0"/>
    <s v=""/>
    <n v="0"/>
    <s v=""/>
    <s v="{D06D6695-6C8E-47B5-A825-24B8BC92C64A}"/>
    <s v=""/>
    <s v=""/>
    <s v=""/>
    <s v=""/>
    <s v=""/>
    <s v=""/>
    <s v=""/>
    <s v=""/>
    <s v=""/>
    <s v=""/>
    <x v="0"/>
    <s v=""/>
  </r>
  <r>
    <s v="SQ"/>
    <n v="82.795000000000002"/>
    <m/>
    <n v="70.375749999999996"/>
    <x v="85"/>
    <x v="3"/>
    <s v="Great long term prospects with unique and cheap hooks into small business financing and CRM/PR/Invoicing, all while processing payment transactions"/>
    <s v="Sell-off along with BitCoin "/>
    <m/>
    <s v="Bearish_x000a_Broke below 20-d and looks headed towards the 100-d ($33.50), which it is still well above"/>
    <s v="Bearish_x000a_NO divergence._x000a_Histogram shows some momentum under center._x000a_"/>
    <s v="Bearish_x000a_M: Buy W: Sell D: Sell"/>
    <s v="Mixed_x000a_M: Blue W: Red D: Blue"/>
    <s v="Oversold_x000a_Well below 20 for a few weeks"/>
    <s v="Good"/>
    <s v="Below Avg_x000a_Weak before New Year"/>
    <s v="Consider exit point for 2nd batch to be assigned Jan 19 at this rate"/>
    <d v="2017-12-26T12:38:54"/>
    <s v="BULLISH"/>
    <d v="2022-08-04T16:10:00"/>
    <d v="2022-08-04T16:10:00"/>
    <m/>
    <m/>
    <m/>
    <m/>
    <m/>
    <m/>
    <m/>
    <m/>
    <s v=""/>
    <n v="0"/>
    <n v="0"/>
    <s v=""/>
    <m/>
    <m/>
    <s v=""/>
    <s v=""/>
    <s v=""/>
    <s v=""/>
    <s v=""/>
    <m/>
    <s v="N/A"/>
    <n v="0"/>
    <n v="0"/>
    <n v="0"/>
    <m/>
    <m/>
    <n v="63.53"/>
    <s v=""/>
    <s v=""/>
    <n v="0"/>
    <n v="0"/>
    <n v="-0.23268313303943475"/>
    <n v="77"/>
    <s v="assignment"/>
    <n v="77"/>
    <s v="free money"/>
    <s v="CCs"/>
    <s v=""/>
    <m/>
    <m/>
    <m/>
    <s v=""/>
    <s v=""/>
    <m/>
    <s v=""/>
    <m/>
    <d v="2020-02-20T00:00:00"/>
    <n v="79.3"/>
    <n v="95"/>
    <n v="74.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0.353499999999997"/>
    <n v="161.45025000000001"/>
    <m/>
    <m/>
    <n v="0"/>
    <s v=""/>
    <n v="0"/>
    <s v=""/>
    <s v="{2606CC3A-AD5A-46F4-BEB6-65B01049EB55}"/>
    <s v=""/>
    <s v=""/>
    <s v=""/>
    <s v=""/>
    <s v=""/>
    <s v=""/>
    <s v=""/>
    <s v=""/>
    <s v=""/>
    <s v=""/>
    <x v="0"/>
    <s v=""/>
  </r>
  <r>
    <s v="SLV"/>
    <n v="21.85"/>
    <m/>
    <n v="18.572500000000002"/>
    <x v="52"/>
    <x v="7"/>
    <s v="Fear and safety trades are back thanks to N. Korea, likely good for at least another week."/>
    <m/>
    <m/>
    <s v="Mixed_x000a_Gap just over 100-d last Wednesday and comfortably above now. 20-d is still below the 100-d though"/>
    <s v="Bullish_x000a_NO divergence._x000a_Histogram shows good momentum above center._x000a_"/>
    <s v="Bullish_x000a_M: Sell, W: Buy (3 bars) D: Buy (3 bars)"/>
    <s v="Bullish_x000a_M: Red, W: Green D: Green"/>
    <s v="Overbought_x000a_%K well over 80 since Friday"/>
    <s v="Good"/>
    <s v="Average_x000a_Weakening slightly"/>
    <s v="Let calls ride out the week, and root for a break over 16.30, check for declining Volume along the way. Longs might be good for 20 after summer period is over and full trading rseumes._x000a__x000a_&lt;SeekingAlpha&gt; Potential for significant upside given the fact that SLV has lost almost 16% of its value over the last year. But as the chart above shows, these trends have already started to break, and we expect this upside movement to continue for at least the next several weeks. We have bought SLV at current levels, with a stop below 14.70. Our upside target will be reassessed on a back above the 20 handle and will only consider closing the position if markets show clear signs of stalling at prior resistance near 19.30."/>
    <m/>
    <s v="BULLISH"/>
    <d v="2023-01-02T00:00:00"/>
    <d v="2023-01-02T00:00:00"/>
    <m/>
    <m/>
    <m/>
    <m/>
    <m/>
    <m/>
    <m/>
    <m/>
    <s v=""/>
    <n v="0"/>
    <n v="0"/>
    <s v=""/>
    <m/>
    <m/>
    <s v=""/>
    <s v=""/>
    <s v=""/>
    <s v=""/>
    <s v=""/>
    <m/>
    <s v="N/A"/>
    <n v="0"/>
    <n v="0"/>
    <n v="0"/>
    <m/>
    <m/>
    <s v="-"/>
    <s v=""/>
    <s v=""/>
    <n v="0"/>
    <n v="0"/>
    <s v=""/>
    <m/>
    <m/>
    <m/>
    <m/>
    <m/>
    <s v="Y"/>
    <m/>
    <m/>
    <m/>
    <s v=""/>
    <s v=""/>
    <m/>
    <s v=""/>
    <m/>
    <d v="2022-12-23T00:00:00"/>
    <n v="21.67"/>
    <n v="22.98"/>
    <n v="21.03"/>
    <s v="LTD DEC"/>
    <s v="BULLISH"/>
    <m/>
    <d v="2022-12-30T00:00:00"/>
    <m/>
    <m/>
    <m/>
    <m/>
    <m/>
    <m/>
    <n v="0"/>
    <n v="0"/>
    <m/>
    <s v=""/>
    <s v=""/>
    <d v="2022-12-30T00:00:00"/>
    <n v="19.5"/>
    <n v="20"/>
    <d v="2022-11-29T00:00:00"/>
    <m/>
    <n v="0.52"/>
    <n v="1040"/>
    <n v="18.98"/>
    <n v="31"/>
    <n v="2.6666666666666668E-2"/>
    <n v="0.36324117568036085"/>
    <n v="0"/>
    <n v="0.13135011441647601"/>
    <n v="0"/>
    <m/>
    <n v="0"/>
    <s v="Y"/>
    <n v="39000"/>
    <s v=""/>
    <m/>
    <n v="0"/>
    <m/>
    <n v="0"/>
    <s v=""/>
    <s v=""/>
    <m/>
    <s v=""/>
    <n v="18.914999999999999"/>
    <n v="-130.00000000000182"/>
    <n v="0.65"/>
    <n v="260"/>
    <m/>
    <m/>
    <s v=""/>
    <s v=""/>
    <s v=""/>
    <s v=""/>
    <m/>
    <m/>
    <m/>
    <m/>
    <m/>
    <m/>
    <n v="0"/>
    <s v=""/>
    <s v=""/>
    <m/>
    <s v=""/>
    <s v=""/>
    <s v=""/>
    <s v=""/>
    <s v=""/>
    <s v=""/>
    <s v=""/>
    <m/>
    <s v=""/>
    <m/>
    <s v=""/>
    <s v=""/>
    <s v=""/>
    <s v=""/>
    <n v="0"/>
    <m/>
    <m/>
    <m/>
    <m/>
    <m/>
    <m/>
    <s v=""/>
    <s v=""/>
    <n v="0"/>
    <n v="0"/>
    <n v="0"/>
    <n v="0"/>
    <s v=""/>
    <m/>
    <n v="0"/>
    <m/>
    <m/>
    <s v=""/>
    <s v=""/>
    <s v=""/>
    <m/>
    <s v=""/>
    <n v="0"/>
    <n v="0"/>
    <s v=""/>
    <s v=""/>
    <s v=""/>
    <s v=""/>
    <s v=""/>
    <s v=""/>
    <s v=""/>
    <s v=""/>
    <s v=""/>
    <s v=""/>
    <s v=""/>
    <s v=""/>
    <s v=""/>
    <s v=""/>
    <s v=""/>
    <s v=""/>
    <s v=""/>
    <m/>
    <n v="0"/>
    <e v="#VALUE!"/>
    <n v="42.607500000000002"/>
    <m/>
    <m/>
    <n v="0"/>
    <s v=""/>
    <n v="0"/>
    <s v=""/>
    <s v="{FE35680B-0BA9-4EF9-B1D0-7511B8ADBC97}"/>
    <s v=""/>
    <s v=""/>
    <s v="SLV221230P00019500"/>
    <n v="1"/>
    <s v=""/>
    <s v=""/>
    <s v=""/>
    <s v=""/>
    <s v="Y"/>
    <s v="SP "/>
    <x v="30"/>
    <n v="-6.8174397660842028E-4"/>
  </r>
  <r>
    <s v="SSO"/>
    <n v="53.34"/>
    <s v="Swing"/>
    <n v="45.338999999999999"/>
    <x v="52"/>
    <x v="7"/>
    <m/>
    <m/>
    <m/>
    <m/>
    <m/>
    <m/>
    <m/>
    <m/>
    <m/>
    <m/>
    <m/>
    <m/>
    <m/>
    <m/>
    <m/>
    <m/>
    <m/>
    <m/>
    <m/>
    <m/>
    <m/>
    <m/>
    <m/>
    <s v=""/>
    <n v="0"/>
    <n v="0"/>
    <s v=""/>
    <m/>
    <m/>
    <s v=""/>
    <s v=""/>
    <s v=""/>
    <s v=""/>
    <s v=""/>
    <m/>
    <m/>
    <n v="0"/>
    <n v="0"/>
    <n v="0"/>
    <m/>
    <m/>
    <m/>
    <s v=""/>
    <s v=""/>
    <n v="0"/>
    <n v="0"/>
    <s v=""/>
    <n v="65"/>
    <s v="T1"/>
    <n v="51.9"/>
    <s v="stop out"/>
    <m/>
    <s v=""/>
    <m/>
    <m/>
    <m/>
    <s v=""/>
    <s v=""/>
    <n v="53.359000000000002"/>
    <n v="49.623869999999997"/>
    <m/>
    <d v="2022-08-26T00:00:00"/>
    <n v="56.51"/>
    <n v="59.36"/>
    <n v="54.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04.01300000000001"/>
    <m/>
    <m/>
    <n v="0"/>
    <s v=""/>
    <n v="0"/>
    <s v=""/>
    <m/>
    <s v=""/>
    <s v=""/>
    <s v=""/>
    <s v=""/>
    <s v=""/>
    <s v=""/>
    <s v=""/>
    <s v=""/>
    <s v=""/>
    <s v=""/>
    <x v="0"/>
    <s v=""/>
  </r>
  <r>
    <s v="STEM"/>
    <n v="17.43"/>
    <m/>
    <n v="14.8155"/>
    <x v="8"/>
    <x v="3"/>
    <m/>
    <m/>
    <m/>
    <m/>
    <m/>
    <m/>
    <m/>
    <m/>
    <m/>
    <m/>
    <m/>
    <m/>
    <s v="BULLISH"/>
    <d v="2022-11-03T16:05:00"/>
    <d v="2022-11-03T16:05:00"/>
    <m/>
    <m/>
    <m/>
    <m/>
    <m/>
    <m/>
    <m/>
    <m/>
    <s v=""/>
    <n v="0"/>
    <n v="0"/>
    <s v=""/>
    <m/>
    <m/>
    <s v=""/>
    <s v=""/>
    <s v=""/>
    <s v=""/>
    <s v=""/>
    <m/>
    <m/>
    <n v="0"/>
    <n v="0"/>
    <n v="0"/>
    <m/>
    <m/>
    <n v="19.38"/>
    <s v=""/>
    <s v=""/>
    <n v="0"/>
    <n v="0"/>
    <n v="0.11187607573149738"/>
    <n v="19.43"/>
    <s v="T1"/>
    <n v="14.95"/>
    <s v="stop out"/>
    <s v="long equity"/>
    <s v=""/>
    <m/>
    <m/>
    <m/>
    <s v=""/>
    <s v=""/>
    <n v="17.02"/>
    <n v="15.828599999999998"/>
    <m/>
    <d v="2022-09-14T00:00:00"/>
    <n v="16.07"/>
    <n v="19.940000000000001"/>
    <n v="14.65"/>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410999999999998"/>
    <n v="33.988500000000002"/>
    <m/>
    <m/>
    <n v="0"/>
    <s v=""/>
    <n v="0"/>
    <s v=""/>
    <m/>
    <s v=""/>
    <s v=""/>
    <s v=""/>
    <s v=""/>
    <s v=""/>
    <s v=""/>
    <s v=""/>
    <s v=""/>
    <s v=""/>
    <s v=""/>
    <x v="0"/>
    <s v=""/>
  </r>
  <r>
    <s v="STI"/>
    <n v="61.09"/>
    <m/>
    <n v="51.926500000000004"/>
    <x v="47"/>
    <x v="7"/>
    <s v="growing economic SouthEast region exposure, cost cutting, looking for better efficiency ration than q1 66.7% AND 3.18% decline in NIM"/>
    <s v="interest rates not rising as expected, oversold"/>
    <m/>
    <m/>
    <m/>
    <m/>
    <m/>
    <m/>
    <m/>
    <m/>
    <m/>
    <m/>
    <m/>
    <d v="2022-08-04T16:10:00"/>
    <d v="2022-08-04T16:10:00"/>
    <m/>
    <m/>
    <m/>
    <m/>
    <m/>
    <m/>
    <m/>
    <m/>
    <s v=""/>
    <n v="0"/>
    <n v="0"/>
    <s v=""/>
    <m/>
    <m/>
    <s v=""/>
    <s v=""/>
    <s v=""/>
    <s v=""/>
    <s v=""/>
    <n v="0.96"/>
    <d v="2015-12-15T00:00:00"/>
    <n v="0"/>
    <n v="0"/>
    <n v="1.5714519561302993E-2"/>
    <d v="2015-08-25T00:00:00"/>
    <m/>
    <n v="79.42"/>
    <s v=""/>
    <s v=""/>
    <n v="0"/>
    <n v="0"/>
    <n v="0.30004910787362904"/>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5.448999999999998"/>
    <n v="119.1255"/>
    <m/>
    <n v="44.18"/>
    <n v="0"/>
    <s v=""/>
    <n v="0"/>
    <s v=""/>
    <s v="{F37C2C6D-0F1C-4451-973F-B7FF82413989}"/>
    <s v=""/>
    <s v=""/>
    <s v=""/>
    <s v=""/>
    <s v=""/>
    <s v=""/>
    <s v=""/>
    <s v=""/>
    <s v=""/>
    <s v=""/>
    <x v="0"/>
    <s v=""/>
  </r>
  <r>
    <s v="STMP"/>
    <n v="220.93"/>
    <s v="Swing"/>
    <n v="187.79050000000001"/>
    <x v="10"/>
    <x v="3"/>
    <m/>
    <m/>
    <m/>
    <m/>
    <m/>
    <m/>
    <m/>
    <m/>
    <m/>
    <m/>
    <m/>
    <m/>
    <s v="BULLISH"/>
    <d v="2022-08-04T16:10:00"/>
    <d v="2022-08-04T16:10:00"/>
    <m/>
    <m/>
    <m/>
    <m/>
    <m/>
    <m/>
    <m/>
    <m/>
    <s v=""/>
    <n v="0"/>
    <n v="0"/>
    <s v=""/>
    <n v="327.5"/>
    <n v="233.8"/>
    <s v=""/>
    <s v=""/>
    <s v=""/>
    <s v=""/>
    <s v=""/>
    <m/>
    <m/>
    <n v="0"/>
    <n v="0"/>
    <n v="0"/>
    <m/>
    <m/>
    <n v="218"/>
    <s v=""/>
    <s v=""/>
    <n v="0"/>
    <n v="0"/>
    <n v="-1.3262119223283424E-2"/>
    <n v="310"/>
    <s v="T1"/>
    <n v="233.8"/>
    <s v="stop out"/>
    <s v="long equity"/>
    <s v=""/>
    <m/>
    <m/>
    <m/>
    <s v=""/>
    <s v=""/>
    <n v="173.45"/>
    <n v="161.30849999999998"/>
    <m/>
    <d v="2020-08-21T00:00:00"/>
    <n v="234.8"/>
    <n v="351.7"/>
    <n v="192.7"/>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7.1"/>
    <n v="430.81349999999998"/>
    <m/>
    <m/>
    <n v="0"/>
    <s v=""/>
    <n v="0"/>
    <s v=""/>
    <m/>
    <s v=""/>
    <s v=""/>
    <s v=""/>
    <s v=""/>
    <s v=""/>
    <s v=""/>
    <s v=""/>
    <s v=""/>
    <s v=""/>
    <s v=""/>
    <x v="0"/>
    <s v=""/>
  </r>
  <r>
    <s v="STNE"/>
    <n v="44.24"/>
    <s v="Swing"/>
    <n v="37.603999999999999"/>
    <x v="13"/>
    <x v="3"/>
    <m/>
    <m/>
    <m/>
    <m/>
    <m/>
    <m/>
    <m/>
    <m/>
    <m/>
    <m/>
    <m/>
    <m/>
    <s v="BULLISH"/>
    <d v="2022-09-01T16:05:00"/>
    <d v="2022-09-01T16:05:00"/>
    <m/>
    <m/>
    <m/>
    <m/>
    <m/>
    <m/>
    <m/>
    <m/>
    <s v=""/>
    <n v="0"/>
    <n v="0"/>
    <s v=""/>
    <m/>
    <m/>
    <s v=""/>
    <s v=""/>
    <s v=""/>
    <s v=""/>
    <s v=""/>
    <m/>
    <m/>
    <n v="0"/>
    <n v="0"/>
    <n v="0"/>
    <m/>
    <m/>
    <n v="34.67"/>
    <s v=""/>
    <s v=""/>
    <n v="0"/>
    <n v="0"/>
    <n v="-0.21632007233273057"/>
    <m/>
    <m/>
    <m/>
    <m/>
    <m/>
    <m/>
    <m/>
    <m/>
    <m/>
    <s v=""/>
    <s v=""/>
    <m/>
    <s v=""/>
    <m/>
    <d v="2020-05-26T00:00:00"/>
    <n v="23.76"/>
    <n v="27.12"/>
    <n v="15.15"/>
    <s v="LTD DEC"/>
    <s v="BEARISH"/>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2.936500000000002"/>
    <n v="86.268000000000001"/>
    <m/>
    <m/>
    <n v="0"/>
    <s v=""/>
    <n v="0"/>
    <s v=""/>
    <s v="{D3234F7E-533B-40F5-A92B-737C1E25BFFB}"/>
    <s v=""/>
    <s v=""/>
    <s v=""/>
    <s v=""/>
    <s v=""/>
    <s v=""/>
    <s v=""/>
    <s v=""/>
    <s v=""/>
    <s v=""/>
    <x v="0"/>
    <s v=""/>
  </r>
  <r>
    <s v="STZ"/>
    <n v="194.15"/>
    <m/>
    <n v="165.0275"/>
    <x v="146"/>
    <x v="12"/>
    <s v="Sweet area of premium spirits, even a hint of cannabis exploration.  Dipping after last earnings and thinking a bargain here, but using Cramer's brain. Also like aggressive management and buyback program which Cramer thinks will support the current price. If NAFTA is resolved there will be a pop."/>
    <s v="Cramer screws up lots, see AGN! Nafta pullout by USA are genuine and most definitely would hurt margins if realized."/>
    <m/>
    <s v="Bearish_x000a_Below 20d and dropping but still above rising 100d_x000a_"/>
    <m/>
    <m/>
    <m/>
    <m/>
    <m/>
    <m/>
    <m/>
    <m/>
    <s v="BULLISH"/>
    <d v="2022-06-30T07:30:00"/>
    <d v="2022-06-30T07:30:00"/>
    <s v="Confirmed"/>
    <m/>
    <m/>
    <m/>
    <m/>
    <m/>
    <m/>
    <m/>
    <s v=""/>
    <n v="0"/>
    <n v="0"/>
    <s v=""/>
    <m/>
    <m/>
    <s v=""/>
    <s v=""/>
    <s v=""/>
    <s v=""/>
    <s v=""/>
    <m/>
    <m/>
    <n v="0"/>
    <n v="0"/>
    <n v="0"/>
    <d v="2019-05-09T00:00:00"/>
    <n v="247"/>
    <n v="178.06"/>
    <n v="0.27221220705639965"/>
    <s v=""/>
    <n v="0"/>
    <n v="0"/>
    <n v="-8.2874066443471561E-2"/>
    <m/>
    <m/>
    <m/>
    <m/>
    <m/>
    <s v=""/>
    <m/>
    <m/>
    <m/>
    <s v=""/>
    <s v=""/>
    <m/>
    <s v=""/>
    <m/>
    <d v="2019-04-05T00:00:00"/>
    <n v="171"/>
    <n v="193.1"/>
    <n v="163.69999999999999"/>
    <s v="RISE"/>
    <s v="RANGE"/>
    <m/>
    <s v=""/>
    <m/>
    <m/>
    <m/>
    <m/>
    <m/>
    <m/>
    <n v="0"/>
    <n v="0"/>
    <m/>
    <s v=""/>
    <s v=""/>
    <m/>
    <m/>
    <m/>
    <m/>
    <m/>
    <m/>
    <n v="0"/>
    <s v=""/>
    <s v=""/>
    <s v=""/>
    <s v=""/>
    <n v="0"/>
    <s v=""/>
    <n v="0"/>
    <m/>
    <n v="0"/>
    <s v=""/>
    <s v=""/>
    <s v=""/>
    <n v="0.25"/>
    <n v="0"/>
    <m/>
    <s v=""/>
    <s v=""/>
    <b v="0"/>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9.15699999999998"/>
    <n v="378.59250000000003"/>
    <m/>
    <m/>
    <n v="0"/>
    <s v=""/>
    <n v="0"/>
    <s v=""/>
    <s v="{E8E0DFE1-DC58-4FAB-B13D-AEA82113ED3B}"/>
    <s v=""/>
    <s v=""/>
    <s v=""/>
    <s v=""/>
    <s v=""/>
    <s v=""/>
    <s v=""/>
    <s v=""/>
    <s v=""/>
    <s v=""/>
    <x v="0"/>
    <s v=""/>
  </r>
  <r>
    <s v="SWK"/>
    <n v="137.27000000000001"/>
    <m/>
    <n v="116.6795"/>
    <x v="147"/>
    <x v="13"/>
    <s v="exposure to three verticals with potential for upside to revenue and margins: industrial (the clear positive callout in the second quarter, led by fasteners), consumer do-it-yourself (record margins) and security (U.S. vs. Europe continues to perform). Cash flow is on the rise, margins continue to impress, and over time we expect the company to focus on more cash distribution to shareholders."/>
    <m/>
    <m/>
    <m/>
    <m/>
    <m/>
    <m/>
    <m/>
    <m/>
    <m/>
    <m/>
    <m/>
    <m/>
    <d v="2022-07-28T06:00:00"/>
    <d v="2022-07-28T06:00:00"/>
    <m/>
    <m/>
    <m/>
    <m/>
    <m/>
    <m/>
    <m/>
    <m/>
    <s v=""/>
    <n v="0"/>
    <n v="0"/>
    <s v=""/>
    <m/>
    <m/>
    <s v=""/>
    <s v=""/>
    <s v=""/>
    <s v=""/>
    <s v=""/>
    <n v="0"/>
    <d v="2016-09-21T00:00:00"/>
    <n v="0"/>
    <n v="0"/>
    <n v="0"/>
    <d v="2016-08-25T00:00:00"/>
    <m/>
    <n v="141.5"/>
    <s v=""/>
    <s v=""/>
    <n v="0"/>
    <n v="0"/>
    <n v="3.0815181758577909E-2"/>
    <m/>
    <m/>
    <m/>
    <m/>
    <m/>
    <s v=""/>
    <m/>
    <m/>
    <m/>
    <s v=""/>
    <s v=""/>
    <m/>
    <s v=""/>
    <m/>
    <d v="2016-02-25T00:00:00"/>
    <n v="90"/>
    <n v="102.4"/>
    <n v="85.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4.42499999999998"/>
    <n v="267.67650000000003"/>
    <m/>
    <m/>
    <n v="0"/>
    <s v=""/>
    <n v="0"/>
    <s v=""/>
    <s v="{CF2675AB-CE0B-48E2-AF62-EB6B70530A45}"/>
    <s v=""/>
    <s v=""/>
    <s v=""/>
    <s v=""/>
    <s v=""/>
    <s v=""/>
    <s v=""/>
    <s v=""/>
    <s v=""/>
    <s v=""/>
    <x v="0"/>
    <s v=""/>
  </r>
  <r>
    <s v="T"/>
    <n v="18.03"/>
    <s v="Div"/>
    <n v="15.3255"/>
    <x v="148"/>
    <x v="3"/>
    <s v="Acquisition of TWX should eventually be acretive; as should competitive advantage in 5G. Great dividend payer"/>
    <s v="TWX and 5G are still year or so future; heavey debt burden,  when rates rise unfinanced debt will be more expensive(?) and attractiveness of dividend will lessen"/>
    <m/>
    <s v="Bearish_x000a_20-d is down trending for 8 bars with price below both the 20-d and only just above the 100-d"/>
    <s v="Bearish_x000a_Some divergence._x000a_Histogram shows momentum about to dip below center._x000a_"/>
    <s v="Bearish_x000a_M: Sell since Apr W: Buy D: Sell (8 bars)"/>
    <s v="Bearish_x000a_M: Red W: Blue D: Red (last bar)"/>
    <s v="Neutral"/>
    <s v="Weak"/>
    <s v="Below Avg"/>
    <m/>
    <m/>
    <s v="RANGE"/>
    <d v="2023-01-19T00:00:00"/>
    <d v="2023-01-19T00:00:00"/>
    <m/>
    <m/>
    <m/>
    <m/>
    <m/>
    <m/>
    <m/>
    <m/>
    <s v=""/>
    <n v="0"/>
    <n v="0"/>
    <s v=""/>
    <m/>
    <m/>
    <s v=""/>
    <s v=""/>
    <s v=""/>
    <s v=""/>
    <s v=""/>
    <n v="2.08"/>
    <d v="2021-11-02T00:00:00"/>
    <n v="0"/>
    <n v="0"/>
    <n v="0.115363283416528"/>
    <d v="2021-10-08T00:00:00"/>
    <m/>
    <n v="26.71"/>
    <s v=""/>
    <s v=""/>
    <n v="0"/>
    <n v="0"/>
    <n v="0.48141985579589569"/>
    <n v="16.5"/>
    <s v="assignment"/>
    <n v="16.5"/>
    <s v="free money"/>
    <s v="CCs"/>
    <s v=""/>
    <m/>
    <n v="0.52900000000000003"/>
    <d v="2021-07-02T00:00:00"/>
    <n v="17.501000000000001"/>
    <n v="18.559000000000001"/>
    <n v="24.27"/>
    <n v="22.571099999999998"/>
    <m/>
    <d v="2022-10-22T00:00:00"/>
    <n v="16"/>
    <n v="19.2"/>
    <n v="1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1.59"/>
    <m/>
    <s v=""/>
    <s v=""/>
    <b v="0"/>
    <d v="2022-10-28T00:00:00"/>
    <s v=""/>
    <n v="0"/>
    <n v="1.59"/>
    <n v="8.8186356073211319E-2"/>
    <s v=""/>
    <s v=""/>
    <s v=""/>
    <s v=""/>
    <s v=""/>
    <s v=""/>
    <s v=""/>
    <s v=""/>
    <s v=""/>
    <s v=""/>
    <s v=""/>
    <s v=""/>
    <s v=""/>
    <s v=""/>
    <s v=""/>
    <s v=""/>
    <m/>
    <n v="0"/>
    <n v="25.374500000000001"/>
    <n v="35.158500000000004"/>
    <m/>
    <m/>
    <n v="0"/>
    <s v=""/>
    <n v="0"/>
    <s v=""/>
    <s v="{1A2599CA-3A9D-4D31-9F6B-F1E711CCD0F0}"/>
    <s v=""/>
    <s v=""/>
    <s v=""/>
    <s v=""/>
    <s v=""/>
    <s v=""/>
    <s v=""/>
    <s v=""/>
    <s v=""/>
    <s v=""/>
    <x v="0"/>
    <s v=""/>
  </r>
  <r>
    <s v="TAL"/>
    <n v="76.66"/>
    <m/>
    <n v="65.161000000000001"/>
    <x v="149"/>
    <x v="4"/>
    <m/>
    <m/>
    <m/>
    <m/>
    <m/>
    <m/>
    <m/>
    <m/>
    <m/>
    <m/>
    <m/>
    <m/>
    <m/>
    <d v="2022-07-29T04:00:00"/>
    <d v="2022-07-29T04:00:00"/>
    <m/>
    <m/>
    <m/>
    <m/>
    <m/>
    <m/>
    <m/>
    <m/>
    <s v=""/>
    <n v="0"/>
    <n v="0"/>
    <s v=""/>
    <m/>
    <m/>
    <s v=""/>
    <s v=""/>
    <s v=""/>
    <s v=""/>
    <s v=""/>
    <m/>
    <m/>
    <n v="0"/>
    <n v="0"/>
    <n v="0"/>
    <m/>
    <m/>
    <n v="86.49"/>
    <s v=""/>
    <s v=""/>
    <n v="0"/>
    <n v="0"/>
    <n v="0.1282285416123140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2.165499999999994"/>
    <n v="149.48699999999999"/>
    <m/>
    <m/>
    <n v="0"/>
    <s v=""/>
    <n v="0"/>
    <s v=""/>
    <m/>
    <s v=""/>
    <s v=""/>
    <s v=""/>
    <s v=""/>
    <s v=""/>
    <s v=""/>
    <s v=""/>
    <s v=""/>
    <s v=""/>
    <s v=""/>
    <x v="0"/>
    <s v=""/>
  </r>
  <r>
    <s v="TAN"/>
    <n v="73.05"/>
    <s v="Swing"/>
    <n v="62.092499999999994"/>
    <x v="52"/>
    <x v="7"/>
    <m/>
    <m/>
    <m/>
    <m/>
    <m/>
    <m/>
    <m/>
    <m/>
    <m/>
    <m/>
    <m/>
    <m/>
    <s v="BULLISH"/>
    <m/>
    <m/>
    <m/>
    <m/>
    <m/>
    <m/>
    <m/>
    <m/>
    <m/>
    <m/>
    <s v=""/>
    <n v="0"/>
    <n v="0"/>
    <s v=""/>
    <m/>
    <m/>
    <s v=""/>
    <s v=""/>
    <s v=""/>
    <s v=""/>
    <s v=""/>
    <m/>
    <m/>
    <n v="0"/>
    <n v="0"/>
    <n v="0"/>
    <m/>
    <m/>
    <m/>
    <s v=""/>
    <s v=""/>
    <n v="0"/>
    <n v="0"/>
    <s v=""/>
    <m/>
    <m/>
    <m/>
    <m/>
    <m/>
    <s v=""/>
    <m/>
    <m/>
    <m/>
    <s v=""/>
    <s v=""/>
    <n v="75.3"/>
    <n v="70.028999999999996"/>
    <m/>
    <d v="2022-07-06T00:00:00"/>
    <n v="41.6"/>
    <n v="55.1"/>
    <n v="38.9"/>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42.44749999999999"/>
    <m/>
    <m/>
    <n v="0"/>
    <s v=""/>
    <n v="0"/>
    <s v=""/>
    <m/>
    <s v=""/>
    <s v=""/>
    <s v=""/>
    <s v=""/>
    <s v=""/>
    <s v=""/>
    <s v=""/>
    <s v=""/>
    <s v=""/>
    <s v=""/>
    <x v="0"/>
    <s v=""/>
  </r>
  <r>
    <s v="TDOC"/>
    <n v="38.93"/>
    <s v="MT"/>
    <n v="33.090499999999999"/>
    <x v="150"/>
    <x v="3"/>
    <m/>
    <m/>
    <m/>
    <m/>
    <m/>
    <m/>
    <m/>
    <m/>
    <m/>
    <m/>
    <m/>
    <m/>
    <s v="BULLISH"/>
    <d v="2022-07-26T16:05:00"/>
    <d v="2022-07-26T16:05:00"/>
    <m/>
    <m/>
    <m/>
    <m/>
    <m/>
    <m/>
    <m/>
    <m/>
    <s v=""/>
    <n v="0"/>
    <n v="0"/>
    <s v=""/>
    <m/>
    <m/>
    <s v=""/>
    <s v=""/>
    <s v=""/>
    <s v=""/>
    <s v=""/>
    <m/>
    <m/>
    <n v="0"/>
    <n v="0"/>
    <n v="0"/>
    <m/>
    <m/>
    <n v="57.66"/>
    <s v=""/>
    <s v=""/>
    <n v="0"/>
    <n v="0"/>
    <n v="0.48111995890059073"/>
    <n v="43"/>
    <s v="free money"/>
    <n v="43"/>
    <s v="Assignment"/>
    <s v="SPs"/>
    <s v=""/>
    <m/>
    <m/>
    <m/>
    <s v=""/>
    <s v=""/>
    <n v="41.71"/>
    <n v="38.790299999999995"/>
    <m/>
    <d v="2022-07-05T00:00:00"/>
    <n v="29.9"/>
    <n v="46.7"/>
    <n v="25.3"/>
    <s v="LTD RISE"/>
    <s v="RANGE"/>
    <m/>
    <s v=""/>
    <m/>
    <m/>
    <m/>
    <m/>
    <m/>
    <m/>
    <n v="0"/>
    <n v="0"/>
    <m/>
    <s v=""/>
    <s v=""/>
    <m/>
    <m/>
    <m/>
    <m/>
    <m/>
    <m/>
    <n v="0"/>
    <s v=""/>
    <s v=""/>
    <s v=""/>
    <s v=""/>
    <n v="0"/>
    <s v=""/>
    <n v="0"/>
    <m/>
    <n v="0"/>
    <s v=""/>
    <s v=""/>
    <s v=""/>
    <m/>
    <n v="0"/>
    <m/>
    <s v=""/>
    <s v=""/>
    <s v=""/>
    <d v="2022-07-08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4.776999999999994"/>
    <n v="75.913499999999999"/>
    <m/>
    <m/>
    <n v="0"/>
    <s v=""/>
    <n v="0"/>
    <s v=""/>
    <s v="{22EBFB91-0A5C-4055-A01B-881784AF2D54}"/>
    <s v=""/>
    <s v=""/>
    <s v=""/>
    <s v=""/>
    <s v=""/>
    <s v=""/>
    <s v=""/>
    <s v=""/>
    <s v=""/>
    <s v=""/>
    <x v="0"/>
    <s v=""/>
  </r>
  <r>
    <s v="TER"/>
    <n v="75.09"/>
    <m/>
    <n v="63.826500000000003"/>
    <x v="16"/>
    <x v="3"/>
    <m/>
    <m/>
    <m/>
    <m/>
    <m/>
    <m/>
    <m/>
    <m/>
    <m/>
    <m/>
    <m/>
    <m/>
    <s v="BULLISH"/>
    <d v="2022-08-12T00:00:00"/>
    <d v="2022-08-12T00:00:00"/>
    <s v="Confirmed"/>
    <m/>
    <m/>
    <m/>
    <m/>
    <m/>
    <m/>
    <m/>
    <s v=""/>
    <n v="0"/>
    <n v="0"/>
    <s v=""/>
    <m/>
    <m/>
    <s v=""/>
    <s v=""/>
    <s v=""/>
    <s v=""/>
    <s v=""/>
    <m/>
    <m/>
    <n v="0"/>
    <n v="0"/>
    <n v="0"/>
    <m/>
    <m/>
    <n v="68.75"/>
    <s v=""/>
    <s v=""/>
    <n v="0"/>
    <n v="0"/>
    <n v="-8.4432014915434853E-2"/>
    <m/>
    <m/>
    <m/>
    <m/>
    <m/>
    <s v=""/>
    <m/>
    <m/>
    <m/>
    <s v=""/>
    <s v=""/>
    <n v="63.1"/>
    <n v="58.683"/>
    <m/>
    <d v="2020-05-22T00:00:00"/>
    <n v="56.1"/>
    <n v="74.900000000000006"/>
    <n v="49.9"/>
    <s v="LTD RIS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0.95"/>
    <m/>
    <s v=""/>
    <s v=""/>
    <b v="0"/>
    <m/>
    <s v=""/>
    <n v="0"/>
    <n v="0.95"/>
    <n v="1.2651484884804899E-2"/>
    <s v=""/>
    <s v=""/>
    <s v=""/>
    <s v=""/>
    <s v=""/>
    <s v=""/>
    <s v=""/>
    <s v=""/>
    <s v=""/>
    <s v=""/>
    <s v=""/>
    <s v=""/>
    <s v=""/>
    <s v=""/>
    <s v=""/>
    <s v=""/>
    <m/>
    <n v="0"/>
    <n v="65.3125"/>
    <n v="146.4255"/>
    <m/>
    <m/>
    <n v="0"/>
    <s v=""/>
    <n v="0"/>
    <s v=""/>
    <s v="{66DC3F34-A4A7-4FA3-819A-D0F385E85706}"/>
    <s v=""/>
    <s v=""/>
    <s v=""/>
    <s v=""/>
    <s v=""/>
    <s v=""/>
    <s v=""/>
    <s v=""/>
    <s v=""/>
    <s v=""/>
    <x v="0"/>
    <s v=""/>
  </r>
  <r>
    <s v="TEVA"/>
    <n v="11.27"/>
    <s v="Prem"/>
    <n v="9.5794999999999995"/>
    <x v="6"/>
    <x v="2"/>
    <m/>
    <m/>
    <m/>
    <m/>
    <m/>
    <m/>
    <m/>
    <m/>
    <m/>
    <m/>
    <m/>
    <m/>
    <s v="BULLISH"/>
    <d v="2022-08-02T07:00:00"/>
    <d v="2022-08-02T07:00:00"/>
    <m/>
    <m/>
    <m/>
    <m/>
    <m/>
    <m/>
    <m/>
    <m/>
    <s v=""/>
    <n v="0"/>
    <n v="0"/>
    <s v=""/>
    <m/>
    <m/>
    <s v=""/>
    <s v=""/>
    <s v=""/>
    <s v=""/>
    <s v=""/>
    <m/>
    <m/>
    <n v="0"/>
    <n v="0"/>
    <n v="0"/>
    <m/>
    <m/>
    <n v="11.92"/>
    <s v=""/>
    <s v=""/>
    <n v="0"/>
    <n v="0"/>
    <n v="5.7675244010647768E-2"/>
    <n v="11"/>
    <s v="assignment"/>
    <n v="11"/>
    <s v="free money"/>
    <s v="CCs"/>
    <s v=""/>
    <m/>
    <m/>
    <m/>
    <s v=""/>
    <s v=""/>
    <n v="10.71"/>
    <n v="9.9603000000000002"/>
    <m/>
    <d v="2021-06-10T00:00:00"/>
    <n v="10"/>
    <n v="12"/>
    <n v="9.4"/>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324"/>
    <n v="21.976499999999998"/>
    <m/>
    <m/>
    <n v="0"/>
    <s v=""/>
    <n v="0"/>
    <s v=""/>
    <m/>
    <s v=""/>
    <s v=""/>
    <s v=""/>
    <s v=""/>
    <s v=""/>
    <s v=""/>
    <s v=""/>
    <s v=""/>
    <s v=""/>
    <s v=""/>
    <x v="0"/>
    <s v=""/>
  </r>
  <r>
    <s v="TGT"/>
    <n v="110.11"/>
    <m/>
    <n v="93.593499999999992"/>
    <x v="18"/>
    <x v="8"/>
    <s v="Great mgt with focus on organic and healthy food as well as &quot;City Target&quot; for urban growth. Well poised to steal more from WMT"/>
    <m/>
    <m/>
    <s v="UP"/>
    <s v="CONVERGE"/>
    <s v="UP"/>
    <s v="UP"/>
    <s v="Over 80"/>
    <s v="UP"/>
    <s v="AVG"/>
    <m/>
    <m/>
    <s v="BULLISH"/>
    <d v="2022-08-17T06:30:00"/>
    <d v="2022-08-17T06:30:00"/>
    <m/>
    <m/>
    <m/>
    <m/>
    <m/>
    <m/>
    <m/>
    <m/>
    <s v=""/>
    <n v="0"/>
    <n v="0"/>
    <s v=""/>
    <m/>
    <m/>
    <s v=""/>
    <s v=""/>
    <s v=""/>
    <s v=""/>
    <s v=""/>
    <n v="1"/>
    <d v="2016-12-28T00:00:00"/>
    <n v="0"/>
    <n v="0"/>
    <n v="9.0818272636454447E-3"/>
    <d v="2019-11-20T00:00:00"/>
    <m/>
    <n v="124.39"/>
    <s v=""/>
    <s v=""/>
    <n v="0"/>
    <n v="0"/>
    <n v="0.12968849332485696"/>
    <n v="115"/>
    <s v="assignment"/>
    <n v="105"/>
    <s v="Losses"/>
    <s v="BuCS"/>
    <s v=""/>
    <m/>
    <m/>
    <m/>
    <s v=""/>
    <s v=""/>
    <m/>
    <s v=""/>
    <m/>
    <d v="2019-09-27T00:00:00"/>
    <n v="97.5"/>
    <n v="125.6"/>
    <n v="87"/>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1.06"/>
    <m/>
    <s v=""/>
    <s v=""/>
    <b v="0"/>
    <m/>
    <s v=""/>
    <n v="0"/>
    <n v="1.06"/>
    <n v="9.6267368994641719E-3"/>
    <s v=""/>
    <s v=""/>
    <s v=""/>
    <s v=""/>
    <s v=""/>
    <s v=""/>
    <s v=""/>
    <s v=""/>
    <s v=""/>
    <s v=""/>
    <s v=""/>
    <s v=""/>
    <s v=""/>
    <s v=""/>
    <s v=""/>
    <s v=""/>
    <m/>
    <n v="0"/>
    <n v="118.17049999999999"/>
    <n v="214.71449999999999"/>
    <m/>
    <m/>
    <n v="0"/>
    <s v=""/>
    <n v="0"/>
    <s v=""/>
    <s v="{FAFBF6BB-4C5A-4C50-BD6F-2B82B6735BCB}"/>
    <s v=""/>
    <s v=""/>
    <s v=""/>
    <s v=""/>
    <s v=""/>
    <s v=""/>
    <s v=""/>
    <s v=""/>
    <s v=""/>
    <s v=""/>
    <x v="0"/>
    <s v=""/>
  </r>
  <r>
    <s v="MSFT"/>
    <n v="248.6"/>
    <s v="CORE"/>
    <n v="211.31"/>
    <x v="80"/>
    <x v="3"/>
    <s v="tax reform/repatriation, cash flow, azure, huge growth"/>
    <m/>
    <m/>
    <s v="Bullish_x000a_Price well above 20-d which well above 100-d, both up-trending"/>
    <s v="Bullish_x000a_no divergence._x000a_Histogram at center with MACD above signal &amp; positive_x000a_"/>
    <s v="Bullish_x000a_M: Buy W: Buy D: Buy"/>
    <s v="Bullish_x000a_M: Green W: Green D: Blue"/>
    <s v="Overbought_x000a_%K well over 80 since yesterday"/>
    <s v="Strong"/>
    <s v="Average"/>
    <s v="Buy Write"/>
    <d v="2018-01-24T13:35:20"/>
    <s v="BULLISH"/>
    <d v="2022-10-25T16:05:00"/>
    <d v="2022-10-25T16:05:00"/>
    <m/>
    <m/>
    <m/>
    <n v="2"/>
    <b v="1"/>
    <m/>
    <m/>
    <m/>
    <s v=""/>
    <n v="0"/>
    <n v="0"/>
    <s v=""/>
    <n v="278"/>
    <n v="214"/>
    <s v=""/>
    <s v=""/>
    <s v=""/>
    <s v=""/>
    <s v=""/>
    <n v="1.2745599999999999"/>
    <d v="2021-09-09T00:00:00"/>
    <n v="0"/>
    <n v="0"/>
    <n v="5.1269509251810133E-3"/>
    <d v="2021-08-18T00:00:00"/>
    <n v="290"/>
    <n v="359.89"/>
    <n v="0.16653258246178604"/>
    <s v=""/>
    <n v="0"/>
    <n v="0"/>
    <n v="0.44766693483507641"/>
    <m/>
    <m/>
    <m/>
    <m/>
    <m/>
    <s v=""/>
    <m/>
    <m/>
    <m/>
    <s v=""/>
    <s v=""/>
    <n v="131.38"/>
    <n v="122.18339999999999"/>
    <m/>
    <d v="2022-09-12T00:00:00"/>
    <n v="273.5"/>
    <n v="283.8"/>
    <n v="242.1"/>
    <s v="DECLINE"/>
    <s v="BEARISH"/>
    <m/>
    <m/>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m/>
    <s v=""/>
    <s v=""/>
    <s v=""/>
    <s v=""/>
    <s v=""/>
    <s v=""/>
    <s v=""/>
    <s v=""/>
    <s v=""/>
    <s v=""/>
    <s v=""/>
    <m/>
    <n v="0"/>
    <n v="341.89549999999997"/>
    <n v="484.77"/>
    <m/>
    <n v="51.18"/>
    <n v="0"/>
    <s v=""/>
    <n v="0"/>
    <s v=""/>
    <s v="{3E8669F1-35E1-41E8-8853-5BEC7ABE65FF}"/>
    <s v=""/>
    <s v=""/>
    <s v=""/>
    <s v=""/>
    <s v=""/>
    <s v=""/>
    <s v=""/>
    <s v=""/>
    <s v=""/>
    <s v=""/>
    <x v="0"/>
    <s v=""/>
  </r>
  <r>
    <s v="TKR"/>
    <n v="41.43"/>
    <m/>
    <n v="35.215499999999999"/>
    <x v="147"/>
    <x v="13"/>
    <m/>
    <m/>
    <m/>
    <m/>
    <m/>
    <m/>
    <m/>
    <m/>
    <m/>
    <m/>
    <m/>
    <m/>
    <m/>
    <d v="2022-08-01T06:50:00"/>
    <d v="2022-08-01T06:50:00"/>
    <m/>
    <m/>
    <m/>
    <m/>
    <m/>
    <m/>
    <m/>
    <m/>
    <s v=""/>
    <n v="0"/>
    <n v="0"/>
    <s v=""/>
    <m/>
    <m/>
    <s v=""/>
    <s v=""/>
    <s v=""/>
    <s v=""/>
    <s v=""/>
    <n v="1"/>
    <d v="2016-12-28T00:00:00"/>
    <n v="0"/>
    <n v="0"/>
    <n v="2.4137098720733767E-2"/>
    <d v="2016-12-08T00:00:00"/>
    <m/>
    <n v="51.89"/>
    <s v=""/>
    <s v=""/>
    <n v="0"/>
    <n v="0"/>
    <n v="0.2524740526188752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9.295499999999997"/>
    <n v="80.788499999999999"/>
    <m/>
    <m/>
    <n v="0"/>
    <s v=""/>
    <n v="0"/>
    <s v=""/>
    <s v="{40E2CAA2-1C99-4F9F-94B6-1FE69CE99ECE}"/>
    <s v=""/>
    <s v=""/>
    <s v=""/>
    <s v=""/>
    <s v=""/>
    <s v=""/>
    <s v=""/>
    <s v=""/>
    <s v=""/>
    <s v=""/>
    <x v="0"/>
    <s v=""/>
  </r>
  <r>
    <s v="TLRY"/>
    <n v="6.97"/>
    <s v="Lottery"/>
    <n v="5.9244999999999992"/>
    <x v="6"/>
    <x v="2"/>
    <m/>
    <m/>
    <m/>
    <m/>
    <m/>
    <m/>
    <m/>
    <m/>
    <m/>
    <m/>
    <m/>
    <m/>
    <s v="Lottery"/>
    <d v="2022-07-06T07:00:00"/>
    <d v="2022-07-06T07:00:00"/>
    <m/>
    <m/>
    <m/>
    <m/>
    <m/>
    <m/>
    <m/>
    <m/>
    <s v=""/>
    <n v="0"/>
    <n v="0"/>
    <s v=""/>
    <m/>
    <m/>
    <s v=""/>
    <s v=""/>
    <s v=""/>
    <s v=""/>
    <s v=""/>
    <m/>
    <m/>
    <n v="0"/>
    <n v="0"/>
    <n v="0"/>
    <m/>
    <m/>
    <n v="8.6999999999999993"/>
    <s v=""/>
    <s v=""/>
    <n v="0"/>
    <n v="0"/>
    <n v="0.24820659971305589"/>
    <m/>
    <m/>
    <m/>
    <m/>
    <m/>
    <s v=""/>
    <m/>
    <m/>
    <m/>
    <s v=""/>
    <s v=""/>
    <n v="24.64"/>
    <n v="22.915199999999999"/>
    <m/>
    <d v="2022-03-21T00:00:00"/>
    <n v="4.82"/>
    <n v="6.76"/>
    <n v="4.2"/>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2649999999999988"/>
    <n v="13.5915"/>
    <m/>
    <m/>
    <n v="0"/>
    <s v=""/>
    <n v="0"/>
    <s v=""/>
    <s v="{08554B1C-B1EF-461D-93BD-FA6DFBB4CDD8}"/>
    <s v=""/>
    <s v=""/>
    <s v=""/>
    <s v=""/>
    <s v=""/>
    <s v=""/>
    <s v=""/>
    <s v=""/>
    <s v=""/>
    <s v=""/>
    <x v="0"/>
    <s v=""/>
  </r>
  <r>
    <s v="TLT"/>
    <n v="135.04"/>
    <m/>
    <n v="114.78399999999999"/>
    <x v="52"/>
    <x v="7"/>
    <m/>
    <m/>
    <m/>
    <m/>
    <m/>
    <m/>
    <m/>
    <m/>
    <m/>
    <m/>
    <m/>
    <m/>
    <s v="NEUTRAL"/>
    <d v="2022-07-06T07:00:00"/>
    <d v="2022-07-06T07:00:00"/>
    <m/>
    <m/>
    <m/>
    <m/>
    <m/>
    <m/>
    <m/>
    <m/>
    <s v=""/>
    <n v="0"/>
    <n v="0"/>
    <s v=""/>
    <m/>
    <m/>
    <s v=""/>
    <s v=""/>
    <s v=""/>
    <s v=""/>
    <s v=""/>
    <m/>
    <m/>
    <n v="0"/>
    <n v="0"/>
    <n v="0"/>
    <m/>
    <m/>
    <s v="-"/>
    <s v=""/>
    <s v=""/>
    <n v="0"/>
    <n v="0"/>
    <s v=""/>
    <n v="138"/>
    <s v="close NP"/>
    <n v="138"/>
    <s v="Losses"/>
    <s v="BuPS"/>
    <s v=""/>
    <m/>
    <m/>
    <m/>
    <s v=""/>
    <s v=""/>
    <m/>
    <s v=""/>
    <m/>
    <d v="2019-11-05T00:00:00"/>
    <n v="139.80000000000001"/>
    <n v="142.80000000000001"/>
    <n v="131.4"/>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63.32799999999997"/>
    <m/>
    <m/>
    <n v="0"/>
    <s v=""/>
    <n v="0"/>
    <s v=""/>
    <s v="{5ECB8524-3904-428D-859D-A83A789B12C7}"/>
    <s v=""/>
    <s v=""/>
    <s v=""/>
    <s v=""/>
    <s v=""/>
    <s v=""/>
    <s v=""/>
    <s v=""/>
    <s v=""/>
    <s v=""/>
    <x v="0"/>
    <s v=""/>
  </r>
  <r>
    <s v="TME"/>
    <n v="14.45"/>
    <m/>
    <n v="12.282499999999999"/>
    <x v="45"/>
    <x v="3"/>
    <m/>
    <m/>
    <m/>
    <m/>
    <m/>
    <m/>
    <m/>
    <m/>
    <m/>
    <m/>
    <m/>
    <m/>
    <s v="BULLISH"/>
    <d v="2022-08-15T16:05:00"/>
    <d v="2022-08-15T16:05:00"/>
    <m/>
    <m/>
    <m/>
    <m/>
    <m/>
    <m/>
    <m/>
    <m/>
    <s v=""/>
    <n v="0"/>
    <n v="0"/>
    <s v=""/>
    <m/>
    <m/>
    <s v=""/>
    <s v=""/>
    <s v=""/>
    <s v=""/>
    <s v=""/>
    <m/>
    <m/>
    <n v="0"/>
    <n v="0"/>
    <n v="0"/>
    <m/>
    <m/>
    <n v="99.79"/>
    <s v=""/>
    <s v=""/>
    <n v="0"/>
    <n v="0"/>
    <n v="5.9058823529411768"/>
    <m/>
    <m/>
    <m/>
    <m/>
    <m/>
    <s v=""/>
    <m/>
    <m/>
    <m/>
    <s v=""/>
    <s v=""/>
    <m/>
    <s v=""/>
    <m/>
    <d v="2019-03-19T00:00:00"/>
    <n v="17.2"/>
    <n v="15.5"/>
    <n v="22.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4.8005"/>
    <n v="28.177499999999998"/>
    <m/>
    <m/>
    <n v="0"/>
    <s v=""/>
    <n v="0"/>
    <s v=""/>
    <s v="{A589E0AF-1384-4B13-807D-532A6D051A28}"/>
    <s v=""/>
    <s v=""/>
    <s v=""/>
    <s v=""/>
    <s v=""/>
    <s v=""/>
    <s v=""/>
    <s v=""/>
    <s v=""/>
    <s v=""/>
    <x v="0"/>
    <s v=""/>
  </r>
  <r>
    <s v="TMO"/>
    <n v="276.37"/>
    <m/>
    <n v="234.9145"/>
    <x v="87"/>
    <x v="2"/>
    <s v="Top &amp; bottom line beat with better growth prospects in China than previously though"/>
    <m/>
    <m/>
    <m/>
    <m/>
    <m/>
    <m/>
    <m/>
    <m/>
    <m/>
    <m/>
    <m/>
    <m/>
    <d v="2022-07-28T06:00:00"/>
    <d v="2022-07-28T06:00:00"/>
    <m/>
    <m/>
    <m/>
    <m/>
    <m/>
    <m/>
    <m/>
    <m/>
    <s v=""/>
    <n v="0"/>
    <n v="0"/>
    <s v=""/>
    <m/>
    <m/>
    <s v=""/>
    <s v=""/>
    <s v=""/>
    <s v=""/>
    <s v=""/>
    <n v="0.3"/>
    <d v="2016-12-23T00:00:00"/>
    <n v="0"/>
    <n v="0"/>
    <n v="1.0855013206932734E-3"/>
    <d v="2016-11-29T00:00:00"/>
    <m/>
    <n v="334.19"/>
    <s v=""/>
    <s v=""/>
    <n v="0"/>
    <n v="0"/>
    <n v="0.20921228787495022"/>
    <m/>
    <m/>
    <m/>
    <m/>
    <m/>
    <s v=""/>
    <m/>
    <m/>
    <m/>
    <s v=""/>
    <s v=""/>
    <m/>
    <s v=""/>
    <m/>
    <d v="2016-02-04T00:00:00"/>
    <n v="133.6"/>
    <n v="143.9"/>
    <n v="114.7"/>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7.48050000000001"/>
    <n v="538.92150000000004"/>
    <m/>
    <m/>
    <n v="0"/>
    <s v=""/>
    <n v="0"/>
    <s v=""/>
    <s v="{71C2447E-F9C5-447B-8C0F-6D9C1A271A80}"/>
    <s v=""/>
    <s v=""/>
    <s v=""/>
    <s v=""/>
    <s v=""/>
    <s v=""/>
    <s v=""/>
    <s v=""/>
    <s v=""/>
    <s v=""/>
    <x v="0"/>
    <s v=""/>
  </r>
  <r>
    <s v="TMUS"/>
    <n v="80.12"/>
    <m/>
    <n v="68.102000000000004"/>
    <x v="151"/>
    <x v="3"/>
    <m/>
    <m/>
    <m/>
    <m/>
    <m/>
    <m/>
    <m/>
    <m/>
    <m/>
    <m/>
    <m/>
    <m/>
    <s v="BULLISH"/>
    <d v="2022-07-27T06:55:00"/>
    <d v="2022-07-27T06:55:00"/>
    <m/>
    <s v="FCC ruling"/>
    <m/>
    <m/>
    <m/>
    <m/>
    <m/>
    <m/>
    <s v=""/>
    <n v="0"/>
    <n v="0"/>
    <s v=""/>
    <m/>
    <m/>
    <s v=""/>
    <s v=""/>
    <s v=""/>
    <s v=""/>
    <s v=""/>
    <m/>
    <m/>
    <n v="0"/>
    <n v="0"/>
    <n v="0"/>
    <m/>
    <m/>
    <n v="100.05"/>
    <s v=""/>
    <s v=""/>
    <n v="0"/>
    <n v="0"/>
    <n v="0.24875187219171233"/>
    <n v="75"/>
    <s v="free money"/>
    <n v="75"/>
    <s v="Assignment"/>
    <s v="CCs"/>
    <s v=""/>
    <m/>
    <m/>
    <m/>
    <s v=""/>
    <s v=""/>
    <m/>
    <s v=""/>
    <m/>
    <d v="2019-09-13T00:00:00"/>
    <n v="77.3"/>
    <n v="84.6"/>
    <n v="74.900000000000006"/>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5.047499999999999"/>
    <n v="156.23400000000001"/>
    <m/>
    <m/>
    <n v="0"/>
    <s v=""/>
    <n v="0"/>
    <s v=""/>
    <s v="{6090BC3C-ABAD-4406-A002-54F1EC440F48}"/>
    <s v=""/>
    <s v=""/>
    <s v=""/>
    <s v=""/>
    <s v=""/>
    <s v=""/>
    <s v=""/>
    <s v=""/>
    <s v=""/>
    <s v=""/>
    <x v="0"/>
    <s v=""/>
  </r>
  <r>
    <s v="TNA"/>
    <n v="55.6"/>
    <m/>
    <n v="47.26"/>
    <x v="52"/>
    <x v="7"/>
    <m/>
    <m/>
    <m/>
    <m/>
    <m/>
    <m/>
    <m/>
    <m/>
    <m/>
    <m/>
    <m/>
    <m/>
    <s v="BULLISH"/>
    <d v="2022-07-27T06:55:00"/>
    <d v="2022-07-27T06:55:00"/>
    <m/>
    <m/>
    <m/>
    <m/>
    <m/>
    <n v="1"/>
    <m/>
    <m/>
    <s v=""/>
    <n v="0"/>
    <n v="0"/>
    <s v=""/>
    <m/>
    <m/>
    <s v=""/>
    <s v=""/>
    <s v=""/>
    <s v=""/>
    <s v=""/>
    <m/>
    <m/>
    <n v="0"/>
    <n v="0"/>
    <n v="0"/>
    <m/>
    <m/>
    <s v="-"/>
    <s v=""/>
    <s v=""/>
    <n v="0"/>
    <n v="0"/>
    <s v=""/>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08.42"/>
    <m/>
    <m/>
    <n v="0"/>
    <s v=""/>
    <n v="0"/>
    <s v=""/>
    <s v="{8B8A931D-B86F-4F3B-9BC1-FB09CF3E7C64}"/>
    <s v=""/>
    <s v=""/>
    <s v=""/>
    <s v=""/>
    <s v=""/>
    <s v=""/>
    <s v=""/>
    <s v=""/>
    <s v=""/>
    <s v=""/>
    <x v="0"/>
    <s v=""/>
  </r>
  <r>
    <s v="TNDM"/>
    <n v="72.344999999999999"/>
    <m/>
    <n v="61.493249999999996"/>
    <x v="105"/>
    <x v="2"/>
    <m/>
    <m/>
    <m/>
    <m/>
    <m/>
    <m/>
    <m/>
    <m/>
    <m/>
    <m/>
    <m/>
    <m/>
    <s v="BULLISH"/>
    <d v="2022-08-03T16:00:00"/>
    <d v="2022-08-03T16:00:00"/>
    <m/>
    <m/>
    <m/>
    <m/>
    <m/>
    <m/>
    <m/>
    <m/>
    <s v=""/>
    <n v="0"/>
    <n v="0"/>
    <s v=""/>
    <m/>
    <m/>
    <s v=""/>
    <s v=""/>
    <s v=""/>
    <s v=""/>
    <s v=""/>
    <m/>
    <m/>
    <n v="0"/>
    <n v="0"/>
    <n v="0"/>
    <m/>
    <m/>
    <n v="88.07"/>
    <s v=""/>
    <s v=""/>
    <n v="0"/>
    <n v="0"/>
    <n v="0.21736125509710408"/>
    <n v="70"/>
    <s v="free money"/>
    <n v="70"/>
    <s v="Assignment"/>
    <s v="SPs"/>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3.666499999999985"/>
    <n v="141.07274999999998"/>
    <m/>
    <m/>
    <n v="0"/>
    <s v=""/>
    <n v="0"/>
    <s v=""/>
    <s v="{E164EDA5-B79D-4345-81F3-6BE97A231799}"/>
    <s v=""/>
    <s v=""/>
    <s v=""/>
    <s v=""/>
    <s v=""/>
    <s v=""/>
    <s v=""/>
    <s v=""/>
    <s v=""/>
    <s v=""/>
    <x v="0"/>
    <s v=""/>
  </r>
  <r>
    <s v="TQQQ"/>
    <n v="43.32"/>
    <s v="Swing"/>
    <n v="36.822000000000003"/>
    <x v="52"/>
    <x v="7"/>
    <m/>
    <m/>
    <m/>
    <m/>
    <m/>
    <m/>
    <m/>
    <m/>
    <m/>
    <m/>
    <m/>
    <m/>
    <s v="RANGE"/>
    <d v="2022-08-03T16:00:00"/>
    <d v="2022-08-03T16:00:00"/>
    <m/>
    <m/>
    <m/>
    <m/>
    <m/>
    <m/>
    <m/>
    <m/>
    <s v=""/>
    <n v="0"/>
    <n v="0"/>
    <s v=""/>
    <m/>
    <m/>
    <s v=""/>
    <s v=""/>
    <s v=""/>
    <s v=""/>
    <s v=""/>
    <m/>
    <m/>
    <n v="0"/>
    <n v="0"/>
    <n v="0"/>
    <m/>
    <m/>
    <s v="-"/>
    <s v=""/>
    <s v=""/>
    <n v="0"/>
    <n v="0"/>
    <s v=""/>
    <n v="105"/>
    <s v="Losses"/>
    <n v="80"/>
    <s v="Losses"/>
    <s v="condor"/>
    <s v=""/>
    <m/>
    <m/>
    <m/>
    <s v=""/>
    <s v=""/>
    <m/>
    <s v=""/>
    <m/>
    <d v="2020-03-06T00:00:00"/>
    <n v="82.313000000000002"/>
    <n v="85.537000000000006"/>
    <n v="70.19700000000000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84.474000000000004"/>
    <m/>
    <m/>
    <n v="0"/>
    <s v=""/>
    <n v="0"/>
    <s v=""/>
    <s v="{C0EBBBA1-37BB-4280-B95F-47A068BBA2F4}"/>
    <s v=""/>
    <s v=""/>
    <s v=""/>
    <s v=""/>
    <s v=""/>
    <s v=""/>
    <s v=""/>
    <s v=""/>
    <s v=""/>
    <s v=""/>
    <x v="0"/>
    <s v=""/>
  </r>
  <r>
    <s v="TREX"/>
    <n v="86.77"/>
    <m/>
    <n v="73.754499999999993"/>
    <x v="120"/>
    <x v="13"/>
    <m/>
    <m/>
    <m/>
    <m/>
    <m/>
    <m/>
    <m/>
    <m/>
    <m/>
    <m/>
    <m/>
    <m/>
    <s v="BULLISH"/>
    <d v="2022-08-08T16:05:00"/>
    <d v="2022-08-08T16:05:00"/>
    <m/>
    <m/>
    <m/>
    <m/>
    <m/>
    <m/>
    <m/>
    <m/>
    <s v=""/>
    <n v="0"/>
    <n v="0"/>
    <s v=""/>
    <m/>
    <m/>
    <s v=""/>
    <s v=""/>
    <s v=""/>
    <s v=""/>
    <s v=""/>
    <m/>
    <m/>
    <n v="0"/>
    <n v="0"/>
    <n v="0"/>
    <m/>
    <m/>
    <n v="88.5"/>
    <s v=""/>
    <s v=""/>
    <n v="0"/>
    <n v="0"/>
    <n v="1.9937766509162201E-2"/>
    <n v="90"/>
    <s v="assignment"/>
    <n v="82"/>
    <s v="Exit"/>
    <s v="BuyWrite"/>
    <s v=""/>
    <m/>
    <m/>
    <m/>
    <s v=""/>
    <s v=""/>
    <m/>
    <s v=""/>
    <m/>
    <d v="2019-11-05T00:00:00"/>
    <n v="93.8"/>
    <n v="99.6"/>
    <n v="76.900000000000006"/>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4.075000000000003"/>
    <n v="169.20149999999998"/>
    <m/>
    <m/>
    <n v="0"/>
    <s v=""/>
    <n v="0"/>
    <s v=""/>
    <s v="{D871CA91-BEE5-4C56-9337-8A0B0E2CDB89}"/>
    <s v=""/>
    <s v=""/>
    <s v=""/>
    <s v=""/>
    <s v=""/>
    <s v=""/>
    <s v=""/>
    <s v=""/>
    <s v=""/>
    <s v=""/>
    <x v="0"/>
    <s v=""/>
  </r>
  <r>
    <s v="TSG"/>
    <n v="15.98"/>
    <m/>
    <n v="13.583"/>
    <x v="152"/>
    <x v="8"/>
    <m/>
    <m/>
    <m/>
    <m/>
    <m/>
    <m/>
    <m/>
    <m/>
    <m/>
    <m/>
    <m/>
    <m/>
    <s v="BULLISH"/>
    <d v="2022-08-08T16:05:00"/>
    <d v="2022-08-08T16:05:00"/>
    <m/>
    <m/>
    <m/>
    <m/>
    <m/>
    <n v="4"/>
    <m/>
    <m/>
    <s v=""/>
    <n v="0"/>
    <n v="0"/>
    <s v=""/>
    <m/>
    <m/>
    <s v=""/>
    <s v=""/>
    <s v=""/>
    <s v=""/>
    <s v=""/>
    <m/>
    <m/>
    <n v="0"/>
    <n v="0"/>
    <n v="0"/>
    <m/>
    <m/>
    <n v="27.78"/>
    <s v=""/>
    <s v=""/>
    <n v="0"/>
    <n v="0"/>
    <n v="0.73842302878598254"/>
    <m/>
    <m/>
    <m/>
    <m/>
    <m/>
    <s v=""/>
    <m/>
    <m/>
    <m/>
    <s v=""/>
    <s v=""/>
    <m/>
    <s v=""/>
    <m/>
    <d v="2018-11-01T00:00:00"/>
    <n v="24.23"/>
    <n v="25.35"/>
    <n v="21.35"/>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6.390999999999998"/>
    <n v="31.161000000000001"/>
    <m/>
    <m/>
    <n v="0"/>
    <s v=""/>
    <n v="0"/>
    <s v=""/>
    <s v="{1A7AB8E6-6044-4E1D-A601-E3407A2E8362}"/>
    <s v=""/>
    <s v=""/>
    <s v=""/>
    <s v=""/>
    <s v=""/>
    <s v=""/>
    <s v=""/>
    <s v=""/>
    <s v=""/>
    <s v=""/>
    <x v="0"/>
    <s v=""/>
  </r>
  <r>
    <s v="SQQQ"/>
    <n v="53.5"/>
    <s v="Position"/>
    <n v="45.475000000000001"/>
    <x v="52"/>
    <x v="7"/>
    <m/>
    <m/>
    <m/>
    <m/>
    <m/>
    <m/>
    <m/>
    <m/>
    <m/>
    <m/>
    <m/>
    <m/>
    <m/>
    <d v="2023-01-02T00:00:00"/>
    <d v="2023-01-02T00:00:00"/>
    <m/>
    <m/>
    <m/>
    <m/>
    <m/>
    <m/>
    <m/>
    <m/>
    <s v=""/>
    <n v="0"/>
    <n v="0"/>
    <s v=""/>
    <m/>
    <m/>
    <s v=""/>
    <s v=""/>
    <s v=""/>
    <s v=""/>
    <s v=""/>
    <m/>
    <m/>
    <n v="0"/>
    <n v="0"/>
    <n v="0"/>
    <m/>
    <m/>
    <m/>
    <s v=""/>
    <s v=""/>
    <n v="0"/>
    <n v="0"/>
    <s v=""/>
    <n v="60"/>
    <s v="assignment"/>
    <n v="50"/>
    <s v="ITM"/>
    <s v="BuCS"/>
    <s v=""/>
    <m/>
    <m/>
    <m/>
    <s v=""/>
    <s v=""/>
    <n v="21.91"/>
    <n v="20.376300000000001"/>
    <m/>
    <d v="2022-12-23T00:00:00"/>
    <n v="53.17"/>
    <n v="59.92"/>
    <n v="50.08"/>
    <s v="RISE"/>
    <s v="BULLISH"/>
    <m/>
    <d v="2023-01-20T00:00:00"/>
    <m/>
    <m/>
    <m/>
    <m/>
    <m/>
    <m/>
    <n v="0"/>
    <n v="0"/>
    <m/>
    <s v=""/>
    <s v=""/>
    <m/>
    <m/>
    <m/>
    <m/>
    <m/>
    <m/>
    <n v="0"/>
    <s v=""/>
    <s v=""/>
    <s v=""/>
    <s v=""/>
    <n v="0"/>
    <s v=""/>
    <n v="0"/>
    <m/>
    <n v="0"/>
    <s v=""/>
    <s v=""/>
    <s v=""/>
    <m/>
    <n v="0"/>
    <m/>
    <s v=""/>
    <s v=""/>
    <s v=""/>
    <m/>
    <s v=""/>
    <s v=""/>
    <s v=""/>
    <s v=""/>
    <s v=""/>
    <m/>
    <m/>
    <s v=""/>
    <s v=""/>
    <s v=""/>
    <s v=""/>
    <d v="2025-01-17T00:00:00"/>
    <n v="50"/>
    <n v="8"/>
    <d v="2022-10-24T00:00:00"/>
    <d v="2022-10-24T00:00:00"/>
    <n v="25.96"/>
    <n v="20768"/>
    <s v=""/>
    <n v="75.960000000000008"/>
    <n v="21.5"/>
    <n v="17200"/>
    <n v="-3568"/>
    <n v="-0.17180277349768874"/>
    <n v="38.94"/>
    <n v="31152"/>
    <n v="10384"/>
    <n v="0.5"/>
    <m/>
    <n v="19.47"/>
    <m/>
    <n v="19.47"/>
    <n v="15576"/>
    <n v="-5192"/>
    <n v="-0.25"/>
    <n v="8"/>
    <d v="2023-01-20T00:00:00"/>
    <n v="60"/>
    <n v="8"/>
    <d v="2022-12-15T00:00:00"/>
    <d v="2022-12-15T00:00:00"/>
    <n v="1.55"/>
    <n v="36"/>
    <n v="25"/>
    <n v="1240"/>
    <n v="17200"/>
    <n v="1.6125"/>
    <n v="58.45"/>
    <s v=""/>
    <m/>
    <n v="0.31000000000000005"/>
    <n v="2.97"/>
    <m/>
    <n v="0.31000000000000005"/>
    <d v="2023-01-02T04:00:00"/>
    <b v="0"/>
    <d v="2023-01-02T00:00:00"/>
    <n v="248.00000000000006"/>
    <n v="0"/>
    <n v="2.97"/>
    <n v="5.5514018691588791E-2"/>
    <n v="0.12149532710280374"/>
    <n v="47997.03"/>
    <s v=""/>
    <s v=""/>
    <n v="59.996287500000001"/>
    <n v="6.5"/>
    <n v="0.31009244992295842"/>
    <n v="14.463627327784998"/>
    <n v="2.7384755819260613"/>
    <n v="0"/>
    <n v="0"/>
    <n v="1246.5"/>
    <n v="1.0327103816852801"/>
    <n v="-2376"/>
    <n v="-1136"/>
    <n v="-0.91612903225806452"/>
    <m/>
    <n v="0"/>
    <n v="0"/>
    <n v="104.325"/>
    <m/>
    <m/>
    <n v="0"/>
    <s v=""/>
    <n v="0"/>
    <s v=""/>
    <m/>
    <s v=""/>
    <s v=""/>
    <s v=""/>
    <s v=""/>
    <s v="SQQQ250117C00050000"/>
    <n v="1"/>
    <s v="SQQQ230120C00060000"/>
    <n v="1"/>
    <s v="Y"/>
    <s v="SC LC "/>
    <x v="31"/>
    <n v="1.2801054206931953E-2"/>
  </r>
  <r>
    <s v="TSM"/>
    <n v="112.11"/>
    <m/>
    <n v="95.293499999999995"/>
    <x v="153"/>
    <x v="3"/>
    <m/>
    <m/>
    <m/>
    <m/>
    <m/>
    <m/>
    <m/>
    <m/>
    <m/>
    <m/>
    <m/>
    <m/>
    <s v="BULLISH"/>
    <d v="2022-07-14T07:20:00"/>
    <d v="2022-07-14T07:20:00"/>
    <m/>
    <m/>
    <m/>
    <m/>
    <m/>
    <m/>
    <m/>
    <m/>
    <s v=""/>
    <n v="0"/>
    <n v="0"/>
    <s v=""/>
    <m/>
    <m/>
    <s v=""/>
    <s v=""/>
    <s v=""/>
    <s v=""/>
    <s v=""/>
    <m/>
    <m/>
    <n v="0"/>
    <n v="0"/>
    <n v="0"/>
    <m/>
    <n v="45"/>
    <n v="140.62"/>
    <n v="-0.59860850949959865"/>
    <s v=""/>
    <n v="0"/>
    <n v="0"/>
    <n v="0.25430380875925435"/>
    <n v="115"/>
    <s v="free money"/>
    <n v="115"/>
    <s v="Assignment"/>
    <s v="SPs"/>
    <s v=""/>
    <m/>
    <m/>
    <m/>
    <s v=""/>
    <s v=""/>
    <n v="111.9"/>
    <n v="104.06699999999999"/>
    <m/>
    <d v="2021-08-25T00:00:00"/>
    <n v="116.7"/>
    <n v="121.3"/>
    <n v="103.6"/>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3.589"/>
    <n v="218.61449999999999"/>
    <m/>
    <m/>
    <n v="0"/>
    <s v=""/>
    <n v="0"/>
    <s v=""/>
    <s v="{47A8E0F3-7322-4A0F-96A6-205AE9A8061C}"/>
    <s v=""/>
    <s v=""/>
    <s v=""/>
    <s v=""/>
    <s v=""/>
    <s v=""/>
    <s v=""/>
    <s v=""/>
    <s v=""/>
    <s v=""/>
    <x v="0"/>
    <s v=""/>
  </r>
  <r>
    <s v="TSN"/>
    <n v="54.78"/>
    <s v="MT"/>
    <n v="46.563000000000002"/>
    <x v="154"/>
    <x v="12"/>
    <m/>
    <m/>
    <m/>
    <m/>
    <m/>
    <m/>
    <m/>
    <m/>
    <m/>
    <m/>
    <m/>
    <m/>
    <s v="BULLISH"/>
    <d v="2022-08-08T07:30:00"/>
    <d v="2022-08-08T07:30:00"/>
    <m/>
    <m/>
    <m/>
    <m/>
    <m/>
    <n v="1"/>
    <m/>
    <m/>
    <s v=""/>
    <n v="0"/>
    <n v="0"/>
    <s v=""/>
    <m/>
    <m/>
    <s v=""/>
    <s v=""/>
    <s v=""/>
    <s v=""/>
    <s v=""/>
    <m/>
    <m/>
    <n v="0"/>
    <n v="0"/>
    <n v="0"/>
    <d v="2020-02-27T00:00:00"/>
    <n v="105"/>
    <n v="79.09"/>
    <n v="0.91675794085432638"/>
    <s v=""/>
    <n v="0"/>
    <n v="0"/>
    <n v="0.44377510040160645"/>
    <m/>
    <m/>
    <m/>
    <m/>
    <m/>
    <s v=""/>
    <m/>
    <m/>
    <m/>
    <m/>
    <m/>
    <m/>
    <s v=""/>
    <m/>
    <d v="2020-04-23T00:00:00"/>
    <n v="51.7"/>
    <n v="81.8"/>
    <n v="41.7"/>
    <s v="LTD RISE"/>
    <s v="BEARISH"/>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5.135499999999993"/>
    <n v="106.821"/>
    <m/>
    <m/>
    <n v="0"/>
    <s v=""/>
    <n v="0"/>
    <s v=""/>
    <s v="{A72F58C2-60B3-4195-A885-6D2F789ED76E}"/>
    <s v=""/>
    <s v=""/>
    <s v=""/>
    <s v=""/>
    <s v=""/>
    <s v=""/>
    <s v=""/>
    <s v=""/>
    <s v=""/>
    <s v=""/>
    <x v="0"/>
    <s v=""/>
  </r>
  <r>
    <s v="TSCO"/>
    <n v="217.06"/>
    <s v="Swing"/>
    <n v="184.501"/>
    <x v="63"/>
    <x v="14"/>
    <m/>
    <m/>
    <m/>
    <m/>
    <m/>
    <m/>
    <m/>
    <m/>
    <m/>
    <m/>
    <m/>
    <m/>
    <m/>
    <d v="2023-01-19T00:00:00"/>
    <d v="2023-01-19T00:00:00"/>
    <m/>
    <m/>
    <m/>
    <m/>
    <m/>
    <m/>
    <m/>
    <m/>
    <s v=""/>
    <n v="0"/>
    <n v="0"/>
    <s v=""/>
    <m/>
    <m/>
    <s v=""/>
    <s v=""/>
    <s v=""/>
    <s v=""/>
    <s v=""/>
    <m/>
    <m/>
    <n v="0"/>
    <n v="0"/>
    <n v="0"/>
    <m/>
    <m/>
    <n v="230.11"/>
    <s v=""/>
    <s v=""/>
    <n v="0"/>
    <n v="0"/>
    <n v="6.0121625357044184E-2"/>
    <n v="230"/>
    <s v="Losses"/>
    <n v="200"/>
    <s v="Assignment"/>
    <s v="BePS"/>
    <s v=""/>
    <m/>
    <m/>
    <m/>
    <s v=""/>
    <s v=""/>
    <n v="35.01"/>
    <n v="32.559299999999993"/>
    <m/>
    <d v="2022-12-19T00:00:00"/>
    <n v="221.4"/>
    <n v="230.2"/>
    <n v="193.4"/>
    <s v="DECLINE"/>
    <s v="RANGE"/>
    <m/>
    <d v="2023-01-20T00:00:00"/>
    <d v="2025-01-17T00:00:00"/>
    <n v="230"/>
    <n v="10"/>
    <d v="2022-11-30T00:00:00"/>
    <d v="2022-11-30T00:00:00"/>
    <n v="37.9"/>
    <n v="37900"/>
    <n v="230000"/>
    <m/>
    <s v=""/>
    <s v=""/>
    <d v="2023-01-20T00:00:00"/>
    <n v="200"/>
    <n v="10"/>
    <d v="2022-11-30T00:00:00"/>
    <d v="2022-11-30T00:00:00"/>
    <n v="2.9"/>
    <n v="2900"/>
    <n v="197.1"/>
    <n v="51"/>
    <n v="1.4500000000000001E-2"/>
    <n v="0.10852393189906739"/>
    <n v="200000"/>
    <n v="9.195614115912655E-2"/>
    <n v="0"/>
    <m/>
    <n v="200000"/>
    <s v=""/>
    <s v=""/>
    <s v=""/>
    <n v="3.1"/>
    <n v="0.28999999999999998"/>
    <m/>
    <n v="0.28999999999999998"/>
    <d v="2023-01-20T16:00:00"/>
    <b v="0"/>
    <d v="2022-12-25T00:00:00"/>
    <n v="289.99999999999994"/>
    <n v="194"/>
    <n v="-3100"/>
    <n v="3.625"/>
    <n v="725"/>
    <m/>
    <m/>
    <s v=""/>
    <n v="-3100"/>
    <n v="-200"/>
    <n v="-6.8965517241379309E-2"/>
    <m/>
    <m/>
    <m/>
    <m/>
    <m/>
    <m/>
    <n v="0"/>
    <s v=""/>
    <s v=""/>
    <m/>
    <s v=""/>
    <s v=""/>
    <s v=""/>
    <s v=""/>
    <s v=""/>
    <s v=""/>
    <s v=""/>
    <m/>
    <s v=""/>
    <m/>
    <s v=""/>
    <s v=""/>
    <s v=""/>
    <s v=""/>
    <n v="0"/>
    <m/>
    <m/>
    <m/>
    <m/>
    <m/>
    <m/>
    <s v=""/>
    <s v=""/>
    <n v="0"/>
    <n v="0"/>
    <n v="0"/>
    <n v="0"/>
    <s v=""/>
    <m/>
    <n v="0"/>
    <m/>
    <m/>
    <s v=""/>
    <s v=""/>
    <s v=""/>
    <m/>
    <s v=""/>
    <n v="0"/>
    <n v="0"/>
    <s v=""/>
    <s v=""/>
    <s v=""/>
    <s v=""/>
    <s v=""/>
    <s v=""/>
    <s v=""/>
    <s v=""/>
    <s v=""/>
    <s v=""/>
    <s v=""/>
    <s v=""/>
    <s v=""/>
    <s v=""/>
    <s v=""/>
    <s v=""/>
    <s v=""/>
    <m/>
    <n v="0"/>
    <n v="218.6045"/>
    <n v="423.267"/>
    <m/>
    <m/>
    <n v="0"/>
    <s v=""/>
    <n v="0"/>
    <s v=""/>
    <m/>
    <s v="TSCO250117P00230000"/>
    <n v="1"/>
    <s v="TSCO230120P00200000"/>
    <n v="1"/>
    <s v=""/>
    <s v=""/>
    <s v=""/>
    <s v=""/>
    <s v="Y"/>
    <s v="SP LP "/>
    <x v="32"/>
    <n v="0.15404791779132573"/>
  </r>
  <r>
    <s v="TWLO"/>
    <n v="248.29"/>
    <m/>
    <n v="211.04649999999998"/>
    <x v="13"/>
    <x v="3"/>
    <m/>
    <m/>
    <m/>
    <m/>
    <m/>
    <m/>
    <m/>
    <m/>
    <m/>
    <m/>
    <m/>
    <m/>
    <s v="BULLISH"/>
    <d v="2022-08-03T16:05:00"/>
    <d v="2022-08-03T16:05:00"/>
    <m/>
    <m/>
    <m/>
    <m/>
    <m/>
    <m/>
    <m/>
    <m/>
    <s v=""/>
    <n v="0"/>
    <n v="0"/>
    <s v=""/>
    <m/>
    <m/>
    <s v=""/>
    <s v=""/>
    <s v=""/>
    <s v=""/>
    <s v=""/>
    <m/>
    <m/>
    <n v="0"/>
    <n v="0"/>
    <n v="0"/>
    <m/>
    <n v="150"/>
    <n v="224.95"/>
    <n v="-0.39586773530951708"/>
    <s v=""/>
    <n v="0"/>
    <n v="0"/>
    <n v="-9.4002980385839152E-2"/>
    <n v="110"/>
    <s v="free money"/>
    <n v="110"/>
    <s v="Assignment"/>
    <s v="SPs"/>
    <s v=""/>
    <m/>
    <m/>
    <m/>
    <s v=""/>
    <s v=""/>
    <m/>
    <s v=""/>
    <m/>
    <d v="2020-10-14T00:00:00"/>
    <n v="294"/>
    <n v="402"/>
    <n v="261"/>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13.70249999999999"/>
    <n v="484.16549999999995"/>
    <m/>
    <m/>
    <n v="0"/>
    <s v=""/>
    <n v="0"/>
    <s v=""/>
    <s v="{27744EC7-F451-425E-AA4A-B9B9951AAEBC}"/>
    <s v=""/>
    <s v=""/>
    <s v=""/>
    <s v=""/>
    <s v=""/>
    <s v=""/>
    <s v=""/>
    <s v=""/>
    <s v=""/>
    <s v=""/>
    <x v="0"/>
    <s v=""/>
  </r>
  <r>
    <s v="TWNK"/>
    <n v="23.31"/>
    <m/>
    <n v="19.813499999999998"/>
    <x v="144"/>
    <x v="4"/>
    <m/>
    <m/>
    <m/>
    <m/>
    <m/>
    <m/>
    <m/>
    <m/>
    <m/>
    <m/>
    <m/>
    <m/>
    <m/>
    <d v="2022-11-02T16:00:00"/>
    <d v="2022-11-02T16:00:00"/>
    <m/>
    <m/>
    <m/>
    <m/>
    <m/>
    <m/>
    <m/>
    <m/>
    <s v=""/>
    <n v="0"/>
    <n v="0"/>
    <s v=""/>
    <m/>
    <m/>
    <s v=""/>
    <s v=""/>
    <s v=""/>
    <s v=""/>
    <s v=""/>
    <m/>
    <m/>
    <n v="0"/>
    <n v="0"/>
    <n v="0"/>
    <m/>
    <m/>
    <n v="26.89"/>
    <s v=""/>
    <s v=""/>
    <n v="0"/>
    <n v="0"/>
    <n v="0.15358215358215366"/>
    <n v="26.58"/>
    <s v="T1"/>
    <n v="22.8"/>
    <s v="stop out"/>
    <s v="long equity"/>
    <s v=""/>
    <m/>
    <m/>
    <m/>
    <s v=""/>
    <s v=""/>
    <n v="24.06"/>
    <n v="22.375799999999998"/>
    <m/>
    <d v="2022-09-30T00:00:00"/>
    <n v="23.82"/>
    <n v="24.27"/>
    <n v="22.95"/>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5.545500000000001"/>
    <n v="45.454499999999996"/>
    <m/>
    <m/>
    <n v="0"/>
    <s v=""/>
    <n v="0"/>
    <s v=""/>
    <m/>
    <s v=""/>
    <s v=""/>
    <s v=""/>
    <s v=""/>
    <s v=""/>
    <s v=""/>
    <s v=""/>
    <s v=""/>
    <s v=""/>
    <s v=""/>
    <x v="0"/>
    <s v=""/>
  </r>
  <r>
    <s v="TWTR"/>
    <n v="51.7"/>
    <s v="Swing"/>
    <n v="43.945"/>
    <x v="45"/>
    <x v="3"/>
    <s v="JPM top pick for 2018"/>
    <s v="Still has to prove itself "/>
    <m/>
    <s v="Bullish_x000a_Well above 20-d but dropping - 20 and 100-d  up trending"/>
    <s v="Bullish_x000a_No divergence._x000a_Histogram above center but dropping_x000a_"/>
    <s v="Bullish_x000a_M: Buy W: Buy D: Sell (new, 1st bar today)"/>
    <s v="Bullish_x000a_M: Green W: Green D: Blue"/>
    <s v="Overbought_x000a_%K slightly above 80"/>
    <s v="Good"/>
    <s v="LOW"/>
    <s v="tempted to close our but will see if it holds up and take either 2018 gain or hold it for appreciation (wait until after New Year!)"/>
    <m/>
    <s v="BULLISH"/>
    <d v="2022-07-28T08:00:00"/>
    <d v="2022-07-28T08:00:00"/>
    <m/>
    <m/>
    <m/>
    <m/>
    <m/>
    <m/>
    <m/>
    <m/>
    <s v=""/>
    <n v="0"/>
    <n v="0"/>
    <s v=""/>
    <n v="55"/>
    <n v="48.29"/>
    <s v=""/>
    <s v=""/>
    <s v=""/>
    <s v=""/>
    <s v=""/>
    <m/>
    <s v="N/A"/>
    <n v="0"/>
    <n v="0"/>
    <n v="0"/>
    <m/>
    <m/>
    <n v="43.82"/>
    <s v=""/>
    <s v=""/>
    <n v="0"/>
    <n v="0"/>
    <n v="-0.15241779497098651"/>
    <n v="55"/>
    <s v="assignment"/>
    <n v="50"/>
    <s v="Assignment"/>
    <s v="Strangle"/>
    <s v=""/>
    <m/>
    <m/>
    <m/>
    <s v=""/>
    <s v=""/>
    <n v="41.34"/>
    <n v="38.446199999999997"/>
    <m/>
    <d v="2022-04-04T00:00:00"/>
    <n v="42.2"/>
    <n v="61.1"/>
    <n v="42.2"/>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1.628999999999998"/>
    <n v="100.815"/>
    <m/>
    <m/>
    <n v="0"/>
    <s v=""/>
    <n v="0"/>
    <s v=""/>
    <s v="{14C73A0B-682D-40C4-8A75-BFAD97D65F11}"/>
    <s v=""/>
    <s v=""/>
    <s v=""/>
    <s v=""/>
    <s v=""/>
    <s v=""/>
    <s v=""/>
    <s v=""/>
    <s v=""/>
    <s v=""/>
    <x v="0"/>
    <s v=""/>
  </r>
  <r>
    <s v="TXT"/>
    <n v="46.77"/>
    <m/>
    <n v="39.7545"/>
    <x v="130"/>
    <x v="13"/>
    <m/>
    <m/>
    <m/>
    <m/>
    <m/>
    <m/>
    <m/>
    <m/>
    <m/>
    <m/>
    <m/>
    <m/>
    <m/>
    <d v="2022-07-28T06:30:00"/>
    <d v="2022-07-28T06:30:00"/>
    <m/>
    <m/>
    <m/>
    <m/>
    <m/>
    <m/>
    <m/>
    <m/>
    <s v=""/>
    <n v="0"/>
    <n v="0"/>
    <s v=""/>
    <m/>
    <m/>
    <s v=""/>
    <s v=""/>
    <s v=""/>
    <s v=""/>
    <s v=""/>
    <m/>
    <m/>
    <n v="0"/>
    <n v="0"/>
    <n v="0"/>
    <m/>
    <m/>
    <n v="40.729999999999997"/>
    <s v=""/>
    <s v=""/>
    <n v="0"/>
    <n v="0"/>
    <n v="-0.12914261278597405"/>
    <m/>
    <m/>
    <m/>
    <m/>
    <m/>
    <s v=""/>
    <m/>
    <m/>
    <m/>
    <s v=""/>
    <s v=""/>
    <m/>
    <s v=""/>
    <m/>
    <d v="2018-07-18T00:00:00"/>
    <n v="64.900000000000006"/>
    <n v="69.900000000000006"/>
    <n v="63.4"/>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693499999999993"/>
    <n v="91.20150000000001"/>
    <m/>
    <m/>
    <n v="0"/>
    <s v=""/>
    <n v="0"/>
    <s v=""/>
    <s v="{B3B543A9-CAC0-4231-83CA-D6F5F7DF3938}"/>
    <s v=""/>
    <s v=""/>
    <s v=""/>
    <s v=""/>
    <s v=""/>
    <s v=""/>
    <s v=""/>
    <s v=""/>
    <s v=""/>
    <s v=""/>
    <x v="0"/>
    <s v=""/>
  </r>
  <r>
    <s v="TXT"/>
    <n v="46.77"/>
    <m/>
    <n v="39.7545"/>
    <x v="130"/>
    <x v="13"/>
    <m/>
    <m/>
    <m/>
    <m/>
    <m/>
    <m/>
    <m/>
    <m/>
    <m/>
    <m/>
    <m/>
    <m/>
    <m/>
    <d v="2022-07-28T06:30:00"/>
    <d v="2022-07-28T06:30:00"/>
    <m/>
    <m/>
    <m/>
    <m/>
    <m/>
    <m/>
    <m/>
    <m/>
    <s v=""/>
    <n v="0"/>
    <n v="0"/>
    <s v=""/>
    <m/>
    <m/>
    <s v=""/>
    <s v=""/>
    <s v=""/>
    <s v=""/>
    <s v=""/>
    <m/>
    <m/>
    <n v="0"/>
    <n v="0"/>
    <n v="0"/>
    <m/>
    <n v="72"/>
    <n v="40.729999999999997"/>
    <n v="0.53944836433611276"/>
    <s v=""/>
    <n v="0"/>
    <n v="0"/>
    <n v="-0.12914261278597405"/>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693499999999993"/>
    <n v="91.20150000000001"/>
    <m/>
    <m/>
    <n v="0"/>
    <s v=""/>
    <n v="0"/>
    <s v=""/>
    <s v="{029E3643-1A2F-4C51-B1E1-F8D41CF28A4A}"/>
    <s v=""/>
    <s v=""/>
    <s v=""/>
    <s v=""/>
    <s v=""/>
    <s v=""/>
    <s v=""/>
    <s v=""/>
    <s v=""/>
    <s v=""/>
    <x v="0"/>
    <s v=""/>
  </r>
  <r>
    <s v="UA"/>
    <n v="18.149999999999999"/>
    <m/>
    <n v="15.427499999999998"/>
    <x v="118"/>
    <x v="12"/>
    <m/>
    <m/>
    <m/>
    <m/>
    <m/>
    <m/>
    <m/>
    <m/>
    <m/>
    <m/>
    <m/>
    <m/>
    <m/>
    <d v="2022-08-05T06:55:00"/>
    <d v="2022-08-05T06:55:00"/>
    <m/>
    <m/>
    <m/>
    <m/>
    <m/>
    <m/>
    <m/>
    <m/>
    <s v=""/>
    <n v="0"/>
    <n v="0"/>
    <s v=""/>
    <m/>
    <m/>
    <s v=""/>
    <s v=""/>
    <s v=""/>
    <s v=""/>
    <s v=""/>
    <n v="0.3"/>
    <d v="2016-12-23T00:00:00"/>
    <n v="0"/>
    <n v="0"/>
    <n v="1.6528925619834711E-2"/>
    <d v="2016-11-29T00:00:00"/>
    <m/>
    <n v="17.5"/>
    <s v=""/>
    <s v=""/>
    <n v="0"/>
    <n v="0"/>
    <n v="-3.5812672176308465E-2"/>
    <m/>
    <m/>
    <m/>
    <m/>
    <m/>
    <s v=""/>
    <m/>
    <m/>
    <m/>
    <s v=""/>
    <s v=""/>
    <m/>
    <s v=""/>
    <m/>
    <d v="2016-06-16T00:00:00"/>
    <n v="41.7"/>
    <n v="44.2"/>
    <n v="35.15"/>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625"/>
    <n v="35.392499999999998"/>
    <m/>
    <m/>
    <n v="0"/>
    <s v=""/>
    <n v="0"/>
    <s v=""/>
    <s v="{BA9AEE1B-B71A-4C4A-9C75-1EDCADD0D84A}"/>
    <s v=""/>
    <s v=""/>
    <s v=""/>
    <s v=""/>
    <s v=""/>
    <s v=""/>
    <s v=""/>
    <s v=""/>
    <s v=""/>
    <s v=""/>
    <x v="0"/>
    <s v=""/>
  </r>
  <r>
    <s v="UBER"/>
    <n v="55.48"/>
    <s v="Prem"/>
    <n v="47.157999999999994"/>
    <x v="10"/>
    <x v="3"/>
    <m/>
    <m/>
    <m/>
    <m/>
    <m/>
    <m/>
    <m/>
    <m/>
    <m/>
    <m/>
    <m/>
    <m/>
    <s v="BULLISH"/>
    <d v="2022-08-03T07:00:00"/>
    <d v="2022-08-03T07:00:00"/>
    <m/>
    <m/>
    <m/>
    <m/>
    <m/>
    <m/>
    <m/>
    <m/>
    <s v=""/>
    <n v="0"/>
    <n v="0"/>
    <s v=""/>
    <n v="65"/>
    <n v="54.81"/>
    <s v=""/>
    <s v=""/>
    <s v=""/>
    <s v=""/>
    <s v=""/>
    <m/>
    <m/>
    <n v="0"/>
    <n v="0"/>
    <n v="0"/>
    <m/>
    <m/>
    <n v="57.25"/>
    <s v=""/>
    <s v=""/>
    <n v="0"/>
    <n v="0"/>
    <n v="3.1903388608507631E-2"/>
    <n v="65"/>
    <s v="assignment"/>
    <n v="54"/>
    <s v="Assignment"/>
    <s v="Strangle"/>
    <s v=""/>
    <m/>
    <n v="4.827"/>
    <d v="2021-02-12T00:00:00"/>
    <n v="50.652999999999999"/>
    <n v="60.306999999999995"/>
    <n v="58.25"/>
    <n v="54.172499999999999"/>
    <m/>
    <d v="2021-04-19T00:00:00"/>
    <n v="60.13"/>
    <n v="63.1"/>
    <n v="58.75"/>
    <s v="RISE"/>
    <s v="RANGE"/>
    <m/>
    <s v=""/>
    <m/>
    <m/>
    <m/>
    <m/>
    <m/>
    <m/>
    <n v="0"/>
    <n v="0"/>
    <m/>
    <s v=""/>
    <s v=""/>
    <m/>
    <m/>
    <m/>
    <m/>
    <m/>
    <m/>
    <n v="0"/>
    <s v=""/>
    <s v=""/>
    <s v=""/>
    <s v=""/>
    <n v="0"/>
    <s v=""/>
    <n v="0"/>
    <n v="1"/>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4.387499999999996"/>
    <n v="108.18599999999999"/>
    <m/>
    <m/>
    <n v="0"/>
    <s v=""/>
    <n v="0"/>
    <s v=""/>
    <s v="{1A6212CB-8452-44D4-AB22-56D3C496B794}"/>
    <s v=""/>
    <s v=""/>
    <s v=""/>
    <s v=""/>
    <s v=""/>
    <s v=""/>
    <s v=""/>
    <s v=""/>
    <s v=""/>
    <s v=""/>
    <x v="0"/>
    <s v=""/>
  </r>
  <r>
    <s v="UN"/>
    <n v="56.99"/>
    <m/>
    <n v="48.441499999999998"/>
    <x v="136"/>
    <x v="12"/>
    <s v="gain exposure to the consumer staples sector, to play the expected global economic recovery and as a valuation play. we like the low expectations and risk/reward into 2015, with potential to see an acceleration to organic growth, margins and dividend hikes. The shares trade at a 10% discount to peers"/>
    <s v="critics say not much going besides great brands that will not hold up forever"/>
    <m/>
    <m/>
    <m/>
    <m/>
    <m/>
    <m/>
    <m/>
    <m/>
    <m/>
    <m/>
    <m/>
    <d v="2022-08-03T07:00:00"/>
    <d v="2022-08-03T07:00:00"/>
    <m/>
    <m/>
    <m/>
    <m/>
    <m/>
    <m/>
    <m/>
    <m/>
    <s v=""/>
    <n v="0"/>
    <n v="0"/>
    <s v=""/>
    <m/>
    <m/>
    <s v=""/>
    <s v=""/>
    <s v=""/>
    <s v=""/>
    <s v=""/>
    <n v="0.3"/>
    <d v="2016-12-23T00:00:00"/>
    <n v="0"/>
    <n v="0"/>
    <n v="5.2640814177925951E-3"/>
    <d v="2016-11-29T00:00:00"/>
    <m/>
    <n v="62"/>
    <s v=""/>
    <s v=""/>
    <n v="0"/>
    <n v="0"/>
    <n v="8.7910159677136307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8.9"/>
    <n v="111.1305"/>
    <m/>
    <m/>
    <n v="0"/>
    <s v=""/>
    <n v="0"/>
    <s v=""/>
    <s v="{C069F6B0-A0DB-4231-8CDA-A00903635AA9}"/>
    <s v=""/>
    <s v=""/>
    <s v=""/>
    <s v=""/>
    <s v=""/>
    <s v=""/>
    <s v=""/>
    <s v=""/>
    <s v=""/>
    <s v=""/>
    <x v="0"/>
    <s v=""/>
  </r>
  <r>
    <s v="UNG"/>
    <n v="12.28"/>
    <s v="Prem"/>
    <n v="10.437999999999999"/>
    <x v="155"/>
    <x v="6"/>
    <m/>
    <m/>
    <m/>
    <m/>
    <m/>
    <m/>
    <m/>
    <m/>
    <m/>
    <m/>
    <m/>
    <m/>
    <s v="BULLISH"/>
    <d v="2022-08-03T07:00:00"/>
    <d v="2022-08-03T07:00:00"/>
    <m/>
    <m/>
    <m/>
    <m/>
    <m/>
    <m/>
    <m/>
    <m/>
    <s v=""/>
    <n v="0"/>
    <n v="0"/>
    <s v=""/>
    <m/>
    <m/>
    <s v=""/>
    <s v=""/>
    <s v=""/>
    <s v=""/>
    <s v=""/>
    <m/>
    <m/>
    <n v="0"/>
    <n v="0"/>
    <n v="0"/>
    <m/>
    <m/>
    <s v="-"/>
    <s v=""/>
    <s v=""/>
    <n v="0"/>
    <n v="0"/>
    <s v=""/>
    <m/>
    <m/>
    <m/>
    <m/>
    <m/>
    <s v=""/>
    <m/>
    <m/>
    <m/>
    <s v=""/>
    <s v=""/>
    <m/>
    <s v=""/>
    <m/>
    <d v="2020-10-12T00:00:00"/>
    <n v="12.2"/>
    <n v="15.09"/>
    <n v="10.36"/>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3.945999999999998"/>
    <m/>
    <m/>
    <n v="0"/>
    <s v=""/>
    <n v="0"/>
    <s v=""/>
    <m/>
    <s v=""/>
    <s v=""/>
    <s v=""/>
    <s v=""/>
    <s v=""/>
    <s v=""/>
    <s v=""/>
    <s v=""/>
    <s v=""/>
    <s v=""/>
    <x v="0"/>
    <s v=""/>
  </r>
  <r>
    <s v="UNH"/>
    <n v="300.79000000000002"/>
    <m/>
    <n v="255.67150000000001"/>
    <x v="25"/>
    <x v="2"/>
    <s v="In talks to buy pharm benefits manager Hekios for ~ $2B, which would compliment last springs acuisition of CTRX and be accretive"/>
    <s v="Ties to pharmacies is not in fashion right now courtesy of VRX"/>
    <m/>
    <m/>
    <m/>
    <m/>
    <m/>
    <m/>
    <m/>
    <m/>
    <m/>
    <m/>
    <s v="BULLISH"/>
    <d v="2022-07-15T05:55:00"/>
    <d v="2022-07-15T05:55:00"/>
    <s v="Confirmed"/>
    <m/>
    <m/>
    <m/>
    <b v="1"/>
    <m/>
    <m/>
    <m/>
    <s v=""/>
    <n v="0"/>
    <n v="0"/>
    <s v=""/>
    <m/>
    <m/>
    <s v=""/>
    <s v=""/>
    <s v=""/>
    <s v=""/>
    <s v=""/>
    <n v="4.32"/>
    <d v="2019-12-24T00:00:00"/>
    <n v="0"/>
    <n v="0"/>
    <n v="1.4362179593736493E-2"/>
    <d v="2019-12-13T00:00:00"/>
    <n v="305"/>
    <n v="331.96"/>
    <n v="1.399647594667369E-2"/>
    <s v=""/>
    <n v="0"/>
    <n v="0"/>
    <n v="0.10362711526314025"/>
    <m/>
    <m/>
    <m/>
    <m/>
    <m/>
    <s v=""/>
    <m/>
    <m/>
    <m/>
    <s v=""/>
    <s v=""/>
    <m/>
    <s v=""/>
    <m/>
    <d v="2019-10-10T00:00:00"/>
    <n v="211"/>
    <n v="239.4"/>
    <n v="202.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5.36199999999997"/>
    <n v="586.54050000000007"/>
    <m/>
    <m/>
    <n v="0"/>
    <s v=""/>
    <n v="0"/>
    <s v=""/>
    <s v="{C332C0EA-BE2A-49FA-81CF-F22E855E0010}"/>
    <s v=""/>
    <s v=""/>
    <s v=""/>
    <s v=""/>
    <s v=""/>
    <s v=""/>
    <s v=""/>
    <s v=""/>
    <s v=""/>
    <s v=""/>
    <x v="0"/>
    <s v=""/>
  </r>
  <r>
    <s v="UPS"/>
    <n v="169.37200000000001"/>
    <s v="LT"/>
    <n v="143.96620000000001"/>
    <x v="79"/>
    <x v="8"/>
    <s v="4th Q saw higher costs and revenue miss, and 15% selloff that might have been overdone. $15b buyback, strong balance sheet and now a good valuation with strong e-commerce tailwind."/>
    <m/>
    <m/>
    <s v="DOWN"/>
    <s v="CONVERGE"/>
    <s v="UP"/>
    <s v="UP"/>
    <s v="Middle"/>
    <s v="UP"/>
    <s v="AVG"/>
    <m/>
    <m/>
    <s v="BEARISH"/>
    <d v="2022-07-26T06:00:00"/>
    <d v="2022-07-26T06:00:00"/>
    <m/>
    <m/>
    <m/>
    <m/>
    <m/>
    <m/>
    <m/>
    <m/>
    <s v=""/>
    <n v="0"/>
    <n v="0"/>
    <s v=""/>
    <m/>
    <m/>
    <s v=""/>
    <s v=""/>
    <s v=""/>
    <s v=""/>
    <s v=""/>
    <n v="0.3"/>
    <d v="2016-12-23T00:00:00"/>
    <n v="0"/>
    <n v="0"/>
    <n v="1.7712490848546393E-3"/>
    <d v="2016-11-29T00:00:00"/>
    <m/>
    <n v="172.44"/>
    <s v=""/>
    <s v=""/>
    <n v="0"/>
    <n v="0"/>
    <n v="1.8113973974446682E-2"/>
    <n v="170"/>
    <s v="assignment"/>
    <n v="170"/>
    <s v="free money"/>
    <s v="CCs"/>
    <s v=""/>
    <m/>
    <n v="4.5030000000000001"/>
    <d v="2021-04-01T00:00:00"/>
    <n v="164.86900000000003"/>
    <n v="173.875"/>
    <n v="161.91"/>
    <n v="150.57629999999997"/>
    <m/>
    <d v="2021-03-30T00:00:00"/>
    <n v="161.80000000000001"/>
    <n v="180"/>
    <n v="155.80000000000001"/>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1.01"/>
    <m/>
    <s v=""/>
    <s v=""/>
    <b v="0"/>
    <d v="2021-04-01T00:00:00"/>
    <s v=""/>
    <n v="0"/>
    <n v="1.01"/>
    <n v="5.9632052523439522E-3"/>
    <s v=""/>
    <s v=""/>
    <s v=""/>
    <s v=""/>
    <s v=""/>
    <s v=""/>
    <s v=""/>
    <s v=""/>
    <s v=""/>
    <s v=""/>
    <s v=""/>
    <s v=""/>
    <s v=""/>
    <s v=""/>
    <s v=""/>
    <s v=""/>
    <m/>
    <n v="0"/>
    <n v="163.81799999999998"/>
    <n v="330.27540000000005"/>
    <m/>
    <m/>
    <n v="0"/>
    <s v=""/>
    <n v="0"/>
    <s v=""/>
    <s v="{62588183-9BC4-4290-B7EC-1075965C3C21}"/>
    <s v=""/>
    <s v=""/>
    <s v=""/>
    <s v=""/>
    <s v=""/>
    <s v=""/>
    <s v=""/>
    <s v=""/>
    <s v=""/>
    <s v=""/>
    <x v="0"/>
    <s v=""/>
  </r>
  <r>
    <s v="URI"/>
    <n v="176.57499999999999"/>
    <s v="Swing"/>
    <n v="150.08874999999998"/>
    <x v="38"/>
    <x v="11"/>
    <m/>
    <m/>
    <m/>
    <m/>
    <m/>
    <m/>
    <m/>
    <m/>
    <m/>
    <m/>
    <m/>
    <m/>
    <s v="BULLISH"/>
    <d v="2022-07-27T16:15:00"/>
    <d v="2022-07-27T16:15:00"/>
    <m/>
    <m/>
    <m/>
    <m/>
    <m/>
    <m/>
    <m/>
    <m/>
    <s v=""/>
    <n v="0"/>
    <n v="0"/>
    <s v=""/>
    <m/>
    <m/>
    <s v=""/>
    <s v=""/>
    <s v=""/>
    <s v=""/>
    <s v=""/>
    <m/>
    <m/>
    <n v="0"/>
    <n v="0"/>
    <n v="0"/>
    <m/>
    <m/>
    <n v="164.29"/>
    <s v=""/>
    <s v=""/>
    <n v="0"/>
    <n v="0"/>
    <n v="-6.9573835480673918E-2"/>
    <n v="170"/>
    <s v="free money"/>
    <n v="170"/>
    <s v="Assignment"/>
    <s v="SPs"/>
    <s v=""/>
    <m/>
    <m/>
    <m/>
    <s v=""/>
    <s v=""/>
    <m/>
    <s v=""/>
    <m/>
    <d v="2020-08-21T00:00:00"/>
    <n v="164"/>
    <n v="194.3"/>
    <n v="153.80000000000001"/>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6.07549999999998"/>
    <n v="344.32124999999996"/>
    <m/>
    <m/>
    <n v="0"/>
    <s v=""/>
    <n v="0"/>
    <s v=""/>
    <m/>
    <s v=""/>
    <s v=""/>
    <s v=""/>
    <s v=""/>
    <s v=""/>
    <s v=""/>
    <s v=""/>
    <s v=""/>
    <s v=""/>
    <s v=""/>
    <x v="0"/>
    <s v=""/>
  </r>
  <r>
    <s v="USB"/>
    <n v="52.79"/>
    <m/>
    <n v="44.871499999999997"/>
    <x v="110"/>
    <x v="7"/>
    <s v="loan growth, interest margin growth, steady double digit returns, high capital levels &amp; consistent risk mgt"/>
    <m/>
    <m/>
    <m/>
    <m/>
    <m/>
    <m/>
    <m/>
    <m/>
    <m/>
    <m/>
    <m/>
    <m/>
    <d v="2022-07-14T06:45:00"/>
    <d v="2022-07-14T06:45:00"/>
    <m/>
    <m/>
    <m/>
    <m/>
    <m/>
    <m/>
    <m/>
    <m/>
    <s v=""/>
    <n v="0"/>
    <n v="0"/>
    <s v=""/>
    <m/>
    <m/>
    <s v=""/>
    <s v=""/>
    <s v=""/>
    <s v=""/>
    <s v=""/>
    <n v="0.3"/>
    <d v="2016-12-23T00:00:00"/>
    <n v="0"/>
    <n v="0"/>
    <n v="5.6828944875923467E-3"/>
    <d v="2016-11-29T00:00:00"/>
    <m/>
    <n v="42"/>
    <s v=""/>
    <s v=""/>
    <n v="0"/>
    <n v="0"/>
    <n v="-0.20439477173707141"/>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9.9"/>
    <n v="102.9405"/>
    <m/>
    <n v="47.18"/>
    <n v="0"/>
    <s v=""/>
    <n v="0"/>
    <s v=""/>
    <s v="{1EADE3C8-1402-48FC-83EB-B3BF65EF0064}"/>
    <s v=""/>
    <s v=""/>
    <s v=""/>
    <s v=""/>
    <s v=""/>
    <s v=""/>
    <s v=""/>
    <s v=""/>
    <s v=""/>
    <s v=""/>
    <x v="0"/>
    <s v=""/>
  </r>
  <r>
    <s v="USO"/>
    <n v="11.28"/>
    <m/>
    <n v="9.5879999999999992"/>
    <x v="52"/>
    <x v="7"/>
    <m/>
    <m/>
    <m/>
    <m/>
    <m/>
    <m/>
    <m/>
    <m/>
    <m/>
    <m/>
    <m/>
    <m/>
    <s v="BULLISH"/>
    <d v="2022-02-04T00:00:00"/>
    <d v="2022-02-04T00:00:00"/>
    <m/>
    <m/>
    <m/>
    <m/>
    <m/>
    <m/>
    <m/>
    <m/>
    <s v=""/>
    <n v="0"/>
    <n v="0"/>
    <s v=""/>
    <m/>
    <m/>
    <s v=""/>
    <s v=""/>
    <s v=""/>
    <s v=""/>
    <s v=""/>
    <m/>
    <m/>
    <n v="0"/>
    <n v="0"/>
    <n v="0"/>
    <m/>
    <m/>
    <s v="-"/>
    <s v=""/>
    <s v=""/>
    <n v="0"/>
    <n v="0"/>
    <s v=""/>
    <n v="13.5"/>
    <s v="ITM"/>
    <n v="13.5"/>
    <s v="Losses"/>
    <m/>
    <s v=""/>
    <m/>
    <m/>
    <m/>
    <s v=""/>
    <s v=""/>
    <m/>
    <s v=""/>
    <m/>
    <d v="2019-06-14T00:00:00"/>
    <n v="11.5"/>
    <n v="12.2"/>
    <n v="9.699999999999999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1.995999999999999"/>
    <m/>
    <m/>
    <n v="0"/>
    <s v=""/>
    <n v="0"/>
    <s v=""/>
    <s v="{41474A13-563D-426E-863C-422E662BDD5D}"/>
    <s v=""/>
    <s v=""/>
    <s v=""/>
    <s v=""/>
    <s v=""/>
    <s v=""/>
    <s v=""/>
    <s v=""/>
    <s v=""/>
    <s v=""/>
    <x v="0"/>
    <s v=""/>
  </r>
  <r>
    <s v="UTX"/>
    <n v="131.24"/>
    <m/>
    <n v="111.554"/>
    <x v="50"/>
    <x v="13"/>
    <m/>
    <m/>
    <m/>
    <s v="UP"/>
    <m/>
    <m/>
    <m/>
    <m/>
    <m/>
    <m/>
    <m/>
    <m/>
    <s v="BULLISH"/>
    <d v="2022-02-04T00:00:00"/>
    <d v="2022-02-04T00:00:00"/>
    <m/>
    <m/>
    <m/>
    <m/>
    <m/>
    <n v="1"/>
    <m/>
    <m/>
    <s v=""/>
    <n v="0"/>
    <n v="0"/>
    <s v=""/>
    <m/>
    <m/>
    <s v=""/>
    <s v=""/>
    <s v=""/>
    <s v=""/>
    <s v=""/>
    <n v="2.8"/>
    <d v="2017-09-10T00:00:00"/>
    <n v="0"/>
    <n v="0"/>
    <n v="2.1334958854007921E-2"/>
    <d v="2017-08-16T00:00:00"/>
    <m/>
    <n v="198.76"/>
    <s v=""/>
    <s v=""/>
    <n v="0"/>
    <n v="0"/>
    <n v="0.51447729350807658"/>
    <m/>
    <m/>
    <m/>
    <m/>
    <m/>
    <s v=""/>
    <m/>
    <m/>
    <m/>
    <s v=""/>
    <s v=""/>
    <m/>
    <s v=""/>
    <m/>
    <d v="2017-06-30T00:00:00"/>
    <n v="119.3"/>
    <n v="125.5"/>
    <n v="117.6"/>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8.82199999999997"/>
    <n v="255.91800000000001"/>
    <m/>
    <n v="128.88"/>
    <n v="0"/>
    <s v=""/>
    <n v="0"/>
    <s v=""/>
    <s v="{2FBDC742-3742-45CD-B8A7-6B571A2A6E2D}"/>
    <s v=""/>
    <s v=""/>
    <s v=""/>
    <s v=""/>
    <s v=""/>
    <s v=""/>
    <s v=""/>
    <s v=""/>
    <s v=""/>
    <s v=""/>
    <x v="0"/>
    <s v=""/>
  </r>
  <r>
    <s v="V"/>
    <n v="182.17"/>
    <m/>
    <n v="154.84449999999998"/>
    <x v="26"/>
    <x v="7"/>
    <m/>
    <m/>
    <m/>
    <m/>
    <m/>
    <m/>
    <m/>
    <m/>
    <m/>
    <m/>
    <m/>
    <m/>
    <s v="BEARISH"/>
    <d v="2022-07-26T16:05:00"/>
    <d v="2022-07-26T16:05:00"/>
    <m/>
    <m/>
    <m/>
    <m/>
    <m/>
    <m/>
    <m/>
    <m/>
    <s v=""/>
    <n v="0"/>
    <n v="0"/>
    <s v=""/>
    <m/>
    <m/>
    <s v=""/>
    <s v=""/>
    <s v=""/>
    <s v=""/>
    <s v=""/>
    <n v="0.66"/>
    <d v="2017-03-07T00:00:00"/>
    <n v="0"/>
    <n v="0"/>
    <n v="3.6229895152879183E-3"/>
    <d v="2017-05-11T00:00:00"/>
    <m/>
    <n v="198.76"/>
    <s v=""/>
    <s v=""/>
    <n v="0"/>
    <n v="0"/>
    <n v="9.1068781907009955E-2"/>
    <n v="187.5"/>
    <s v="max gain"/>
    <n v="181.06"/>
    <s v="Losses"/>
    <s v="BuCS"/>
    <s v=""/>
    <m/>
    <m/>
    <m/>
    <s v=""/>
    <s v=""/>
    <m/>
    <s v=""/>
    <m/>
    <d v="2019-12-09T00:00:00"/>
    <n v="178.2"/>
    <n v="190.2"/>
    <n v="174.4"/>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8.82199999999997"/>
    <n v="355.23149999999998"/>
    <m/>
    <m/>
    <n v="0"/>
    <s v=""/>
    <n v="0"/>
    <s v=""/>
    <s v="{6709E375-3B22-4C7E-B9BF-C439D95EB7BB}"/>
    <s v=""/>
    <s v=""/>
    <s v=""/>
    <s v=""/>
    <s v=""/>
    <s v=""/>
    <s v=""/>
    <s v=""/>
    <s v=""/>
    <s v=""/>
    <x v="0"/>
    <s v=""/>
  </r>
  <r>
    <s v="VALE"/>
    <n v="11.55"/>
    <m/>
    <n v="9.8175000000000008"/>
    <x v="156"/>
    <x v="0"/>
    <s v="3 dollar lottory at this point; years and political change away from profit but still the best iron ore producer on earth"/>
    <s v="everything, especially the price!"/>
    <m/>
    <m/>
    <m/>
    <m/>
    <m/>
    <m/>
    <m/>
    <m/>
    <m/>
    <m/>
    <s v="BULLISH"/>
    <d v="2022-07-27T19:15:00"/>
    <d v="2022-07-27T19:15:00"/>
    <m/>
    <m/>
    <m/>
    <m/>
    <m/>
    <n v="5"/>
    <m/>
    <m/>
    <s v=""/>
    <n v="0"/>
    <n v="0"/>
    <s v=""/>
    <m/>
    <m/>
    <s v=""/>
    <s v=""/>
    <s v=""/>
    <s v=""/>
    <s v=""/>
    <n v="0"/>
    <d v="2016-11-06T00:00:00"/>
    <n v="0"/>
    <n v="0"/>
    <n v="0"/>
    <d v="2015-10-14T00:00:00"/>
    <m/>
    <n v="12.92"/>
    <s v=""/>
    <s v=""/>
    <n v="0"/>
    <n v="0"/>
    <n v="0.11861471861471853"/>
    <n v="7.25"/>
    <s v="exit"/>
    <n v="6.5"/>
    <s v="stop out"/>
    <m/>
    <s v=""/>
    <m/>
    <m/>
    <m/>
    <s v=""/>
    <s v=""/>
    <m/>
    <s v=""/>
    <m/>
    <d v="2016-10-24T00:00:00"/>
    <n v="5.97"/>
    <n v="7.54"/>
    <n v="5.45"/>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273999999999999"/>
    <n v="22.522500000000001"/>
    <n v="50"/>
    <n v="15.18"/>
    <n v="759"/>
    <s v=""/>
    <e v="#VALUE!"/>
    <e v="#VALUE!"/>
    <s v="{87D75973-71A1-4A9D-A756-6F1B161907CE}"/>
    <s v=""/>
    <s v=""/>
    <s v=""/>
    <s v=""/>
    <s v=""/>
    <s v=""/>
    <s v=""/>
    <s v=""/>
    <s v=""/>
    <s v=""/>
    <x v="0"/>
    <s v=""/>
  </r>
  <r>
    <s v="VET"/>
    <n v="18.989999999999998"/>
    <s v="Swing"/>
    <n v="16.141499999999997"/>
    <x v="20"/>
    <x v="6"/>
    <m/>
    <m/>
    <m/>
    <m/>
    <m/>
    <m/>
    <m/>
    <m/>
    <m/>
    <m/>
    <m/>
    <m/>
    <s v="BULLISH"/>
    <d v="2022-08-10T16:05:00"/>
    <d v="2022-08-10T16:05:00"/>
    <m/>
    <m/>
    <m/>
    <m/>
    <m/>
    <m/>
    <m/>
    <m/>
    <s v=""/>
    <n v="0"/>
    <n v="0"/>
    <s v=""/>
    <m/>
    <m/>
    <s v=""/>
    <s v=""/>
    <s v=""/>
    <s v=""/>
    <s v=""/>
    <m/>
    <m/>
    <n v="0"/>
    <n v="0"/>
    <n v="0"/>
    <m/>
    <m/>
    <n v="25.78"/>
    <s v=""/>
    <s v=""/>
    <n v="0"/>
    <n v="0"/>
    <n v="0.35755660874144302"/>
    <n v="17.5"/>
    <s v="assignment"/>
    <n v="17.5"/>
    <s v="free money"/>
    <s v="CCs"/>
    <s v=""/>
    <m/>
    <m/>
    <m/>
    <s v=""/>
    <s v=""/>
    <n v="16.46"/>
    <n v="15.3078"/>
    <m/>
    <d v="2022-07-11T00:00:00"/>
    <n v="18.13"/>
    <n v="19.670000000000002"/>
    <n v="14.89"/>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491"/>
    <n v="37.030499999999996"/>
    <m/>
    <m/>
    <n v="0"/>
    <s v=""/>
    <n v="0"/>
    <s v=""/>
    <m/>
    <s v=""/>
    <s v=""/>
    <s v=""/>
    <s v=""/>
    <s v=""/>
    <s v=""/>
    <s v=""/>
    <s v=""/>
    <s v=""/>
    <s v=""/>
    <x v="0"/>
    <s v=""/>
  </r>
  <r>
    <s v="VIAC"/>
    <n v="42.727899999999998"/>
    <m/>
    <n v="36.318714999999997"/>
    <x v="40"/>
    <x v="8"/>
    <m/>
    <m/>
    <m/>
    <m/>
    <m/>
    <m/>
    <m/>
    <m/>
    <m/>
    <m/>
    <m/>
    <m/>
    <s v="BULLISH"/>
    <d v="2022-07-27T19:15:00"/>
    <d v="2022-07-27T19:15:00"/>
    <m/>
    <m/>
    <m/>
    <m/>
    <m/>
    <m/>
    <m/>
    <m/>
    <s v=""/>
    <n v="0"/>
    <n v="0"/>
    <s v=""/>
    <m/>
    <m/>
    <s v=""/>
    <s v=""/>
    <s v=""/>
    <s v=""/>
    <s v=""/>
    <n v="0.8"/>
    <d v="2020-01-01T00:00:00"/>
    <n v="0"/>
    <n v="0"/>
    <n v="1.8723129383845218E-2"/>
    <d v="2019-12-13T00:00:00"/>
    <n v="40"/>
    <n v="27.81"/>
    <n v="-6.3843530807739163E-2"/>
    <s v=""/>
    <n v="0"/>
    <n v="0"/>
    <n v="-0.34913721479408066"/>
    <n v="30"/>
    <s v="ITM"/>
    <m/>
    <m/>
    <s v="LCs"/>
    <s v=""/>
    <m/>
    <m/>
    <m/>
    <s v=""/>
    <s v=""/>
    <m/>
    <s v=""/>
    <m/>
    <d v="2019-12-10T00:00:00"/>
    <n v="41.7"/>
    <n v="43.6"/>
    <n v="34.299999999999997"/>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6.419499999999999"/>
    <n v="83.319404999999989"/>
    <m/>
    <m/>
    <n v="0"/>
    <s v=""/>
    <n v="0"/>
    <s v=""/>
    <s v="{2CC6E0FF-0A20-4437-91DD-81407DDB18F4}"/>
    <s v=""/>
    <s v=""/>
    <s v=""/>
    <s v=""/>
    <s v=""/>
    <s v=""/>
    <s v=""/>
    <s v=""/>
    <s v=""/>
    <s v=""/>
    <x v="0"/>
    <s v=""/>
  </r>
  <r>
    <s v="VIPS"/>
    <n v="30.14"/>
    <s v="Swing"/>
    <n v="25.619"/>
    <x v="29"/>
    <x v="1"/>
    <m/>
    <m/>
    <m/>
    <m/>
    <m/>
    <m/>
    <m/>
    <m/>
    <m/>
    <m/>
    <m/>
    <m/>
    <m/>
    <d v="2022-08-18T05:00:00"/>
    <d v="2022-08-18T05:00:00"/>
    <m/>
    <m/>
    <m/>
    <m/>
    <m/>
    <m/>
    <m/>
    <m/>
    <s v=""/>
    <n v="0"/>
    <n v="0"/>
    <s v=""/>
    <m/>
    <m/>
    <s v=""/>
    <s v=""/>
    <s v=""/>
    <s v=""/>
    <s v=""/>
    <m/>
    <m/>
    <n v="0"/>
    <n v="0"/>
    <n v="0"/>
    <m/>
    <m/>
    <n v="40.049999999999997"/>
    <s v=""/>
    <s v=""/>
    <n v="0"/>
    <n v="0"/>
    <n v="0.32879893828798928"/>
    <m/>
    <m/>
    <n v="28.9"/>
    <s v="stop out"/>
    <m/>
    <s v=""/>
    <m/>
    <m/>
    <m/>
    <s v=""/>
    <s v=""/>
    <n v="131.84"/>
    <n v="122.6112"/>
    <m/>
    <d v="2021-03-30T00:00:00"/>
    <n v="30.5"/>
    <n v="32.93"/>
    <n v="26.07"/>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047499999999992"/>
    <n v="58.773000000000003"/>
    <m/>
    <m/>
    <n v="0"/>
    <s v=""/>
    <n v="0"/>
    <s v=""/>
    <m/>
    <s v=""/>
    <s v=""/>
    <s v=""/>
    <s v=""/>
    <s v=""/>
    <s v=""/>
    <s v=""/>
    <s v=""/>
    <s v=""/>
    <s v=""/>
    <x v="0"/>
    <s v=""/>
  </r>
  <r>
    <s v="VIX"/>
    <n v="8.3000000000000007"/>
    <s v="Swing"/>
    <n v="7.0550000000000006"/>
    <x v="157"/>
    <x v="7"/>
    <m/>
    <m/>
    <m/>
    <m/>
    <m/>
    <m/>
    <m/>
    <m/>
    <m/>
    <m/>
    <m/>
    <m/>
    <s v="BULLISH"/>
    <d v="2022-08-04T17:00:00"/>
    <d v="2022-08-04T17:00:00"/>
    <m/>
    <m/>
    <m/>
    <m/>
    <m/>
    <m/>
    <m/>
    <m/>
    <s v=""/>
    <n v="0"/>
    <n v="0"/>
    <s v=""/>
    <m/>
    <m/>
    <s v=""/>
    <s v=""/>
    <s v=""/>
    <s v=""/>
    <s v=""/>
    <m/>
    <m/>
    <n v="0"/>
    <n v="0"/>
    <n v="0"/>
    <m/>
    <m/>
    <n v="10"/>
    <s v=""/>
    <s v=""/>
    <n v="0"/>
    <n v="0"/>
    <n v="0.20481927710843364"/>
    <m/>
    <m/>
    <m/>
    <m/>
    <m/>
    <s v=""/>
    <m/>
    <m/>
    <m/>
    <s v=""/>
    <s v=""/>
    <n v="7.1"/>
    <n v="6.6029999999999989"/>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5"/>
    <n v="16.185000000000002"/>
    <m/>
    <m/>
    <n v="0"/>
    <s v=""/>
    <n v="0"/>
    <s v=""/>
    <m/>
    <s v=""/>
    <s v=""/>
    <s v=""/>
    <s v=""/>
    <s v=""/>
    <s v=""/>
    <s v=""/>
    <s v=""/>
    <s v=""/>
    <s v=""/>
    <x v="0"/>
    <s v=""/>
  </r>
  <r>
    <s v="VLO"/>
    <n v="78.849999999999994"/>
    <m/>
    <n v="67.022499999999994"/>
    <x v="125"/>
    <x v="0"/>
    <m/>
    <m/>
    <m/>
    <m/>
    <m/>
    <m/>
    <m/>
    <m/>
    <m/>
    <m/>
    <m/>
    <m/>
    <s v="BULLISH"/>
    <d v="2022-07-26T06:45:00"/>
    <d v="2022-07-26T06:45:00"/>
    <m/>
    <m/>
    <m/>
    <m/>
    <m/>
    <m/>
    <m/>
    <m/>
    <s v=""/>
    <n v="0"/>
    <n v="0"/>
    <s v=""/>
    <m/>
    <m/>
    <s v=""/>
    <s v=""/>
    <s v=""/>
    <s v=""/>
    <s v=""/>
    <n v="2.4"/>
    <d v="2017-09-08T00:00:00"/>
    <n v="0"/>
    <n v="0"/>
    <n v="3.0437539632213063E-2"/>
    <d v="2017-02-16T00:00:00"/>
    <m/>
    <n v="75.53"/>
    <s v=""/>
    <s v=""/>
    <n v="0"/>
    <n v="0"/>
    <n v="-4.2105263157894653E-2"/>
    <n v="67"/>
    <s v="T1"/>
    <n v="60"/>
    <s v="Exit"/>
    <m/>
    <s v=""/>
    <m/>
    <m/>
    <m/>
    <s v=""/>
    <s v=""/>
    <m/>
    <s v=""/>
    <m/>
    <d v="2016-12-02T00:00:00"/>
    <n v="64.7"/>
    <n v="67.900000000000006"/>
    <n v="54.9"/>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1.753500000000003"/>
    <n v="153.75749999999999"/>
    <m/>
    <m/>
    <n v="0"/>
    <s v=""/>
    <n v="0"/>
    <s v=""/>
    <s v="{81EF5F6F-42AB-45C5-8CF9-745865E6311E}"/>
    <s v=""/>
    <s v=""/>
    <s v=""/>
    <s v=""/>
    <s v=""/>
    <s v=""/>
    <s v=""/>
    <s v=""/>
    <s v=""/>
    <s v=""/>
    <x v="0"/>
    <s v=""/>
  </r>
  <r>
    <s v="VLY"/>
    <n v="10.62"/>
    <m/>
    <n v="9.0269999999999992"/>
    <x v="158"/>
    <x v="7"/>
    <m/>
    <m/>
    <m/>
    <m/>
    <m/>
    <m/>
    <m/>
    <m/>
    <m/>
    <m/>
    <m/>
    <m/>
    <m/>
    <d v="2022-07-28T07:00:00"/>
    <d v="2022-07-28T07:00:00"/>
    <m/>
    <m/>
    <m/>
    <m/>
    <m/>
    <m/>
    <m/>
    <m/>
    <s v=""/>
    <n v="0"/>
    <n v="0"/>
    <s v=""/>
    <m/>
    <m/>
    <s v=""/>
    <s v=""/>
    <s v=""/>
    <s v=""/>
    <s v=""/>
    <m/>
    <m/>
    <n v="0"/>
    <n v="0"/>
    <n v="0"/>
    <m/>
    <m/>
    <n v="9.7799999999999994"/>
    <s v=""/>
    <s v=""/>
    <n v="0"/>
    <n v="0"/>
    <n v="-7.9096045197740106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2909999999999986"/>
    <n v="20.709"/>
    <m/>
    <m/>
    <n v="0"/>
    <s v=""/>
    <n v="0"/>
    <s v=""/>
    <s v="{53B8A0CC-11EC-4D02-A2F6-3EB0C207EBFA}"/>
    <s v=""/>
    <s v=""/>
    <s v=""/>
    <s v=""/>
    <s v=""/>
    <s v=""/>
    <s v=""/>
    <s v=""/>
    <s v=""/>
    <s v=""/>
    <x v="0"/>
    <s v=""/>
  </r>
  <r>
    <s v="VMW"/>
    <n v="157.5"/>
    <m/>
    <n v="133.875"/>
    <x v="159"/>
    <x v="3"/>
    <m/>
    <m/>
    <m/>
    <m/>
    <m/>
    <m/>
    <m/>
    <m/>
    <m/>
    <m/>
    <m/>
    <m/>
    <m/>
    <d v="2022-08-25T07:15:00"/>
    <d v="2022-08-25T07:15:00"/>
    <m/>
    <m/>
    <m/>
    <m/>
    <m/>
    <m/>
    <m/>
    <m/>
    <s v=""/>
    <n v="0"/>
    <n v="0"/>
    <s v=""/>
    <m/>
    <m/>
    <s v=""/>
    <s v=""/>
    <s v=""/>
    <s v=""/>
    <s v=""/>
    <m/>
    <m/>
    <n v="0"/>
    <n v="0"/>
    <n v="0"/>
    <m/>
    <m/>
    <n v="154.4"/>
    <s v=""/>
    <s v=""/>
    <n v="0"/>
    <n v="0"/>
    <n v="-1.9682539682539645E-2"/>
    <m/>
    <m/>
    <m/>
    <m/>
    <m/>
    <s v=""/>
    <m/>
    <m/>
    <m/>
    <s v=""/>
    <s v=""/>
    <m/>
    <s v=""/>
    <m/>
    <d v="2018-08-22T00:00:00"/>
    <n v="147.69999999999999"/>
    <n v="161.30000000000001"/>
    <n v="143.5"/>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6.68"/>
    <n v="307.125"/>
    <m/>
    <m/>
    <n v="0"/>
    <s v=""/>
    <n v="0"/>
    <s v=""/>
    <s v="{D5ED6150-BD95-4808-9ACA-A2D838C66EA2}"/>
    <s v=""/>
    <s v=""/>
    <s v=""/>
    <s v=""/>
    <s v=""/>
    <s v=""/>
    <s v=""/>
    <s v=""/>
    <s v=""/>
    <s v=""/>
    <x v="0"/>
    <s v=""/>
  </r>
  <r>
    <s v="VSTO"/>
    <n v="21.53"/>
    <s v="Swing"/>
    <n v="18.3005"/>
    <x v="139"/>
    <x v="1"/>
    <m/>
    <m/>
    <m/>
    <m/>
    <m/>
    <m/>
    <m/>
    <m/>
    <m/>
    <m/>
    <m/>
    <m/>
    <s v="BULLISH"/>
    <d v="2022-08-04T05:00:00"/>
    <d v="2022-08-04T05:00:00"/>
    <m/>
    <m/>
    <m/>
    <m/>
    <m/>
    <m/>
    <m/>
    <m/>
    <s v=""/>
    <n v="0"/>
    <n v="0"/>
    <s v=""/>
    <m/>
    <m/>
    <s v=""/>
    <s v=""/>
    <s v=""/>
    <s v=""/>
    <s v=""/>
    <m/>
    <m/>
    <n v="0"/>
    <n v="0"/>
    <n v="0"/>
    <m/>
    <m/>
    <n v="29.6"/>
    <s v=""/>
    <s v=""/>
    <n v="0"/>
    <n v="0"/>
    <n v="0.37482582443102647"/>
    <m/>
    <m/>
    <m/>
    <m/>
    <m/>
    <s v=""/>
    <m/>
    <m/>
    <m/>
    <s v=""/>
    <s v=""/>
    <m/>
    <s v=""/>
    <m/>
    <d v="2020-11-18T00:00:00"/>
    <n v="20.92"/>
    <n v="25.89"/>
    <n v="18.329999999999998"/>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8.12"/>
    <n v="41.983499999999999"/>
    <m/>
    <m/>
    <n v="0"/>
    <s v=""/>
    <n v="0"/>
    <s v=""/>
    <m/>
    <s v=""/>
    <s v=""/>
    <s v=""/>
    <s v=""/>
    <s v=""/>
    <s v=""/>
    <s v=""/>
    <s v=""/>
    <s v=""/>
    <s v=""/>
    <x v="0"/>
    <s v=""/>
  </r>
  <r>
    <s v="VXX"/>
    <n v="12.77"/>
    <s v="Hedge"/>
    <n v="10.8545"/>
    <x v="52"/>
    <x v="7"/>
    <m/>
    <m/>
    <m/>
    <m/>
    <m/>
    <m/>
    <m/>
    <m/>
    <m/>
    <m/>
    <m/>
    <m/>
    <m/>
    <d v="2022-08-04T05:00:00"/>
    <d v="2022-08-04T05:00:00"/>
    <m/>
    <m/>
    <m/>
    <m/>
    <m/>
    <m/>
    <m/>
    <m/>
    <s v=""/>
    <n v="0"/>
    <n v="0"/>
    <s v=""/>
    <m/>
    <m/>
    <s v=""/>
    <s v=""/>
    <s v=""/>
    <s v=""/>
    <s v=""/>
    <m/>
    <m/>
    <n v="0"/>
    <n v="0"/>
    <n v="0"/>
    <m/>
    <m/>
    <s v="-"/>
    <s v=""/>
    <s v=""/>
    <n v="0"/>
    <n v="0"/>
    <s v=""/>
    <n v="14"/>
    <s v="assignment"/>
    <n v="14"/>
    <s v="free money"/>
    <s v="SPs"/>
    <s v=""/>
    <m/>
    <m/>
    <m/>
    <s v=""/>
    <s v=""/>
    <n v="1.35"/>
    <n v="1.2555000000000001"/>
    <m/>
    <d v="2021-03-17T00:00:00"/>
    <n v="14.47"/>
    <n v="15"/>
    <n v="12.9"/>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4.901499999999999"/>
    <m/>
    <m/>
    <n v="0"/>
    <s v=""/>
    <n v="0"/>
    <s v=""/>
    <m/>
    <s v=""/>
    <s v=""/>
    <s v=""/>
    <s v=""/>
    <s v=""/>
    <s v=""/>
    <s v=""/>
    <s v=""/>
    <s v=""/>
    <s v=""/>
    <x v="0"/>
    <s v=""/>
  </r>
  <r>
    <s v="VZ"/>
    <n v="55.78"/>
    <m/>
    <n v="47.412999999999997"/>
    <x v="148"/>
    <x v="3"/>
    <s v="inherited, high tax to sell &amp; no reason to do so"/>
    <s v="price war, too much exposure"/>
    <m/>
    <s v="UP"/>
    <s v="CONVERGE"/>
    <s v="UP"/>
    <s v="DOWN"/>
    <s v="Over 80"/>
    <s v="DOWN"/>
    <s v="LOW"/>
    <m/>
    <m/>
    <m/>
    <d v="2022-07-22T07:30:00"/>
    <d v="2022-07-22T07:30:00"/>
    <m/>
    <m/>
    <m/>
    <m/>
    <m/>
    <n v="6"/>
    <m/>
    <m/>
    <s v=""/>
    <n v="0"/>
    <n v="0"/>
    <s v=""/>
    <m/>
    <m/>
    <s v=""/>
    <s v=""/>
    <s v=""/>
    <s v=""/>
    <s v=""/>
    <n v="0.2"/>
    <s v="N/A"/>
    <n v="0"/>
    <n v="0"/>
    <n v="3.5855145213338113E-3"/>
    <s v="N/A"/>
    <m/>
    <n v="59.96"/>
    <s v=""/>
    <s v=""/>
    <n v="0"/>
    <n v="0"/>
    <n v="7.4937253495876655E-2"/>
    <m/>
    <m/>
    <m/>
    <m/>
    <m/>
    <s v=""/>
    <m/>
    <m/>
    <m/>
    <s v=""/>
    <s v=""/>
    <m/>
    <s v=""/>
    <m/>
    <d v="2016-06-20T00:00:00"/>
    <n v="52.25"/>
    <n v="56.4"/>
    <n v="51.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56.961999999999996"/>
    <n v="108.771"/>
    <m/>
    <m/>
    <n v="0"/>
    <s v=""/>
    <n v="0"/>
    <s v=""/>
    <s v="{28D19BE9-4BAC-4BFA-AFE5-126E082505EC}"/>
    <s v=""/>
    <s v=""/>
    <s v=""/>
    <s v=""/>
    <s v=""/>
    <s v=""/>
    <s v=""/>
    <s v=""/>
    <s v=""/>
    <s v=""/>
    <x v="0"/>
    <s v=""/>
  </r>
  <r>
    <s v="WBA"/>
    <n v="52.79"/>
    <m/>
    <n v="44.871499999999997"/>
    <x v="160"/>
    <x v="8"/>
    <s v="Great position, great management"/>
    <s v="RAD takeover, increase in efforts to market higher margin private labels"/>
    <m/>
    <m/>
    <m/>
    <m/>
    <m/>
    <m/>
    <m/>
    <m/>
    <m/>
    <m/>
    <m/>
    <d v="2022-06-30T07:00:00"/>
    <d v="2022-06-30T07:00:00"/>
    <s v="Confirmed"/>
    <m/>
    <m/>
    <m/>
    <m/>
    <n v="1"/>
    <m/>
    <m/>
    <s v=""/>
    <n v="0"/>
    <n v="0"/>
    <s v=""/>
    <m/>
    <m/>
    <s v=""/>
    <s v=""/>
    <s v=""/>
    <s v=""/>
    <s v=""/>
    <n v="0.2"/>
    <s v="N/A"/>
    <n v="0"/>
    <n v="0"/>
    <n v="3.7885963250615649E-3"/>
    <s v="N/A"/>
    <m/>
    <n v="47.28"/>
    <s v=""/>
    <s v=""/>
    <n v="0"/>
    <n v="0"/>
    <n v="-0.10437582875544607"/>
    <m/>
    <m/>
    <m/>
    <m/>
    <m/>
    <s v=""/>
    <m/>
    <m/>
    <m/>
    <s v=""/>
    <s v=""/>
    <m/>
    <s v=""/>
    <m/>
    <d v="2016-07-13T00:00:00"/>
    <n v="84.9"/>
    <n v="88.7"/>
    <n v="74.5"/>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4.915999999999997"/>
    <n v="102.9405"/>
    <m/>
    <m/>
    <n v="0"/>
    <s v=""/>
    <n v="0"/>
    <s v=""/>
    <s v="{C7FCB5C2-EA1D-47D3-8501-C593B7F9FC52}"/>
    <s v=""/>
    <s v=""/>
    <s v=""/>
    <s v=""/>
    <s v=""/>
    <s v=""/>
    <s v=""/>
    <s v=""/>
    <s v=""/>
    <s v=""/>
    <x v="0"/>
    <s v=""/>
  </r>
  <r>
    <s v="WBD"/>
    <n v="17.559999999999999"/>
    <m/>
    <n v="14.925999999999998"/>
    <x v="62"/>
    <x v="9"/>
    <m/>
    <m/>
    <m/>
    <m/>
    <m/>
    <m/>
    <m/>
    <m/>
    <m/>
    <m/>
    <m/>
    <m/>
    <s v="NEUTRAL"/>
    <d v="2022-07-26T07:00:00"/>
    <d v="2022-07-26T07:00:00"/>
    <m/>
    <m/>
    <m/>
    <m/>
    <m/>
    <m/>
    <m/>
    <m/>
    <s v=""/>
    <n v="0"/>
    <n v="0"/>
    <s v=""/>
    <m/>
    <m/>
    <s v=""/>
    <s v=""/>
    <s v=""/>
    <s v=""/>
    <s v=""/>
    <m/>
    <m/>
    <n v="0"/>
    <n v="0"/>
    <n v="0"/>
    <m/>
    <m/>
    <n v="37.159999999999997"/>
    <s v=""/>
    <s v=""/>
    <n v="0"/>
    <n v="0"/>
    <n v="1.1161731207289294"/>
    <m/>
    <m/>
    <m/>
    <m/>
    <m/>
    <s v=""/>
    <m/>
    <m/>
    <m/>
    <s v=""/>
    <s v=""/>
    <n v="33.86"/>
    <n v="31.489799999999999"/>
    <m/>
    <d v="2022-05-17T00:00:00"/>
    <n v="15.6"/>
    <n v="22.2"/>
    <n v="13.7"/>
    <s v="LTD 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5.301999999999992"/>
    <n v="34.241999999999997"/>
    <m/>
    <m/>
    <n v="0"/>
    <s v=""/>
    <n v="0"/>
    <s v=""/>
    <m/>
    <s v=""/>
    <s v=""/>
    <s v=""/>
    <s v=""/>
    <s v=""/>
    <s v=""/>
    <s v=""/>
    <s v=""/>
    <s v=""/>
    <s v=""/>
    <x v="0"/>
    <s v=""/>
  </r>
  <r>
    <s v="WDAY"/>
    <n v="241.15"/>
    <m/>
    <n v="204.97749999999999"/>
    <x v="10"/>
    <x v="3"/>
    <m/>
    <m/>
    <m/>
    <m/>
    <m/>
    <m/>
    <m/>
    <m/>
    <m/>
    <m/>
    <m/>
    <m/>
    <m/>
    <d v="2022-08-25T16:00:00"/>
    <d v="2022-08-25T16:00:00"/>
    <m/>
    <m/>
    <m/>
    <m/>
    <m/>
    <m/>
    <m/>
    <m/>
    <s v=""/>
    <n v="0"/>
    <n v="0"/>
    <s v=""/>
    <m/>
    <m/>
    <s v=""/>
    <s v=""/>
    <s v=""/>
    <s v=""/>
    <s v=""/>
    <m/>
    <m/>
    <n v="0"/>
    <n v="0"/>
    <n v="0"/>
    <m/>
    <m/>
    <n v="191.81"/>
    <s v=""/>
    <s v=""/>
    <n v="0"/>
    <n v="0"/>
    <n v="-0.20460294422558575"/>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2.21949999999998"/>
    <n v="470.24250000000001"/>
    <m/>
    <m/>
    <n v="0"/>
    <s v=""/>
    <n v="0"/>
    <s v=""/>
    <m/>
    <s v=""/>
    <s v=""/>
    <s v=""/>
    <s v=""/>
    <s v=""/>
    <s v=""/>
    <s v=""/>
    <s v=""/>
    <s v=""/>
    <s v=""/>
    <x v="0"/>
    <s v=""/>
  </r>
  <r>
    <s v="WEAT"/>
    <n v="12.36"/>
    <m/>
    <n v="10.505999999999998"/>
    <x v="52"/>
    <x v="7"/>
    <m/>
    <m/>
    <m/>
    <m/>
    <m/>
    <m/>
    <m/>
    <m/>
    <m/>
    <m/>
    <m/>
    <m/>
    <s v="BULLISH"/>
    <d v="2022-07-28T06:00:00"/>
    <d v="2022-07-28T06:00:00"/>
    <m/>
    <m/>
    <m/>
    <m/>
    <m/>
    <m/>
    <m/>
    <m/>
    <s v=""/>
    <n v="0"/>
    <n v="0"/>
    <s v=""/>
    <m/>
    <m/>
    <s v=""/>
    <s v=""/>
    <s v=""/>
    <s v=""/>
    <s v=""/>
    <m/>
    <m/>
    <n v="0"/>
    <n v="0"/>
    <n v="0"/>
    <m/>
    <m/>
    <m/>
    <s v=""/>
    <s v=""/>
    <n v="0"/>
    <n v="0"/>
    <s v=""/>
    <n v="12"/>
    <s v="assignment"/>
    <n v="12"/>
    <s v="free money"/>
    <s v="CCs"/>
    <s v=""/>
    <m/>
    <m/>
    <m/>
    <s v=""/>
    <s v=""/>
    <n v="11.21"/>
    <n v="10.4253"/>
    <m/>
    <d v="2022-05-16T00:00:00"/>
    <n v="12.07"/>
    <n v="12.32"/>
    <n v="11.99"/>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24.101999999999997"/>
    <m/>
    <m/>
    <n v="0"/>
    <s v=""/>
    <n v="0"/>
    <s v=""/>
    <m/>
    <s v=""/>
    <s v=""/>
    <s v=""/>
    <s v=""/>
    <s v=""/>
    <s v=""/>
    <s v=""/>
    <s v=""/>
    <s v=""/>
    <s v=""/>
    <x v="0"/>
    <s v=""/>
  </r>
  <r>
    <s v="WFC"/>
    <n v="38.880000000000003"/>
    <m/>
    <n v="33.048000000000002"/>
    <x v="47"/>
    <x v="7"/>
    <s v="Credit card loan growth acceleratinf"/>
    <s v="Needs interest rate rise to appreciate much"/>
    <m/>
    <s v="DOWN"/>
    <s v="CONVERGE"/>
    <s v="DOWN"/>
    <s v="DOWN"/>
    <s v="Middle"/>
    <s v="DOWN"/>
    <s v="AVG"/>
    <m/>
    <m/>
    <s v="BULLISH"/>
    <d v="2022-07-14T07:10:00"/>
    <d v="2022-07-14T07:10:00"/>
    <m/>
    <m/>
    <m/>
    <m/>
    <m/>
    <m/>
    <m/>
    <m/>
    <s v=""/>
    <n v="0"/>
    <n v="0"/>
    <s v=""/>
    <m/>
    <m/>
    <s v=""/>
    <s v=""/>
    <s v=""/>
    <s v=""/>
    <s v=""/>
    <n v="0.2"/>
    <s v="N/A"/>
    <n v="0"/>
    <n v="0"/>
    <n v="5.1440329218106996E-3"/>
    <s v="N/A"/>
    <m/>
    <n v="38.090000000000003"/>
    <s v=""/>
    <s v=""/>
    <n v="0"/>
    <n v="0"/>
    <n v="-2.031893004115224E-2"/>
    <n v="1.52"/>
    <s v="assignment"/>
    <n v="1.52"/>
    <s v="Assignment"/>
    <s v="SPs"/>
    <s v=""/>
    <m/>
    <m/>
    <m/>
    <s v=""/>
    <s v=""/>
    <m/>
    <s v=""/>
    <m/>
    <d v="2021-03-09T00:00:00"/>
    <n v="35.9"/>
    <n v="43.2"/>
    <n v="33.6"/>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6.185500000000005"/>
    <n v="75.816000000000003"/>
    <m/>
    <m/>
    <n v="0"/>
    <s v=""/>
    <n v="0"/>
    <s v=""/>
    <s v="{66221A37-53A7-4B26-B95E-68CF763B5BE8}"/>
    <s v=""/>
    <s v=""/>
    <s v=""/>
    <s v=""/>
    <s v=""/>
    <s v=""/>
    <s v=""/>
    <s v=""/>
    <s v=""/>
    <s v=""/>
    <x v="0"/>
    <s v=""/>
  </r>
  <r>
    <s v="WKHS"/>
    <n v="34.799999999999997"/>
    <s v="Swing"/>
    <n v="29.58"/>
    <x v="115"/>
    <x v="1"/>
    <m/>
    <m/>
    <m/>
    <m/>
    <m/>
    <m/>
    <m/>
    <m/>
    <m/>
    <m/>
    <m/>
    <m/>
    <m/>
    <d v="2022-08-09T00:00:00"/>
    <d v="2022-08-09T00:00:00"/>
    <m/>
    <m/>
    <m/>
    <m/>
    <m/>
    <m/>
    <m/>
    <m/>
    <s v=""/>
    <n v="0"/>
    <n v="0"/>
    <s v=""/>
    <m/>
    <m/>
    <s v=""/>
    <s v=""/>
    <s v=""/>
    <s v=""/>
    <s v=""/>
    <m/>
    <m/>
    <n v="0"/>
    <n v="0"/>
    <n v="0"/>
    <m/>
    <m/>
    <n v="25.5"/>
    <s v=""/>
    <s v=""/>
    <n v="0"/>
    <n v="0"/>
    <n v="-0.26724137931034475"/>
    <n v="30"/>
    <s v="max gain"/>
    <n v="24"/>
    <s v="Losses"/>
    <s v="BuCS"/>
    <s v=""/>
    <m/>
    <m/>
    <m/>
    <s v=""/>
    <s v=""/>
    <m/>
    <s v=""/>
    <m/>
    <d v="2021-01-21T00:00:00"/>
    <n v="23.68"/>
    <n v="31.76"/>
    <n v="19.37"/>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224999999999998"/>
    <n v="67.86"/>
    <m/>
    <m/>
    <n v="0"/>
    <s v=""/>
    <n v="0"/>
    <s v=""/>
    <m/>
    <s v=""/>
    <s v=""/>
    <s v=""/>
    <s v=""/>
    <s v=""/>
    <s v=""/>
    <s v=""/>
    <s v=""/>
    <s v=""/>
    <s v=""/>
    <x v="0"/>
    <s v=""/>
  </r>
  <r>
    <s v="TTWO"/>
    <n v="156.02000000000001"/>
    <m/>
    <n v="132.61700000000002"/>
    <x v="161"/>
    <x v="3"/>
    <m/>
    <m/>
    <m/>
    <m/>
    <m/>
    <m/>
    <m/>
    <m/>
    <m/>
    <m/>
    <m/>
    <m/>
    <s v="NEUTRAL"/>
    <d v="2022-08-15T16:05:00"/>
    <d v="2022-08-15T16:05:00"/>
    <m/>
    <m/>
    <m/>
    <n v="2"/>
    <m/>
    <m/>
    <m/>
    <m/>
    <s v=""/>
    <n v="0"/>
    <n v="0"/>
    <s v=""/>
    <m/>
    <m/>
    <s v=""/>
    <s v=""/>
    <s v=""/>
    <s v=""/>
    <s v=""/>
    <m/>
    <m/>
    <n v="0"/>
    <n v="0"/>
    <n v="0"/>
    <m/>
    <n v="150"/>
    <n v="157"/>
    <n v="-3.8584796820920461E-2"/>
    <s v=""/>
    <n v="0"/>
    <n v="0"/>
    <n v="6.2812459941032541E-3"/>
    <m/>
    <m/>
    <m/>
    <m/>
    <m/>
    <s v=""/>
    <m/>
    <m/>
    <m/>
    <s v=""/>
    <s v=""/>
    <m/>
    <s v=""/>
    <m/>
    <d v="2020-04-09T00:00:00"/>
    <n v="107.1"/>
    <n v="149.19999999999999"/>
    <n v="92.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9.15"/>
    <n v="304.23900000000003"/>
    <m/>
    <m/>
    <n v="0"/>
    <s v=""/>
    <n v="0"/>
    <s v=""/>
    <s v="{A8A027C7-ABAE-4509-BE30-D7CD2A162AFF}"/>
    <s v=""/>
    <s v=""/>
    <s v=""/>
    <s v=""/>
    <s v=""/>
    <s v=""/>
    <s v=""/>
    <s v=""/>
    <s v=""/>
    <s v=""/>
    <x v="0"/>
    <s v=""/>
  </r>
  <r>
    <s v="WMT"/>
    <n v="144.94"/>
    <s v="CORE"/>
    <n v="123.199"/>
    <x v="18"/>
    <x v="8"/>
    <m/>
    <m/>
    <m/>
    <m/>
    <m/>
    <m/>
    <m/>
    <m/>
    <m/>
    <m/>
    <m/>
    <m/>
    <s v="BULLISH"/>
    <d v="2022-08-16T07:00:00"/>
    <d v="2022-08-16T07:00:00"/>
    <m/>
    <m/>
    <m/>
    <m/>
    <m/>
    <m/>
    <m/>
    <m/>
    <s v=""/>
    <n v="0"/>
    <n v="0"/>
    <s v=""/>
    <m/>
    <m/>
    <s v=""/>
    <s v=""/>
    <s v=""/>
    <s v=""/>
    <s v=""/>
    <n v="2.2000000000000002"/>
    <d v="2021-09-07T00:00:00"/>
    <n v="0"/>
    <n v="0"/>
    <n v="1.5178694632261626E-2"/>
    <d v="2021-08-12T00:00:00"/>
    <n v="125"/>
    <n v="163.24"/>
    <n v="-0.13757416862149854"/>
    <s v=""/>
    <n v="0"/>
    <n v="0"/>
    <n v="0.12625914171381269"/>
    <n v="145"/>
    <s v="free money"/>
    <n v="145"/>
    <s v="Assignment"/>
    <s v="SPs"/>
    <s v=""/>
    <m/>
    <m/>
    <m/>
    <s v=""/>
    <s v=""/>
    <n v="140.53"/>
    <n v="130.69289999999998"/>
    <m/>
    <d v="2021-12-13T00:00:00"/>
    <n v="136.6"/>
    <n v="150.19999999999999"/>
    <n v="132.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5.078"/>
    <n v="282.63299999999998"/>
    <m/>
    <m/>
    <n v="0"/>
    <s v=""/>
    <n v="0"/>
    <s v=""/>
    <s v="{A769CD2C-BBFB-4AF8-9A47-8A613340E2F9}"/>
    <s v=""/>
    <s v=""/>
    <s v=""/>
    <s v=""/>
    <s v=""/>
    <s v=""/>
    <s v=""/>
    <s v=""/>
    <s v=""/>
    <s v=""/>
    <x v="0"/>
    <s v=""/>
  </r>
  <r>
    <s v="WORK"/>
    <n v="31.66"/>
    <s v="ST"/>
    <n v="26.910999999999998"/>
    <x v="13"/>
    <x v="3"/>
    <m/>
    <m/>
    <m/>
    <m/>
    <m/>
    <m/>
    <m/>
    <m/>
    <m/>
    <m/>
    <m/>
    <m/>
    <s v="BULLISH"/>
    <d v="2022-08-16T07:00:00"/>
    <d v="2022-08-16T07:00:00"/>
    <m/>
    <m/>
    <m/>
    <m/>
    <m/>
    <m/>
    <m/>
    <m/>
    <s v=""/>
    <n v="0"/>
    <n v="0"/>
    <s v=""/>
    <m/>
    <m/>
    <s v=""/>
    <s v=""/>
    <s v=""/>
    <s v=""/>
    <s v=""/>
    <m/>
    <m/>
    <n v="0"/>
    <n v="0"/>
    <n v="0"/>
    <m/>
    <m/>
    <n v="26.2"/>
    <s v=""/>
    <s v=""/>
    <n v="0"/>
    <n v="0"/>
    <n v="-0.17245735944409352"/>
    <n v="30"/>
    <s v="free money"/>
    <n v="30"/>
    <s v="Assignment"/>
    <s v="SPs"/>
    <s v=""/>
    <m/>
    <m/>
    <m/>
    <s v=""/>
    <s v=""/>
    <m/>
    <s v=""/>
    <m/>
    <d v="2020-04-23T00:00:00"/>
    <n v="22.1"/>
    <n v="36.700000000000003"/>
    <n v="17"/>
    <s v="RIS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889999999999997"/>
    <n v="61.737000000000002"/>
    <m/>
    <m/>
    <n v="0"/>
    <s v=""/>
    <n v="0"/>
    <s v=""/>
    <s v="{D09D7D74-3432-48E7-BCE6-91D1B46CA895}"/>
    <s v=""/>
    <s v=""/>
    <s v=""/>
    <s v=""/>
    <s v=""/>
    <s v=""/>
    <s v=""/>
    <s v=""/>
    <s v=""/>
    <s v=""/>
    <x v="0"/>
    <s v=""/>
  </r>
  <r>
    <s v="WPM"/>
    <n v="33.72"/>
    <s v="MT"/>
    <n v="28.661999999999999"/>
    <x v="11"/>
    <x v="0"/>
    <m/>
    <m/>
    <m/>
    <m/>
    <m/>
    <m/>
    <m/>
    <m/>
    <m/>
    <m/>
    <m/>
    <m/>
    <s v="BULLISH"/>
    <d v="2022-11-03T17:10:00"/>
    <d v="2022-11-03T17:10:00"/>
    <s v="Confirmed"/>
    <m/>
    <m/>
    <m/>
    <m/>
    <m/>
    <m/>
    <m/>
    <s v=""/>
    <n v="0"/>
    <n v="0"/>
    <s v=""/>
    <m/>
    <m/>
    <s v=""/>
    <s v=""/>
    <s v=""/>
    <s v=""/>
    <s v=""/>
    <m/>
    <m/>
    <n v="0"/>
    <n v="0"/>
    <n v="0"/>
    <m/>
    <m/>
    <n v="60.45"/>
    <s v=""/>
    <s v=""/>
    <n v="0"/>
    <n v="0"/>
    <n v="0.79270462633451977"/>
    <n v="31"/>
    <s v="assignment"/>
    <n v="31"/>
    <s v="free money"/>
    <s v="CCs"/>
    <s v=""/>
    <m/>
    <m/>
    <m/>
    <s v=""/>
    <s v=""/>
    <n v="30.4"/>
    <n v="28.271999999999998"/>
    <m/>
    <d v="2022-10-20T00:00:00"/>
    <n v="31.07"/>
    <n v="32.380000000000003"/>
    <n v="28.08"/>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2.95"/>
    <m/>
    <s v=""/>
    <s v=""/>
    <b v="0"/>
    <d v="2022-10-28T00:00:00"/>
    <s v=""/>
    <n v="0"/>
    <n v="2.95"/>
    <n v="8.7485172004744968E-2"/>
    <s v=""/>
    <s v=""/>
    <s v=""/>
    <s v=""/>
    <s v=""/>
    <s v=""/>
    <s v=""/>
    <s v=""/>
    <s v=""/>
    <s v=""/>
    <s v=""/>
    <s v=""/>
    <s v=""/>
    <s v=""/>
    <s v=""/>
    <s v=""/>
    <m/>
    <n v="0"/>
    <n v="57.427500000000002"/>
    <n v="65.753999999999991"/>
    <m/>
    <m/>
    <n v="0"/>
    <s v=""/>
    <n v="0"/>
    <s v=""/>
    <m/>
    <s v=""/>
    <s v=""/>
    <s v=""/>
    <s v=""/>
    <s v=""/>
    <s v=""/>
    <s v=""/>
    <s v=""/>
    <s v=""/>
    <s v=""/>
    <x v="0"/>
    <s v=""/>
  </r>
  <r>
    <s v="WRK"/>
    <n v="34.32"/>
    <m/>
    <n v="29.172000000000001"/>
    <x v="162"/>
    <x v="12"/>
    <m/>
    <m/>
    <m/>
    <m/>
    <m/>
    <m/>
    <m/>
    <m/>
    <m/>
    <m/>
    <m/>
    <m/>
    <m/>
    <d v="2022-08-04T06:30:00"/>
    <d v="2022-08-04T06:30:00"/>
    <m/>
    <m/>
    <m/>
    <m/>
    <m/>
    <m/>
    <m/>
    <m/>
    <s v=""/>
    <n v="0"/>
    <n v="0"/>
    <s v=""/>
    <m/>
    <m/>
    <s v=""/>
    <s v=""/>
    <s v=""/>
    <s v=""/>
    <s v=""/>
    <m/>
    <m/>
    <n v="0"/>
    <n v="0"/>
    <n v="0"/>
    <m/>
    <n v="75"/>
    <n v="41.08"/>
    <n v="1.1853146853146852"/>
    <s v=""/>
    <n v="0"/>
    <n v="0"/>
    <n v="0.19696969696969691"/>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9.025999999999996"/>
    <n v="66.923999999999992"/>
    <m/>
    <m/>
    <n v="0"/>
    <s v=""/>
    <n v="0"/>
    <s v=""/>
    <s v="{4E831A2F-1446-406E-A549-15D3D10D1C74}"/>
    <s v=""/>
    <s v=""/>
    <s v=""/>
    <s v=""/>
    <s v=""/>
    <s v=""/>
    <s v=""/>
    <s v=""/>
    <s v=""/>
    <s v=""/>
    <x v="0"/>
    <s v=""/>
  </r>
  <r>
    <s v="WRK"/>
    <n v="34.32"/>
    <m/>
    <n v="29.172000000000001"/>
    <x v="162"/>
    <x v="12"/>
    <m/>
    <m/>
    <m/>
    <m/>
    <m/>
    <m/>
    <m/>
    <m/>
    <m/>
    <m/>
    <m/>
    <m/>
    <m/>
    <d v="2022-08-04T06:30:00"/>
    <d v="2022-08-04T06:30:00"/>
    <m/>
    <m/>
    <m/>
    <m/>
    <m/>
    <m/>
    <m/>
    <m/>
    <s v=""/>
    <n v="0"/>
    <n v="0"/>
    <s v=""/>
    <m/>
    <m/>
    <s v=""/>
    <s v=""/>
    <s v=""/>
    <s v=""/>
    <s v=""/>
    <m/>
    <m/>
    <n v="0"/>
    <n v="0"/>
    <n v="0"/>
    <m/>
    <m/>
    <n v="41.08"/>
    <s v=""/>
    <s v=""/>
    <n v="0"/>
    <n v="0"/>
    <n v="0.19696969696969691"/>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9.025999999999996"/>
    <n v="66.923999999999992"/>
    <m/>
    <m/>
    <n v="0"/>
    <s v=""/>
    <n v="0"/>
    <s v=""/>
    <s v="{30069EA6-7C6A-49DC-A2DB-1095EFC9DDE8}"/>
    <s v=""/>
    <s v=""/>
    <s v=""/>
    <s v=""/>
    <s v=""/>
    <s v=""/>
    <s v=""/>
    <s v=""/>
    <s v=""/>
    <s v=""/>
    <x v="0"/>
    <s v=""/>
  </r>
  <r>
    <s v="WSM"/>
    <n v="64.150000000000006"/>
    <m/>
    <n v="54.527500000000003"/>
    <x v="163"/>
    <x v="8"/>
    <m/>
    <m/>
    <m/>
    <m/>
    <m/>
    <m/>
    <m/>
    <m/>
    <m/>
    <m/>
    <m/>
    <m/>
    <s v="BULLISH"/>
    <d v="2022-08-24T16:15:00"/>
    <d v="2022-08-24T16:15:00"/>
    <m/>
    <s v="ex-div"/>
    <m/>
    <m/>
    <m/>
    <n v="2"/>
    <m/>
    <m/>
    <s v=""/>
    <n v="0"/>
    <n v="0"/>
    <s v=""/>
    <m/>
    <m/>
    <s v=""/>
    <s v=""/>
    <s v=""/>
    <s v=""/>
    <s v=""/>
    <n v="1.56"/>
    <d v="2017-05-26T00:00:00"/>
    <n v="0"/>
    <n v="0"/>
    <n v="2.431800467653936E-2"/>
    <d v="2017-04-21T00:00:00"/>
    <m/>
    <n v="45.61"/>
    <s v=""/>
    <s v=""/>
    <n v="0"/>
    <n v="0"/>
    <n v="-0.28901013250194862"/>
    <n v="52.5"/>
    <s v="ITM"/>
    <n v="47.5"/>
    <s v="Losses"/>
    <m/>
    <s v=""/>
    <m/>
    <m/>
    <m/>
    <s v=""/>
    <s v=""/>
    <m/>
    <s v=""/>
    <m/>
    <d v="2017-04-10T00:00:00"/>
    <n v="52.2"/>
    <n v="61.1"/>
    <n v="49.2"/>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3.329499999999996"/>
    <n v="125.0925"/>
    <m/>
    <m/>
    <n v="0"/>
    <s v=""/>
    <n v="0"/>
    <s v=""/>
    <s v="{8DFB5D95-3A80-492C-AFB8-93DFD8ACD79E}"/>
    <s v=""/>
    <s v=""/>
    <s v=""/>
    <s v=""/>
    <s v=""/>
    <s v=""/>
    <s v=""/>
    <s v=""/>
    <s v=""/>
    <s v=""/>
    <x v="0"/>
    <s v=""/>
  </r>
  <r>
    <s v="WYNN"/>
    <n v="108.91"/>
    <m/>
    <n v="92.573499999999996"/>
    <x v="42"/>
    <x v="8"/>
    <m/>
    <m/>
    <m/>
    <m/>
    <m/>
    <m/>
    <m/>
    <m/>
    <m/>
    <m/>
    <m/>
    <m/>
    <s v="BEARISH"/>
    <d v="2022-08-09T16:00:00"/>
    <d v="2022-08-09T16:00:00"/>
    <m/>
    <m/>
    <m/>
    <m/>
    <m/>
    <n v="1"/>
    <m/>
    <m/>
    <s v=""/>
    <n v="0"/>
    <n v="0"/>
    <s v=""/>
    <m/>
    <m/>
    <s v=""/>
    <s v=""/>
    <s v=""/>
    <s v=""/>
    <s v=""/>
    <n v="2"/>
    <d v="2017-02-28T00:00:00"/>
    <n v="0"/>
    <n v="0"/>
    <n v="1.8363786612799561E-2"/>
    <d v="2017-05-08T00:00:00"/>
    <m/>
    <n v="117.81"/>
    <s v=""/>
    <s v=""/>
    <n v="0"/>
    <n v="0"/>
    <n v="8.171885042695809E-2"/>
    <n v="95"/>
    <s v="Losses"/>
    <n v="95"/>
    <s v="ITM"/>
    <m/>
    <s v=""/>
    <m/>
    <m/>
    <m/>
    <s v=""/>
    <s v=""/>
    <m/>
    <s v=""/>
    <m/>
    <d v="2016-11-25T00:00:00"/>
    <n v="94.6"/>
    <n v="115.6"/>
    <n v="87.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1.9195"/>
    <n v="212.37449999999998"/>
    <m/>
    <m/>
    <n v="0"/>
    <s v=""/>
    <n v="0"/>
    <s v=""/>
    <s v="{456FBE52-85CA-4A47-93DD-4C3ABD3695BF}"/>
    <s v=""/>
    <s v=""/>
    <s v=""/>
    <s v=""/>
    <s v=""/>
    <s v=""/>
    <s v=""/>
    <s v=""/>
    <s v=""/>
    <s v=""/>
    <x v="0"/>
    <s v=""/>
  </r>
  <r>
    <s v="X"/>
    <n v="26.26"/>
    <s v="Prem"/>
    <n v="22.321000000000002"/>
    <x v="46"/>
    <x v="0"/>
    <m/>
    <m/>
    <m/>
    <m/>
    <m/>
    <m/>
    <m/>
    <m/>
    <m/>
    <m/>
    <m/>
    <m/>
    <s v="BULLISH"/>
    <d v="2022-07-28T16:40:00"/>
    <d v="2022-07-28T16:40:00"/>
    <m/>
    <m/>
    <m/>
    <m/>
    <m/>
    <m/>
    <m/>
    <m/>
    <s v=""/>
    <n v="0"/>
    <n v="0"/>
    <s v=""/>
    <m/>
    <m/>
    <s v=""/>
    <s v=""/>
    <s v=""/>
    <s v=""/>
    <s v=""/>
    <m/>
    <m/>
    <n v="0"/>
    <n v="0"/>
    <n v="0"/>
    <m/>
    <m/>
    <n v="20.420000000000002"/>
    <s v=""/>
    <s v=""/>
    <n v="0"/>
    <n v="0"/>
    <n v="-0.22239146991622238"/>
    <n v="23"/>
    <s v="assignment"/>
    <n v="23"/>
    <s v="free money"/>
    <s v="CCs"/>
    <s v=""/>
    <m/>
    <m/>
    <m/>
    <s v=""/>
    <s v=""/>
    <n v="20.22"/>
    <n v="18.804599999999997"/>
    <m/>
    <d v="2021-06-03T00:00:00"/>
    <n v="23.4"/>
    <n v="31.8"/>
    <n v="20.2"/>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9.399000000000001"/>
    <n v="51.207000000000001"/>
    <m/>
    <m/>
    <n v="0"/>
    <s v=""/>
    <n v="0"/>
    <s v=""/>
    <m/>
    <s v=""/>
    <s v=""/>
    <s v=""/>
    <s v=""/>
    <s v=""/>
    <s v=""/>
    <s v=""/>
    <s v=""/>
    <s v=""/>
    <s v=""/>
    <x v="0"/>
    <s v=""/>
  </r>
  <r>
    <s v="XBI"/>
    <n v="84.03"/>
    <m/>
    <n v="71.4255"/>
    <x v="52"/>
    <x v="7"/>
    <m/>
    <m/>
    <m/>
    <m/>
    <m/>
    <m/>
    <m/>
    <m/>
    <m/>
    <m/>
    <m/>
    <m/>
    <m/>
    <d v="2022-07-28T16:40:00"/>
    <d v="2022-07-28T16:40:00"/>
    <m/>
    <m/>
    <m/>
    <m/>
    <m/>
    <m/>
    <m/>
    <m/>
    <s v=""/>
    <n v="0"/>
    <n v="0"/>
    <s v=""/>
    <m/>
    <m/>
    <s v=""/>
    <s v=""/>
    <s v=""/>
    <s v=""/>
    <s v=""/>
    <m/>
    <m/>
    <n v="0"/>
    <n v="0"/>
    <n v="0"/>
    <m/>
    <m/>
    <s v="-"/>
    <s v=""/>
    <s v=""/>
    <n v="0"/>
    <n v="0"/>
    <s v=""/>
    <m/>
    <m/>
    <m/>
    <m/>
    <m/>
    <s v=""/>
    <m/>
    <m/>
    <m/>
    <s v=""/>
    <s v=""/>
    <m/>
    <s v=""/>
    <m/>
    <d v="2019-02-14T00:00:00"/>
    <n v="80.099999999999994"/>
    <n v="93.6"/>
    <n v="75.3"/>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63.85849999999999"/>
    <m/>
    <m/>
    <n v="0"/>
    <s v=""/>
    <n v="0"/>
    <s v=""/>
    <s v="{E8417F80-F8A5-4792-9E0E-C87C9D372818}"/>
    <s v=""/>
    <s v=""/>
    <s v=""/>
    <s v=""/>
    <s v=""/>
    <s v=""/>
    <s v=""/>
    <s v=""/>
    <s v=""/>
    <s v=""/>
    <x v="0"/>
    <s v=""/>
  </r>
  <r>
    <s v="XEC"/>
    <n v="43.02"/>
    <m/>
    <n v="36.567"/>
    <x v="69"/>
    <x v="0"/>
    <m/>
    <m/>
    <m/>
    <m/>
    <m/>
    <m/>
    <m/>
    <m/>
    <m/>
    <m/>
    <m/>
    <m/>
    <m/>
    <d v="2022-07-28T16:40:00"/>
    <d v="2022-07-28T16:40:00"/>
    <m/>
    <m/>
    <m/>
    <m/>
    <m/>
    <m/>
    <m/>
    <m/>
    <s v=""/>
    <n v="0"/>
    <n v="0"/>
    <s v=""/>
    <m/>
    <m/>
    <s v=""/>
    <s v=""/>
    <s v=""/>
    <s v=""/>
    <s v=""/>
    <n v="0.32"/>
    <d v="2017-09-01T00:00:00"/>
    <n v="0"/>
    <n v="0"/>
    <n v="7.4384007438400741E-3"/>
    <d v="2018-05-10T00:00:00"/>
    <n v="130"/>
    <n v="34.26"/>
    <n v="2.02185030218503"/>
    <s v=""/>
    <n v="0"/>
    <n v="0"/>
    <n v="-0.20362622036262215"/>
    <m/>
    <m/>
    <m/>
    <m/>
    <m/>
    <s v=""/>
    <m/>
    <m/>
    <m/>
    <s v=""/>
    <s v=""/>
    <m/>
    <s v=""/>
    <m/>
    <d v="2018-03-16T00:00:00"/>
    <n v="87.6"/>
    <n v="102.9"/>
    <n v="82.5"/>
    <s v="LTD 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2.546999999999997"/>
    <n v="83.88900000000001"/>
    <m/>
    <m/>
    <n v="0"/>
    <s v=""/>
    <n v="0"/>
    <s v=""/>
    <s v="{69B5DD53-AC03-4613-B55D-AE8EC0494241}"/>
    <s v=""/>
    <s v=""/>
    <s v=""/>
    <s v=""/>
    <s v=""/>
    <s v=""/>
    <s v=""/>
    <s v=""/>
    <s v=""/>
    <s v=""/>
    <x v="0"/>
    <s v=""/>
  </r>
  <r>
    <s v="XHB"/>
    <n v="56.74"/>
    <m/>
    <n v="48.228999999999999"/>
    <x v="52"/>
    <x v="7"/>
    <m/>
    <m/>
    <m/>
    <m/>
    <m/>
    <m/>
    <m/>
    <m/>
    <m/>
    <m/>
    <m/>
    <m/>
    <m/>
    <d v="2022-07-28T16:40:00"/>
    <d v="2022-07-28T16:40:00"/>
    <m/>
    <m/>
    <m/>
    <m/>
    <m/>
    <m/>
    <m/>
    <m/>
    <s v=""/>
    <n v="0"/>
    <n v="0"/>
    <s v=""/>
    <n v="65"/>
    <n v="56.2"/>
    <s v=""/>
    <s v=""/>
    <s v=""/>
    <s v=""/>
    <s v=""/>
    <m/>
    <m/>
    <n v="0"/>
    <n v="0"/>
    <n v="0"/>
    <m/>
    <m/>
    <s v="-"/>
    <s v=""/>
    <s v=""/>
    <n v="0"/>
    <n v="0"/>
    <s v=""/>
    <m/>
    <m/>
    <m/>
    <m/>
    <m/>
    <s v=""/>
    <m/>
    <m/>
    <m/>
    <s v=""/>
    <s v=""/>
    <m/>
    <s v=""/>
    <m/>
    <d v="2020-12-30T00:00:00"/>
    <n v="56.36"/>
    <n v="62.86"/>
    <n v="53.65"/>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10.643"/>
    <m/>
    <m/>
    <n v="0"/>
    <s v=""/>
    <n v="0"/>
    <s v=""/>
    <m/>
    <s v=""/>
    <s v=""/>
    <s v=""/>
    <s v=""/>
    <s v=""/>
    <s v=""/>
    <s v=""/>
    <s v=""/>
    <s v=""/>
    <s v=""/>
    <x v="0"/>
    <s v=""/>
  </r>
  <r>
    <s v="XLB"/>
    <n v="57.73"/>
    <m/>
    <n v="49.070499999999996"/>
    <x v="52"/>
    <x v="7"/>
    <m/>
    <m/>
    <m/>
    <m/>
    <m/>
    <m/>
    <m/>
    <m/>
    <m/>
    <m/>
    <m/>
    <m/>
    <m/>
    <d v="2022-07-28T16:40:00"/>
    <d v="2022-07-28T16:40:00"/>
    <m/>
    <m/>
    <m/>
    <m/>
    <m/>
    <m/>
    <m/>
    <m/>
    <s v=""/>
    <n v="0"/>
    <n v="0"/>
    <s v=""/>
    <m/>
    <m/>
    <s v=""/>
    <s v=""/>
    <s v=""/>
    <s v=""/>
    <s v=""/>
    <n v="0"/>
    <s v="N/A"/>
    <n v="0"/>
    <n v="0"/>
    <n v="0"/>
    <s v="N/A"/>
    <m/>
    <s v="-"/>
    <s v=""/>
    <s v=""/>
    <n v="0"/>
    <n v="0"/>
    <s v=""/>
    <m/>
    <m/>
    <m/>
    <m/>
    <m/>
    <s v=""/>
    <m/>
    <m/>
    <m/>
    <s v=""/>
    <s v=""/>
    <m/>
    <s v=""/>
    <m/>
    <d v="2016-04-25T00:00:00"/>
    <n v="45.8"/>
    <n v="49.9"/>
    <n v="44.6"/>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12.5735"/>
    <m/>
    <m/>
    <n v="0"/>
    <s v=""/>
    <n v="0"/>
    <s v=""/>
    <s v="{CFC5EA32-6373-4358-BE09-E765FC1AB4F8}"/>
    <s v=""/>
    <s v=""/>
    <s v=""/>
    <s v=""/>
    <s v=""/>
    <s v=""/>
    <s v=""/>
    <s v=""/>
    <s v=""/>
    <s v=""/>
    <x v="0"/>
    <s v=""/>
  </r>
  <r>
    <s v="XLE"/>
    <n v="47.86"/>
    <s v="Swing"/>
    <n v="40.680999999999997"/>
    <x v="52"/>
    <x v="7"/>
    <m/>
    <m/>
    <m/>
    <m/>
    <m/>
    <m/>
    <m/>
    <m/>
    <m/>
    <m/>
    <m/>
    <m/>
    <s v="BULLISH"/>
    <d v="2022-07-28T16:40:00"/>
    <d v="2022-07-28T16:40:00"/>
    <m/>
    <m/>
    <m/>
    <m/>
    <m/>
    <n v="3"/>
    <m/>
    <m/>
    <s v=""/>
    <n v="0"/>
    <n v="0"/>
    <s v=""/>
    <m/>
    <m/>
    <s v=""/>
    <s v=""/>
    <s v=""/>
    <s v=""/>
    <s v=""/>
    <m/>
    <s v="N/A"/>
    <n v="0"/>
    <n v="0"/>
    <n v="0"/>
    <m/>
    <m/>
    <s v="-"/>
    <s v=""/>
    <s v=""/>
    <n v="0"/>
    <n v="0"/>
    <s v=""/>
    <n v="49.5"/>
    <s v="assignment"/>
    <n v="49.5"/>
    <s v="free money"/>
    <s v="CCs"/>
    <s v=""/>
    <m/>
    <n v="3.8820000000000001"/>
    <d v="2021-04-16T00:00:00"/>
    <n v="43.978000000000002"/>
    <n v="51.741999999999997"/>
    <n v="47.96"/>
    <n v="44.602799999999995"/>
    <m/>
    <d v="2021-04-21T00:00:00"/>
    <n v="49.9"/>
    <n v="52.1"/>
    <n v="42.9"/>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93.326999999999998"/>
    <m/>
    <m/>
    <n v="0"/>
    <s v=""/>
    <n v="0"/>
    <s v=""/>
    <s v="{20D1FF43-8A60-43B2-89B2-124D7350A485}"/>
    <s v=""/>
    <s v=""/>
    <s v=""/>
    <s v=""/>
    <s v=""/>
    <s v=""/>
    <s v=""/>
    <s v=""/>
    <s v=""/>
    <s v=""/>
    <x v="0"/>
    <s v=""/>
  </r>
  <r>
    <s v="XLI"/>
    <n v="75.42"/>
    <m/>
    <n v="64.106999999999999"/>
    <x v="52"/>
    <x v="7"/>
    <m/>
    <m/>
    <m/>
    <m/>
    <m/>
    <m/>
    <m/>
    <m/>
    <m/>
    <m/>
    <m/>
    <m/>
    <m/>
    <d v="2022-07-28T16:40:00"/>
    <d v="2022-07-28T16:40:00"/>
    <m/>
    <m/>
    <m/>
    <m/>
    <m/>
    <n v="1"/>
    <m/>
    <m/>
    <s v=""/>
    <n v="0"/>
    <n v="0"/>
    <s v=""/>
    <m/>
    <m/>
    <s v=""/>
    <s v=""/>
    <s v=""/>
    <s v=""/>
    <s v=""/>
    <n v="0"/>
    <s v="N/A"/>
    <n v="0"/>
    <n v="0"/>
    <n v="0"/>
    <s v="N/A"/>
    <m/>
    <s v="-"/>
    <s v=""/>
    <s v=""/>
    <n v="0"/>
    <n v="0"/>
    <s v=""/>
    <m/>
    <m/>
    <m/>
    <m/>
    <m/>
    <s v=""/>
    <m/>
    <m/>
    <m/>
    <s v=""/>
    <s v=""/>
    <m/>
    <s v=""/>
    <m/>
    <d v="2015-12-10T00:00:00"/>
    <n v="54.8"/>
    <n v="55.9"/>
    <n v="51.6"/>
    <m/>
    <s v="BULLISH"/>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47.06899999999999"/>
    <m/>
    <m/>
    <n v="0"/>
    <s v=""/>
    <n v="0"/>
    <s v=""/>
    <s v="{37E48C14-3372-4164-BF19-0790C8607E6A}"/>
    <s v=""/>
    <s v=""/>
    <s v=""/>
    <s v=""/>
    <s v=""/>
    <s v=""/>
    <s v=""/>
    <s v=""/>
    <s v=""/>
    <s v=""/>
    <x v="0"/>
    <s v=""/>
  </r>
  <r>
    <s v="XLNX"/>
    <n v="104.23"/>
    <m/>
    <n v="88.595500000000001"/>
    <x v="153"/>
    <x v="3"/>
    <m/>
    <m/>
    <m/>
    <s v="UP"/>
    <s v="CONVERGE"/>
    <s v="UP"/>
    <s v="UP"/>
    <s v="Middle"/>
    <s v="SIDEWAYS"/>
    <s v="LOW"/>
    <m/>
    <m/>
    <m/>
    <d v="2022-07-28T16:40:00"/>
    <d v="2022-07-28T16:40:00"/>
    <m/>
    <m/>
    <m/>
    <m/>
    <m/>
    <n v="3"/>
    <m/>
    <m/>
    <s v=""/>
    <n v="0"/>
    <n v="0"/>
    <s v=""/>
    <m/>
    <m/>
    <s v=""/>
    <s v=""/>
    <s v=""/>
    <s v=""/>
    <s v=""/>
    <n v="1.32"/>
    <d v="2017-02-23T00:00:00"/>
    <n v="0"/>
    <n v="0"/>
    <n v="1.2664300105535835E-2"/>
    <d v="2017-05-04T00:00:00"/>
    <m/>
    <n v="95.95"/>
    <s v=""/>
    <s v=""/>
    <n v="0"/>
    <n v="0"/>
    <n v="-7.9439700661997514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91.152500000000003"/>
    <n v="203.24850000000001"/>
    <m/>
    <m/>
    <n v="0"/>
    <s v=""/>
    <n v="0"/>
    <s v=""/>
    <s v="{3858ABAB-2D02-4ACA-B3AF-E89E3BA4B337}"/>
    <s v=""/>
    <s v=""/>
    <s v=""/>
    <s v=""/>
    <s v=""/>
    <s v=""/>
    <s v=""/>
    <s v=""/>
    <s v=""/>
    <s v=""/>
    <x v="0"/>
    <s v=""/>
  </r>
  <r>
    <s v="XLU"/>
    <n v="59.26"/>
    <s v="MT"/>
    <n v="50.370999999999995"/>
    <x v="52"/>
    <x v="7"/>
    <m/>
    <m/>
    <m/>
    <m/>
    <m/>
    <m/>
    <m/>
    <m/>
    <m/>
    <m/>
    <m/>
    <m/>
    <s v="BULLISH"/>
    <d v="2022-07-28T16:40:00"/>
    <d v="2022-07-28T16:40:00"/>
    <m/>
    <m/>
    <m/>
    <m/>
    <m/>
    <m/>
    <m/>
    <m/>
    <s v=""/>
    <n v="0"/>
    <n v="0"/>
    <s v=""/>
    <m/>
    <m/>
    <s v=""/>
    <s v=""/>
    <s v=""/>
    <s v=""/>
    <s v=""/>
    <n v="0"/>
    <s v="N/A"/>
    <n v="0"/>
    <n v="0"/>
    <n v="0"/>
    <s v="N/A"/>
    <m/>
    <s v="-"/>
    <s v=""/>
    <s v=""/>
    <n v="0"/>
    <n v="0"/>
    <s v=""/>
    <m/>
    <m/>
    <m/>
    <m/>
    <m/>
    <s v=""/>
    <m/>
    <m/>
    <m/>
    <s v=""/>
    <s v=""/>
    <m/>
    <s v=""/>
    <m/>
    <d v="2020-05-26T00:00:00"/>
    <n v="56.29"/>
    <n v="63.03"/>
    <n v="52.18"/>
    <s v="RANG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1.76"/>
    <m/>
    <s v=""/>
    <s v=""/>
    <b v="0"/>
    <d v="2020-05-29T00:00:00"/>
    <s v=""/>
    <n v="0"/>
    <n v="1.76"/>
    <n v="2.9699628754640568E-2"/>
    <s v=""/>
    <s v=""/>
    <s v=""/>
    <s v=""/>
    <s v=""/>
    <s v=""/>
    <s v=""/>
    <s v=""/>
    <s v=""/>
    <s v=""/>
    <s v=""/>
    <s v=""/>
    <s v=""/>
    <s v=""/>
    <s v=""/>
    <s v=""/>
    <m/>
    <n v="0"/>
    <e v="#VALUE!"/>
    <n v="115.55699999999999"/>
    <m/>
    <m/>
    <n v="0"/>
    <s v=""/>
    <n v="0"/>
    <s v=""/>
    <s v="{6CA8D63A-B394-4F6A-B152-E4EA891C42B5}"/>
    <s v=""/>
    <s v=""/>
    <s v=""/>
    <s v=""/>
    <s v=""/>
    <s v=""/>
    <s v=""/>
    <s v=""/>
    <s v=""/>
    <s v=""/>
    <x v="0"/>
    <s v=""/>
  </r>
  <r>
    <s v="XLV"/>
    <n v="121.7"/>
    <m/>
    <n v="103.44499999999999"/>
    <x v="52"/>
    <x v="7"/>
    <m/>
    <m/>
    <m/>
    <m/>
    <m/>
    <m/>
    <m/>
    <m/>
    <m/>
    <m/>
    <m/>
    <m/>
    <m/>
    <d v="2022-07-28T16:40:00"/>
    <d v="2022-07-28T16:40:00"/>
    <m/>
    <m/>
    <m/>
    <m/>
    <m/>
    <m/>
    <m/>
    <m/>
    <s v=""/>
    <n v="0"/>
    <n v="0"/>
    <s v=""/>
    <m/>
    <m/>
    <s v=""/>
    <s v=""/>
    <s v=""/>
    <s v=""/>
    <s v=""/>
    <m/>
    <m/>
    <n v="0"/>
    <n v="0"/>
    <n v="0"/>
    <m/>
    <m/>
    <m/>
    <s v=""/>
    <s v=""/>
    <n v="0"/>
    <n v="0"/>
    <s v=""/>
    <m/>
    <m/>
    <m/>
    <m/>
    <m/>
    <s v=""/>
    <m/>
    <m/>
    <m/>
    <s v=""/>
    <s v=""/>
    <m/>
    <s v=""/>
    <m/>
    <d v="2021-06-01T00:00:00"/>
    <n v="123.62"/>
    <n v="127.69"/>
    <n v="121.57"/>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237.315"/>
    <m/>
    <m/>
    <n v="0"/>
    <s v=""/>
    <n v="0"/>
    <s v=""/>
    <m/>
    <s v=""/>
    <s v=""/>
    <s v=""/>
    <s v=""/>
    <s v=""/>
    <s v=""/>
    <s v=""/>
    <s v=""/>
    <s v=""/>
    <s v=""/>
    <x v="0"/>
    <s v=""/>
  </r>
  <r>
    <s v="XOM"/>
    <n v="104.08499999999999"/>
    <m/>
    <n v="88.472249999999988"/>
    <x v="141"/>
    <x v="0"/>
    <m/>
    <m/>
    <m/>
    <m/>
    <m/>
    <m/>
    <m/>
    <m/>
    <m/>
    <m/>
    <m/>
    <m/>
    <s v="BULLISH"/>
    <d v="2022-10-28T06:30:00"/>
    <d v="2022-10-28T06:30:00"/>
    <s v="Confirmed"/>
    <m/>
    <m/>
    <m/>
    <m/>
    <m/>
    <m/>
    <m/>
    <s v=""/>
    <n v="0"/>
    <n v="0"/>
    <s v=""/>
    <m/>
    <m/>
    <s v=""/>
    <s v=""/>
    <s v=""/>
    <s v=""/>
    <s v=""/>
    <n v="3"/>
    <d v="2017-03-10T00:00:00"/>
    <n v="0"/>
    <n v="0"/>
    <n v="2.8822596915982133E-2"/>
    <d v="2017-05-04T00:00:00"/>
    <m/>
    <n v="43.77"/>
    <s v=""/>
    <s v=""/>
    <n v="0"/>
    <n v="0"/>
    <n v="-0.5794783109958207"/>
    <n v="95"/>
    <s v="assignment"/>
    <n v="95"/>
    <s v="free money"/>
    <s v="CCs"/>
    <s v=""/>
    <m/>
    <m/>
    <m/>
    <s v=""/>
    <s v=""/>
    <n v="75.77"/>
    <n v="70.466099999999997"/>
    <m/>
    <d v="2022-09-28T00:00:00"/>
    <n v="90.6"/>
    <n v="95.3"/>
    <n v="76.7"/>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1.581499999999998"/>
    <n v="202.96574999999999"/>
    <m/>
    <m/>
    <n v="0"/>
    <s v=""/>
    <n v="0"/>
    <s v=""/>
    <s v="{4388D3DB-142B-4022-9583-6A2ED61222AD}"/>
    <s v=""/>
    <s v=""/>
    <s v=""/>
    <s v=""/>
    <s v=""/>
    <s v=""/>
    <s v=""/>
    <s v=""/>
    <s v=""/>
    <s v=""/>
    <x v="0"/>
    <s v=""/>
  </r>
  <r>
    <s v="XPO"/>
    <n v="67.66"/>
    <m/>
    <n v="57.510999999999996"/>
    <x v="79"/>
    <x v="8"/>
    <m/>
    <m/>
    <m/>
    <m/>
    <m/>
    <m/>
    <m/>
    <m/>
    <m/>
    <m/>
    <m/>
    <m/>
    <s v="BULLISH"/>
    <d v="2022-08-08T16:15:00"/>
    <d v="2022-08-08T16:15:00"/>
    <m/>
    <m/>
    <m/>
    <m/>
    <m/>
    <m/>
    <m/>
    <m/>
    <s v=""/>
    <n v="0"/>
    <n v="0"/>
    <s v=""/>
    <m/>
    <m/>
    <s v=""/>
    <s v=""/>
    <s v=""/>
    <s v=""/>
    <s v=""/>
    <m/>
    <m/>
    <n v="0"/>
    <n v="0"/>
    <n v="0"/>
    <m/>
    <m/>
    <n v="91.72"/>
    <s v=""/>
    <s v=""/>
    <n v="0"/>
    <n v="0"/>
    <n v="0.35560153709725101"/>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7.134"/>
    <n v="131.93699999999998"/>
    <m/>
    <m/>
    <n v="0"/>
    <s v=""/>
    <n v="0"/>
    <s v=""/>
    <s v="{2414E342-B46D-4C81-BC84-ECDED2520930}"/>
    <s v=""/>
    <s v=""/>
    <s v=""/>
    <s v=""/>
    <s v=""/>
    <s v=""/>
    <s v=""/>
    <s v=""/>
    <s v=""/>
    <s v=""/>
    <x v="0"/>
    <s v=""/>
  </r>
  <r>
    <s v="XRT"/>
    <n v="40.200000000000003"/>
    <m/>
    <n v="34.17"/>
    <x v="52"/>
    <x v="7"/>
    <m/>
    <m/>
    <m/>
    <m/>
    <m/>
    <m/>
    <m/>
    <m/>
    <m/>
    <m/>
    <m/>
    <m/>
    <m/>
    <d v="2022-08-08T16:15:00"/>
    <d v="2022-08-08T16:15:00"/>
    <m/>
    <m/>
    <m/>
    <m/>
    <m/>
    <m/>
    <m/>
    <m/>
    <s v=""/>
    <n v="0"/>
    <n v="0"/>
    <s v=""/>
    <m/>
    <m/>
    <s v=""/>
    <s v=""/>
    <s v=""/>
    <s v=""/>
    <s v=""/>
    <n v="0"/>
    <s v="N/A"/>
    <n v="0"/>
    <n v="0"/>
    <n v="0"/>
    <s v="N/A"/>
    <m/>
    <s v="-"/>
    <s v=""/>
    <s v=""/>
    <n v="0"/>
    <n v="0"/>
    <s v=""/>
    <m/>
    <m/>
    <m/>
    <m/>
    <m/>
    <s v=""/>
    <m/>
    <m/>
    <m/>
    <s v=""/>
    <s v=""/>
    <m/>
    <s v=""/>
    <m/>
    <d v="2016-03-08T00:00:00"/>
    <n v="43.4"/>
    <n v="48.3"/>
    <n v="41.7"/>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78.39"/>
    <m/>
    <m/>
    <n v="0"/>
    <s v=""/>
    <n v="0"/>
    <s v=""/>
    <s v="{A590B76C-447D-4A93-8B88-8A614E7C8DDD}"/>
    <s v=""/>
    <s v=""/>
    <s v=""/>
    <s v=""/>
    <s v=""/>
    <s v=""/>
    <s v=""/>
    <s v=""/>
    <s v=""/>
    <s v=""/>
    <x v="0"/>
    <s v=""/>
  </r>
  <r>
    <s v="YELP"/>
    <n v="40.880000000000003"/>
    <m/>
    <n v="34.748000000000005"/>
    <x v="19"/>
    <x v="9"/>
    <m/>
    <m/>
    <m/>
    <m/>
    <m/>
    <m/>
    <m/>
    <m/>
    <m/>
    <m/>
    <m/>
    <m/>
    <m/>
    <d v="2022-08-04T16:05:00"/>
    <d v="2022-08-04T16:05:00"/>
    <m/>
    <m/>
    <m/>
    <m/>
    <m/>
    <m/>
    <m/>
    <m/>
    <s v=""/>
    <n v="0"/>
    <n v="0"/>
    <s v=""/>
    <m/>
    <m/>
    <s v=""/>
    <s v=""/>
    <s v=""/>
    <s v=""/>
    <s v=""/>
    <m/>
    <m/>
    <n v="0"/>
    <n v="0"/>
    <n v="0"/>
    <m/>
    <m/>
    <n v="40.799999999999997"/>
    <s v=""/>
    <s v=""/>
    <n v="0"/>
    <n v="0"/>
    <n v="-1.9569471624267466E-3"/>
    <m/>
    <m/>
    <m/>
    <m/>
    <m/>
    <s v=""/>
    <m/>
    <m/>
    <m/>
    <s v=""/>
    <s v=""/>
    <n v="39.979999999999997"/>
    <n v="37.181399999999996"/>
    <m/>
    <d v="2021-06-14T00:00:00"/>
    <n v="38.299999999999997"/>
    <n v="45.8"/>
    <n v="35.79999999999999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76"/>
    <n v="79.716000000000008"/>
    <m/>
    <m/>
    <n v="0"/>
    <s v=""/>
    <n v="0"/>
    <s v=""/>
    <m/>
    <s v=""/>
    <s v=""/>
    <s v=""/>
    <s v=""/>
    <s v=""/>
    <s v=""/>
    <s v=""/>
    <s v=""/>
    <s v=""/>
    <s v=""/>
    <x v="0"/>
    <s v=""/>
  </r>
  <r>
    <s v="YETI"/>
    <n v="52.405000000000001"/>
    <m/>
    <n v="44.544249999999998"/>
    <x v="139"/>
    <x v="1"/>
    <m/>
    <m/>
    <m/>
    <m/>
    <m/>
    <m/>
    <m/>
    <m/>
    <m/>
    <m/>
    <m/>
    <m/>
    <m/>
    <d v="2022-08-10T06:00:00"/>
    <d v="2022-08-10T06:00:00"/>
    <m/>
    <m/>
    <m/>
    <m/>
    <m/>
    <m/>
    <m/>
    <m/>
    <s v=""/>
    <n v="0"/>
    <n v="0"/>
    <s v=""/>
    <m/>
    <m/>
    <s v=""/>
    <s v=""/>
    <s v=""/>
    <s v=""/>
    <s v=""/>
    <m/>
    <m/>
    <n v="0"/>
    <n v="0"/>
    <n v="0"/>
    <m/>
    <m/>
    <n v="56.36"/>
    <s v=""/>
    <s v=""/>
    <n v="0"/>
    <n v="0"/>
    <n v="7.5469897910504694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3.541999999999994"/>
    <n v="102.18975"/>
    <m/>
    <m/>
    <n v="0"/>
    <s v=""/>
    <n v="0"/>
    <s v=""/>
    <m/>
    <s v=""/>
    <s v=""/>
    <s v=""/>
    <s v=""/>
    <s v=""/>
    <s v=""/>
    <s v=""/>
    <s v=""/>
    <s v=""/>
    <s v=""/>
    <x v="0"/>
    <s v=""/>
  </r>
  <r>
    <s v="YNDX"/>
    <n v="36.96"/>
    <m/>
    <n v="31.416"/>
    <x v="45"/>
    <x v="3"/>
    <m/>
    <m/>
    <m/>
    <m/>
    <m/>
    <m/>
    <m/>
    <m/>
    <m/>
    <m/>
    <m/>
    <m/>
    <m/>
    <d v="2022-08-10T06:00:00"/>
    <d v="2022-08-10T06:00:00"/>
    <m/>
    <m/>
    <m/>
    <m/>
    <m/>
    <m/>
    <m/>
    <m/>
    <s v=""/>
    <n v="0"/>
    <n v="0"/>
    <s v=""/>
    <m/>
    <m/>
    <s v=""/>
    <s v=""/>
    <s v=""/>
    <s v=""/>
    <s v=""/>
    <m/>
    <m/>
    <n v="0"/>
    <n v="0"/>
    <n v="0"/>
    <m/>
    <m/>
    <n v="3362.58"/>
    <s v=""/>
    <s v=""/>
    <n v="0"/>
    <n v="0"/>
    <n v="89.978896103896105"/>
    <m/>
    <m/>
    <m/>
    <m/>
    <m/>
    <s v=""/>
    <m/>
    <m/>
    <m/>
    <s v=""/>
    <s v=""/>
    <m/>
    <s v=""/>
    <m/>
    <d v="2019-02-18T00:00:00"/>
    <n v="35.4"/>
    <n v="37.4"/>
    <n v="28"/>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94.4509999999996"/>
    <n v="72.072000000000003"/>
    <m/>
    <m/>
    <n v="0"/>
    <s v=""/>
    <n v="0"/>
    <s v=""/>
    <s v="{D33698C9-60B3-4CB3-BC06-A50D0547ECF9}"/>
    <s v=""/>
    <s v=""/>
    <s v=""/>
    <s v=""/>
    <s v=""/>
    <s v=""/>
    <s v=""/>
    <s v=""/>
    <s v=""/>
    <s v=""/>
    <x v="0"/>
    <s v=""/>
  </r>
  <r>
    <s v="Z"/>
    <n v="164.28"/>
    <s v="Swing"/>
    <n v="139.63800000000001"/>
    <x v="19"/>
    <x v="9"/>
    <m/>
    <m/>
    <m/>
    <m/>
    <m/>
    <m/>
    <m/>
    <m/>
    <m/>
    <m/>
    <m/>
    <m/>
    <s v="BULLISH"/>
    <d v="2022-08-04T16:05:00"/>
    <d v="2022-08-04T16:05:00"/>
    <m/>
    <m/>
    <m/>
    <m/>
    <m/>
    <m/>
    <m/>
    <m/>
    <s v=""/>
    <n v="0"/>
    <n v="0"/>
    <s v=""/>
    <m/>
    <m/>
    <s v=""/>
    <s v=""/>
    <s v=""/>
    <s v=""/>
    <s v=""/>
    <m/>
    <m/>
    <n v="0"/>
    <n v="0"/>
    <n v="0"/>
    <m/>
    <m/>
    <n v="58.5"/>
    <s v=""/>
    <s v=""/>
    <n v="0"/>
    <n v="0"/>
    <n v="-0.64390065741417091"/>
    <n v="180"/>
    <s v="max gain"/>
    <n v="171.25"/>
    <s v="Losses"/>
    <s v="BuCS"/>
    <s v=""/>
    <m/>
    <m/>
    <m/>
    <m/>
    <m/>
    <n v="6.25"/>
    <n v="5.8125"/>
    <m/>
    <d v="2021-02-23T00:00:00"/>
    <n v="166.49"/>
    <n v="244.91"/>
    <n v="124.86"/>
    <s v="RANGE"/>
    <s v="RANGE"/>
    <m/>
    <s v=""/>
    <m/>
    <m/>
    <m/>
    <m/>
    <m/>
    <m/>
    <n v="0"/>
    <n v="0"/>
    <m/>
    <s v=""/>
    <s v=""/>
    <m/>
    <m/>
    <m/>
    <m/>
    <m/>
    <m/>
    <n v="0"/>
    <s v=""/>
    <s v=""/>
    <s v=""/>
    <s v=""/>
    <n v="0"/>
    <s v=""/>
    <n v="0"/>
    <m/>
    <n v="0"/>
    <s v=""/>
    <s v=""/>
    <s v=""/>
    <m/>
    <n v="0"/>
    <m/>
    <s v=""/>
    <s v=""/>
    <s v=""/>
    <m/>
    <s v=""/>
    <s v=""/>
    <s v=""/>
    <s v=""/>
    <s v=""/>
    <m/>
    <m/>
    <s v=""/>
    <s v=""/>
    <s v=""/>
    <s v=""/>
    <m/>
    <m/>
    <m/>
    <m/>
    <m/>
    <m/>
    <n v="0"/>
    <s v=""/>
    <s v=""/>
    <m/>
    <s v=""/>
    <s v=""/>
    <s v=""/>
    <s v=""/>
    <s v=""/>
    <s v=""/>
    <s v=""/>
    <s v="GTC"/>
    <s v=""/>
    <m/>
    <s v=""/>
    <s v=""/>
    <s v=""/>
    <s v=""/>
    <n v="0"/>
    <m/>
    <m/>
    <m/>
    <m/>
    <m/>
    <m/>
    <s v=""/>
    <s v=""/>
    <n v="0"/>
    <n v="0"/>
    <n v="0"/>
    <n v="0"/>
    <s v=""/>
    <m/>
    <n v="0"/>
    <m/>
    <m/>
    <s v=""/>
    <s v=""/>
    <s v=""/>
    <m/>
    <s v=""/>
    <n v="0"/>
    <n v="0"/>
    <s v=""/>
    <s v=""/>
    <s v=""/>
    <s v=""/>
    <s v=""/>
    <s v=""/>
    <s v=""/>
    <s v=""/>
    <s v=""/>
    <s v=""/>
    <s v=""/>
    <s v=""/>
    <s v=""/>
    <s v=""/>
    <s v=""/>
    <s v=""/>
    <s v=""/>
    <m/>
    <n v="0"/>
    <n v="55.574999999999996"/>
    <n v="320.346"/>
    <m/>
    <m/>
    <n v="0"/>
    <s v=""/>
    <n v="0"/>
    <s v=""/>
    <s v="{A264BA4A-4DB3-437B-AC26-0AE55E0F1A8D}"/>
    <s v=""/>
    <s v=""/>
    <s v=""/>
    <s v=""/>
    <s v=""/>
    <s v=""/>
    <s v=""/>
    <s v=""/>
    <s v=""/>
    <s v=""/>
    <x v="0"/>
    <s v=""/>
  </r>
  <r>
    <s v="ZM"/>
    <n v="107.97"/>
    <s v="Swing"/>
    <n v="91.774500000000003"/>
    <x v="13"/>
    <x v="3"/>
    <m/>
    <m/>
    <m/>
    <m/>
    <m/>
    <m/>
    <m/>
    <m/>
    <m/>
    <m/>
    <m/>
    <m/>
    <s v="BULLISH"/>
    <d v="2022-08-22T16:05:00"/>
    <d v="2022-08-22T16:05:00"/>
    <m/>
    <m/>
    <m/>
    <m/>
    <m/>
    <m/>
    <m/>
    <m/>
    <s v=""/>
    <n v="0"/>
    <n v="0"/>
    <s v=""/>
    <m/>
    <m/>
    <s v=""/>
    <s v=""/>
    <s v=""/>
    <s v=""/>
    <s v=""/>
    <m/>
    <m/>
    <n v="0"/>
    <n v="0"/>
    <n v="0"/>
    <m/>
    <m/>
    <n v="413.23"/>
    <s v=""/>
    <s v=""/>
    <n v="0"/>
    <n v="0"/>
    <n v="2.8272668333796425"/>
    <m/>
    <m/>
    <m/>
    <m/>
    <m/>
    <s v=""/>
    <m/>
    <m/>
    <m/>
    <s v=""/>
    <s v=""/>
    <n v="107.99"/>
    <n v="100.43069999999999"/>
    <m/>
    <d v="2022-06-29T00:00:00"/>
    <n v="101.5"/>
    <n v="150.19999999999999"/>
    <n v="86.9"/>
    <s v="RISE"/>
    <s v="BEARISH"/>
    <s v="Recognia sees Bullish Head &amp; Shoulders Bottom that should lead to 152 - 161.00 by Sep-12, 2022"/>
    <s v=""/>
    <m/>
    <m/>
    <m/>
    <m/>
    <m/>
    <m/>
    <n v="0"/>
    <n v="0"/>
    <m/>
    <s v=""/>
    <s v=""/>
    <m/>
    <m/>
    <m/>
    <m/>
    <m/>
    <m/>
    <n v="0"/>
    <s v=""/>
    <s v=""/>
    <s v=""/>
    <s v=""/>
    <n v="0"/>
    <s v=""/>
    <n v="0"/>
    <m/>
    <n v="0"/>
    <s v=""/>
    <s v=""/>
    <s v=""/>
    <m/>
    <n v="0"/>
    <m/>
    <s v=""/>
    <s v=""/>
    <s v=""/>
    <d v="2022-07-01T00:00:00"/>
    <s v=""/>
    <s v=""/>
    <s v=""/>
    <s v=""/>
    <s v=""/>
    <m/>
    <m/>
    <s v=""/>
    <s v=""/>
    <s v=""/>
    <s v=""/>
    <m/>
    <m/>
    <m/>
    <m/>
    <m/>
    <m/>
    <n v="0"/>
    <s v=""/>
    <s v=""/>
    <n v="0"/>
    <s v=""/>
    <s v=""/>
    <s v=""/>
    <s v=""/>
    <s v=""/>
    <s v=""/>
    <s v=""/>
    <m/>
    <s v=""/>
    <m/>
    <s v=""/>
    <s v=""/>
    <s v=""/>
    <s v=""/>
    <n v="0"/>
    <m/>
    <m/>
    <m/>
    <m/>
    <m/>
    <m/>
    <s v=""/>
    <s v=""/>
    <n v="0"/>
    <n v="0"/>
    <n v="0"/>
    <n v="0"/>
    <s v=""/>
    <m/>
    <n v="0"/>
    <n v="0"/>
    <m/>
    <s v=""/>
    <s v=""/>
    <s v=""/>
    <m/>
    <s v=""/>
    <n v="0"/>
    <n v="0"/>
    <s v=""/>
    <s v=""/>
    <s v=""/>
    <s v=""/>
    <s v=""/>
    <s v=""/>
    <s v=""/>
    <s v=""/>
    <s v=""/>
    <s v=""/>
    <s v=""/>
    <s v=""/>
    <s v=""/>
    <s v=""/>
    <s v=""/>
    <s v=""/>
    <s v=""/>
    <m/>
    <n v="0"/>
    <n v="392.56849999999997"/>
    <n v="210.54149999999998"/>
    <m/>
    <m/>
    <n v="0"/>
    <s v=""/>
    <n v="0"/>
    <s v=""/>
    <s v="{86881B99-0901-4FE6-AFAA-F6929A73B44C}"/>
    <s v=""/>
    <s v=""/>
    <s v=""/>
    <s v=""/>
    <s v=""/>
    <s v=""/>
    <s v=""/>
    <s v=""/>
    <s v=""/>
    <s v=""/>
    <x v="0"/>
    <s v=""/>
  </r>
  <r>
    <s v="ZS"/>
    <n v="185.04"/>
    <s v="CORE"/>
    <n v="157.28399999999999"/>
    <x v="8"/>
    <x v="3"/>
    <m/>
    <m/>
    <m/>
    <m/>
    <m/>
    <m/>
    <m/>
    <m/>
    <m/>
    <m/>
    <m/>
    <m/>
    <m/>
    <d v="2022-08-25T16:10:00"/>
    <d v="2022-08-25T16:10:00"/>
    <m/>
    <m/>
    <m/>
    <m/>
    <m/>
    <m/>
    <m/>
    <m/>
    <s v=""/>
    <n v="0"/>
    <n v="0"/>
    <s v=""/>
    <m/>
    <m/>
    <s v=""/>
    <s v=""/>
    <s v=""/>
    <s v=""/>
    <s v=""/>
    <m/>
    <m/>
    <n v="0"/>
    <n v="0"/>
    <n v="0"/>
    <m/>
    <m/>
    <n v="230.33"/>
    <s v=""/>
    <s v=""/>
    <n v="0"/>
    <n v="0"/>
    <n v="0.24475789018590588"/>
    <n v="150"/>
    <s v="free money"/>
    <n v="150"/>
    <s v="Assignment"/>
    <s v="SPs"/>
    <s v=""/>
    <m/>
    <n v="8.5779999999999994"/>
    <d v="2021-04-16T00:00:00"/>
    <n v="176.46199999999999"/>
    <n v="193.61799999999999"/>
    <n v="144.85"/>
    <n v="134.7105"/>
    <m/>
    <d v="2021-04-12T00:00:00"/>
    <n v="181.51"/>
    <n v="196.36"/>
    <n v="175.85"/>
    <s v="LTD RISE"/>
    <s v="RANGE"/>
    <m/>
    <s v=""/>
    <m/>
    <m/>
    <m/>
    <m/>
    <m/>
    <m/>
    <n v="0"/>
    <n v="0"/>
    <m/>
    <s v=""/>
    <s v=""/>
    <m/>
    <m/>
    <m/>
    <m/>
    <m/>
    <m/>
    <n v="0"/>
    <s v=""/>
    <s v=""/>
    <s v=""/>
    <s v=""/>
    <n v="0"/>
    <s v=""/>
    <n v="0"/>
    <n v="0.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18.8135"/>
    <n v="360.82799999999997"/>
    <m/>
    <m/>
    <n v="0"/>
    <s v=""/>
    <n v="0"/>
    <s v=""/>
    <m/>
    <s v=""/>
    <s v=""/>
    <s v=""/>
    <s v=""/>
    <s v=""/>
    <s v=""/>
    <s v=""/>
    <s v=""/>
    <s v=""/>
    <s v=""/>
    <x v="0"/>
    <s v=""/>
  </r>
  <r>
    <s v="ZUO"/>
    <n v="14.05"/>
    <m/>
    <n v="11.942500000000001"/>
    <x v="13"/>
    <x v="3"/>
    <m/>
    <m/>
    <m/>
    <m/>
    <m/>
    <m/>
    <m/>
    <m/>
    <m/>
    <m/>
    <m/>
    <m/>
    <s v="BULLISH"/>
    <d v="2022-08-24T16:00:00"/>
    <d v="2022-08-24T16:00:00"/>
    <m/>
    <m/>
    <m/>
    <m/>
    <m/>
    <m/>
    <m/>
    <m/>
    <s v=""/>
    <n v="0"/>
    <n v="0"/>
    <s v=""/>
    <m/>
    <m/>
    <s v=""/>
    <s v=""/>
    <s v=""/>
    <s v=""/>
    <s v=""/>
    <m/>
    <m/>
    <n v="0"/>
    <n v="0"/>
    <n v="0"/>
    <m/>
    <m/>
    <n v="11.92"/>
    <s v=""/>
    <s v=""/>
    <n v="0"/>
    <n v="0"/>
    <n v="-0.15160142348754455"/>
    <n v="17.5"/>
    <s v="free money"/>
    <n v="17.5"/>
    <s v="Assignment"/>
    <m/>
    <s v=""/>
    <m/>
    <m/>
    <m/>
    <s v=""/>
    <s v=""/>
    <m/>
    <s v=""/>
    <m/>
    <d v="2019-04-03T00:00:00"/>
    <n v="22.83"/>
    <n v="26.25"/>
    <n v="22"/>
    <s v="RANG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324"/>
    <n v="27.397500000000001"/>
    <m/>
    <m/>
    <n v="0"/>
    <s v=""/>
    <n v="0"/>
    <s v=""/>
    <s v="{9B36A4E4-8304-451B-90E8-E4832F0F18E8}"/>
    <s v=""/>
    <s v=""/>
    <s v=""/>
    <s v=""/>
    <s v=""/>
    <s v=""/>
    <s v=""/>
    <s v=""/>
    <s v=""/>
    <s v=""/>
    <x v="0"/>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00F0E4-C2C8-48D6-B542-E32A38860458}" name="PivotTable2" cacheId="12"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 rowHeaderCaption="Sector Analysis / Industry" fieldListSortAscending="1">
  <location ref="A3:C19" firstHeaderRow="0" firstDataRow="1" firstDataCol="1" rowPageCount="1" colPageCount="1"/>
  <pivotFields count="212">
    <pivotField showAll="0"/>
    <pivotField showAll="0"/>
    <pivotField showAll="0"/>
    <pivotField showAll="0"/>
    <pivotField axis="axisRow" showAll="0">
      <items count="166">
        <item x="23"/>
        <item x="85"/>
        <item h="1" m="1" x="164"/>
        <item x="136"/>
        <item x="52"/>
        <item x="93"/>
        <item x="54"/>
        <item x="69"/>
        <item x="66"/>
        <item x="134"/>
        <item x="131"/>
        <item x="112"/>
        <item x="7"/>
        <item x="106"/>
        <item x="9"/>
        <item x="67"/>
        <item x="0"/>
        <item x="96"/>
        <item x="44"/>
        <item x="102"/>
        <item x="55"/>
        <item x="21"/>
        <item x="26"/>
        <item x="50"/>
        <item x="47"/>
        <item x="49"/>
        <item x="31"/>
        <item x="36"/>
        <item x="48"/>
        <item x="123"/>
        <item x="38"/>
        <item x="43"/>
        <item x="25"/>
        <item x="110"/>
        <item x="81"/>
        <item x="56"/>
        <item x="57"/>
        <item x="141"/>
        <item x="59"/>
        <item x="18"/>
        <item x="45"/>
        <item x="70"/>
        <item x="71"/>
        <item x="73"/>
        <item x="74"/>
        <item x="76"/>
        <item x="89"/>
        <item x="80"/>
        <item x="40"/>
        <item x="61"/>
        <item x="127"/>
        <item x="95"/>
        <item x="97"/>
        <item x="105"/>
        <item x="103"/>
        <item x="107"/>
        <item x="161"/>
        <item x="114"/>
        <item x="160"/>
        <item x="118"/>
        <item x="42"/>
        <item x="60"/>
        <item x="120"/>
        <item x="121"/>
        <item x="148"/>
        <item x="122"/>
        <item x="128"/>
        <item x="132"/>
        <item x="58"/>
        <item x="101"/>
        <item x="13"/>
        <item x="28"/>
        <item x="135"/>
        <item x="163"/>
        <item x="111"/>
        <item x="113"/>
        <item x="138"/>
        <item x="124"/>
        <item x="147"/>
        <item x="87"/>
        <item x="156"/>
        <item x="125"/>
        <item x="90"/>
        <item x="146"/>
        <item x="78"/>
        <item x="79"/>
        <item x="16"/>
        <item x="82"/>
        <item x="130"/>
        <item x="109"/>
        <item x="158"/>
        <item x="162"/>
        <item x="65"/>
        <item x="152"/>
        <item x="100"/>
        <item h="1" x="153"/>
        <item h="1" x="159"/>
        <item h="1" x="63"/>
        <item h="1" x="145"/>
        <item h="1" x="119"/>
        <item h="1" x="137"/>
        <item h="1" x="39"/>
        <item h="1" x="94"/>
        <item h="1" x="151"/>
        <item h="1" x="11"/>
        <item h="1" x="37"/>
        <item h="1" x="99"/>
        <item h="1" x="3"/>
        <item h="1" x="51"/>
        <item h="1" x="33"/>
        <item h="1" x="10"/>
        <item h="1" x="98"/>
        <item h="1" x="5"/>
        <item h="1" x="143"/>
        <item h="1" x="150"/>
        <item h="1" x="154"/>
        <item h="1" x="19"/>
        <item h="1" x="126"/>
        <item h="1" x="17"/>
        <item h="1" x="144"/>
        <item h="1" x="140"/>
        <item h="1" x="139"/>
        <item h="1" x="8"/>
        <item h="1" x="155"/>
        <item h="1" x="64"/>
        <item h="1" x="1"/>
        <item h="1" x="2"/>
        <item h="1" x="4"/>
        <item h="1" x="6"/>
        <item h="1" x="12"/>
        <item h="1" x="14"/>
        <item h="1" x="15"/>
        <item h="1" x="20"/>
        <item h="1" x="22"/>
        <item h="1" x="24"/>
        <item h="1" x="27"/>
        <item h="1" x="29"/>
        <item h="1" x="30"/>
        <item h="1" x="32"/>
        <item h="1" x="34"/>
        <item h="1" x="35"/>
        <item h="1" x="41"/>
        <item h="1" x="46"/>
        <item h="1" x="53"/>
        <item h="1" x="62"/>
        <item h="1" x="68"/>
        <item h="1" x="72"/>
        <item h="1" x="75"/>
        <item h="1" x="77"/>
        <item h="1" x="83"/>
        <item h="1" x="84"/>
        <item h="1" x="86"/>
        <item h="1" x="88"/>
        <item h="1" x="91"/>
        <item h="1" x="92"/>
        <item h="1" x="104"/>
        <item h="1" x="108"/>
        <item h="1" x="115"/>
        <item h="1" x="116"/>
        <item h="1" x="117"/>
        <item h="1" x="129"/>
        <item h="1" x="133"/>
        <item h="1" x="142"/>
        <item h="1" x="149"/>
        <item h="1" x="157"/>
        <item t="default"/>
      </items>
    </pivotField>
    <pivotField axis="axisRow" showAll="0" sortType="descending">
      <items count="21">
        <item sd="0" x="5"/>
        <item h="1" m="1" x="19"/>
        <item x="7"/>
        <item x="2"/>
        <item x="8"/>
        <item x="0"/>
        <item x="3"/>
        <item x="12"/>
        <item sd="0" x="13"/>
        <item x="18"/>
        <item x="14"/>
        <item x="1"/>
        <item x="9"/>
        <item x="10"/>
        <item x="4"/>
        <item x="6"/>
        <item x="11"/>
        <item x="17"/>
        <item x="15"/>
        <item x="16"/>
        <item t="default" sd="0"/>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numFmtId="44" showAll="0"/>
    <pivotField numFmtId="166"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numFmtId="42" showAll="0"/>
    <pivotField showAll="0"/>
    <pivotField showAll="0"/>
    <pivotField showAll="0"/>
    <pivotField showAll="0"/>
    <pivotField numFmtId="166" showAll="0"/>
    <pivotField showAll="0"/>
    <pivotField numFmtId="166" showAll="0"/>
    <pivotField showAll="0"/>
    <pivotField numFmtId="166" showAll="0"/>
    <pivotField showAll="0"/>
    <pivotField showAll="0"/>
    <pivotField showAll="0"/>
    <pivotField showAll="0"/>
    <pivotField numFmtId="4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42" showAll="0"/>
    <pivotField numFmtId="44" showAll="0"/>
    <pivotField numFmtId="44" showAll="0"/>
    <pivotField showAll="0"/>
    <pivotField showAll="0"/>
    <pivotField numFmtId="44" showAll="0"/>
    <pivotField showAll="0"/>
    <pivotField showAll="0"/>
    <pivotField showAll="0"/>
    <pivotField showAll="0"/>
    <pivotField showAll="0"/>
    <pivotField showAll="0"/>
    <pivotField showAll="0"/>
    <pivotField numFmtId="44" showAll="0"/>
    <pivotField numFmtId="4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8" showAll="0"/>
    <pivotField showAll="0"/>
    <pivotField numFmtId="4" showAll="0"/>
    <pivotField showAll="0"/>
    <pivotField showAll="0"/>
    <pivotField numFmtId="166"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448">
        <item h="1" x="0"/>
        <item m="1" x="56"/>
        <item m="1" x="425"/>
        <item m="1" x="98"/>
        <item m="1" x="274"/>
        <item m="1" x="112"/>
        <item m="1" x="296"/>
        <item m="1" x="165"/>
        <item m="1" x="351"/>
        <item m="1" x="394"/>
        <item m="1" x="371"/>
        <item m="1" x="113"/>
        <item m="1" x="319"/>
        <item m="1" x="142"/>
        <item x="21"/>
        <item m="1" x="49"/>
        <item m="1" x="199"/>
        <item m="1" x="44"/>
        <item m="1" x="303"/>
        <item m="1" x="258"/>
        <item m="1" x="65"/>
        <item h="1" m="1" x="153"/>
        <item h="1" m="1" x="35"/>
        <item h="1" m="1" x="322"/>
        <item h="1" m="1" x="102"/>
        <item h="1" m="1" x="70"/>
        <item h="1" m="1" x="414"/>
        <item h="1" m="1" x="115"/>
        <item h="1" m="1" x="42"/>
        <item h="1" m="1" x="297"/>
        <item h="1" m="1" x="37"/>
        <item h="1" m="1" x="46"/>
        <item h="1" m="1" x="119"/>
        <item h="1" m="1" x="136"/>
        <item h="1" m="1" x="190"/>
        <item m="1" x="384"/>
        <item m="1" x="268"/>
        <item h="1" m="1" x="221"/>
        <item m="1" x="255"/>
        <item m="1" x="151"/>
        <item h="1" m="1" x="205"/>
        <item m="1" x="385"/>
        <item m="1" x="395"/>
        <item m="1" x="387"/>
        <item m="1" x="287"/>
        <item m="1" x="280"/>
        <item m="1" x="200"/>
        <item m="1" x="86"/>
        <item m="1" x="101"/>
        <item m="1" x="97"/>
        <item m="1" x="141"/>
        <item m="1" x="52"/>
        <item m="1" x="103"/>
        <item h="1" m="1" x="339"/>
        <item h="1" m="1" x="194"/>
        <item m="1" x="273"/>
        <item m="1" x="146"/>
        <item m="1" x="313"/>
        <item h="1" m="1" x="220"/>
        <item m="1" x="396"/>
        <item h="1" m="1" x="286"/>
        <item h="1" m="1" x="222"/>
        <item h="1" m="1" x="91"/>
        <item h="1" m="1" x="89"/>
        <item h="1" m="1" x="245"/>
        <item h="1" m="1" x="293"/>
        <item h="1" m="1" x="267"/>
        <item h="1" m="1" x="312"/>
        <item m="1" x="444"/>
        <item h="1" m="1" x="443"/>
        <item m="1" x="137"/>
        <item h="1" m="1" x="84"/>
        <item m="1" x="315"/>
        <item h="1" m="1" x="204"/>
        <item h="1" m="1" x="252"/>
        <item h="1" m="1" x="380"/>
        <item m="1" x="176"/>
        <item m="1" x="64"/>
        <item m="1" x="417"/>
        <item h="1" m="1" x="71"/>
        <item m="1" x="329"/>
        <item h="1" m="1" x="310"/>
        <item h="1" m="1" x="409"/>
        <item m="1" x="446"/>
        <item m="1" x="436"/>
        <item m="1" x="214"/>
        <item m="1" x="350"/>
        <item m="1" x="415"/>
        <item m="1" x="372"/>
        <item m="1" x="109"/>
        <item m="1" x="209"/>
        <item m="1" x="158"/>
        <item m="1" x="203"/>
        <item m="1" x="128"/>
        <item m="1" x="398"/>
        <item m="1" x="266"/>
        <item m="1" x="226"/>
        <item m="1" x="186"/>
        <item m="1" x="382"/>
        <item m="1" x="63"/>
        <item m="1" x="345"/>
        <item m="1" x="253"/>
        <item m="1" x="341"/>
        <item m="1" x="320"/>
        <item m="1" x="404"/>
        <item m="1" x="347"/>
        <item m="1" x="301"/>
        <item m="1" x="189"/>
        <item m="1" x="264"/>
        <item m="1" x="393"/>
        <item m="1" x="135"/>
        <item m="1" x="250"/>
        <item m="1" x="43"/>
        <item m="1" x="445"/>
        <item m="1" x="241"/>
        <item m="1" x="270"/>
        <item m="1" x="82"/>
        <item m="1" x="80"/>
        <item m="1" x="191"/>
        <item m="1" x="45"/>
        <item m="1" x="93"/>
        <item m="1" x="150"/>
        <item m="1" x="421"/>
        <item m="1" x="318"/>
        <item m="1" x="391"/>
        <item m="1" x="358"/>
        <item m="1" x="257"/>
        <item m="1" x="61"/>
        <item h="1" m="1" x="197"/>
        <item h="1" m="1" x="180"/>
        <item h="1" m="1" x="57"/>
        <item h="1" m="1" x="364"/>
        <item m="1" x="107"/>
        <item m="1" x="281"/>
        <item m="1" x="374"/>
        <item m="1" x="62"/>
        <item m="1" x="352"/>
        <item m="1" x="381"/>
        <item m="1" x="321"/>
        <item m="1" x="38"/>
        <item m="1" x="251"/>
        <item m="1" x="262"/>
        <item m="1" x="161"/>
        <item m="1" x="182"/>
        <item m="1" x="233"/>
        <item m="1" x="356"/>
        <item m="1" x="279"/>
        <item m="1" x="246"/>
        <item m="1" x="211"/>
        <item m="1" x="230"/>
        <item m="1" x="438"/>
        <item m="1" x="187"/>
        <item m="1" x="376"/>
        <item m="1" x="88"/>
        <item m="1" x="277"/>
        <item m="1" x="437"/>
        <item m="1" x="76"/>
        <item m="1" x="305"/>
        <item m="1" x="427"/>
        <item m="1" x="360"/>
        <item m="1" x="139"/>
        <item m="1" x="265"/>
        <item m="1" x="326"/>
        <item m="1" x="298"/>
        <item m="1" x="397"/>
        <item m="1" x="208"/>
        <item m="1" x="143"/>
        <item m="1" x="379"/>
        <item m="1" x="120"/>
        <item m="1" x="138"/>
        <item m="1" x="178"/>
        <item m="1" x="403"/>
        <item m="1" x="327"/>
        <item m="1" x="48"/>
        <item m="1" x="192"/>
        <item m="1" x="337"/>
        <item m="1" x="357"/>
        <item m="1" x="340"/>
        <item m="1" x="317"/>
        <item m="1" x="106"/>
        <item m="1" x="304"/>
        <item m="1" x="377"/>
        <item m="1" x="389"/>
        <item m="1" x="302"/>
        <item m="1" x="276"/>
        <item m="1" x="159"/>
        <item m="1" x="402"/>
        <item m="1" x="343"/>
        <item m="1" x="408"/>
        <item m="1" x="440"/>
        <item m="1" x="167"/>
        <item m="1" x="217"/>
        <item m="1" x="201"/>
        <item m="1" x="390"/>
        <item m="1" x="149"/>
        <item m="1" x="328"/>
        <item m="1" x="223"/>
        <item m="1" x="50"/>
        <item m="1" x="111"/>
        <item m="1" x="132"/>
        <item m="1" x="378"/>
        <item m="1" x="435"/>
        <item m="1" x="166"/>
        <item m="1" x="118"/>
        <item m="1" x="125"/>
        <item m="1" x="179"/>
        <item m="1" x="375"/>
        <item m="1" x="388"/>
        <item m="1" x="261"/>
        <item m="1" x="260"/>
        <item m="1" x="130"/>
        <item m="1" x="169"/>
        <item m="1" x="90"/>
        <item m="1" x="430"/>
        <item m="1" x="87"/>
        <item m="1" x="196"/>
        <item m="1" x="108"/>
        <item m="1" x="51"/>
        <item m="1" x="100"/>
        <item m="1" x="259"/>
        <item m="1" x="152"/>
        <item m="1" x="235"/>
        <item m="1" x="96"/>
        <item m="1" x="55"/>
        <item m="1" x="431"/>
        <item m="1" x="254"/>
        <item m="1" x="206"/>
        <item m="1" x="154"/>
        <item m="1" x="66"/>
        <item m="1" x="140"/>
        <item m="1" x="247"/>
        <item m="1" x="412"/>
        <item m="1" x="362"/>
        <item m="1" x="282"/>
        <item m="1" x="410"/>
        <item m="1" x="432"/>
        <item m="1" x="183"/>
        <item m="1" x="354"/>
        <item m="1" x="184"/>
        <item m="1" x="215"/>
        <item m="1" x="418"/>
        <item m="1" x="426"/>
        <item m="1" x="225"/>
        <item m="1" x="164"/>
        <item m="1" x="202"/>
        <item m="1" x="116"/>
        <item m="1" x="306"/>
        <item m="1" x="289"/>
        <item m="1" x="131"/>
        <item m="1" x="423"/>
        <item m="1" x="256"/>
        <item m="1" x="383"/>
        <item m="1" x="283"/>
        <item m="1" x="224"/>
        <item m="1" x="284"/>
        <item m="1" x="323"/>
        <item m="1" x="355"/>
        <item m="1" x="73"/>
        <item m="1" x="219"/>
        <item m="1" x="238"/>
        <item m="1" x="104"/>
        <item m="1" x="58"/>
        <item m="1" x="110"/>
        <item m="1" x="401"/>
        <item m="1" x="308"/>
        <item m="1" x="400"/>
        <item m="1" x="145"/>
        <item m="1" x="330"/>
        <item m="1" x="392"/>
        <item m="1" x="174"/>
        <item m="1" x="79"/>
        <item m="1" x="114"/>
        <item m="1" x="188"/>
        <item m="1" x="434"/>
        <item m="1" x="333"/>
        <item m="1" x="422"/>
        <item m="1" x="275"/>
        <item m="1" x="95"/>
        <item m="1" x="173"/>
        <item m="1" x="172"/>
        <item m="1" x="218"/>
        <item m="1" x="373"/>
        <item m="1" x="295"/>
        <item m="1" x="399"/>
        <item m="1" x="307"/>
        <item m="1" x="157"/>
        <item m="1" x="148"/>
        <item m="1" x="69"/>
        <item m="1" x="269"/>
        <item m="1" x="411"/>
        <item m="1" x="234"/>
        <item m="1" x="309"/>
        <item m="1" x="386"/>
        <item m="1" x="368"/>
        <item m="1" x="346"/>
        <item m="1" x="292"/>
        <item m="1" x="441"/>
        <item m="1" x="75"/>
        <item m="1" x="155"/>
        <item m="1" x="367"/>
        <item m="1" x="236"/>
        <item m="1" x="121"/>
        <item m="1" x="413"/>
        <item m="1" x="59"/>
        <item m="1" x="126"/>
        <item m="1" x="363"/>
        <item m="1" x="177"/>
        <item m="1" x="442"/>
        <item m="1" x="156"/>
        <item m="1" x="263"/>
        <item m="1" x="285"/>
        <item m="1" x="278"/>
        <item m="1" x="83"/>
        <item m="1" x="213"/>
        <item m="1" x="331"/>
        <item m="1" x="370"/>
        <item m="1" x="314"/>
        <item m="1" x="369"/>
        <item m="1" x="127"/>
        <item m="1" x="338"/>
        <item m="1" x="344"/>
        <item m="1" x="439"/>
        <item m="1" x="228"/>
        <item m="1" x="40"/>
        <item m="1" x="334"/>
        <item m="1" x="244"/>
        <item m="1" x="237"/>
        <item m="1" x="272"/>
        <item m="1" x="424"/>
        <item m="1" x="122"/>
        <item m="1" x="420"/>
        <item m="1" x="348"/>
        <item m="1" x="407"/>
        <item m="1" x="231"/>
        <item m="1" x="68"/>
        <item m="1" x="67"/>
        <item m="1" x="335"/>
        <item m="1" x="288"/>
        <item m="1" x="300"/>
        <item m="1" x="33"/>
        <item m="1" x="249"/>
        <item m="1" x="332"/>
        <item m="1" x="299"/>
        <item m="1" x="232"/>
        <item m="1" x="361"/>
        <item m="1" x="175"/>
        <item m="1" x="416"/>
        <item m="1" x="229"/>
        <item m="1" x="185"/>
        <item m="1" x="123"/>
        <item m="1" x="325"/>
        <item m="1" x="324"/>
        <item m="1" x="77"/>
        <item m="1" x="99"/>
        <item m="1" x="181"/>
        <item m="1" x="316"/>
        <item x="19"/>
        <item m="1" x="216"/>
        <item m="1" x="94"/>
        <item m="1" x="291"/>
        <item m="1" x="342"/>
        <item m="1" x="193"/>
        <item m="1" x="311"/>
        <item m="1" x="78"/>
        <item m="1" x="210"/>
        <item m="1" x="428"/>
        <item m="1" x="290"/>
        <item m="1" x="248"/>
        <item m="1" x="147"/>
        <item m="1" x="198"/>
        <item m="1" x="195"/>
        <item m="1" x="406"/>
        <item m="1" x="405"/>
        <item m="1" x="85"/>
        <item m="1" x="212"/>
        <item m="1" x="359"/>
        <item m="1" x="144"/>
        <item m="1" x="134"/>
        <item m="1" x="129"/>
        <item m="1" x="433"/>
        <item m="1" x="239"/>
        <item m="1" x="162"/>
        <item m="1" x="171"/>
        <item m="1" x="105"/>
        <item m="1" x="163"/>
        <item m="1" x="36"/>
        <item m="1" x="353"/>
        <item m="1" x="349"/>
        <item m="1" x="294"/>
        <item m="1" x="271"/>
        <item m="1" x="429"/>
        <item m="1" x="72"/>
        <item m="1" x="124"/>
        <item m="1" x="366"/>
        <item m="1" x="74"/>
        <item m="1" x="60"/>
        <item m="1" x="47"/>
        <item m="1" x="242"/>
        <item m="1" x="227"/>
        <item m="1" x="419"/>
        <item m="1" x="41"/>
        <item m="1" x="54"/>
        <item m="1" x="168"/>
        <item m="1" x="170"/>
        <item m="1" x="207"/>
        <item m="1" x="365"/>
        <item m="1" x="336"/>
        <item m="1" x="240"/>
        <item m="1" x="160"/>
        <item m="1" x="53"/>
        <item m="1" x="243"/>
        <item m="1" x="92"/>
        <item m="1" x="39"/>
        <item m="1" x="81"/>
        <item m="1" x="117"/>
        <item m="1" x="34"/>
        <item m="1" x="133"/>
        <item x="1"/>
        <item x="2"/>
        <item x="3"/>
        <item x="4"/>
        <item x="5"/>
        <item x="6"/>
        <item x="7"/>
        <item x="8"/>
        <item x="9"/>
        <item x="10"/>
        <item x="11"/>
        <item x="12"/>
        <item x="13"/>
        <item x="14"/>
        <item x="15"/>
        <item x="16"/>
        <item x="17"/>
        <item x="18"/>
        <item x="20"/>
        <item x="22"/>
        <item x="23"/>
        <item x="24"/>
        <item x="25"/>
        <item x="26"/>
        <item x="27"/>
        <item x="28"/>
        <item x="29"/>
        <item x="30"/>
        <item x="31"/>
        <item x="32"/>
        <item t="default"/>
      </items>
    </pivotField>
    <pivotField showAll="0"/>
  </pivotFields>
  <rowFields count="2">
    <field x="5"/>
    <field x="4"/>
  </rowFields>
  <rowItems count="16">
    <i>
      <x v="2"/>
    </i>
    <i r="1">
      <x v="4"/>
    </i>
    <i>
      <x v="5"/>
    </i>
    <i r="1">
      <x v="7"/>
    </i>
    <i r="1">
      <x v="46"/>
    </i>
    <i r="1">
      <x v="71"/>
    </i>
    <i>
      <x v="15"/>
    </i>
    <i r="1">
      <x v="8"/>
    </i>
    <i r="1">
      <x v="11"/>
    </i>
    <i>
      <x v="6"/>
    </i>
    <i r="1">
      <x v="67"/>
    </i>
    <i>
      <x v="7"/>
    </i>
    <i r="1">
      <x v="77"/>
    </i>
    <i>
      <x v="4"/>
    </i>
    <i r="1">
      <x v="28"/>
    </i>
    <i t="grand">
      <x/>
    </i>
  </rowItems>
  <colFields count="1">
    <field x="-2"/>
  </colFields>
  <colItems count="2">
    <i>
      <x/>
    </i>
    <i i="1">
      <x v="1"/>
    </i>
  </colItems>
  <pageFields count="1">
    <pageField fld="210" hier="-1"/>
  </pageFields>
  <dataFields count="2">
    <dataField name="Total Exposure" fld="210" baseField="4" baseItem="6" numFmtId="42"/>
    <dataField name="Pct of Total" fld="210" showDataAs="percentOfTotal" baseField="4" baseItem="2" numFmtId="165"/>
  </dataFields>
  <formats count="7">
    <format dxfId="182">
      <pivotArea dataOnly="0" labelOnly="1" outline="0" axis="axisValues" fieldPosition="0"/>
    </format>
    <format dxfId="181">
      <pivotArea dataOnly="0" labelOnly="1" outline="0" axis="axisValues" fieldPosition="0"/>
    </format>
    <format dxfId="180">
      <pivotArea outline="0" collapsedLevelsAreSubtotals="1" fieldPosition="0"/>
    </format>
    <format dxfId="179">
      <pivotArea dataOnly="0" labelOnly="1" outline="0" axis="axisValues" fieldPosition="0"/>
    </format>
    <format dxfId="178">
      <pivotArea dataOnly="0" labelOnly="1" outline="0" axis="axisValues" fieldPosition="0"/>
    </format>
    <format dxfId="177">
      <pivotArea outline="0" fieldPosition="0">
        <references count="1">
          <reference field="4294967294" count="1">
            <x v="0"/>
          </reference>
        </references>
      </pivotArea>
    </format>
    <format dxfId="176">
      <pivotArea outline="0" fieldPosition="0">
        <references count="1">
          <reference field="4294967294" count="1">
            <x v="1"/>
          </reference>
        </references>
      </pivotArea>
    </format>
  </formats>
  <chartFormats count="92">
    <chartFormat chart="1" format="75" series="1">
      <pivotArea type="data" outline="0" fieldPosition="0">
        <references count="1">
          <reference field="4294967294" count="1" selected="0">
            <x v="0"/>
          </reference>
        </references>
      </pivotArea>
    </chartFormat>
    <chartFormat chart="1" format="76">
      <pivotArea type="data" outline="0" fieldPosition="0">
        <references count="2">
          <reference field="4294967294" count="1" selected="0">
            <x v="0"/>
          </reference>
          <reference field="5" count="1" selected="0">
            <x v="3"/>
          </reference>
        </references>
      </pivotArea>
    </chartFormat>
    <chartFormat chart="1" format="77">
      <pivotArea type="data" outline="0" fieldPosition="0">
        <references count="3">
          <reference field="4294967294" count="1" selected="0">
            <x v="0"/>
          </reference>
          <reference field="4" count="1" selected="0">
            <x v="41"/>
          </reference>
          <reference field="5" count="1" selected="0">
            <x v="4"/>
          </reference>
        </references>
      </pivotArea>
    </chartFormat>
    <chartFormat chart="1" format="78">
      <pivotArea type="data" outline="0" fieldPosition="0">
        <references count="3">
          <reference field="4294967294" count="1" selected="0">
            <x v="0"/>
          </reference>
          <reference field="4" count="1" selected="0">
            <x v="48"/>
          </reference>
          <reference field="5" count="1" selected="0">
            <x v="4"/>
          </reference>
        </references>
      </pivotArea>
    </chartFormat>
    <chartFormat chart="1" format="79">
      <pivotArea type="data" outline="0" fieldPosition="0">
        <references count="3">
          <reference field="4294967294" count="1" selected="0">
            <x v="0"/>
          </reference>
          <reference field="4" count="1" selected="0">
            <x v="60"/>
          </reference>
          <reference field="5" count="1" selected="0">
            <x v="4"/>
          </reference>
        </references>
      </pivotArea>
    </chartFormat>
    <chartFormat chart="1" format="80">
      <pivotArea type="data" outline="0" fieldPosition="0">
        <references count="3">
          <reference field="4294967294" count="1" selected="0">
            <x v="0"/>
          </reference>
          <reference field="4" count="1" selected="0">
            <x v="66"/>
          </reference>
          <reference field="5" count="1" selected="0">
            <x v="4"/>
          </reference>
        </references>
      </pivotArea>
    </chartFormat>
    <chartFormat chart="1" format="81">
      <pivotArea type="data" outline="0" fieldPosition="0">
        <references count="3">
          <reference field="4294967294" count="1" selected="0">
            <x v="0"/>
          </reference>
          <reference field="4" count="1" selected="0">
            <x v="93"/>
          </reference>
          <reference field="5" count="1" selected="0">
            <x v="4"/>
          </reference>
        </references>
      </pivotArea>
    </chartFormat>
    <chartFormat chart="1" format="82">
      <pivotArea type="data" outline="0" fieldPosition="0">
        <references count="2">
          <reference field="4294967294" count="1" selected="0">
            <x v="0"/>
          </reference>
          <reference field="5" count="1" selected="0">
            <x v="5"/>
          </reference>
        </references>
      </pivotArea>
    </chartFormat>
    <chartFormat chart="1" format="83">
      <pivotArea type="data" outline="0" fieldPosition="0">
        <references count="3">
          <reference field="4294967294" count="1" selected="0">
            <x v="0"/>
          </reference>
          <reference field="4" count="1" selected="0">
            <x v="40"/>
          </reference>
          <reference field="5" count="1" selected="0">
            <x v="6"/>
          </reference>
        </references>
      </pivotArea>
    </chartFormat>
    <chartFormat chart="1" format="84">
      <pivotArea type="data" outline="0" fieldPosition="0">
        <references count="3">
          <reference field="4294967294" count="1" selected="0">
            <x v="0"/>
          </reference>
          <reference field="4" count="1" selected="0">
            <x v="64"/>
          </reference>
          <reference field="5" count="1" selected="0">
            <x v="6"/>
          </reference>
        </references>
      </pivotArea>
    </chartFormat>
    <chartFormat chart="1" format="85">
      <pivotArea type="data" outline="0" fieldPosition="0">
        <references count="3">
          <reference field="4294967294" count="1" selected="0">
            <x v="0"/>
          </reference>
          <reference field="4" count="1" selected="0">
            <x v="70"/>
          </reference>
          <reference field="5" count="1" selected="0">
            <x v="6"/>
          </reference>
        </references>
      </pivotArea>
    </chartFormat>
    <chartFormat chart="1" format="87">
      <pivotArea type="data" outline="0" fieldPosition="0">
        <references count="2">
          <reference field="4294967294" count="1" selected="0">
            <x v="0"/>
          </reference>
          <reference field="5" count="1" selected="0">
            <x v="8"/>
          </reference>
        </references>
      </pivotArea>
    </chartFormat>
    <chartFormat chart="1" format="88" series="1">
      <pivotArea type="data" outline="0" fieldPosition="0">
        <references count="1">
          <reference field="4294967294" count="1" selected="0">
            <x v="1"/>
          </reference>
        </references>
      </pivotArea>
    </chartFormat>
    <chartFormat chart="1" format="89">
      <pivotArea type="data" outline="0" fieldPosition="0">
        <references count="2">
          <reference field="4294967294" count="1" selected="0">
            <x v="1"/>
          </reference>
          <reference field="5" count="1" selected="0">
            <x v="3"/>
          </reference>
        </references>
      </pivotArea>
    </chartFormat>
    <chartFormat chart="1" format="90">
      <pivotArea type="data" outline="0" fieldPosition="0">
        <references count="3">
          <reference field="4294967294" count="1" selected="0">
            <x v="1"/>
          </reference>
          <reference field="4" count="1" selected="0">
            <x v="41"/>
          </reference>
          <reference field="5" count="1" selected="0">
            <x v="4"/>
          </reference>
        </references>
      </pivotArea>
    </chartFormat>
    <chartFormat chart="1" format="91">
      <pivotArea type="data" outline="0" fieldPosition="0">
        <references count="3">
          <reference field="4294967294" count="1" selected="0">
            <x v="1"/>
          </reference>
          <reference field="4" count="1" selected="0">
            <x v="48"/>
          </reference>
          <reference field="5" count="1" selected="0">
            <x v="4"/>
          </reference>
        </references>
      </pivotArea>
    </chartFormat>
    <chartFormat chart="1" format="92">
      <pivotArea type="data" outline="0" fieldPosition="0">
        <references count="3">
          <reference field="4294967294" count="1" selected="0">
            <x v="1"/>
          </reference>
          <reference field="4" count="1" selected="0">
            <x v="60"/>
          </reference>
          <reference field="5" count="1" selected="0">
            <x v="4"/>
          </reference>
        </references>
      </pivotArea>
    </chartFormat>
    <chartFormat chart="1" format="93">
      <pivotArea type="data" outline="0" fieldPosition="0">
        <references count="3">
          <reference field="4294967294" count="1" selected="0">
            <x v="1"/>
          </reference>
          <reference field="4" count="1" selected="0">
            <x v="66"/>
          </reference>
          <reference field="5" count="1" selected="0">
            <x v="4"/>
          </reference>
        </references>
      </pivotArea>
    </chartFormat>
    <chartFormat chart="1" format="94">
      <pivotArea type="data" outline="0" fieldPosition="0">
        <references count="3">
          <reference field="4294967294" count="1" selected="0">
            <x v="1"/>
          </reference>
          <reference field="4" count="1" selected="0">
            <x v="93"/>
          </reference>
          <reference field="5" count="1" selected="0">
            <x v="4"/>
          </reference>
        </references>
      </pivotArea>
    </chartFormat>
    <chartFormat chart="1" format="95">
      <pivotArea type="data" outline="0" fieldPosition="0">
        <references count="2">
          <reference field="4294967294" count="1" selected="0">
            <x v="1"/>
          </reference>
          <reference field="5" count="1" selected="0">
            <x v="5"/>
          </reference>
        </references>
      </pivotArea>
    </chartFormat>
    <chartFormat chart="1" format="96">
      <pivotArea type="data" outline="0" fieldPosition="0">
        <references count="3">
          <reference field="4294967294" count="1" selected="0">
            <x v="1"/>
          </reference>
          <reference field="4" count="1" selected="0">
            <x v="40"/>
          </reference>
          <reference field="5" count="1" selected="0">
            <x v="6"/>
          </reference>
        </references>
      </pivotArea>
    </chartFormat>
    <chartFormat chart="1" format="97">
      <pivotArea type="data" outline="0" fieldPosition="0">
        <references count="3">
          <reference field="4294967294" count="1" selected="0">
            <x v="1"/>
          </reference>
          <reference field="4" count="1" selected="0">
            <x v="64"/>
          </reference>
          <reference field="5" count="1" selected="0">
            <x v="6"/>
          </reference>
        </references>
      </pivotArea>
    </chartFormat>
    <chartFormat chart="1" format="98">
      <pivotArea type="data" outline="0" fieldPosition="0">
        <references count="3">
          <reference field="4294967294" count="1" selected="0">
            <x v="1"/>
          </reference>
          <reference field="4" count="1" selected="0">
            <x v="70"/>
          </reference>
          <reference field="5" count="1" selected="0">
            <x v="6"/>
          </reference>
        </references>
      </pivotArea>
    </chartFormat>
    <chartFormat chart="1" format="100">
      <pivotArea type="data" outline="0" fieldPosition="0">
        <references count="2">
          <reference field="4294967294" count="1" selected="0">
            <x v="1"/>
          </reference>
          <reference field="5" count="1" selected="0">
            <x v="8"/>
          </reference>
        </references>
      </pivotArea>
    </chartFormat>
    <chartFormat chart="1" format="101">
      <pivotArea type="data" outline="0" fieldPosition="0">
        <references count="2">
          <reference field="4294967294" count="1" selected="0">
            <x v="0"/>
          </reference>
          <reference field="5" count="1" selected="0">
            <x v="4"/>
          </reference>
        </references>
      </pivotArea>
    </chartFormat>
    <chartFormat chart="1" format="102">
      <pivotArea type="data" outline="0" fieldPosition="0">
        <references count="2">
          <reference field="4294967294" count="1" selected="0">
            <x v="1"/>
          </reference>
          <reference field="5" count="1" selected="0">
            <x v="4"/>
          </reference>
        </references>
      </pivotArea>
    </chartFormat>
    <chartFormat chart="1" format="103">
      <pivotArea type="data" outline="0" fieldPosition="0">
        <references count="2">
          <reference field="4294967294" count="1" selected="0">
            <x v="0"/>
          </reference>
          <reference field="5" count="1" selected="0">
            <x v="2"/>
          </reference>
        </references>
      </pivotArea>
    </chartFormat>
    <chartFormat chart="1" format="104">
      <pivotArea type="data" outline="0" fieldPosition="0">
        <references count="2">
          <reference field="4294967294" count="1" selected="0">
            <x v="0"/>
          </reference>
          <reference field="5" count="1" selected="0">
            <x v="6"/>
          </reference>
        </references>
      </pivotArea>
    </chartFormat>
    <chartFormat chart="1" format="105">
      <pivotArea type="data" outline="0" fieldPosition="0">
        <references count="2">
          <reference field="4294967294" count="1" selected="0">
            <x v="0"/>
          </reference>
          <reference field="5" count="1" selected="0">
            <x v="7"/>
          </reference>
        </references>
      </pivotArea>
    </chartFormat>
    <chartFormat chart="1" format="106">
      <pivotArea type="data" outline="0" fieldPosition="0">
        <references count="2">
          <reference field="4294967294" count="1" selected="0">
            <x v="1"/>
          </reference>
          <reference field="5" count="1" selected="0">
            <x v="2"/>
          </reference>
        </references>
      </pivotArea>
    </chartFormat>
    <chartFormat chart="1" format="107">
      <pivotArea type="data" outline="0" fieldPosition="0">
        <references count="2">
          <reference field="4294967294" count="1" selected="0">
            <x v="1"/>
          </reference>
          <reference field="5" count="1" selected="0">
            <x v="6"/>
          </reference>
        </references>
      </pivotArea>
    </chartFormat>
    <chartFormat chart="1" format="108">
      <pivotArea type="data" outline="0" fieldPosition="0">
        <references count="2">
          <reference field="4294967294" count="1" selected="0">
            <x v="1"/>
          </reference>
          <reference field="5" count="1" selected="0">
            <x v="7"/>
          </reference>
        </references>
      </pivotArea>
    </chartFormat>
    <chartFormat chart="1" format="109">
      <pivotArea type="data" outline="0" fieldPosition="0">
        <references count="3">
          <reference field="4294967294" count="1" selected="0">
            <x v="0"/>
          </reference>
          <reference field="4" count="1" selected="0">
            <x v="9"/>
          </reference>
          <reference field="5" count="1" selected="0">
            <x v="6"/>
          </reference>
        </references>
      </pivotArea>
    </chartFormat>
    <chartFormat chart="1" format="110">
      <pivotArea type="data" outline="0" fieldPosition="0">
        <references count="3">
          <reference field="4294967294" count="1" selected="0">
            <x v="0"/>
          </reference>
          <reference field="4" count="1" selected="0">
            <x v="18"/>
          </reference>
          <reference field="5" count="1" selected="0">
            <x v="6"/>
          </reference>
        </references>
      </pivotArea>
    </chartFormat>
    <chartFormat chart="1" format="113">
      <pivotArea type="data" outline="0" fieldPosition="0">
        <references count="3">
          <reference field="4294967294" count="1" selected="0">
            <x v="1"/>
          </reference>
          <reference field="4" count="1" selected="0">
            <x v="9"/>
          </reference>
          <reference field="5" count="1" selected="0">
            <x v="6"/>
          </reference>
        </references>
      </pivotArea>
    </chartFormat>
    <chartFormat chart="1" format="114">
      <pivotArea type="data" outline="0" fieldPosition="0">
        <references count="3">
          <reference field="4294967294" count="1" selected="0">
            <x v="1"/>
          </reference>
          <reference field="4" count="1" selected="0">
            <x v="18"/>
          </reference>
          <reference field="5" count="1" selected="0">
            <x v="6"/>
          </reference>
        </references>
      </pivotArea>
    </chartFormat>
    <chartFormat chart="1" format="117">
      <pivotArea type="data" outline="0" fieldPosition="0">
        <references count="3">
          <reference field="4294967294" count="1" selected="0">
            <x v="0"/>
          </reference>
          <reference field="4" count="1" selected="0">
            <x v="11"/>
          </reference>
          <reference field="5" count="1" selected="0">
            <x v="5"/>
          </reference>
        </references>
      </pivotArea>
    </chartFormat>
    <chartFormat chart="1" format="118">
      <pivotArea type="data" outline="0" fieldPosition="0">
        <references count="3">
          <reference field="4294967294" count="1" selected="0">
            <x v="0"/>
          </reference>
          <reference field="4" count="1" selected="0">
            <x v="37"/>
          </reference>
          <reference field="5" count="1" selected="0">
            <x v="5"/>
          </reference>
        </references>
      </pivotArea>
    </chartFormat>
    <chartFormat chart="1" format="119">
      <pivotArea type="data" outline="0" fieldPosition="0">
        <references count="3">
          <reference field="4294967294" count="1" selected="0">
            <x v="0"/>
          </reference>
          <reference field="4" count="1" selected="0">
            <x v="68"/>
          </reference>
          <reference field="5" count="1" selected="0">
            <x v="5"/>
          </reference>
        </references>
      </pivotArea>
    </chartFormat>
    <chartFormat chart="1" format="121">
      <pivotArea type="data" outline="0" fieldPosition="0">
        <references count="3">
          <reference field="4294967294" count="1" selected="0">
            <x v="1"/>
          </reference>
          <reference field="4" count="1" selected="0">
            <x v="11"/>
          </reference>
          <reference field="5" count="1" selected="0">
            <x v="5"/>
          </reference>
        </references>
      </pivotArea>
    </chartFormat>
    <chartFormat chart="1" format="122">
      <pivotArea type="data" outline="0" fieldPosition="0">
        <references count="3">
          <reference field="4294967294" count="1" selected="0">
            <x v="1"/>
          </reference>
          <reference field="4" count="1" selected="0">
            <x v="37"/>
          </reference>
          <reference field="5" count="1" selected="0">
            <x v="5"/>
          </reference>
        </references>
      </pivotArea>
    </chartFormat>
    <chartFormat chart="1" format="123">
      <pivotArea type="data" outline="0" fieldPosition="0">
        <references count="3">
          <reference field="4294967294" count="1" selected="0">
            <x v="1"/>
          </reference>
          <reference field="4" count="1" selected="0">
            <x v="68"/>
          </reference>
          <reference field="5" count="1" selected="0">
            <x v="5"/>
          </reference>
        </references>
      </pivotArea>
    </chartFormat>
    <chartFormat chart="1" format="125">
      <pivotArea type="data" outline="0" fieldPosition="0">
        <references count="3">
          <reference field="4294967294" count="1" selected="0">
            <x v="0"/>
          </reference>
          <reference field="4" count="1" selected="0">
            <x v="77"/>
          </reference>
          <reference field="5" count="1" selected="0">
            <x v="7"/>
          </reference>
        </references>
      </pivotArea>
    </chartFormat>
    <chartFormat chart="1" format="126">
      <pivotArea type="data" outline="0" fieldPosition="0">
        <references count="3">
          <reference field="4294967294" count="1" selected="0">
            <x v="1"/>
          </reference>
          <reference field="4" count="1" selected="0">
            <x v="77"/>
          </reference>
          <reference field="5" count="1" selected="0">
            <x v="7"/>
          </reference>
        </references>
      </pivotArea>
    </chartFormat>
    <chartFormat chart="1" format="127">
      <pivotArea type="data" outline="0" fieldPosition="0">
        <references count="3">
          <reference field="4294967294" count="1" selected="0">
            <x v="0"/>
          </reference>
          <reference field="4" count="1" selected="0">
            <x v="39"/>
          </reference>
          <reference field="5" count="1" selected="0">
            <x v="4"/>
          </reference>
        </references>
      </pivotArea>
    </chartFormat>
    <chartFormat chart="1" format="128">
      <pivotArea type="data" outline="0" fieldPosition="0">
        <references count="3">
          <reference field="4294967294" count="1" selected="0">
            <x v="1"/>
          </reference>
          <reference field="4" count="1" selected="0">
            <x v="39"/>
          </reference>
          <reference field="5" count="1" selected="0">
            <x v="4"/>
          </reference>
        </references>
      </pivotArea>
    </chartFormat>
    <chartFormat chart="1" format="129">
      <pivotArea type="data" outline="0" fieldPosition="0">
        <references count="3">
          <reference field="4294967294" count="1" selected="0">
            <x v="0"/>
          </reference>
          <reference field="4" count="1" selected="0">
            <x v="56"/>
          </reference>
          <reference field="5" count="1" selected="0">
            <x v="6"/>
          </reference>
        </references>
      </pivotArea>
    </chartFormat>
    <chartFormat chart="1" format="130">
      <pivotArea type="data" outline="0" fieldPosition="0">
        <references count="3">
          <reference field="4294967294" count="1" selected="0">
            <x v="1"/>
          </reference>
          <reference field="4" count="1" selected="0">
            <x v="56"/>
          </reference>
          <reference field="5" count="1" selected="0">
            <x v="6"/>
          </reference>
        </references>
      </pivotArea>
    </chartFormat>
    <chartFormat chart="1" format="131">
      <pivotArea type="data" outline="0" fieldPosition="0">
        <references count="3">
          <reference field="4294967294" count="1" selected="0">
            <x v="0"/>
          </reference>
          <reference field="4" count="1" selected="0">
            <x v="49"/>
          </reference>
          <reference field="5" count="1" selected="0">
            <x v="7"/>
          </reference>
        </references>
      </pivotArea>
    </chartFormat>
    <chartFormat chart="1" format="132">
      <pivotArea type="data" outline="0" fieldPosition="0">
        <references count="3">
          <reference field="4294967294" count="1" selected="0">
            <x v="0"/>
          </reference>
          <reference field="4" count="1" selected="0">
            <x v="59"/>
          </reference>
          <reference field="5" count="1" selected="0">
            <x v="7"/>
          </reference>
        </references>
      </pivotArea>
    </chartFormat>
    <chartFormat chart="1" format="133">
      <pivotArea type="data" outline="0" fieldPosition="0">
        <references count="3">
          <reference field="4294967294" count="1" selected="0">
            <x v="0"/>
          </reference>
          <reference field="4" count="1" selected="0">
            <x v="75"/>
          </reference>
          <reference field="5" count="1" selected="0">
            <x v="7"/>
          </reference>
        </references>
      </pivotArea>
    </chartFormat>
    <chartFormat chart="1" format="134">
      <pivotArea type="data" outline="0" fieldPosition="0">
        <references count="3">
          <reference field="4294967294" count="1" selected="0">
            <x v="1"/>
          </reference>
          <reference field="4" count="1" selected="0">
            <x v="49"/>
          </reference>
          <reference field="5" count="1" selected="0">
            <x v="7"/>
          </reference>
        </references>
      </pivotArea>
    </chartFormat>
    <chartFormat chart="1" format="135">
      <pivotArea type="data" outline="0" fieldPosition="0">
        <references count="3">
          <reference field="4294967294" count="1" selected="0">
            <x v="1"/>
          </reference>
          <reference field="4" count="1" selected="0">
            <x v="59"/>
          </reference>
          <reference field="5" count="1" selected="0">
            <x v="7"/>
          </reference>
        </references>
      </pivotArea>
    </chartFormat>
    <chartFormat chart="1" format="136">
      <pivotArea type="data" outline="0" fieldPosition="0">
        <references count="3">
          <reference field="4294967294" count="1" selected="0">
            <x v="1"/>
          </reference>
          <reference field="4" count="1" selected="0">
            <x v="75"/>
          </reference>
          <reference field="5" count="1" selected="0">
            <x v="7"/>
          </reference>
        </references>
      </pivotArea>
    </chartFormat>
    <chartFormat chart="1" format="137">
      <pivotArea type="data" outline="0" fieldPosition="0">
        <references count="3">
          <reference field="4294967294" count="1" selected="0">
            <x v="0"/>
          </reference>
          <reference field="4" count="1" selected="0">
            <x v="4"/>
          </reference>
          <reference field="5" count="1" selected="0">
            <x v="2"/>
          </reference>
        </references>
      </pivotArea>
    </chartFormat>
    <chartFormat chart="1" format="138">
      <pivotArea type="data" outline="0" fieldPosition="0">
        <references count="3">
          <reference field="4294967294" count="1" selected="0">
            <x v="0"/>
          </reference>
          <reference field="4" count="1" selected="0">
            <x v="22"/>
          </reference>
          <reference field="5" count="1" selected="0">
            <x v="2"/>
          </reference>
        </references>
      </pivotArea>
    </chartFormat>
    <chartFormat chart="1" format="139">
      <pivotArea type="data" outline="0" fieldPosition="0">
        <references count="3">
          <reference field="4294967294" count="1" selected="0">
            <x v="0"/>
          </reference>
          <reference field="4" count="1" selected="0">
            <x v="24"/>
          </reference>
          <reference field="5" count="1" selected="0">
            <x v="2"/>
          </reference>
        </references>
      </pivotArea>
    </chartFormat>
    <chartFormat chart="1" format="140">
      <pivotArea type="data" outline="0" fieldPosition="0">
        <references count="3">
          <reference field="4294967294" count="1" selected="0">
            <x v="0"/>
          </reference>
          <reference field="4" count="1" selected="0">
            <x v="0"/>
          </reference>
          <reference field="5" count="1" selected="0">
            <x v="3"/>
          </reference>
        </references>
      </pivotArea>
    </chartFormat>
    <chartFormat chart="1" format="141">
      <pivotArea type="data" outline="0" fieldPosition="0">
        <references count="3">
          <reference field="4294967294" count="1" selected="0">
            <x v="0"/>
          </reference>
          <reference field="4" count="1" selected="0">
            <x v="5"/>
          </reference>
          <reference field="5" count="1" selected="0">
            <x v="3"/>
          </reference>
        </references>
      </pivotArea>
    </chartFormat>
    <chartFormat chart="1" format="142">
      <pivotArea type="data" outline="0" fieldPosition="0">
        <references count="3">
          <reference field="4294967294" count="1" selected="0">
            <x v="0"/>
          </reference>
          <reference field="4" count="1" selected="0">
            <x v="32"/>
          </reference>
          <reference field="5" count="1" selected="0">
            <x v="3"/>
          </reference>
        </references>
      </pivotArea>
    </chartFormat>
    <chartFormat chart="1" format="143">
      <pivotArea type="data" outline="0" fieldPosition="0">
        <references count="3">
          <reference field="4294967294" count="1" selected="0">
            <x v="1"/>
          </reference>
          <reference field="4" count="1" selected="0">
            <x v="4"/>
          </reference>
          <reference field="5" count="1" selected="0">
            <x v="2"/>
          </reference>
        </references>
      </pivotArea>
    </chartFormat>
    <chartFormat chart="1" format="144">
      <pivotArea type="data" outline="0" fieldPosition="0">
        <references count="3">
          <reference field="4294967294" count="1" selected="0">
            <x v="1"/>
          </reference>
          <reference field="4" count="1" selected="0">
            <x v="22"/>
          </reference>
          <reference field="5" count="1" selected="0">
            <x v="2"/>
          </reference>
        </references>
      </pivotArea>
    </chartFormat>
    <chartFormat chart="1" format="145">
      <pivotArea type="data" outline="0" fieldPosition="0">
        <references count="3">
          <reference field="4294967294" count="1" selected="0">
            <x v="1"/>
          </reference>
          <reference field="4" count="1" selected="0">
            <x v="24"/>
          </reference>
          <reference field="5" count="1" selected="0">
            <x v="2"/>
          </reference>
        </references>
      </pivotArea>
    </chartFormat>
    <chartFormat chart="1" format="146">
      <pivotArea type="data" outline="0" fieldPosition="0">
        <references count="3">
          <reference field="4294967294" count="1" selected="0">
            <x v="1"/>
          </reference>
          <reference field="4" count="1" selected="0">
            <x v="0"/>
          </reference>
          <reference field="5" count="1" selected="0">
            <x v="3"/>
          </reference>
        </references>
      </pivotArea>
    </chartFormat>
    <chartFormat chart="1" format="147">
      <pivotArea type="data" outline="0" fieldPosition="0">
        <references count="3">
          <reference field="4294967294" count="1" selected="0">
            <x v="1"/>
          </reference>
          <reference field="4" count="1" selected="0">
            <x v="5"/>
          </reference>
          <reference field="5" count="1" selected="0">
            <x v="3"/>
          </reference>
        </references>
      </pivotArea>
    </chartFormat>
    <chartFormat chart="1" format="148">
      <pivotArea type="data" outline="0" fieldPosition="0">
        <references count="3">
          <reference field="4294967294" count="1" selected="0">
            <x v="1"/>
          </reference>
          <reference field="4" count="1" selected="0">
            <x v="32"/>
          </reference>
          <reference field="5" count="1" selected="0">
            <x v="3"/>
          </reference>
        </references>
      </pivotArea>
    </chartFormat>
    <chartFormat chart="1" format="149">
      <pivotArea type="data" outline="0" fieldPosition="0">
        <references count="3">
          <reference field="4294967294" count="1" selected="0">
            <x v="0"/>
          </reference>
          <reference field="4" count="1" selected="0">
            <x v="47"/>
          </reference>
          <reference field="5" count="1" selected="0">
            <x v="6"/>
          </reference>
        </references>
      </pivotArea>
    </chartFormat>
    <chartFormat chart="1" format="150">
      <pivotArea type="data" outline="0" fieldPosition="0">
        <references count="3">
          <reference field="4294967294" count="1" selected="0">
            <x v="0"/>
          </reference>
          <reference field="4" count="1" selected="0">
            <x v="50"/>
          </reference>
          <reference field="5" count="1" selected="0">
            <x v="2"/>
          </reference>
        </references>
      </pivotArea>
    </chartFormat>
    <chartFormat chart="1" format="151">
      <pivotArea type="data" outline="0" fieldPosition="0">
        <references count="3">
          <reference field="4294967294" count="1" selected="0">
            <x v="0"/>
          </reference>
          <reference field="4" count="1" selected="0">
            <x v="28"/>
          </reference>
          <reference field="5" count="1" selected="0">
            <x v="4"/>
          </reference>
        </references>
      </pivotArea>
    </chartFormat>
    <chartFormat chart="1" format="152">
      <pivotArea type="data" outline="0" fieldPosition="0">
        <references count="3">
          <reference field="4294967294" count="1" selected="0">
            <x v="0"/>
          </reference>
          <reference field="4" count="1" selected="0">
            <x v="61"/>
          </reference>
          <reference field="5" count="1" selected="0">
            <x v="4"/>
          </reference>
        </references>
      </pivotArea>
    </chartFormat>
    <chartFormat chart="1" format="153">
      <pivotArea type="data" outline="0" fieldPosition="0">
        <references count="3">
          <reference field="4294967294" count="1" selected="0">
            <x v="0"/>
          </reference>
          <reference field="4" count="1" selected="0">
            <x v="8"/>
          </reference>
          <reference field="5" count="1" selected="0">
            <x v="15"/>
          </reference>
        </references>
      </pivotArea>
    </chartFormat>
    <chartFormat chart="1" format="154">
      <pivotArea type="data" outline="0" fieldPosition="0">
        <references count="3">
          <reference field="4294967294" count="1" selected="0">
            <x v="0"/>
          </reference>
          <reference field="4" count="1" selected="0">
            <x v="11"/>
          </reference>
          <reference field="5" count="1" selected="0">
            <x v="15"/>
          </reference>
        </references>
      </pivotArea>
    </chartFormat>
    <chartFormat chart="1" format="155">
      <pivotArea type="data" outline="0" fieldPosition="0">
        <references count="3">
          <reference field="4294967294" count="1" selected="0">
            <x v="0"/>
          </reference>
          <reference field="4" count="1" selected="0">
            <x v="60"/>
          </reference>
          <reference field="5" count="1" selected="0">
            <x v="18"/>
          </reference>
        </references>
      </pivotArea>
    </chartFormat>
    <chartFormat chart="1" format="156">
      <pivotArea type="data" outline="0" fieldPosition="0">
        <references count="3">
          <reference field="4294967294" count="1" selected="0">
            <x v="0"/>
          </reference>
          <reference field="4" count="1" selected="0">
            <x v="30"/>
          </reference>
          <reference field="5" count="1" selected="0">
            <x v="16"/>
          </reference>
        </references>
      </pivotArea>
    </chartFormat>
    <chartFormat chart="1" format="157">
      <pivotArea type="data" outline="0" fieldPosition="0">
        <references count="3">
          <reference field="4294967294" count="1" selected="0">
            <x v="0"/>
          </reference>
          <reference field="4" count="1" selected="0">
            <x v="71"/>
          </reference>
          <reference field="5" count="1" selected="0">
            <x v="17"/>
          </reference>
        </references>
      </pivotArea>
    </chartFormat>
    <chartFormat chart="1" format="158">
      <pivotArea type="data" outline="0" fieldPosition="0">
        <references count="3">
          <reference field="4294967294" count="1" selected="0">
            <x v="1"/>
          </reference>
          <reference field="4" count="1" selected="0">
            <x v="47"/>
          </reference>
          <reference field="5" count="1" selected="0">
            <x v="6"/>
          </reference>
        </references>
      </pivotArea>
    </chartFormat>
    <chartFormat chart="1" format="159">
      <pivotArea type="data" outline="0" fieldPosition="0">
        <references count="3">
          <reference field="4294967294" count="1" selected="0">
            <x v="1"/>
          </reference>
          <reference field="4" count="1" selected="0">
            <x v="50"/>
          </reference>
          <reference field="5" count="1" selected="0">
            <x v="2"/>
          </reference>
        </references>
      </pivotArea>
    </chartFormat>
    <chartFormat chart="1" format="160">
      <pivotArea type="data" outline="0" fieldPosition="0">
        <references count="3">
          <reference field="4294967294" count="1" selected="0">
            <x v="1"/>
          </reference>
          <reference field="4" count="1" selected="0">
            <x v="28"/>
          </reference>
          <reference field="5" count="1" selected="0">
            <x v="4"/>
          </reference>
        </references>
      </pivotArea>
    </chartFormat>
    <chartFormat chart="1" format="161">
      <pivotArea type="data" outline="0" fieldPosition="0">
        <references count="3">
          <reference field="4294967294" count="1" selected="0">
            <x v="1"/>
          </reference>
          <reference field="4" count="1" selected="0">
            <x v="61"/>
          </reference>
          <reference field="5" count="1" selected="0">
            <x v="4"/>
          </reference>
        </references>
      </pivotArea>
    </chartFormat>
    <chartFormat chart="1" format="162">
      <pivotArea type="data" outline="0" fieldPosition="0">
        <references count="3">
          <reference field="4294967294" count="1" selected="0">
            <x v="1"/>
          </reference>
          <reference field="4" count="1" selected="0">
            <x v="8"/>
          </reference>
          <reference field="5" count="1" selected="0">
            <x v="15"/>
          </reference>
        </references>
      </pivotArea>
    </chartFormat>
    <chartFormat chart="1" format="163">
      <pivotArea type="data" outline="0" fieldPosition="0">
        <references count="3">
          <reference field="4294967294" count="1" selected="0">
            <x v="1"/>
          </reference>
          <reference field="4" count="1" selected="0">
            <x v="11"/>
          </reference>
          <reference field="5" count="1" selected="0">
            <x v="15"/>
          </reference>
        </references>
      </pivotArea>
    </chartFormat>
    <chartFormat chart="1" format="164">
      <pivotArea type="data" outline="0" fieldPosition="0">
        <references count="3">
          <reference field="4294967294" count="1" selected="0">
            <x v="1"/>
          </reference>
          <reference field="4" count="1" selected="0">
            <x v="60"/>
          </reference>
          <reference field="5" count="1" selected="0">
            <x v="18"/>
          </reference>
        </references>
      </pivotArea>
    </chartFormat>
    <chartFormat chart="1" format="165">
      <pivotArea type="data" outline="0" fieldPosition="0">
        <references count="3">
          <reference field="4294967294" count="1" selected="0">
            <x v="1"/>
          </reference>
          <reference field="4" count="1" selected="0">
            <x v="30"/>
          </reference>
          <reference field="5" count="1" selected="0">
            <x v="16"/>
          </reference>
        </references>
      </pivotArea>
    </chartFormat>
    <chartFormat chart="1" format="166">
      <pivotArea type="data" outline="0" fieldPosition="0">
        <references count="3">
          <reference field="4294967294" count="1" selected="0">
            <x v="1"/>
          </reference>
          <reference field="4" count="1" selected="0">
            <x v="71"/>
          </reference>
          <reference field="5" count="1" selected="0">
            <x v="17"/>
          </reference>
        </references>
      </pivotArea>
    </chartFormat>
    <chartFormat chart="1" format="167">
      <pivotArea type="data" outline="0" fieldPosition="0">
        <references count="3">
          <reference field="4294967294" count="1" selected="0">
            <x v="0"/>
          </reference>
          <reference field="4" count="1" selected="0">
            <x v="7"/>
          </reference>
          <reference field="5" count="1" selected="0">
            <x v="5"/>
          </reference>
        </references>
      </pivotArea>
    </chartFormat>
    <chartFormat chart="1" format="168">
      <pivotArea type="data" outline="0" fieldPosition="0">
        <references count="3">
          <reference field="4294967294" count="1" selected="0">
            <x v="0"/>
          </reference>
          <reference field="4" count="1" selected="0">
            <x v="46"/>
          </reference>
          <reference field="5" count="1" selected="0">
            <x v="5"/>
          </reference>
        </references>
      </pivotArea>
    </chartFormat>
    <chartFormat chart="1" format="169">
      <pivotArea type="data" outline="0" fieldPosition="0">
        <references count="3">
          <reference field="4294967294" count="1" selected="0">
            <x v="0"/>
          </reference>
          <reference field="4" count="1" selected="0">
            <x v="71"/>
          </reference>
          <reference field="5" count="1" selected="0">
            <x v="5"/>
          </reference>
        </references>
      </pivotArea>
    </chartFormat>
    <chartFormat chart="1" format="170">
      <pivotArea type="data" outline="0" fieldPosition="0">
        <references count="3">
          <reference field="4294967294" count="1" selected="0">
            <x v="0"/>
          </reference>
          <reference field="4" count="1" selected="0">
            <x v="67"/>
          </reference>
          <reference field="5" count="1" selected="0">
            <x v="6"/>
          </reference>
        </references>
      </pivotArea>
    </chartFormat>
    <chartFormat chart="1" format="171">
      <pivotArea type="data" outline="0" fieldPosition="0">
        <references count="3">
          <reference field="4294967294" count="1" selected="0">
            <x v="1"/>
          </reference>
          <reference field="4" count="1" selected="0">
            <x v="7"/>
          </reference>
          <reference field="5" count="1" selected="0">
            <x v="5"/>
          </reference>
        </references>
      </pivotArea>
    </chartFormat>
    <chartFormat chart="1" format="172">
      <pivotArea type="data" outline="0" fieldPosition="0">
        <references count="3">
          <reference field="4294967294" count="1" selected="0">
            <x v="1"/>
          </reference>
          <reference field="4" count="1" selected="0">
            <x v="46"/>
          </reference>
          <reference field="5" count="1" selected="0">
            <x v="5"/>
          </reference>
        </references>
      </pivotArea>
    </chartFormat>
    <chartFormat chart="1" format="173">
      <pivotArea type="data" outline="0" fieldPosition="0">
        <references count="3">
          <reference field="4294967294" count="1" selected="0">
            <x v="1"/>
          </reference>
          <reference field="4" count="1" selected="0">
            <x v="71"/>
          </reference>
          <reference field="5" count="1" selected="0">
            <x v="5"/>
          </reference>
        </references>
      </pivotArea>
    </chartFormat>
    <chartFormat chart="1" format="174">
      <pivotArea type="data" outline="0" fieldPosition="0">
        <references count="3">
          <reference field="4294967294" count="1" selected="0">
            <x v="1"/>
          </reference>
          <reference field="4" count="1" selected="0">
            <x v="67"/>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AB0560-660F-4FA4-B413-B37E35D90017}" name="SnapshotTable" displayName="SnapshotTable" ref="B8:GW395" insertRowShift="1" totalsRowCount="1" headerRowDxfId="491" totalsRowDxfId="490">
  <autoFilter ref="B8:GW394" xr:uid="{4CAB0560-660F-4FA4-B413-B37E35D90017}">
    <filterColumn colId="0">
      <filters>
        <filter val="LULU_7"/>
      </filters>
    </filterColumn>
  </autoFilter>
  <tableColumns count="204">
    <tableColumn id="1" xr3:uid="{00000000-0010-0000-0000-000001000000}" name="Symbol" totalsRowFunction="count" dataDxfId="489" totalsRowDxfId="138" dataCellStyle="Normal 2"/>
    <tableColumn id="2" xr3:uid="{00000000-0010-0000-0000-000002000000}" name="Last Price" totalsRowLabel=" . " totalsRowDxfId="137" dataCellStyle="Currency"/>
    <tableColumn id="73" xr3:uid="{55746430-3EAF-48A7-9CCF-D32B3C1B2A6E}" name="Goal" dataDxfId="488" totalsRowDxfId="136" dataCellStyle="Currency"/>
    <tableColumn id="82" xr3:uid="{00000000-0010-0000-0000-000052000000}" name="Market Crash Price" dataDxfId="487" totalsRowDxfId="135" dataCellStyle="Comma 2">
      <calculatedColumnFormula>SnapshotTable[[#This Row],[Last Price]]*(1 -CrashDiscount)</calculatedColumnFormula>
    </tableColumn>
    <tableColumn id="127" xr3:uid="{00000000-0010-0000-0000-00007F000000}" name="Industry" dataDxfId="486" totalsRowDxfId="134" dataCellStyle="Comma 2"/>
    <tableColumn id="22" xr3:uid="{00000000-0010-0000-0000-000016000000}" name="Sector" dataDxfId="485" totalsRowDxfId="133" dataCellStyle="Comma 2"/>
    <tableColumn id="108" xr3:uid="{00000000-0010-0000-0000-00006C000000}" name="Watch List" dataDxfId="484" totalsRowDxfId="483" dataCellStyle="Percent 2"/>
    <tableColumn id="56" xr3:uid="{00000000-0010-0000-0000-000038000000}" name="Earnings Date" dataDxfId="482" totalsRowDxfId="132" dataCellStyle="Currency 2"/>
    <tableColumn id="72" xr3:uid="{00000000-0010-0000-0000-000048000000}" name="Earnings Time" dataDxfId="481" totalsRowDxfId="131" dataCellStyle="Percent 2"/>
    <tableColumn id="24" xr3:uid="{00000000-0010-0000-0000-000018000000}" name="Earnings Status" dataDxfId="480" totalsRowDxfId="130" dataCellStyle="Percent 2"/>
    <tableColumn id="48" xr3:uid="{00000000-0010-0000-0000-000030000000}" name="Next Catalyst" dataDxfId="479" totalsRowDxfId="129" dataCellStyle="Percent 2"/>
    <tableColumn id="4" xr3:uid="{00000000-0010-0000-0000-000004000000}" name="AAP Rank" dataDxfId="478" totalsRowDxfId="128" dataCellStyle="Normal 2"/>
    <tableColumn id="35" xr3:uid="{00000000-0010-0000-0000-000023000000}" name="Is Core" dataDxfId="477" totalsRowDxfId="127" dataCellStyle="Normal 2"/>
    <tableColumn id="55" xr3:uid="{00000000-0010-0000-0000-000037000000}" name="EBF Rank" dataDxfId="476" totalsRowDxfId="126" dataCellStyle="Normal 2"/>
    <tableColumn id="5" xr3:uid="{00000000-0010-0000-0000-000005000000}" name="Equity Shares" totalsRowFunction="sum" dataDxfId="475" totalsRowDxfId="125" dataCellStyle="Comma 2"/>
    <tableColumn id="6" xr3:uid="{00000000-0010-0000-0000-000006000000}" name="Equity Basis Total" totalsRowFunction="sum" dataDxfId="474" totalsRowDxfId="124" dataCellStyle="Currency 2"/>
    <tableColumn id="36" xr3:uid="{00000000-0010-0000-0000-000024000000}" name="Equity Basis Per Share" dataDxfId="473" totalsRowDxfId="123" dataCellStyle="Currency 2">
      <calculatedColumnFormula>IF(SnapshotTable[[#This Row],[Equity Basis Total]] &gt; 0, SnapshotTable[[#This Row],[Equity Basis Total]] / SnapshotTable[[#This Row],[Equity Shares]], "")</calculatedColumnFormula>
    </tableColumn>
    <tableColumn id="7" xr3:uid="{00000000-0010-0000-0000-000007000000}" name="Equity Value" totalsRowFunction="sum" dataDxfId="472" totalsRowDxfId="122" dataCellStyle="Currency 2">
      <calculatedColumnFormula>SnapshotTable[[#This Row],[Last Price]] * SnapshotTable[[#This Row],[Equity Shares]]</calculatedColumnFormula>
    </tableColumn>
    <tableColumn id="8" xr3:uid="{00000000-0010-0000-0000-000008000000}" name="Equity G/L" totalsRowFunction="sum" dataDxfId="471" totalsRowDxfId="121" dataCellStyle="Currency 2">
      <calculatedColumnFormula>SnapshotTable[[#This Row],[Equity Value]] - SnapshotTable[[#This Row],[Equity Basis Total]]</calculatedColumnFormula>
    </tableColumn>
    <tableColumn id="9" xr3:uid="{00000000-0010-0000-0000-000009000000}" name="Equity ROI" dataDxfId="470" totalsRowDxfId="469" dataCellStyle="Percent 2">
      <calculatedColumnFormula>IF(SnapshotTable[[#This Row],[Equity Basis Total]] &gt; 0, SnapshotTable[[#This Row],[Equity G/L]] / SnapshotTable[[#This Row],[Equity Basis Total]], "")</calculatedColumnFormula>
    </tableColumn>
    <tableColumn id="191" xr3:uid="{CE5F830B-E730-4EF1-841D-075F79EEDE08}" name="Equity Target" dataDxfId="468" totalsRowDxfId="120" dataCellStyle="Currency"/>
    <tableColumn id="192" xr3:uid="{BEC037CD-3406-4BAD-8DF7-A8EDFBC47F31}" name="Equity Stop Loss" dataDxfId="467" totalsRowDxfId="119" dataCellStyle="Currency"/>
    <tableColumn id="193" xr3:uid="{1EC9B947-7450-43D3-83BF-3867320491B2}" name="Equity Max Gain Per Share" dataDxfId="466" totalsRowDxfId="118" dataCellStyle="Currency 2">
      <calculatedColumnFormula>IF(AND(ISNUMBER(SnapshotTable[[#This Row],[Equity Basis Per Share]]),ISNUMBER(SnapshotTable[[#This Row],[Equity Target]])),SnapshotTable[[#This Row],[Equity Target]]-SnapshotTable[[#This Row],[Equity Basis Per Share]],"")</calculatedColumnFormula>
    </tableColumn>
    <tableColumn id="194" xr3:uid="{EB723D27-9EA6-424B-BF2D-3A86952CCC71}" name="Equity Max Loss Per Share" dataDxfId="465" totalsRowDxfId="117" dataCellStyle="Currency 2">
      <calculatedColumnFormula>IF(AND(ISNUMBER(SnapshotTable[[#This Row],[Equity Basis Per Share]]),ISNUMBER(SnapshotTable[[#This Row],[Equity Stop Loss]])),SnapshotTable[[#This Row],[Equity Stop Loss]]-SnapshotTable[[#This Row],[Equity Basis Per Share]],"")</calculatedColumnFormula>
    </tableColumn>
    <tableColumn id="195" xr3:uid="{94962346-657C-40EB-BECD-D2C9BD6A8BFE}" name="Risk Reward" dataDxfId="464" totalsRowDxfId="116" dataCellStyle="Currency 2">
      <calculatedColumnFormula>IFERROR( TEXT(SnapshotTable[[#This Row],[Equity Max Gain Per Share]] /ABS( SnapshotTable[[#This Row],[Equity Max Loss Per Share]]),"0.0 " ) &amp; " : 1", "")</calculatedColumnFormula>
    </tableColumn>
    <tableColumn id="196" xr3:uid="{09456F42-A566-408F-9A08-60A6ABE5B5BD}" name="Equity Max Profit" totalsRowFunction="sum" dataDxfId="463" totalsRowDxfId="115" dataCellStyle="Currency 2">
      <calculatedColumnFormula>IF(ISNUMBER(SnapshotTable[[#This Row],[Equity Max Gain Per Share]]),SnapshotTable[[#This Row],[Equity Max Gain Per Share]] * SnapshotTable[[#This Row],[Equity Shares]],"")</calculatedColumnFormula>
    </tableColumn>
    <tableColumn id="197" xr3:uid="{22DE4794-27AE-47FF-91D1-DB9D18E3A75F}" name="Equity Max Risk" totalsRowFunction="sum" dataDxfId="462" totalsRowDxfId="114" dataCellStyle="Currency 2">
      <calculatedColumnFormula>IF(ISNUMBER(SnapshotTable[[#This Row],[Equity Max Loss Per Share]]),SnapshotTable[[#This Row],[Equity Max Loss Per Share]] * SnapshotTable[[#This Row],[Equity Shares]],"")</calculatedColumnFormula>
    </tableColumn>
    <tableColumn id="10" xr3:uid="{00000000-0010-0000-0000-00000A000000}" name="Annual Dividend Per Share" dataDxfId="461" totalsRowDxfId="460" dataCellStyle="Currency 2"/>
    <tableColumn id="12" xr3:uid="{00000000-0010-0000-0000-00000C000000}" name="Div Pay Date" dataDxfId="459" totalsRowDxfId="113" dataCellStyle="Normal 2"/>
    <tableColumn id="45" xr3:uid="{00000000-0010-0000-0000-00002D000000}" name="Quarterly Div $" totalsRowFunction="sum" dataDxfId="458" totalsRowDxfId="112" dataCellStyle="Currency 2">
      <calculatedColumnFormula>(SnapshotTable[[#This Row],[Annual Dividend Per Share]] / 4) * SnapshotTable[[#This Row],[Equity Shares]]</calculatedColumnFormula>
    </tableColumn>
    <tableColumn id="13" xr3:uid="{00000000-0010-0000-0000-00000D000000}" name="Annual Div $" totalsRowFunction="sum" dataDxfId="457" totalsRowDxfId="111" dataCellStyle="Currency 2">
      <calculatedColumnFormula>SnapshotTable[[#This Row],[Quarterly Div $]] * 4</calculatedColumnFormula>
    </tableColumn>
    <tableColumn id="50" xr3:uid="{00000000-0010-0000-0000-000032000000}" name="Div Yield" dataDxfId="456" totalsRowDxfId="455" dataCellStyle="Percent 2">
      <calculatedColumnFormula>IF(SnapshotTable[[#This Row],[Annual Dividend Per Share]]&gt;0, SnapshotTable[[#This Row],[Annual Dividend Per Share]]  / SnapshotTable[[#This Row],[Last Price]], 0)</calculatedColumnFormula>
    </tableColumn>
    <tableColumn id="11" xr3:uid="{00000000-0010-0000-0000-00000B000000}" name="Div Ex Date" dataDxfId="454" totalsRowDxfId="110" dataCellStyle="Normal 2"/>
    <tableColumn id="143" xr3:uid="{00000000-0010-0000-0000-00008F000000}" name="EBF Target" dataDxfId="453" totalsRowDxfId="452" dataCellStyle="Currency 2"/>
    <tableColumn id="14" xr3:uid="{00000000-0010-0000-0000-00000E000000}" name="Long Term Target" dataDxfId="451" totalsRowDxfId="109" dataCellStyle="Currency 2"/>
    <tableColumn id="144" xr3:uid="{00000000-0010-0000-0000-000090000000}" name="AAP % From Current" dataDxfId="450" totalsRowDxfId="108" dataCellStyle="Percent 2">
      <calculatedColumnFormula>IF(ISNUMBER( SnapshotTable[[#This Row],[EBF Target]]),(SnapshotTable[[#This Row],[EBF Target]] - SnapshotTable[[#This Row],[Last Price]]) / SnapshotTable[[#This Row],[Last Price]], "")</calculatedColumnFormula>
    </tableColumn>
    <tableColumn id="40" xr3:uid="{00000000-0010-0000-0000-000028000000}" name="From Basis % " dataDxfId="449" totalsRowDxfId="448" dataCellStyle="Percent 2">
      <calculatedColumnFormula>IF(AND(SnapshotTable[[#This Row],[Equity Basis Total]] &gt; 0,ISNUMBER( SnapshotTable[[#This Row],[Long Term Target]])), SnapshotTable[[#This Row],[From Basis $]] / SnapshotTable[[#This Row],[Equity Basis Total]], "")</calculatedColumnFormula>
    </tableColumn>
    <tableColumn id="15" xr3:uid="{00000000-0010-0000-0000-00000F000000}" name="From Basis $" totalsRowFunction="sum" dataDxfId="447" totalsRowDxfId="107" dataCellStyle="Normal 2">
      <calculatedColumnFormula>IF( AND(SnapshotTable[[#This Row],[Equity Shares]] &gt;0,ISNUMBER( SnapshotTable[[#This Row],[Long Term Target]])),(SnapshotTable[[#This Row],[Equity Shares]] * SnapshotTable[[#This Row],[Long Term Target]]) - SnapshotTable[[#This Row],[Equity Basis Total]],0)</calculatedColumnFormula>
    </tableColumn>
    <tableColumn id="131" xr3:uid="{00000000-0010-0000-0000-000083000000}" name="From Current $" totalsRowFunction="sum" dataDxfId="446" totalsRowDxfId="106" dataCellStyle="Normal 2">
      <calculatedColumnFormula>IF( AND(SnapshotTable[[#This Row],[Equity Shares]] &gt;0,ISNUMBER( SnapshotTable[[#This Row],[Long Term Target]])),(SnapshotTable[[#This Row],[Equity Shares]]*SnapshotTable[[#This Row],[Long Term Target]]) - SnapshotTable[[#This Row],[Equity Value]],0)</calculatedColumnFormula>
    </tableColumn>
    <tableColumn id="130" xr3:uid="{00000000-0010-0000-0000-000082000000}" name="From Current %" dataDxfId="445" totalsRowDxfId="444" dataCellStyle="Percent 2">
      <calculatedColumnFormula>IF(AND(ISNUMBER( SnapshotTable[[#This Row],[Long Term Target]]), ISNUMBER(SnapshotTable[[#This Row],[Last Price]])),(SnapshotTable[[#This Row],[Long Term Target]] - SnapshotTable[[#This Row],[Last Price]]) / SnapshotTable[[#This Row],[Last Price]], "")</calculatedColumnFormula>
    </tableColumn>
    <tableColumn id="16" xr3:uid="{00000000-0010-0000-0000-000010000000}" name="Upside Target" dataDxfId="443" totalsRowDxfId="442" dataCellStyle="Currency 2"/>
    <tableColumn id="39" xr3:uid="{00000000-0010-0000-0000-000027000000}" name="Upside Target Reason" dataDxfId="441" totalsRowDxfId="440" dataCellStyle="Percent 2"/>
    <tableColumn id="33" xr3:uid="{00000000-0010-0000-0000-000021000000}" name="Downside Target" dataDxfId="439" totalsRowDxfId="438" dataCellStyle="Currency 2"/>
    <tableColumn id="128" xr3:uid="{00000000-0010-0000-0000-000080000000}" name="Downside Target Reason" dataDxfId="437" totalsRowDxfId="436" dataCellStyle="Percent 2"/>
    <tableColumn id="133" xr3:uid="{E8527D5A-A270-4075-ADFA-5F1C218F01B8}" name="Position Description" dataDxfId="435" totalsRowDxfId="434" dataCellStyle="Currency"/>
    <tableColumn id="156" xr3:uid="{C533F3BF-3A48-40E6-83D4-622484367491}" name="No Fill" dataDxfId="433" totalsRowDxfId="432" dataCellStyle="Currency">
      <calculatedColumnFormula>IF(OR(SnapshotTable[[#This Row],[LP No Fill]]="Y",SnapshotTable[[#This Row],[SP Is Filled]],SnapshotTable[[#This Row],[LC Not Filled]]="Y",SnapshotTable[[#This Row],[SC Is Filled]]),"Y","")</calculatedColumnFormula>
    </tableColumn>
    <tableColumn id="165" xr3:uid="{9D2B7395-91D3-47AD-8860-53883D4C1148}" name="Chat GBT" dataDxfId="431" totalsRowDxfId="430" dataCellStyle="Currency"/>
    <tableColumn id="169" xr3:uid="{6AFEB731-39D6-4E5D-A898-A6364DBF83B9}" name="Implied Move" dataDxfId="429" totalsRowDxfId="428" dataCellStyle="Currency"/>
    <tableColumn id="170" xr3:uid="{C7B302C6-1B22-4512-88EE-E971A4342405}" name="IM Date" dataDxfId="427" totalsRowDxfId="426" dataCellStyle="Currency"/>
    <tableColumn id="168" xr3:uid="{CEC142BD-64E9-4F9D-8937-1D378CC65499}" name="IM Lower Bound" dataDxfId="425" totalsRowDxfId="424" dataCellStyle="Currency">
      <calculatedColumnFormula>IF(SnapshotTable[[#This Row],[Implied Move]]&gt;0, SnapshotTable[[#This Row],[Last Price]]-SnapshotTable[[#This Row],[Implied Move]],"")</calculatedColumnFormula>
    </tableColumn>
    <tableColumn id="167" xr3:uid="{691361CA-30D7-4862-9A04-8DF1121277CF}" name="IM Upper Bound" dataDxfId="423" totalsRowDxfId="422" dataCellStyle="Currency">
      <calculatedColumnFormula>IF(SnapshotTable[[#This Row],[Implied Move]]&gt;0, SnapshotTable[[#This Row],[Last Price]] + SnapshotTable[[#This Row],[Implied Move]],"")</calculatedColumnFormula>
    </tableColumn>
    <tableColumn id="164" xr3:uid="{9E976D56-83D5-415C-B4C1-534DD496327B}" name="ACB" dataDxfId="421" totalsRowDxfId="420" dataCellStyle="Currency"/>
    <tableColumn id="163" xr3:uid="{67ADFB62-C194-4FD7-9817-4FE8935085B0}" name="To Do" dataDxfId="419" totalsRowDxfId="418" dataCellStyle="Currency"/>
    <tableColumn id="132" xr3:uid="{00000000-0010-0000-0000-000084000000}" name="Trade Exp" dataDxfId="417" totalsRowDxfId="416" dataCellStyle="Currency 2">
      <calculatedColumnFormula>IF(MIN(SnapshotTable[[#This Row],[LP Exp Date]], SnapshotTable[[#This Row],[SP Exp Date]], SnapshotTable[[#This Row],[LC Exp Date]], SnapshotTable[[#This Row],[SC Exp Date]])&gt;0, MIN(SnapshotTable[[#This Row],[LP Exp Date]], SnapshotTable[[#This Row],[SP Exp Date]], SnapshotTable[[#This Row],[LC Exp Date]], SnapshotTable[[#This Row],[SC Exp Date]]), "")</calculatedColumnFormula>
    </tableColumn>
    <tableColumn id="89" xr3:uid="{00000000-0010-0000-0000-000059000000}" name="LP Exp Date" dataDxfId="415" totalsRowDxfId="414" dataCellStyle="Currency 2"/>
    <tableColumn id="87" xr3:uid="{00000000-0010-0000-0000-000057000000}" name="LP Strike Price" dataDxfId="413" totalsRowDxfId="412" dataCellStyle="Currency 2"/>
    <tableColumn id="85" xr3:uid="{00000000-0010-0000-0000-000055000000}" name="LP Qty" dataDxfId="411" totalsRowDxfId="410" dataCellStyle="Currency 2"/>
    <tableColumn id="84" xr3:uid="{00000000-0010-0000-0000-000054000000}" name="LP Book Date" dataDxfId="409" totalsRowDxfId="408" dataCellStyle="Currency 2"/>
    <tableColumn id="134" xr3:uid="{00000000-0010-0000-0000-000086000000}" name="LP Fill Date" dataDxfId="407" totalsRowDxfId="406" dataCellStyle="Currency 2"/>
    <tableColumn id="90" xr3:uid="{00000000-0010-0000-0000-00005A000000}" name="LP Book Price" dataDxfId="405" totalsRowDxfId="105" dataCellStyle="Currency 2"/>
    <tableColumn id="91" xr3:uid="{00000000-0010-0000-0000-00005B000000}" name="LP Premium" totalsRowFunction="sum" dataDxfId="404" totalsRowDxfId="403" dataCellStyle="Currency 2">
      <calculatedColumnFormula>IF(SnapshotTable[[#This Row],[LP Qty]] &gt; 0, SnapshotTable[[#This Row],[LP Qty]] * SnapshotTable[[#This Row],[LP Book Price]] * 100,0)</calculatedColumnFormula>
    </tableColumn>
    <tableColumn id="137" xr3:uid="{E0E10A59-3BBE-4E55-8143-8ED6E3F52881}" name="LP Max Value" dataDxfId="402" totalsRowDxfId="401" dataCellStyle="Currency 2">
      <calculatedColumnFormula>IF(SnapshotTable[[#This Row],[LP Premium]] &gt; 0, SnapshotTable[[#This Row],[LP Qty]] * SnapshotTable[[#This Row],[LP Strike Price]] * 100,0)</calculatedColumnFormula>
    </tableColumn>
    <tableColumn id="126" xr3:uid="{00000000-0010-0000-0000-00007E000000}" name="LP Contract Value" dataDxfId="400" totalsRowDxfId="399" dataCellStyle="Currency 2"/>
    <tableColumn id="46" xr3:uid="{F0929170-F0BC-496A-97A0-490193A2E0B1}" name="LP Term" dataDxfId="398" totalsRowDxfId="397" dataCellStyle="Currency 2">
      <calculatedColumnFormula>IF(SnapshotTable[[#This Row],[LP Premium]] &gt; 0,SnapshotTable[[#This Row],[LP Exp Date]]-MAX(SnapshotTable[[#This Row],[LP Book Date]], SnapshotTable[[#This Row],[LP Fill Date]]),"")</calculatedColumnFormula>
    </tableColumn>
    <tableColumn id="38" xr3:uid="{DA998DFD-592E-49EF-B1E6-592FA78D4252}" name="LP DTE" dataDxfId="396" totalsRowDxfId="395" dataCellStyle="Currency 2">
      <calculatedColumnFormula>IF(ISNUMBER( SnapshotTable[[#This Row],[LP Term]]), SnapshotTable[[#This Row],[LP Exp Date]] - MockToday,"")</calculatedColumnFormula>
    </tableColumn>
    <tableColumn id="158" xr3:uid="{7A502A71-E21B-4B28-92D2-39334D396C5C}" name="LP No Fill" dataDxfId="394" totalsRowDxfId="393" dataCellStyle="Currency 2">
      <calculatedColumnFormula>IF(AND(SnapshotTable[[#This Row],[LP Exp Date]]&gt;0, SnapshotTable[[#This Row],[LP Strike Price]]&gt;0,SnapshotTable[[#This Row],[LP Qty]]&gt;0,SnapshotTable[[#This Row],[LP Book Date]]&gt;0,SnapshotTable[[#This Row],[LP Book Price]]&gt;0,SnapshotTable[[#This Row],[LP Fill Date]]=0),"Y","")</calculatedColumnFormula>
    </tableColumn>
    <tableColumn id="111" xr3:uid="{00000000-0010-0000-0000-00006F000000}" name="LP Total Value" dataDxfId="392" totalsRowDxfId="391" dataCellStyle="Currency 2">
      <calculatedColumnFormula>IF(AND(SnapshotTable[[#This Row],[LP No Fill]]&lt;&gt;"Y",SnapshotTable[[#This Row],[LP Contract Value]]&gt;0, SnapshotTable[[#This Row],[LP Qty]]&gt;0), SnapshotTable[[#This Row],[LP Contract Value]]*SnapshotTable[[#This Row],[LP Qty]]*100,"")</calculatedColumnFormula>
    </tableColumn>
    <tableColumn id="101" xr3:uid="{00000000-0010-0000-0000-000065000000}" name="SP Exp Date" dataDxfId="390" totalsRowDxfId="104" dataCellStyle="Currency 2"/>
    <tableColumn id="102" xr3:uid="{00000000-0010-0000-0000-000066000000}" name="SP Strike Price" dataDxfId="389" totalsRowDxfId="1" dataCellStyle="Currency 2"/>
    <tableColumn id="103" xr3:uid="{00000000-0010-0000-0000-000067000000}" name="SP Qty" dataDxfId="388" totalsRowDxfId="387" dataCellStyle="Currency 2"/>
    <tableColumn id="105" xr3:uid="{00000000-0010-0000-0000-000069000000}" name="SP Book Date" dataDxfId="386" totalsRowDxfId="385" dataCellStyle="Currency 2"/>
    <tableColumn id="104" xr3:uid="{00000000-0010-0000-0000-000068000000}" name="SP Fill Date" dataDxfId="384" totalsRowDxfId="103" dataCellStyle="Currency 2"/>
    <tableColumn id="106" xr3:uid="{00000000-0010-0000-0000-00006A000000}" name="SP Book Price" dataDxfId="383" totalsRowDxfId="102" dataCellStyle="Currency 2"/>
    <tableColumn id="23" xr3:uid="{FE16B83A-A56E-4FCA-ABB5-1857F5788358}" name="SP Is Booked" dataDxfId="382" totalsRowDxfId="101" dataCellStyle="Explanatory Text">
      <calculatedColumnFormula>AND(ISNUMBER(SnapshotTable[[#This Row],[SP Exp Date]]), ISNUMBER(SnapshotTable[[#This Row],[SP Strike Price]]), ISNUMBER(SnapshotTable[[#This Row],[SP Qty]]), ISNUMBER(SnapshotTable[[#This Row],[SP Book Date]]), ISNUMBER(SnapshotTable[[#This Row],[SP Book Price]]))</calculatedColumnFormula>
    </tableColumn>
    <tableColumn id="51" xr3:uid="{EEF638FE-EA0B-4A2F-9660-B5729A617312}" name="SP Is Filled" dataDxfId="381" totalsRowDxfId="100" dataCellStyle="Explanatory Text">
      <calculatedColumnFormula>AND(SnapshotTable[[#This Row],[SP Is Booked]], NOT(ISBLANK(SnapshotTable[[#This Row],[SP Fill Date]])))</calculatedColumnFormula>
    </tableColumn>
    <tableColumn id="107" xr3:uid="{00000000-0010-0000-0000-00006B000000}" name="SP Premium" totalsRowFunction="sum" dataDxfId="380" totalsRowDxfId="99" dataCellStyle="Currency 2">
      <calculatedColumnFormula>IF(SnapshotTable[[#This Row],[SP Is Booked]], SnapshotTable[[#This Row],[SP Qty]] * SnapshotTable[[#This Row],[SP Book Price]] * 100, 0)</calculatedColumnFormula>
    </tableColumn>
    <tableColumn id="218" xr3:uid="{E93F057E-D520-4FE6-81A3-E44711128D2A}" name="SP Fill Delta" dataDxfId="379" totalsRowDxfId="98" dataCellStyle="Comma"/>
    <tableColumn id="166" xr3:uid="{099512A5-D44E-405B-A584-598B74D0C9E6}" name="SP LPs" dataDxfId="378" totalsRowDxfId="97" dataCellStyle="Comma">
      <calculatedColumnFormula>SnapshotTable[[#This Row],[LP Qty]]</calculatedColumnFormula>
    </tableColumn>
    <tableColumn id="3" xr3:uid="{00000000-0010-0000-0000-000003000000}" name="SP Break Even" dataDxfId="377" totalsRowDxfId="96" dataCellStyle="Currency 2">
      <calculatedColumnFormula>IF(SnapshotTable[[#This Row],[SP Is Booked]], SnapshotTable[[#This Row],[SP Strike Price]] - SnapshotTable[[#This Row],[SP Book Price]], "")</calculatedColumnFormula>
    </tableColumn>
    <tableColumn id="83" xr3:uid="{BFC6EFF2-7A18-4B85-AE25-F172CD9559D8}" name="SP Term" dataDxfId="376" totalsRowDxfId="95" dataCellStyle="Percent 2">
      <calculatedColumnFormula>IF(SnapshotTable[[#This Row],[SP Is Booked]],SnapshotTable[[#This Row],[SP Exp Date]]-MAX(SnapshotTable[[#This Row],[SP Book Date]], SnapshotTable[[#This Row],[SP Fill Date]]),"")</calculatedColumnFormula>
    </tableColumn>
    <tableColumn id="29" xr3:uid="{B1612A1C-CA69-4208-B2EA-43DA8D0D1D28}" name="SP ROO Term" dataDxfId="375" totalsRowDxfId="94" dataCellStyle="Percent 2">
      <calculatedColumnFormula>IF(SnapshotTable[[#This Row],[SP Is Booked]], SnapshotTable[[#This Row],[SP Book Price]]/SnapshotTable[[#This Row],[SP Strike Price]], "")</calculatedColumnFormula>
    </tableColumn>
    <tableColumn id="28" xr3:uid="{5EFDA6B2-53D5-42C7-A9E2-5E243CB8CB16}" name="SP Annual ROO" dataDxfId="374" totalsRowDxfId="93" dataCellStyle="Percent 2">
      <calculatedColumnFormula>IF(ISNUMBER(SnapshotTable[[#This Row],[SP ROO Term]]),SnapshotTable[[#This Row],[SP ROO Term]]*(365/SnapshotTable[[#This Row],[SP Term]]),"")</calculatedColumnFormula>
    </tableColumn>
    <tableColumn id="214" xr3:uid="{E8C4441A-EE67-47BD-92FE-D5998938A0C9}" name="LP Protection" dataDxfId="373" totalsRowDxfId="92" dataCellStyle="Currency">
      <calculatedColumnFormula>SnapshotTable[[#This Row],[LP Strike Price]] * SnapshotTable[[#This Row],[LP Qty]] * 100</calculatedColumnFormula>
    </tableColumn>
    <tableColumn id="27" xr3:uid="{00000000-0010-0000-0000-00001B000000}" name="SP Potential Spend" totalsRowFunction="sum" dataDxfId="372" totalsRowDxfId="91" dataCellStyle="Currency 2">
      <calculatedColumnFormula>IF(ISNUMBER(SnapshotTable[[#This Row],[SP Premium]]), (SnapshotTable[[#This Row],[SP Qty]] * SnapshotTable[[#This Row],[SP Strike Price]]* 100) - SnapshotTable[[#This Row],[LP Protection]], 0)</calculatedColumnFormula>
    </tableColumn>
    <tableColumn id="26" xr3:uid="{00000000-0010-0000-0000-00001A000000}" name="SP Gap" dataDxfId="371" totalsRowDxfId="90" dataCellStyle="Percent 2">
      <calculatedColumnFormula>IF(ISNUMBER(SnapshotTable[[#This Row],[SP Break Even]]),-1 * (SnapshotTable[[#This Row],[SP Break Even]] - SnapshotTable[[#This Row],[Last Price]]) / SnapshotTable[[#This Row],[Last Price]], "")</calculatedColumnFormula>
    </tableColumn>
    <tableColumn id="25" xr3:uid="{00000000-0010-0000-0000-000019000000}" name="SP Actual Spend" totalsRowFunction="sum" dataDxfId="370" totalsRowDxfId="89" dataCellStyle="Currency 2">
      <calculatedColumnFormula>IF(AND(ISNUMBER((SnapshotTable[[#This Row],[SP Potential Spend]])), SnapshotTable[[#This Row],[SP Strike Price]] &gt; SnapshotTable[[#This Row],[Last Price]], SnapshotTable[[#This Row],[SP Is Filled]]), SnapshotTable[[#This Row],[SP Potential Spend]] -  SnapshotTable[[#This Row],[LP Max Value]], 0)</calculatedColumnFormula>
    </tableColumn>
    <tableColumn id="181" xr3:uid="{B0A5C847-1715-4386-8B91-37481428A3F2}" name="SP POW" dataDxfId="369" totalsRowDxfId="368" dataCellStyle="Currency 2"/>
    <tableColumn id="182" xr3:uid="{C414FC97-91E0-4BB6-A616-13673514D9CC}" name="SP Cash Reserve" totalsRowFunction="sum" dataDxfId="367" totalsRowDxfId="88" dataCellStyle="Currency 2">
      <calculatedColumnFormula>IF(ISNUMBER(SnapshotTable[[#This Row],[SP Potential Spend]]),IF(ISNUMBER(SnapshotTable[[#This Row],[SP POW]]), SnapshotTable[[#This Row],[SP POW]] * SnapshotTable[[#This Row],[SP Potential Spend]], SnapshotTable[[#This Row],[SP Potential Spend]]), "")</calculatedColumnFormula>
    </tableColumn>
    <tableColumn id="172" xr3:uid="{2F6CAF03-D076-47EA-848D-5C71AAAB2578}" name="SP Unfilled Potential Spend" totalsRowFunction="sum" dataDxfId="366" totalsRowDxfId="87" dataCellStyle="Currency 2">
      <calculatedColumnFormula>IF(NOT(SnapshotTable[[#This Row],[SP Is Filled]]),(SnapshotTable[[#This Row],[SP Qty]] * SnapshotTable[[#This Row],[SP Strike Price]] * 100) - SnapshotTable[[#This Row],[LP Max Value]],"")</calculatedColumnFormula>
    </tableColumn>
    <tableColumn id="19" xr3:uid="{00000000-0010-0000-0000-000013000000}" name="SP Actual Loss" totalsRowFunction="sum" dataDxfId="365" totalsRowDxfId="86" dataCellStyle="Currency 2">
      <calculatedColumnFormula>IF(SnapshotTable[[#This Row],[SP Actual Spend]]&lt;&gt;0, ((SnapshotTable[[#This Row],[SP Strike Price]]-SnapshotTable[[#This Row],[Last Price]]) *(SnapshotTable[[#This Row],[SP Qty]]*100) - SnapshotTable[[#This Row],[SP Premium]]) * - 1, "")</calculatedColumnFormula>
    </tableColumn>
    <tableColumn id="120" xr3:uid="{00000000-0010-0000-0000-000078000000}" name="SP Current Ask" dataDxfId="364" totalsRowDxfId="85" dataCellStyle="Currency 2"/>
    <tableColumn id="86" xr3:uid="{A25158D6-88C3-49B5-A9AB-3CDC3C9E186E}" name="SP Current Delta" dataDxfId="363" totalsRowDxfId="84" dataCellStyle="Comma"/>
    <tableColumn id="206" xr3:uid="{95C86BE0-9A96-46F3-B906-E4E5A445DE27}" name="SP Buyback Point" dataDxfId="362" totalsRowDxfId="83" dataCellStyle="Currency 2">
      <calculatedColumnFormula>IF(SnapshotTable[[#This Row],[SP Is Filled]], btc_max_buyback_amount(SnapshotTable[[#This Row],[SP Fill Date]],SnapshotTable[[#This Row],[SP Exp Date]], SnapshotTable[[#This Row],[SP Book Price]]),"")</calculatedColumnFormula>
    </tableColumn>
    <tableColumn id="139" xr3:uid="{8BC5C962-F539-467B-8CF2-209F87517324}" name="SP Buyback Override" dataDxfId="361" totalsRowDxfId="82" dataCellStyle="Currency 2"/>
    <tableColumn id="155" xr3:uid="{2351FD77-0D0C-471A-86AC-C63C4601D523}" name="SP Buyback Price to Use" dataDxfId="360" totalsRowDxfId="81" dataCellStyle="Currency 2">
      <calculatedColumnFormula>IF(SnapshotTable[[#This Row],[SP Premium]]&gt;0,
           IF(SnapshotTable[[#This Row],[SP Buyback Override]]&gt;0, SnapshotTable[[#This Row],[SP Buyback Override]],
               IF(SnapshotTable[[#This Row],[SP Current Ask]]&gt;0,MIN(SnapshotTable[[#This Row],[SP Current Ask]],SnapshotTable[[#This Row],[SP Buyback Point]]),
                   SnapshotTable[[#This Row],[SP Buyback Point]])),
"")</calculatedColumnFormula>
    </tableColumn>
    <tableColumn id="95" xr3:uid="{AE2D1958-BB94-48E8-96A9-BFC4620551D7}" name="SP Buyback GTC Date" dataDxfId="359" totalsRowDxfId="80" dataCellStyle="Currency 2">
      <calculatedColumnFormula>IF(SnapshotTable[[#This Row],[SP Is Filled]], btc_next_cutoff_date(SnapshotTable[[#This Row],[SP Fill Date]],SnapshotTable[[#This Row],[SP Exp Date]]),"")</calculatedColumnFormula>
    </tableColumn>
    <tableColumn id="121" xr3:uid="{00000000-0010-0000-0000-000079000000}" name="SP Should Buyback" dataDxfId="358" totalsRowDxfId="79" dataCellStyle="Currency 2">
      <calculatedColumnFormula array="1">IF(SnapshotTable[[#This Row],[SP Is Filled]], btc_should_buy_back(SnapshotTable[[#This Row],[SP Fill Date]], SnapshotTable[[#This Row],[SP Exp Date]], SnapshotTable[[#This Row],[SP Book Price]], SnapshotTable[[#This Row],[SP Current Ask]], MockToday, SnapshotTable[[#This Row],[SP Buyback Override]]),"")</calculatedColumnFormula>
    </tableColumn>
    <tableColumn id="112" xr3:uid="{A26333C8-1F5F-4706-8CF7-06054EA0D4C3}" name="SP Buyback Cutoff" dataDxfId="357" totalsRowDxfId="78" dataCellStyle="Currency 2"/>
    <tableColumn id="52" xr3:uid="{5D70CF47-F992-4583-B0D3-0400CFEBF41F}" name="SP Bid TIF" dataDxfId="356" totalsRowDxfId="77" dataCellStyle="Currency 2"/>
    <tableColumn id="37" xr3:uid="{E68FB3BB-0707-41AE-B1C0-1CDA7A879D95}" name="SP DTE" dataDxfId="355" totalsRowDxfId="76" dataCellStyle="Currency 2">
      <calculatedColumnFormula>IF(ISNUMBER( SnapshotTable[[#This Row],[SP Term]]), SnapshotTable[[#This Row],[SP Exp Date]] - MockToday,"")</calculatedColumnFormula>
    </tableColumn>
    <tableColumn id="96" xr3:uid="{00000000-0010-0000-0000-000060000000}" name="SP Buyback Cost to Close" dataDxfId="354" totalsRowDxfId="75" dataCellStyle="Currency 2">
      <calculatedColumnFormula>IF(SnapshotTable[[#This Row],[SP Is Filled]],SnapshotTable[[#This Row],[SP Buyback Price to Use]] * 100 * SnapshotTable[[#This Row],[SP Qty]], "")</calculatedColumnFormula>
    </tableColumn>
    <tableColumn id="175" xr3:uid="{CFD35373-EDF0-4510-82C8-753A0F12C0AC}" name="SP Strike  Stop Per Share" dataDxfId="353" totalsRowDxfId="74" dataCellStyle="Currency 2">
      <calculatedColumnFormula>IF(ISNUMBER(SnapshotTable[[#This Row],[SP Strike Price]]), SnapshotTable[[#This Row],[SP Strike Price]] * (1 - SP_MaxLoss_StrikePct), "")</calculatedColumnFormula>
    </tableColumn>
    <tableColumn id="177" xr3:uid="{D0431C16-4840-476E-9213-EFF0E542BDD7}" name="SP Strike  Stop  Max Loss" dataDxfId="352" totalsRowDxfId="73" dataCellStyle="Currency 2">
      <calculatedColumnFormula>IF(ISNUMBER(SnapshotTable[[#This Row],[SP Strike  Stop Per Share]]),SnapshotTable[[#This Row],[SP Premium]] - ((SnapshotTable[[#This Row],[SP Strike Price]]-SnapshotTable[[#This Row],[SP Strike  Stop Per Share]]) *(SnapshotTable[[#This Row],[SP Qty]] * 100)),"")</calculatedColumnFormula>
    </tableColumn>
    <tableColumn id="176" xr3:uid="{4542709A-935A-4EDC-A332-37ED5C3CE286}" name="SP Option  Stop Contract" dataDxfId="351" totalsRowDxfId="72" dataCellStyle="Currency 2">
      <calculatedColumnFormula>IF(AND(ISNUMBER(SnapshotTable[[#This Row],[SP Premium]]),SnapshotTable[[#This Row],[SP Premium]]&gt;0), SnapshotTable[[#This Row],[SP Book Price]] * (1 + SP_MaxLoss_OptionPct), "")</calculatedColumnFormula>
    </tableColumn>
    <tableColumn id="178" xr3:uid="{2713B119-FA84-4E12-9DEC-6F85E1649D39}" name="SP Option  Stop Total" dataDxfId="350" totalsRowDxfId="71" dataCellStyle="Currency 2">
      <calculatedColumnFormula>IF(ISNUMBER(SnapshotTable[[#This Row],[SP Option  Stop Contract]]),(SnapshotTable[[#This Row],[SP Option  Stop Contract]] *(SnapshotTable[[#This Row],[SP Qty]] * 100) - SnapshotTable[[#This Row],[SP Premium]]),"")</calculatedColumnFormula>
    </tableColumn>
    <tableColumn id="203" xr3:uid="{0208802F-36FF-4F8C-8B20-156E76437D57}" name="SP Stop Override" dataDxfId="349" totalsRowDxfId="70" dataCellStyle="Currency 2"/>
    <tableColumn id="204" xr3:uid="{18158A39-98F0-4BE7-950E-F5D9C5BD3CD2}" name="SP Stop To Use" dataDxfId="348" totalsRowDxfId="69" dataCellStyle="Currency 2"/>
    <tableColumn id="205" xr3:uid="{F013BF25-FB4D-42A7-9B0F-7AC263CF587F}" name="SP Stop Loss" dataDxfId="347" totalsRowDxfId="68" dataCellStyle="Currency 2">
      <calculatedColumnFormula>IF(AND(SnapshotTable[[#This Row],[SP Qty]]&gt;0, SnapshotTable[[#This Row],[SP Stop To Use]]&gt;0),SnapshotTable[[#This Row],[SP Premium]] - ( SnapshotTable[[#This Row],[SP Qty]] * SnapshotTable[[#This Row],[SP Stop To Use]] * 100), "")</calculatedColumnFormula>
    </tableColumn>
    <tableColumn id="17" xr3:uid="{B8876817-3788-43D9-B040-FB4581D878CA}" name="SP Total Value" dataDxfId="346" totalsRowDxfId="67" dataCellStyle="Currency 2">
      <calculatedColumnFormula>IF(AND(SnapshotTable[[#This Row],[SP Qty]]&gt;0,SnapshotTable[[#This Row],[SP Current Ask]]&gt;0), SnapshotTable[[#This Row],[SP Qty]] * SnapshotTable[[#This Row],[SP Current Ask]] * -100, "")</calculatedColumnFormula>
    </tableColumn>
    <tableColumn id="179" xr3:uid="{E00543D9-80BF-444F-AF45-E667757D87CE}" name="SP Gain Loss" dataDxfId="345" totalsRowDxfId="66" dataCellStyle="Currency 2">
      <calculatedColumnFormula>IF(ISNUMBER((SnapshotTable[[#This Row],[SP Total Value]])), SnapshotTable[[#This Row],[SP Premium]] + SnapshotTable[[#This Row],[SP Total Value]], "")</calculatedColumnFormula>
    </tableColumn>
    <tableColumn id="180" xr3:uid="{F73C09D9-C6E3-47B9-91D0-0D9450484D4C}" name="SP Pct Earned" dataDxfId="344" totalsRowDxfId="343" dataCellStyle="Percent">
      <calculatedColumnFormula>IF(ISNUMBER((SnapshotTable[[#This Row],[SP Total Value]])), SnapshotTable[[#This Row],[SP Gain Loss]] / SnapshotTable[[#This Row],[SP Premium]], "")</calculatedColumnFormula>
    </tableColumn>
    <tableColumn id="114" xr3:uid="{00000000-0010-0000-0000-000072000000}" name="LC Exp Date" dataDxfId="342" totalsRowDxfId="65" dataCellStyle="Currency 2"/>
    <tableColumn id="118" xr3:uid="{00000000-0010-0000-0000-000076000000}" name="LC Strike Price" dataDxfId="341" totalsRowDxfId="64" dataCellStyle="Currency 2"/>
    <tableColumn id="117" xr3:uid="{00000000-0010-0000-0000-000075000000}" name="LC Qty" totalsRowFunction="sum" dataDxfId="340" totalsRowDxfId="339" dataCellStyle="Currency 2"/>
    <tableColumn id="116" xr3:uid="{00000000-0010-0000-0000-000074000000}" name="LC Book Date" dataDxfId="338" totalsRowDxfId="63" dataCellStyle="Currency 2"/>
    <tableColumn id="135" xr3:uid="{00000000-0010-0000-0000-000087000000}" name="LC Fill Date" dataDxfId="337" totalsRowDxfId="62" dataCellStyle="Currency 2"/>
    <tableColumn id="119" xr3:uid="{00000000-0010-0000-0000-000077000000}" name="LC Book Price" dataDxfId="336" totalsRowDxfId="61" dataCellStyle="Currency 2"/>
    <tableColumn id="140" xr3:uid="{00000000-0010-0000-0000-00008C000000}" name="LC Premium" totalsRowFunction="sum" dataDxfId="335" totalsRowDxfId="60" dataCellStyle="Currency 2">
      <calculatedColumnFormula>IF(SnapshotTable[[#This Row],[LC Symbol Count]]=1, SnapshotTable[[#This Row],[LC Qty]] * SnapshotTable[[#This Row],[LC Book Price]] * 100, 0)</calculatedColumnFormula>
    </tableColumn>
    <tableColumn id="159" xr3:uid="{3552D9A0-EE0F-427C-BEAF-01455FB4554C}" name="LC Not Filled" dataDxfId="334" totalsRowDxfId="59" dataCellStyle="Currency 2">
      <calculatedColumnFormula>IF(AND(SnapshotTable[[#This Row],[LC Exp Date]]&gt;0, SnapshotTable[[#This Row],[LC Strike Price]]&gt;0,SnapshotTable[[#This Row],[LC Qty]]&gt;0,SnapshotTable[[#This Row],[LC Book Date]]&gt;0,SnapshotTable[[#This Row],[LC Book Price]]&gt;0,SnapshotTable[[#This Row],[LC Fill Date]]=0),"Y","")</calculatedColumnFormula>
    </tableColumn>
    <tableColumn id="47" xr3:uid="{0C8D1826-6C9A-4009-9023-C7A655DAB0C3}" name="LC Term" dataDxfId="333" totalsRowDxfId="58" dataCellStyle="Currency 2">
      <calculatedColumnFormula>IF(SnapshotTable[[#This Row],[LC Premium]] &gt; 0,SnapshotTable[[#This Row],[LC Exp Date]]-MAX(SnapshotTable[[#This Row],[LC Book Date]], SnapshotTable[[#This Row],[LC Fill Date]]),"")</calculatedColumnFormula>
    </tableColumn>
    <tableColumn id="49" xr3:uid="{2AD27B80-0BF2-4FF3-AA91-0521B929AF46}" name="LC DTE" dataDxfId="332" totalsRowDxfId="57" dataCellStyle="Currency 2">
      <calculatedColumnFormula>IF(ISNUMBER(SnapshotTable[[#This Row],[LC Term]]), SnapshotTable[[#This Row],[LC Exp Date]] - MockToday, "")</calculatedColumnFormula>
    </tableColumn>
    <tableColumn id="162" xr3:uid="{2311FFF7-3C56-4F4A-B5C2-59A47DBD9026}" name="LC Break Even" totalsRowFunction="average" dataDxfId="331" totalsRowDxfId="56" dataCellStyle="Currency">
      <calculatedColumnFormula>IF(SnapshotTable[[#This Row],[LC Premium]]&gt;0,SnapshotTable[[#This Row],[LC Strike Price]] + SnapshotTable[[#This Row],[LC Book Price]],"")</calculatedColumnFormula>
    </tableColumn>
    <tableColumn id="124" xr3:uid="{00000000-0010-0000-0000-00007C000000}" name="LC Contract Value" dataDxfId="330" totalsRowDxfId="55" dataCellStyle="Currency 2"/>
    <tableColumn id="115" xr3:uid="{00000000-0010-0000-0000-000073000000}" name="LC Total Value" totalsRowFunction="sum" dataDxfId="329" totalsRowDxfId="54" dataCellStyle="Normal 2">
      <calculatedColumnFormula>IF(AND(SnapshotTable[[#This Row],[LC Symbol Count]]&gt;0, SnapshotTable[[#This Row],[LC Contract Value]]&gt;0), SnapshotTable[[#This Row],[LC Contract Value]] * SnapshotTable[[#This Row],[LC Qty]] * 100, "")</calculatedColumnFormula>
    </tableColumn>
    <tableColumn id="201" xr3:uid="{9433B85B-945D-4C7F-93A7-6C464F201C24}" name="LC Actual Gain Loss" totalsRowFunction="sum" dataDxfId="328" totalsRowDxfId="53" dataCellStyle="Normal 2">
      <calculatedColumnFormula>IF(AND(ISNUMBER(SnapshotTable[[#This Row],[LC Total Value]]), SnapshotTable[[#This Row],[LC Not Filled]]&lt;&gt;"Y"), SnapshotTable[[#This Row],[LC Total Value]]-SnapshotTable[[#This Row],[LC Premium]],"")</calculatedColumnFormula>
    </tableColumn>
    <tableColumn id="202" xr3:uid="{0CE965F6-1560-4C43-8E3F-A60C2DF616A7}" name="LC Actual ROI" dataDxfId="327" totalsRowDxfId="326" dataCellStyle="Percent">
      <calculatedColumnFormula>IF(ISNUMBER(SnapshotTable[[#This Row],[LC Actual Gain Loss]]), SnapshotTable[[#This Row],[LC Actual Gain Loss]] / SnapshotTable[[#This Row],[LC Premium]],"")</calculatedColumnFormula>
    </tableColumn>
    <tableColumn id="186" xr3:uid="{86C049BE-5EB3-430C-9934-DFB600CA1FB6}" name="LC Next Target" dataDxfId="325" totalsRowDxfId="52" dataCellStyle="Currency 2">
      <calculatedColumnFormula>IF(ISNUMBER(SnapshotTable[[#This Row],[LC Book Price]]),SnapshotTable[[#This Row],[LC Book Price]] * 1.5,"")</calculatedColumnFormula>
    </tableColumn>
    <tableColumn id="188" xr3:uid="{A59BFF88-88E9-479A-9E95-55A4473DFF3E}" name="LC Target Gross" dataDxfId="324" totalsRowDxfId="51" dataCellStyle="Currency 2">
      <calculatedColumnFormula>IF(SnapshotTable[[#This Row],[LC Premium]]&gt;0, SnapshotTable[[#This Row],[LC Next Target]] * SnapshotTable[[#This Row],[LC Qty]] * 100,"")</calculatedColumnFormula>
    </tableColumn>
    <tableColumn id="199" xr3:uid="{11389283-F55A-498D-B60D-B718525540A9}" name="LC Target Gain Loss" dataDxfId="323" totalsRowDxfId="50" dataCellStyle="Currency 2">
      <calculatedColumnFormula>IF(ISNUMBER(SnapshotTable[[#This Row],[LC Target Gross]]), SnapshotTable[[#This Row],[LC Target Gross]] - SnapshotTable[[#This Row],[LC Premium]], "")</calculatedColumnFormula>
    </tableColumn>
    <tableColumn id="200" xr3:uid="{684F0602-AF96-4D87-8BDD-E29045EBB0FE}" name="LC Target ROI" dataDxfId="322" totalsRowDxfId="321" dataCellStyle="Percent">
      <calculatedColumnFormula>IF(ISNUMBER(SnapshotTable[[#This Row],[LC Target Gain Loss]]), SnapshotTable[[#This Row],[LC Target Gain Loss]]/SnapshotTable[[#This Row],[LC Premium]], "")</calculatedColumnFormula>
    </tableColumn>
    <tableColumn id="187" xr3:uid="{700BD5AF-4030-4667-8B20-1853FE229690}" name="LC Next Review Date" dataDxfId="320" totalsRowDxfId="49" dataCellStyle="Currency 2"/>
    <tableColumn id="161" xr3:uid="{1DF50BC2-7C8B-4280-9946-69C4CDCC8BD1}" name="LC Stop Loss Calc Target" dataDxfId="319" totalsRowDxfId="48" dataCellStyle="Currency 2">
      <calculatedColumnFormula>IF(SnapshotTable[[#This Row],[LC Premium]]&gt;0, SnapshotTable[[#This Row],[LC Book Price]] * (1 - LC_StopLoss_Pct),"")</calculatedColumnFormula>
    </tableColumn>
    <tableColumn id="198" xr3:uid="{9A732FB3-5A70-40D3-AFDB-3134172C3BD0}" name="LC Stop Loss Override" dataDxfId="318" totalsRowDxfId="47" dataCellStyle="Currency 2"/>
    <tableColumn id="189" xr3:uid="{8C462B86-3CAC-44A4-915F-72463E7DC5A1}" name="LC Stop  To Use" dataDxfId="317" totalsRowDxfId="46" dataCellStyle="Currency 2">
      <calculatedColumnFormula>IF(ISNUMBER(SnapshotTable[[#This Row],[LC Contract Value]]),IF(ISNUMBER(SnapshotTable[[#This Row],[LC Stop Loss Override]]), SnapshotTable[[#This Row],[LC Stop Loss Override]],SnapshotTable[[#This Row],[LC Stop Loss Calc Target]]),"")</calculatedColumnFormula>
    </tableColumn>
    <tableColumn id="190" xr3:uid="{1070E85E-F985-4A61-BE9D-3B08C370A168}" name="LC Stop Loss Amount" dataDxfId="316" totalsRowDxfId="45" dataCellStyle="Currency 2">
      <calculatedColumnFormula>IF(ISNUMBER(SnapshotTable[[#This Row],[LC Stop  To Use]]), (SnapshotTable[[#This Row],[LC Stop  To Use]] * SnapshotTable[[#This Row],[LC Qty]] * 100),"")</calculatedColumnFormula>
    </tableColumn>
    <tableColumn id="92" xr3:uid="{A5648650-C1CA-45FB-A03D-F31E79AF5A8F}" name="LC Stop Gain Loss" totalsRowFunction="sum" dataDxfId="315" totalsRowDxfId="44" dataCellStyle="Normal 2">
      <calculatedColumnFormula>IF(ISNUMBER(SnapshotTable[[#This Row],[LC Total Value]]),SnapshotTable[[#This Row],[LC Stop Loss Amount]] - SnapshotTable[[#This Row],[LC Premium]],"")</calculatedColumnFormula>
    </tableColumn>
    <tableColumn id="53" xr3:uid="{849DFCFA-143A-4C04-9A2D-4204EF4B5DDA}" name="LC Cost To Exercise" totalsRowFunction="sum" dataDxfId="314" totalsRowDxfId="43" dataCellStyle="Normal 2">
      <calculatedColumnFormula>IF(ISNUMBER(SnapshotTable[[#This Row],[LC Premium]]), SnapshotTable[[#This Row],[LC Qty]] * 100 * SnapshotTable[[#This Row],[LC Strike Price]], "")</calculatedColumnFormula>
    </tableColumn>
    <tableColumn id="98" xr3:uid="{58899A00-E9AD-4BAC-AA0F-AC4602DEBE74}" name="LC  Stop ROI" dataDxfId="313" totalsRowDxfId="312" dataCellStyle="Percent">
      <calculatedColumnFormula>IF(AND(ISNUMBER(SnapshotTable[[#This Row],[LC Total Value]]),SnapshotTable[[#This Row],[LC Total Value]]&gt;0),SnapshotTable[[#This Row],[LC Stop Gain Loss]]  / SnapshotTable[[#This Row],[LC Premium]],"")</calculatedColumnFormula>
    </tableColumn>
    <tableColumn id="58" xr3:uid="{00000000-0010-0000-0000-00003A000000}" name="SC Max Qty" totalsRowFunction="sum" dataDxfId="311" totalsRowDxfId="42" dataCellStyle="Currency 2">
      <calculatedColumnFormula>IF(ISNUMBER(SnapshotTable[[#This Row],[Equity Shares]]),TRUNC(SnapshotTable[[#This Row],[Equity Shares]] / 100),0) + SnapshotTable[[#This Row],[LC Qty]]</calculatedColumnFormula>
    </tableColumn>
    <tableColumn id="61" xr3:uid="{00000000-0010-0000-0000-00003D000000}" name="SC Exp Date" dataDxfId="310" totalsRowDxfId="41" dataCellStyle="Currency 2"/>
    <tableColumn id="62" xr3:uid="{00000000-0010-0000-0000-00003E000000}" name="SC Strike Price" dataDxfId="0" totalsRowDxfId="40" dataCellStyle="Currency 2">
      <calculatedColumnFormula>IF(SnapshotTable[[#This Row],[SC Exp Date]]&lt;&gt;"",TRUNC(SnapshotTable[[#This Row],[Last Price]]),"")</calculatedColumnFormula>
    </tableColumn>
    <tableColumn id="63" xr3:uid="{00000000-0010-0000-0000-00003F000000}" name="SC Qty" totalsRowFunction="sum" dataDxfId="309" totalsRowDxfId="308" dataCellStyle="Currency 2"/>
    <tableColumn id="60" xr3:uid="{00000000-0010-0000-0000-00003C000000}" name="SC Book Date" dataDxfId="307" totalsRowDxfId="39" dataCellStyle="Currency 2"/>
    <tableColumn id="59" xr3:uid="{00000000-0010-0000-0000-00003B000000}" name="SC Fill Date" dataDxfId="306" totalsRowDxfId="38" dataCellStyle="Currency 2"/>
    <tableColumn id="65" xr3:uid="{00000000-0010-0000-0000-000041000000}" name="SC Book Price" dataDxfId="305" totalsRowDxfId="37" dataCellStyle="Currency 2"/>
    <tableColumn id="217" xr3:uid="{B5C750FB-2608-4C32-9499-79C9616301BF}" name="SC Is Booked" dataDxfId="304" totalsRowDxfId="36" dataCellStyle="Explanatory Text">
      <calculatedColumnFormula>AND(ISNUMBER(SnapshotTable[[#This Row],[SC Exp Date]]), ISNUMBER(SnapshotTable[[#This Row],[SC Strike Price]]), ISNUMBER(SnapshotTable[[#This Row],[SC Qty]]), ISNUMBER(SnapshotTable[[#This Row],[SC Book Date]]), ISNUMBER(SnapshotTable[[#This Row],[SC Book Price]]))</calculatedColumnFormula>
    </tableColumn>
    <tableColumn id="160" xr3:uid="{2F947670-4954-46A5-B07C-0B9401BCC9B6}" name="SC Is Filled" dataDxfId="303" totalsRowDxfId="35" dataCellStyle="Currency 2">
      <calculatedColumnFormula>AND(SnapshotTable[[#This Row],[SC Is Booked]], NOT(ISBLANK(SnapshotTable[[#This Row],[SC Fill Date]])))</calculatedColumnFormula>
    </tableColumn>
    <tableColumn id="211" xr3:uid="{C2B2E7E4-4296-4571-942D-8247C59F5281}" name="SC Fill Delta" dataDxfId="302" totalsRowDxfId="34" dataCellStyle="Hyperlink"/>
    <tableColumn id="99" xr3:uid="{00000000-0010-0000-0000-000063000000}" name="SC Term" dataDxfId="301" totalsRowDxfId="300" dataCellStyle="Currency 2">
      <calculatedColumnFormula>IF(AND(ISNUMBER(SnapshotTable[[#This Row],[SC Exp Date]]), ISNUMBER(SnapshotTable[[#This Row],[SC Book Date]])), SnapshotTable[[#This Row],[SC Exp Date]] - MAX(SnapshotTable[[#This Row],[SC Book Date]], SnapshotTable[[#This Row],[SC Fill Date]]) + 1, "")</calculatedColumnFormula>
    </tableColumn>
    <tableColumn id="67" xr3:uid="{00000000-0010-0000-0000-000043000000}" name="SC DTE" dataDxfId="299" totalsRowDxfId="298" dataCellStyle="Currency 2">
      <calculatedColumnFormula>IF(ISNUMBER(SnapshotTable[[#This Row],[SC Term]]), SnapshotTable[[#This Row],[SC Exp Date]]- MockToday, "")</calculatedColumnFormula>
    </tableColumn>
    <tableColumn id="64" xr3:uid="{00000000-0010-0000-0000-000040000000}" name="SC Premium" totalsRowFunction="sum" dataDxfId="297" totalsRowDxfId="33" dataCellStyle="Currency 2">
      <calculatedColumnFormula>IF(SnapshotTable[[#This Row],[SC Is Booked]], SnapshotTable[[#This Row],[SC Qty]] * SnapshotTable[[#This Row],[SC Book Price]] * 100, 0)</calculatedColumnFormula>
    </tableColumn>
    <tableColumn id="69" xr3:uid="{00000000-0010-0000-0000-000045000000}" name="SC Break Even" dataDxfId="296" totalsRowDxfId="32" dataCellStyle="Currency 2">
      <calculatedColumnFormula>IF(AND(ISNUMBER(SnapshotTable[[#This Row],[Last Price]]), ISNUMBER( SnapshotTable[[#This Row],[SC Book Price]])), SnapshotTable[[#This Row],[Last Price]] - SnapshotTable[[#This Row],[SC Book Price]],"")</calculatedColumnFormula>
    </tableColumn>
    <tableColumn id="66" xr3:uid="{00000000-0010-0000-0000-000042000000}" name="SC Basis" dataDxfId="295" totalsRowDxfId="31" dataCellStyle="Currency">
      <calculatedColumnFormula>IF(SnapshotTable[[#This Row],[SC Is Booked]],IF(SnapshotTable[[#This Row],[SC Intrinsic Value]] &gt; 0, SnapshotTable[[#This Row],[SC Strike Price]], SnapshotTable[[#This Row],[Last Price]]), "")</calculatedColumnFormula>
    </tableColumn>
    <tableColumn id="100" xr3:uid="{00000000-0010-0000-0000-000064000000}" name="SC Min Prem Req" dataDxfId="294" totalsRowDxfId="30" dataCellStyle="Currency 2">
      <calculatedColumnFormula>IF(SnapshotTable[[#This Row],[SC Is Booked]], (MinimumPremiumRequired * SnapshotTable[[#This Row],[SC Basis]] * SnapshotTable[[#This Row],[SC Term]]), 0)</calculatedColumnFormula>
    </tableColumn>
    <tableColumn id="173" xr3:uid="{918B2916-EB44-4CCD-BB2E-CA35D3833B18}" name="SC Bid TIF2" dataDxfId="293" totalsRowDxfId="29" dataCellStyle="Currency 2"/>
    <tableColumn id="122" xr3:uid="{00000000-0010-0000-0000-00007A000000}" name="SC Current Ask" dataDxfId="292" totalsRowDxfId="28" dataCellStyle="Hyperlink"/>
    <tableColumn id="216" xr3:uid="{F1C82F2E-1095-44B8-99BA-3A611113190D}" name="SC Current Delta" dataDxfId="291" totalsRowDxfId="290" dataCellStyle="Hyperlink"/>
    <tableColumn id="21" xr3:uid="{C63E2608-F1F3-4B90-A886-06BAF6E495CC}" name="SC Buyback Point" dataDxfId="289" totalsRowDxfId="27" dataCellStyle="Currency 2">
      <calculatedColumnFormula>IF(SnapshotTable[[#This Row],[SC Is Filled]], btc_max_buyback_amount(SnapshotTable[[#This Row],[SC Fill Date]],SnapshotTable[[#This Row],[SC Exp Date]], SnapshotTable[[#This Row],[SC Book Price]]),0)</calculatedColumnFormula>
    </tableColumn>
    <tableColumn id="136" xr3:uid="{456E926E-EE6E-45A9-9CC6-968B5BF956AF}" name="SC Buyback Override" dataDxfId="288" totalsRowDxfId="26" dataCellStyle="Currency 2"/>
    <tableColumn id="94" xr3:uid="{5BF354AD-7CA5-43F1-9BA6-CDD1E3919A1C}" name="SC Buyback GTC Date" dataDxfId="287" totalsRowDxfId="25" dataCellStyle="Currency 2">
      <calculatedColumnFormula>IF(SnapshotTable[[#This Row],[SC Is Filled]], btc_next_cutoff_date(SnapshotTable[[#This Row],[SC Fill Date]],SnapshotTable[[#This Row],[SC Exp Date]]),"")</calculatedColumnFormula>
    </tableColumn>
    <tableColumn id="123" xr3:uid="{00000000-0010-0000-0000-00007B000000}" name="SC Should Buyback" dataDxfId="286" totalsRowDxfId="285" dataCellStyle="Currency 2">
      <calculatedColumnFormula array="1">IF(SnapshotTable[[#This Row],[SC Is Filled]], btc_should_buy_back(SnapshotTable[[#This Row],[SC Fill Date]], SnapshotTable[[#This Row],[SC Exp Date]], SnapshotTable[[#This Row],[SC Book Price]], SnapshotTable[[#This Row],[SC Current Ask]], MockToday, SnapshotTable[[#This Row],[SC Buyback Override]]),"")</calculatedColumnFormula>
    </tableColumn>
    <tableColumn id="70" xr3:uid="{00000000-0010-0000-0000-000046000000}" name="SC Intrinsic Value" dataDxfId="284" totalsRowDxfId="24" dataCellStyle="Currency 2">
      <calculatedColumnFormula>IF(SnapshotTable[[#This Row],[SC Is Filled]], MAX(0,SnapshotTable[[#This Row],[Last Price]]  - SnapshotTable[[#This Row],[SC Strike Price]]), 0)</calculatedColumnFormula>
    </tableColumn>
    <tableColumn id="71" xr3:uid="{00000000-0010-0000-0000-000047000000}" name="SC Time Val" dataDxfId="283" totalsRowDxfId="23" dataCellStyle="Currency 2">
      <calculatedColumnFormula>IF(SnapshotTable[[#This Row],[SC Is Filled]], IF(ISNUMBER(SnapshotTable[[#This Row],[SC Current Ask]]), SnapshotTable[[#This Row],[SC Current Ask]], SnapshotTable[[#This Row],[SC Book Price]]) - SnapshotTable[[#This Row],[SC Intrinsic Value]], 0)</calculatedColumnFormula>
    </tableColumn>
    <tableColumn id="125" xr3:uid="{9D804487-6AC2-497D-92AF-61779C1EFB2F}" name="SC Buy Back Cutoff" dataDxfId="282" totalsRowDxfId="22" dataCellStyle="Currency 2"/>
    <tableColumn id="113" xr3:uid="{00000000-0010-0000-0000-000071000000}" name="SC Current Cost To Close" dataDxfId="281" totalsRowDxfId="21" dataCellStyle="Currency 2">
      <calculatedColumnFormula>IF(SnapshotTable[[#This Row],[SC Is Filled]],100 * SnapshotTable[[#This Row],[SC Qty]] * IF(ISNUMBER(SnapshotTable[[#This Row],[SC Buyback Override]]), SnapshotTable[[#This Row],[SC Buyback Override]], SnapshotTable[[#This Row],[SC Current Ask]]), "")</calculatedColumnFormula>
    </tableColumn>
    <tableColumn id="185" xr3:uid="{7C8FB692-DFE8-4839-A63F-7FC5B435A737}" name="SC Time Value Closing Pct" dataDxfId="280" totalsRowDxfId="279" dataCellStyle="Percent">
      <calculatedColumnFormula>IF(SnapshotTable[[#This Row],[SC Time Val]]&gt;0, SnapshotTable[[#This Row],[SC Time Val]] / SnapshotTable[[#This Row],[Last Price]],"")</calculatedColumnFormula>
    </tableColumn>
    <tableColumn id="97" xr3:uid="{00000000-0010-0000-0000-000061000000}" name="Gap From Strike" dataDxfId="278" totalsRowDxfId="277" dataCellStyle="Percent">
      <calculatedColumnFormula>IF(SnapshotTable[[#This Row],[SC Is Booked]], ((SnapshotTable[[#This Row],[Last Price]] -SnapshotTable[[#This Row],[SC Strike Price]]) / SnapshotTable[[#This Row],[Last Price]]) * -1, "")</calculatedColumnFormula>
    </tableColumn>
    <tableColumn id="78" xr3:uid="{00000000-0010-0000-0000-00004E000000}" name="SC Exercise Gross" totalsRowFunction="sum" dataDxfId="276" totalsRowDxfId="20" dataCellStyle="Currency 2">
      <calculatedColumnFormula>IF(SnapshotTable[[#This Row],[SC Is Booked]],  (SnapshotTable[[#This Row],[SC Qty]] * 100 * SnapshotTable[[#This Row],[SC Strike Price]]) - SnapshotTable[[#This Row],[SC Current Ask]], "")</calculatedColumnFormula>
    </tableColumn>
    <tableColumn id="88" xr3:uid="{00000000-0010-0000-0000-000058000000}" name="SC Exercise Oppty Cost" totalsRowFunction="sum" dataDxfId="275" totalsRowDxfId="19" dataCellStyle="Currency 2">
      <calculatedColumnFormula>IF(AND(ISNUMBER(SnapshotTable[[#This Row],[SC Exercise Gross]]), SnapshotTable[[#This Row],[SC Exercise Gross]] &lt; (SnapshotTable[[#This Row],[SC Qty]] * 100 * SnapshotTable[[#This Row],[Last Price]])),  (SnapshotTable[[#This Row],[SC Qty]] * 100 * SnapshotTable[[#This Row],[Last Price]]) - SnapshotTable[[#This Row],[SC Exercise Gross]], "")</calculatedColumnFormula>
    </tableColumn>
    <tableColumn id="77" xr3:uid="{00000000-0010-0000-0000-00004D000000}" name="SC Exercise P&amp;L (TAX)" totalsRowFunction="sum" dataDxfId="274" totalsRowDxfId="18" dataCellStyle="Currency 2">
      <calculatedColumnFormula>IF(AND(ISNUMBER(SnapshotTable[[#This Row],[SC Exercise Gross]]), ISNUMBER(SnapshotTable[[#This Row],[Equity Basis Per Share]] )), SnapshotTable[[#This Row],[SC Exercise Gross]] - SnapshotTable[[#This Row],[Equity Basis Total]] +  SnapshotTable[[#This Row],[SC Premium]], "")</calculatedColumnFormula>
    </tableColumn>
    <tableColumn id="76" xr3:uid="{00000000-0010-0000-0000-00004C000000}" name="SC Exercise Share Price" dataDxfId="273" totalsRowDxfId="17" dataCellStyle="Currency 2">
      <calculatedColumnFormula>IF(ISNUMBER(SnapshotTable[[#This Row],[SC Exercise Gross]]), (SnapshotTable[[#This Row],[SC Exercise Gross]]) / (SnapshotTable[[#This Row],[SC Qty]] * 100), "")</calculatedColumnFormula>
    </tableColumn>
    <tableColumn id="93" xr3:uid="{00000000-0010-0000-0000-00005D000000}" name="SC Simple ROO" dataDxfId="272" totalsRowDxfId="271" dataCellStyle="Percent 2">
      <calculatedColumnFormula>IF(SnapshotTable[[#This Row],[SC Is Booked]],SnapshotTable[[#This Row],[SC Time Val]] /SnapshotTable[[#This Row],[SC Basis]], "")</calculatedColumnFormula>
    </tableColumn>
    <tableColumn id="212" xr3:uid="{57278C5A-81F5-4B58-85C0-41B41666FFE8}" name="SC Annual ROO" dataDxfId="270" totalsRowDxfId="269" dataCellStyle="Percent 2">
      <calculatedColumnFormula array="1">IF(AND(ISNUMBER(SnapshotTable[[#This Row],[SC Term]]),ISNUMBER(SnapshotTable[[#This Row],[SC Simple ROO]])), EllmanAnnualize(SnapshotTable[[#This Row],[SC DTE]], SnapshotTable[[#This Row],[SC Simple ROO]] ),"")</calculatedColumnFormula>
    </tableColumn>
    <tableColumn id="215" xr3:uid="{F4DCD69B-AF12-45FB-8952-4DA6F3140C51}" name="SC Upside Potential" dataDxfId="268" totalsRowDxfId="267" dataCellStyle="Currency 2">
      <calculatedColumnFormula>IF(SnapshotTable[[#This Row],[SC Strike Price]] &gt; SnapshotTable[[#This Row],[Last Price]], SnapshotTable[[#This Row],[SC Strike Price]] - SnapshotTable[[#This Row],[Last Price]],0)</calculatedColumnFormula>
    </tableColumn>
    <tableColumn id="207" xr3:uid="{18854B2C-6C50-449B-B528-07DC822FAE4E}" name="SC Upside Pct" dataDxfId="266" totalsRowDxfId="265" dataCellStyle="Percent 2">
      <calculatedColumnFormula>IF(AND(ISNUMBER(SnapshotTable[[#This Row],[SC Upside Potential]]), SnapshotTable[[#This Row],[SC Upside Potential]] &gt; 0),(SnapshotTable[[#This Row],[SC Upside Potential]]/ SnapshotTable[[#This Row],[ACB]]),"")</calculatedColumnFormula>
    </tableColumn>
    <tableColumn id="208" xr3:uid="{363C9E3E-1A5E-4728-8421-A8A10F365E08}" name="SC Downside Protect" dataDxfId="264" totalsRowDxfId="263" dataCellStyle="Percent">
      <calculatedColumnFormula>IF(SnapshotTable[[#This Row],[SC Intrinsic Value]] &gt; 0,SnapshotTable[[#This Row],[SC Intrinsic Value]],"")</calculatedColumnFormula>
    </tableColumn>
    <tableColumn id="209" xr3:uid="{88C92A58-B2C7-495C-91B8-A59225312C6C}" name="SC Downside Pct" dataDxfId="262" totalsRowDxfId="261" dataCellStyle="Percent 2">
      <calculatedColumnFormula>IF(AND( ISNUMBER( SnapshotTable[[#This Row],[ACB]]),ISNUMBER(SnapshotTable[[#This Row],[SC Downside Protect]])),SnapshotTable[[#This Row],[SC Downside Protect]] / SnapshotTable[[#This Row],[ACB]],"")</calculatedColumnFormula>
    </tableColumn>
    <tableColumn id="68" xr3:uid="{C31DE70C-FE1E-418B-9B35-5EF1EEA2A829}" name="SC Max Dollars" dataDxfId="260" totalsRowDxfId="16" dataCellStyle="Currency">
      <calculatedColumnFormula>IF(AND(ISNUMBER(SnapshotTable[[#This Row],[SC Simple ROO]]),SnapshotTable[[#This Row],[SC Simple ROO]] &gt; 0), SnapshotTable[[#This Row],[SC Premium]] + (SnapshotTable[[#This Row],[SC Qty]] * SnapshotTable[[#This Row],[SC Upside Potential]]), "")</calculatedColumnFormula>
    </tableColumn>
    <tableColumn id="210" xr3:uid="{CFA98E2C-DA5A-417A-86F0-2EE666C3B5D9}" name="SC Max ROO" dataDxfId="259" totalsRowDxfId="258" dataCellStyle="Percent">
      <calculatedColumnFormula array="1">IF(ISNUMBER(SnapshotTable[[#This Row],[SC Max Dollars]]), annualize(SnapshotTable[[#This Row],[SC Term]],(SnapshotTable[[#This Row],[SC Max Dollars]]/SnapshotTable[[#This Row],[SC Basis]])),"")</calculatedColumnFormula>
    </tableColumn>
    <tableColumn id="174" xr3:uid="{E00C7A9A-089C-41CA-A5D6-D5CB0B6C6CE5}" name="SC Current Value" dataDxfId="257" totalsRowDxfId="256" dataCellStyle="Currency">
      <calculatedColumnFormula>IF(AND(SnapshotTable[[#This Row],[SC Qty]]&gt;0,SnapshotTable[[#This Row],[SC Current Ask]]&gt;0), SnapshotTable[[#This Row],[SC Qty]] * SnapshotTable[[#This Row],[SC Current Ask]] * -100, "")</calculatedColumnFormula>
    </tableColumn>
    <tableColumn id="184" xr3:uid="{D1FE58C6-4491-4E58-B757-FA218447566F}" name="SC Gain Loss" dataDxfId="255" totalsRowDxfId="15" dataCellStyle="Currency 2">
      <calculatedColumnFormula>IF(ISNUMBER((SnapshotTable[[#This Row],[SC Current Value]])), SnapshotTable[[#This Row],[SC Premium]] + SnapshotTable[[#This Row],[SC Current Value]], "")</calculatedColumnFormula>
    </tableColumn>
    <tableColumn id="183" xr3:uid="{6A7330B1-E411-462B-83AB-AB4BF217280B}" name="SC Pct Earned" dataDxfId="254" totalsRowDxfId="253" dataCellStyle="Percent">
      <calculatedColumnFormula>IFERROR( IF(ISNUMBER((SnapshotTable[[#This Row],[SC Current Value]])), SnapshotTable[[#This Row],[SC Gain Loss]] / SnapshotTable[[#This Row],[SC Premium]], ""), "")</calculatedColumnFormula>
    </tableColumn>
    <tableColumn id="18" xr3:uid="{00000000-0010-0000-0000-000012000000}" name="Sell Shares Pct" dataDxfId="252" totalsRowDxfId="14" dataCellStyle="Normal 2">
      <calculatedColumnFormula>SnapshotTable[[#This Row],[Equity Shares]] * SaleSharesToConsiderPercentage</calculatedColumnFormula>
    </tableColumn>
    <tableColumn id="20" xr3:uid="{00000000-0010-0000-0000-000014000000}" name="Sell Price Tgt" dataDxfId="251" totalsRowDxfId="250" dataCellStyle="Normal 2">
      <calculatedColumnFormula>SnapshotTable[[#This Row],[Long Term Target]] * SellingPriceToConsiderBasedOnTargetPercentage</calculatedColumnFormula>
    </tableColumn>
    <tableColumn id="30" xr3:uid="{00000000-0010-0000-0000-00001E000000}" name="Sell Price Gain" dataDxfId="249" totalsRowDxfId="248" dataCellStyle="Normal 2">
      <calculatedColumnFormula>SnapshotTable[[#This Row],[Last Price]] * (1+ SellingPriceToConsiderBasedOnTargetPercentage)</calculatedColumnFormula>
    </tableColumn>
    <tableColumn id="31" xr3:uid="{00000000-0010-0000-0000-00001F000000}" name="Booked Sale Shares" dataDxfId="247" totalsRowDxfId="246" dataCellStyle="Normal 2"/>
    <tableColumn id="32" xr3:uid="{00000000-0010-0000-0000-000020000000}" name="Booked Sale Price" dataDxfId="245" totalsRowDxfId="244" dataCellStyle="Normal 2"/>
    <tableColumn id="43" xr3:uid="{00000000-0010-0000-0000-00002B000000}" name="Sale Proceeds" dataDxfId="243" totalsRowDxfId="13" dataCellStyle="Currency 2">
      <calculatedColumnFormula>SnapshotTable[[#This Row],[Booked Sale Shares]] * SnapshotTable[[#This Row],[Booked Sale Price]]</calculatedColumnFormula>
    </tableColumn>
    <tableColumn id="44" xr3:uid="{00000000-0010-0000-0000-00002C000000}" name="Sale Basis" dataDxfId="242" totalsRowDxfId="12" dataCellStyle="Currency 2">
      <calculatedColumnFormula>IF(SnapshotTable[[#This Row],[Equity Basis Total]] &gt; 0, SnapshotTable[[#This Row],[Equity Basis Per Share]] * SnapshotTable[[#This Row],[Booked Sale Shares]], "")</calculatedColumnFormula>
    </tableColumn>
    <tableColumn id="42" xr3:uid="{00000000-0010-0000-0000-00002A000000}" name="Sale G/L" dataDxfId="241" totalsRowDxfId="11" dataCellStyle="Currency 2">
      <calculatedColumnFormula>IF(SnapshotTable[[#This Row],[Sale Proceeds]]&gt;0, SnapshotTable[[#This Row],[Sale Proceeds]] - SnapshotTable[[#This Row],[Sale Basis]], 0)</calculatedColumnFormula>
    </tableColumn>
    <tableColumn id="41" xr3:uid="{00000000-0010-0000-0000-000029000000}" name="Simple Sell ROI" dataDxfId="240" totalsRowDxfId="10" dataCellStyle="Percent 2">
      <calculatedColumnFormula>IF(SnapshotTable[[#This Row],[Sale G/L]]&gt;0, SnapshotTable[[#This Row],[Sale G/L]] / SnapshotTable[[#This Row],[Sale Basis]], IF(ISNUMBER(SnapshotTable[[#This Row],[SC Exercise P&amp;L (TAX)]]), SnapshotTable[[#This Row],[SC Exercise P&amp;L (TAX)]] / SnapshotTable[[#This Row],[SC Basis]], ""))</calculatedColumnFormula>
    </tableColumn>
    <tableColumn id="171" xr3:uid="{066B6EF8-977A-4E12-8942-7B2374C4A45D}" name="GUID Lookup" dataDxfId="239" totalsRowDxfId="9" dataCellStyle="Percent 2"/>
    <tableColumn id="154" xr3:uid="{00000000-0010-0000-0000-00009A000000}" name="LP Symbol" dataDxfId="238" totalsRowDxfId="8" dataCellStyle="Currency 2">
      <calculatedColumnFormula>IF(AND(SnapshotTable[[#This Row],[LP Exp Date]]&gt;0,SnapshotTable[[#This Row],[LP Strike Price]]&gt;0), [1]!ToOptionSymbol(SnapshotTable[[#This Row],[Symbol]], SnapshotTable[[#This Row],[LP Strike Price]],SnapshotTable[[#This Row],[LP Exp Date]],1), "")</calculatedColumnFormula>
    </tableColumn>
    <tableColumn id="145" xr3:uid="{00000000-0010-0000-0000-000091000000}" name="LP Symbol Count" totalsRowFunction="countNums" dataDxfId="237" totalsRowDxfId="236" dataCellStyle="Currency 2">
      <calculatedColumnFormula>IF(LEN(SnapshotTable[[#This Row],[LP Symbol]])&gt;0, 1, "")</calculatedColumnFormula>
    </tableColumn>
    <tableColumn id="146" xr3:uid="{00000000-0010-0000-0000-000092000000}" name="SP Symbol" dataDxfId="235" totalsRowDxfId="7" dataCellStyle="Currency 2">
      <calculatedColumnFormula>IF(AND(SnapshotTable[[#This Row],[SP Exp Date]]&gt;0,SnapshotTable[[#This Row],[SP Strike Price]]&gt;0), [1]!ToOptionSymbol(SnapshotTable[[#This Row],[Symbol]], SnapshotTable[[#This Row],[SP Strike Price]],SnapshotTable[[#This Row],[SP Exp Date]],1), "")</calculatedColumnFormula>
    </tableColumn>
    <tableColumn id="147" xr3:uid="{00000000-0010-0000-0000-000093000000}" name="SP Symbol Count" totalsRowFunction="countNums" dataDxfId="234" totalsRowDxfId="233" dataCellStyle="Currency 2">
      <calculatedColumnFormula>IF(LEN(SnapshotTable[[#This Row],[SP Symbol]])&gt;0, 1, "")</calculatedColumnFormula>
    </tableColumn>
    <tableColumn id="153" xr3:uid="{00000000-0010-0000-0000-000099000000}" name="LC Symbol" dataDxfId="232" totalsRowDxfId="6" dataCellStyle="Currency 2">
      <calculatedColumnFormula>IF(AND(SnapshotTable[[#This Row],[LC Exp Date]]&gt;0,SnapshotTable[[#This Row],[LC Strike Price]]&gt;0), [1]!ToOptionSymbol(SnapshotTable[[#This Row],[Symbol]], SnapshotTable[[#This Row],[LC Strike Price]],SnapshotTable[[#This Row],[LC Exp Date]],0), "")</calculatedColumnFormula>
    </tableColumn>
    <tableColumn id="152" xr3:uid="{00000000-0010-0000-0000-000098000000}" name="LC Symbol Count" totalsRowFunction="countNums" dataDxfId="231" totalsRowDxfId="230" dataCellStyle="Currency 2">
      <calculatedColumnFormula>IF(LEN(SnapshotTable[[#This Row],[LC Symbol]])&gt;0, 1, "")</calculatedColumnFormula>
    </tableColumn>
    <tableColumn id="151" xr3:uid="{00000000-0010-0000-0000-000097000000}" name="SC Symbol" dataDxfId="229" totalsRowDxfId="5" dataCellStyle="Currency 2">
      <calculatedColumnFormula>IF(AND(SnapshotTable[[#This Row],[SC Exp Date]]&gt;0,SnapshotTable[[#This Row],[SC Strike Price]]&gt;0), [1]!ToOptionSymbol(SnapshotTable[[#This Row],[Symbol]], SnapshotTable[[#This Row],[SC Strike Price]],SnapshotTable[[#This Row],[SC Exp Date]],0), "")</calculatedColumnFormula>
    </tableColumn>
    <tableColumn id="150" xr3:uid="{00000000-0010-0000-0000-000096000000}" name="SC Symbol Count" totalsRowFunction="countNums" dataDxfId="228" totalsRowDxfId="227" dataCellStyle="Currency 2">
      <calculatedColumnFormula>IF(LEN(SnapshotTable[[#This Row],[SC Symbol]])&gt;0, 1, "")</calculatedColumnFormula>
    </tableColumn>
    <tableColumn id="149" xr3:uid="{00000000-0010-0000-0000-000095000000}" name="Has Position" dataDxfId="226" totalsRowDxfId="4" dataCellStyle="Comma 2">
      <calculatedColumnFormula>IF(COUNT(SnapshotTable[[#This Row],[LP Symbol Count]],SnapshotTable[[#This Row],[SP Symbol Count]],SnapshotTable[[#This Row],[LC Symbol Count]],SnapshotTable[[#This Row],[SC Symbol Count]])&gt;0, "Y", "")</calculatedColumnFormula>
    </tableColumn>
    <tableColumn id="148" xr3:uid="{00000000-0010-0000-0000-000094000000}" name="Position" dataDxfId="225" totalsRowDxfId="3" dataCellStyle="Comma 2">
      <calculatedColumnFormula>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calculatedColumnFormula>
    </tableColumn>
    <tableColumn id="34" xr3:uid="{00000000-0010-0000-0000-000022000000}" name="Exposure" totalsRowFunction="sum" dataDxfId="224" totalsRowDxfId="2" dataCellStyle="Percent 2">
      <calculatedColumnFormula>MAX(SnapshotTable[[#This Row],[Equity Basis Total]],SnapshotTable[[#This Row],[Equity Value]]) + (SnapshotTable[[#This Row],[SP Potential Spend]]- SnapshotTable[[#This Row],[SP Premium]] + SnapshotTable[[#This Row],[LP Premium]])+ (SnapshotTable[[#This Row],[LC Premium]] - SnapshotTable[[#This Row],[SC Premium]])</calculatedColumnFormula>
    </tableColumn>
    <tableColumn id="80" xr3:uid="{00000000-0010-0000-0000-000050000000}" name="Exp %" totalsRowFunction="sum" dataDxfId="223" totalsRowDxfId="222" dataCellStyle="Percent 2">
      <calculatedColumnFormula>IF(AND(SnapshotTable[[#This Row],[Exposure]] &lt;&gt; 0),SnapshotTable[[#This Row],[Exposure]] / SnapshotTable[[#Totals],[Exposure]], "")</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9983B2-99F4-480E-BDC9-B35620BE344D}" name="tblFilters" displayName="tblFilters" ref="F3:T24" totalsRowShown="0" headerRowDxfId="221">
  <autoFilter ref="F3:T24" xr:uid="{00000000-0009-0000-0100-000004000000}"/>
  <sortState xmlns:xlrd2="http://schemas.microsoft.com/office/spreadsheetml/2017/richdata2" caseSensitive="1" ref="F4:T24">
    <sortCondition ref="F3:F24"/>
  </sortState>
  <tableColumns count="15">
    <tableColumn id="1" xr3:uid="{00000000-0010-0000-0100-000001000000}" name="Spec Name"/>
    <tableColumn id="2" xr3:uid="{00000000-0010-0000-0100-000002000000}" name="Comments"/>
    <tableColumn id="3" xr3:uid="{00000000-0010-0000-0100-000003000000}" name="Column Name1"/>
    <tableColumn id="4" xr3:uid="{00000000-0010-0000-0100-000004000000}" name="1st Criteria1" dataDxfId="220"/>
    <tableColumn id="5" xr3:uid="{00000000-0010-0000-0100-000005000000}" name="1st Criteria Op1" dataDxfId="219"/>
    <tableColumn id="6" xr3:uid="{00000000-0010-0000-0100-000006000000}" name="XlAutoFilter Op1" dataDxfId="218"/>
    <tableColumn id="7" xr3:uid="{00000000-0010-0000-0100-000007000000}" name="2nd Criteria1" dataDxfId="217"/>
    <tableColumn id="8" xr3:uid="{00000000-0010-0000-0100-000008000000}" name="2nd Criteria Op1" dataDxfId="216"/>
    <tableColumn id="9" xr3:uid="{00000000-0010-0000-0100-000009000000}" name="Column Name2" dataDxfId="215"/>
    <tableColumn id="10" xr3:uid="{00000000-0010-0000-0100-00000A000000}" name="1st Criteria2" dataDxfId="214"/>
    <tableColumn id="11" xr3:uid="{00000000-0010-0000-0100-00000B000000}" name="1st Criteria Op2" dataDxfId="213"/>
    <tableColumn id="12" xr3:uid="{00000000-0010-0000-0100-00000C000000}" name="XlAutoFilter Op2" dataDxfId="212"/>
    <tableColumn id="13" xr3:uid="{00000000-0010-0000-0100-00000D000000}" name="2nd Criteria2" dataDxfId="211"/>
    <tableColumn id="14" xr3:uid="{00000000-0010-0000-0100-00000E000000}" name="2nd Criteria Op2" dataDxfId="210"/>
    <tableColumn id="15" xr3:uid="{939ECCAE-1270-4FCE-A4A6-F87F9DAE1FFE}" name="GUID Lookup" dataDxfId="20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58ECD5C-1806-4A6B-8967-8AD81077C693}" name="tblViewsTable" displayName="tblViewsTable" ref="B4:O26" totalsRowShown="0" headerRowDxfId="208">
  <autoFilter ref="B4:O26" xr:uid="{00000000-0009-0000-0100-000003000000}"/>
  <sortState xmlns:xlrd2="http://schemas.microsoft.com/office/spreadsheetml/2017/richdata2" caseSensitive="1" ref="B5:O26">
    <sortCondition ref="B4:B26"/>
  </sortState>
  <tableColumns count="14">
    <tableColumn id="16" xr3:uid="{00000000-0010-0000-0200-000010000000}" name="ViewName" dataDxfId="207"/>
    <tableColumn id="15" xr3:uid="{00000000-0010-0000-0200-00000F000000}" name="GroupName1" dataDxfId="206"/>
    <tableColumn id="1" xr3:uid="{00000000-0010-0000-0200-000001000000}" name="GroupName2" dataDxfId="205"/>
    <tableColumn id="2" xr3:uid="{00000000-0010-0000-0200-000002000000}" name="GroupName3"/>
    <tableColumn id="5" xr3:uid="{00000000-0010-0000-0200-000005000000}" name="AutoFilterName"/>
    <tableColumn id="6" xr3:uid="{00000000-0010-0000-0200-000006000000}" name="CriteriaFilterName"/>
    <tableColumn id="4" xr3:uid="{142B3E00-1FF3-428F-9B06-B75716ABE463}" name="ScrollToCol" dataDxfId="204" dataCellStyle="Normal 2"/>
    <tableColumn id="7" xr3:uid="{00000000-0010-0000-0200-000007000000}" name="SortCol1" dataDxfId="203"/>
    <tableColumn id="14" xr3:uid="{00000000-0010-0000-0200-00000E000000}" name="SortDir1" dataDxfId="202"/>
    <tableColumn id="8" xr3:uid="{00000000-0010-0000-0200-000008000000}" name="SortCol2" dataDxfId="201"/>
    <tableColumn id="9" xr3:uid="{00000000-0010-0000-0200-000009000000}" name="SortDir2" dataDxfId="200"/>
    <tableColumn id="10" xr3:uid="{00000000-0010-0000-0200-00000A000000}" name="SortCol3" dataDxfId="199"/>
    <tableColumn id="11" xr3:uid="{00000000-0010-0000-0200-00000B000000}" name="SortDir3" dataDxfId="198"/>
    <tableColumn id="3" xr3:uid="{2BC2C0DE-25E1-437F-B2D5-E8F14B190409}" name="GUID Lookup" dataDxfId="19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A5596A-6EF8-4800-85BE-932442C33DDD}" name="tblGroupNames" displayName="tblGroupNames" ref="A1:F18" totalsRowCount="1" headerRowDxfId="196" dataDxfId="195">
  <autoFilter ref="A1:F17" xr:uid="{00000000-0009-0000-0100-000005000000}"/>
  <sortState xmlns:xlrd2="http://schemas.microsoft.com/office/spreadsheetml/2017/richdata2" caseSensitive="1" ref="A2:F17">
    <sortCondition ref="E2:E17"/>
    <sortCondition ref="B2:B17"/>
  </sortState>
  <tableColumns count="6">
    <tableColumn id="1" xr3:uid="{00000000-0010-0000-0300-000001000000}" name="Name" totalsRowLabel="Total" dataDxfId="194" totalsRowDxfId="193"/>
    <tableColumn id="2" xr3:uid="{00000000-0010-0000-0300-000002000000}" name="Order" totalsRowFunction="count" dataDxfId="192" totalsRowDxfId="191"/>
    <tableColumn id="4" xr3:uid="{00000000-0010-0000-0300-000004000000}" name="Address" dataDxfId="190" totalsRowDxfId="189"/>
    <tableColumn id="5" xr3:uid="{C7168B92-A7F5-40BE-A870-2D4C49A77AFA}" name="Parent" dataDxfId="188" totalsRowDxfId="187" dataCellStyle="Normal 2"/>
    <tableColumn id="3" xr3:uid="{00000000-0010-0000-0300-000003000000}" name="Level" dataDxfId="186" totalsRowDxfId="185"/>
    <tableColumn id="6" xr3:uid="{D88398C7-90B8-41FD-B5D1-9D231122A6A6}" name="GUID Lookup" dataDxfId="184" totalsRowDxfId="18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 dockstate="right" visibility="0" width="350" row="1">
    <wetp:webextensionref xmlns:r="http://schemas.openxmlformats.org/officeDocument/2006/relationships" r:id="rId2"/>
  </wetp:taskpane>
</wetp:taskpanes>
</file>

<file path=xl/webextensions/webextension1.xml><?xml version="1.0" encoding="utf-8"?>
<we:webextension xmlns:we="http://schemas.microsoft.com/office/webextensions/webextension/2010/11" id="{3E37384E-1D84-4F83-AD0C-11CB6DA99D63}">
  <we:reference id="wa200009404" version="1.0.0.8" store="en-US" storeType="OMEX"/>
  <we:alternateReferences>
    <we:reference id="wa200009404" version="1.0.0.8" store="wa200009404" storeType="OMEX"/>
  </we:alternateReferences>
  <we:properties>
    <we:property name="claude.fileId" value="&quot;4060b188-a605-498d-b8da-4b5894edf6f1&quot;"/>
  </we:properties>
  <we:bindings/>
  <we:snapshot xmlns:r="http://schemas.openxmlformats.org/officeDocument/2006/relationships"/>
</we:webextension>
</file>

<file path=xl/webextensions/webextension2.xml><?xml version="1.0" encoding="utf-8"?>
<we:webextension xmlns:we="http://schemas.microsoft.com/office/webextensions/webextension/2010/11" id="{D0B9A9A4-2EDA-45B8-8CD1-626191B288D9}">
  <we:reference id="wa200010725" version="1.0.0.1" store="en-US" storeType="OMEX"/>
  <we:alternateReferences>
    <we:reference id="wa200010725" version="1.0.0.1" store="wa200010725" storeType="OMEX"/>
  </we:alternateReferences>
  <we:properties>
    <we:property name="claude.fileId" value="&quot;74e97e18-0449-4645-975b-811cc7a8e21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AppData/AppData/AppData/AppData/AppData/AppData/AppData/AppData/AppData/AppData/AppData/AppData/AppData/AppData/AppData/AppData/AppData/Roaming/Microsoft/Excel/EDU/Option%20Specific/Ellman/Portfolio%20Overwriting.docx"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4EED8-16C2-40BF-8D44-258B88B9DE16}">
  <sheetPr codeName="Sheet2">
    <pageSetUpPr autoPageBreaks="0"/>
  </sheetPr>
  <dimension ref="B1:HP430"/>
  <sheetViews>
    <sheetView tabSelected="1" zoomScale="110" zoomScaleNormal="110" workbookViewId="0">
      <pane xSplit="3" ySplit="21" topLeftCell="D65" activePane="bottomRight" state="frozen"/>
      <selection pane="topRight" activeCell="D1" sqref="D1"/>
      <selection pane="bottomLeft" activeCell="A21" sqref="A21"/>
      <selection pane="bottomRight" activeCell="BJ164" sqref="BJ164"/>
    </sheetView>
  </sheetViews>
  <sheetFormatPr defaultColWidth="9.140625" defaultRowHeight="15" outlineLevelCol="4" x14ac:dyDescent="0.25"/>
  <cols>
    <col min="1" max="1" width="1.7109375" style="1" customWidth="1"/>
    <col min="2" max="2" width="11.85546875" style="1" customWidth="1"/>
    <col min="3" max="3" width="13.85546875" style="197" customWidth="1"/>
    <col min="4" max="4" width="5.7109375" style="206" customWidth="1"/>
    <col min="5" max="5" width="12" style="10" customWidth="1"/>
    <col min="6" max="6" width="22.5703125" style="10" hidden="1" customWidth="1" outlineLevel="1"/>
    <col min="7" max="7" width="16.7109375" style="10" customWidth="1" collapsed="1"/>
    <col min="8" max="8" width="9.140625" style="1" hidden="1" customWidth="1" outlineLevel="1"/>
    <col min="9" max="9" width="11.7109375" style="5" hidden="1" customWidth="1" outlineLevel="1"/>
    <col min="10" max="11" width="10.7109375" style="10" hidden="1" customWidth="1" outlineLevel="1"/>
    <col min="12" max="12" width="9.7109375" style="10" customWidth="1" collapsed="1"/>
    <col min="13" max="13" width="6.7109375" style="10" hidden="1" customWidth="1" outlineLevel="1"/>
    <col min="14" max="14" width="7.5703125" style="10" hidden="1" customWidth="1" outlineLevel="1"/>
    <col min="15" max="15" width="6.7109375" style="10" customWidth="1" collapsed="1"/>
    <col min="16" max="16" width="9.7109375" style="10" hidden="1" customWidth="1" outlineLevel="1"/>
    <col min="17" max="17" width="11.7109375" style="10" hidden="1" customWidth="1" outlineLevel="1"/>
    <col min="18" max="18" width="13" style="10" hidden="1" customWidth="1" outlineLevel="1"/>
    <col min="19" max="19" width="12.7109375" style="10" hidden="1" customWidth="1" outlineLevel="1"/>
    <col min="20" max="20" width="13.7109375" style="10" hidden="1" customWidth="1" outlineLevel="1" collapsed="1"/>
    <col min="21" max="21" width="8.7109375" style="11" hidden="1" customWidth="1" outlineLevel="1"/>
    <col min="22" max="25" width="10.7109375" style="234" hidden="1" customWidth="1" outlineLevel="1"/>
    <col min="26" max="26" width="8.7109375" style="271" hidden="1" customWidth="1" outlineLevel="1"/>
    <col min="27" max="27" width="10.7109375" style="236" hidden="1" customWidth="1" outlineLevel="1"/>
    <col min="28" max="28" width="10.7109375" style="236" customWidth="1" collapsed="1"/>
    <col min="29" max="29" width="10.7109375" style="10" hidden="1" customWidth="1" outlineLevel="1"/>
    <col min="30" max="30" width="9.140625" style="12" hidden="1" customWidth="1" outlineLevel="1"/>
    <col min="31" max="32" width="11.7109375" style="1" hidden="1" customWidth="1" outlineLevel="1"/>
    <col min="33" max="33" width="11.7109375" style="10" hidden="1" customWidth="1" outlineLevel="1"/>
    <col min="34" max="34" width="8.7109375" style="10" customWidth="1" collapsed="1"/>
    <col min="35" max="35" width="12" style="11" hidden="1" customWidth="1" outlineLevel="1"/>
    <col min="36" max="36" width="11.7109375" style="10" hidden="1" customWidth="1" outlineLevel="1"/>
    <col min="37" max="37" width="9.5703125" style="1" hidden="1" customWidth="1" outlineLevel="1"/>
    <col min="38" max="38" width="10.5703125" style="1" hidden="1" customWidth="1" outlineLevel="2"/>
    <col min="39" max="39" width="12.7109375" style="1" hidden="1" customWidth="1" outlineLevel="2"/>
    <col min="40" max="40" width="12.7109375" style="3" hidden="1" customWidth="1" outlineLevel="2"/>
    <col min="41" max="41" width="11.7109375" style="1" hidden="1" customWidth="1" outlineLevel="1" collapsed="1"/>
    <col min="42" max="42" width="11.7109375" style="1" hidden="1" customWidth="1" outlineLevel="3"/>
    <col min="43" max="43" width="10.7109375" style="1" hidden="1" customWidth="1" outlineLevel="3"/>
    <col min="44" max="45" width="11.7109375" style="1" hidden="1" customWidth="1" outlineLevel="3"/>
    <col min="46" max="46" width="12.7109375" style="1" hidden="1" customWidth="1" outlineLevel="3"/>
    <col min="47" max="47" width="5.7109375" style="1" hidden="1" customWidth="1" outlineLevel="3"/>
    <col min="48" max="48" width="5.7109375" style="1" customWidth="1" outlineLevel="3"/>
    <col min="49" max="49" width="10.7109375" style="1" hidden="1" customWidth="1" outlineLevel="4"/>
    <col min="50" max="50" width="7.7109375" style="1" hidden="1" customWidth="1" outlineLevel="4"/>
    <col min="51" max="52" width="10.7109375" style="1" hidden="1" customWidth="1" outlineLevel="4"/>
    <col min="53" max="53" width="10.7109375" style="1" customWidth="1" outlineLevel="3" collapsed="1"/>
    <col min="54" max="54" width="30.7109375" style="1" customWidth="1" outlineLevel="3"/>
    <col min="55" max="55" width="7.7109375" style="1" customWidth="1"/>
    <col min="56" max="56" width="11.42578125" style="1" customWidth="1" outlineLevel="1"/>
    <col min="57" max="57" width="11.7109375" style="1" customWidth="1" outlineLevel="1"/>
    <col min="58" max="58" width="5.7109375" style="1" customWidth="1" outlineLevel="1"/>
    <col min="59" max="60" width="8.140625" style="1" customWidth="1" outlineLevel="1"/>
    <col min="61" max="63" width="10.7109375" style="1" customWidth="1" outlineLevel="1"/>
    <col min="64" max="64" width="9.7109375" style="1" customWidth="1" outlineLevel="1"/>
    <col min="65" max="65" width="7.7109375" style="1" customWidth="1" outlineLevel="1"/>
    <col min="66" max="66" width="5.7109375" style="1" customWidth="1" outlineLevel="1"/>
    <col min="67" max="67" width="3.7109375" style="1" customWidth="1" outlineLevel="1"/>
    <col min="68" max="68" width="10.7109375" style="1" customWidth="1"/>
    <col min="69" max="69" width="8.7109375" style="1" customWidth="1" outlineLevel="1"/>
    <col min="70" max="70" width="10.7109375" style="1" customWidth="1" outlineLevel="1"/>
    <col min="71" max="71" width="5.7109375" style="1" customWidth="1" outlineLevel="1"/>
    <col min="72" max="72" width="7.7109375" style="7" customWidth="1" outlineLevel="1"/>
    <col min="73" max="73" width="7.7109375" style="8" customWidth="1" outlineLevel="1" collapsed="1"/>
    <col min="74" max="74" width="10.7109375" style="1" customWidth="1" outlineLevel="1"/>
    <col min="75" max="76" width="3.7109375" style="7" customWidth="1" outlineLevel="1"/>
    <col min="77" max="77" width="11.7109375" style="7" customWidth="1" outlineLevel="1"/>
    <col min="78" max="78" width="8.7109375" style="7" customWidth="1" outlineLevel="1"/>
    <col min="79" max="79" width="6.7109375" style="7" customWidth="1" outlineLevel="1"/>
    <col min="80" max="80" width="10.7109375" style="1" customWidth="1" outlineLevel="1"/>
    <col min="81" max="81" width="7.7109375" customWidth="1" outlineLevel="1"/>
    <col min="82" max="83" width="7.7109375" style="1" customWidth="1" outlineLevel="1"/>
    <col min="84" max="84" width="14" style="1" customWidth="1" outlineLevel="1"/>
    <col min="85" max="85" width="13.7109375" customWidth="1" outlineLevel="1"/>
    <col min="86" max="86" width="9.140625" customWidth="1" outlineLevel="1"/>
    <col min="87" max="87" width="10.7109375" style="245" customWidth="1" outlineLevel="1"/>
    <col min="88" max="88" width="5.7109375" customWidth="1" outlineLevel="1"/>
    <col min="89" max="89" width="11.7109375" style="1" customWidth="1" outlineLevel="1"/>
    <col min="90" max="90" width="12.7109375" customWidth="1" outlineLevel="1"/>
    <col min="91" max="91" width="9.140625" customWidth="1" outlineLevel="1"/>
    <col min="92" max="92" width="9.7109375" customWidth="1" outlineLevel="1"/>
    <col min="93" max="93" width="8.7109375" style="1" customWidth="1" outlineLevel="1"/>
    <col min="94" max="94" width="10.7109375" customWidth="1" outlineLevel="1"/>
    <col min="95" max="96" width="9.140625" customWidth="1" outlineLevel="1"/>
    <col min="97" max="97" width="10.28515625" customWidth="1" outlineLevel="1"/>
    <col min="98" max="99" width="9.140625" customWidth="1" outlineLevel="1"/>
    <col min="100" max="100" width="5.7109375" customWidth="1" outlineLevel="1"/>
    <col min="101" max="101" width="5.140625" customWidth="1" outlineLevel="1"/>
    <col min="102" max="102" width="9.7109375" hidden="1" customWidth="1" outlineLevel="2"/>
    <col min="103" max="105" width="10.7109375" style="1" hidden="1" customWidth="1" outlineLevel="2"/>
    <col min="106" max="106" width="8.7109375" style="1" hidden="1" customWidth="1" outlineLevel="2"/>
    <col min="107" max="107" width="10.7109375" style="1" hidden="1" customWidth="1" outlineLevel="2"/>
    <col min="108" max="108" width="10.7109375" style="5" customWidth="1" outlineLevel="1" collapsed="1"/>
    <col min="109" max="109" width="10.7109375" customWidth="1" outlineLevel="1"/>
    <col min="110" max="110" width="9.140625" customWidth="1" outlineLevel="1"/>
    <col min="111" max="111" width="10.7109375" customWidth="1"/>
    <col min="112" max="112" width="6.7109375" style="1" customWidth="1" outlineLevel="1"/>
    <col min="113" max="113" width="10.7109375" style="6" customWidth="1" outlineLevel="1"/>
    <col min="114" max="114" width="5.7109375" style="6" customWidth="1" outlineLevel="1"/>
    <col min="115" max="116" width="10.7109375" style="6" customWidth="1" outlineLevel="1"/>
    <col min="117" max="118" width="10.7109375" style="5" customWidth="1" outlineLevel="1"/>
    <col min="119" max="119" width="2.7109375" style="237" customWidth="1" outlineLevel="1"/>
    <col min="120" max="120" width="7.7109375" style="237" customWidth="1" outlineLevel="1"/>
    <col min="121" max="121" width="5.7109375" style="237" customWidth="1" outlineLevel="1"/>
    <col min="122" max="122" width="10.7109375" style="5" customWidth="1" outlineLevel="1"/>
    <col min="123" max="123" width="9.7109375" style="5" customWidth="1" outlineLevel="1"/>
    <col min="124" max="124" width="10.7109375" style="5" customWidth="1" outlineLevel="1"/>
    <col min="125" max="125" width="9.7109375" style="5" customWidth="1" outlineLevel="1"/>
    <col min="126" max="126" width="8.7109375" style="5" customWidth="1" outlineLevel="1"/>
    <col min="127" max="127" width="11.140625" style="1" customWidth="1" outlineLevel="1"/>
    <col min="128" max="128" width="10.7109375" style="1" customWidth="1" outlineLevel="1"/>
    <col min="129" max="129" width="8.7109375" style="1" customWidth="1" outlineLevel="1"/>
    <col min="130" max="130" width="10.7109375" style="1" customWidth="1" outlineLevel="1"/>
    <col min="131" max="131" width="8.7109375" style="1" customWidth="1" outlineLevel="1"/>
    <col min="132" max="133" width="9.7109375" style="1" customWidth="1" outlineLevel="1"/>
    <col min="134" max="134" width="7.7109375" style="237" customWidth="1" outlineLevel="1"/>
    <col min="135" max="135" width="8.7109375" style="257" customWidth="1" outlineLevel="1"/>
    <col min="136" max="137" width="9.7109375" style="301" customWidth="1" outlineLevel="1"/>
    <col min="138" max="138" width="8.7109375" style="301" customWidth="1"/>
    <col min="139" max="139" width="8.7109375" style="237" customWidth="1"/>
    <col min="140" max="140" width="6.7109375" style="264" customWidth="1" outlineLevel="1"/>
    <col min="141" max="141" width="8.7109375" customWidth="1" outlineLevel="1"/>
    <col min="142" max="142" width="10.7109375" customWidth="1" outlineLevel="1"/>
    <col min="143" max="143" width="5.7109375" style="1" customWidth="1" outlineLevel="1"/>
    <col min="144" max="144" width="7.7109375" style="1" customWidth="1" outlineLevel="1"/>
    <col min="145" max="145" width="7.7109375" customWidth="1" outlineLevel="1"/>
    <col min="146" max="146" width="10.7109375" customWidth="1" outlineLevel="1"/>
    <col min="147" max="147" width="3.7109375" style="3" customWidth="1" outlineLevel="1"/>
    <col min="148" max="148" width="3.7109375" style="361" customWidth="1" outlineLevel="1"/>
    <col min="149" max="149" width="8.7109375" customWidth="1" outlineLevel="1"/>
    <col min="150" max="151" width="5.7109375" style="3" customWidth="1" outlineLevel="1"/>
    <col min="152" max="152" width="8.7109375" style="3" customWidth="1" outlineLevel="1"/>
    <col min="153" max="153" width="10.7109375" customWidth="1" outlineLevel="1"/>
    <col min="154" max="154" width="9.140625" customWidth="1" outlineLevel="1"/>
    <col min="155" max="155" width="9.140625" style="3" customWidth="1" outlineLevel="1"/>
    <col min="156" max="156" width="5.7109375" style="240" customWidth="1" outlineLevel="1"/>
    <col min="157" max="157" width="9.85546875" customWidth="1" outlineLevel="1"/>
    <col min="158" max="158" width="9.140625" style="3" customWidth="1" outlineLevel="1"/>
    <col min="159" max="159" width="9.7109375" style="3" customWidth="1" outlineLevel="1"/>
    <col min="160" max="162" width="9.140625" customWidth="1" outlineLevel="1"/>
    <col min="163" max="163" width="9.7109375" style="3" customWidth="1" outlineLevel="1"/>
    <col min="164" max="164" width="8.7109375" style="363" customWidth="1" outlineLevel="1"/>
    <col min="165" max="167" width="9.7109375" style="3" customWidth="1" outlineLevel="1"/>
    <col min="168" max="169" width="9.7109375" style="1" customWidth="1" outlineLevel="1"/>
    <col min="170" max="170" width="9.7109375" style="3" customWidth="1" outlineLevel="1"/>
    <col min="171" max="171" width="10.7109375" style="3" customWidth="1" outlineLevel="1"/>
    <col min="172" max="172" width="10.7109375" customWidth="1" outlineLevel="1"/>
    <col min="173" max="173" width="9.140625" customWidth="1" outlineLevel="1"/>
    <col min="174" max="174" width="9.140625" style="3" customWidth="1" outlineLevel="1"/>
    <col min="175" max="175" width="9.7109375" style="3" hidden="1" customWidth="1" outlineLevel="2"/>
    <col min="176" max="176" width="7.7109375" style="3" hidden="1" customWidth="1" outlineLevel="2"/>
    <col min="177" max="177" width="12.7109375" style="3" hidden="1" customWidth="1" outlineLevel="2"/>
    <col min="178" max="178" width="10.7109375" style="1" hidden="1" customWidth="1" outlineLevel="2"/>
    <col min="179" max="179" width="10.7109375" style="3" hidden="1" customWidth="1" outlineLevel="2"/>
    <col min="180" max="181" width="8.7109375" style="3" hidden="1" customWidth="1" outlineLevel="2"/>
    <col min="182" max="182" width="8.7109375" style="3" customWidth="1" outlineLevel="1" collapsed="1"/>
    <col min="183" max="183" width="8.7109375" style="3" hidden="1" customWidth="1"/>
    <col min="184" max="184" width="8.7109375" style="3" hidden="1" customWidth="1" outlineLevel="1"/>
    <col min="185" max="185" width="9.7109375" style="3" hidden="1" customWidth="1" outlineLevel="1"/>
    <col min="186" max="186" width="8.7109375" style="236" hidden="1" customWidth="1" outlineLevel="1"/>
    <col min="187" max="187" width="6.7109375" style="3" hidden="1" customWidth="1" outlineLevel="1"/>
    <col min="188" max="188" width="10.7109375" style="3" hidden="1" customWidth="1" outlineLevel="1"/>
    <col min="189" max="189" width="10.7109375" style="302" hidden="1" customWidth="1" outlineLevel="1"/>
    <col min="190" max="190" width="7.7109375" style="3" hidden="1" customWidth="1" outlineLevel="1"/>
    <col min="191" max="191" width="6.7109375" style="3" hidden="1" customWidth="1" outlineLevel="1"/>
    <col min="192" max="192" width="8.7109375" style="250" hidden="1" customWidth="1" outlineLevel="1"/>
    <col min="193" max="193" width="43.85546875" style="3" hidden="1" customWidth="1" outlineLevel="1"/>
    <col min="194" max="194" width="6.7109375" style="3" hidden="1" customWidth="1" collapsed="1"/>
    <col min="195" max="195" width="43.85546875" style="237" hidden="1" customWidth="1" outlineLevel="1"/>
    <col min="196" max="196" width="10.7109375" style="4" hidden="1" customWidth="1" outlineLevel="1"/>
    <col min="197" max="197" width="8.7109375" style="1" hidden="1" customWidth="1" outlineLevel="1"/>
    <col min="198" max="198" width="7.7109375" style="1" hidden="1" customWidth="1" outlineLevel="1"/>
    <col min="199" max="199" width="8.7109375" style="1" hidden="1" customWidth="1" outlineLevel="1"/>
    <col min="200" max="200" width="5.7109375" style="1" hidden="1" customWidth="1" outlineLevel="1"/>
    <col min="201" max="201" width="43" style="2" hidden="1" customWidth="1" outlineLevel="1"/>
    <col min="202" max="202" width="11.7109375" style="241" hidden="1" customWidth="1" outlineLevel="1"/>
    <col min="203" max="203" width="10.7109375" style="3" customWidth="1" collapsed="1"/>
    <col min="204" max="204" width="11.7109375" style="1" customWidth="1"/>
    <col min="205" max="205" width="10.140625" style="1" customWidth="1"/>
    <col min="206" max="206" width="10.42578125" style="1" customWidth="1"/>
    <col min="207" max="207" width="11.7109375" style="197" customWidth="1"/>
    <col min="208" max="208" width="3.7109375" style="1" customWidth="1"/>
    <col min="209" max="210" width="8.7109375" style="1" customWidth="1"/>
    <col min="211" max="211" width="12" style="1" customWidth="1"/>
    <col min="212" max="212" width="11.5703125" style="1" customWidth="1"/>
    <col min="213" max="213" width="11.28515625" style="197" bestFit="1" customWidth="1"/>
    <col min="214" max="214" width="10.28515625" style="197" bestFit="1" customWidth="1"/>
    <col min="215" max="215" width="11" style="197" customWidth="1"/>
    <col min="216" max="216" width="12.28515625" style="197" bestFit="1" customWidth="1"/>
    <col min="217" max="217" width="11.7109375" style="197" customWidth="1"/>
    <col min="218" max="218" width="7.7109375" style="197" customWidth="1"/>
    <col min="219" max="219" width="8.7109375" style="2" customWidth="1"/>
    <col min="220" max="221" width="9.7109375" style="2" customWidth="1"/>
    <col min="222" max="222" width="7.7109375" style="2" customWidth="1"/>
    <col min="223" max="223" width="16.7109375" style="2" customWidth="1"/>
    <col min="224" max="224" width="12.7109375" style="2" customWidth="1"/>
    <col min="225" max="225" width="8.7109375" style="1" customWidth="1"/>
    <col min="226" max="230" width="9.140625" style="1"/>
    <col min="231" max="231" width="10.140625" style="1" bestFit="1" customWidth="1"/>
    <col min="232" max="16384" width="9.140625" style="1"/>
  </cols>
  <sheetData>
    <row r="1" spans="2:224" x14ac:dyDescent="0.25">
      <c r="C1" s="387"/>
      <c r="E1" s="71">
        <v>0.15</v>
      </c>
      <c r="CC1" s="1"/>
      <c r="CG1" s="6"/>
      <c r="CH1" s="1"/>
      <c r="CI1" s="241"/>
      <c r="CJ1" s="1"/>
      <c r="CL1" s="1"/>
      <c r="CM1" s="5"/>
      <c r="CN1" s="5"/>
      <c r="CO1" s="5"/>
      <c r="CP1" s="5"/>
      <c r="CQ1" s="5"/>
      <c r="CR1" s="5"/>
      <c r="CS1" s="5"/>
      <c r="CT1" s="1"/>
      <c r="CU1" s="1"/>
      <c r="CV1" s="1"/>
      <c r="CW1" s="1"/>
      <c r="CX1" s="1"/>
      <c r="DB1" s="5"/>
      <c r="DC1" s="5"/>
      <c r="DE1" s="1"/>
      <c r="DF1" s="1"/>
      <c r="DG1" s="237"/>
      <c r="DI1" s="1"/>
      <c r="DJ1" s="1"/>
      <c r="DK1" s="3"/>
      <c r="DL1" s="3"/>
      <c r="DM1" s="3"/>
      <c r="DN1" s="3"/>
      <c r="DO1" s="3"/>
      <c r="DP1" s="3"/>
      <c r="DQ1" s="3"/>
      <c r="DR1" s="3"/>
      <c r="DS1" s="3"/>
      <c r="DT1" s="1"/>
      <c r="DU1" s="1"/>
      <c r="DV1" s="237"/>
      <c r="DW1" s="251"/>
      <c r="DX1" s="295"/>
      <c r="DY1" s="295"/>
      <c r="DZ1" s="240"/>
      <c r="EA1" s="258"/>
      <c r="EB1" s="3"/>
      <c r="EC1" s="3"/>
      <c r="ED1" s="3"/>
      <c r="EE1" s="3"/>
      <c r="EF1" s="1"/>
      <c r="EG1" s="1"/>
      <c r="EH1" s="237"/>
      <c r="EI1" s="1"/>
      <c r="EJ1" s="3"/>
      <c r="EK1" s="3"/>
      <c r="EL1" s="3"/>
      <c r="EM1" s="3"/>
      <c r="EN1" s="3"/>
      <c r="EO1" s="3"/>
      <c r="EP1" s="3"/>
      <c r="ER1" s="356"/>
      <c r="ES1" s="3"/>
      <c r="EU1" s="1"/>
      <c r="EW1" s="3"/>
      <c r="EX1" s="216" t="s">
        <v>1088</v>
      </c>
      <c r="EZ1" s="3"/>
      <c r="FA1" s="3"/>
      <c r="FD1" s="3"/>
      <c r="FE1" s="3"/>
      <c r="FF1" s="3"/>
      <c r="FG1" s="4"/>
      <c r="FH1" s="85"/>
      <c r="FJ1" s="1"/>
      <c r="FK1" s="247"/>
      <c r="FL1" s="303"/>
      <c r="FN1" s="1"/>
      <c r="FO1" s="1"/>
      <c r="FP1" s="1"/>
      <c r="FR1" s="1"/>
      <c r="FS1" s="1"/>
      <c r="FT1" s="237"/>
      <c r="FU1" s="237"/>
      <c r="FV1" s="237"/>
      <c r="FW1" s="278"/>
      <c r="FX1" s="237"/>
      <c r="FZ1" s="2"/>
      <c r="GA1" s="241"/>
      <c r="GB1" s="1"/>
      <c r="GC1" s="1"/>
      <c r="GD1" s="84">
        <v>0.2</v>
      </c>
      <c r="GE1" s="84">
        <v>0.95</v>
      </c>
      <c r="GF1" s="84">
        <v>0.1</v>
      </c>
      <c r="GG1" s="2"/>
      <c r="GH1" s="2"/>
      <c r="GI1" s="2"/>
      <c r="GJ1" s="2"/>
      <c r="GK1" s="2"/>
      <c r="GL1" s="2"/>
      <c r="GM1" s="2"/>
      <c r="GN1" s="2"/>
      <c r="GO1" s="2"/>
      <c r="GP1" s="2"/>
      <c r="GQ1" s="2"/>
      <c r="GR1" s="2"/>
      <c r="GT1" s="2"/>
      <c r="GU1" s="2"/>
      <c r="GV1" s="2"/>
      <c r="HK1" s="1"/>
      <c r="HL1" s="1"/>
      <c r="HM1" s="1"/>
      <c r="HN1" s="1"/>
      <c r="HO1" s="1"/>
      <c r="HP1" s="1"/>
    </row>
    <row r="2" spans="2:224" ht="12.75" customHeight="1" x14ac:dyDescent="0.25">
      <c r="B2" s="72"/>
      <c r="C2" s="387"/>
      <c r="D2" s="216" t="s">
        <v>367</v>
      </c>
      <c r="E2" s="82"/>
      <c r="F2" s="82"/>
      <c r="G2" s="82"/>
      <c r="H2" s="82"/>
      <c r="I2" s="83"/>
      <c r="J2" s="83"/>
      <c r="K2" s="82"/>
      <c r="L2" s="82"/>
      <c r="M2" s="82"/>
      <c r="N2" s="82"/>
      <c r="O2" s="82"/>
      <c r="P2" s="73"/>
      <c r="Q2" s="81"/>
      <c r="R2" s="72"/>
      <c r="S2" s="80"/>
      <c r="T2" s="72"/>
      <c r="U2" s="79"/>
      <c r="V2" s="266"/>
      <c r="W2" s="266"/>
      <c r="X2" s="266"/>
      <c r="Y2" s="266"/>
      <c r="Z2" s="272"/>
      <c r="AA2" s="277"/>
      <c r="AB2" s="277"/>
      <c r="AC2" s="72"/>
      <c r="AD2" s="78"/>
      <c r="AE2" s="72"/>
      <c r="AF2" s="72"/>
      <c r="AG2" s="72"/>
      <c r="AH2" s="78"/>
      <c r="AI2" s="72"/>
      <c r="AJ2" s="73"/>
      <c r="AK2" s="73"/>
      <c r="AL2" s="73"/>
      <c r="AM2" s="44"/>
      <c r="AN2" s="73"/>
      <c r="AO2" s="73"/>
      <c r="AP2" s="377" t="s">
        <v>1140</v>
      </c>
      <c r="AQ2" s="73">
        <v>5</v>
      </c>
      <c r="AR2" s="77"/>
      <c r="AS2" s="73"/>
      <c r="AT2" s="73"/>
      <c r="AU2" s="73"/>
      <c r="AV2" s="73"/>
      <c r="AW2" s="73"/>
      <c r="AX2" s="73"/>
      <c r="AY2" s="73"/>
      <c r="AZ2" s="73"/>
      <c r="BA2" s="216" t="s">
        <v>1003</v>
      </c>
      <c r="BB2" s="73"/>
      <c r="BC2" s="73"/>
      <c r="BD2" s="73"/>
      <c r="BE2" s="73"/>
      <c r="BF2" s="73"/>
      <c r="BG2" s="73"/>
      <c r="BH2" s="73"/>
      <c r="BI2" s="73"/>
      <c r="BJ2" s="73"/>
      <c r="BK2" s="73"/>
      <c r="BL2" s="73"/>
      <c r="BM2" s="73"/>
      <c r="BN2" s="73"/>
      <c r="BO2" s="73"/>
      <c r="BP2" s="73"/>
      <c r="BQ2" s="73"/>
      <c r="BR2" s="73"/>
      <c r="BS2" s="76"/>
      <c r="BT2" s="72"/>
      <c r="BU2" s="72"/>
      <c r="BV2" s="72"/>
      <c r="BW2" s="72"/>
      <c r="BX2" s="72"/>
      <c r="BY2" s="72"/>
      <c r="BZ2" s="72"/>
      <c r="CB2" s="72"/>
      <c r="CC2" s="72"/>
      <c r="CD2" s="72"/>
      <c r="CE2" s="72"/>
      <c r="CF2" s="72"/>
      <c r="CG2" s="72"/>
      <c r="CH2" s="1"/>
      <c r="CI2" s="241"/>
      <c r="CJ2" s="12"/>
      <c r="CK2" s="72"/>
      <c r="CL2" s="1"/>
      <c r="CM2" s="72"/>
      <c r="CN2" s="72"/>
      <c r="CO2" s="72"/>
      <c r="CP2" s="72"/>
      <c r="CQ2" s="72"/>
      <c r="CR2" s="72"/>
      <c r="CS2" s="72"/>
      <c r="CT2" s="75"/>
      <c r="CU2" s="75"/>
      <c r="CV2" s="75"/>
      <c r="CW2" s="75"/>
      <c r="CY2" s="71">
        <v>0.5</v>
      </c>
      <c r="CZ2" s="204" t="s">
        <v>829</v>
      </c>
      <c r="DA2" s="71"/>
      <c r="DB2" s="72"/>
      <c r="DC2" s="72"/>
      <c r="DD2" s="72"/>
      <c r="DE2" s="75"/>
      <c r="DF2" s="75"/>
      <c r="DG2" s="238"/>
      <c r="DH2" s="75"/>
      <c r="DI2" s="75"/>
      <c r="DJ2" s="75"/>
      <c r="DK2" s="75"/>
      <c r="DL2" s="75"/>
      <c r="DM2" s="75"/>
      <c r="DN2" s="75"/>
      <c r="DO2" s="1"/>
      <c r="DP2" s="1"/>
      <c r="DQ2" s="1"/>
      <c r="DR2" s="75"/>
      <c r="DS2" s="3"/>
      <c r="DT2" s="75"/>
      <c r="DU2" s="75"/>
      <c r="DV2" s="238"/>
      <c r="DW2" s="252"/>
      <c r="DX2" s="296"/>
      <c r="DY2" s="296"/>
      <c r="DZ2" s="238"/>
      <c r="EA2" s="259"/>
      <c r="EB2" s="75"/>
      <c r="EC2" s="75"/>
      <c r="ED2" s="75"/>
      <c r="EE2" s="75"/>
      <c r="EF2" s="75"/>
      <c r="EG2" s="75"/>
      <c r="EH2" s="238"/>
      <c r="EI2" s="75"/>
      <c r="EJ2" s="75"/>
      <c r="EK2" s="75"/>
      <c r="EL2" s="75"/>
      <c r="EM2" s="75"/>
      <c r="EN2" s="75"/>
      <c r="EO2" s="75"/>
      <c r="EP2" s="75"/>
      <c r="ER2" s="357"/>
      <c r="ES2" s="75"/>
      <c r="ET2" s="75"/>
      <c r="EU2" s="1"/>
      <c r="EW2" s="3"/>
      <c r="EX2" s="367">
        <v>1E-3</v>
      </c>
      <c r="EY2" s="216" t="s">
        <v>1099</v>
      </c>
      <c r="EZ2" s="367">
        <f>MinimumPremiumRequired * 365</f>
        <v>0.36499999999999999</v>
      </c>
      <c r="FA2" s="216" t="s">
        <v>1102</v>
      </c>
      <c r="FB2"/>
      <c r="FC2"/>
      <c r="FD2" s="75"/>
      <c r="FE2" s="75"/>
      <c r="FF2" s="75"/>
      <c r="FG2" s="75"/>
      <c r="FH2" s="74"/>
      <c r="FI2" s="75"/>
      <c r="FJ2" s="75"/>
      <c r="FK2" s="8">
        <v>5.0000000000000001E-4</v>
      </c>
      <c r="FL2" s="332" t="s">
        <v>848</v>
      </c>
      <c r="FM2" s="75"/>
      <c r="FN2" s="72"/>
      <c r="FO2" s="2"/>
      <c r="FP2" s="2"/>
      <c r="FQ2" s="1"/>
      <c r="FR2" s="1"/>
      <c r="FS2" s="1"/>
      <c r="FT2" s="237"/>
      <c r="FU2" s="237"/>
      <c r="FV2" s="237"/>
      <c r="FW2" s="278"/>
      <c r="FX2" s="237"/>
      <c r="FY2" s="1"/>
      <c r="FZ2" s="1"/>
      <c r="GA2" s="241"/>
      <c r="GB2" s="1"/>
      <c r="GC2" s="73"/>
      <c r="GD2" s="74" t="s">
        <v>366</v>
      </c>
      <c r="GE2" s="74" t="s">
        <v>366</v>
      </c>
      <c r="GF2" s="74" t="s">
        <v>365</v>
      </c>
      <c r="GG2" s="72"/>
      <c r="GH2" s="1"/>
      <c r="GI2" s="1"/>
      <c r="GJ2" s="1"/>
      <c r="GK2" s="1"/>
      <c r="GL2" s="1"/>
      <c r="GM2" s="1"/>
      <c r="GN2" s="1"/>
      <c r="GS2" s="1"/>
      <c r="GT2" s="1"/>
      <c r="GU2" s="1"/>
      <c r="HK2" s="1"/>
      <c r="HL2" s="1"/>
      <c r="HM2" s="1"/>
      <c r="HN2" s="1"/>
      <c r="HO2" s="1"/>
      <c r="HP2" s="1"/>
    </row>
    <row r="3" spans="2:224" ht="12.75" customHeight="1" x14ac:dyDescent="0.25">
      <c r="B3" s="72"/>
      <c r="C3" s="387"/>
      <c r="D3" s="216"/>
      <c r="E3" s="421">
        <f ca="1">TODAY()</f>
        <v>46235</v>
      </c>
      <c r="F3" s="82"/>
      <c r="G3" s="82"/>
      <c r="H3" s="82"/>
      <c r="I3" s="83"/>
      <c r="J3" s="83"/>
      <c r="K3" s="82"/>
      <c r="M3" s="82"/>
      <c r="N3" s="82"/>
      <c r="O3" s="82"/>
      <c r="P3" s="73"/>
      <c r="Q3" s="81"/>
      <c r="R3" s="72"/>
      <c r="S3" s="80"/>
      <c r="T3" s="72"/>
      <c r="U3" s="79"/>
      <c r="V3" s="266"/>
      <c r="W3" s="266"/>
      <c r="X3" s="266"/>
      <c r="Y3" s="266"/>
      <c r="Z3" s="272"/>
      <c r="AA3" s="277"/>
      <c r="AB3" s="277"/>
      <c r="AC3" s="72"/>
      <c r="AD3" s="78"/>
      <c r="AE3" s="72"/>
      <c r="AF3" s="72"/>
      <c r="AG3" s="72"/>
      <c r="AH3" s="78"/>
      <c r="AI3" s="72"/>
      <c r="AJ3" s="73"/>
      <c r="AK3" s="73"/>
      <c r="AL3" s="73"/>
      <c r="AM3" s="44"/>
      <c r="AN3" s="73"/>
      <c r="AO3" s="73"/>
      <c r="AP3" s="73"/>
      <c r="AQ3" s="77"/>
      <c r="AR3" s="77"/>
      <c r="AS3" s="73"/>
      <c r="AT3" s="73"/>
      <c r="AU3" s="73"/>
      <c r="AV3" s="73"/>
      <c r="AW3" s="73"/>
      <c r="AX3" s="73"/>
      <c r="AY3" s="73"/>
      <c r="AZ3" s="73"/>
      <c r="BA3" s="216"/>
      <c r="BB3" s="73"/>
      <c r="BC3" s="73"/>
      <c r="BD3" s="73"/>
      <c r="BE3" s="73"/>
      <c r="BF3" s="73"/>
      <c r="BG3" s="73"/>
      <c r="BH3" s="73"/>
      <c r="BI3" s="73"/>
      <c r="BJ3" s="73"/>
      <c r="BK3" s="73"/>
      <c r="BL3" s="73"/>
      <c r="BM3" s="73"/>
      <c r="BN3" s="73"/>
      <c r="BO3" s="73"/>
      <c r="BP3" s="73"/>
      <c r="BQ3" s="73"/>
      <c r="BR3" s="73"/>
      <c r="BS3" s="76"/>
      <c r="BT3" s="72"/>
      <c r="BU3" s="72"/>
      <c r="BV3" s="72"/>
      <c r="BW3" s="72"/>
      <c r="BX3" s="72"/>
      <c r="BY3" s="72"/>
      <c r="BZ3" s="72"/>
      <c r="CB3" s="72"/>
      <c r="CC3" s="72"/>
      <c r="CD3" s="72"/>
      <c r="CE3" s="72"/>
      <c r="CF3" s="72"/>
      <c r="CG3" s="72"/>
      <c r="CH3" s="1"/>
      <c r="CI3" s="241"/>
      <c r="CJ3" s="12"/>
      <c r="CK3" s="72"/>
      <c r="CL3" s="1"/>
      <c r="CM3" s="72"/>
      <c r="CN3" s="72"/>
      <c r="CO3" s="72"/>
      <c r="CP3" s="72"/>
      <c r="CQ3" s="72"/>
      <c r="CR3" s="72"/>
      <c r="CS3" s="72"/>
      <c r="CT3" s="75"/>
      <c r="CU3" s="75"/>
      <c r="CV3" s="75"/>
      <c r="CW3" s="75"/>
      <c r="CY3" s="71"/>
      <c r="CZ3" s="204"/>
      <c r="DA3" s="71"/>
      <c r="DB3" s="72"/>
      <c r="DC3" s="72"/>
      <c r="DD3" s="72"/>
      <c r="DE3" s="75"/>
      <c r="DF3" s="75"/>
      <c r="DG3" s="238"/>
      <c r="DH3" s="75"/>
      <c r="DI3" s="75"/>
      <c r="DJ3" s="75"/>
      <c r="DK3" s="75"/>
      <c r="DL3" s="75"/>
      <c r="DM3" s="75"/>
      <c r="DN3" s="75"/>
      <c r="DO3" s="1"/>
      <c r="DP3" s="1"/>
      <c r="DQ3" s="1"/>
      <c r="DR3" s="75"/>
      <c r="DS3" s="3"/>
      <c r="DT3" s="75"/>
      <c r="DU3" s="75"/>
      <c r="DV3" s="238"/>
      <c r="DW3" s="252"/>
      <c r="DX3" s="296"/>
      <c r="DY3" s="296"/>
      <c r="DZ3" s="238"/>
      <c r="EA3" s="259"/>
      <c r="EB3" s="75"/>
      <c r="EC3" s="75"/>
      <c r="ED3" s="75"/>
      <c r="EE3" s="75"/>
      <c r="EF3" s="75"/>
      <c r="EG3" s="75"/>
      <c r="EH3" s="238"/>
      <c r="EI3" s="75"/>
      <c r="EJ3" s="75"/>
      <c r="EK3" s="75"/>
      <c r="EL3" s="75"/>
      <c r="EM3" s="75"/>
      <c r="EN3" s="75"/>
      <c r="EO3" s="75"/>
      <c r="EP3" s="75"/>
      <c r="ER3" s="357"/>
      <c r="ES3" s="75"/>
      <c r="ET3" s="75"/>
      <c r="EU3" s="1"/>
      <c r="EW3" s="3"/>
      <c r="EX3" s="367"/>
      <c r="EY3" s="216"/>
      <c r="EZ3" s="367"/>
      <c r="FA3" s="216"/>
      <c r="FB3"/>
      <c r="FC3"/>
      <c r="FD3" s="75"/>
      <c r="FE3" s="75"/>
      <c r="FF3" s="75"/>
      <c r="FG3" s="75"/>
      <c r="FH3" s="74"/>
      <c r="FI3" s="75"/>
      <c r="FJ3" s="75"/>
      <c r="FK3" s="8"/>
      <c r="FL3" s="332"/>
      <c r="FM3" s="75"/>
      <c r="FN3" s="72"/>
      <c r="FO3" s="2"/>
      <c r="FP3" s="2"/>
      <c r="FQ3" s="1"/>
      <c r="FR3" s="1"/>
      <c r="FS3" s="1"/>
      <c r="FT3" s="237"/>
      <c r="FU3" s="237"/>
      <c r="FV3" s="237"/>
      <c r="FW3" s="278"/>
      <c r="FX3" s="237"/>
      <c r="FY3" s="1"/>
      <c r="FZ3" s="1"/>
      <c r="GA3" s="241"/>
      <c r="GB3" s="1"/>
      <c r="GC3" s="73"/>
      <c r="GD3" s="74"/>
      <c r="GE3" s="74"/>
      <c r="GF3" s="74"/>
      <c r="GG3" s="72"/>
      <c r="GH3" s="1"/>
      <c r="GI3" s="1"/>
      <c r="GJ3" s="1"/>
      <c r="GK3" s="1"/>
      <c r="GL3" s="1"/>
      <c r="GM3" s="1"/>
      <c r="GN3" s="1"/>
      <c r="GS3" s="1"/>
      <c r="GT3" s="1"/>
      <c r="GU3" s="1"/>
      <c r="HK3" s="1"/>
      <c r="HL3" s="1"/>
      <c r="HM3" s="1"/>
      <c r="HN3" s="1"/>
      <c r="HO3" s="1"/>
      <c r="HP3" s="1"/>
    </row>
    <row r="4" spans="2:224" ht="12.75" customHeight="1" x14ac:dyDescent="0.25">
      <c r="B4" s="72"/>
      <c r="C4" s="387"/>
      <c r="D4" s="216"/>
      <c r="E4" s="82"/>
      <c r="F4" s="82"/>
      <c r="H4" s="82"/>
      <c r="I4" s="83"/>
      <c r="J4" s="83"/>
      <c r="K4" s="82"/>
      <c r="L4" s="82"/>
      <c r="M4" s="82"/>
      <c r="N4" s="82"/>
      <c r="O4" s="82"/>
      <c r="P4" s="73"/>
      <c r="Q4" s="81"/>
      <c r="R4" s="72"/>
      <c r="S4" s="80"/>
      <c r="T4" s="72"/>
      <c r="U4" s="79"/>
      <c r="V4" s="266"/>
      <c r="W4" s="266"/>
      <c r="X4" s="266"/>
      <c r="Y4" s="266"/>
      <c r="Z4" s="272"/>
      <c r="AA4" s="277"/>
      <c r="AB4" s="277"/>
      <c r="AC4" s="72"/>
      <c r="AD4" s="78"/>
      <c r="AE4" s="72"/>
      <c r="AF4" s="72"/>
      <c r="AG4" s="72"/>
      <c r="AH4" s="78"/>
      <c r="AI4" s="72"/>
      <c r="AJ4" s="73"/>
      <c r="AK4" s="73"/>
      <c r="AL4" s="73"/>
      <c r="AM4" s="44"/>
      <c r="AN4" s="73"/>
      <c r="AO4" s="73"/>
      <c r="AP4" s="73"/>
      <c r="AQ4" s="77"/>
      <c r="AR4" s="77"/>
      <c r="AS4" s="73"/>
      <c r="AT4" s="73"/>
      <c r="AU4" s="73"/>
      <c r="AV4" s="73"/>
      <c r="AW4" s="73"/>
      <c r="AX4" s="73"/>
      <c r="AY4" s="73"/>
      <c r="AZ4" s="73"/>
      <c r="BA4" s="216"/>
      <c r="BB4" s="73"/>
      <c r="BC4" s="73"/>
      <c r="BD4" s="73"/>
      <c r="BE4" s="73"/>
      <c r="BF4" s="73"/>
      <c r="BG4" s="73"/>
      <c r="BH4" s="73"/>
      <c r="BI4" s="73"/>
      <c r="BJ4" s="73"/>
      <c r="BK4" s="73"/>
      <c r="BL4" s="73"/>
      <c r="BM4" s="73"/>
      <c r="BN4" s="73"/>
      <c r="BO4" s="73"/>
      <c r="BP4" s="73"/>
      <c r="BQ4" s="73"/>
      <c r="BR4" s="73"/>
      <c r="BS4" s="76"/>
      <c r="BT4" s="72"/>
      <c r="BU4" s="72"/>
      <c r="BV4" s="72"/>
      <c r="BW4" s="72"/>
      <c r="BX4" s="72"/>
      <c r="BY4" s="72"/>
      <c r="BZ4" s="72"/>
      <c r="CB4" s="72"/>
      <c r="CC4" s="72"/>
      <c r="CD4" s="72"/>
      <c r="CE4" s="72"/>
      <c r="CF4" s="72"/>
      <c r="CG4" s="72"/>
      <c r="CH4" s="1"/>
      <c r="CI4" s="241"/>
      <c r="CJ4" s="12"/>
      <c r="CK4" s="72"/>
      <c r="CL4" s="1"/>
      <c r="CM4" s="72"/>
      <c r="CN4" s="72"/>
      <c r="CO4" s="72"/>
      <c r="CP4" s="72"/>
      <c r="CQ4" s="72"/>
      <c r="CR4" s="72"/>
      <c r="CS4" s="72"/>
      <c r="CT4" s="75"/>
      <c r="CU4" s="75"/>
      <c r="CV4" s="75"/>
      <c r="CW4" s="75"/>
      <c r="CY4" s="71"/>
      <c r="CZ4" s="204"/>
      <c r="DA4" s="71"/>
      <c r="DB4" s="72"/>
      <c r="DC4" s="72"/>
      <c r="DD4" s="72"/>
      <c r="DE4" s="75"/>
      <c r="DF4" s="75"/>
      <c r="DG4" s="238"/>
      <c r="DH4" s="75"/>
      <c r="DI4" s="75"/>
      <c r="DJ4" s="75"/>
      <c r="DK4" s="75"/>
      <c r="DL4" s="75"/>
      <c r="DM4" s="75"/>
      <c r="DN4" s="75"/>
      <c r="DO4" s="1"/>
      <c r="DP4" s="1"/>
      <c r="DQ4" s="1"/>
      <c r="DR4" s="75"/>
      <c r="DS4" s="3"/>
      <c r="DT4" s="75"/>
      <c r="DU4" s="75"/>
      <c r="DV4" s="238"/>
      <c r="DW4" s="252"/>
      <c r="DX4" s="296"/>
      <c r="DY4" s="296"/>
      <c r="DZ4" s="238"/>
      <c r="EA4" s="259"/>
      <c r="EB4" s="75"/>
      <c r="EC4" s="75"/>
      <c r="ED4" s="75"/>
      <c r="EE4" s="75"/>
      <c r="EF4" s="75"/>
      <c r="EG4" s="75"/>
      <c r="EH4" s="238"/>
      <c r="EI4" s="75"/>
      <c r="EJ4" s="75"/>
      <c r="EK4" s="75"/>
      <c r="EL4" s="75"/>
      <c r="EM4" s="75"/>
      <c r="EN4" s="75"/>
      <c r="EO4" s="75"/>
      <c r="EP4" s="75"/>
      <c r="ER4" s="357"/>
      <c r="ES4" s="75"/>
      <c r="ET4" s="75"/>
      <c r="EU4" s="1"/>
      <c r="EW4" s="3"/>
      <c r="EX4" s="367"/>
      <c r="EY4" s="216"/>
      <c r="EZ4" s="367"/>
      <c r="FA4" s="216"/>
      <c r="FB4"/>
      <c r="FC4"/>
      <c r="FD4" s="75"/>
      <c r="FE4" s="75"/>
      <c r="FF4" s="75"/>
      <c r="FG4" s="75"/>
      <c r="FH4" s="74"/>
      <c r="FI4" s="75"/>
      <c r="FJ4" s="75"/>
      <c r="FK4" s="8"/>
      <c r="FL4" s="332"/>
      <c r="FM4" s="75"/>
      <c r="FN4" s="72"/>
      <c r="FO4" s="2"/>
      <c r="FP4" s="2"/>
      <c r="FQ4" s="1"/>
      <c r="FR4" s="1"/>
      <c r="FS4" s="1"/>
      <c r="FT4" s="237"/>
      <c r="FU4" s="237"/>
      <c r="FV4" s="237"/>
      <c r="FW4" s="278"/>
      <c r="FX4" s="237"/>
      <c r="FY4" s="1"/>
      <c r="FZ4" s="1"/>
      <c r="GA4" s="241"/>
      <c r="GB4" s="1"/>
      <c r="GC4" s="73"/>
      <c r="GD4" s="74"/>
      <c r="GE4" s="74"/>
      <c r="GF4" s="74"/>
      <c r="GG4" s="72"/>
      <c r="GH4" s="1"/>
      <c r="GI4" s="1"/>
      <c r="GJ4" s="1"/>
      <c r="GK4" s="1"/>
      <c r="GL4" s="1"/>
      <c r="GM4" s="1"/>
      <c r="GN4" s="1"/>
      <c r="GS4" s="1"/>
      <c r="GT4" s="1"/>
      <c r="GU4" s="1"/>
      <c r="HK4" s="1"/>
      <c r="HL4" s="1"/>
      <c r="HM4" s="1"/>
      <c r="HN4" s="1"/>
      <c r="HO4" s="1"/>
      <c r="HP4" s="1"/>
    </row>
    <row r="5" spans="2:224" ht="12.75" customHeight="1" x14ac:dyDescent="0.25">
      <c r="C5" s="387"/>
      <c r="D5" s="207"/>
      <c r="E5" s="421">
        <f ca="1">MockToday + MOD(5 - WEEKDAY(MockToday, 2) + 7, 7)</f>
        <v>46241</v>
      </c>
      <c r="F5" s="26"/>
      <c r="G5" s="82" t="s">
        <v>1307</v>
      </c>
      <c r="H5" s="3"/>
      <c r="I5" s="3"/>
      <c r="J5" s="3"/>
      <c r="K5" s="3"/>
      <c r="L5" s="3"/>
      <c r="M5" s="3"/>
      <c r="N5" s="3"/>
      <c r="O5" s="3"/>
      <c r="P5" s="11"/>
      <c r="Q5" s="9"/>
      <c r="R5" s="1"/>
      <c r="S5" s="8"/>
      <c r="T5" s="3"/>
      <c r="U5" s="28"/>
      <c r="V5" s="197"/>
      <c r="W5" s="197"/>
      <c r="X5" s="197"/>
      <c r="Y5" s="197"/>
      <c r="Z5" s="273"/>
      <c r="AA5" s="278"/>
      <c r="AB5" s="278"/>
      <c r="AC5" s="1"/>
      <c r="AD5" s="4"/>
      <c r="AF5" s="3"/>
      <c r="AG5" s="3"/>
      <c r="AH5" s="5"/>
      <c r="AI5" s="3"/>
      <c r="AJ5" s="3"/>
      <c r="AK5" s="3"/>
      <c r="AL5" s="16"/>
      <c r="AM5" s="7"/>
      <c r="AN5" s="16"/>
      <c r="AO5" s="3"/>
      <c r="AP5" s="3"/>
      <c r="AQ5" s="3"/>
      <c r="AR5" s="3"/>
      <c r="AS5" s="3"/>
      <c r="AT5" s="3"/>
      <c r="AU5" s="3"/>
      <c r="AV5" s="3"/>
      <c r="AW5" s="3"/>
      <c r="AX5" s="3"/>
      <c r="AY5" s="3"/>
      <c r="AZ5" s="3"/>
      <c r="BA5" s="3"/>
      <c r="BB5" s="3"/>
      <c r="BC5" s="16"/>
      <c r="BD5" s="3"/>
      <c r="BE5" s="3"/>
      <c r="BF5" s="3"/>
      <c r="BG5" s="3"/>
      <c r="BH5" s="3"/>
      <c r="BI5" s="3"/>
      <c r="BJ5" s="3"/>
      <c r="BK5" s="3"/>
      <c r="BL5" s="3"/>
      <c r="BM5" s="3"/>
      <c r="BN5" s="3"/>
      <c r="BO5" s="16"/>
      <c r="BP5" s="16"/>
      <c r="BQ5" s="16"/>
      <c r="BR5" s="16"/>
      <c r="BS5" s="4"/>
      <c r="BT5" s="1"/>
      <c r="BU5" s="16"/>
      <c r="BV5" s="16"/>
      <c r="BW5" s="16"/>
      <c r="BX5" s="16"/>
      <c r="BY5" s="16"/>
      <c r="BZ5" s="16"/>
      <c r="CB5" s="3"/>
      <c r="CC5" s="3"/>
      <c r="CD5" s="3"/>
      <c r="CE5" s="3"/>
      <c r="CF5" s="3"/>
      <c r="CG5" s="1"/>
      <c r="CH5" s="1"/>
      <c r="CI5" s="241"/>
      <c r="CJ5" s="1"/>
      <c r="CK5" s="3"/>
      <c r="CL5" s="7"/>
      <c r="CM5" s="1"/>
      <c r="CN5" s="1"/>
      <c r="CP5" s="1"/>
      <c r="CQ5" s="1"/>
      <c r="CR5" s="1"/>
      <c r="CS5" s="1"/>
      <c r="CT5" s="13"/>
      <c r="CU5" s="13"/>
      <c r="CV5" s="13"/>
      <c r="CW5" s="5"/>
      <c r="CY5" s="71">
        <v>0.03</v>
      </c>
      <c r="CZ5" s="204" t="s">
        <v>828</v>
      </c>
      <c r="DA5" s="71"/>
      <c r="DD5" s="1"/>
      <c r="DE5" s="5"/>
      <c r="DF5" s="5"/>
      <c r="DG5" s="237"/>
      <c r="DH5" s="5"/>
      <c r="DI5" s="5"/>
      <c r="DJ5" s="5"/>
      <c r="DK5" s="5"/>
      <c r="DL5" s="5"/>
      <c r="DO5" s="5"/>
      <c r="DP5" s="5"/>
      <c r="DQ5" s="5"/>
      <c r="DR5" s="3"/>
      <c r="DT5" s="13"/>
      <c r="DU5" s="13"/>
      <c r="DV5" s="237"/>
      <c r="DW5" s="253"/>
      <c r="DX5" s="297"/>
      <c r="DY5" s="297"/>
      <c r="DZ5" s="237"/>
      <c r="EA5" s="260"/>
      <c r="EB5" s="71">
        <v>0.25</v>
      </c>
      <c r="EC5" s="216" t="s">
        <v>816</v>
      </c>
      <c r="ED5" s="1"/>
      <c r="EE5" s="216"/>
      <c r="EF5" s="13"/>
      <c r="EG5" s="13"/>
      <c r="EH5" s="237"/>
      <c r="EI5" s="13"/>
      <c r="EJ5" s="5"/>
      <c r="EK5" s="5"/>
      <c r="EL5" s="14"/>
      <c r="EM5" s="25"/>
      <c r="EN5" s="5"/>
      <c r="EO5" s="1"/>
      <c r="EP5" s="1"/>
      <c r="ER5" s="358"/>
      <c r="ES5" s="5"/>
      <c r="ET5" s="5"/>
      <c r="EU5" s="70"/>
      <c r="EW5" s="3"/>
      <c r="EX5" s="367">
        <f>MinimumPremiumRequired * 7</f>
        <v>7.0000000000000001E-3</v>
      </c>
      <c r="EY5" s="216" t="s">
        <v>1100</v>
      </c>
      <c r="EZ5" s="367">
        <f>EZ2/12</f>
        <v>3.0416666666666665E-2</v>
      </c>
      <c r="FA5" s="216" t="s">
        <v>1101</v>
      </c>
      <c r="FB5"/>
      <c r="FC5"/>
      <c r="FD5" s="5"/>
      <c r="FE5" s="5"/>
      <c r="FF5" s="5"/>
      <c r="FG5" s="5"/>
      <c r="FH5" s="70"/>
      <c r="FI5" s="5"/>
      <c r="FJ5" s="28"/>
      <c r="FK5" s="71">
        <v>0.5</v>
      </c>
      <c r="FL5" s="306" t="s">
        <v>849</v>
      </c>
      <c r="FM5" s="2"/>
      <c r="FO5" s="2"/>
      <c r="FP5" s="2"/>
      <c r="FZ5" s="1"/>
      <c r="GA5" s="241"/>
      <c r="GB5" s="1"/>
      <c r="GC5" s="31"/>
      <c r="GD5" s="70" t="s">
        <v>364</v>
      </c>
      <c r="GE5" s="70" t="s">
        <v>363</v>
      </c>
      <c r="GF5" s="69" t="s">
        <v>348</v>
      </c>
      <c r="GG5" s="1"/>
      <c r="GH5" s="1"/>
      <c r="GI5" s="1"/>
      <c r="GJ5" s="1"/>
      <c r="GK5" s="1"/>
      <c r="GL5" s="1"/>
      <c r="GM5" s="1"/>
      <c r="GN5" s="1"/>
      <c r="GS5" s="1"/>
      <c r="GT5" s="1"/>
      <c r="GU5" s="1"/>
      <c r="HK5" s="1"/>
      <c r="HL5" s="1"/>
      <c r="HM5" s="1"/>
      <c r="HN5" s="1"/>
      <c r="HO5" s="1"/>
      <c r="HP5" s="1"/>
    </row>
    <row r="6" spans="2:224" ht="12.75" customHeight="1" x14ac:dyDescent="0.25">
      <c r="C6" s="387"/>
      <c r="D6" s="207"/>
      <c r="E6" s="421">
        <f ca="1">EOMONTH(MockToday,0)+1 + MOD(6 - WEEKDAY(EOMONTH(MockToday,0)+1),7) + 14</f>
        <v>46283</v>
      </c>
      <c r="F6" s="26"/>
      <c r="G6" s="325" t="s">
        <v>1308</v>
      </c>
      <c r="H6" s="3"/>
      <c r="I6" s="3"/>
      <c r="J6" s="3"/>
      <c r="K6" s="3"/>
      <c r="L6" s="3"/>
      <c r="M6" s="3"/>
      <c r="N6" s="3"/>
      <c r="O6" s="3"/>
      <c r="P6" s="11"/>
      <c r="Q6" s="9"/>
      <c r="R6" s="1"/>
      <c r="S6" s="8"/>
      <c r="T6" s="3"/>
      <c r="U6" s="28"/>
      <c r="V6" s="197"/>
      <c r="W6" s="197"/>
      <c r="X6" s="197"/>
      <c r="Y6" s="197"/>
      <c r="Z6" s="273"/>
      <c r="AA6" s="278"/>
      <c r="AB6" s="278"/>
      <c r="AC6" s="1"/>
      <c r="AD6" s="4"/>
      <c r="AF6" s="3"/>
      <c r="AG6" s="3"/>
      <c r="AH6" s="5"/>
      <c r="AI6" s="3"/>
      <c r="AJ6" s="3"/>
      <c r="AK6" s="3"/>
      <c r="AL6" s="16"/>
      <c r="AM6" s="7"/>
      <c r="AN6" s="16"/>
      <c r="AO6" s="3"/>
      <c r="AP6" s="3"/>
      <c r="AQ6" s="3"/>
      <c r="AR6" s="3"/>
      <c r="AS6" s="3"/>
      <c r="AT6" s="3"/>
      <c r="AU6" s="3"/>
      <c r="AV6" s="3"/>
      <c r="AW6" s="3"/>
      <c r="AX6" s="3"/>
      <c r="AY6" s="3"/>
      <c r="AZ6" s="3"/>
      <c r="BA6" s="3"/>
      <c r="BB6" s="3"/>
      <c r="BC6" s="16"/>
      <c r="BD6" s="3"/>
      <c r="BE6" s="3"/>
      <c r="BF6" s="3"/>
      <c r="BG6" s="3"/>
      <c r="BH6" s="3"/>
      <c r="BI6" s="3"/>
      <c r="BJ6" s="3"/>
      <c r="BK6" s="3"/>
      <c r="BL6" s="3"/>
      <c r="BM6" s="3"/>
      <c r="BN6" s="3"/>
      <c r="BO6" s="16"/>
      <c r="BP6" s="16"/>
      <c r="BQ6" s="16"/>
      <c r="BR6" s="16"/>
      <c r="BS6" s="4"/>
      <c r="BT6" s="1"/>
      <c r="BU6" s="16"/>
      <c r="BV6" s="16"/>
      <c r="BW6" s="16"/>
      <c r="BX6" s="16"/>
      <c r="BY6" s="16"/>
      <c r="BZ6" s="16"/>
      <c r="CB6" s="3"/>
      <c r="CC6" s="3"/>
      <c r="CD6" s="3"/>
      <c r="CE6" s="3"/>
      <c r="CF6" s="3"/>
      <c r="CG6" s="1"/>
      <c r="CH6" s="1"/>
      <c r="CI6" s="241"/>
      <c r="CJ6" s="1"/>
      <c r="CK6" s="3"/>
      <c r="CL6" s="7"/>
      <c r="CM6" s="1"/>
      <c r="CN6" s="1"/>
      <c r="CP6" s="1"/>
      <c r="CQ6" s="1"/>
      <c r="CR6" s="1"/>
      <c r="CS6" s="1"/>
      <c r="CT6" s="13"/>
      <c r="CU6" s="13"/>
      <c r="CV6" s="13"/>
      <c r="CW6" s="5"/>
      <c r="CY6" s="71"/>
      <c r="CZ6" s="204"/>
      <c r="DA6" s="71"/>
      <c r="DD6" s="1"/>
      <c r="DE6" s="5"/>
      <c r="DF6" s="5"/>
      <c r="DG6" s="237"/>
      <c r="DH6" s="5"/>
      <c r="DI6" s="5"/>
      <c r="DJ6" s="5"/>
      <c r="DK6" s="5"/>
      <c r="DL6" s="5"/>
      <c r="DO6" s="5"/>
      <c r="DP6" s="5"/>
      <c r="DQ6" s="5"/>
      <c r="DR6" s="3"/>
      <c r="DT6" s="13"/>
      <c r="DU6" s="13"/>
      <c r="DV6" s="237"/>
      <c r="DW6" s="253"/>
      <c r="DX6" s="297"/>
      <c r="DY6" s="297"/>
      <c r="DZ6" s="237"/>
      <c r="EA6" s="260"/>
      <c r="EB6" s="71"/>
      <c r="EC6" s="216"/>
      <c r="ED6" s="1"/>
      <c r="EE6" s="216"/>
      <c r="EF6" s="13"/>
      <c r="EG6" s="13"/>
      <c r="EH6" s="237"/>
      <c r="EI6" s="13"/>
      <c r="EJ6" s="5"/>
      <c r="EK6" s="5"/>
      <c r="EL6" s="14"/>
      <c r="EM6" s="25"/>
      <c r="EN6" s="5"/>
      <c r="EO6" s="1"/>
      <c r="EP6" s="1"/>
      <c r="ER6" s="358"/>
      <c r="ES6" s="5"/>
      <c r="ET6" s="5"/>
      <c r="EU6" s="70"/>
      <c r="EW6" s="3"/>
      <c r="EX6" s="367"/>
      <c r="EY6" s="216"/>
      <c r="EZ6" s="367"/>
      <c r="FA6" s="216"/>
      <c r="FB6"/>
      <c r="FC6"/>
      <c r="FD6" s="5"/>
      <c r="FE6" s="5"/>
      <c r="FF6" s="5"/>
      <c r="FG6" s="5"/>
      <c r="FH6" s="70"/>
      <c r="FI6" s="5"/>
      <c r="FJ6" s="28"/>
      <c r="FK6" s="71"/>
      <c r="FL6" s="306"/>
      <c r="FM6" s="2"/>
      <c r="FO6" s="2"/>
      <c r="FP6" s="2"/>
      <c r="FZ6" s="1"/>
      <c r="GA6" s="241"/>
      <c r="GB6" s="1"/>
      <c r="GC6" s="31"/>
      <c r="GD6" s="70"/>
      <c r="GE6" s="70"/>
      <c r="GF6" s="69"/>
      <c r="GG6" s="1"/>
      <c r="GH6" s="1"/>
      <c r="GI6" s="1"/>
      <c r="GJ6" s="1"/>
      <c r="GK6" s="1"/>
      <c r="GL6" s="1"/>
      <c r="GM6" s="1"/>
      <c r="GN6" s="1"/>
      <c r="GS6" s="1"/>
      <c r="GT6" s="1"/>
      <c r="GU6" s="1"/>
      <c r="HK6" s="1"/>
      <c r="HL6" s="1"/>
      <c r="HM6" s="1"/>
      <c r="HN6" s="1"/>
      <c r="HO6" s="1"/>
      <c r="HP6" s="1"/>
    </row>
    <row r="7" spans="2:224" s="54" customFormat="1" ht="23.25" x14ac:dyDescent="0.25">
      <c r="B7" s="56" t="s">
        <v>362</v>
      </c>
      <c r="C7" s="387"/>
      <c r="D7" s="205"/>
      <c r="F7" s="68"/>
      <c r="G7" s="55" t="s">
        <v>345</v>
      </c>
      <c r="H7" s="56"/>
      <c r="I7" s="55"/>
      <c r="J7" s="56"/>
      <c r="K7" s="55"/>
      <c r="L7" s="55" t="s">
        <v>361</v>
      </c>
      <c r="M7" s="56"/>
      <c r="N7" s="56"/>
      <c r="O7" s="55" t="s">
        <v>360</v>
      </c>
      <c r="P7" s="67"/>
      <c r="Q7" s="66"/>
      <c r="R7" s="56"/>
      <c r="S7" s="65"/>
      <c r="T7" s="56"/>
      <c r="V7" s="267"/>
      <c r="W7" s="267"/>
      <c r="X7" s="267"/>
      <c r="Y7" s="267"/>
      <c r="Z7" s="274"/>
      <c r="AA7" s="279"/>
      <c r="AB7" s="66" t="s">
        <v>359</v>
      </c>
      <c r="AC7" s="56"/>
      <c r="AD7" s="55"/>
      <c r="AE7" s="56"/>
      <c r="AH7" s="55" t="s">
        <v>358</v>
      </c>
      <c r="AI7" s="55"/>
      <c r="AJ7" s="55"/>
      <c r="AK7" s="55"/>
      <c r="AL7" s="55"/>
      <c r="AM7" s="64"/>
      <c r="AN7" s="64"/>
      <c r="AO7" s="55" t="s">
        <v>357</v>
      </c>
      <c r="AP7" s="55"/>
      <c r="AQ7" s="55"/>
      <c r="AR7" s="55"/>
      <c r="AS7" s="55"/>
      <c r="AT7" s="55"/>
      <c r="AU7" s="55"/>
      <c r="AV7" s="55"/>
      <c r="AW7" s="55"/>
      <c r="AX7" s="55"/>
      <c r="AY7" s="55"/>
      <c r="AZ7" s="55"/>
      <c r="BA7" s="55" t="s">
        <v>981</v>
      </c>
      <c r="BC7" s="55" t="s">
        <v>356</v>
      </c>
      <c r="BD7" s="55"/>
      <c r="BE7" s="55"/>
      <c r="BF7" s="56"/>
      <c r="BG7" s="56"/>
      <c r="BH7" s="55"/>
      <c r="BI7" s="55"/>
      <c r="BJ7" s="55"/>
      <c r="BP7" s="162" t="s">
        <v>353</v>
      </c>
      <c r="BQ7" s="55"/>
      <c r="BR7" s="55"/>
      <c r="BS7" s="63"/>
      <c r="BT7" s="56"/>
      <c r="BU7" s="55"/>
      <c r="BV7" s="55"/>
      <c r="BW7" s="55"/>
      <c r="BX7" s="55"/>
      <c r="BY7" s="55"/>
      <c r="BZ7" s="55"/>
      <c r="CA7" s="55"/>
      <c r="CB7" s="55"/>
      <c r="CC7" s="55"/>
      <c r="CD7" s="55"/>
      <c r="CE7" s="55"/>
      <c r="CF7" s="55"/>
      <c r="CG7" s="56"/>
      <c r="CH7" s="56"/>
      <c r="CI7" s="242"/>
      <c r="CJ7" s="56"/>
      <c r="CK7" s="55"/>
      <c r="CL7" s="56"/>
      <c r="CM7" s="56"/>
      <c r="CN7" s="56"/>
      <c r="CO7" s="56"/>
      <c r="CP7" s="56"/>
      <c r="CQ7" s="56"/>
      <c r="CW7" s="62"/>
      <c r="CX7" s="56"/>
      <c r="CY7" s="56"/>
      <c r="CZ7" s="56"/>
      <c r="DB7" s="56"/>
      <c r="DC7" s="56"/>
      <c r="DD7" s="62" t="s">
        <v>927</v>
      </c>
      <c r="DF7" s="62"/>
      <c r="DG7" s="62" t="s">
        <v>352</v>
      </c>
      <c r="DH7" s="58"/>
      <c r="DI7" s="58"/>
      <c r="DL7" s="58"/>
      <c r="DV7" s="55"/>
      <c r="DW7" s="254"/>
      <c r="DX7" s="298"/>
      <c r="DY7" s="298"/>
      <c r="DZ7" s="55"/>
      <c r="EA7" s="261"/>
      <c r="ED7" s="55"/>
      <c r="EF7" s="55"/>
      <c r="EG7" s="55"/>
      <c r="EH7" s="55" t="s">
        <v>351</v>
      </c>
      <c r="EI7" s="61"/>
      <c r="EJ7" s="58"/>
      <c r="EK7" s="58"/>
      <c r="EL7" s="60"/>
      <c r="EM7" s="59"/>
      <c r="EN7" s="58"/>
      <c r="EO7" s="58"/>
      <c r="EP7" s="58"/>
      <c r="EQ7" s="58"/>
      <c r="ER7" s="359"/>
      <c r="ES7" s="58"/>
      <c r="ET7" s="58"/>
      <c r="EV7" s="58"/>
      <c r="EW7" s="58"/>
      <c r="EX7" s="58"/>
      <c r="EY7" s="58"/>
      <c r="EZ7" s="58"/>
      <c r="FA7" s="364"/>
      <c r="FB7" s="58"/>
      <c r="FC7" s="58"/>
      <c r="FD7" s="58"/>
      <c r="FE7" s="58"/>
      <c r="FF7" s="58"/>
      <c r="FG7" s="58"/>
      <c r="FI7" s="55"/>
      <c r="FJ7" s="58"/>
      <c r="FK7" s="248"/>
      <c r="FL7" s="307"/>
      <c r="FO7" s="56"/>
      <c r="FQ7" s="55"/>
      <c r="FT7" s="308"/>
      <c r="FU7" s="308"/>
      <c r="FV7" s="308"/>
      <c r="FW7" s="335"/>
      <c r="FZ7" s="55" t="s">
        <v>980</v>
      </c>
      <c r="GA7" s="246" t="s">
        <v>350</v>
      </c>
      <c r="GD7" s="57"/>
      <c r="GE7" s="57"/>
      <c r="GF7" s="55"/>
      <c r="GG7" s="56"/>
      <c r="GI7" s="55"/>
      <c r="GL7" s="162" t="s">
        <v>1131</v>
      </c>
      <c r="GU7" s="55" t="s">
        <v>258</v>
      </c>
      <c r="GY7" s="379"/>
      <c r="HE7" s="379"/>
      <c r="HF7" s="379"/>
      <c r="HG7" s="379"/>
      <c r="HH7" s="379"/>
      <c r="HI7" s="379"/>
      <c r="HJ7" s="379"/>
    </row>
    <row r="8" spans="2:224" s="48" customFormat="1" ht="54.75" customHeight="1" x14ac:dyDescent="0.25">
      <c r="B8" s="101" t="s">
        <v>349</v>
      </c>
      <c r="C8" s="387" t="s">
        <v>348</v>
      </c>
      <c r="D8" s="53" t="s">
        <v>883</v>
      </c>
      <c r="E8" s="53" t="s">
        <v>347</v>
      </c>
      <c r="F8" s="101" t="s">
        <v>346</v>
      </c>
      <c r="G8" s="101" t="s">
        <v>345</v>
      </c>
      <c r="H8" s="101" t="s">
        <v>344</v>
      </c>
      <c r="I8" s="226" t="s">
        <v>343</v>
      </c>
      <c r="J8" s="226" t="s">
        <v>342</v>
      </c>
      <c r="K8" s="226" t="s">
        <v>341</v>
      </c>
      <c r="L8" s="101" t="s">
        <v>340</v>
      </c>
      <c r="M8" s="101" t="s">
        <v>339</v>
      </c>
      <c r="N8" s="101" t="s">
        <v>338</v>
      </c>
      <c r="O8" s="101" t="s">
        <v>337</v>
      </c>
      <c r="P8" s="101" t="s">
        <v>858</v>
      </c>
      <c r="Q8" s="101" t="s">
        <v>859</v>
      </c>
      <c r="R8" s="101" t="s">
        <v>860</v>
      </c>
      <c r="S8" s="101" t="s">
        <v>861</v>
      </c>
      <c r="T8" s="53" t="s">
        <v>862</v>
      </c>
      <c r="U8" s="53" t="s">
        <v>863</v>
      </c>
      <c r="V8" s="217" t="s">
        <v>864</v>
      </c>
      <c r="W8" s="217" t="s">
        <v>865</v>
      </c>
      <c r="X8" s="53" t="s">
        <v>866</v>
      </c>
      <c r="Y8" s="53" t="s">
        <v>867</v>
      </c>
      <c r="Z8" s="53" t="s">
        <v>868</v>
      </c>
      <c r="AA8" s="53" t="s">
        <v>869</v>
      </c>
      <c r="AB8" s="53" t="s">
        <v>870</v>
      </c>
      <c r="AC8" s="101" t="s">
        <v>557</v>
      </c>
      <c r="AD8" s="101" t="s">
        <v>336</v>
      </c>
      <c r="AE8" s="52" t="s">
        <v>335</v>
      </c>
      <c r="AF8" s="51" t="s">
        <v>334</v>
      </c>
      <c r="AG8" s="51" t="s">
        <v>333</v>
      </c>
      <c r="AH8" s="101" t="s">
        <v>332</v>
      </c>
      <c r="AI8" s="101" t="s">
        <v>996</v>
      </c>
      <c r="AJ8" s="101" t="s">
        <v>331</v>
      </c>
      <c r="AK8" s="232" t="s">
        <v>330</v>
      </c>
      <c r="AL8" s="232" t="s">
        <v>329</v>
      </c>
      <c r="AM8" s="232" t="s">
        <v>328</v>
      </c>
      <c r="AN8" s="232" t="s">
        <v>327</v>
      </c>
      <c r="AO8" s="232" t="s">
        <v>326</v>
      </c>
      <c r="AP8" s="232" t="s">
        <v>1170</v>
      </c>
      <c r="AQ8" s="232" t="s">
        <v>325</v>
      </c>
      <c r="AR8" s="232" t="s">
        <v>324</v>
      </c>
      <c r="AS8" s="232" t="s">
        <v>323</v>
      </c>
      <c r="AT8" s="232" t="s">
        <v>563</v>
      </c>
      <c r="AU8" s="232" t="s">
        <v>562</v>
      </c>
      <c r="AV8" s="232" t="s">
        <v>1215</v>
      </c>
      <c r="AW8" s="232" t="s">
        <v>595</v>
      </c>
      <c r="AX8" s="232" t="s">
        <v>596</v>
      </c>
      <c r="AY8" s="232" t="s">
        <v>597</v>
      </c>
      <c r="AZ8" s="232" t="s">
        <v>598</v>
      </c>
      <c r="BA8" s="101" t="s">
        <v>934</v>
      </c>
      <c r="BB8" s="232" t="s">
        <v>967</v>
      </c>
      <c r="BC8" s="232" t="s">
        <v>321</v>
      </c>
      <c r="BD8" s="101" t="s">
        <v>320</v>
      </c>
      <c r="BE8" s="101" t="s">
        <v>319</v>
      </c>
      <c r="BF8" s="101" t="s">
        <v>318</v>
      </c>
      <c r="BG8" s="101" t="s">
        <v>317</v>
      </c>
      <c r="BH8" s="101" t="s">
        <v>316</v>
      </c>
      <c r="BI8" s="101" t="s">
        <v>315</v>
      </c>
      <c r="BJ8" s="101" t="s">
        <v>314</v>
      </c>
      <c r="BK8" s="232" t="s">
        <v>511</v>
      </c>
      <c r="BL8" s="101" t="s">
        <v>313</v>
      </c>
      <c r="BM8" s="101" t="s">
        <v>1160</v>
      </c>
      <c r="BN8" s="101" t="s">
        <v>1161</v>
      </c>
      <c r="BO8" s="232" t="s">
        <v>565</v>
      </c>
      <c r="BP8" s="232" t="s">
        <v>312</v>
      </c>
      <c r="BQ8" s="101" t="s">
        <v>311</v>
      </c>
      <c r="BR8" s="101" t="s">
        <v>310</v>
      </c>
      <c r="BS8" s="101" t="s">
        <v>309</v>
      </c>
      <c r="BT8" s="101" t="s">
        <v>308</v>
      </c>
      <c r="BU8" s="101" t="s">
        <v>307</v>
      </c>
      <c r="BV8" s="101" t="s">
        <v>306</v>
      </c>
      <c r="BW8" s="232" t="s">
        <v>1287</v>
      </c>
      <c r="BX8" s="232" t="s">
        <v>1288</v>
      </c>
      <c r="BY8" s="232" t="s">
        <v>305</v>
      </c>
      <c r="BZ8" s="101" t="s">
        <v>1127</v>
      </c>
      <c r="CA8" s="232" t="s">
        <v>1123</v>
      </c>
      <c r="CB8" s="232" t="s">
        <v>992</v>
      </c>
      <c r="CC8" s="232" t="s">
        <v>1159</v>
      </c>
      <c r="CD8" s="232" t="s">
        <v>1211</v>
      </c>
      <c r="CE8" s="232" t="s">
        <v>1002</v>
      </c>
      <c r="CF8" s="232" t="s">
        <v>1084</v>
      </c>
      <c r="CG8" s="232" t="s">
        <v>304</v>
      </c>
      <c r="CH8" s="232" t="s">
        <v>303</v>
      </c>
      <c r="CI8" s="232" t="s">
        <v>302</v>
      </c>
      <c r="CJ8" s="243" t="s">
        <v>959</v>
      </c>
      <c r="CK8" s="232" t="s">
        <v>960</v>
      </c>
      <c r="CL8" s="232" t="s">
        <v>823</v>
      </c>
      <c r="CM8" s="232" t="s">
        <v>301</v>
      </c>
      <c r="CN8" s="101" t="s">
        <v>1122</v>
      </c>
      <c r="CO8" s="365" t="s">
        <v>1108</v>
      </c>
      <c r="CP8" s="232" t="s">
        <v>515</v>
      </c>
      <c r="CQ8" s="365" t="s">
        <v>518</v>
      </c>
      <c r="CR8" s="233" t="s">
        <v>519</v>
      </c>
      <c r="CS8" s="232" t="s">
        <v>516</v>
      </c>
      <c r="CT8" s="232" t="s">
        <v>890</v>
      </c>
      <c r="CU8" s="101" t="s">
        <v>834</v>
      </c>
      <c r="CV8" s="232" t="s">
        <v>1173</v>
      </c>
      <c r="CW8" s="101" t="s">
        <v>1145</v>
      </c>
      <c r="CX8" s="232" t="s">
        <v>1180</v>
      </c>
      <c r="CY8" s="232" t="s">
        <v>830</v>
      </c>
      <c r="CZ8" s="232" t="s">
        <v>928</v>
      </c>
      <c r="DA8" s="232" t="s">
        <v>831</v>
      </c>
      <c r="DB8" s="232" t="s">
        <v>832</v>
      </c>
      <c r="DC8" s="232" t="s">
        <v>924</v>
      </c>
      <c r="DD8" s="232" t="s">
        <v>925</v>
      </c>
      <c r="DE8" s="232" t="s">
        <v>926</v>
      </c>
      <c r="DF8" s="232" t="s">
        <v>833</v>
      </c>
      <c r="DG8" s="232" t="s">
        <v>843</v>
      </c>
      <c r="DH8" s="239" t="s">
        <v>844</v>
      </c>
      <c r="DI8" s="101" t="s">
        <v>300</v>
      </c>
      <c r="DJ8" s="101" t="s">
        <v>299</v>
      </c>
      <c r="DK8" s="101" t="s">
        <v>298</v>
      </c>
      <c r="DL8" s="101" t="s">
        <v>297</v>
      </c>
      <c r="DM8" s="101" t="s">
        <v>296</v>
      </c>
      <c r="DN8" s="101" t="s">
        <v>295</v>
      </c>
      <c r="DO8" s="232" t="s">
        <v>294</v>
      </c>
      <c r="DP8" s="232" t="s">
        <v>566</v>
      </c>
      <c r="DQ8" s="232" t="s">
        <v>1162</v>
      </c>
      <c r="DR8" s="232" t="s">
        <v>1163</v>
      </c>
      <c r="DS8" s="232" t="s">
        <v>817</v>
      </c>
      <c r="DT8" s="101" t="s">
        <v>293</v>
      </c>
      <c r="DU8" s="232" t="s">
        <v>879</v>
      </c>
      <c r="DV8" s="232" t="s">
        <v>888</v>
      </c>
      <c r="DW8" s="239" t="s">
        <v>889</v>
      </c>
      <c r="DX8" s="255" t="s">
        <v>851</v>
      </c>
      <c r="DY8" s="299" t="s">
        <v>852</v>
      </c>
      <c r="DZ8" s="299" t="s">
        <v>880</v>
      </c>
      <c r="EA8" s="239" t="s">
        <v>886</v>
      </c>
      <c r="EB8" s="255" t="s">
        <v>881</v>
      </c>
      <c r="EC8" s="232" t="s">
        <v>854</v>
      </c>
      <c r="ED8" s="232" t="s">
        <v>877</v>
      </c>
      <c r="EE8" s="232" t="s">
        <v>855</v>
      </c>
      <c r="EF8" s="232" t="s">
        <v>856</v>
      </c>
      <c r="EG8" s="232" t="s">
        <v>878</v>
      </c>
      <c r="EH8" s="232" t="s">
        <v>1196</v>
      </c>
      <c r="EI8" s="239" t="s">
        <v>887</v>
      </c>
      <c r="EJ8" s="232" t="s">
        <v>292</v>
      </c>
      <c r="EK8" s="101" t="s">
        <v>291</v>
      </c>
      <c r="EL8" s="101" t="s">
        <v>290</v>
      </c>
      <c r="EM8" s="101" t="s">
        <v>289</v>
      </c>
      <c r="EN8" s="101" t="s">
        <v>288</v>
      </c>
      <c r="EO8" s="101" t="s">
        <v>287</v>
      </c>
      <c r="EP8" s="101" t="s">
        <v>286</v>
      </c>
      <c r="EQ8" s="232" t="s">
        <v>1285</v>
      </c>
      <c r="ER8" s="232" t="s">
        <v>1286</v>
      </c>
      <c r="ES8" s="360" t="s">
        <v>1106</v>
      </c>
      <c r="ET8" s="232" t="s">
        <v>285</v>
      </c>
      <c r="EU8" s="232" t="s">
        <v>1158</v>
      </c>
      <c r="EV8" s="232" t="s">
        <v>284</v>
      </c>
      <c r="EW8" s="232" t="s">
        <v>282</v>
      </c>
      <c r="EX8" s="232" t="s">
        <v>1103</v>
      </c>
      <c r="EY8" s="232" t="s">
        <v>283</v>
      </c>
      <c r="EZ8" s="101" t="s">
        <v>1172</v>
      </c>
      <c r="FA8" s="101" t="s">
        <v>1105</v>
      </c>
      <c r="FB8" s="365" t="s">
        <v>1104</v>
      </c>
      <c r="FC8" s="232" t="s">
        <v>513</v>
      </c>
      <c r="FD8" s="101" t="s">
        <v>512</v>
      </c>
      <c r="FE8" s="232" t="s">
        <v>514</v>
      </c>
      <c r="FF8" s="232" t="s">
        <v>517</v>
      </c>
      <c r="FG8" s="232" t="s">
        <v>857</v>
      </c>
      <c r="FH8" s="232" t="s">
        <v>281</v>
      </c>
      <c r="FI8" s="101" t="s">
        <v>836</v>
      </c>
      <c r="FJ8" s="232" t="s">
        <v>1210</v>
      </c>
      <c r="FK8" s="249" t="s">
        <v>847</v>
      </c>
      <c r="FL8" s="304" t="s">
        <v>280</v>
      </c>
      <c r="FM8" s="232" t="s">
        <v>279</v>
      </c>
      <c r="FN8" s="232" t="s">
        <v>1227</v>
      </c>
      <c r="FO8" s="232" t="s">
        <v>1156</v>
      </c>
      <c r="FP8" s="232" t="s">
        <v>278</v>
      </c>
      <c r="FQ8" s="376" t="s">
        <v>277</v>
      </c>
      <c r="FR8" s="232" t="s">
        <v>991</v>
      </c>
      <c r="FS8" s="232" t="s">
        <v>1012</v>
      </c>
      <c r="FT8" s="239" t="s">
        <v>1085</v>
      </c>
      <c r="FU8" s="239" t="s">
        <v>1086</v>
      </c>
      <c r="FV8" s="239" t="s">
        <v>1087</v>
      </c>
      <c r="FW8" s="336" t="s">
        <v>1001</v>
      </c>
      <c r="FX8" s="239" t="s">
        <v>979</v>
      </c>
      <c r="FY8" s="232" t="s">
        <v>1107</v>
      </c>
      <c r="FZ8" s="232" t="s">
        <v>845</v>
      </c>
      <c r="GA8" s="243" t="s">
        <v>846</v>
      </c>
      <c r="GB8" s="101" t="s">
        <v>276</v>
      </c>
      <c r="GC8" s="101" t="s">
        <v>275</v>
      </c>
      <c r="GD8" s="101" t="s">
        <v>274</v>
      </c>
      <c r="GE8" s="101" t="s">
        <v>273</v>
      </c>
      <c r="GF8" s="101" t="s">
        <v>272</v>
      </c>
      <c r="GG8" s="49" t="s">
        <v>271</v>
      </c>
      <c r="GH8" s="49" t="s">
        <v>270</v>
      </c>
      <c r="GI8" s="50" t="s">
        <v>269</v>
      </c>
      <c r="GJ8" s="50" t="s">
        <v>268</v>
      </c>
      <c r="GK8" s="101" t="s">
        <v>471</v>
      </c>
      <c r="GL8" s="101" t="s">
        <v>267</v>
      </c>
      <c r="GM8" s="101" t="s">
        <v>266</v>
      </c>
      <c r="GN8" s="101" t="s">
        <v>265</v>
      </c>
      <c r="GO8" s="101" t="s">
        <v>264</v>
      </c>
      <c r="GP8" s="101" t="s">
        <v>263</v>
      </c>
      <c r="GQ8" s="101" t="s">
        <v>262</v>
      </c>
      <c r="GR8" s="101" t="s">
        <v>261</v>
      </c>
      <c r="GS8" s="101" t="s">
        <v>260</v>
      </c>
      <c r="GT8" s="101" t="s">
        <v>259</v>
      </c>
      <c r="GU8" s="101" t="s">
        <v>258</v>
      </c>
      <c r="GV8" s="226" t="s">
        <v>257</v>
      </c>
      <c r="GW8" s="101" t="s">
        <v>835</v>
      </c>
      <c r="GY8" s="380"/>
      <c r="HE8" s="380"/>
      <c r="HF8" s="380"/>
      <c r="HG8" s="380"/>
      <c r="HH8" s="380"/>
      <c r="HI8" s="380"/>
      <c r="HJ8" s="380"/>
    </row>
    <row r="9" spans="2:224" ht="12.75" hidden="1" customHeight="1" x14ac:dyDescent="0.25">
      <c r="B9" s="12" t="s">
        <v>933</v>
      </c>
      <c r="C9" s="422">
        <v>46.17</v>
      </c>
      <c r="D9" s="208" t="s">
        <v>954</v>
      </c>
      <c r="E9" s="39">
        <f>SnapshotTable[[#This Row],[Last Price]]*(1 -CrashDiscount)</f>
        <v>39.244500000000002</v>
      </c>
      <c r="F9" s="26" t="s">
        <v>247</v>
      </c>
      <c r="G9" s="26" t="s">
        <v>41</v>
      </c>
      <c r="H9" s="149"/>
      <c r="I9" s="194">
        <v>44762.673611111109</v>
      </c>
      <c r="J9" s="195">
        <v>44762.673611111109</v>
      </c>
      <c r="K9" s="196"/>
      <c r="L9" s="326"/>
      <c r="M9" s="140"/>
      <c r="N9" s="140"/>
      <c r="O9" s="140"/>
      <c r="P9" s="22"/>
      <c r="Q9" s="25"/>
      <c r="R9" s="4" t="str">
        <f>IF(SnapshotTable[[#This Row],[Equity Basis Total]] &gt; 0, SnapshotTable[[#This Row],[Equity Basis Total]] / SnapshotTable[[#This Row],[Equity Shares]], "")</f>
        <v/>
      </c>
      <c r="S9" s="269">
        <f>SnapshotTable[[#This Row],[Last Price]] * SnapshotTable[[#This Row],[Equity Shares]]</f>
        <v>0</v>
      </c>
      <c r="T9" s="269">
        <f>SnapshotTable[[#This Row],[Equity Value]] - SnapshotTable[[#This Row],[Equity Basis Total]]</f>
        <v>0</v>
      </c>
      <c r="U9" s="270" t="str">
        <f>IF(SnapshotTable[[#This Row],[Equity Basis Total]] &gt; 0, SnapshotTable[[#This Row],[Equity G/L]] / SnapshotTable[[#This Row],[Equity Basis Total]], "")</f>
        <v/>
      </c>
      <c r="V9" s="268"/>
      <c r="W9" s="268">
        <v>26.35</v>
      </c>
      <c r="X9" s="4" t="str">
        <f>IF(AND(ISNUMBER(SnapshotTable[[#This Row],[Equity Basis Per Share]]),ISNUMBER(SnapshotTable[[#This Row],[Equity Target]])),SnapshotTable[[#This Row],[Equity Target]]-SnapshotTable[[#This Row],[Equity Basis Per Share]],"")</f>
        <v/>
      </c>
      <c r="Y9" s="4" t="str">
        <f>IF(AND(ISNUMBER(SnapshotTable[[#This Row],[Equity Basis Per Share]]),ISNUMBER(SnapshotTable[[#This Row],[Equity Stop Loss]])),SnapshotTable[[#This Row],[Equity Stop Loss]]-SnapshotTable[[#This Row],[Equity Basis Per Share]],"")</f>
        <v/>
      </c>
      <c r="Z9" s="275" t="str">
        <f>IFERROR( TEXT(SnapshotTable[[#This Row],[Equity Max Gain Per Share]] /ABS( SnapshotTable[[#This Row],[Equity Max Loss Per Share]]),"0.0 " ) &amp; " : 1", "")</f>
        <v/>
      </c>
      <c r="AA9" s="31" t="str">
        <f>IF(ISNUMBER(SnapshotTable[[#This Row],[Equity Max Gain Per Share]]),SnapshotTable[[#This Row],[Equity Max Gain Per Share]] * SnapshotTable[[#This Row],[Equity Shares]],"")</f>
        <v/>
      </c>
      <c r="AB9" s="31" t="str">
        <f>IF(ISNUMBER(SnapshotTable[[#This Row],[Equity Max Loss Per Share]]),SnapshotTable[[#This Row],[Equity Max Loss Per Share]] * SnapshotTable[[#This Row],[Equity Shares]],"")</f>
        <v/>
      </c>
      <c r="AC9" s="150"/>
      <c r="AD9" s="151"/>
      <c r="AE9" s="31">
        <f>(SnapshotTable[[#This Row],[Annual Dividend Per Share]] / 4) * SnapshotTable[[#This Row],[Equity Shares]]</f>
        <v>0</v>
      </c>
      <c r="AF9" s="31">
        <f>SnapshotTable[[#This Row],[Quarterly Div $]] * 4</f>
        <v>0</v>
      </c>
      <c r="AG9" s="7">
        <f>IF(SnapshotTable[[#This Row],[Annual Dividend Per Share]]&gt;0, SnapshotTable[[#This Row],[Annual Dividend Per Share]]  / SnapshotTable[[#This Row],[Last Price]], 0)</f>
        <v>0</v>
      </c>
      <c r="AH9" s="151"/>
      <c r="AI9" s="5"/>
      <c r="AJ9" s="138">
        <v>40</v>
      </c>
      <c r="AK9" s="152" t="str">
        <f>IF(ISNUMBER( SnapshotTable[[#This Row],[EBF Target]]),(SnapshotTable[[#This Row],[EBF Target]] - SnapshotTable[[#This Row],[Last Price]]) / SnapshotTable[[#This Row],[Last Price]], "")</f>
        <v/>
      </c>
      <c r="AL9" s="152" t="str">
        <f>IF(AND(SnapshotTable[[#This Row],[Equity Basis Total]] &gt; 0,ISNUMBER( SnapshotTable[[#This Row],[Long Term Target]])), SnapshotTable[[#This Row],[From Basis $]] / SnapshotTable[[#This Row],[Equity Basis Total]], "")</f>
        <v/>
      </c>
      <c r="AM9" s="9">
        <f>IF( AND(SnapshotTable[[#This Row],[Equity Shares]] &gt;0,ISNUMBER( SnapshotTable[[#This Row],[Long Term Target]])),(SnapshotTable[[#This Row],[Equity Shares]] * SnapshotTable[[#This Row],[Long Term Target]]) - SnapshotTable[[#This Row],[Equity Basis Total]],0)</f>
        <v>0</v>
      </c>
      <c r="AN9" s="9">
        <f>IF( AND(SnapshotTable[[#This Row],[Equity Shares]] &gt;0,ISNUMBER( SnapshotTable[[#This Row],[Long Term Target]])),(SnapshotTable[[#This Row],[Equity Shares]]*SnapshotTable[[#This Row],[Long Term Target]]) - SnapshotTable[[#This Row],[Equity Value]],0)</f>
        <v>0</v>
      </c>
      <c r="AO9" s="152">
        <f>IF(AND(ISNUMBER( SnapshotTable[[#This Row],[Long Term Target]]), ISNUMBER(SnapshotTable[[#This Row],[Last Price]])),(SnapshotTable[[#This Row],[Long Term Target]] - SnapshotTable[[#This Row],[Last Price]]) / SnapshotTable[[#This Row],[Last Price]], "")</f>
        <v>-0.13363656053714537</v>
      </c>
      <c r="AP9" s="5">
        <v>28</v>
      </c>
      <c r="AQ9" s="38" t="s">
        <v>27</v>
      </c>
      <c r="AR9" s="5">
        <v>28</v>
      </c>
      <c r="AS9" s="38" t="s">
        <v>38</v>
      </c>
      <c r="AT9" s="146" t="s">
        <v>542</v>
      </c>
      <c r="AU9" s="187" t="str">
        <f>IF(OR(SnapshotTable[[#This Row],[LP No Fill]]="Y",SnapshotTable[[#This Row],[SP Is Filled]],SnapshotTable[[#This Row],[LC Not Filled]]="Y",SnapshotTable[[#This Row],[SC Is Filled]]),"Y","")</f>
        <v/>
      </c>
      <c r="AV9" s="219"/>
      <c r="AW9" s="225">
        <v>2.2749999999999999</v>
      </c>
      <c r="AX9" s="220">
        <v>44302</v>
      </c>
      <c r="AY9" s="219">
        <f>IF(SnapshotTable[[#This Row],[Implied Move]]&gt;0, SnapshotTable[[#This Row],[Last Price]]-SnapshotTable[[#This Row],[Implied Move]],"")</f>
        <v>43.895000000000003</v>
      </c>
      <c r="AZ9" s="219">
        <f>IF(SnapshotTable[[#This Row],[Implied Move]]&gt;0, SnapshotTable[[#This Row],[Last Price]] + SnapshotTable[[#This Row],[Implied Move]],"")</f>
        <v>48.445</v>
      </c>
      <c r="BA9" s="331"/>
      <c r="BB9" s="347"/>
      <c r="BC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 s="351"/>
      <c r="BE9" s="138"/>
      <c r="BF9" s="166"/>
      <c r="BG9" s="167"/>
      <c r="BH9" s="167"/>
      <c r="BI9" s="221"/>
      <c r="BJ9" s="153">
        <f>IF(SnapshotTable[[#This Row],[LP Qty]] &gt; 0, SnapshotTable[[#This Row],[LP Qty]] * SnapshotTable[[#This Row],[LP Book Price]] * 100,0)</f>
        <v>0</v>
      </c>
      <c r="BK9" s="136">
        <f>IF(SnapshotTable[[#This Row],[LP Premium]] &gt; 0, SnapshotTable[[#This Row],[LP Qty]] * SnapshotTable[[#This Row],[LP Strike Price]] * 100,0)</f>
        <v>0</v>
      </c>
      <c r="BL9" s="154"/>
      <c r="BM9" s="385" t="str">
        <f>IF(SnapshotTable[[#This Row],[LP Premium]] &gt; 0,SnapshotTable[[#This Row],[LP Exp Date]]-MAX(SnapshotTable[[#This Row],[LP Book Date]], SnapshotTable[[#This Row],[LP Fill Date]]),"")</f>
        <v/>
      </c>
      <c r="BN9" s="385" t="str">
        <f>IF(ISNUMBER( SnapshotTable[[#This Row],[LP Term]]), SnapshotTable[[#This Row],[LP Exp Date]] - MockToday,"")</f>
        <v/>
      </c>
      <c r="BO9" s="163" t="str">
        <f>IF(AND(SnapshotTable[[#This Row],[LP Exp Date]]&gt;0, SnapshotTable[[#This Row],[LP Strike Price]]&gt;0,SnapshotTable[[#This Row],[LP Qty]]&gt;0,SnapshotTable[[#This Row],[LP Book Date]]&gt;0,SnapshotTable[[#This Row],[LP Book Price]]&gt;0,SnapshotTable[[#This Row],[LP Fill Date]]=0),"Y","")</f>
        <v/>
      </c>
      <c r="BP9" s="31" t="str">
        <f>IF(AND(SnapshotTable[[#This Row],[LP No Fill]]&lt;&gt;"Y",SnapshotTable[[#This Row],[LP Contract Value]]&gt;0, SnapshotTable[[#This Row],[LP Qty]]&gt;0), SnapshotTable[[#This Row],[LP Contract Value]]*SnapshotTable[[#This Row],[LP Qty]]*100,"")</f>
        <v/>
      </c>
      <c r="BQ9" s="13"/>
      <c r="BR9" s="5" t="str">
        <f>IF(SnapshotTable[[#This Row],[SP Exp Date]]&lt;&gt;"",TRUNC(SnapshotTable[[#This Row],[Last Price]]),"")</f>
        <v/>
      </c>
      <c r="BS9" s="36"/>
      <c r="BT9" s="147"/>
      <c r="BU9" s="13"/>
      <c r="BV9" s="5"/>
      <c r="BW9" s="419" t="b">
        <f>AND(ISNUMBER(SnapshotTable[[#This Row],[SP Exp Date]]), ISNUMBER(SnapshotTable[[#This Row],[SP Strike Price]]), ISNUMBER(SnapshotTable[[#This Row],[SP Qty]]), ISNUMBER(SnapshotTable[[#This Row],[SP Book Date]]), ISNUMBER(SnapshotTable[[#This Row],[SP Book Price]]))</f>
        <v>0</v>
      </c>
      <c r="BX9" s="419" t="b">
        <f>AND(SnapshotTable[[#This Row],[SP Is Booked]], NOT(ISBLANK(SnapshotTable[[#This Row],[SP Fill Date]])))</f>
        <v>0</v>
      </c>
      <c r="BY9" s="33">
        <f>IF(SnapshotTable[[#This Row],[SP Is Booked]], SnapshotTable[[#This Row],[SP Qty]] * SnapshotTable[[#This Row],[SP Book Price]] * 100, 0)</f>
        <v>0</v>
      </c>
      <c r="BZ9" s="369"/>
      <c r="CA9" s="368">
        <f>SnapshotTable[[#This Row],[LP Qty]]</f>
        <v>0</v>
      </c>
      <c r="CB9" s="4" t="str">
        <f>IF(SnapshotTable[[#This Row],[SP Is Booked]], SnapshotTable[[#This Row],[SP Strike Price]] - SnapshotTable[[#This Row],[SP Book Price]], "")</f>
        <v/>
      </c>
      <c r="CC9" s="19" t="str">
        <f>IF(SnapshotTable[[#This Row],[SP Is Booked]],SnapshotTable[[#This Row],[SP Exp Date]]-MAX(SnapshotTable[[#This Row],[SP Book Date]], SnapshotTable[[#This Row],[SP Fill Date]]),"")</f>
        <v/>
      </c>
      <c r="CD9" s="7" t="str">
        <f>IF(SnapshotTable[[#This Row],[SP Is Booked]], SnapshotTable[[#This Row],[SP Book Price]]/SnapshotTable[[#This Row],[SP Strike Price]], "")</f>
        <v/>
      </c>
      <c r="CE9" s="7" t="str">
        <f>IF(ISNUMBER(SnapshotTable[[#This Row],[SP ROO Term]]),SnapshotTable[[#This Row],[SP ROO Term]]*(365/SnapshotTable[[#This Row],[SP Term]]),"")</f>
        <v/>
      </c>
      <c r="CF9" s="236">
        <f>SnapshotTable[[#This Row],[LP Strike Price]] * SnapshotTable[[#This Row],[LP Qty]] * 100</f>
        <v>0</v>
      </c>
      <c r="CG9" s="31" t="e">
        <f>IF(ISNUMBER(SnapshotTable[[#This Row],[SP Premium]]), (SnapshotTable[[#This Row],[SP Qty]] * SnapshotTable[[#This Row],[SP Strike Price]]* 100) - SnapshotTable[[#This Row],[LP Protection]], 0)</f>
        <v>#VALUE!</v>
      </c>
      <c r="CH9" s="7" t="str">
        <f>IF(ISNUMBER(SnapshotTable[[#This Row],[SP Break Even]]),-1 * (SnapshotTable[[#This Row],[SP Break Even]] - SnapshotTable[[#This Row],[Last Price]]) / SnapshotTable[[#This Row],[Last Price]], "")</f>
        <v/>
      </c>
      <c r="CI9" s="31">
        <f>IF(AND(ISNUMBER((SnapshotTable[[#This Row],[SP Potential Spend]])), SnapshotTable[[#This Row],[SP Strike Price]] &gt; SnapshotTable[[#This Row],[Last Price]], SnapshotTable[[#This Row],[SP Is Filled]]), SnapshotTable[[#This Row],[SP Potential Spend]] -  SnapshotTable[[#This Row],[LP Max Value]], 0)</f>
        <v>0</v>
      </c>
      <c r="CJ9" s="244"/>
      <c r="CK9" s="31" t="str">
        <f>IF(ISNUMBER(SnapshotTable[[#This Row],[SP Potential Spend]]),IF(ISNUMBER(SnapshotTable[[#This Row],[SP POW]]), SnapshotTable[[#This Row],[SP POW]] * SnapshotTable[[#This Row],[SP Potential Spend]], SnapshotTable[[#This Row],[SP Potential Spend]]), "")</f>
        <v/>
      </c>
      <c r="CL9" s="164" t="e">
        <f>IF(NOT(SnapshotTable[[#This Row],[SP Is Filled]]),(SnapshotTable[[#This Row],[SP Qty]] * SnapshotTable[[#This Row],[SP Strike Price]] * 100) - SnapshotTable[[#This Row],[LP Max Value]],"")</f>
        <v>#VALUE!</v>
      </c>
      <c r="CM9" s="31" t="str">
        <f>IF(SnapshotTable[[#This Row],[SP Actual Spend]]&lt;&gt;0, ((SnapshotTable[[#This Row],[SP Strike Price]]-SnapshotTable[[#This Row],[Last Price]]) *(SnapshotTable[[#This Row],[SP Qty]]*100) - SnapshotTable[[#This Row],[SP Premium]]) * - 1, "")</f>
        <v/>
      </c>
      <c r="CN9" s="154"/>
      <c r="CO9" s="369"/>
      <c r="CP9" s="320" t="str">
        <f>IF(SnapshotTable[[#This Row],[SP Is Filled]], btc_max_buyback_amount(SnapshotTable[[#This Row],[SP Fill Date]],SnapshotTable[[#This Row],[SP Exp Date]], SnapshotTable[[#This Row],[SP Book Price]]),"")</f>
        <v/>
      </c>
      <c r="CQ9" s="78"/>
      <c r="CR9" s="76"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 s="155" t="str">
        <f>IF(SnapshotTable[[#This Row],[SP Is Filled]], btc_next_cutoff_date(SnapshotTable[[#This Row],[SP Fill Date]],SnapshotTable[[#This Row],[SP Exp Date]]),"")</f>
        <v/>
      </c>
      <c r="CT9" s="235" t="str" cm="1">
        <f t="array" ref="CT9">IF(SnapshotTable[[#This Row],[SP Is Filled]], btc_should_buy_back(SnapshotTable[[#This Row],[SP Fill Date]], SnapshotTable[[#This Row],[SP Exp Date]], SnapshotTable[[#This Row],[SP Book Price]], SnapshotTable[[#This Row],[SP Current Ask]], MockToday, SnapshotTable[[#This Row],[SP Buyback Override]]),"")</f>
        <v/>
      </c>
      <c r="CU9" s="156"/>
      <c r="CV9" s="235"/>
      <c r="CW9" s="378" t="str">
        <f>IF(ISNUMBER( SnapshotTable[[#This Row],[SP Term]]), SnapshotTable[[#This Row],[SP Exp Date]] - MockToday,"")</f>
        <v/>
      </c>
      <c r="CX9" s="31" t="str">
        <f>IF(SnapshotTable[[#This Row],[SP Is Filled]],SnapshotTable[[#This Row],[SP Buyback Price to Use]] * 100 * SnapshotTable[[#This Row],[SP Qty]], "")</f>
        <v/>
      </c>
      <c r="CY9" s="4" t="str">
        <f>IF(ISNUMBER(SnapshotTable[[#This Row],[SP Strike Price]]), SnapshotTable[[#This Row],[SP Strike Price]] * (1 - SP_MaxLoss_StrikePct), "")</f>
        <v/>
      </c>
      <c r="CZ9" s="31" t="str">
        <f>IF(ISNUMBER(SnapshotTable[[#This Row],[SP Strike  Stop Per Share]]),SnapshotTable[[#This Row],[SP Premium]] - ((SnapshotTable[[#This Row],[SP Strike Price]]-SnapshotTable[[#This Row],[SP Strike  Stop Per Share]]) *(SnapshotTable[[#This Row],[SP Qty]] * 100)),"")</f>
        <v/>
      </c>
      <c r="DA9" s="4" t="str">
        <f>IF(AND(ISNUMBER(SnapshotTable[[#This Row],[SP Premium]]),SnapshotTable[[#This Row],[SP Premium]]&gt;0), SnapshotTable[[#This Row],[SP Book Price]] * (1 + SP_MaxLoss_OptionPct), "")</f>
        <v/>
      </c>
      <c r="DB9" s="31" t="str">
        <f>IF(ISNUMBER(SnapshotTable[[#This Row],[SP Option  Stop Contract]]),(SnapshotTable[[#This Row],[SP Option  Stop Contract]] *(SnapshotTable[[#This Row],[SP Qty]] * 100) - SnapshotTable[[#This Row],[SP Premium]]),"")</f>
        <v/>
      </c>
      <c r="DC9" s="4"/>
      <c r="DD9" s="4"/>
      <c r="DE9" s="4" t="str">
        <f>IF(AND(SnapshotTable[[#This Row],[SP Qty]]&gt;0, SnapshotTable[[#This Row],[SP Stop To Use]]&gt;0),SnapshotTable[[#This Row],[SP Premium]] - ( SnapshotTable[[#This Row],[SP Qty]] * SnapshotTable[[#This Row],[SP Stop To Use]] * 100), "")</f>
        <v/>
      </c>
      <c r="DF9" s="31" t="str">
        <f>IF(AND(SnapshotTable[[#This Row],[SP Qty]]&gt;0,SnapshotTable[[#This Row],[SP Current Ask]]&gt;0), SnapshotTable[[#This Row],[SP Qty]] * SnapshotTable[[#This Row],[SP Current Ask]] * -100, "")</f>
        <v/>
      </c>
      <c r="DG9" s="31" t="str">
        <f>IF(ISNUMBER((SnapshotTable[[#This Row],[SP Total Value]])), SnapshotTable[[#This Row],[SP Premium]] + SnapshotTable[[#This Row],[SP Total Value]], "")</f>
        <v/>
      </c>
      <c r="DH9" s="294" t="str">
        <f>IF(ISNUMBER((SnapshotTable[[#This Row],[SP Total Value]])), SnapshotTable[[#This Row],[SP Gain Loss]] / SnapshotTable[[#This Row],[SP Premium]], "")</f>
        <v/>
      </c>
      <c r="DI9" s="406"/>
      <c r="DJ9" s="138"/>
      <c r="DK9" s="148"/>
      <c r="DL9" s="147"/>
      <c r="DM9" s="147"/>
      <c r="DO9" s="31">
        <f>IF(SnapshotTable[[#This Row],[LC Symbol Count]]=1, SnapshotTable[[#This Row],[LC Qty]] * SnapshotTable[[#This Row],[LC Book Price]] * 100, 0)</f>
        <v>0</v>
      </c>
      <c r="DP9" s="289" t="str">
        <f>IF(AND(SnapshotTable[[#This Row],[LC Exp Date]]&gt;0, SnapshotTable[[#This Row],[LC Strike Price]]&gt;0,SnapshotTable[[#This Row],[LC Qty]]&gt;0,SnapshotTable[[#This Row],[LC Book Date]]&gt;0,SnapshotTable[[#This Row],[LC Book Price]]&gt;0,SnapshotTable[[#This Row],[LC Fill Date]]=0),"Y","")</f>
        <v/>
      </c>
      <c r="DQ9" s="386" t="str">
        <f>IF(SnapshotTable[[#This Row],[LC Premium]] &gt; 0,SnapshotTable[[#This Row],[LC Exp Date]]-MAX(SnapshotTable[[#This Row],[LC Book Date]], SnapshotTable[[#This Row],[LC Fill Date]]),"")</f>
        <v/>
      </c>
      <c r="DR9" s="386" t="str">
        <f>IF(ISNUMBER(SnapshotTable[[#This Row],[LC Term]]), SnapshotTable[[#This Row],[LC Exp Date]] - MockToday, "")</f>
        <v/>
      </c>
      <c r="DS9" s="234" t="str">
        <f>IF(SnapshotTable[[#This Row],[LC Premium]]&gt;0,SnapshotTable[[#This Row],[LC Strike Price]] + SnapshotTable[[#This Row],[LC Book Price]],"")</f>
        <v/>
      </c>
      <c r="DU9" s="9" t="str">
        <f>IF(AND(SnapshotTable[[#This Row],[LC Symbol Count]]&gt;0, SnapshotTable[[#This Row],[LC Contract Value]]&gt;0), SnapshotTable[[#This Row],[LC Contract Value]] * SnapshotTable[[#This Row],[LC Qty]] * 100, "")</f>
        <v/>
      </c>
      <c r="DV9" s="9" t="str">
        <f>IF(AND(ISNUMBER(SnapshotTable[[#This Row],[LC Total Value]]), SnapshotTable[[#This Row],[LC Not Filled]]&lt;&gt;"Y"), SnapshotTable[[#This Row],[LC Total Value]]-SnapshotTable[[#This Row],[LC Premium]],"")</f>
        <v/>
      </c>
      <c r="DW9" s="240" t="str">
        <f>IF(ISNUMBER(SnapshotTable[[#This Row],[LC Actual Gain Loss]]), SnapshotTable[[#This Row],[LC Actual Gain Loss]] / SnapshotTable[[#This Row],[LC Premium]],"")</f>
        <v/>
      </c>
      <c r="DX9" s="284" t="str">
        <f>IF(ISNUMBER(SnapshotTable[[#This Row],[LC Book Price]]),SnapshotTable[[#This Row],[LC Book Price]] * 1.5,"")</f>
        <v/>
      </c>
      <c r="DY9" s="265" t="str">
        <f>IF(SnapshotTable[[#This Row],[LC Premium]]&gt;0, SnapshotTable[[#This Row],[LC Next Target]] * SnapshotTable[[#This Row],[LC Qty]] * 100,"")</f>
        <v/>
      </c>
      <c r="DZ9" s="265" t="str">
        <f>IF(ISNUMBER(SnapshotTable[[#This Row],[LC Target Gross]]), SnapshotTable[[#This Row],[LC Target Gross]] - SnapshotTable[[#This Row],[LC Premium]], "")</f>
        <v/>
      </c>
      <c r="EA9" s="305" t="str">
        <f>IF(ISNUMBER(SnapshotTable[[#This Row],[LC Target Gain Loss]]), SnapshotTable[[#This Row],[LC Target Gain Loss]]/SnapshotTable[[#This Row],[LC Premium]], "")</f>
        <v/>
      </c>
      <c r="EB9" s="262"/>
      <c r="EC9" s="290" t="str">
        <f>IF(SnapshotTable[[#This Row],[LC Premium]]&gt;0, SnapshotTable[[#This Row],[LC Book Price]] * (1 - LC_StopLoss_Pct),"")</f>
        <v/>
      </c>
      <c r="ED9" s="284"/>
      <c r="EE9" s="290" t="str">
        <f>IF(ISNUMBER(SnapshotTable[[#This Row],[LC Contract Value]]),IF(ISNUMBER(SnapshotTable[[#This Row],[LC Stop Loss Override]]), SnapshotTable[[#This Row],[LC Stop Loss Override]],SnapshotTable[[#This Row],[LC Stop Loss Calc Target]]),"")</f>
        <v/>
      </c>
      <c r="EF9" s="321" t="str">
        <f>IF(ISNUMBER(SnapshotTable[[#This Row],[LC Stop  To Use]]), (SnapshotTable[[#This Row],[LC Stop  To Use]] * SnapshotTable[[#This Row],[LC Qty]] * 100),"")</f>
        <v/>
      </c>
      <c r="EG9" s="9" t="str">
        <f>IF(ISNUMBER(SnapshotTable[[#This Row],[LC Total Value]]),SnapshotTable[[#This Row],[LC Stop Loss Amount]] - SnapshotTable[[#This Row],[LC Premium]],"")</f>
        <v/>
      </c>
      <c r="EH9" s="9">
        <f>IF(ISNUMBER(SnapshotTable[[#This Row],[LC Premium]]), SnapshotTable[[#This Row],[LC Qty]] * 100 * SnapshotTable[[#This Row],[LC Strike Price]], "")</f>
        <v>0</v>
      </c>
      <c r="EI9" s="240" t="str">
        <f>IF(AND(ISNUMBER(SnapshotTable[[#This Row],[LC Total Value]]),SnapshotTable[[#This Row],[LC Total Value]]&gt;0),SnapshotTable[[#This Row],[LC Stop Gain Loss]]  / SnapshotTable[[#This Row],[LC Premium]],"")</f>
        <v/>
      </c>
      <c r="EJ9" s="35">
        <f>IF(ISNUMBER(SnapshotTable[[#This Row],[Equity Shares]]),TRUNC(SnapshotTable[[#This Row],[Equity Shares]] / 100),0) + SnapshotTable[[#This Row],[LC Qty]]</f>
        <v>0</v>
      </c>
      <c r="EK9" s="147"/>
      <c r="EL9" s="138" t="str">
        <f>IF(SnapshotTable[[#This Row],[SC Exp Date]]&lt;&gt;"",TRUNC(SnapshotTable[[#This Row],[Last Price]]),"")</f>
        <v/>
      </c>
      <c r="EM9" s="148"/>
      <c r="EN9" s="147"/>
      <c r="EO9" s="147"/>
      <c r="EP9" s="138"/>
      <c r="EQ9" s="419" t="b">
        <f>AND(ISNUMBER(SnapshotTable[[#This Row],[SC Exp Date]]), ISNUMBER(SnapshotTable[[#This Row],[SC Strike Price]]), ISNUMBER(SnapshotTable[[#This Row],[SC Qty]]), ISNUMBER(SnapshotTable[[#This Row],[SC Book Date]]), ISNUMBER(SnapshotTable[[#This Row],[SC Book Price]]))</f>
        <v>0</v>
      </c>
      <c r="ER9" s="419" t="b">
        <f>AND(SnapshotTable[[#This Row],[SC Is Booked]], NOT(ISBLANK(SnapshotTable[[#This Row],[SC Fill Date]])))</f>
        <v>0</v>
      </c>
      <c r="ES9" s="370"/>
      <c r="ET9" s="34" t="str">
        <f>IF(AND(ISNUMBER(SnapshotTable[[#This Row],[SC Exp Date]]), ISNUMBER(SnapshotTable[[#This Row],[SC Book Date]])), SnapshotTable[[#This Row],[SC Exp Date]] - MAX(SnapshotTable[[#This Row],[SC Book Date]], SnapshotTable[[#This Row],[SC Fill Date]]) + 1, "")</f>
        <v/>
      </c>
      <c r="EU9" s="34" t="str">
        <f>IF(ISNUMBER(SnapshotTable[[#This Row],[SC Term]]), SnapshotTable[[#This Row],[SC Exp Date]]- MockToday, "")</f>
        <v/>
      </c>
      <c r="EV9" s="31">
        <f>IF(SnapshotTable[[#This Row],[SC Is Booked]], SnapshotTable[[#This Row],[SC Qty]] * SnapshotTable[[#This Row],[SC Book Price]] * 100, 0)</f>
        <v>0</v>
      </c>
      <c r="EW9" s="4" t="str">
        <f>IF(AND(ISNUMBER(SnapshotTable[[#This Row],[Last Price]]), ISNUMBER( SnapshotTable[[#This Row],[SC Book Price]])), SnapshotTable[[#This Row],[Last Price]] - SnapshotTable[[#This Row],[SC Book Price]],"")</f>
        <v/>
      </c>
      <c r="EX9" s="234" t="str">
        <f>IF(SnapshotTable[[#This Row],[SC Is Booked]],IF(SnapshotTable[[#This Row],[SC Intrinsic Value]] &gt; 0, SnapshotTable[[#This Row],[SC Strike Price]], SnapshotTable[[#This Row],[Last Price]]), "")</f>
        <v/>
      </c>
      <c r="EY9" s="4">
        <f>IF(SnapshotTable[[#This Row],[SC Is Booked]], (MinimumPremiumRequired * SnapshotTable[[#This Row],[SC Basis]] * SnapshotTable[[#This Row],[SC Term]]), 0)</f>
        <v>0</v>
      </c>
      <c r="EZ9" s="283"/>
      <c r="FA9" s="218"/>
      <c r="FB9" s="370"/>
      <c r="FC9" s="4">
        <f>IF(SnapshotTable[[#This Row],[SC Is Filled]], btc_max_buyback_amount(SnapshotTable[[#This Row],[SC Fill Date]],SnapshotTable[[#This Row],[SC Exp Date]], SnapshotTable[[#This Row],[SC Book Price]]),0)</f>
        <v>0</v>
      </c>
      <c r="FD9" s="5"/>
      <c r="FE9" s="144" t="str">
        <f>IF(SnapshotTable[[#This Row],[SC Is Filled]], btc_next_cutoff_date(SnapshotTable[[#This Row],[SC Fill Date]],SnapshotTable[[#This Row],[SC Exp Date]]),"")</f>
        <v/>
      </c>
      <c r="FF9" s="4" t="str" cm="1">
        <f t="array" ref="FF9">IF(SnapshotTable[[#This Row],[SC Is Filled]], btc_should_buy_back(SnapshotTable[[#This Row],[SC Fill Date]], SnapshotTable[[#This Row],[SC Exp Date]], SnapshotTable[[#This Row],[SC Book Price]], SnapshotTable[[#This Row],[SC Current Ask]], MockToday, SnapshotTable[[#This Row],[SC Buyback Override]]),"")</f>
        <v/>
      </c>
      <c r="FG9" s="4">
        <f>IF(SnapshotTable[[#This Row],[SC Is Filled]], MAX(0,SnapshotTable[[#This Row],[Last Price]]  - SnapshotTable[[#This Row],[SC Strike Price]]), 0)</f>
        <v>0</v>
      </c>
      <c r="FH9" s="382">
        <f>IF(SnapshotTable[[#This Row],[SC Is Filled]], IF(ISNUMBER(SnapshotTable[[#This Row],[SC Current Ask]]), SnapshotTable[[#This Row],[SC Current Ask]], SnapshotTable[[#This Row],[SC Book Price]]) - SnapshotTable[[#This Row],[SC Intrinsic Value]], 0)</f>
        <v>0</v>
      </c>
      <c r="FI9" s="143"/>
      <c r="FJ9" s="32" t="str">
        <f>IF(SnapshotTable[[#This Row],[SC Is Filled]],100 * SnapshotTable[[#This Row],[SC Qty]] * IF(ISNUMBER(SnapshotTable[[#This Row],[SC Buyback Override]]), SnapshotTable[[#This Row],[SC Buyback Override]], SnapshotTable[[#This Row],[SC Current Ask]]), "")</f>
        <v/>
      </c>
      <c r="FK9" s="250" t="str">
        <f>IF(SnapshotTable[[#This Row],[SC Time Val]]&gt;0, SnapshotTable[[#This Row],[SC Time Val]] / SnapshotTable[[#This Row],[Last Price]],"")</f>
        <v/>
      </c>
      <c r="FL9" s="302" t="str">
        <f>IF(SnapshotTable[[#This Row],[SC Is Booked]], ((SnapshotTable[[#This Row],[Last Price]] -SnapshotTable[[#This Row],[SC Strike Price]]) / SnapshotTable[[#This Row],[Last Price]]) * -1, "")</f>
        <v/>
      </c>
      <c r="FM9" s="157" t="str">
        <f>IF(SnapshotTable[[#This Row],[SC Is Booked]],  (SnapshotTable[[#This Row],[SC Qty]] * 100 * SnapshotTable[[#This Row],[SC Strike Price]]) - SnapshotTable[[#This Row],[SC Current Ask]], "")</f>
        <v/>
      </c>
      <c r="FN9"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 s="157" t="str">
        <f>IF(AND(ISNUMBER(SnapshotTable[[#This Row],[SC Exercise Gross]]), ISNUMBER(SnapshotTable[[#This Row],[Equity Basis Per Share]] )), SnapshotTable[[#This Row],[SC Exercise Gross]] - SnapshotTable[[#This Row],[Equity Basis Total]] +  SnapshotTable[[#This Row],[SC Premium]], "")</f>
        <v/>
      </c>
      <c r="FP9" s="5" t="str">
        <f>IF(ISNUMBER(SnapshotTable[[#This Row],[SC Exercise Gross]]), (SnapshotTable[[#This Row],[SC Exercise Gross]]) / (SnapshotTable[[#This Row],[SC Qty]] * 100), "")</f>
        <v/>
      </c>
      <c r="FQ9" s="27" t="str">
        <f>IF(SnapshotTable[[#This Row],[SC Is Booked]],SnapshotTable[[#This Row],[SC Time Val]] /SnapshotTable[[#This Row],[SC Basis]], "")</f>
        <v/>
      </c>
      <c r="FR9" s="27" t="str" cm="1">
        <f t="array" ref="FR9">IF(AND(ISNUMBER(SnapshotTable[[#This Row],[SC Term]]),ISNUMBER(SnapshotTable[[#This Row],[SC Simple ROO]])), EllmanAnnualize(SnapshotTable[[#This Row],[SC DTE]], SnapshotTable[[#This Row],[SC Simple ROO]] ),"")</f>
        <v/>
      </c>
      <c r="FS9" s="4" t="e">
        <f>IF(SnapshotTable[[#This Row],[SC Strike Price]] &gt; SnapshotTable[[#This Row],[Last Price]], SnapshotTable[[#This Row],[SC Strike Price]] - SnapshotTable[[#This Row],[Last Price]],0)</f>
        <v>#VALUE!</v>
      </c>
      <c r="FT9" s="27" t="e">
        <f>IF(AND(ISNUMBER(SnapshotTable[[#This Row],[SC Upside Potential]]), SnapshotTable[[#This Row],[SC Upside Potential]] &gt; 0),(SnapshotTable[[#This Row],[SC Upside Potential]]/ SnapshotTable[[#This Row],[ACB]]),"")</f>
        <v>#VALUE!</v>
      </c>
      <c r="FU9" s="333" t="str">
        <f>IF(SnapshotTable[[#This Row],[SC Intrinsic Value]] &gt; 0,SnapshotTable[[#This Row],[SC Intrinsic Value]],"")</f>
        <v/>
      </c>
      <c r="FV9" s="27" t="str">
        <f>IF(AND( ISNUMBER( SnapshotTable[[#This Row],[ACB]]),ISNUMBER(SnapshotTable[[#This Row],[SC Downside Protect]])),SnapshotTable[[#This Row],[SC Downside Protect]] / SnapshotTable[[#This Row],[ACB]],"")</f>
        <v/>
      </c>
      <c r="FW9" s="236" t="str">
        <f>IF(AND(ISNUMBER(SnapshotTable[[#This Row],[SC Simple ROO]]),SnapshotTable[[#This Row],[SC Simple ROO]] &gt; 0), SnapshotTable[[#This Row],[SC Premium]] + (SnapshotTable[[#This Row],[SC Qty]] * SnapshotTable[[#This Row],[SC Upside Potential]]), "")</f>
        <v/>
      </c>
      <c r="FX9" s="302" t="str" cm="1">
        <f t="array" ref="FX9">IF(ISNUMBER(SnapshotTable[[#This Row],[SC Max Dollars]]), annualize(SnapshotTable[[#This Row],[SC Term]],(SnapshotTable[[#This Row],[SC Max Dollars]]/SnapshotTable[[#This Row],[SC Basis]])),"")</f>
        <v/>
      </c>
      <c r="FY9" s="236" t="str">
        <f>IF(AND(SnapshotTable[[#This Row],[SC Qty]]&gt;0,SnapshotTable[[#This Row],[SC Current Ask]]&gt;0), SnapshotTable[[#This Row],[SC Qty]] * SnapshotTable[[#This Row],[SC Current Ask]] * -100, "")</f>
        <v/>
      </c>
      <c r="FZ9" s="235" t="str">
        <f>IF(ISNUMBER((SnapshotTable[[#This Row],[SC Current Value]])), SnapshotTable[[#This Row],[SC Premium]] + SnapshotTable[[#This Row],[SC Current Value]], "")</f>
        <v/>
      </c>
      <c r="GA9" s="294" t="str">
        <f>IFERROR( IF(ISNUMBER((SnapshotTable[[#This Row],[SC Current Value]])), SnapshotTable[[#This Row],[SC Gain Loss]] / SnapshotTable[[#This Row],[SC Premium]], ""), "")</f>
        <v/>
      </c>
      <c r="GB9" s="42">
        <f>SnapshotTable[[#This Row],[Equity Shares]] * SaleSharesToConsiderPercentage</f>
        <v>0</v>
      </c>
      <c r="GC9" s="40">
        <f>SnapshotTable[[#This Row],[Long Term Target]] * SellingPriceToConsiderBasedOnTargetPercentage</f>
        <v>38</v>
      </c>
      <c r="GD9" s="40">
        <f>SnapshotTable[[#This Row],[Last Price]] * (1+ SellingPriceToConsiderBasedOnTargetPercentage)</f>
        <v>90.031500000000008</v>
      </c>
      <c r="GE9" s="41"/>
      <c r="GF9" s="40"/>
      <c r="GG9" s="31">
        <f>SnapshotTable[[#This Row],[Booked Sale Shares]] * SnapshotTable[[#This Row],[Booked Sale Price]]</f>
        <v>0</v>
      </c>
      <c r="GH9" s="31" t="str">
        <f>IF(SnapshotTable[[#This Row],[Equity Basis Total]] &gt; 0, SnapshotTable[[#This Row],[Equity Basis Per Share]] * SnapshotTable[[#This Row],[Booked Sale Shares]], "")</f>
        <v/>
      </c>
      <c r="GI9" s="31">
        <f>IF(SnapshotTable[[#This Row],[Sale Proceeds]]&gt;0, SnapshotTable[[#This Row],[Sale Proceeds]] - SnapshotTable[[#This Row],[Sale Basis]], 0)</f>
        <v>0</v>
      </c>
      <c r="GJ9" s="158" t="str">
        <f>IF(SnapshotTable[[#This Row],[Sale G/L]]&gt;0, SnapshotTable[[#This Row],[Sale G/L]] / SnapshotTable[[#This Row],[Sale Basis]], IF(ISNUMBER(SnapshotTable[[#This Row],[SC Exercise P&amp;L (TAX)]]), SnapshotTable[[#This Row],[SC Exercise P&amp;L (TAX)]] / SnapshotTable[[#This Row],[SC Basis]], ""))</f>
        <v/>
      </c>
      <c r="GK9" s="27" t="s">
        <v>1015</v>
      </c>
      <c r="GL9" s="159" t="str">
        <f>IF(AND(SnapshotTable[[#This Row],[LP Exp Date]]&gt;0,SnapshotTable[[#This Row],[LP Strike Price]]&gt;0), [1]!ToOptionSymbol(SnapshotTable[[#This Row],[Symbol]], SnapshotTable[[#This Row],[LP Strike Price]],SnapshotTable[[#This Row],[LP Exp Date]],1), "")</f>
        <v/>
      </c>
      <c r="GM9" s="30" t="str">
        <f>IF(LEN(SnapshotTable[[#This Row],[LP Symbol]])&gt;0, 1, "")</f>
        <v/>
      </c>
      <c r="GN9" s="43" t="str">
        <f>IF(AND(SnapshotTable[[#This Row],[SP Exp Date]]&gt;0,SnapshotTable[[#This Row],[SP Strike Price]]&gt;0), [1]!ToOptionSymbol(SnapshotTable[[#This Row],[Symbol]], SnapshotTable[[#This Row],[SP Strike Price]],SnapshotTable[[#This Row],[SP Exp Date]],1), "")</f>
        <v/>
      </c>
      <c r="GO9" s="30" t="str">
        <f>IF(LEN(SnapshotTable[[#This Row],[SP Symbol]])&gt;0, 1, "")</f>
        <v/>
      </c>
      <c r="GP9" s="159" t="str">
        <f>IF(AND(SnapshotTable[[#This Row],[LC Exp Date]]&gt;0,SnapshotTable[[#This Row],[LC Strike Price]]&gt;0), [1]!ToOptionSymbol(SnapshotTable[[#This Row],[Symbol]], SnapshotTable[[#This Row],[LC Strike Price]],SnapshotTable[[#This Row],[LC Exp Date]],0), "")</f>
        <v/>
      </c>
      <c r="GQ9" s="160" t="str">
        <f>IF(LEN(SnapshotTable[[#This Row],[LC Symbol]])&gt;0, 1, "")</f>
        <v/>
      </c>
      <c r="GR9" s="159" t="str">
        <f>IF(AND(SnapshotTable[[#This Row],[SC Exp Date]]&gt;0,SnapshotTable[[#This Row],[SC Strike Price]]&gt;0), [1]!ToOptionSymbol(SnapshotTable[[#This Row],[Symbol]], SnapshotTable[[#This Row],[SC Strike Price]],SnapshotTable[[#This Row],[SC Exp Date]],0), "")</f>
        <v/>
      </c>
      <c r="GS9" s="160" t="str">
        <f>IF(LEN(SnapshotTable[[#This Row],[SC Symbol]])&gt;0, 1, "")</f>
        <v/>
      </c>
      <c r="GT9" s="161" t="str">
        <f>IF(COUNT(SnapshotTable[[#This Row],[LP Symbol Count]],SnapshotTable[[#This Row],[SP Symbol Count]],SnapshotTable[[#This Row],[LC Symbol Count]],SnapshotTable[[#This Row],[SC Symbol Count]])&gt;0, "Y", "")</f>
        <v/>
      </c>
      <c r="GU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 s="231" t="e">
        <f>MAX(SnapshotTable[[#This Row],[Equity Basis Total]],SnapshotTable[[#This Row],[Equity Value]]) + (SnapshotTable[[#This Row],[SP Potential Spend]]- SnapshotTable[[#This Row],[SP Premium]] + SnapshotTable[[#This Row],[LP Premium]])+ (SnapshotTable[[#This Row],[LC Premium]] - SnapshotTable[[#This Row],[SC Premium]])</f>
        <v>#VALUE!</v>
      </c>
      <c r="GW9" s="139" t="e">
        <f>IF(AND(SnapshotTable[[#This Row],[Exposure]] &lt;&gt; 0),SnapshotTable[[#This Row],[Exposure]] / SnapshotTable[[#Totals],[Exposure]], "")</f>
        <v>#VALUE!</v>
      </c>
      <c r="HK9" s="1"/>
      <c r="HL9" s="1"/>
      <c r="HM9" s="1"/>
      <c r="HN9" s="1"/>
      <c r="HO9" s="1"/>
      <c r="HP9" s="1"/>
    </row>
    <row r="10" spans="2:224" ht="12.75" hidden="1" customHeight="1" x14ac:dyDescent="0.25">
      <c r="B10" s="12" t="s">
        <v>555</v>
      </c>
      <c r="C10" s="422">
        <v>55.49</v>
      </c>
      <c r="D10" s="208"/>
      <c r="E10" s="39">
        <f>SnapshotTable[[#This Row],[Last Price]]*(1 -CrashDiscount)</f>
        <v>47.166499999999999</v>
      </c>
      <c r="F10" s="26" t="s">
        <v>907</v>
      </c>
      <c r="G10" s="26" t="s">
        <v>610</v>
      </c>
      <c r="H10" s="149"/>
      <c r="I10" s="194">
        <v>44795.6875</v>
      </c>
      <c r="J10" s="195">
        <v>44795.6875</v>
      </c>
      <c r="K10" s="196"/>
      <c r="L10" s="326"/>
      <c r="M10" s="140"/>
      <c r="N10" s="140"/>
      <c r="O10" s="140"/>
      <c r="P10" s="22"/>
      <c r="Q10" s="25"/>
      <c r="R10" s="4" t="str">
        <f>IF(SnapshotTable[[#This Row],[Equity Basis Total]] &gt; 0, SnapshotTable[[#This Row],[Equity Basis Total]] / SnapshotTable[[#This Row],[Equity Shares]], "")</f>
        <v/>
      </c>
      <c r="S10" s="269">
        <f>SnapshotTable[[#This Row],[Last Price]] * SnapshotTable[[#This Row],[Equity Shares]]</f>
        <v>0</v>
      </c>
      <c r="T10" s="269">
        <f>SnapshotTable[[#This Row],[Equity Value]] - SnapshotTable[[#This Row],[Equity Basis Total]]</f>
        <v>0</v>
      </c>
      <c r="U10" s="270" t="str">
        <f>IF(SnapshotTable[[#This Row],[Equity Basis Total]] &gt; 0, SnapshotTable[[#This Row],[Equity G/L]] / SnapshotTable[[#This Row],[Equity Basis Total]], "")</f>
        <v/>
      </c>
      <c r="V10" s="268"/>
      <c r="W10" s="268"/>
      <c r="X10" s="4" t="str">
        <f>IF(AND(ISNUMBER(SnapshotTable[[#This Row],[Equity Basis Per Share]]),ISNUMBER(SnapshotTable[[#This Row],[Equity Target]])),SnapshotTable[[#This Row],[Equity Target]]-SnapshotTable[[#This Row],[Equity Basis Per Share]],"")</f>
        <v/>
      </c>
      <c r="Y10" s="4" t="str">
        <f>IF(AND(ISNUMBER(SnapshotTable[[#This Row],[Equity Basis Per Share]]),ISNUMBER(SnapshotTable[[#This Row],[Equity Stop Loss]])),SnapshotTable[[#This Row],[Equity Stop Loss]]-SnapshotTable[[#This Row],[Equity Basis Per Share]],"")</f>
        <v/>
      </c>
      <c r="Z10" s="275" t="str">
        <f>IFERROR( TEXT(SnapshotTable[[#This Row],[Equity Max Gain Per Share]] /ABS( SnapshotTable[[#This Row],[Equity Max Loss Per Share]]),"0.0 " ) &amp; " : 1", "")</f>
        <v/>
      </c>
      <c r="AA10" s="31" t="str">
        <f>IF(ISNUMBER(SnapshotTable[[#This Row],[Equity Max Gain Per Share]]),SnapshotTable[[#This Row],[Equity Max Gain Per Share]] * SnapshotTable[[#This Row],[Equity Shares]],"")</f>
        <v/>
      </c>
      <c r="AB10" s="31" t="str">
        <f>IF(ISNUMBER(SnapshotTable[[#This Row],[Equity Max Loss Per Share]]),SnapshotTable[[#This Row],[Equity Max Loss Per Share]] * SnapshotTable[[#This Row],[Equity Shares]],"")</f>
        <v/>
      </c>
      <c r="AC10" s="150"/>
      <c r="AD10" s="151"/>
      <c r="AE10" s="31">
        <f>(SnapshotTable[[#This Row],[Annual Dividend Per Share]] / 4) * SnapshotTable[[#This Row],[Equity Shares]]</f>
        <v>0</v>
      </c>
      <c r="AF10" s="31">
        <f>SnapshotTable[[#This Row],[Quarterly Div $]] * 4</f>
        <v>0</v>
      </c>
      <c r="AG10" s="7">
        <f>IF(SnapshotTable[[#This Row],[Annual Dividend Per Share]]&gt;0, SnapshotTable[[#This Row],[Annual Dividend Per Share]]  / SnapshotTable[[#This Row],[Last Price]], 0)</f>
        <v>0</v>
      </c>
      <c r="AH10" s="151"/>
      <c r="AI10" s="5"/>
      <c r="AJ10" s="138">
        <v>78.75</v>
      </c>
      <c r="AK10" s="152" t="str">
        <f>IF(ISNUMBER( SnapshotTable[[#This Row],[EBF Target]]),(SnapshotTable[[#This Row],[EBF Target]] - SnapshotTable[[#This Row],[Last Price]]) / SnapshotTable[[#This Row],[Last Price]], "")</f>
        <v/>
      </c>
      <c r="AL10" s="152" t="str">
        <f>IF(AND(SnapshotTable[[#This Row],[Equity Basis Total]] &gt; 0,ISNUMBER( SnapshotTable[[#This Row],[Long Term Target]])), SnapshotTable[[#This Row],[From Basis $]] / SnapshotTable[[#This Row],[Equity Basis Total]], "")</f>
        <v/>
      </c>
      <c r="AM10" s="9">
        <f>IF( AND(SnapshotTable[[#This Row],[Equity Shares]] &gt;0,ISNUMBER( SnapshotTable[[#This Row],[Long Term Target]])),(SnapshotTable[[#This Row],[Equity Shares]] * SnapshotTable[[#This Row],[Long Term Target]]) - SnapshotTable[[#This Row],[Equity Basis Total]],0)</f>
        <v>0</v>
      </c>
      <c r="AN10" s="9">
        <f>IF( AND(SnapshotTable[[#This Row],[Equity Shares]] &gt;0,ISNUMBER( SnapshotTable[[#This Row],[Long Term Target]])),(SnapshotTable[[#This Row],[Equity Shares]]*SnapshotTable[[#This Row],[Long Term Target]]) - SnapshotTable[[#This Row],[Equity Value]],0)</f>
        <v>0</v>
      </c>
      <c r="AO10" s="152">
        <f>IF(AND(ISNUMBER( SnapshotTable[[#This Row],[Long Term Target]]), ISNUMBER(SnapshotTable[[#This Row],[Last Price]])),(SnapshotTable[[#This Row],[Long Term Target]] - SnapshotTable[[#This Row],[Last Price]]) / SnapshotTable[[#This Row],[Last Price]], "")</f>
        <v>0.41917462605874928</v>
      </c>
      <c r="AP10" s="5">
        <v>170</v>
      </c>
      <c r="AQ10" s="38" t="s">
        <v>110</v>
      </c>
      <c r="AR10" s="5">
        <v>160</v>
      </c>
      <c r="AS10" s="38" t="s">
        <v>38</v>
      </c>
      <c r="AT10" s="146" t="s">
        <v>549</v>
      </c>
      <c r="AU10" s="187" t="str">
        <f>IF(OR(SnapshotTable[[#This Row],[LP No Fill]]="Y",SnapshotTable[[#This Row],[SP Is Filled]],SnapshotTable[[#This Row],[LC Not Filled]]="Y",SnapshotTable[[#This Row],[SC Is Filled]]),"Y","")</f>
        <v/>
      </c>
      <c r="AV10" s="219"/>
      <c r="AW10" s="225"/>
      <c r="AX10" s="220"/>
      <c r="AY10" s="219" t="str">
        <f>IF(SnapshotTable[[#This Row],[Implied Move]]&gt;0, SnapshotTable[[#This Row],[Last Price]]-SnapshotTable[[#This Row],[Implied Move]],"")</f>
        <v/>
      </c>
      <c r="AZ10" s="219" t="str">
        <f>IF(SnapshotTable[[#This Row],[Implied Move]]&gt;0, SnapshotTable[[#This Row],[Last Price]] + SnapshotTable[[#This Row],[Implied Move]],"")</f>
        <v/>
      </c>
      <c r="BA10" s="331"/>
      <c r="BB10" s="347"/>
      <c r="BC1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 s="351"/>
      <c r="BE10" s="5"/>
      <c r="BF10" s="14"/>
      <c r="BG10" s="13"/>
      <c r="BH10" s="13"/>
      <c r="BI10" s="5"/>
      <c r="BJ10" s="136">
        <f>IF(SnapshotTable[[#This Row],[LP Qty]] &gt; 0, SnapshotTable[[#This Row],[LP Qty]] * SnapshotTable[[#This Row],[LP Book Price]] * 100,0)</f>
        <v>0</v>
      </c>
      <c r="BK10" s="136">
        <f>IF(SnapshotTable[[#This Row],[LP Premium]] &gt; 0, SnapshotTable[[#This Row],[LP Qty]] * SnapshotTable[[#This Row],[LP Strike Price]] * 100,0)</f>
        <v>0</v>
      </c>
      <c r="BL10" s="154"/>
      <c r="BM10" s="385" t="str">
        <f>IF(SnapshotTable[[#This Row],[LP Premium]] &gt; 0,SnapshotTable[[#This Row],[LP Exp Date]]-MAX(SnapshotTable[[#This Row],[LP Book Date]], SnapshotTable[[#This Row],[LP Fill Date]]),"")</f>
        <v/>
      </c>
      <c r="BN10" s="385" t="str">
        <f>IF(ISNUMBER( SnapshotTable[[#This Row],[LP Term]]), SnapshotTable[[#This Row],[LP Exp Date]] - MockToday,"")</f>
        <v/>
      </c>
      <c r="BO10" s="163" t="str">
        <f>IF(AND(SnapshotTable[[#This Row],[LP Exp Date]]&gt;0, SnapshotTable[[#This Row],[LP Strike Price]]&gt;0,SnapshotTable[[#This Row],[LP Qty]]&gt;0,SnapshotTable[[#This Row],[LP Book Date]]&gt;0,SnapshotTable[[#This Row],[LP Book Price]]&gt;0,SnapshotTable[[#This Row],[LP Fill Date]]=0),"Y","")</f>
        <v/>
      </c>
      <c r="BP10" s="31" t="str">
        <f>IF(AND(SnapshotTable[[#This Row],[LP No Fill]]&lt;&gt;"Y",SnapshotTable[[#This Row],[LP Contract Value]]&gt;0, SnapshotTable[[#This Row],[LP Qty]]&gt;0), SnapshotTable[[#This Row],[LP Contract Value]]*SnapshotTable[[#This Row],[LP Qty]]*100,"")</f>
        <v/>
      </c>
      <c r="BQ10" s="13"/>
      <c r="BR10" s="5" t="str">
        <f>IF(SnapshotTable[[#This Row],[SP Exp Date]]&lt;&gt;"",TRUNC(SnapshotTable[[#This Row],[Last Price]]),"")</f>
        <v/>
      </c>
      <c r="BS10" s="36"/>
      <c r="BT10" s="147"/>
      <c r="BU10" s="13"/>
      <c r="BV10" s="5"/>
      <c r="BW10" s="419" t="b">
        <f>AND(ISNUMBER(SnapshotTable[[#This Row],[SP Exp Date]]), ISNUMBER(SnapshotTable[[#This Row],[SP Strike Price]]), ISNUMBER(SnapshotTable[[#This Row],[SP Qty]]), ISNUMBER(SnapshotTable[[#This Row],[SP Book Date]]), ISNUMBER(SnapshotTable[[#This Row],[SP Book Price]]))</f>
        <v>0</v>
      </c>
      <c r="BX10" s="419" t="b">
        <f>AND(SnapshotTable[[#This Row],[SP Is Booked]], NOT(ISBLANK(SnapshotTable[[#This Row],[SP Fill Date]])))</f>
        <v>0</v>
      </c>
      <c r="BY10" s="33">
        <f>IF(SnapshotTable[[#This Row],[SP Is Booked]], SnapshotTable[[#This Row],[SP Qty]] * SnapshotTable[[#This Row],[SP Book Price]] * 100, 0)</f>
        <v>0</v>
      </c>
      <c r="BZ10" s="369"/>
      <c r="CA10" s="368">
        <f>SnapshotTable[[#This Row],[LP Qty]]</f>
        <v>0</v>
      </c>
      <c r="CB10" s="4" t="str">
        <f>IF(SnapshotTable[[#This Row],[SP Is Booked]], SnapshotTable[[#This Row],[SP Strike Price]] - SnapshotTable[[#This Row],[SP Book Price]], "")</f>
        <v/>
      </c>
      <c r="CC10" s="19" t="str">
        <f>IF(SnapshotTable[[#This Row],[SP Is Booked]],SnapshotTable[[#This Row],[SP Exp Date]]-MAX(SnapshotTable[[#This Row],[SP Book Date]], SnapshotTable[[#This Row],[SP Fill Date]]),"")</f>
        <v/>
      </c>
      <c r="CD10" s="7" t="str">
        <f>IF(SnapshotTable[[#This Row],[SP Is Booked]], SnapshotTable[[#This Row],[SP Book Price]]/SnapshotTable[[#This Row],[SP Strike Price]], "")</f>
        <v/>
      </c>
      <c r="CE10" s="7" t="str">
        <f>IF(ISNUMBER(SnapshotTable[[#This Row],[SP ROO Term]]),SnapshotTable[[#This Row],[SP ROO Term]]*(365/SnapshotTable[[#This Row],[SP Term]]),"")</f>
        <v/>
      </c>
      <c r="CF10" s="236">
        <f>SnapshotTable[[#This Row],[LP Strike Price]] * SnapshotTable[[#This Row],[LP Qty]] * 100</f>
        <v>0</v>
      </c>
      <c r="CG10" s="31" t="e">
        <f>IF(ISNUMBER(SnapshotTable[[#This Row],[SP Premium]]), (SnapshotTable[[#This Row],[SP Qty]] * SnapshotTable[[#This Row],[SP Strike Price]]* 100) - SnapshotTable[[#This Row],[LP Protection]], 0)</f>
        <v>#VALUE!</v>
      </c>
      <c r="CH10" s="7" t="str">
        <f>IF(ISNUMBER(SnapshotTable[[#This Row],[SP Break Even]]),-1 * (SnapshotTable[[#This Row],[SP Break Even]] - SnapshotTable[[#This Row],[Last Price]]) / SnapshotTable[[#This Row],[Last Price]], "")</f>
        <v/>
      </c>
      <c r="CI10" s="31">
        <f>IF(AND(ISNUMBER((SnapshotTable[[#This Row],[SP Potential Spend]])), SnapshotTable[[#This Row],[SP Strike Price]] &gt; SnapshotTable[[#This Row],[Last Price]], SnapshotTable[[#This Row],[SP Is Filled]]), SnapshotTable[[#This Row],[SP Potential Spend]] -  SnapshotTable[[#This Row],[LP Max Value]], 0)</f>
        <v>0</v>
      </c>
      <c r="CJ10" s="244"/>
      <c r="CK10" s="31" t="str">
        <f>IF(ISNUMBER(SnapshotTable[[#This Row],[SP Potential Spend]]),IF(ISNUMBER(SnapshotTable[[#This Row],[SP POW]]), SnapshotTable[[#This Row],[SP POW]] * SnapshotTable[[#This Row],[SP Potential Spend]], SnapshotTable[[#This Row],[SP Potential Spend]]), "")</f>
        <v/>
      </c>
      <c r="CL10" s="164" t="e">
        <f>IF(NOT(SnapshotTable[[#This Row],[SP Is Filled]]),(SnapshotTable[[#This Row],[SP Qty]] * SnapshotTable[[#This Row],[SP Strike Price]] * 100) - SnapshotTable[[#This Row],[LP Max Value]],"")</f>
        <v>#VALUE!</v>
      </c>
      <c r="CM10" s="31" t="str">
        <f>IF(SnapshotTable[[#This Row],[SP Actual Spend]]&lt;&gt;0, ((SnapshotTable[[#This Row],[SP Strike Price]]-SnapshotTable[[#This Row],[Last Price]]) *(SnapshotTable[[#This Row],[SP Qty]]*100) - SnapshotTable[[#This Row],[SP Premium]]) * - 1, "")</f>
        <v/>
      </c>
      <c r="CN10" s="78"/>
      <c r="CO10" s="369"/>
      <c r="CP10" s="4" t="str">
        <f>IF(SnapshotTable[[#This Row],[SP Is Filled]], btc_max_buyback_amount(SnapshotTable[[#This Row],[SP Fill Date]],SnapshotTable[[#This Row],[SP Exp Date]], SnapshotTable[[#This Row],[SP Book Price]]),"")</f>
        <v/>
      </c>
      <c r="CQ10" s="78"/>
      <c r="CR1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 s="155" t="str">
        <f>IF(SnapshotTable[[#This Row],[SP Is Filled]], btc_next_cutoff_date(SnapshotTable[[#This Row],[SP Fill Date]],SnapshotTable[[#This Row],[SP Exp Date]]),"")</f>
        <v/>
      </c>
      <c r="CT10" s="235" t="str" cm="1">
        <f t="array" ref="CT10">IF(SnapshotTable[[#This Row],[SP Is Filled]], btc_should_buy_back(SnapshotTable[[#This Row],[SP Fill Date]], SnapshotTable[[#This Row],[SP Exp Date]], SnapshotTable[[#This Row],[SP Book Price]], SnapshotTable[[#This Row],[SP Current Ask]], MockToday, SnapshotTable[[#This Row],[SP Buyback Override]]),"")</f>
        <v/>
      </c>
      <c r="CU10" s="143"/>
      <c r="CV10" s="235"/>
      <c r="CW10" s="378" t="str">
        <f>IF(ISNUMBER( SnapshotTable[[#This Row],[SP Term]]), SnapshotTable[[#This Row],[SP Exp Date]] - MockToday,"")</f>
        <v/>
      </c>
      <c r="CX10" s="31" t="str">
        <f>IF(SnapshotTable[[#This Row],[SP Is Filled]],SnapshotTable[[#This Row],[SP Buyback Price to Use]] * 100 * SnapshotTable[[#This Row],[SP Qty]], "")</f>
        <v/>
      </c>
      <c r="CY10" s="4" t="str">
        <f>IF(ISNUMBER(SnapshotTable[[#This Row],[SP Strike Price]]), SnapshotTable[[#This Row],[SP Strike Price]] * (1 - SP_MaxLoss_StrikePct), "")</f>
        <v/>
      </c>
      <c r="CZ10" s="31" t="str">
        <f>IF(ISNUMBER(SnapshotTable[[#This Row],[SP Strike  Stop Per Share]]),SnapshotTable[[#This Row],[SP Premium]] - ((SnapshotTable[[#This Row],[SP Strike Price]]-SnapshotTable[[#This Row],[SP Strike  Stop Per Share]]) *(SnapshotTable[[#This Row],[SP Qty]] * 100)),"")</f>
        <v/>
      </c>
      <c r="DA10" s="4" t="str">
        <f>IF(AND(ISNUMBER(SnapshotTable[[#This Row],[SP Premium]]),SnapshotTable[[#This Row],[SP Premium]]&gt;0), SnapshotTable[[#This Row],[SP Book Price]] * (1 + SP_MaxLoss_OptionPct), "")</f>
        <v/>
      </c>
      <c r="DB10" s="31" t="str">
        <f>IF(ISNUMBER(SnapshotTable[[#This Row],[SP Option  Stop Contract]]),(SnapshotTable[[#This Row],[SP Option  Stop Contract]] *(SnapshotTable[[#This Row],[SP Qty]] * 100) - SnapshotTable[[#This Row],[SP Premium]]),"")</f>
        <v/>
      </c>
      <c r="DC10" s="4"/>
      <c r="DD10" s="4"/>
      <c r="DE10" s="4" t="str">
        <f>IF(AND(SnapshotTable[[#This Row],[SP Qty]]&gt;0, SnapshotTable[[#This Row],[SP Stop To Use]]&gt;0),SnapshotTable[[#This Row],[SP Premium]] - ( SnapshotTable[[#This Row],[SP Qty]] * SnapshotTable[[#This Row],[SP Stop To Use]] * 100), "")</f>
        <v/>
      </c>
      <c r="DF10" s="31" t="str">
        <f>IF(AND(SnapshotTable[[#This Row],[SP Qty]]&gt;0,SnapshotTable[[#This Row],[SP Current Ask]]&gt;0), SnapshotTable[[#This Row],[SP Qty]] * SnapshotTable[[#This Row],[SP Current Ask]] * -100, "")</f>
        <v/>
      </c>
      <c r="DG10" s="31" t="str">
        <f>IF(ISNUMBER((SnapshotTable[[#This Row],[SP Total Value]])), SnapshotTable[[#This Row],[SP Premium]] + SnapshotTable[[#This Row],[SP Total Value]], "")</f>
        <v/>
      </c>
      <c r="DH10" s="294" t="str">
        <f>IF(ISNUMBER((SnapshotTable[[#This Row],[SP Total Value]])), SnapshotTable[[#This Row],[SP Gain Loss]] / SnapshotTable[[#This Row],[SP Premium]], "")</f>
        <v/>
      </c>
      <c r="DI10" s="406"/>
      <c r="DJ10" s="138"/>
      <c r="DK10" s="148"/>
      <c r="DL10" s="13"/>
      <c r="DM10" s="13"/>
      <c r="DO10" s="31">
        <f>IF(SnapshotTable[[#This Row],[LC Symbol Count]]=1, SnapshotTable[[#This Row],[LC Qty]] * SnapshotTable[[#This Row],[LC Book Price]] * 100, 0)</f>
        <v>0</v>
      </c>
      <c r="DP10" s="163" t="str">
        <f>IF(AND(SnapshotTable[[#This Row],[LC Exp Date]]&gt;0, SnapshotTable[[#This Row],[LC Strike Price]]&gt;0,SnapshotTable[[#This Row],[LC Qty]]&gt;0,SnapshotTable[[#This Row],[LC Book Date]]&gt;0,SnapshotTable[[#This Row],[LC Book Price]]&gt;0,SnapshotTable[[#This Row],[LC Fill Date]]=0),"Y","")</f>
        <v/>
      </c>
      <c r="DQ10" s="386" t="str">
        <f>IF(SnapshotTable[[#This Row],[LC Premium]] &gt; 0,SnapshotTable[[#This Row],[LC Exp Date]]-MAX(SnapshotTable[[#This Row],[LC Book Date]], SnapshotTable[[#This Row],[LC Fill Date]]),"")</f>
        <v/>
      </c>
      <c r="DR10" s="386" t="str">
        <f>IF(ISNUMBER(SnapshotTable[[#This Row],[LC Term]]), SnapshotTable[[#This Row],[LC Exp Date]] - MockToday, "")</f>
        <v/>
      </c>
      <c r="DS10" s="234" t="str">
        <f>IF(SnapshotTable[[#This Row],[LC Premium]]&gt;0,SnapshotTable[[#This Row],[LC Strike Price]] + SnapshotTable[[#This Row],[LC Book Price]],"")</f>
        <v/>
      </c>
      <c r="DU10" s="9" t="str">
        <f>IF(AND(SnapshotTable[[#This Row],[LC Symbol Count]]&gt;0, SnapshotTable[[#This Row],[LC Contract Value]]&gt;0), SnapshotTable[[#This Row],[LC Contract Value]] * SnapshotTable[[#This Row],[LC Qty]] * 100, "")</f>
        <v/>
      </c>
      <c r="DV10" s="9" t="str">
        <f>IF(AND(ISNUMBER(SnapshotTable[[#This Row],[LC Total Value]]), SnapshotTable[[#This Row],[LC Not Filled]]&lt;&gt;"Y"), SnapshotTable[[#This Row],[LC Total Value]]-SnapshotTable[[#This Row],[LC Premium]],"")</f>
        <v/>
      </c>
      <c r="DW10" s="240" t="str">
        <f>IF(ISNUMBER(SnapshotTable[[#This Row],[LC Actual Gain Loss]]), SnapshotTable[[#This Row],[LC Actual Gain Loss]] / SnapshotTable[[#This Row],[LC Premium]],"")</f>
        <v/>
      </c>
      <c r="DX10" s="284" t="str">
        <f>IF(ISNUMBER(SnapshotTable[[#This Row],[LC Book Price]]),SnapshotTable[[#This Row],[LC Book Price]] * 1.5,"")</f>
        <v/>
      </c>
      <c r="DY10" s="265" t="str">
        <f>IF(SnapshotTable[[#This Row],[LC Premium]]&gt;0, SnapshotTable[[#This Row],[LC Next Target]] * SnapshotTable[[#This Row],[LC Qty]] * 100,"")</f>
        <v/>
      </c>
      <c r="DZ10" s="265" t="str">
        <f>IF(ISNUMBER(SnapshotTable[[#This Row],[LC Target Gross]]), SnapshotTable[[#This Row],[LC Target Gross]] - SnapshotTable[[#This Row],[LC Premium]], "")</f>
        <v/>
      </c>
      <c r="EA10" s="305" t="str">
        <f>IF(ISNUMBER(SnapshotTable[[#This Row],[LC Target Gain Loss]]), SnapshotTable[[#This Row],[LC Target Gain Loss]]/SnapshotTable[[#This Row],[LC Premium]], "")</f>
        <v/>
      </c>
      <c r="EB10" s="262"/>
      <c r="EC10" s="283" t="str">
        <f>IF(SnapshotTable[[#This Row],[LC Premium]]&gt;0, SnapshotTable[[#This Row],[LC Book Price]] * (1 - LC_StopLoss_Pct),"")</f>
        <v/>
      </c>
      <c r="ED10" s="284"/>
      <c r="EE10" s="283" t="str">
        <f>IF(ISNUMBER(SnapshotTable[[#This Row],[LC Contract Value]]),IF(ISNUMBER(SnapshotTable[[#This Row],[LC Stop Loss Override]]), SnapshotTable[[#This Row],[LC Stop Loss Override]],SnapshotTable[[#This Row],[LC Stop Loss Calc Target]]),"")</f>
        <v/>
      </c>
      <c r="EF10" s="31" t="str">
        <f>IF(ISNUMBER(SnapshotTable[[#This Row],[LC Stop  To Use]]), (SnapshotTable[[#This Row],[LC Stop  To Use]] * SnapshotTable[[#This Row],[LC Qty]] * 100),"")</f>
        <v/>
      </c>
      <c r="EG10" s="9" t="str">
        <f>IF(ISNUMBER(SnapshotTable[[#This Row],[LC Total Value]]),SnapshotTable[[#This Row],[LC Stop Loss Amount]] - SnapshotTable[[#This Row],[LC Premium]],"")</f>
        <v/>
      </c>
      <c r="EH10" s="9">
        <f>IF(ISNUMBER(SnapshotTable[[#This Row],[LC Premium]]), SnapshotTable[[#This Row],[LC Qty]] * 100 * SnapshotTable[[#This Row],[LC Strike Price]], "")</f>
        <v>0</v>
      </c>
      <c r="EI10" s="240" t="str">
        <f>IF(AND(ISNUMBER(SnapshotTable[[#This Row],[LC Total Value]]),SnapshotTable[[#This Row],[LC Total Value]]&gt;0),SnapshotTable[[#This Row],[LC Stop Gain Loss]]  / SnapshotTable[[#This Row],[LC Premium]],"")</f>
        <v/>
      </c>
      <c r="EJ10" s="35">
        <f>IF(ISNUMBER(SnapshotTable[[#This Row],[Equity Shares]]),TRUNC(SnapshotTable[[#This Row],[Equity Shares]] / 100),0) + SnapshotTable[[#This Row],[LC Qty]]</f>
        <v>0</v>
      </c>
      <c r="EK10" s="147"/>
      <c r="EL10" s="138" t="str">
        <f>IF(SnapshotTable[[#This Row],[SC Exp Date]]&lt;&gt;"",TRUNC(SnapshotTable[[#This Row],[Last Price]]),"")</f>
        <v/>
      </c>
      <c r="EM10" s="148"/>
      <c r="EN10" s="147"/>
      <c r="EO10" s="147"/>
      <c r="EP10" s="138"/>
      <c r="EQ10" s="419" t="b">
        <f>AND(ISNUMBER(SnapshotTable[[#This Row],[SC Exp Date]]), ISNUMBER(SnapshotTable[[#This Row],[SC Strike Price]]), ISNUMBER(SnapshotTable[[#This Row],[SC Qty]]), ISNUMBER(SnapshotTable[[#This Row],[SC Book Date]]), ISNUMBER(SnapshotTable[[#This Row],[SC Book Price]]))</f>
        <v>0</v>
      </c>
      <c r="ER10" s="419" t="b">
        <f>AND(SnapshotTable[[#This Row],[SC Is Booked]], NOT(ISBLANK(SnapshotTable[[#This Row],[SC Fill Date]])))</f>
        <v>0</v>
      </c>
      <c r="ES10" s="370"/>
      <c r="ET10" s="34" t="str">
        <f>IF(AND(ISNUMBER(SnapshotTable[[#This Row],[SC Exp Date]]), ISNUMBER(SnapshotTable[[#This Row],[SC Book Date]])), SnapshotTable[[#This Row],[SC Exp Date]] - MAX(SnapshotTable[[#This Row],[SC Book Date]], SnapshotTable[[#This Row],[SC Fill Date]]) + 1, "")</f>
        <v/>
      </c>
      <c r="EU10" s="34" t="str">
        <f>IF(ISNUMBER(SnapshotTable[[#This Row],[SC Term]]), SnapshotTable[[#This Row],[SC Exp Date]]- MockToday, "")</f>
        <v/>
      </c>
      <c r="EV10" s="31">
        <f>IF(SnapshotTable[[#This Row],[SC Is Booked]], SnapshotTable[[#This Row],[SC Qty]] * SnapshotTable[[#This Row],[SC Book Price]] * 100, 0)</f>
        <v>0</v>
      </c>
      <c r="EW10" s="4" t="str">
        <f>IF(AND(ISNUMBER(SnapshotTable[[#This Row],[Last Price]]), ISNUMBER( SnapshotTable[[#This Row],[SC Book Price]])), SnapshotTable[[#This Row],[Last Price]] - SnapshotTable[[#This Row],[SC Book Price]],"")</f>
        <v/>
      </c>
      <c r="EX10" s="234" t="str">
        <f>IF(SnapshotTable[[#This Row],[SC Is Booked]],IF(SnapshotTable[[#This Row],[SC Intrinsic Value]] &gt; 0, SnapshotTable[[#This Row],[SC Strike Price]], SnapshotTable[[#This Row],[Last Price]]), "")</f>
        <v/>
      </c>
      <c r="EY10" s="4">
        <f>IF(SnapshotTable[[#This Row],[SC Is Booked]], (MinimumPremiumRequired * SnapshotTable[[#This Row],[SC Basis]] * SnapshotTable[[#This Row],[SC Term]]), 0)</f>
        <v>0</v>
      </c>
      <c r="EZ10" s="283"/>
      <c r="FA10" s="218"/>
      <c r="FB10" s="370"/>
      <c r="FC10" s="4">
        <f>IF(SnapshotTable[[#This Row],[SC Is Filled]], btc_max_buyback_amount(SnapshotTable[[#This Row],[SC Fill Date]],SnapshotTable[[#This Row],[SC Exp Date]], SnapshotTable[[#This Row],[SC Book Price]]),0)</f>
        <v>0</v>
      </c>
      <c r="FD10" s="5"/>
      <c r="FE10" s="144" t="str">
        <f>IF(SnapshotTable[[#This Row],[SC Is Filled]], btc_next_cutoff_date(SnapshotTable[[#This Row],[SC Fill Date]],SnapshotTable[[#This Row],[SC Exp Date]]),"")</f>
        <v/>
      </c>
      <c r="FF10" s="4" t="str" cm="1">
        <f t="array" ref="FF10">IF(SnapshotTable[[#This Row],[SC Is Filled]], btc_should_buy_back(SnapshotTable[[#This Row],[SC Fill Date]], SnapshotTable[[#This Row],[SC Exp Date]], SnapshotTable[[#This Row],[SC Book Price]], SnapshotTable[[#This Row],[SC Current Ask]], MockToday, SnapshotTable[[#This Row],[SC Buyback Override]]),"")</f>
        <v/>
      </c>
      <c r="FG10" s="4">
        <f>IF(SnapshotTable[[#This Row],[SC Is Filled]], MAX(0,SnapshotTable[[#This Row],[Last Price]]  - SnapshotTable[[#This Row],[SC Strike Price]]), 0)</f>
        <v>0</v>
      </c>
      <c r="FH10" s="382">
        <f>IF(SnapshotTable[[#This Row],[SC Is Filled]], IF(ISNUMBER(SnapshotTable[[#This Row],[SC Current Ask]]), SnapshotTable[[#This Row],[SC Current Ask]], SnapshotTable[[#This Row],[SC Book Price]]) - SnapshotTable[[#This Row],[SC Intrinsic Value]], 0)</f>
        <v>0</v>
      </c>
      <c r="FI10" s="143">
        <v>45786</v>
      </c>
      <c r="FJ10" s="32" t="str">
        <f>IF(SnapshotTable[[#This Row],[SC Is Filled]],100 * SnapshotTable[[#This Row],[SC Qty]] * IF(ISNUMBER(SnapshotTable[[#This Row],[SC Buyback Override]]), SnapshotTable[[#This Row],[SC Buyback Override]], SnapshotTable[[#This Row],[SC Current Ask]]), "")</f>
        <v/>
      </c>
      <c r="FK10" s="250" t="str">
        <f>IF(SnapshotTable[[#This Row],[SC Time Val]]&gt;0, SnapshotTable[[#This Row],[SC Time Val]] / SnapshotTable[[#This Row],[Last Price]],"")</f>
        <v/>
      </c>
      <c r="FL10" s="302" t="str">
        <f>IF(SnapshotTable[[#This Row],[SC Is Booked]], ((SnapshotTable[[#This Row],[Last Price]] -SnapshotTable[[#This Row],[SC Strike Price]]) / SnapshotTable[[#This Row],[Last Price]]) * -1, "")</f>
        <v/>
      </c>
      <c r="FM10" s="157" t="str">
        <f>IF(SnapshotTable[[#This Row],[SC Is Booked]],  (SnapshotTable[[#This Row],[SC Qty]] * 100 * SnapshotTable[[#This Row],[SC Strike Price]]) - SnapshotTable[[#This Row],[SC Current Ask]], "")</f>
        <v/>
      </c>
      <c r="FN1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 s="31" t="str">
        <f>IF(AND(ISNUMBER(SnapshotTable[[#This Row],[SC Exercise Gross]]), ISNUMBER(SnapshotTable[[#This Row],[Equity Basis Per Share]] )), SnapshotTable[[#This Row],[SC Exercise Gross]] - SnapshotTable[[#This Row],[Equity Basis Total]] +  SnapshotTable[[#This Row],[SC Premium]], "")</f>
        <v/>
      </c>
      <c r="FP10" s="5" t="str">
        <f>IF(ISNUMBER(SnapshotTable[[#This Row],[SC Exercise Gross]]), (SnapshotTable[[#This Row],[SC Exercise Gross]]) / (SnapshotTable[[#This Row],[SC Qty]] * 100), "")</f>
        <v/>
      </c>
      <c r="FQ10" s="27" t="str">
        <f>IF(SnapshotTable[[#This Row],[SC Is Booked]],SnapshotTable[[#This Row],[SC Time Val]] /SnapshotTable[[#This Row],[SC Basis]], "")</f>
        <v/>
      </c>
      <c r="FR10" s="27" t="str" cm="1">
        <f t="array" ref="FR10">IF(AND(ISNUMBER(SnapshotTable[[#This Row],[SC Term]]),ISNUMBER(SnapshotTable[[#This Row],[SC Simple ROO]])), EllmanAnnualize(SnapshotTable[[#This Row],[SC DTE]], SnapshotTable[[#This Row],[SC Simple ROO]] ),"")</f>
        <v/>
      </c>
      <c r="FS10" s="4" t="e">
        <f>IF(SnapshotTable[[#This Row],[SC Strike Price]] &gt; SnapshotTable[[#This Row],[Last Price]], SnapshotTable[[#This Row],[SC Strike Price]] - SnapshotTable[[#This Row],[Last Price]],0)</f>
        <v>#VALUE!</v>
      </c>
      <c r="FT10" s="27" t="e">
        <f>IF(AND(ISNUMBER(SnapshotTable[[#This Row],[SC Upside Potential]]), SnapshotTable[[#This Row],[SC Upside Potential]] &gt; 0),(SnapshotTable[[#This Row],[SC Upside Potential]]/ SnapshotTable[[#This Row],[ACB]]),"")</f>
        <v>#VALUE!</v>
      </c>
      <c r="FU10" s="333" t="str">
        <f>IF(SnapshotTable[[#This Row],[SC Intrinsic Value]] &gt; 0,SnapshotTable[[#This Row],[SC Intrinsic Value]],"")</f>
        <v/>
      </c>
      <c r="FV10" s="27" t="str">
        <f>IF(AND( ISNUMBER( SnapshotTable[[#This Row],[ACB]]),ISNUMBER(SnapshotTable[[#This Row],[SC Downside Protect]])),SnapshotTable[[#This Row],[SC Downside Protect]] / SnapshotTable[[#This Row],[ACB]],"")</f>
        <v/>
      </c>
      <c r="FW10" s="236" t="str">
        <f>IF(AND(ISNUMBER(SnapshotTable[[#This Row],[SC Simple ROO]]),SnapshotTable[[#This Row],[SC Simple ROO]] &gt; 0), SnapshotTable[[#This Row],[SC Premium]] + (SnapshotTable[[#This Row],[SC Qty]] * SnapshotTable[[#This Row],[SC Upside Potential]]), "")</f>
        <v/>
      </c>
      <c r="FX10" s="302" t="str" cm="1">
        <f t="array" ref="FX10">IF(ISNUMBER(SnapshotTable[[#This Row],[SC Max Dollars]]), annualize(SnapshotTable[[#This Row],[SC Term]],(SnapshotTable[[#This Row],[SC Max Dollars]]/SnapshotTable[[#This Row],[SC Basis]])),"")</f>
        <v/>
      </c>
      <c r="FY10" s="236" t="str">
        <f>IF(AND(SnapshotTable[[#This Row],[SC Qty]]&gt;0,SnapshotTable[[#This Row],[SC Current Ask]]&gt;0), SnapshotTable[[#This Row],[SC Qty]] * SnapshotTable[[#This Row],[SC Current Ask]] * -100, "")</f>
        <v/>
      </c>
      <c r="FZ10" s="31" t="str">
        <f>IF(ISNUMBER((SnapshotTable[[#This Row],[SC Current Value]])), SnapshotTable[[#This Row],[SC Premium]] + SnapshotTable[[#This Row],[SC Current Value]], "")</f>
        <v/>
      </c>
      <c r="GA10" s="294" t="str">
        <f>IFERROR( IF(ISNUMBER((SnapshotTable[[#This Row],[SC Current Value]])), SnapshotTable[[#This Row],[SC Gain Loss]] / SnapshotTable[[#This Row],[SC Premium]], ""), "")</f>
        <v/>
      </c>
      <c r="GB10" s="42">
        <f>SnapshotTable[[#This Row],[Equity Shares]] * SaleSharesToConsiderPercentage</f>
        <v>0</v>
      </c>
      <c r="GC10" s="40">
        <f>SnapshotTable[[#This Row],[Long Term Target]] * SellingPriceToConsiderBasedOnTargetPercentage</f>
        <v>74.8125</v>
      </c>
      <c r="GD10" s="40">
        <f>SnapshotTable[[#This Row],[Last Price]] * (1+ SellingPriceToConsiderBasedOnTargetPercentage)</f>
        <v>108.2055</v>
      </c>
      <c r="GE10" s="41"/>
      <c r="GF10" s="40"/>
      <c r="GG10" s="31">
        <f>SnapshotTable[[#This Row],[Booked Sale Shares]] * SnapshotTable[[#This Row],[Booked Sale Price]]</f>
        <v>0</v>
      </c>
      <c r="GH10" s="31" t="str">
        <f>IF(SnapshotTable[[#This Row],[Equity Basis Total]] &gt; 0, SnapshotTable[[#This Row],[Equity Basis Per Share]] * SnapshotTable[[#This Row],[Booked Sale Shares]], "")</f>
        <v/>
      </c>
      <c r="GI10" s="31">
        <f>IF(SnapshotTable[[#This Row],[Sale Proceeds]]&gt;0, SnapshotTable[[#This Row],[Sale Proceeds]] - SnapshotTable[[#This Row],[Sale Basis]], 0)</f>
        <v>0</v>
      </c>
      <c r="GJ10" s="27" t="str">
        <f>IF(SnapshotTable[[#This Row],[Sale G/L]]&gt;0, SnapshotTable[[#This Row],[Sale G/L]] / SnapshotTable[[#This Row],[Sale Basis]], IF(ISNUMBER(SnapshotTable[[#This Row],[SC Exercise P&amp;L (TAX)]]), SnapshotTable[[#This Row],[SC Exercise P&amp;L (TAX)]] / SnapshotTable[[#This Row],[SC Basis]], ""))</f>
        <v/>
      </c>
      <c r="GK10" s="27" t="s">
        <v>615</v>
      </c>
      <c r="GL10" s="43" t="str">
        <f>IF(AND(SnapshotTable[[#This Row],[LP Exp Date]]&gt;0,SnapshotTable[[#This Row],[LP Strike Price]]&gt;0), [1]!ToOptionSymbol(SnapshotTable[[#This Row],[Symbol]], SnapshotTable[[#This Row],[LP Strike Price]],SnapshotTable[[#This Row],[LP Exp Date]],1), "")</f>
        <v/>
      </c>
      <c r="GM10" s="30" t="str">
        <f>IF(LEN(SnapshotTable[[#This Row],[LP Symbol]])&gt;0, 1, "")</f>
        <v/>
      </c>
      <c r="GN10" s="43" t="str">
        <f>IF(AND(SnapshotTable[[#This Row],[SP Exp Date]]&gt;0,SnapshotTable[[#This Row],[SP Strike Price]]&gt;0), [1]!ToOptionSymbol(SnapshotTable[[#This Row],[Symbol]], SnapshotTable[[#This Row],[SP Strike Price]],SnapshotTable[[#This Row],[SP Exp Date]],1), "")</f>
        <v/>
      </c>
      <c r="GO10" s="30" t="str">
        <f>IF(LEN(SnapshotTable[[#This Row],[SP Symbol]])&gt;0, 1, "")</f>
        <v/>
      </c>
      <c r="GP10" s="43" t="str">
        <f>IF(AND(SnapshotTable[[#This Row],[LC Exp Date]]&gt;0,SnapshotTable[[#This Row],[LC Strike Price]]&gt;0), [1]!ToOptionSymbol(SnapshotTable[[#This Row],[Symbol]], SnapshotTable[[#This Row],[LC Strike Price]],SnapshotTable[[#This Row],[LC Exp Date]],0), "")</f>
        <v/>
      </c>
      <c r="GQ10" s="30" t="str">
        <f>IF(LEN(SnapshotTable[[#This Row],[LC Symbol]])&gt;0, 1, "")</f>
        <v/>
      </c>
      <c r="GR10" s="43" t="str">
        <f>IF(AND(SnapshotTable[[#This Row],[SC Exp Date]]&gt;0,SnapshotTable[[#This Row],[SC Strike Price]]&gt;0), [1]!ToOptionSymbol(SnapshotTable[[#This Row],[Symbol]], SnapshotTable[[#This Row],[SC Strike Price]],SnapshotTable[[#This Row],[SC Exp Date]],0), "")</f>
        <v/>
      </c>
      <c r="GS10" s="30" t="str">
        <f>IF(LEN(SnapshotTable[[#This Row],[SC Symbol]])&gt;0, 1, "")</f>
        <v/>
      </c>
      <c r="GT10" s="29" t="str">
        <f>IF(COUNT(SnapshotTable[[#This Row],[LP Symbol Count]],SnapshotTable[[#This Row],[SP Symbol Count]],SnapshotTable[[#This Row],[LC Symbol Count]],SnapshotTable[[#This Row],[SC Symbol Count]])&gt;0, "Y", "")</f>
        <v/>
      </c>
      <c r="GU1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 s="231" t="e">
        <f>MAX(SnapshotTable[[#This Row],[Equity Basis Total]],SnapshotTable[[#This Row],[Equity Value]]) + (SnapshotTable[[#This Row],[SP Potential Spend]]- SnapshotTable[[#This Row],[SP Premium]] + SnapshotTable[[#This Row],[LP Premium]])+ (SnapshotTable[[#This Row],[LC Premium]] - SnapshotTable[[#This Row],[SC Premium]])</f>
        <v>#VALUE!</v>
      </c>
      <c r="GW10" s="139" t="e">
        <f>IF(AND(SnapshotTable[[#This Row],[Exposure]] &lt;&gt; 0),SnapshotTable[[#This Row],[Exposure]] / SnapshotTable[[#Totals],[Exposure]], "")</f>
        <v>#VALUE!</v>
      </c>
      <c r="HK10" s="1"/>
      <c r="HL10" s="1"/>
      <c r="HM10" s="1"/>
      <c r="HN10" s="1"/>
      <c r="HO10" s="1"/>
      <c r="HP10" s="1"/>
    </row>
    <row r="11" spans="2:224" ht="12.75" hidden="1" customHeight="1" x14ac:dyDescent="0.25">
      <c r="B11" s="12" t="s">
        <v>103</v>
      </c>
      <c r="C11" s="422">
        <v>325.89</v>
      </c>
      <c r="D11" s="208" t="s">
        <v>578</v>
      </c>
      <c r="E11" s="39">
        <f>SnapshotTable[[#This Row],[Last Price]]*(1 -CrashDiscount)</f>
        <v>277.00649999999996</v>
      </c>
      <c r="F11" s="26" t="s">
        <v>916</v>
      </c>
      <c r="G11" s="26" t="s">
        <v>9</v>
      </c>
      <c r="H11" s="149"/>
      <c r="I11" s="194">
        <v>44770.6875</v>
      </c>
      <c r="J11" s="195">
        <v>44770.6875</v>
      </c>
      <c r="K11" s="196"/>
      <c r="L11" s="326"/>
      <c r="M11" s="140">
        <v>2</v>
      </c>
      <c r="N11" s="140" t="b">
        <v>1</v>
      </c>
      <c r="O11" s="140"/>
      <c r="P11" s="22"/>
      <c r="Q11" s="25"/>
      <c r="R11" s="4" t="str">
        <f>IF(SnapshotTable[[#This Row],[Equity Basis Total]] &gt; 0, SnapshotTable[[#This Row],[Equity Basis Total]] / SnapshotTable[[#This Row],[Equity Shares]], "")</f>
        <v/>
      </c>
      <c r="S11" s="269">
        <f>SnapshotTable[[#This Row],[Last Price]] * SnapshotTable[[#This Row],[Equity Shares]]</f>
        <v>0</v>
      </c>
      <c r="T11" s="269">
        <f>SnapshotTable[[#This Row],[Equity Value]] - SnapshotTable[[#This Row],[Equity Basis Total]]</f>
        <v>0</v>
      </c>
      <c r="U11" s="270" t="str">
        <f>IF(SnapshotTable[[#This Row],[Equity Basis Total]] &gt; 0, SnapshotTable[[#This Row],[Equity G/L]] / SnapshotTable[[#This Row],[Equity Basis Total]], "")</f>
        <v/>
      </c>
      <c r="V11" s="268"/>
      <c r="W11" s="268"/>
      <c r="X11" s="4" t="str">
        <f>IF(AND(ISNUMBER(SnapshotTable[[#This Row],[Equity Basis Per Share]]),ISNUMBER(SnapshotTable[[#This Row],[Equity Target]])),SnapshotTable[[#This Row],[Equity Target]]-SnapshotTable[[#This Row],[Equity Basis Per Share]],"")</f>
        <v/>
      </c>
      <c r="Y11" s="4" t="str">
        <f>IF(AND(ISNUMBER(SnapshotTable[[#This Row],[Equity Basis Per Share]]),ISNUMBER(SnapshotTable[[#This Row],[Equity Stop Loss]])),SnapshotTable[[#This Row],[Equity Stop Loss]]-SnapshotTable[[#This Row],[Equity Basis Per Share]],"")</f>
        <v/>
      </c>
      <c r="Z11" s="275" t="str">
        <f>IFERROR( TEXT(SnapshotTable[[#This Row],[Equity Max Gain Per Share]] /ABS( SnapshotTable[[#This Row],[Equity Max Loss Per Share]]),"0.0 " ) &amp; " : 1", "")</f>
        <v/>
      </c>
      <c r="AA11" s="31" t="str">
        <f>IF(ISNUMBER(SnapshotTable[[#This Row],[Equity Max Gain Per Share]]),SnapshotTable[[#This Row],[Equity Max Gain Per Share]] * SnapshotTable[[#This Row],[Equity Shares]],"")</f>
        <v/>
      </c>
      <c r="AB11" s="31" t="str">
        <f>IF(ISNUMBER(SnapshotTable[[#This Row],[Equity Max Loss Per Share]]),SnapshotTable[[#This Row],[Equity Max Loss Per Share]] * SnapshotTable[[#This Row],[Equity Shares]],"")</f>
        <v/>
      </c>
      <c r="AC11" s="150">
        <v>2.2799999999999998</v>
      </c>
      <c r="AD11" s="151">
        <v>43784</v>
      </c>
      <c r="AE11" s="31">
        <f>(SnapshotTable[[#This Row],[Annual Dividend Per Share]] / 4) * SnapshotTable[[#This Row],[Equity Shares]]</f>
        <v>0</v>
      </c>
      <c r="AF11" s="31">
        <f>SnapshotTable[[#This Row],[Quarterly Div $]] * 4</f>
        <v>0</v>
      </c>
      <c r="AG11" s="7">
        <f>IF(SnapshotTable[[#This Row],[Annual Dividend Per Share]]&gt;0, SnapshotTable[[#This Row],[Annual Dividend Per Share]]  / SnapshotTable[[#This Row],[Last Price]], 0)</f>
        <v>6.9962257203350824E-3</v>
      </c>
      <c r="AH11" s="151"/>
      <c r="AI11" s="5"/>
      <c r="AJ11" s="138">
        <v>193.49</v>
      </c>
      <c r="AK11" s="152" t="str">
        <f>IF(ISNUMBER( SnapshotTable[[#This Row],[EBF Target]]),(SnapshotTable[[#This Row],[EBF Target]] - SnapshotTable[[#This Row],[Last Price]]) / SnapshotTable[[#This Row],[Last Price]], "")</f>
        <v/>
      </c>
      <c r="AL11" s="152" t="str">
        <f>IF(AND(SnapshotTable[[#This Row],[Equity Basis Total]] &gt; 0,ISNUMBER( SnapshotTable[[#This Row],[Long Term Target]])), SnapshotTable[[#This Row],[From Basis $]] / SnapshotTable[[#This Row],[Equity Basis Total]], "")</f>
        <v/>
      </c>
      <c r="AM11" s="9">
        <f>IF( AND(SnapshotTable[[#This Row],[Equity Shares]] &gt;0,ISNUMBER( SnapshotTable[[#This Row],[Long Term Target]])),(SnapshotTable[[#This Row],[Equity Shares]] * SnapshotTable[[#This Row],[Long Term Target]]) - SnapshotTable[[#This Row],[Equity Basis Total]],0)</f>
        <v>0</v>
      </c>
      <c r="AN11" s="9">
        <f>IF( AND(SnapshotTable[[#This Row],[Equity Shares]] &gt;0,ISNUMBER( SnapshotTable[[#This Row],[Long Term Target]])),(SnapshotTable[[#This Row],[Equity Shares]]*SnapshotTable[[#This Row],[Long Term Target]]) - SnapshotTable[[#This Row],[Equity Value]],0)</f>
        <v>0</v>
      </c>
      <c r="AO11" s="152">
        <f>IF(AND(ISNUMBER( SnapshotTable[[#This Row],[Long Term Target]]), ISNUMBER(SnapshotTable[[#This Row],[Last Price]])),(SnapshotTable[[#This Row],[Long Term Target]] - SnapshotTable[[#This Row],[Last Price]]) / SnapshotTable[[#This Row],[Last Price]], "")</f>
        <v>-0.40627205498787927</v>
      </c>
      <c r="AP11" s="5"/>
      <c r="AQ11" s="38"/>
      <c r="AR11" s="5"/>
      <c r="AS11" s="38"/>
      <c r="AT11" s="146" t="s">
        <v>542</v>
      </c>
      <c r="AU11" s="187" t="str">
        <f>IF(OR(SnapshotTable[[#This Row],[LP No Fill]]="Y",SnapshotTable[[#This Row],[SP Is Filled]],SnapshotTable[[#This Row],[LC Not Filled]]="Y",SnapshotTable[[#This Row],[SC Is Filled]]),"Y","")</f>
        <v/>
      </c>
      <c r="AV11" s="219">
        <v>159.5</v>
      </c>
      <c r="AW11" s="225"/>
      <c r="AX11" s="220"/>
      <c r="AY11" s="219" t="str">
        <f>IF(SnapshotTable[[#This Row],[Implied Move]]&gt;0, SnapshotTable[[#This Row],[Last Price]]-SnapshotTable[[#This Row],[Implied Move]],"")</f>
        <v/>
      </c>
      <c r="AZ11" s="219" t="str">
        <f>IF(SnapshotTable[[#This Row],[Implied Move]]&gt;0, SnapshotTable[[#This Row],[Last Price]] + SnapshotTable[[#This Row],[Implied Move]],"")</f>
        <v/>
      </c>
      <c r="BA11" s="331">
        <v>244.28</v>
      </c>
      <c r="BB11" s="347"/>
      <c r="BC1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 s="351"/>
      <c r="BE11" s="5"/>
      <c r="BF11" s="14"/>
      <c r="BG11" s="13"/>
      <c r="BH11" s="13"/>
      <c r="BI11" s="5"/>
      <c r="BJ11" s="136">
        <f>IF(SnapshotTable[[#This Row],[LP Qty]] &gt; 0, SnapshotTable[[#This Row],[LP Qty]] * SnapshotTable[[#This Row],[LP Book Price]] * 100,0)</f>
        <v>0</v>
      </c>
      <c r="BK11" s="136">
        <f>IF(SnapshotTable[[#This Row],[LP Premium]] &gt; 0, SnapshotTable[[#This Row],[LP Qty]] * SnapshotTable[[#This Row],[LP Strike Price]] * 100,0)</f>
        <v>0</v>
      </c>
      <c r="BL11" s="154"/>
      <c r="BM11" s="385" t="str">
        <f>IF(SnapshotTable[[#This Row],[LP Premium]] &gt; 0,SnapshotTable[[#This Row],[LP Exp Date]]-MAX(SnapshotTable[[#This Row],[LP Book Date]], SnapshotTable[[#This Row],[LP Fill Date]]),"")</f>
        <v/>
      </c>
      <c r="BN11" s="385" t="str">
        <f>IF(ISNUMBER( SnapshotTable[[#This Row],[LP Term]]), SnapshotTable[[#This Row],[LP Exp Date]] - MockToday,"")</f>
        <v/>
      </c>
      <c r="BO11" s="163" t="str">
        <f>IF(AND(SnapshotTable[[#This Row],[LP Exp Date]]&gt;0, SnapshotTable[[#This Row],[LP Strike Price]]&gt;0,SnapshotTable[[#This Row],[LP Qty]]&gt;0,SnapshotTable[[#This Row],[LP Book Date]]&gt;0,SnapshotTable[[#This Row],[LP Book Price]]&gt;0,SnapshotTable[[#This Row],[LP Fill Date]]=0),"Y","")</f>
        <v/>
      </c>
      <c r="BP11" s="31" t="str">
        <f>IF(AND(SnapshotTable[[#This Row],[LP No Fill]]&lt;&gt;"Y",SnapshotTable[[#This Row],[LP Contract Value]]&gt;0, SnapshotTable[[#This Row],[LP Qty]]&gt;0), SnapshotTable[[#This Row],[LP Contract Value]]*SnapshotTable[[#This Row],[LP Qty]]*100,"")</f>
        <v/>
      </c>
      <c r="BQ11" s="13"/>
      <c r="BR11" s="5" t="str">
        <f>IF(SnapshotTable[[#This Row],[SP Exp Date]]&lt;&gt;"",TRUNC(SnapshotTable[[#This Row],[Last Price]]),"")</f>
        <v/>
      </c>
      <c r="BS11" s="36"/>
      <c r="BT11" s="147"/>
      <c r="BU11" s="13"/>
      <c r="BV11" s="5"/>
      <c r="BW11" s="419" t="b">
        <f>AND(ISNUMBER(SnapshotTable[[#This Row],[SP Exp Date]]), ISNUMBER(SnapshotTable[[#This Row],[SP Strike Price]]), ISNUMBER(SnapshotTable[[#This Row],[SP Qty]]), ISNUMBER(SnapshotTable[[#This Row],[SP Book Date]]), ISNUMBER(SnapshotTable[[#This Row],[SP Book Price]]))</f>
        <v>0</v>
      </c>
      <c r="BX11" s="419" t="b">
        <f>AND(SnapshotTable[[#This Row],[SP Is Booked]], NOT(ISBLANK(SnapshotTable[[#This Row],[SP Fill Date]])))</f>
        <v>0</v>
      </c>
      <c r="BY11" s="33">
        <f>IF(SnapshotTable[[#This Row],[SP Is Booked]], SnapshotTable[[#This Row],[SP Qty]] * SnapshotTable[[#This Row],[SP Book Price]] * 100, 0)</f>
        <v>0</v>
      </c>
      <c r="BZ11" s="369"/>
      <c r="CA11" s="368">
        <f>SnapshotTable[[#This Row],[LP Qty]]</f>
        <v>0</v>
      </c>
      <c r="CB11" s="4" t="str">
        <f>IF(SnapshotTable[[#This Row],[SP Is Booked]], SnapshotTable[[#This Row],[SP Strike Price]] - SnapshotTable[[#This Row],[SP Book Price]], "")</f>
        <v/>
      </c>
      <c r="CC11" s="19" t="str">
        <f>IF(SnapshotTable[[#This Row],[SP Is Booked]],SnapshotTable[[#This Row],[SP Exp Date]]-MAX(SnapshotTable[[#This Row],[SP Book Date]], SnapshotTable[[#This Row],[SP Fill Date]]),"")</f>
        <v/>
      </c>
      <c r="CD11" s="7" t="str">
        <f>IF(SnapshotTable[[#This Row],[SP Is Booked]], SnapshotTable[[#This Row],[SP Book Price]]/SnapshotTable[[#This Row],[SP Strike Price]], "")</f>
        <v/>
      </c>
      <c r="CE11" s="7" t="str">
        <f>IF(ISNUMBER(SnapshotTable[[#This Row],[SP ROO Term]]),SnapshotTable[[#This Row],[SP ROO Term]]*(365/SnapshotTable[[#This Row],[SP Term]]),"")</f>
        <v/>
      </c>
      <c r="CF11" s="236">
        <f>SnapshotTable[[#This Row],[LP Strike Price]] * SnapshotTable[[#This Row],[LP Qty]] * 100</f>
        <v>0</v>
      </c>
      <c r="CG11" s="31" t="e">
        <f>IF(ISNUMBER(SnapshotTable[[#This Row],[SP Premium]]), (SnapshotTable[[#This Row],[SP Qty]] * SnapshotTable[[#This Row],[SP Strike Price]]* 100) - SnapshotTable[[#This Row],[LP Protection]], 0)</f>
        <v>#VALUE!</v>
      </c>
      <c r="CH11" s="7" t="str">
        <f>IF(ISNUMBER(SnapshotTable[[#This Row],[SP Break Even]]),-1 * (SnapshotTable[[#This Row],[SP Break Even]] - SnapshotTable[[#This Row],[Last Price]]) / SnapshotTable[[#This Row],[Last Price]], "")</f>
        <v/>
      </c>
      <c r="CI11" s="31">
        <f>IF(AND(ISNUMBER((SnapshotTable[[#This Row],[SP Potential Spend]])), SnapshotTable[[#This Row],[SP Strike Price]] &gt; SnapshotTable[[#This Row],[Last Price]], SnapshotTable[[#This Row],[SP Is Filled]]), SnapshotTable[[#This Row],[SP Potential Spend]] -  SnapshotTable[[#This Row],[LP Max Value]], 0)</f>
        <v>0</v>
      </c>
      <c r="CJ11" s="244">
        <v>0.8</v>
      </c>
      <c r="CK11" s="31" t="str">
        <f>IF(ISNUMBER(SnapshotTable[[#This Row],[SP Potential Spend]]),IF(ISNUMBER(SnapshotTable[[#This Row],[SP POW]]), SnapshotTable[[#This Row],[SP POW]] * SnapshotTable[[#This Row],[SP Potential Spend]], SnapshotTable[[#This Row],[SP Potential Spend]]), "")</f>
        <v/>
      </c>
      <c r="CL11" s="164" t="e">
        <f>IF(NOT(SnapshotTable[[#This Row],[SP Is Filled]]),(SnapshotTable[[#This Row],[SP Qty]] * SnapshotTable[[#This Row],[SP Strike Price]] * 100) - SnapshotTable[[#This Row],[LP Max Value]],"")</f>
        <v>#VALUE!</v>
      </c>
      <c r="CM11" s="31" t="str">
        <f>IF(SnapshotTable[[#This Row],[SP Actual Spend]]&lt;&gt;0, ((SnapshotTable[[#This Row],[SP Strike Price]]-SnapshotTable[[#This Row],[Last Price]]) *(SnapshotTable[[#This Row],[SP Qty]]*100) - SnapshotTable[[#This Row],[SP Premium]]) * - 1, "")</f>
        <v/>
      </c>
      <c r="CN11" s="218"/>
      <c r="CO11" s="369"/>
      <c r="CP11" s="4" t="str">
        <f>IF(SnapshotTable[[#This Row],[SP Is Filled]], btc_max_buyback_amount(SnapshotTable[[#This Row],[SP Fill Date]],SnapshotTable[[#This Row],[SP Exp Date]], SnapshotTable[[#This Row],[SP Book Price]]),"")</f>
        <v/>
      </c>
      <c r="CQ11" s="78"/>
      <c r="CR1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 s="155" t="str">
        <f>IF(SnapshotTable[[#This Row],[SP Is Filled]], btc_next_cutoff_date(SnapshotTable[[#This Row],[SP Fill Date]],SnapshotTable[[#This Row],[SP Exp Date]]),"")</f>
        <v/>
      </c>
      <c r="CT11" s="235" t="str" cm="1">
        <f t="array" ref="CT11">IF(SnapshotTable[[#This Row],[SP Is Filled]], btc_should_buy_back(SnapshotTable[[#This Row],[SP Fill Date]], SnapshotTable[[#This Row],[SP Exp Date]], SnapshotTable[[#This Row],[SP Book Price]], SnapshotTable[[#This Row],[SP Current Ask]], MockToday, SnapshotTable[[#This Row],[SP Buyback Override]]),"")</f>
        <v/>
      </c>
      <c r="CU11" s="143"/>
      <c r="CV11" s="235"/>
      <c r="CW11" s="378" t="str">
        <f>IF(ISNUMBER( SnapshotTable[[#This Row],[SP Term]]), SnapshotTable[[#This Row],[SP Exp Date]] - MockToday,"")</f>
        <v/>
      </c>
      <c r="CX11" s="31" t="str">
        <f>IF(SnapshotTable[[#This Row],[SP Is Filled]],SnapshotTable[[#This Row],[SP Buyback Price to Use]] * 100 * SnapshotTable[[#This Row],[SP Qty]], "")</f>
        <v/>
      </c>
      <c r="CY11" s="4" t="str">
        <f>IF(ISNUMBER(SnapshotTable[[#This Row],[SP Strike Price]]), SnapshotTable[[#This Row],[SP Strike Price]] * (1 - SP_MaxLoss_StrikePct), "")</f>
        <v/>
      </c>
      <c r="CZ11" s="31" t="str">
        <f>IF(ISNUMBER(SnapshotTable[[#This Row],[SP Strike  Stop Per Share]]),SnapshotTable[[#This Row],[SP Premium]] - ((SnapshotTable[[#This Row],[SP Strike Price]]-SnapshotTable[[#This Row],[SP Strike  Stop Per Share]]) *(SnapshotTable[[#This Row],[SP Qty]] * 100)),"")</f>
        <v/>
      </c>
      <c r="DA11" s="4" t="str">
        <f>IF(AND(ISNUMBER(SnapshotTable[[#This Row],[SP Premium]]),SnapshotTable[[#This Row],[SP Premium]]&gt;0), SnapshotTable[[#This Row],[SP Book Price]] * (1 + SP_MaxLoss_OptionPct), "")</f>
        <v/>
      </c>
      <c r="DB11" s="31" t="str">
        <f>IF(ISNUMBER(SnapshotTable[[#This Row],[SP Option  Stop Contract]]),(SnapshotTable[[#This Row],[SP Option  Stop Contract]] *(SnapshotTable[[#This Row],[SP Qty]] * 100) - SnapshotTable[[#This Row],[SP Premium]]),"")</f>
        <v/>
      </c>
      <c r="DC11" s="4"/>
      <c r="DD11" s="4"/>
      <c r="DE11" s="4" t="str">
        <f>IF(AND(SnapshotTable[[#This Row],[SP Qty]]&gt;0, SnapshotTable[[#This Row],[SP Stop To Use]]&gt;0),SnapshotTable[[#This Row],[SP Premium]] - ( SnapshotTable[[#This Row],[SP Qty]] * SnapshotTable[[#This Row],[SP Stop To Use]] * 100), "")</f>
        <v/>
      </c>
      <c r="DF11" s="31" t="str">
        <f>IF(AND(SnapshotTable[[#This Row],[SP Qty]]&gt;0,SnapshotTable[[#This Row],[SP Current Ask]]&gt;0), SnapshotTable[[#This Row],[SP Qty]] * SnapshotTable[[#This Row],[SP Current Ask]] * -100, "")</f>
        <v/>
      </c>
      <c r="DG11" s="31" t="str">
        <f>IF(ISNUMBER((SnapshotTable[[#This Row],[SP Total Value]])), SnapshotTable[[#This Row],[SP Premium]] + SnapshotTable[[#This Row],[SP Total Value]], "")</f>
        <v/>
      </c>
      <c r="DH11" s="294" t="str">
        <f>IF(ISNUMBER((SnapshotTable[[#This Row],[SP Total Value]])), SnapshotTable[[#This Row],[SP Gain Loss]] / SnapshotTable[[#This Row],[SP Premium]], "")</f>
        <v/>
      </c>
      <c r="DI11" s="406"/>
      <c r="DJ11" s="138"/>
      <c r="DK11" s="148"/>
      <c r="DL11" s="13"/>
      <c r="DM11" s="13"/>
      <c r="DO11" s="31">
        <f>IF(SnapshotTable[[#This Row],[LC Symbol Count]]=1, SnapshotTable[[#This Row],[LC Qty]] * SnapshotTable[[#This Row],[LC Book Price]] * 100, 0)</f>
        <v>0</v>
      </c>
      <c r="DP11" s="163" t="str">
        <f>IF(AND(SnapshotTable[[#This Row],[LC Exp Date]]&gt;0, SnapshotTable[[#This Row],[LC Strike Price]]&gt;0,SnapshotTable[[#This Row],[LC Qty]]&gt;0,SnapshotTable[[#This Row],[LC Book Date]]&gt;0,SnapshotTable[[#This Row],[LC Book Price]]&gt;0,SnapshotTable[[#This Row],[LC Fill Date]]=0),"Y","")</f>
        <v/>
      </c>
      <c r="DQ11" s="386" t="str">
        <f>IF(SnapshotTable[[#This Row],[LC Premium]] &gt; 0,SnapshotTable[[#This Row],[LC Exp Date]]-MAX(SnapshotTable[[#This Row],[LC Book Date]], SnapshotTable[[#This Row],[LC Fill Date]]),"")</f>
        <v/>
      </c>
      <c r="DR11" s="386" t="str">
        <f>IF(ISNUMBER(SnapshotTable[[#This Row],[LC Term]]), SnapshotTable[[#This Row],[LC Exp Date]] - MockToday, "")</f>
        <v/>
      </c>
      <c r="DS11" s="234" t="str">
        <f>IF(SnapshotTable[[#This Row],[LC Premium]]&gt;0,SnapshotTable[[#This Row],[LC Strike Price]] + SnapshotTable[[#This Row],[LC Book Price]],"")</f>
        <v/>
      </c>
      <c r="DU11" s="9" t="str">
        <f>IF(AND(SnapshotTable[[#This Row],[LC Symbol Count]]&gt;0, SnapshotTable[[#This Row],[LC Contract Value]]&gt;0), SnapshotTable[[#This Row],[LC Contract Value]] * SnapshotTable[[#This Row],[LC Qty]] * 100, "")</f>
        <v/>
      </c>
      <c r="DV11" s="9" t="str">
        <f>IF(AND(ISNUMBER(SnapshotTable[[#This Row],[LC Total Value]]), SnapshotTable[[#This Row],[LC Not Filled]]&lt;&gt;"Y"), SnapshotTable[[#This Row],[LC Total Value]]-SnapshotTable[[#This Row],[LC Premium]],"")</f>
        <v/>
      </c>
      <c r="DW11" s="240" t="str">
        <f>IF(ISNUMBER(SnapshotTable[[#This Row],[LC Actual Gain Loss]]), SnapshotTable[[#This Row],[LC Actual Gain Loss]] / SnapshotTable[[#This Row],[LC Premium]],"")</f>
        <v/>
      </c>
      <c r="DX11" s="284" t="str">
        <f>IF(ISNUMBER(SnapshotTable[[#This Row],[LC Book Price]]),SnapshotTable[[#This Row],[LC Book Price]] * 1.5,"")</f>
        <v/>
      </c>
      <c r="DY11" s="265" t="str">
        <f>IF(SnapshotTable[[#This Row],[LC Premium]]&gt;0, SnapshotTable[[#This Row],[LC Next Target]] * SnapshotTable[[#This Row],[LC Qty]] * 100,"")</f>
        <v/>
      </c>
      <c r="DZ11" s="265" t="str">
        <f>IF(ISNUMBER(SnapshotTable[[#This Row],[LC Target Gross]]), SnapshotTable[[#This Row],[LC Target Gross]] - SnapshotTable[[#This Row],[LC Premium]], "")</f>
        <v/>
      </c>
      <c r="EA11" s="305" t="str">
        <f>IF(ISNUMBER(SnapshotTable[[#This Row],[LC Target Gain Loss]]), SnapshotTable[[#This Row],[LC Target Gain Loss]]/SnapshotTable[[#This Row],[LC Premium]], "")</f>
        <v/>
      </c>
      <c r="EB11" s="262"/>
      <c r="EC11" s="283" t="str">
        <f>IF(SnapshotTable[[#This Row],[LC Premium]]&gt;0, SnapshotTable[[#This Row],[LC Book Price]] * (1 - LC_StopLoss_Pct),"")</f>
        <v/>
      </c>
      <c r="ED11" s="284"/>
      <c r="EE11" s="283" t="str">
        <f>IF(ISNUMBER(SnapshotTable[[#This Row],[LC Contract Value]]),IF(ISNUMBER(SnapshotTable[[#This Row],[LC Stop Loss Override]]), SnapshotTable[[#This Row],[LC Stop Loss Override]],SnapshotTable[[#This Row],[LC Stop Loss Calc Target]]),"")</f>
        <v/>
      </c>
      <c r="EF11" s="31" t="str">
        <f>IF(ISNUMBER(SnapshotTable[[#This Row],[LC Stop  To Use]]), (SnapshotTable[[#This Row],[LC Stop  To Use]] * SnapshotTable[[#This Row],[LC Qty]] * 100),"")</f>
        <v/>
      </c>
      <c r="EG11" s="9" t="str">
        <f>IF(ISNUMBER(SnapshotTable[[#This Row],[LC Total Value]]),SnapshotTable[[#This Row],[LC Stop Loss Amount]] - SnapshotTable[[#This Row],[LC Premium]],"")</f>
        <v/>
      </c>
      <c r="EH11" s="9">
        <f>IF(ISNUMBER(SnapshotTable[[#This Row],[LC Premium]]), SnapshotTable[[#This Row],[LC Qty]] * 100 * SnapshotTable[[#This Row],[LC Strike Price]], "")</f>
        <v>0</v>
      </c>
      <c r="EI11" s="240" t="str">
        <f>IF(AND(ISNUMBER(SnapshotTable[[#This Row],[LC Total Value]]),SnapshotTable[[#This Row],[LC Total Value]]&gt;0),SnapshotTable[[#This Row],[LC Stop Gain Loss]]  / SnapshotTable[[#This Row],[LC Premium]],"")</f>
        <v/>
      </c>
      <c r="EJ11" s="35">
        <f>IF(ISNUMBER(SnapshotTable[[#This Row],[Equity Shares]]),TRUNC(SnapshotTable[[#This Row],[Equity Shares]] / 100),0) + SnapshotTable[[#This Row],[LC Qty]]</f>
        <v>0</v>
      </c>
      <c r="EK11" s="147"/>
      <c r="EL11" s="138" t="str">
        <f>IF(SnapshotTable[[#This Row],[SC Exp Date]]&lt;&gt;"",TRUNC(SnapshotTable[[#This Row],[Last Price]]),"")</f>
        <v/>
      </c>
      <c r="EM11" s="148"/>
      <c r="EN11" s="147"/>
      <c r="EO11" s="147"/>
      <c r="EP11" s="138"/>
      <c r="EQ11" s="419" t="b">
        <f>AND(ISNUMBER(SnapshotTable[[#This Row],[SC Exp Date]]), ISNUMBER(SnapshotTable[[#This Row],[SC Strike Price]]), ISNUMBER(SnapshotTable[[#This Row],[SC Qty]]), ISNUMBER(SnapshotTable[[#This Row],[SC Book Date]]), ISNUMBER(SnapshotTable[[#This Row],[SC Book Price]]))</f>
        <v>0</v>
      </c>
      <c r="ER11" s="419" t="b">
        <f>AND(SnapshotTable[[#This Row],[SC Is Booked]], NOT(ISBLANK(SnapshotTable[[#This Row],[SC Fill Date]])))</f>
        <v>0</v>
      </c>
      <c r="ES11" s="370"/>
      <c r="ET11" s="34" t="str">
        <f>IF(AND(ISNUMBER(SnapshotTable[[#This Row],[SC Exp Date]]), ISNUMBER(SnapshotTable[[#This Row],[SC Book Date]])), SnapshotTable[[#This Row],[SC Exp Date]] - MAX(SnapshotTable[[#This Row],[SC Book Date]], SnapshotTable[[#This Row],[SC Fill Date]]) + 1, "")</f>
        <v/>
      </c>
      <c r="EU11" s="34" t="str">
        <f>IF(ISNUMBER(SnapshotTable[[#This Row],[SC Term]]), SnapshotTable[[#This Row],[SC Exp Date]]- MockToday, "")</f>
        <v/>
      </c>
      <c r="EV11" s="31">
        <f>IF(SnapshotTable[[#This Row],[SC Is Booked]], SnapshotTable[[#This Row],[SC Qty]] * SnapshotTable[[#This Row],[SC Book Price]] * 100, 0)</f>
        <v>0</v>
      </c>
      <c r="EW11" s="4" t="str">
        <f>IF(AND(ISNUMBER(SnapshotTable[[#This Row],[Last Price]]), ISNUMBER( SnapshotTable[[#This Row],[SC Book Price]])), SnapshotTable[[#This Row],[Last Price]] - SnapshotTable[[#This Row],[SC Book Price]],"")</f>
        <v/>
      </c>
      <c r="EX11" s="234" t="str">
        <f>IF(SnapshotTable[[#This Row],[SC Is Booked]],IF(SnapshotTable[[#This Row],[SC Intrinsic Value]] &gt; 0, SnapshotTable[[#This Row],[SC Strike Price]], SnapshotTable[[#This Row],[Last Price]]), "")</f>
        <v/>
      </c>
      <c r="EY11" s="4">
        <f>IF(SnapshotTable[[#This Row],[SC Is Booked]], (MinimumPremiumRequired * SnapshotTable[[#This Row],[SC Basis]] * SnapshotTable[[#This Row],[SC Term]]), 0)</f>
        <v>0</v>
      </c>
      <c r="EZ11" s="283"/>
      <c r="FA11" s="218"/>
      <c r="FB11" s="370"/>
      <c r="FC11" s="4">
        <f>IF(SnapshotTable[[#This Row],[SC Is Filled]], btc_max_buyback_amount(SnapshotTable[[#This Row],[SC Fill Date]],SnapshotTable[[#This Row],[SC Exp Date]], SnapshotTable[[#This Row],[SC Book Price]]),0)</f>
        <v>0</v>
      </c>
      <c r="FD11" s="5"/>
      <c r="FE11" s="144" t="str">
        <f>IF(SnapshotTable[[#This Row],[SC Is Filled]], btc_next_cutoff_date(SnapshotTable[[#This Row],[SC Fill Date]],SnapshotTable[[#This Row],[SC Exp Date]]),"")</f>
        <v/>
      </c>
      <c r="FF11" s="4" t="str" cm="1">
        <f t="array" ref="FF11">IF(SnapshotTable[[#This Row],[SC Is Filled]], btc_should_buy_back(SnapshotTable[[#This Row],[SC Fill Date]], SnapshotTable[[#This Row],[SC Exp Date]], SnapshotTable[[#This Row],[SC Book Price]], SnapshotTable[[#This Row],[SC Current Ask]], MockToday, SnapshotTable[[#This Row],[SC Buyback Override]]),"")</f>
        <v/>
      </c>
      <c r="FG11" s="4">
        <f>IF(SnapshotTable[[#This Row],[SC Is Filled]], MAX(0,SnapshotTable[[#This Row],[Last Price]]  - SnapshotTable[[#This Row],[SC Strike Price]]), 0)</f>
        <v>0</v>
      </c>
      <c r="FH11" s="382">
        <f>IF(SnapshotTable[[#This Row],[SC Is Filled]], IF(ISNUMBER(SnapshotTable[[#This Row],[SC Current Ask]]), SnapshotTable[[#This Row],[SC Current Ask]], SnapshotTable[[#This Row],[SC Book Price]]) - SnapshotTable[[#This Row],[SC Intrinsic Value]], 0)</f>
        <v>0</v>
      </c>
      <c r="FI11" s="143"/>
      <c r="FJ11" s="32" t="str">
        <f>IF(SnapshotTable[[#This Row],[SC Is Filled]],100 * SnapshotTable[[#This Row],[SC Qty]] * IF(ISNUMBER(SnapshotTable[[#This Row],[SC Buyback Override]]), SnapshotTable[[#This Row],[SC Buyback Override]], SnapshotTable[[#This Row],[SC Current Ask]]), "")</f>
        <v/>
      </c>
      <c r="FK11" s="250" t="str">
        <f>IF(SnapshotTable[[#This Row],[SC Time Val]]&gt;0, SnapshotTable[[#This Row],[SC Time Val]] / SnapshotTable[[#This Row],[Last Price]],"")</f>
        <v/>
      </c>
      <c r="FL11" s="302" t="str">
        <f>IF(SnapshotTable[[#This Row],[SC Is Booked]], ((SnapshotTable[[#This Row],[Last Price]] -SnapshotTable[[#This Row],[SC Strike Price]]) / SnapshotTable[[#This Row],[Last Price]]) * -1, "")</f>
        <v/>
      </c>
      <c r="FM11" s="157" t="str">
        <f>IF(SnapshotTable[[#This Row],[SC Is Booked]],  (SnapshotTable[[#This Row],[SC Qty]] * 100 * SnapshotTable[[#This Row],[SC Strike Price]]) - SnapshotTable[[#This Row],[SC Current Ask]], "")</f>
        <v/>
      </c>
      <c r="FN1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 s="31" t="str">
        <f>IF(AND(ISNUMBER(SnapshotTable[[#This Row],[SC Exercise Gross]]), ISNUMBER(SnapshotTable[[#This Row],[Equity Basis Per Share]] )), SnapshotTable[[#This Row],[SC Exercise Gross]] - SnapshotTable[[#This Row],[Equity Basis Total]] +  SnapshotTable[[#This Row],[SC Premium]], "")</f>
        <v/>
      </c>
      <c r="FP11" s="5" t="str">
        <f>IF(ISNUMBER(SnapshotTable[[#This Row],[SC Exercise Gross]]), (SnapshotTable[[#This Row],[SC Exercise Gross]]) / (SnapshotTable[[#This Row],[SC Qty]] * 100), "")</f>
        <v/>
      </c>
      <c r="FQ11" s="27" t="str">
        <f>IF(SnapshotTable[[#This Row],[SC Is Booked]],SnapshotTable[[#This Row],[SC Time Val]] /SnapshotTable[[#This Row],[SC Basis]], "")</f>
        <v/>
      </c>
      <c r="FR11" s="27" t="str" cm="1">
        <f t="array" ref="FR11">IF(AND(ISNUMBER(SnapshotTable[[#This Row],[SC Term]]),ISNUMBER(SnapshotTable[[#This Row],[SC Simple ROO]])), EllmanAnnualize(SnapshotTable[[#This Row],[SC DTE]], SnapshotTable[[#This Row],[SC Simple ROO]] ),"")</f>
        <v/>
      </c>
      <c r="FS11" s="4" t="e">
        <f>IF(SnapshotTable[[#This Row],[SC Strike Price]] &gt; SnapshotTable[[#This Row],[Last Price]], SnapshotTable[[#This Row],[SC Strike Price]] - SnapshotTable[[#This Row],[Last Price]],0)</f>
        <v>#VALUE!</v>
      </c>
      <c r="FT11" s="27" t="e">
        <f>IF(AND(ISNUMBER(SnapshotTable[[#This Row],[SC Upside Potential]]), SnapshotTable[[#This Row],[SC Upside Potential]] &gt; 0),(SnapshotTable[[#This Row],[SC Upside Potential]]/ SnapshotTable[[#This Row],[ACB]]),"")</f>
        <v>#VALUE!</v>
      </c>
      <c r="FU11" s="333" t="str">
        <f>IF(SnapshotTable[[#This Row],[SC Intrinsic Value]] &gt; 0,SnapshotTable[[#This Row],[SC Intrinsic Value]],"")</f>
        <v/>
      </c>
      <c r="FV11" s="27" t="str">
        <f>IF(AND( ISNUMBER( SnapshotTable[[#This Row],[ACB]]),ISNUMBER(SnapshotTable[[#This Row],[SC Downside Protect]])),SnapshotTable[[#This Row],[SC Downside Protect]] / SnapshotTable[[#This Row],[ACB]],"")</f>
        <v/>
      </c>
      <c r="FW11" s="236" t="str">
        <f>IF(AND(ISNUMBER(SnapshotTable[[#This Row],[SC Simple ROO]]),SnapshotTable[[#This Row],[SC Simple ROO]] &gt; 0), SnapshotTable[[#This Row],[SC Premium]] + (SnapshotTable[[#This Row],[SC Qty]] * SnapshotTable[[#This Row],[SC Upside Potential]]), "")</f>
        <v/>
      </c>
      <c r="FX11" s="302" t="str" cm="1">
        <f t="array" ref="FX11">IF(ISNUMBER(SnapshotTable[[#This Row],[SC Max Dollars]]), annualize(SnapshotTable[[#This Row],[SC Term]],(SnapshotTable[[#This Row],[SC Max Dollars]]/SnapshotTable[[#This Row],[SC Basis]])),"")</f>
        <v/>
      </c>
      <c r="FY11" s="236" t="str">
        <f>IF(AND(SnapshotTable[[#This Row],[SC Qty]]&gt;0,SnapshotTable[[#This Row],[SC Current Ask]]&gt;0), SnapshotTable[[#This Row],[SC Qty]] * SnapshotTable[[#This Row],[SC Current Ask]] * -100, "")</f>
        <v/>
      </c>
      <c r="FZ11" s="31" t="str">
        <f>IF(ISNUMBER((SnapshotTable[[#This Row],[SC Current Value]])), SnapshotTable[[#This Row],[SC Premium]] + SnapshotTable[[#This Row],[SC Current Value]], "")</f>
        <v/>
      </c>
      <c r="GA11" s="294" t="str">
        <f>IFERROR( IF(ISNUMBER((SnapshotTable[[#This Row],[SC Current Value]])), SnapshotTable[[#This Row],[SC Gain Loss]] / SnapshotTable[[#This Row],[SC Premium]], ""), "")</f>
        <v/>
      </c>
      <c r="GB11" s="42">
        <f>SnapshotTable[[#This Row],[Equity Shares]] * SaleSharesToConsiderPercentage</f>
        <v>0</v>
      </c>
      <c r="GC11" s="40">
        <f>SnapshotTable[[#This Row],[Long Term Target]] * SellingPriceToConsiderBasedOnTargetPercentage</f>
        <v>183.81549999999999</v>
      </c>
      <c r="GD11" s="40">
        <f>SnapshotTable[[#This Row],[Last Price]] * (1+ SellingPriceToConsiderBasedOnTargetPercentage)</f>
        <v>635.4855</v>
      </c>
      <c r="GE11" s="41"/>
      <c r="GF11" s="40"/>
      <c r="GG11" s="31">
        <f>SnapshotTable[[#This Row],[Booked Sale Shares]] * SnapshotTable[[#This Row],[Booked Sale Price]]</f>
        <v>0</v>
      </c>
      <c r="GH11" s="31" t="str">
        <f>IF(SnapshotTable[[#This Row],[Equity Basis Total]] &gt; 0, SnapshotTable[[#This Row],[Equity Basis Per Share]] * SnapshotTable[[#This Row],[Booked Sale Shares]], "")</f>
        <v/>
      </c>
      <c r="GI11" s="31">
        <f>IF(SnapshotTable[[#This Row],[Sale Proceeds]]&gt;0, SnapshotTable[[#This Row],[Sale Proceeds]] - SnapshotTable[[#This Row],[Sale Basis]], 0)</f>
        <v>0</v>
      </c>
      <c r="GJ11" s="27" t="str">
        <f>IF(SnapshotTable[[#This Row],[Sale G/L]]&gt;0, SnapshotTable[[#This Row],[Sale G/L]] / SnapshotTable[[#This Row],[Sale Basis]], IF(ISNUMBER(SnapshotTable[[#This Row],[SC Exercise P&amp;L (TAX)]]), SnapshotTable[[#This Row],[SC Exercise P&amp;L (TAX)]] / SnapshotTable[[#This Row],[SC Basis]], ""))</f>
        <v/>
      </c>
      <c r="GK11" s="27" t="s">
        <v>616</v>
      </c>
      <c r="GL11" s="43" t="str">
        <f>IF(AND(SnapshotTable[[#This Row],[LP Exp Date]]&gt;0,SnapshotTable[[#This Row],[LP Strike Price]]&gt;0), [1]!ToOptionSymbol(SnapshotTable[[#This Row],[Symbol]], SnapshotTable[[#This Row],[LP Strike Price]],SnapshotTable[[#This Row],[LP Exp Date]],1), "")</f>
        <v/>
      </c>
      <c r="GM11" s="30" t="str">
        <f>IF(LEN(SnapshotTable[[#This Row],[LP Symbol]])&gt;0, 1, "")</f>
        <v/>
      </c>
      <c r="GN11" s="43" t="str">
        <f>IF(AND(SnapshotTable[[#This Row],[SP Exp Date]]&gt;0,SnapshotTable[[#This Row],[SP Strike Price]]&gt;0), [1]!ToOptionSymbol(SnapshotTable[[#This Row],[Symbol]], SnapshotTable[[#This Row],[SP Strike Price]],SnapshotTable[[#This Row],[SP Exp Date]],1), "")</f>
        <v/>
      </c>
      <c r="GO11" s="30" t="str">
        <f>IF(LEN(SnapshotTable[[#This Row],[SP Symbol]])&gt;0, 1, "")</f>
        <v/>
      </c>
      <c r="GP11" s="43" t="str">
        <f>IF(AND(SnapshotTable[[#This Row],[LC Exp Date]]&gt;0,SnapshotTable[[#This Row],[LC Strike Price]]&gt;0), [1]!ToOptionSymbol(SnapshotTable[[#This Row],[Symbol]], SnapshotTable[[#This Row],[LC Strike Price]],SnapshotTable[[#This Row],[LC Exp Date]],0), "")</f>
        <v/>
      </c>
      <c r="GQ11" s="30" t="str">
        <f>IF(LEN(SnapshotTable[[#This Row],[LC Symbol]])&gt;0, 1, "")</f>
        <v/>
      </c>
      <c r="GR11" s="43" t="str">
        <f>IF(AND(SnapshotTable[[#This Row],[SC Exp Date]]&gt;0,SnapshotTable[[#This Row],[SC Strike Price]]&gt;0), [1]!ToOptionSymbol(SnapshotTable[[#This Row],[Symbol]], SnapshotTable[[#This Row],[SC Strike Price]],SnapshotTable[[#This Row],[SC Exp Date]],0), "")</f>
        <v/>
      </c>
      <c r="GS11" s="30" t="str">
        <f>IF(LEN(SnapshotTable[[#This Row],[SC Symbol]])&gt;0, 1, "")</f>
        <v/>
      </c>
      <c r="GT11" s="29" t="str">
        <f>IF(COUNT(SnapshotTable[[#This Row],[LP Symbol Count]],SnapshotTable[[#This Row],[SP Symbol Count]],SnapshotTable[[#This Row],[LC Symbol Count]],SnapshotTable[[#This Row],[SC Symbol Count]])&gt;0, "Y", "")</f>
        <v/>
      </c>
      <c r="GU1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 s="231" t="e">
        <f>MAX(SnapshotTable[[#This Row],[Equity Basis Total]],SnapshotTable[[#This Row],[Equity Value]]) + (SnapshotTable[[#This Row],[SP Potential Spend]]- SnapshotTable[[#This Row],[SP Premium]] + SnapshotTable[[#This Row],[LP Premium]])+ (SnapshotTable[[#This Row],[LC Premium]] - SnapshotTable[[#This Row],[SC Premium]])</f>
        <v>#VALUE!</v>
      </c>
      <c r="GW11" s="139" t="e">
        <f>IF(AND(SnapshotTable[[#This Row],[Exposure]] &lt;&gt; 0),SnapshotTable[[#This Row],[Exposure]] / SnapshotTable[[#Totals],[Exposure]], "")</f>
        <v>#VALUE!</v>
      </c>
      <c r="HK11" s="1"/>
      <c r="HL11" s="1"/>
      <c r="HM11" s="1"/>
      <c r="HN11" s="1"/>
      <c r="HO11" s="1"/>
      <c r="HP11" s="1"/>
    </row>
    <row r="12" spans="2:224" ht="12.75" hidden="1" customHeight="1" x14ac:dyDescent="0.25">
      <c r="B12" s="12" t="s">
        <v>240</v>
      </c>
      <c r="C12" s="422">
        <v>223.36</v>
      </c>
      <c r="D12" s="208"/>
      <c r="E12" s="39">
        <f>SnapshotTable[[#This Row],[Last Price]]*(1 -CrashDiscount)</f>
        <v>189.85599999999999</v>
      </c>
      <c r="F12" s="26" t="s">
        <v>943</v>
      </c>
      <c r="G12" s="26" t="s">
        <v>610</v>
      </c>
      <c r="H12" s="149"/>
      <c r="I12" s="194">
        <v>44770.284722222219</v>
      </c>
      <c r="J12" s="195">
        <v>44770.284722222219</v>
      </c>
      <c r="K12" s="196"/>
      <c r="L12" s="326"/>
      <c r="M12" s="140"/>
      <c r="N12" s="140"/>
      <c r="O12" s="140"/>
      <c r="P12" s="22"/>
      <c r="Q12" s="25"/>
      <c r="R12" s="4" t="str">
        <f>IF(SnapshotTable[[#This Row],[Equity Basis Total]] &gt; 0, SnapshotTable[[#This Row],[Equity Basis Total]] / SnapshotTable[[#This Row],[Equity Shares]], "")</f>
        <v/>
      </c>
      <c r="S12" s="269">
        <f>SnapshotTable[[#This Row],[Last Price]] * SnapshotTable[[#This Row],[Equity Shares]]</f>
        <v>0</v>
      </c>
      <c r="T12" s="269">
        <f>SnapshotTable[[#This Row],[Equity Value]] - SnapshotTable[[#This Row],[Equity Basis Total]]</f>
        <v>0</v>
      </c>
      <c r="U12" s="270" t="str">
        <f>IF(SnapshotTable[[#This Row],[Equity Basis Total]] &gt; 0, SnapshotTable[[#This Row],[Equity G/L]] / SnapshotTable[[#This Row],[Equity Basis Total]], "")</f>
        <v/>
      </c>
      <c r="V12" s="268"/>
      <c r="W12" s="268"/>
      <c r="X12" s="4" t="str">
        <f>IF(AND(ISNUMBER(SnapshotTable[[#This Row],[Equity Basis Per Share]]),ISNUMBER(SnapshotTable[[#This Row],[Equity Target]])),SnapshotTable[[#This Row],[Equity Target]]-SnapshotTable[[#This Row],[Equity Basis Per Share]],"")</f>
        <v/>
      </c>
      <c r="Y12" s="4" t="str">
        <f>IF(AND(ISNUMBER(SnapshotTable[[#This Row],[Equity Basis Per Share]]),ISNUMBER(SnapshotTable[[#This Row],[Equity Stop Loss]])),SnapshotTable[[#This Row],[Equity Stop Loss]]-SnapshotTable[[#This Row],[Equity Basis Per Share]],"")</f>
        <v/>
      </c>
      <c r="Z12" s="275" t="str">
        <f>IFERROR( TEXT(SnapshotTable[[#This Row],[Equity Max Gain Per Share]] /ABS( SnapshotTable[[#This Row],[Equity Max Loss Per Share]]),"0.0 " ) &amp; " : 1", "")</f>
        <v/>
      </c>
      <c r="AA12" s="31" t="str">
        <f>IF(ISNUMBER(SnapshotTable[[#This Row],[Equity Max Gain Per Share]]),SnapshotTable[[#This Row],[Equity Max Gain Per Share]] * SnapshotTable[[#This Row],[Equity Shares]],"")</f>
        <v/>
      </c>
      <c r="AB12" s="31" t="str">
        <f>IF(ISNUMBER(SnapshotTable[[#This Row],[Equity Max Loss Per Share]]),SnapshotTable[[#This Row],[Equity Max Loss Per Share]] * SnapshotTable[[#This Row],[Equity Shares]],"")</f>
        <v/>
      </c>
      <c r="AC12" s="150">
        <v>2.08</v>
      </c>
      <c r="AD12" s="151">
        <v>42501</v>
      </c>
      <c r="AE12" s="31">
        <f>(SnapshotTable[[#This Row],[Annual Dividend Per Share]] / 4) * SnapshotTable[[#This Row],[Equity Shares]]</f>
        <v>0</v>
      </c>
      <c r="AF12" s="31">
        <f>SnapshotTable[[#This Row],[Quarterly Div $]] * 4</f>
        <v>0</v>
      </c>
      <c r="AG12" s="7">
        <f>IF(SnapshotTable[[#This Row],[Annual Dividend Per Share]]&gt;0, SnapshotTable[[#This Row],[Annual Dividend Per Share]]  / SnapshotTable[[#This Row],[Last Price]], 0)</f>
        <v>9.3123209169054446E-3</v>
      </c>
      <c r="AH12" s="151">
        <v>42492</v>
      </c>
      <c r="AI12" s="5"/>
      <c r="AJ12" s="138">
        <v>260</v>
      </c>
      <c r="AK12" s="152" t="str">
        <f>IF(ISNUMBER( SnapshotTable[[#This Row],[EBF Target]]),(SnapshotTable[[#This Row],[EBF Target]] - SnapshotTable[[#This Row],[Last Price]]) / SnapshotTable[[#This Row],[Last Price]], "")</f>
        <v/>
      </c>
      <c r="AL12" s="152" t="str">
        <f>IF(AND(SnapshotTable[[#This Row],[Equity Basis Total]] &gt; 0,ISNUMBER( SnapshotTable[[#This Row],[Long Term Target]])), SnapshotTable[[#This Row],[From Basis $]] / SnapshotTable[[#This Row],[Equity Basis Total]], "")</f>
        <v/>
      </c>
      <c r="AM12" s="9">
        <f>IF( AND(SnapshotTable[[#This Row],[Equity Shares]] &gt;0,ISNUMBER( SnapshotTable[[#This Row],[Long Term Target]])),(SnapshotTable[[#This Row],[Equity Shares]] * SnapshotTable[[#This Row],[Long Term Target]]) - SnapshotTable[[#This Row],[Equity Basis Total]],0)</f>
        <v>0</v>
      </c>
      <c r="AN12" s="9">
        <f>IF( AND(SnapshotTable[[#This Row],[Equity Shares]] &gt;0,ISNUMBER( SnapshotTable[[#This Row],[Long Term Target]])),(SnapshotTable[[#This Row],[Equity Shares]]*SnapshotTable[[#This Row],[Long Term Target]]) - SnapshotTable[[#This Row],[Equity Value]],0)</f>
        <v>0</v>
      </c>
      <c r="AO12" s="152">
        <f>IF(AND(ISNUMBER( SnapshotTable[[#This Row],[Long Term Target]]), ISNUMBER(SnapshotTable[[#This Row],[Last Price]])),(SnapshotTable[[#This Row],[Long Term Target]] - SnapshotTable[[#This Row],[Last Price]]) / SnapshotTable[[#This Row],[Last Price]], "")</f>
        <v>0.16404011461318044</v>
      </c>
      <c r="AP12" s="5"/>
      <c r="AQ12" s="38"/>
      <c r="AR12" s="5"/>
      <c r="AS12" s="38"/>
      <c r="AT12" s="146"/>
      <c r="AU12" s="187" t="str">
        <f>IF(OR(SnapshotTable[[#This Row],[LP No Fill]]="Y",SnapshotTable[[#This Row],[SP Is Filled]],SnapshotTable[[#This Row],[LC Not Filled]]="Y",SnapshotTable[[#This Row],[SC Is Filled]]),"Y","")</f>
        <v/>
      </c>
      <c r="AV12" s="219"/>
      <c r="AW12" s="225"/>
      <c r="AX12" s="220"/>
      <c r="AY12" s="219" t="str">
        <f>IF(SnapshotTable[[#This Row],[Implied Move]]&gt;0, SnapshotTable[[#This Row],[Last Price]]-SnapshotTable[[#This Row],[Implied Move]],"")</f>
        <v/>
      </c>
      <c r="AZ12" s="219" t="str">
        <f>IF(SnapshotTable[[#This Row],[Implied Move]]&gt;0, SnapshotTable[[#This Row],[Last Price]] + SnapshotTable[[#This Row],[Implied Move]],"")</f>
        <v/>
      </c>
      <c r="BA12" s="331"/>
      <c r="BB12" s="347"/>
      <c r="BC1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 s="351"/>
      <c r="BE12" s="5"/>
      <c r="BF12" s="14"/>
      <c r="BG12" s="13"/>
      <c r="BH12" s="13"/>
      <c r="BI12" s="5"/>
      <c r="BJ12" s="136">
        <f>IF(SnapshotTable[[#This Row],[LP Qty]] &gt; 0, SnapshotTable[[#This Row],[LP Qty]] * SnapshotTable[[#This Row],[LP Book Price]] * 100,0)</f>
        <v>0</v>
      </c>
      <c r="BK12" s="136">
        <f>IF(SnapshotTable[[#This Row],[LP Premium]] &gt; 0, SnapshotTable[[#This Row],[LP Qty]] * SnapshotTable[[#This Row],[LP Strike Price]] * 100,0)</f>
        <v>0</v>
      </c>
      <c r="BL12" s="154"/>
      <c r="BM12" s="385" t="str">
        <f>IF(SnapshotTable[[#This Row],[LP Premium]] &gt; 0,SnapshotTable[[#This Row],[LP Exp Date]]-MAX(SnapshotTable[[#This Row],[LP Book Date]], SnapshotTable[[#This Row],[LP Fill Date]]),"")</f>
        <v/>
      </c>
      <c r="BN12" s="385" t="str">
        <f>IF(ISNUMBER( SnapshotTable[[#This Row],[LP Term]]), SnapshotTable[[#This Row],[LP Exp Date]] - MockToday,"")</f>
        <v/>
      </c>
      <c r="BO12" s="163" t="str">
        <f>IF(AND(SnapshotTable[[#This Row],[LP Exp Date]]&gt;0, SnapshotTable[[#This Row],[LP Strike Price]]&gt;0,SnapshotTable[[#This Row],[LP Qty]]&gt;0,SnapshotTable[[#This Row],[LP Book Date]]&gt;0,SnapshotTable[[#This Row],[LP Book Price]]&gt;0,SnapshotTable[[#This Row],[LP Fill Date]]=0),"Y","")</f>
        <v/>
      </c>
      <c r="BP12" s="31" t="str">
        <f>IF(AND(SnapshotTable[[#This Row],[LP No Fill]]&lt;&gt;"Y",SnapshotTable[[#This Row],[LP Contract Value]]&gt;0, SnapshotTable[[#This Row],[LP Qty]]&gt;0), SnapshotTable[[#This Row],[LP Contract Value]]*SnapshotTable[[#This Row],[LP Qty]]*100,"")</f>
        <v/>
      </c>
      <c r="BQ12" s="13"/>
      <c r="BR12" s="5" t="str">
        <f>IF(SnapshotTable[[#This Row],[SP Exp Date]]&lt;&gt;"",TRUNC(SnapshotTable[[#This Row],[Last Price]]),"")</f>
        <v/>
      </c>
      <c r="BS12" s="36"/>
      <c r="BT12" s="147"/>
      <c r="BU12" s="13"/>
      <c r="BV12" s="5"/>
      <c r="BW12" s="419" t="b">
        <f>AND(ISNUMBER(SnapshotTable[[#This Row],[SP Exp Date]]), ISNUMBER(SnapshotTable[[#This Row],[SP Strike Price]]), ISNUMBER(SnapshotTable[[#This Row],[SP Qty]]), ISNUMBER(SnapshotTable[[#This Row],[SP Book Date]]), ISNUMBER(SnapshotTable[[#This Row],[SP Book Price]]))</f>
        <v>0</v>
      </c>
      <c r="BX12" s="419" t="b">
        <f>AND(SnapshotTable[[#This Row],[SP Is Booked]], NOT(ISBLANK(SnapshotTable[[#This Row],[SP Fill Date]])))</f>
        <v>0</v>
      </c>
      <c r="BY12" s="33">
        <f>IF(SnapshotTable[[#This Row],[SP Is Booked]], SnapshotTable[[#This Row],[SP Qty]] * SnapshotTable[[#This Row],[SP Book Price]] * 100, 0)</f>
        <v>0</v>
      </c>
      <c r="BZ12" s="369"/>
      <c r="CA12" s="368">
        <f>SnapshotTable[[#This Row],[LP Qty]]</f>
        <v>0</v>
      </c>
      <c r="CB12" s="4" t="str">
        <f>IF(SnapshotTable[[#This Row],[SP Is Booked]], SnapshotTable[[#This Row],[SP Strike Price]] - SnapshotTable[[#This Row],[SP Book Price]], "")</f>
        <v/>
      </c>
      <c r="CC12" s="19" t="str">
        <f>IF(SnapshotTable[[#This Row],[SP Is Booked]],SnapshotTable[[#This Row],[SP Exp Date]]-MAX(SnapshotTable[[#This Row],[SP Book Date]], SnapshotTable[[#This Row],[SP Fill Date]]),"")</f>
        <v/>
      </c>
      <c r="CD12" s="7" t="str">
        <f>IF(SnapshotTable[[#This Row],[SP Is Booked]], SnapshotTable[[#This Row],[SP Book Price]]/SnapshotTable[[#This Row],[SP Strike Price]], "")</f>
        <v/>
      </c>
      <c r="CE12" s="7" t="str">
        <f>IF(ISNUMBER(SnapshotTable[[#This Row],[SP ROO Term]]),SnapshotTable[[#This Row],[SP ROO Term]]*(365/SnapshotTable[[#This Row],[SP Term]]),"")</f>
        <v/>
      </c>
      <c r="CF12" s="236">
        <f>SnapshotTable[[#This Row],[LP Strike Price]] * SnapshotTable[[#This Row],[LP Qty]] * 100</f>
        <v>0</v>
      </c>
      <c r="CG12" s="31" t="e">
        <f>IF(ISNUMBER(SnapshotTable[[#This Row],[SP Premium]]), (SnapshotTable[[#This Row],[SP Qty]] * SnapshotTable[[#This Row],[SP Strike Price]]* 100) - SnapshotTable[[#This Row],[LP Protection]], 0)</f>
        <v>#VALUE!</v>
      </c>
      <c r="CH12" s="7" t="str">
        <f>IF(ISNUMBER(SnapshotTable[[#This Row],[SP Break Even]]),-1 * (SnapshotTable[[#This Row],[SP Break Even]] - SnapshotTable[[#This Row],[Last Price]]) / SnapshotTable[[#This Row],[Last Price]], "")</f>
        <v/>
      </c>
      <c r="CI12" s="31">
        <f>IF(AND(ISNUMBER((SnapshotTable[[#This Row],[SP Potential Spend]])), SnapshotTable[[#This Row],[SP Strike Price]] &gt; SnapshotTable[[#This Row],[Last Price]], SnapshotTable[[#This Row],[SP Is Filled]]), SnapshotTable[[#This Row],[SP Potential Spend]] -  SnapshotTable[[#This Row],[LP Max Value]], 0)</f>
        <v>0</v>
      </c>
      <c r="CJ12" s="244"/>
      <c r="CK12" s="31" t="str">
        <f>IF(ISNUMBER(SnapshotTable[[#This Row],[SP Potential Spend]]),IF(ISNUMBER(SnapshotTable[[#This Row],[SP POW]]), SnapshotTable[[#This Row],[SP POW]] * SnapshotTable[[#This Row],[SP Potential Spend]], SnapshotTable[[#This Row],[SP Potential Spend]]), "")</f>
        <v/>
      </c>
      <c r="CL12" s="164" t="e">
        <f>IF(NOT(SnapshotTable[[#This Row],[SP Is Filled]]),(SnapshotTable[[#This Row],[SP Qty]] * SnapshotTable[[#This Row],[SP Strike Price]] * 100) - SnapshotTable[[#This Row],[LP Max Value]],"")</f>
        <v>#VALUE!</v>
      </c>
      <c r="CM12" s="31" t="str">
        <f>IF(SnapshotTable[[#This Row],[SP Actual Spend]]&lt;&gt;0, ((SnapshotTable[[#This Row],[SP Strike Price]]-SnapshotTable[[#This Row],[Last Price]]) *(SnapshotTable[[#This Row],[SP Qty]]*100) - SnapshotTable[[#This Row],[SP Premium]]) * - 1, "")</f>
        <v/>
      </c>
      <c r="CN12" s="78"/>
      <c r="CO12" s="369"/>
      <c r="CP12" s="4" t="str">
        <f>IF(SnapshotTable[[#This Row],[SP Is Filled]], btc_max_buyback_amount(SnapshotTable[[#This Row],[SP Fill Date]],SnapshotTable[[#This Row],[SP Exp Date]], SnapshotTable[[#This Row],[SP Book Price]]),"")</f>
        <v/>
      </c>
      <c r="CQ12" s="78"/>
      <c r="CR1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 s="155" t="str">
        <f>IF(SnapshotTable[[#This Row],[SP Is Filled]], btc_next_cutoff_date(SnapshotTable[[#This Row],[SP Fill Date]],SnapshotTable[[#This Row],[SP Exp Date]]),"")</f>
        <v/>
      </c>
      <c r="CT12" s="235" t="str" cm="1">
        <f t="array" ref="CT12">IF(SnapshotTable[[#This Row],[SP Is Filled]], btc_should_buy_back(SnapshotTable[[#This Row],[SP Fill Date]], SnapshotTable[[#This Row],[SP Exp Date]], SnapshotTable[[#This Row],[SP Book Price]], SnapshotTable[[#This Row],[SP Current Ask]], MockToday, SnapshotTable[[#This Row],[SP Buyback Override]]),"")</f>
        <v/>
      </c>
      <c r="CU12" s="143"/>
      <c r="CV12" s="235"/>
      <c r="CW12" s="378" t="str">
        <f>IF(ISNUMBER( SnapshotTable[[#This Row],[SP Term]]), SnapshotTable[[#This Row],[SP Exp Date]] - MockToday,"")</f>
        <v/>
      </c>
      <c r="CX12" s="31" t="str">
        <f>IF(SnapshotTable[[#This Row],[SP Is Filled]],SnapshotTable[[#This Row],[SP Buyback Price to Use]] * 100 * SnapshotTable[[#This Row],[SP Qty]], "")</f>
        <v/>
      </c>
      <c r="CY12" s="4" t="str">
        <f>IF(ISNUMBER(SnapshotTable[[#This Row],[SP Strike Price]]), SnapshotTable[[#This Row],[SP Strike Price]] * (1 - SP_MaxLoss_StrikePct), "")</f>
        <v/>
      </c>
      <c r="CZ12" s="31" t="str">
        <f>IF(ISNUMBER(SnapshotTable[[#This Row],[SP Strike  Stop Per Share]]),SnapshotTable[[#This Row],[SP Premium]] - ((SnapshotTable[[#This Row],[SP Strike Price]]-SnapshotTable[[#This Row],[SP Strike  Stop Per Share]]) *(SnapshotTable[[#This Row],[SP Qty]] * 100)),"")</f>
        <v/>
      </c>
      <c r="DA12" s="4" t="str">
        <f>IF(AND(ISNUMBER(SnapshotTable[[#This Row],[SP Premium]]),SnapshotTable[[#This Row],[SP Premium]]&gt;0), SnapshotTable[[#This Row],[SP Book Price]] * (1 + SP_MaxLoss_OptionPct), "")</f>
        <v/>
      </c>
      <c r="DB12" s="31" t="str">
        <f>IF(ISNUMBER(SnapshotTable[[#This Row],[SP Option  Stop Contract]]),(SnapshotTable[[#This Row],[SP Option  Stop Contract]] *(SnapshotTable[[#This Row],[SP Qty]] * 100) - SnapshotTable[[#This Row],[SP Premium]]),"")</f>
        <v/>
      </c>
      <c r="DC12" s="4"/>
      <c r="DD12" s="4"/>
      <c r="DE12" s="4" t="str">
        <f>IF(AND(SnapshotTable[[#This Row],[SP Qty]]&gt;0, SnapshotTable[[#This Row],[SP Stop To Use]]&gt;0),SnapshotTable[[#This Row],[SP Premium]] - ( SnapshotTable[[#This Row],[SP Qty]] * SnapshotTable[[#This Row],[SP Stop To Use]] * 100), "")</f>
        <v/>
      </c>
      <c r="DF12" s="31" t="str">
        <f>IF(AND(SnapshotTable[[#This Row],[SP Qty]]&gt;0,SnapshotTable[[#This Row],[SP Current Ask]]&gt;0), SnapshotTable[[#This Row],[SP Qty]] * SnapshotTable[[#This Row],[SP Current Ask]] * -100, "")</f>
        <v/>
      </c>
      <c r="DG12" s="31" t="str">
        <f>IF(ISNUMBER((SnapshotTable[[#This Row],[SP Total Value]])), SnapshotTable[[#This Row],[SP Premium]] + SnapshotTable[[#This Row],[SP Total Value]], "")</f>
        <v/>
      </c>
      <c r="DH12" s="294" t="str">
        <f>IF(ISNUMBER((SnapshotTable[[#This Row],[SP Total Value]])), SnapshotTable[[#This Row],[SP Gain Loss]] / SnapshotTable[[#This Row],[SP Premium]], "")</f>
        <v/>
      </c>
      <c r="DI12" s="406"/>
      <c r="DJ12" s="138"/>
      <c r="DK12" s="148"/>
      <c r="DL12" s="13"/>
      <c r="DM12" s="13"/>
      <c r="DO12" s="31">
        <f>IF(SnapshotTable[[#This Row],[LC Symbol Count]]=1, SnapshotTable[[#This Row],[LC Qty]] * SnapshotTable[[#This Row],[LC Book Price]] * 100, 0)</f>
        <v>0</v>
      </c>
      <c r="DP12" s="163" t="str">
        <f>IF(AND(SnapshotTable[[#This Row],[LC Exp Date]]&gt;0, SnapshotTable[[#This Row],[LC Strike Price]]&gt;0,SnapshotTable[[#This Row],[LC Qty]]&gt;0,SnapshotTable[[#This Row],[LC Book Date]]&gt;0,SnapshotTable[[#This Row],[LC Book Price]]&gt;0,SnapshotTable[[#This Row],[LC Fill Date]]=0),"Y","")</f>
        <v/>
      </c>
      <c r="DQ12" s="386" t="str">
        <f>IF(SnapshotTable[[#This Row],[LC Premium]] &gt; 0,SnapshotTable[[#This Row],[LC Exp Date]]-MAX(SnapshotTable[[#This Row],[LC Book Date]], SnapshotTable[[#This Row],[LC Fill Date]]),"")</f>
        <v/>
      </c>
      <c r="DR12" s="386" t="str">
        <f>IF(ISNUMBER(SnapshotTable[[#This Row],[LC Term]]), SnapshotTable[[#This Row],[LC Exp Date]] - MockToday, "")</f>
        <v/>
      </c>
      <c r="DS12" s="234" t="str">
        <f>IF(SnapshotTable[[#This Row],[LC Premium]]&gt;0,SnapshotTable[[#This Row],[LC Strike Price]] + SnapshotTable[[#This Row],[LC Book Price]],"")</f>
        <v/>
      </c>
      <c r="DU12" s="9" t="str">
        <f>IF(AND(SnapshotTable[[#This Row],[LC Symbol Count]]&gt;0, SnapshotTable[[#This Row],[LC Contract Value]]&gt;0), SnapshotTable[[#This Row],[LC Contract Value]] * SnapshotTable[[#This Row],[LC Qty]] * 100, "")</f>
        <v/>
      </c>
      <c r="DV12" s="9" t="str">
        <f>IF(AND(ISNUMBER(SnapshotTable[[#This Row],[LC Total Value]]), SnapshotTable[[#This Row],[LC Not Filled]]&lt;&gt;"Y"), SnapshotTable[[#This Row],[LC Total Value]]-SnapshotTable[[#This Row],[LC Premium]],"")</f>
        <v/>
      </c>
      <c r="DW12" s="240" t="str">
        <f>IF(ISNUMBER(SnapshotTable[[#This Row],[LC Actual Gain Loss]]), SnapshotTable[[#This Row],[LC Actual Gain Loss]] / SnapshotTable[[#This Row],[LC Premium]],"")</f>
        <v/>
      </c>
      <c r="DX12" s="284" t="str">
        <f>IF(ISNUMBER(SnapshotTable[[#This Row],[LC Book Price]]),SnapshotTable[[#This Row],[LC Book Price]] * 1.5,"")</f>
        <v/>
      </c>
      <c r="DY12" s="265" t="str">
        <f>IF(SnapshotTable[[#This Row],[LC Premium]]&gt;0, SnapshotTable[[#This Row],[LC Next Target]] * SnapshotTable[[#This Row],[LC Qty]] * 100,"")</f>
        <v/>
      </c>
      <c r="DZ12" s="265" t="str">
        <f>IF(ISNUMBER(SnapshotTable[[#This Row],[LC Target Gross]]), SnapshotTable[[#This Row],[LC Target Gross]] - SnapshotTable[[#This Row],[LC Premium]], "")</f>
        <v/>
      </c>
      <c r="EA12" s="305" t="str">
        <f>IF(ISNUMBER(SnapshotTable[[#This Row],[LC Target Gain Loss]]), SnapshotTable[[#This Row],[LC Target Gain Loss]]/SnapshotTable[[#This Row],[LC Premium]], "")</f>
        <v/>
      </c>
      <c r="EB12" s="262"/>
      <c r="EC12" s="283" t="str">
        <f>IF(SnapshotTable[[#This Row],[LC Premium]]&gt;0, SnapshotTable[[#This Row],[LC Book Price]] * (1 - LC_StopLoss_Pct),"")</f>
        <v/>
      </c>
      <c r="ED12" s="284"/>
      <c r="EE12" s="283" t="str">
        <f>IF(ISNUMBER(SnapshotTable[[#This Row],[LC Contract Value]]),IF(ISNUMBER(SnapshotTable[[#This Row],[LC Stop Loss Override]]), SnapshotTable[[#This Row],[LC Stop Loss Override]],SnapshotTable[[#This Row],[LC Stop Loss Calc Target]]),"")</f>
        <v/>
      </c>
      <c r="EF12" s="31" t="str">
        <f>IF(ISNUMBER(SnapshotTable[[#This Row],[LC Stop  To Use]]), (SnapshotTable[[#This Row],[LC Stop  To Use]] * SnapshotTable[[#This Row],[LC Qty]] * 100),"")</f>
        <v/>
      </c>
      <c r="EG12" s="9" t="str">
        <f>IF(ISNUMBER(SnapshotTable[[#This Row],[LC Total Value]]),SnapshotTable[[#This Row],[LC Stop Loss Amount]] - SnapshotTable[[#This Row],[LC Premium]],"")</f>
        <v/>
      </c>
      <c r="EH12" s="9">
        <f>IF(ISNUMBER(SnapshotTable[[#This Row],[LC Premium]]), SnapshotTable[[#This Row],[LC Qty]] * 100 * SnapshotTable[[#This Row],[LC Strike Price]], "")</f>
        <v>0</v>
      </c>
      <c r="EI12" s="240" t="str">
        <f>IF(AND(ISNUMBER(SnapshotTable[[#This Row],[LC Total Value]]),SnapshotTable[[#This Row],[LC Total Value]]&gt;0),SnapshotTable[[#This Row],[LC Stop Gain Loss]]  / SnapshotTable[[#This Row],[LC Premium]],"")</f>
        <v/>
      </c>
      <c r="EJ12" s="35">
        <f>IF(ISNUMBER(SnapshotTable[[#This Row],[Equity Shares]]),TRUNC(SnapshotTable[[#This Row],[Equity Shares]] / 100),0) + SnapshotTable[[#This Row],[LC Qty]]</f>
        <v>0</v>
      </c>
      <c r="EK12" s="147"/>
      <c r="EL12" s="138" t="str">
        <f>IF(SnapshotTable[[#This Row],[SC Exp Date]]&lt;&gt;"",TRUNC(SnapshotTable[[#This Row],[Last Price]]),"")</f>
        <v/>
      </c>
      <c r="EM12" s="148"/>
      <c r="EN12" s="147"/>
      <c r="EO12" s="147"/>
      <c r="EP12" s="138"/>
      <c r="EQ12" s="419" t="b">
        <f>AND(ISNUMBER(SnapshotTable[[#This Row],[SC Exp Date]]), ISNUMBER(SnapshotTable[[#This Row],[SC Strike Price]]), ISNUMBER(SnapshotTable[[#This Row],[SC Qty]]), ISNUMBER(SnapshotTable[[#This Row],[SC Book Date]]), ISNUMBER(SnapshotTable[[#This Row],[SC Book Price]]))</f>
        <v>0</v>
      </c>
      <c r="ER12" s="419" t="b">
        <f>AND(SnapshotTable[[#This Row],[SC Is Booked]], NOT(ISBLANK(SnapshotTable[[#This Row],[SC Fill Date]])))</f>
        <v>0</v>
      </c>
      <c r="ES12" s="370"/>
      <c r="ET12" s="34" t="str">
        <f>IF(AND(ISNUMBER(SnapshotTable[[#This Row],[SC Exp Date]]), ISNUMBER(SnapshotTable[[#This Row],[SC Book Date]])), SnapshotTable[[#This Row],[SC Exp Date]] - MAX(SnapshotTable[[#This Row],[SC Book Date]], SnapshotTable[[#This Row],[SC Fill Date]]) + 1, "")</f>
        <v/>
      </c>
      <c r="EU12" s="34" t="str">
        <f>IF(ISNUMBER(SnapshotTable[[#This Row],[SC Term]]), SnapshotTable[[#This Row],[SC Exp Date]]- MockToday, "")</f>
        <v/>
      </c>
      <c r="EV12" s="31">
        <f>IF(SnapshotTable[[#This Row],[SC Is Booked]], SnapshotTable[[#This Row],[SC Qty]] * SnapshotTable[[#This Row],[SC Book Price]] * 100, 0)</f>
        <v>0</v>
      </c>
      <c r="EW12" s="4" t="str">
        <f>IF(AND(ISNUMBER(SnapshotTable[[#This Row],[Last Price]]), ISNUMBER( SnapshotTable[[#This Row],[SC Book Price]])), SnapshotTable[[#This Row],[Last Price]] - SnapshotTable[[#This Row],[SC Book Price]],"")</f>
        <v/>
      </c>
      <c r="EX12" s="234" t="str">
        <f>IF(SnapshotTable[[#This Row],[SC Is Booked]],IF(SnapshotTable[[#This Row],[SC Intrinsic Value]] &gt; 0, SnapshotTable[[#This Row],[SC Strike Price]], SnapshotTable[[#This Row],[Last Price]]), "")</f>
        <v/>
      </c>
      <c r="EY12" s="4">
        <f>IF(SnapshotTable[[#This Row],[SC Is Booked]], (MinimumPremiumRequired * SnapshotTable[[#This Row],[SC Basis]] * SnapshotTable[[#This Row],[SC Term]]), 0)</f>
        <v>0</v>
      </c>
      <c r="EZ12" s="283"/>
      <c r="FA12" s="218"/>
      <c r="FB12" s="370"/>
      <c r="FC12" s="4">
        <f>IF(SnapshotTable[[#This Row],[SC Is Filled]], btc_max_buyback_amount(SnapshotTable[[#This Row],[SC Fill Date]],SnapshotTable[[#This Row],[SC Exp Date]], SnapshotTable[[#This Row],[SC Book Price]]),0)</f>
        <v>0</v>
      </c>
      <c r="FD12" s="5"/>
      <c r="FE12" s="144" t="str">
        <f>IF(SnapshotTable[[#This Row],[SC Is Filled]], btc_next_cutoff_date(SnapshotTable[[#This Row],[SC Fill Date]],SnapshotTable[[#This Row],[SC Exp Date]]),"")</f>
        <v/>
      </c>
      <c r="FF12" s="4" t="str" cm="1">
        <f t="array" ref="FF12">IF(SnapshotTable[[#This Row],[SC Is Filled]], btc_should_buy_back(SnapshotTable[[#This Row],[SC Fill Date]], SnapshotTable[[#This Row],[SC Exp Date]], SnapshotTable[[#This Row],[SC Book Price]], SnapshotTable[[#This Row],[SC Current Ask]], MockToday, SnapshotTable[[#This Row],[SC Buyback Override]]),"")</f>
        <v/>
      </c>
      <c r="FG12" s="4">
        <f>IF(SnapshotTable[[#This Row],[SC Is Filled]], MAX(0,SnapshotTable[[#This Row],[Last Price]]  - SnapshotTable[[#This Row],[SC Strike Price]]), 0)</f>
        <v>0</v>
      </c>
      <c r="FH12" s="382">
        <f>IF(SnapshotTable[[#This Row],[SC Is Filled]], IF(ISNUMBER(SnapshotTable[[#This Row],[SC Current Ask]]), SnapshotTable[[#This Row],[SC Current Ask]], SnapshotTable[[#This Row],[SC Book Price]]) - SnapshotTable[[#This Row],[SC Intrinsic Value]], 0)</f>
        <v>0</v>
      </c>
      <c r="FI12" s="143">
        <v>45786</v>
      </c>
      <c r="FJ12" s="32" t="str">
        <f>IF(SnapshotTable[[#This Row],[SC Is Filled]],100 * SnapshotTable[[#This Row],[SC Qty]] * IF(ISNUMBER(SnapshotTable[[#This Row],[SC Buyback Override]]), SnapshotTable[[#This Row],[SC Buyback Override]], SnapshotTable[[#This Row],[SC Current Ask]]), "")</f>
        <v/>
      </c>
      <c r="FK12" s="250" t="str">
        <f>IF(SnapshotTable[[#This Row],[SC Time Val]]&gt;0, SnapshotTable[[#This Row],[SC Time Val]] / SnapshotTable[[#This Row],[Last Price]],"")</f>
        <v/>
      </c>
      <c r="FL12" s="302" t="str">
        <f>IF(SnapshotTable[[#This Row],[SC Is Booked]], ((SnapshotTable[[#This Row],[Last Price]] -SnapshotTable[[#This Row],[SC Strike Price]]) / SnapshotTable[[#This Row],[Last Price]]) * -1, "")</f>
        <v/>
      </c>
      <c r="FM12" s="157" t="str">
        <f>IF(SnapshotTable[[#This Row],[SC Is Booked]],  (SnapshotTable[[#This Row],[SC Qty]] * 100 * SnapshotTable[[#This Row],[SC Strike Price]]) - SnapshotTable[[#This Row],[SC Current Ask]], "")</f>
        <v/>
      </c>
      <c r="FN1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 s="31" t="str">
        <f>IF(AND(ISNUMBER(SnapshotTable[[#This Row],[SC Exercise Gross]]), ISNUMBER(SnapshotTable[[#This Row],[Equity Basis Per Share]] )), SnapshotTable[[#This Row],[SC Exercise Gross]] - SnapshotTable[[#This Row],[Equity Basis Total]] +  SnapshotTable[[#This Row],[SC Premium]], "")</f>
        <v/>
      </c>
      <c r="FP12" s="5" t="str">
        <f>IF(ISNUMBER(SnapshotTable[[#This Row],[SC Exercise Gross]]), (SnapshotTable[[#This Row],[SC Exercise Gross]]) / (SnapshotTable[[#This Row],[SC Qty]] * 100), "")</f>
        <v/>
      </c>
      <c r="FQ12" s="27" t="str">
        <f>IF(SnapshotTable[[#This Row],[SC Is Booked]],SnapshotTable[[#This Row],[SC Time Val]] /SnapshotTable[[#This Row],[SC Basis]], "")</f>
        <v/>
      </c>
      <c r="FR12" s="27" t="str" cm="1">
        <f t="array" ref="FR12">IF(AND(ISNUMBER(SnapshotTable[[#This Row],[SC Term]]),ISNUMBER(SnapshotTable[[#This Row],[SC Simple ROO]])), EllmanAnnualize(SnapshotTable[[#This Row],[SC DTE]], SnapshotTable[[#This Row],[SC Simple ROO]] ),"")</f>
        <v/>
      </c>
      <c r="FS12" s="4" t="e">
        <f>IF(SnapshotTable[[#This Row],[SC Strike Price]] &gt; SnapshotTable[[#This Row],[Last Price]], SnapshotTable[[#This Row],[SC Strike Price]] - SnapshotTable[[#This Row],[Last Price]],0)</f>
        <v>#VALUE!</v>
      </c>
      <c r="FT12" s="27" t="e">
        <f>IF(AND(ISNUMBER(SnapshotTable[[#This Row],[SC Upside Potential]]), SnapshotTable[[#This Row],[SC Upside Potential]] &gt; 0),(SnapshotTable[[#This Row],[SC Upside Potential]]/ SnapshotTable[[#This Row],[ACB]]),"")</f>
        <v>#VALUE!</v>
      </c>
      <c r="FU12" s="333" t="str">
        <f>IF(SnapshotTable[[#This Row],[SC Intrinsic Value]] &gt; 0,SnapshotTable[[#This Row],[SC Intrinsic Value]],"")</f>
        <v/>
      </c>
      <c r="FV12" s="27" t="str">
        <f>IF(AND( ISNUMBER( SnapshotTable[[#This Row],[ACB]]),ISNUMBER(SnapshotTable[[#This Row],[SC Downside Protect]])),SnapshotTable[[#This Row],[SC Downside Protect]] / SnapshotTable[[#This Row],[ACB]],"")</f>
        <v/>
      </c>
      <c r="FW12" s="236" t="str">
        <f>IF(AND(ISNUMBER(SnapshotTable[[#This Row],[SC Simple ROO]]),SnapshotTable[[#This Row],[SC Simple ROO]] &gt; 0), SnapshotTable[[#This Row],[SC Premium]] + (SnapshotTable[[#This Row],[SC Qty]] * SnapshotTable[[#This Row],[SC Upside Potential]]), "")</f>
        <v/>
      </c>
      <c r="FX12" s="302" t="str" cm="1">
        <f t="array" ref="FX12">IF(ISNUMBER(SnapshotTable[[#This Row],[SC Max Dollars]]), annualize(SnapshotTable[[#This Row],[SC Term]],(SnapshotTable[[#This Row],[SC Max Dollars]]/SnapshotTable[[#This Row],[SC Basis]])),"")</f>
        <v/>
      </c>
      <c r="FY12" s="236" t="str">
        <f>IF(AND(SnapshotTable[[#This Row],[SC Qty]]&gt;0,SnapshotTable[[#This Row],[SC Current Ask]]&gt;0), SnapshotTable[[#This Row],[SC Qty]] * SnapshotTable[[#This Row],[SC Current Ask]] * -100, "")</f>
        <v/>
      </c>
      <c r="FZ12" s="31" t="str">
        <f>IF(ISNUMBER((SnapshotTable[[#This Row],[SC Current Value]])), SnapshotTable[[#This Row],[SC Premium]] + SnapshotTable[[#This Row],[SC Current Value]], "")</f>
        <v/>
      </c>
      <c r="GA12" s="294" t="str">
        <f>IFERROR( IF(ISNUMBER((SnapshotTable[[#This Row],[SC Current Value]])), SnapshotTable[[#This Row],[SC Gain Loss]] / SnapshotTable[[#This Row],[SC Premium]], ""), "")</f>
        <v/>
      </c>
      <c r="GB12" s="42">
        <f>SnapshotTable[[#This Row],[Equity Shares]] * SaleSharesToConsiderPercentage</f>
        <v>0</v>
      </c>
      <c r="GC12" s="40">
        <f>SnapshotTable[[#This Row],[Long Term Target]] * SellingPriceToConsiderBasedOnTargetPercentage</f>
        <v>247</v>
      </c>
      <c r="GD12" s="40">
        <f>SnapshotTable[[#This Row],[Last Price]] * (1+ SellingPriceToConsiderBasedOnTargetPercentage)</f>
        <v>435.55200000000002</v>
      </c>
      <c r="GE12" s="41"/>
      <c r="GF12" s="40"/>
      <c r="GG12" s="31">
        <f>SnapshotTable[[#This Row],[Booked Sale Shares]] * SnapshotTable[[#This Row],[Booked Sale Price]]</f>
        <v>0</v>
      </c>
      <c r="GH12" s="31" t="str">
        <f>IF(SnapshotTable[[#This Row],[Equity Basis Total]] &gt; 0, SnapshotTable[[#This Row],[Equity Basis Per Share]] * SnapshotTable[[#This Row],[Booked Sale Shares]], "")</f>
        <v/>
      </c>
      <c r="GI12" s="31">
        <f>IF(SnapshotTable[[#This Row],[Sale Proceeds]]&gt;0, SnapshotTable[[#This Row],[Sale Proceeds]] - SnapshotTable[[#This Row],[Sale Basis]], 0)</f>
        <v>0</v>
      </c>
      <c r="GJ12" s="27" t="str">
        <f>IF(SnapshotTable[[#This Row],[Sale G/L]]&gt;0, SnapshotTable[[#This Row],[Sale G/L]] / SnapshotTable[[#This Row],[Sale Basis]], IF(ISNUMBER(SnapshotTable[[#This Row],[SC Exercise P&amp;L (TAX)]]), SnapshotTable[[#This Row],[SC Exercise P&amp;L (TAX)]] / SnapshotTable[[#This Row],[SC Basis]], ""))</f>
        <v/>
      </c>
      <c r="GK12" s="27" t="s">
        <v>618</v>
      </c>
      <c r="GL12" s="43" t="str">
        <f>IF(AND(SnapshotTable[[#This Row],[LP Exp Date]]&gt;0,SnapshotTable[[#This Row],[LP Strike Price]]&gt;0), [1]!ToOptionSymbol(SnapshotTable[[#This Row],[Symbol]], SnapshotTable[[#This Row],[LP Strike Price]],SnapshotTable[[#This Row],[LP Exp Date]],1), "")</f>
        <v/>
      </c>
      <c r="GM12" s="30" t="str">
        <f>IF(LEN(SnapshotTable[[#This Row],[LP Symbol]])&gt;0, 1, "")</f>
        <v/>
      </c>
      <c r="GN12" s="43" t="str">
        <f>IF(AND(SnapshotTable[[#This Row],[SP Exp Date]]&gt;0,SnapshotTable[[#This Row],[SP Strike Price]]&gt;0), [1]!ToOptionSymbol(SnapshotTable[[#This Row],[Symbol]], SnapshotTable[[#This Row],[SP Strike Price]],SnapshotTable[[#This Row],[SP Exp Date]],1), "")</f>
        <v/>
      </c>
      <c r="GO12" s="30" t="str">
        <f>IF(LEN(SnapshotTable[[#This Row],[SP Symbol]])&gt;0, 1, "")</f>
        <v/>
      </c>
      <c r="GP12" s="43" t="str">
        <f>IF(AND(SnapshotTable[[#This Row],[LC Exp Date]]&gt;0,SnapshotTable[[#This Row],[LC Strike Price]]&gt;0), [1]!ToOptionSymbol(SnapshotTable[[#This Row],[Symbol]], SnapshotTable[[#This Row],[LC Strike Price]],SnapshotTable[[#This Row],[LC Exp Date]],0), "")</f>
        <v/>
      </c>
      <c r="GQ12" s="30" t="str">
        <f>IF(LEN(SnapshotTable[[#This Row],[LC Symbol]])&gt;0, 1, "")</f>
        <v/>
      </c>
      <c r="GR12" s="43" t="str">
        <f>IF(AND(SnapshotTable[[#This Row],[SC Exp Date]]&gt;0,SnapshotTable[[#This Row],[SC Strike Price]]&gt;0), [1]!ToOptionSymbol(SnapshotTable[[#This Row],[Symbol]], SnapshotTable[[#This Row],[SC Strike Price]],SnapshotTable[[#This Row],[SC Exp Date]],0), "")</f>
        <v/>
      </c>
      <c r="GS12" s="30" t="str">
        <f>IF(LEN(SnapshotTable[[#This Row],[SC Symbol]])&gt;0, 1, "")</f>
        <v/>
      </c>
      <c r="GT12" s="29" t="str">
        <f>IF(COUNT(SnapshotTable[[#This Row],[LP Symbol Count]],SnapshotTable[[#This Row],[SP Symbol Count]],SnapshotTable[[#This Row],[LC Symbol Count]],SnapshotTable[[#This Row],[SC Symbol Count]])&gt;0, "Y", "")</f>
        <v/>
      </c>
      <c r="GU1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 s="231" t="e">
        <f>MAX(SnapshotTable[[#This Row],[Equity Basis Total]],SnapshotTable[[#This Row],[Equity Value]]) + (SnapshotTable[[#This Row],[SP Potential Spend]]- SnapshotTable[[#This Row],[SP Premium]] + SnapshotTable[[#This Row],[LP Premium]])+ (SnapshotTable[[#This Row],[LC Premium]] - SnapshotTable[[#This Row],[SC Premium]])</f>
        <v>#VALUE!</v>
      </c>
      <c r="GW12" s="139" t="e">
        <f>IF(AND(SnapshotTable[[#This Row],[Exposure]] &lt;&gt; 0),SnapshotTable[[#This Row],[Exposure]] / SnapshotTable[[#Totals],[Exposure]], "")</f>
        <v>#VALUE!</v>
      </c>
      <c r="HK12" s="1"/>
      <c r="HL12" s="1"/>
      <c r="HM12" s="1"/>
      <c r="HN12" s="1"/>
      <c r="HO12" s="1"/>
      <c r="HP12" s="1"/>
    </row>
    <row r="13" spans="2:224" ht="12.75" hidden="1" customHeight="1" x14ac:dyDescent="0.25">
      <c r="B13" s="12" t="s">
        <v>1041</v>
      </c>
      <c r="C13" s="422">
        <v>140.05000000000001</v>
      </c>
      <c r="D13" s="208"/>
      <c r="E13" s="39">
        <f>SnapshotTable[[#This Row],[Last Price]]*(1 -CrashDiscount)</f>
        <v>119.0425</v>
      </c>
      <c r="F13" s="26" t="s">
        <v>611</v>
      </c>
      <c r="G13" s="26" t="s">
        <v>610</v>
      </c>
      <c r="H13" s="149"/>
      <c r="I13" s="194">
        <v>44775.670138888891</v>
      </c>
      <c r="J13" s="195">
        <v>44775.670138888891</v>
      </c>
      <c r="K13" s="196"/>
      <c r="L13" s="326"/>
      <c r="M13" s="140"/>
      <c r="N13" s="140"/>
      <c r="O13" s="140"/>
      <c r="P13" s="22"/>
      <c r="Q13" s="25"/>
      <c r="R13" s="4" t="str">
        <f>IF(SnapshotTable[[#This Row],[Equity Basis Total]] &gt; 0, SnapshotTable[[#This Row],[Equity Basis Total]] / SnapshotTable[[#This Row],[Equity Shares]], "")</f>
        <v/>
      </c>
      <c r="S13" s="269">
        <f>SnapshotTable[[#This Row],[Last Price]] * SnapshotTable[[#This Row],[Equity Shares]]</f>
        <v>0</v>
      </c>
      <c r="T13" s="269">
        <f>SnapshotTable[[#This Row],[Equity Value]] - SnapshotTable[[#This Row],[Equity Basis Total]]</f>
        <v>0</v>
      </c>
      <c r="U13" s="270" t="str">
        <f>IF(SnapshotTable[[#This Row],[Equity Basis Total]] &gt; 0, SnapshotTable[[#This Row],[Equity G/L]] / SnapshotTable[[#This Row],[Equity Basis Total]], "")</f>
        <v/>
      </c>
      <c r="V13" s="268"/>
      <c r="W13" s="268"/>
      <c r="X13" s="4" t="str">
        <f>IF(AND(ISNUMBER(SnapshotTable[[#This Row],[Equity Basis Per Share]]),ISNUMBER(SnapshotTable[[#This Row],[Equity Target]])),SnapshotTable[[#This Row],[Equity Target]]-SnapshotTable[[#This Row],[Equity Basis Per Share]],"")</f>
        <v/>
      </c>
      <c r="Y13" s="4" t="str">
        <f>IF(AND(ISNUMBER(SnapshotTable[[#This Row],[Equity Basis Per Share]]),ISNUMBER(SnapshotTable[[#This Row],[Equity Stop Loss]])),SnapshotTable[[#This Row],[Equity Stop Loss]]-SnapshotTable[[#This Row],[Equity Basis Per Share]],"")</f>
        <v/>
      </c>
      <c r="Z13" s="275" t="str">
        <f>IFERROR( TEXT(SnapshotTable[[#This Row],[Equity Max Gain Per Share]] /ABS( SnapshotTable[[#This Row],[Equity Max Loss Per Share]]),"0.0 " ) &amp; " : 1", "")</f>
        <v/>
      </c>
      <c r="AA13" s="31" t="str">
        <f>IF(ISNUMBER(SnapshotTable[[#This Row],[Equity Max Gain Per Share]]),SnapshotTable[[#This Row],[Equity Max Gain Per Share]] * SnapshotTable[[#This Row],[Equity Shares]],"")</f>
        <v/>
      </c>
      <c r="AB13" s="31" t="str">
        <f>IF(ISNUMBER(SnapshotTable[[#This Row],[Equity Max Loss Per Share]]),SnapshotTable[[#This Row],[Equity Max Loss Per Share]] * SnapshotTable[[#This Row],[Equity Shares]],"")</f>
        <v/>
      </c>
      <c r="AC13" s="150"/>
      <c r="AD13" s="151"/>
      <c r="AE13" s="31">
        <f>(SnapshotTable[[#This Row],[Annual Dividend Per Share]] / 4) * SnapshotTable[[#This Row],[Equity Shares]]</f>
        <v>0</v>
      </c>
      <c r="AF13" s="31">
        <f>SnapshotTable[[#This Row],[Quarterly Div $]] * 4</f>
        <v>0</v>
      </c>
      <c r="AG13" s="7">
        <f>IF(SnapshotTable[[#This Row],[Annual Dividend Per Share]]&gt;0, SnapshotTable[[#This Row],[Annual Dividend Per Share]]  / SnapshotTable[[#This Row],[Last Price]], 0)</f>
        <v>0</v>
      </c>
      <c r="AH13" s="151"/>
      <c r="AI13" s="5"/>
      <c r="AJ13" s="138">
        <v>141.85</v>
      </c>
      <c r="AK13" s="152" t="str">
        <f>IF(ISNUMBER( SnapshotTable[[#This Row],[EBF Target]]),(SnapshotTable[[#This Row],[EBF Target]] - SnapshotTable[[#This Row],[Last Price]]) / SnapshotTable[[#This Row],[Last Price]], "")</f>
        <v/>
      </c>
      <c r="AL13" s="152" t="str">
        <f>IF(AND(SnapshotTable[[#This Row],[Equity Basis Total]] &gt; 0,ISNUMBER( SnapshotTable[[#This Row],[Long Term Target]])), SnapshotTable[[#This Row],[From Basis $]] / SnapshotTable[[#This Row],[Equity Basis Total]], "")</f>
        <v/>
      </c>
      <c r="AM13" s="9">
        <f>IF( AND(SnapshotTable[[#This Row],[Equity Shares]] &gt;0,ISNUMBER( SnapshotTable[[#This Row],[Long Term Target]])),(SnapshotTable[[#This Row],[Equity Shares]] * SnapshotTable[[#This Row],[Long Term Target]]) - SnapshotTable[[#This Row],[Equity Basis Total]],0)</f>
        <v>0</v>
      </c>
      <c r="AN13" s="9">
        <f>IF( AND(SnapshotTable[[#This Row],[Equity Shares]] &gt;0,ISNUMBER( SnapshotTable[[#This Row],[Long Term Target]])),(SnapshotTable[[#This Row],[Equity Shares]]*SnapshotTable[[#This Row],[Long Term Target]]) - SnapshotTable[[#This Row],[Equity Value]],0)</f>
        <v>0</v>
      </c>
      <c r="AO13" s="152">
        <f>IF(AND(ISNUMBER( SnapshotTable[[#This Row],[Long Term Target]]), ISNUMBER(SnapshotTable[[#This Row],[Last Price]])),(SnapshotTable[[#This Row],[Long Term Target]] - SnapshotTable[[#This Row],[Last Price]]) / SnapshotTable[[#This Row],[Last Price]], "")</f>
        <v>1.2852552659764246E-2</v>
      </c>
      <c r="AP13" s="5"/>
      <c r="AQ13" s="38"/>
      <c r="AR13" s="5"/>
      <c r="AS13" s="38"/>
      <c r="AT13" s="146"/>
      <c r="AU13" s="187" t="str">
        <f>IF(OR(SnapshotTable[[#This Row],[LP No Fill]]="Y",SnapshotTable[[#This Row],[SP Is Filled]],SnapshotTable[[#This Row],[LC Not Filled]]="Y",SnapshotTable[[#This Row],[SC Is Filled]]),"Y","")</f>
        <v/>
      </c>
      <c r="AV13" s="219"/>
      <c r="AW13" s="225"/>
      <c r="AX13" s="220"/>
      <c r="AY13" s="219" t="str">
        <f>IF(SnapshotTable[[#This Row],[Implied Move]]&gt;0, SnapshotTable[[#This Row],[Last Price]]-SnapshotTable[[#This Row],[Implied Move]],"")</f>
        <v/>
      </c>
      <c r="AZ13" s="219" t="str">
        <f>IF(SnapshotTable[[#This Row],[Implied Move]]&gt;0, SnapshotTable[[#This Row],[Last Price]] + SnapshotTable[[#This Row],[Implied Move]],"")</f>
        <v/>
      </c>
      <c r="BA13" s="331"/>
      <c r="BB13" s="347"/>
      <c r="BC1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 s="351"/>
      <c r="BE13" s="5"/>
      <c r="BF13" s="14"/>
      <c r="BG13" s="13"/>
      <c r="BH13" s="13"/>
      <c r="BI13" s="5"/>
      <c r="BJ13" s="136">
        <f>IF(SnapshotTable[[#This Row],[LP Qty]] &gt; 0, SnapshotTable[[#This Row],[LP Qty]] * SnapshotTable[[#This Row],[LP Book Price]] * 100,0)</f>
        <v>0</v>
      </c>
      <c r="BK13" s="136">
        <f>IF(SnapshotTable[[#This Row],[LP Premium]] &gt; 0, SnapshotTable[[#This Row],[LP Qty]] * SnapshotTable[[#This Row],[LP Strike Price]] * 100,0)</f>
        <v>0</v>
      </c>
      <c r="BL13" s="154"/>
      <c r="BM13" s="385" t="str">
        <f>IF(SnapshotTable[[#This Row],[LP Premium]] &gt; 0,SnapshotTable[[#This Row],[LP Exp Date]]-MAX(SnapshotTable[[#This Row],[LP Book Date]], SnapshotTable[[#This Row],[LP Fill Date]]),"")</f>
        <v/>
      </c>
      <c r="BN13" s="385" t="str">
        <f>IF(ISNUMBER( SnapshotTable[[#This Row],[LP Term]]), SnapshotTable[[#This Row],[LP Exp Date]] - MockToday,"")</f>
        <v/>
      </c>
      <c r="BO13" s="163" t="str">
        <f>IF(AND(SnapshotTable[[#This Row],[LP Exp Date]]&gt;0, SnapshotTable[[#This Row],[LP Strike Price]]&gt;0,SnapshotTable[[#This Row],[LP Qty]]&gt;0,SnapshotTable[[#This Row],[LP Book Date]]&gt;0,SnapshotTable[[#This Row],[LP Book Price]]&gt;0,SnapshotTable[[#This Row],[LP Fill Date]]=0),"Y","")</f>
        <v/>
      </c>
      <c r="BP13" s="31" t="str">
        <f>IF(AND(SnapshotTable[[#This Row],[LP No Fill]]&lt;&gt;"Y",SnapshotTable[[#This Row],[LP Contract Value]]&gt;0, SnapshotTable[[#This Row],[LP Qty]]&gt;0), SnapshotTable[[#This Row],[LP Contract Value]]*SnapshotTable[[#This Row],[LP Qty]]*100,"")</f>
        <v/>
      </c>
      <c r="BQ13" s="13"/>
      <c r="BR13" s="5" t="str">
        <f>IF(SnapshotTable[[#This Row],[SP Exp Date]]&lt;&gt;"",TRUNC(SnapshotTable[[#This Row],[Last Price]]),"")</f>
        <v/>
      </c>
      <c r="BS13" s="36"/>
      <c r="BT13" s="147"/>
      <c r="BU13" s="13"/>
      <c r="BV13" s="5"/>
      <c r="BW13" s="419" t="b">
        <f>AND(ISNUMBER(SnapshotTable[[#This Row],[SP Exp Date]]), ISNUMBER(SnapshotTable[[#This Row],[SP Strike Price]]), ISNUMBER(SnapshotTable[[#This Row],[SP Qty]]), ISNUMBER(SnapshotTable[[#This Row],[SP Book Date]]), ISNUMBER(SnapshotTable[[#This Row],[SP Book Price]]))</f>
        <v>0</v>
      </c>
      <c r="BX13" s="419" t="b">
        <f>AND(SnapshotTable[[#This Row],[SP Is Booked]], NOT(ISBLANK(SnapshotTable[[#This Row],[SP Fill Date]])))</f>
        <v>0</v>
      </c>
      <c r="BY13" s="33">
        <f>IF(SnapshotTable[[#This Row],[SP Is Booked]], SnapshotTable[[#This Row],[SP Qty]] * SnapshotTable[[#This Row],[SP Book Price]] * 100, 0)</f>
        <v>0</v>
      </c>
      <c r="BZ13" s="369"/>
      <c r="CA13" s="368">
        <f>SnapshotTable[[#This Row],[LP Qty]]</f>
        <v>0</v>
      </c>
      <c r="CB13" s="4" t="str">
        <f>IF(SnapshotTable[[#This Row],[SP Is Booked]], SnapshotTable[[#This Row],[SP Strike Price]] - SnapshotTable[[#This Row],[SP Book Price]], "")</f>
        <v/>
      </c>
      <c r="CC13" s="19" t="str">
        <f>IF(SnapshotTable[[#This Row],[SP Is Booked]],SnapshotTable[[#This Row],[SP Exp Date]]-MAX(SnapshotTable[[#This Row],[SP Book Date]], SnapshotTable[[#This Row],[SP Fill Date]]),"")</f>
        <v/>
      </c>
      <c r="CD13" s="7" t="str">
        <f>IF(SnapshotTable[[#This Row],[SP Is Booked]], SnapshotTable[[#This Row],[SP Book Price]]/SnapshotTable[[#This Row],[SP Strike Price]], "")</f>
        <v/>
      </c>
      <c r="CE13" s="7" t="str">
        <f>IF(ISNUMBER(SnapshotTable[[#This Row],[SP ROO Term]]),SnapshotTable[[#This Row],[SP ROO Term]]*(365/SnapshotTable[[#This Row],[SP Term]]),"")</f>
        <v/>
      </c>
      <c r="CF13" s="236">
        <f>SnapshotTable[[#This Row],[LP Strike Price]] * SnapshotTable[[#This Row],[LP Qty]] * 100</f>
        <v>0</v>
      </c>
      <c r="CG13" s="31" t="e">
        <f>IF(ISNUMBER(SnapshotTable[[#This Row],[SP Premium]]), (SnapshotTable[[#This Row],[SP Qty]] * SnapshotTable[[#This Row],[SP Strike Price]]* 100) - SnapshotTable[[#This Row],[LP Protection]], 0)</f>
        <v>#VALUE!</v>
      </c>
      <c r="CH13" s="7" t="str">
        <f>IF(ISNUMBER(SnapshotTable[[#This Row],[SP Break Even]]),-1 * (SnapshotTable[[#This Row],[SP Break Even]] - SnapshotTable[[#This Row],[Last Price]]) / SnapshotTable[[#This Row],[Last Price]], "")</f>
        <v/>
      </c>
      <c r="CI13" s="31">
        <f>IF(AND(ISNUMBER((SnapshotTable[[#This Row],[SP Potential Spend]])), SnapshotTable[[#This Row],[SP Strike Price]] &gt; SnapshotTable[[#This Row],[Last Price]], SnapshotTable[[#This Row],[SP Is Filled]]), SnapshotTable[[#This Row],[SP Potential Spend]] -  SnapshotTable[[#This Row],[LP Max Value]], 0)</f>
        <v>0</v>
      </c>
      <c r="CJ13" s="244"/>
      <c r="CK13" s="31" t="str">
        <f>IF(ISNUMBER(SnapshotTable[[#This Row],[SP Potential Spend]]),IF(ISNUMBER(SnapshotTable[[#This Row],[SP POW]]), SnapshotTable[[#This Row],[SP POW]] * SnapshotTable[[#This Row],[SP Potential Spend]], SnapshotTable[[#This Row],[SP Potential Spend]]), "")</f>
        <v/>
      </c>
      <c r="CL13" s="164" t="e">
        <f>IF(NOT(SnapshotTable[[#This Row],[SP Is Filled]]),(SnapshotTable[[#This Row],[SP Qty]] * SnapshotTable[[#This Row],[SP Strike Price]] * 100) - SnapshotTable[[#This Row],[LP Max Value]],"")</f>
        <v>#VALUE!</v>
      </c>
      <c r="CM13" s="31" t="str">
        <f>IF(SnapshotTable[[#This Row],[SP Actual Spend]]&lt;&gt;0, ((SnapshotTable[[#This Row],[SP Strike Price]]-SnapshotTable[[#This Row],[Last Price]]) *(SnapshotTable[[#This Row],[SP Qty]]*100) - SnapshotTable[[#This Row],[SP Premium]]) * - 1, "")</f>
        <v/>
      </c>
      <c r="CN13" s="78"/>
      <c r="CO13" s="369"/>
      <c r="CP13" s="4" t="str">
        <f>IF(SnapshotTable[[#This Row],[SP Is Filled]], btc_max_buyback_amount(SnapshotTable[[#This Row],[SP Fill Date]],SnapshotTable[[#This Row],[SP Exp Date]], SnapshotTable[[#This Row],[SP Book Price]]),"")</f>
        <v/>
      </c>
      <c r="CQ13" s="78"/>
      <c r="CR1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 s="155" t="str">
        <f>IF(SnapshotTable[[#This Row],[SP Is Filled]], btc_next_cutoff_date(SnapshotTable[[#This Row],[SP Fill Date]],SnapshotTable[[#This Row],[SP Exp Date]]),"")</f>
        <v/>
      </c>
      <c r="CT13" s="235" t="str" cm="1">
        <f t="array" ref="CT13">IF(SnapshotTable[[#This Row],[SP Is Filled]], btc_should_buy_back(SnapshotTable[[#This Row],[SP Fill Date]], SnapshotTable[[#This Row],[SP Exp Date]], SnapshotTable[[#This Row],[SP Book Price]], SnapshotTable[[#This Row],[SP Current Ask]], MockToday, SnapshotTable[[#This Row],[SP Buyback Override]]),"")</f>
        <v/>
      </c>
      <c r="CU13" s="143"/>
      <c r="CV13" s="235"/>
      <c r="CW13" s="378" t="str">
        <f>IF(ISNUMBER( SnapshotTable[[#This Row],[SP Term]]), SnapshotTable[[#This Row],[SP Exp Date]] - MockToday,"")</f>
        <v/>
      </c>
      <c r="CX13" s="31" t="str">
        <f>IF(SnapshotTable[[#This Row],[SP Is Filled]],SnapshotTable[[#This Row],[SP Buyback Price to Use]] * 100 * SnapshotTable[[#This Row],[SP Qty]], "")</f>
        <v/>
      </c>
      <c r="CY13" s="4" t="str">
        <f>IF(ISNUMBER(SnapshotTable[[#This Row],[SP Strike Price]]), SnapshotTable[[#This Row],[SP Strike Price]] * (1 - SP_MaxLoss_StrikePct), "")</f>
        <v/>
      </c>
      <c r="CZ13" s="31" t="str">
        <f>IF(ISNUMBER(SnapshotTable[[#This Row],[SP Strike  Stop Per Share]]),SnapshotTable[[#This Row],[SP Premium]] - ((SnapshotTable[[#This Row],[SP Strike Price]]-SnapshotTable[[#This Row],[SP Strike  Stop Per Share]]) *(SnapshotTable[[#This Row],[SP Qty]] * 100)),"")</f>
        <v/>
      </c>
      <c r="DA13" s="4" t="str">
        <f>IF(AND(ISNUMBER(SnapshotTable[[#This Row],[SP Premium]]),SnapshotTable[[#This Row],[SP Premium]]&gt;0), SnapshotTable[[#This Row],[SP Book Price]] * (1 + SP_MaxLoss_OptionPct), "")</f>
        <v/>
      </c>
      <c r="DB13" s="31" t="str">
        <f>IF(ISNUMBER(SnapshotTable[[#This Row],[SP Option  Stop Contract]]),(SnapshotTable[[#This Row],[SP Option  Stop Contract]] *(SnapshotTable[[#This Row],[SP Qty]] * 100) - SnapshotTable[[#This Row],[SP Premium]]),"")</f>
        <v/>
      </c>
      <c r="DC13" s="4"/>
      <c r="DD13" s="4"/>
      <c r="DE13" s="4" t="str">
        <f>IF(AND(SnapshotTable[[#This Row],[SP Qty]]&gt;0, SnapshotTable[[#This Row],[SP Stop To Use]]&gt;0),SnapshotTable[[#This Row],[SP Premium]] - ( SnapshotTable[[#This Row],[SP Qty]] * SnapshotTable[[#This Row],[SP Stop To Use]] * 100), "")</f>
        <v/>
      </c>
      <c r="DF13" s="31" t="str">
        <f>IF(AND(SnapshotTable[[#This Row],[SP Qty]]&gt;0,SnapshotTable[[#This Row],[SP Current Ask]]&gt;0), SnapshotTable[[#This Row],[SP Qty]] * SnapshotTable[[#This Row],[SP Current Ask]] * -100, "")</f>
        <v/>
      </c>
      <c r="DG13" s="31" t="str">
        <f>IF(ISNUMBER((SnapshotTable[[#This Row],[SP Total Value]])), SnapshotTable[[#This Row],[SP Premium]] + SnapshotTable[[#This Row],[SP Total Value]], "")</f>
        <v/>
      </c>
      <c r="DH13" s="294" t="str">
        <f>IF(ISNUMBER((SnapshotTable[[#This Row],[SP Total Value]])), SnapshotTable[[#This Row],[SP Gain Loss]] / SnapshotTable[[#This Row],[SP Premium]], "")</f>
        <v/>
      </c>
      <c r="DI13" s="406"/>
      <c r="DJ13" s="138"/>
      <c r="DK13" s="148"/>
      <c r="DL13" s="13"/>
      <c r="DM13" s="13"/>
      <c r="DO13" s="31">
        <f>IF(SnapshotTable[[#This Row],[LC Symbol Count]]=1, SnapshotTable[[#This Row],[LC Qty]] * SnapshotTable[[#This Row],[LC Book Price]] * 100, 0)</f>
        <v>0</v>
      </c>
      <c r="DP13" s="163" t="str">
        <f>IF(AND(SnapshotTable[[#This Row],[LC Exp Date]]&gt;0, SnapshotTable[[#This Row],[LC Strike Price]]&gt;0,SnapshotTable[[#This Row],[LC Qty]]&gt;0,SnapshotTable[[#This Row],[LC Book Date]]&gt;0,SnapshotTable[[#This Row],[LC Book Price]]&gt;0,SnapshotTable[[#This Row],[LC Fill Date]]=0),"Y","")</f>
        <v/>
      </c>
      <c r="DQ13" s="386" t="str">
        <f>IF(SnapshotTable[[#This Row],[LC Premium]] &gt; 0,SnapshotTable[[#This Row],[LC Exp Date]]-MAX(SnapshotTable[[#This Row],[LC Book Date]], SnapshotTable[[#This Row],[LC Fill Date]]),"")</f>
        <v/>
      </c>
      <c r="DR13" s="386" t="str">
        <f>IF(ISNUMBER(SnapshotTable[[#This Row],[LC Term]]), SnapshotTable[[#This Row],[LC Exp Date]] - MockToday, "")</f>
        <v/>
      </c>
      <c r="DS13" s="234" t="str">
        <f>IF(SnapshotTable[[#This Row],[LC Premium]]&gt;0,SnapshotTable[[#This Row],[LC Strike Price]] + SnapshotTable[[#This Row],[LC Book Price]],"")</f>
        <v/>
      </c>
      <c r="DU13" s="9" t="str">
        <f>IF(AND(SnapshotTable[[#This Row],[LC Symbol Count]]&gt;0, SnapshotTable[[#This Row],[LC Contract Value]]&gt;0), SnapshotTable[[#This Row],[LC Contract Value]] * SnapshotTable[[#This Row],[LC Qty]] * 100, "")</f>
        <v/>
      </c>
      <c r="DV13" s="9" t="str">
        <f>IF(AND(ISNUMBER(SnapshotTable[[#This Row],[LC Total Value]]), SnapshotTable[[#This Row],[LC Not Filled]]&lt;&gt;"Y"), SnapshotTable[[#This Row],[LC Total Value]]-SnapshotTable[[#This Row],[LC Premium]],"")</f>
        <v/>
      </c>
      <c r="DW13" s="240" t="str">
        <f>IF(ISNUMBER(SnapshotTable[[#This Row],[LC Actual Gain Loss]]), SnapshotTable[[#This Row],[LC Actual Gain Loss]] / SnapshotTable[[#This Row],[LC Premium]],"")</f>
        <v/>
      </c>
      <c r="DX13" s="284" t="str">
        <f>IF(ISNUMBER(SnapshotTable[[#This Row],[LC Book Price]]),SnapshotTable[[#This Row],[LC Book Price]] * 1.5,"")</f>
        <v/>
      </c>
      <c r="DY13" s="265" t="str">
        <f>IF(SnapshotTable[[#This Row],[LC Premium]]&gt;0, SnapshotTable[[#This Row],[LC Next Target]] * SnapshotTable[[#This Row],[LC Qty]] * 100,"")</f>
        <v/>
      </c>
      <c r="DZ13" s="265" t="str">
        <f>IF(ISNUMBER(SnapshotTable[[#This Row],[LC Target Gross]]), SnapshotTable[[#This Row],[LC Target Gross]] - SnapshotTable[[#This Row],[LC Premium]], "")</f>
        <v/>
      </c>
      <c r="EA13" s="305" t="str">
        <f>IF(ISNUMBER(SnapshotTable[[#This Row],[LC Target Gain Loss]]), SnapshotTable[[#This Row],[LC Target Gain Loss]]/SnapshotTable[[#This Row],[LC Premium]], "")</f>
        <v/>
      </c>
      <c r="EB13" s="262"/>
      <c r="EC13" s="283" t="str">
        <f>IF(SnapshotTable[[#This Row],[LC Premium]]&gt;0, SnapshotTable[[#This Row],[LC Book Price]] * (1 - LC_StopLoss_Pct),"")</f>
        <v/>
      </c>
      <c r="ED13" s="284"/>
      <c r="EE13" s="283" t="str">
        <f>IF(ISNUMBER(SnapshotTable[[#This Row],[LC Contract Value]]),IF(ISNUMBER(SnapshotTable[[#This Row],[LC Stop Loss Override]]), SnapshotTable[[#This Row],[LC Stop Loss Override]],SnapshotTable[[#This Row],[LC Stop Loss Calc Target]]),"")</f>
        <v/>
      </c>
      <c r="EF13" s="31" t="str">
        <f>IF(ISNUMBER(SnapshotTable[[#This Row],[LC Stop  To Use]]), (SnapshotTable[[#This Row],[LC Stop  To Use]] * SnapshotTable[[#This Row],[LC Qty]] * 100),"")</f>
        <v/>
      </c>
      <c r="EG13" s="9" t="str">
        <f>IF(ISNUMBER(SnapshotTable[[#This Row],[LC Total Value]]),SnapshotTable[[#This Row],[LC Stop Loss Amount]] - SnapshotTable[[#This Row],[LC Premium]],"")</f>
        <v/>
      </c>
      <c r="EH13" s="9">
        <f>IF(ISNUMBER(SnapshotTable[[#This Row],[LC Premium]]), SnapshotTable[[#This Row],[LC Qty]] * 100 * SnapshotTable[[#This Row],[LC Strike Price]], "")</f>
        <v>0</v>
      </c>
      <c r="EI13" s="240" t="str">
        <f>IF(AND(ISNUMBER(SnapshotTable[[#This Row],[LC Total Value]]),SnapshotTable[[#This Row],[LC Total Value]]&gt;0),SnapshotTable[[#This Row],[LC Stop Gain Loss]]  / SnapshotTable[[#This Row],[LC Premium]],"")</f>
        <v/>
      </c>
      <c r="EJ13" s="35">
        <f>IF(ISNUMBER(SnapshotTable[[#This Row],[Equity Shares]]),TRUNC(SnapshotTable[[#This Row],[Equity Shares]] / 100),0) + SnapshotTable[[#This Row],[LC Qty]]</f>
        <v>0</v>
      </c>
      <c r="EK13" s="147"/>
      <c r="EL13" s="138" t="str">
        <f>IF(SnapshotTable[[#This Row],[SC Exp Date]]&lt;&gt;"",TRUNC(SnapshotTable[[#This Row],[Last Price]]),"")</f>
        <v/>
      </c>
      <c r="EM13" s="148"/>
      <c r="EN13" s="147"/>
      <c r="EO13" s="147"/>
      <c r="EP13" s="138"/>
      <c r="EQ13" s="419" t="b">
        <f>AND(ISNUMBER(SnapshotTable[[#This Row],[SC Exp Date]]), ISNUMBER(SnapshotTable[[#This Row],[SC Strike Price]]), ISNUMBER(SnapshotTable[[#This Row],[SC Qty]]), ISNUMBER(SnapshotTable[[#This Row],[SC Book Date]]), ISNUMBER(SnapshotTable[[#This Row],[SC Book Price]]))</f>
        <v>0</v>
      </c>
      <c r="ER13" s="419" t="b">
        <f>AND(SnapshotTable[[#This Row],[SC Is Booked]], NOT(ISBLANK(SnapshotTable[[#This Row],[SC Fill Date]])))</f>
        <v>0</v>
      </c>
      <c r="ES13" s="370"/>
      <c r="ET13" s="34" t="str">
        <f>IF(AND(ISNUMBER(SnapshotTable[[#This Row],[SC Exp Date]]), ISNUMBER(SnapshotTable[[#This Row],[SC Book Date]])), SnapshotTable[[#This Row],[SC Exp Date]] - MAX(SnapshotTable[[#This Row],[SC Book Date]], SnapshotTable[[#This Row],[SC Fill Date]]) + 1, "")</f>
        <v/>
      </c>
      <c r="EU13" s="34" t="str">
        <f>IF(ISNUMBER(SnapshotTable[[#This Row],[SC Term]]), SnapshotTable[[#This Row],[SC Exp Date]]- MockToday, "")</f>
        <v/>
      </c>
      <c r="EV13" s="31">
        <f>IF(SnapshotTable[[#This Row],[SC Is Booked]], SnapshotTable[[#This Row],[SC Qty]] * SnapshotTable[[#This Row],[SC Book Price]] * 100, 0)</f>
        <v>0</v>
      </c>
      <c r="EW13" s="4" t="str">
        <f>IF(AND(ISNUMBER(SnapshotTable[[#This Row],[Last Price]]), ISNUMBER( SnapshotTable[[#This Row],[SC Book Price]])), SnapshotTable[[#This Row],[Last Price]] - SnapshotTable[[#This Row],[SC Book Price]],"")</f>
        <v/>
      </c>
      <c r="EX13" s="234" t="str">
        <f>IF(SnapshotTable[[#This Row],[SC Is Booked]],IF(SnapshotTable[[#This Row],[SC Intrinsic Value]] &gt; 0, SnapshotTable[[#This Row],[SC Strike Price]], SnapshotTable[[#This Row],[Last Price]]), "")</f>
        <v/>
      </c>
      <c r="EY13" s="4">
        <f>IF(SnapshotTable[[#This Row],[SC Is Booked]], (MinimumPremiumRequired * SnapshotTable[[#This Row],[SC Basis]] * SnapshotTable[[#This Row],[SC Term]]), 0)</f>
        <v>0</v>
      </c>
      <c r="EZ13" s="283"/>
      <c r="FA13" s="218"/>
      <c r="FB13" s="370"/>
      <c r="FC13" s="4">
        <f>IF(SnapshotTable[[#This Row],[SC Is Filled]], btc_max_buyback_amount(SnapshotTable[[#This Row],[SC Fill Date]],SnapshotTable[[#This Row],[SC Exp Date]], SnapshotTable[[#This Row],[SC Book Price]]),0)</f>
        <v>0</v>
      </c>
      <c r="FD13" s="5"/>
      <c r="FE13" s="144" t="str">
        <f>IF(SnapshotTable[[#This Row],[SC Is Filled]], btc_next_cutoff_date(SnapshotTable[[#This Row],[SC Fill Date]],SnapshotTable[[#This Row],[SC Exp Date]]),"")</f>
        <v/>
      </c>
      <c r="FF13" s="4" t="str" cm="1">
        <f t="array" ref="FF13">IF(SnapshotTable[[#This Row],[SC Is Filled]], btc_should_buy_back(SnapshotTable[[#This Row],[SC Fill Date]], SnapshotTable[[#This Row],[SC Exp Date]], SnapshotTable[[#This Row],[SC Book Price]], SnapshotTable[[#This Row],[SC Current Ask]], MockToday, SnapshotTable[[#This Row],[SC Buyback Override]]),"")</f>
        <v/>
      </c>
      <c r="FG13" s="4">
        <f>IF(SnapshotTable[[#This Row],[SC Is Filled]], MAX(0,SnapshotTable[[#This Row],[Last Price]]  - SnapshotTable[[#This Row],[SC Strike Price]]), 0)</f>
        <v>0</v>
      </c>
      <c r="FH13" s="382">
        <f>IF(SnapshotTable[[#This Row],[SC Is Filled]], IF(ISNUMBER(SnapshotTable[[#This Row],[SC Current Ask]]), SnapshotTable[[#This Row],[SC Current Ask]], SnapshotTable[[#This Row],[SC Book Price]]) - SnapshotTable[[#This Row],[SC Intrinsic Value]], 0)</f>
        <v>0</v>
      </c>
      <c r="FI13" s="143">
        <v>45786</v>
      </c>
      <c r="FJ13" s="32" t="str">
        <f>IF(SnapshotTable[[#This Row],[SC Is Filled]],100 * SnapshotTable[[#This Row],[SC Qty]] * IF(ISNUMBER(SnapshotTable[[#This Row],[SC Buyback Override]]), SnapshotTable[[#This Row],[SC Buyback Override]], SnapshotTable[[#This Row],[SC Current Ask]]), "")</f>
        <v/>
      </c>
      <c r="FK13" s="250" t="str">
        <f>IF(SnapshotTable[[#This Row],[SC Time Val]]&gt;0, SnapshotTable[[#This Row],[SC Time Val]] / SnapshotTable[[#This Row],[Last Price]],"")</f>
        <v/>
      </c>
      <c r="FL13" s="302" t="str">
        <f>IF(SnapshotTable[[#This Row],[SC Is Booked]], ((SnapshotTable[[#This Row],[Last Price]] -SnapshotTable[[#This Row],[SC Strike Price]]) / SnapshotTable[[#This Row],[Last Price]]) * -1, "")</f>
        <v/>
      </c>
      <c r="FM13" s="157" t="str">
        <f>IF(SnapshotTable[[#This Row],[SC Is Booked]],  (SnapshotTable[[#This Row],[SC Qty]] * 100 * SnapshotTable[[#This Row],[SC Strike Price]]) - SnapshotTable[[#This Row],[SC Current Ask]], "")</f>
        <v/>
      </c>
      <c r="FN1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 s="31" t="str">
        <f>IF(AND(ISNUMBER(SnapshotTable[[#This Row],[SC Exercise Gross]]), ISNUMBER(SnapshotTable[[#This Row],[Equity Basis Per Share]] )), SnapshotTable[[#This Row],[SC Exercise Gross]] - SnapshotTable[[#This Row],[Equity Basis Total]] +  SnapshotTable[[#This Row],[SC Premium]], "")</f>
        <v/>
      </c>
      <c r="FP13" s="5" t="str">
        <f>IF(ISNUMBER(SnapshotTable[[#This Row],[SC Exercise Gross]]), (SnapshotTable[[#This Row],[SC Exercise Gross]]) / (SnapshotTable[[#This Row],[SC Qty]] * 100), "")</f>
        <v/>
      </c>
      <c r="FQ13" s="27" t="str">
        <f>IF(SnapshotTable[[#This Row],[SC Is Booked]],SnapshotTable[[#This Row],[SC Time Val]] /SnapshotTable[[#This Row],[SC Basis]], "")</f>
        <v/>
      </c>
      <c r="FR13" s="27" t="str" cm="1">
        <f t="array" ref="FR13">IF(AND(ISNUMBER(SnapshotTable[[#This Row],[SC Term]]),ISNUMBER(SnapshotTable[[#This Row],[SC Simple ROO]])), EllmanAnnualize(SnapshotTable[[#This Row],[SC DTE]], SnapshotTable[[#This Row],[SC Simple ROO]] ),"")</f>
        <v/>
      </c>
      <c r="FS13" s="4" t="e">
        <f>IF(SnapshotTable[[#This Row],[SC Strike Price]] &gt; SnapshotTable[[#This Row],[Last Price]], SnapshotTable[[#This Row],[SC Strike Price]] - SnapshotTable[[#This Row],[Last Price]],0)</f>
        <v>#VALUE!</v>
      </c>
      <c r="FT13" s="27" t="e">
        <f>IF(AND(ISNUMBER(SnapshotTable[[#This Row],[SC Upside Potential]]), SnapshotTable[[#This Row],[SC Upside Potential]] &gt; 0),(SnapshotTable[[#This Row],[SC Upside Potential]]/ SnapshotTable[[#This Row],[ACB]]),"")</f>
        <v>#VALUE!</v>
      </c>
      <c r="FU13" s="333" t="str">
        <f>IF(SnapshotTable[[#This Row],[SC Intrinsic Value]] &gt; 0,SnapshotTable[[#This Row],[SC Intrinsic Value]],"")</f>
        <v/>
      </c>
      <c r="FV13" s="27" t="str">
        <f>IF(AND( ISNUMBER( SnapshotTable[[#This Row],[ACB]]),ISNUMBER(SnapshotTable[[#This Row],[SC Downside Protect]])),SnapshotTable[[#This Row],[SC Downside Protect]] / SnapshotTable[[#This Row],[ACB]],"")</f>
        <v/>
      </c>
      <c r="FW13" s="236" t="str">
        <f>IF(AND(ISNUMBER(SnapshotTable[[#This Row],[SC Simple ROO]]),SnapshotTable[[#This Row],[SC Simple ROO]] &gt; 0), SnapshotTable[[#This Row],[SC Premium]] + (SnapshotTable[[#This Row],[SC Qty]] * SnapshotTable[[#This Row],[SC Upside Potential]]), "")</f>
        <v/>
      </c>
      <c r="FX13" s="302" t="str" cm="1">
        <f t="array" ref="FX13">IF(ISNUMBER(SnapshotTable[[#This Row],[SC Max Dollars]]), annualize(SnapshotTable[[#This Row],[SC Term]],(SnapshotTable[[#This Row],[SC Max Dollars]]/SnapshotTable[[#This Row],[SC Basis]])),"")</f>
        <v/>
      </c>
      <c r="FY13" s="236" t="str">
        <f>IF(AND(SnapshotTable[[#This Row],[SC Qty]]&gt;0,SnapshotTable[[#This Row],[SC Current Ask]]&gt;0), SnapshotTable[[#This Row],[SC Qty]] * SnapshotTable[[#This Row],[SC Current Ask]] * -100, "")</f>
        <v/>
      </c>
      <c r="FZ13" s="31" t="str">
        <f>IF(ISNUMBER((SnapshotTable[[#This Row],[SC Current Value]])), SnapshotTable[[#This Row],[SC Premium]] + SnapshotTable[[#This Row],[SC Current Value]], "")</f>
        <v/>
      </c>
      <c r="GA13" s="294" t="str">
        <f>IFERROR( IF(ISNUMBER((SnapshotTable[[#This Row],[SC Current Value]])), SnapshotTable[[#This Row],[SC Gain Loss]] / SnapshotTable[[#This Row],[SC Premium]], ""), "")</f>
        <v/>
      </c>
      <c r="GB13" s="42">
        <f>SnapshotTable[[#This Row],[Equity Shares]] * SaleSharesToConsiderPercentage</f>
        <v>0</v>
      </c>
      <c r="GC13" s="40">
        <f>SnapshotTable[[#This Row],[Long Term Target]] * SellingPriceToConsiderBasedOnTargetPercentage</f>
        <v>134.75749999999999</v>
      </c>
      <c r="GD13" s="40">
        <f>SnapshotTable[[#This Row],[Last Price]] * (1+ SellingPriceToConsiderBasedOnTargetPercentage)</f>
        <v>273.09750000000003</v>
      </c>
      <c r="GE13" s="41"/>
      <c r="GF13" s="40"/>
      <c r="GG13" s="31">
        <f>SnapshotTable[[#This Row],[Booked Sale Shares]] * SnapshotTable[[#This Row],[Booked Sale Price]]</f>
        <v>0</v>
      </c>
      <c r="GH13" s="31" t="str">
        <f>IF(SnapshotTable[[#This Row],[Equity Basis Total]] &gt; 0, SnapshotTable[[#This Row],[Equity Basis Per Share]] * SnapshotTable[[#This Row],[Booked Sale Shares]], "")</f>
        <v/>
      </c>
      <c r="GI13" s="31">
        <f>IF(SnapshotTable[[#This Row],[Sale Proceeds]]&gt;0, SnapshotTable[[#This Row],[Sale Proceeds]] - SnapshotTable[[#This Row],[Sale Basis]], 0)</f>
        <v>0</v>
      </c>
      <c r="GJ13" s="27" t="str">
        <f>IF(SnapshotTable[[#This Row],[Sale G/L]]&gt;0, SnapshotTable[[#This Row],[Sale G/L]] / SnapshotTable[[#This Row],[Sale Basis]], IF(ISNUMBER(SnapshotTable[[#This Row],[SC Exercise P&amp;L (TAX)]]), SnapshotTable[[#This Row],[SC Exercise P&amp;L (TAX)]] / SnapshotTable[[#This Row],[SC Basis]], ""))</f>
        <v/>
      </c>
      <c r="GK13" s="27" t="s">
        <v>622</v>
      </c>
      <c r="GL13" s="43" t="str">
        <f>IF(AND(SnapshotTable[[#This Row],[LP Exp Date]]&gt;0,SnapshotTable[[#This Row],[LP Strike Price]]&gt;0), [1]!ToOptionSymbol(SnapshotTable[[#This Row],[Symbol]], SnapshotTable[[#This Row],[LP Strike Price]],SnapshotTable[[#This Row],[LP Exp Date]],1), "")</f>
        <v/>
      </c>
      <c r="GM13" s="30" t="str">
        <f>IF(LEN(SnapshotTable[[#This Row],[LP Symbol]])&gt;0, 1, "")</f>
        <v/>
      </c>
      <c r="GN13" s="43" t="str">
        <f>IF(AND(SnapshotTable[[#This Row],[SP Exp Date]]&gt;0,SnapshotTable[[#This Row],[SP Strike Price]]&gt;0), [1]!ToOptionSymbol(SnapshotTable[[#This Row],[Symbol]], SnapshotTable[[#This Row],[SP Strike Price]],SnapshotTable[[#This Row],[SP Exp Date]],1), "")</f>
        <v/>
      </c>
      <c r="GO13" s="30" t="str">
        <f>IF(LEN(SnapshotTable[[#This Row],[SP Symbol]])&gt;0, 1, "")</f>
        <v/>
      </c>
      <c r="GP13" s="43" t="str">
        <f>IF(AND(SnapshotTable[[#This Row],[LC Exp Date]]&gt;0,SnapshotTable[[#This Row],[LC Strike Price]]&gt;0), [1]!ToOptionSymbol(SnapshotTable[[#This Row],[Symbol]], SnapshotTable[[#This Row],[LC Strike Price]],SnapshotTable[[#This Row],[LC Exp Date]],0), "")</f>
        <v/>
      </c>
      <c r="GQ13" s="30" t="str">
        <f>IF(LEN(SnapshotTable[[#This Row],[LC Symbol]])&gt;0, 1, "")</f>
        <v/>
      </c>
      <c r="GR13" s="43" t="str">
        <f>IF(AND(SnapshotTable[[#This Row],[SC Exp Date]]&gt;0,SnapshotTable[[#This Row],[SC Strike Price]]&gt;0), [1]!ToOptionSymbol(SnapshotTable[[#This Row],[Symbol]], SnapshotTable[[#This Row],[SC Strike Price]],SnapshotTable[[#This Row],[SC Exp Date]],0), "")</f>
        <v/>
      </c>
      <c r="GS13" s="30" t="str">
        <f>IF(LEN(SnapshotTable[[#This Row],[SC Symbol]])&gt;0, 1, "")</f>
        <v/>
      </c>
      <c r="GT13" s="29" t="str">
        <f>IF(COUNT(SnapshotTable[[#This Row],[LP Symbol Count]],SnapshotTable[[#This Row],[SP Symbol Count]],SnapshotTable[[#This Row],[LC Symbol Count]],SnapshotTable[[#This Row],[SC Symbol Count]])&gt;0, "Y", "")</f>
        <v/>
      </c>
      <c r="GU1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 s="231" t="e">
        <f>MAX(SnapshotTable[[#This Row],[Equity Basis Total]],SnapshotTable[[#This Row],[Equity Value]]) + (SnapshotTable[[#This Row],[SP Potential Spend]]- SnapshotTable[[#This Row],[SP Premium]] + SnapshotTable[[#This Row],[LP Premium]])+ (SnapshotTable[[#This Row],[LC Premium]] - SnapshotTable[[#This Row],[SC Premium]])</f>
        <v>#VALUE!</v>
      </c>
      <c r="GW13" s="139" t="e">
        <f>IF(AND(SnapshotTable[[#This Row],[Exposure]] &lt;&gt; 0),SnapshotTable[[#This Row],[Exposure]] / SnapshotTable[[#Totals],[Exposure]], "")</f>
        <v>#VALUE!</v>
      </c>
      <c r="HK13" s="1"/>
      <c r="HL13" s="1"/>
      <c r="HM13" s="1"/>
      <c r="HN13" s="1"/>
      <c r="HO13" s="1"/>
      <c r="HP13" s="1"/>
    </row>
    <row r="14" spans="2:224" ht="12.75" hidden="1" customHeight="1" x14ac:dyDescent="0.25">
      <c r="B14" s="12" t="s">
        <v>57</v>
      </c>
      <c r="C14" s="422">
        <v>552.33000000000004</v>
      </c>
      <c r="D14" s="208" t="s">
        <v>258</v>
      </c>
      <c r="E14" s="39">
        <f>SnapshotTable[[#This Row],[Last Price]]*(1 -CrashDiscount)</f>
        <v>469.48050000000001</v>
      </c>
      <c r="F14" s="26" t="s">
        <v>614</v>
      </c>
      <c r="G14" s="26" t="s">
        <v>9</v>
      </c>
      <c r="H14" s="149"/>
      <c r="I14" s="194">
        <v>45232.673611111109</v>
      </c>
      <c r="J14" s="195">
        <v>44775.673611111109</v>
      </c>
      <c r="K14" s="196"/>
      <c r="L14" s="326"/>
      <c r="M14" s="140">
        <v>1</v>
      </c>
      <c r="N14" s="140"/>
      <c r="O14" s="140">
        <v>1</v>
      </c>
      <c r="P14" s="22"/>
      <c r="Q14" s="25"/>
      <c r="R14" s="4" t="str">
        <f>IF(SnapshotTable[[#This Row],[Equity Basis Total]] &gt; 0, SnapshotTable[[#This Row],[Equity Basis Total]] / SnapshotTable[[#This Row],[Equity Shares]], "")</f>
        <v/>
      </c>
      <c r="S14" s="269">
        <f>SnapshotTable[[#This Row],[Last Price]] * SnapshotTable[[#This Row],[Equity Shares]]</f>
        <v>0</v>
      </c>
      <c r="T14" s="269">
        <f>SnapshotTable[[#This Row],[Equity Value]] - SnapshotTable[[#This Row],[Equity Basis Total]]</f>
        <v>0</v>
      </c>
      <c r="U14" s="270" t="str">
        <f>IF(SnapshotTable[[#This Row],[Equity Basis Total]] &gt; 0, SnapshotTable[[#This Row],[Equity G/L]] / SnapshotTable[[#This Row],[Equity Basis Total]], "")</f>
        <v/>
      </c>
      <c r="V14" s="268">
        <v>153</v>
      </c>
      <c r="W14" s="268">
        <v>92</v>
      </c>
      <c r="X14" s="4" t="str">
        <f>IF(AND(ISNUMBER(SnapshotTable[[#This Row],[Equity Basis Per Share]]),ISNUMBER(SnapshotTable[[#This Row],[Equity Target]])),SnapshotTable[[#This Row],[Equity Target]]-SnapshotTable[[#This Row],[Equity Basis Per Share]],"")</f>
        <v/>
      </c>
      <c r="Y14" s="4" t="str">
        <f>IF(AND(ISNUMBER(SnapshotTable[[#This Row],[Equity Basis Per Share]]),ISNUMBER(SnapshotTable[[#This Row],[Equity Stop Loss]])),SnapshotTable[[#This Row],[Equity Stop Loss]]-SnapshotTable[[#This Row],[Equity Basis Per Share]],"")</f>
        <v/>
      </c>
      <c r="Z14" s="275" t="str">
        <f>IFERROR( TEXT(SnapshotTable[[#This Row],[Equity Max Gain Per Share]] /ABS( SnapshotTable[[#This Row],[Equity Max Loss Per Share]]),"0.0 " ) &amp; " : 1", "")</f>
        <v/>
      </c>
      <c r="AA14" s="31" t="str">
        <f>IF(ISNUMBER(SnapshotTable[[#This Row],[Equity Max Gain Per Share]]),SnapshotTable[[#This Row],[Equity Max Gain Per Share]] * SnapshotTable[[#This Row],[Equity Shares]],"")</f>
        <v/>
      </c>
      <c r="AB14" s="31" t="str">
        <f>IF(ISNUMBER(SnapshotTable[[#This Row],[Equity Max Loss Per Share]]),SnapshotTable[[#This Row],[Equity Max Loss Per Share]] * SnapshotTable[[#This Row],[Equity Shares]],"")</f>
        <v/>
      </c>
      <c r="AC14" s="150"/>
      <c r="AD14" s="151"/>
      <c r="AE14" s="31">
        <f>(SnapshotTable[[#This Row],[Annual Dividend Per Share]] / 4) * SnapshotTable[[#This Row],[Equity Shares]]</f>
        <v>0</v>
      </c>
      <c r="AF14" s="31">
        <f>SnapshotTable[[#This Row],[Quarterly Div $]] * 4</f>
        <v>0</v>
      </c>
      <c r="AG14" s="7">
        <f>IF(SnapshotTable[[#This Row],[Annual Dividend Per Share]]&gt;0, SnapshotTable[[#This Row],[Annual Dividend Per Share]]  / SnapshotTable[[#This Row],[Last Price]], 0)</f>
        <v>0</v>
      </c>
      <c r="AH14" s="151"/>
      <c r="AI14" s="5"/>
      <c r="AJ14" s="138">
        <v>138</v>
      </c>
      <c r="AK14" s="152" t="str">
        <f>IF(ISNUMBER( SnapshotTable[[#This Row],[EBF Target]]),(SnapshotTable[[#This Row],[EBF Target]] - SnapshotTable[[#This Row],[Last Price]]) / SnapshotTable[[#This Row],[Last Price]], "")</f>
        <v/>
      </c>
      <c r="AL14" s="152" t="str">
        <f>IF(AND(SnapshotTable[[#This Row],[Equity Basis Total]] &gt; 0,ISNUMBER( SnapshotTable[[#This Row],[Long Term Target]])), SnapshotTable[[#This Row],[From Basis $]] / SnapshotTable[[#This Row],[Equity Basis Total]], "")</f>
        <v/>
      </c>
      <c r="AM14" s="9">
        <f>IF( AND(SnapshotTable[[#This Row],[Equity Shares]] &gt;0,ISNUMBER( SnapshotTable[[#This Row],[Long Term Target]])),(SnapshotTable[[#This Row],[Equity Shares]] * SnapshotTable[[#This Row],[Long Term Target]]) - SnapshotTable[[#This Row],[Equity Basis Total]],0)</f>
        <v>0</v>
      </c>
      <c r="AN14" s="9">
        <f>IF( AND(SnapshotTable[[#This Row],[Equity Shares]] &gt;0,ISNUMBER( SnapshotTable[[#This Row],[Long Term Target]])),(SnapshotTable[[#This Row],[Equity Shares]]*SnapshotTable[[#This Row],[Long Term Target]]) - SnapshotTable[[#This Row],[Equity Value]],0)</f>
        <v>0</v>
      </c>
      <c r="AO14" s="152">
        <f>IF(AND(ISNUMBER( SnapshotTable[[#This Row],[Long Term Target]]), ISNUMBER(SnapshotTable[[#This Row],[Last Price]])),(SnapshotTable[[#This Row],[Long Term Target]] - SnapshotTable[[#This Row],[Last Price]]) / SnapshotTable[[#This Row],[Last Price]], "")</f>
        <v>-0.7501493672261148</v>
      </c>
      <c r="AP14" s="5">
        <v>145</v>
      </c>
      <c r="AQ14" s="38" t="s">
        <v>38</v>
      </c>
      <c r="AR14" s="5">
        <v>145</v>
      </c>
      <c r="AS14" s="38" t="s">
        <v>26</v>
      </c>
      <c r="AT14" s="146" t="s">
        <v>538</v>
      </c>
      <c r="AU14" s="187" t="str">
        <f>IF(OR(SnapshotTable[[#This Row],[LP No Fill]]="Y",SnapshotTable[[#This Row],[SP Is Filled]],SnapshotTable[[#This Row],[LC Not Filled]]="Y",SnapshotTable[[#This Row],[SC Is Filled]]),"Y","")</f>
        <v/>
      </c>
      <c r="AV14" s="375"/>
      <c r="AW14" s="225"/>
      <c r="AX14" s="220"/>
      <c r="AY14" s="219" t="str">
        <f>IF(SnapshotTable[[#This Row],[Implied Move]]&gt;0, SnapshotTable[[#This Row],[Last Price]]-SnapshotTable[[#This Row],[Implied Move]],"")</f>
        <v/>
      </c>
      <c r="AZ14" s="219" t="str">
        <f>IF(SnapshotTable[[#This Row],[Implied Move]]&gt;0, SnapshotTable[[#This Row],[Last Price]] + SnapshotTable[[#This Row],[Implied Move]],"")</f>
        <v/>
      </c>
      <c r="BA14" s="331">
        <v>209.42</v>
      </c>
      <c r="BB14" s="347"/>
      <c r="BC1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 s="351"/>
      <c r="BE14" s="138"/>
      <c r="BF14" s="166"/>
      <c r="BG14" s="167"/>
      <c r="BH14" s="167"/>
      <c r="BI14" s="221"/>
      <c r="BJ14" s="153">
        <f>IF(SnapshotTable[[#This Row],[LP Qty]] &gt; 0, SnapshotTable[[#This Row],[LP Qty]] * SnapshotTable[[#This Row],[LP Book Price]] * 100,0)</f>
        <v>0</v>
      </c>
      <c r="BK14" s="136">
        <f>IF(SnapshotTable[[#This Row],[LP Premium]] &gt; 0, SnapshotTable[[#This Row],[LP Qty]] * SnapshotTable[[#This Row],[LP Strike Price]] * 100,0)</f>
        <v>0</v>
      </c>
      <c r="BL14" s="154"/>
      <c r="BM14" s="385" t="str">
        <f>IF(SnapshotTable[[#This Row],[LP Premium]] &gt; 0,SnapshotTable[[#This Row],[LP Exp Date]]-MAX(SnapshotTable[[#This Row],[LP Book Date]], SnapshotTable[[#This Row],[LP Fill Date]]),"")</f>
        <v/>
      </c>
      <c r="BN14" s="385" t="str">
        <f>IF(ISNUMBER( SnapshotTable[[#This Row],[LP Term]]), SnapshotTable[[#This Row],[LP Exp Date]] - MockToday,"")</f>
        <v/>
      </c>
      <c r="BO14" s="163" t="str">
        <f>IF(AND(SnapshotTable[[#This Row],[LP Exp Date]]&gt;0, SnapshotTable[[#This Row],[LP Strike Price]]&gt;0,SnapshotTable[[#This Row],[LP Qty]]&gt;0,SnapshotTable[[#This Row],[LP Book Date]]&gt;0,SnapshotTable[[#This Row],[LP Book Price]]&gt;0,SnapshotTable[[#This Row],[LP Fill Date]]=0),"Y","")</f>
        <v/>
      </c>
      <c r="BP14" s="31" t="str">
        <f>IF(AND(SnapshotTable[[#This Row],[LP No Fill]]&lt;&gt;"Y",SnapshotTable[[#This Row],[LP Contract Value]]&gt;0, SnapshotTable[[#This Row],[LP Qty]]&gt;0), SnapshotTable[[#This Row],[LP Contract Value]]*SnapshotTable[[#This Row],[LP Qty]]*100,"")</f>
        <v/>
      </c>
      <c r="BQ14" s="13"/>
      <c r="BR14" s="5" t="str">
        <f>IF(SnapshotTable[[#This Row],[SP Exp Date]]&lt;&gt;"",TRUNC(SnapshotTable[[#This Row],[Last Price]]),"")</f>
        <v/>
      </c>
      <c r="BS14" s="36"/>
      <c r="BT14" s="147"/>
      <c r="BU14" s="13"/>
      <c r="BV14" s="5"/>
      <c r="BW14" s="419" t="b">
        <f>AND(ISNUMBER(SnapshotTable[[#This Row],[SP Exp Date]]), ISNUMBER(SnapshotTable[[#This Row],[SP Strike Price]]), ISNUMBER(SnapshotTable[[#This Row],[SP Qty]]), ISNUMBER(SnapshotTable[[#This Row],[SP Book Date]]), ISNUMBER(SnapshotTable[[#This Row],[SP Book Price]]))</f>
        <v>0</v>
      </c>
      <c r="BX14" s="419" t="b">
        <f>AND(SnapshotTable[[#This Row],[SP Is Booked]], NOT(ISBLANK(SnapshotTable[[#This Row],[SP Fill Date]])))</f>
        <v>0</v>
      </c>
      <c r="BY14" s="33">
        <f>IF(SnapshotTable[[#This Row],[SP Is Booked]], SnapshotTable[[#This Row],[SP Qty]] * SnapshotTable[[#This Row],[SP Book Price]] * 100, 0)</f>
        <v>0</v>
      </c>
      <c r="BZ14" s="369"/>
      <c r="CA14" s="368">
        <f>SnapshotTable[[#This Row],[LP Qty]]</f>
        <v>0</v>
      </c>
      <c r="CB14" s="4" t="str">
        <f>IF(SnapshotTable[[#This Row],[SP Is Booked]], SnapshotTable[[#This Row],[SP Strike Price]] - SnapshotTable[[#This Row],[SP Book Price]], "")</f>
        <v/>
      </c>
      <c r="CC14" s="19" t="str">
        <f>IF(SnapshotTable[[#This Row],[SP Is Booked]],SnapshotTable[[#This Row],[SP Exp Date]]-MAX(SnapshotTable[[#This Row],[SP Book Date]], SnapshotTable[[#This Row],[SP Fill Date]]),"")</f>
        <v/>
      </c>
      <c r="CD14" s="7" t="str">
        <f>IF(SnapshotTable[[#This Row],[SP Is Booked]], SnapshotTable[[#This Row],[SP Book Price]]/SnapshotTable[[#This Row],[SP Strike Price]], "")</f>
        <v/>
      </c>
      <c r="CE14" s="7" t="str">
        <f>IF(ISNUMBER(SnapshotTable[[#This Row],[SP ROO Term]]),SnapshotTable[[#This Row],[SP ROO Term]]*(365/SnapshotTable[[#This Row],[SP Term]]),"")</f>
        <v/>
      </c>
      <c r="CF14" s="236">
        <f>SnapshotTable[[#This Row],[LP Strike Price]] * SnapshotTable[[#This Row],[LP Qty]] * 100</f>
        <v>0</v>
      </c>
      <c r="CG14" s="31" t="e">
        <f>IF(ISNUMBER(SnapshotTable[[#This Row],[SP Premium]]), (SnapshotTable[[#This Row],[SP Qty]] * SnapshotTable[[#This Row],[SP Strike Price]]* 100) - SnapshotTable[[#This Row],[LP Protection]], 0)</f>
        <v>#VALUE!</v>
      </c>
      <c r="CH14" s="7" t="str">
        <f>IF(ISNUMBER(SnapshotTable[[#This Row],[SP Break Even]]),-1 * (SnapshotTable[[#This Row],[SP Break Even]] - SnapshotTable[[#This Row],[Last Price]]) / SnapshotTable[[#This Row],[Last Price]], "")</f>
        <v/>
      </c>
      <c r="CI14" s="31">
        <f>IF(AND(ISNUMBER((SnapshotTable[[#This Row],[SP Potential Spend]])), SnapshotTable[[#This Row],[SP Strike Price]] &gt; SnapshotTable[[#This Row],[Last Price]], SnapshotTable[[#This Row],[SP Is Filled]]), SnapshotTable[[#This Row],[SP Potential Spend]] -  SnapshotTable[[#This Row],[LP Max Value]], 0)</f>
        <v>0</v>
      </c>
      <c r="CJ14" s="244"/>
      <c r="CK14" s="31" t="str">
        <f>IF(ISNUMBER(SnapshotTable[[#This Row],[SP Potential Spend]]),IF(ISNUMBER(SnapshotTable[[#This Row],[SP POW]]), SnapshotTable[[#This Row],[SP POW]] * SnapshotTable[[#This Row],[SP Potential Spend]], SnapshotTable[[#This Row],[SP Potential Spend]]), "")</f>
        <v/>
      </c>
      <c r="CL14" s="164" t="e">
        <f>IF(NOT(SnapshotTable[[#This Row],[SP Is Filled]]),(SnapshotTable[[#This Row],[SP Qty]] * SnapshotTable[[#This Row],[SP Strike Price]] * 100) - SnapshotTable[[#This Row],[LP Max Value]],"")</f>
        <v>#VALUE!</v>
      </c>
      <c r="CM14" s="31" t="str">
        <f>IF(SnapshotTable[[#This Row],[SP Actual Spend]]&lt;&gt;0, ((SnapshotTable[[#This Row],[SP Strike Price]]-SnapshotTable[[#This Row],[Last Price]]) *(SnapshotTable[[#This Row],[SP Qty]]*100) - SnapshotTable[[#This Row],[SP Premium]]) * - 1, "")</f>
        <v/>
      </c>
      <c r="CN14" s="154"/>
      <c r="CO14" s="369"/>
      <c r="CP14" s="4" t="str">
        <f>IF(SnapshotTable[[#This Row],[SP Is Filled]], btc_max_buyback_amount(SnapshotTable[[#This Row],[SP Fill Date]],SnapshotTable[[#This Row],[SP Exp Date]], SnapshotTable[[#This Row],[SP Book Price]]),"")</f>
        <v/>
      </c>
      <c r="CQ14" s="78"/>
      <c r="CR1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 s="155" t="str">
        <f>IF(SnapshotTable[[#This Row],[SP Is Filled]], btc_next_cutoff_date(SnapshotTable[[#This Row],[SP Fill Date]],SnapshotTable[[#This Row],[SP Exp Date]]),"")</f>
        <v/>
      </c>
      <c r="CT14" s="235" t="str" cm="1">
        <f t="array" ref="CT14">IF(SnapshotTable[[#This Row],[SP Is Filled]], btc_should_buy_back(SnapshotTable[[#This Row],[SP Fill Date]], SnapshotTable[[#This Row],[SP Exp Date]], SnapshotTable[[#This Row],[SP Book Price]], SnapshotTable[[#This Row],[SP Current Ask]], MockToday, SnapshotTable[[#This Row],[SP Buyback Override]]),"")</f>
        <v/>
      </c>
      <c r="CU14" s="156"/>
      <c r="CV14" s="235" t="s">
        <v>827</v>
      </c>
      <c r="CW14" s="378" t="str">
        <f>IF(ISNUMBER( SnapshotTable[[#This Row],[SP Term]]), SnapshotTable[[#This Row],[SP Exp Date]] - MockToday,"")</f>
        <v/>
      </c>
      <c r="CX14" s="31" t="str">
        <f>IF(SnapshotTable[[#This Row],[SP Is Filled]],SnapshotTable[[#This Row],[SP Buyback Price to Use]] * 100 * SnapshotTable[[#This Row],[SP Qty]], "")</f>
        <v/>
      </c>
      <c r="CY14" s="4" t="str">
        <f>IF(ISNUMBER(SnapshotTable[[#This Row],[SP Strike Price]]), SnapshotTable[[#This Row],[SP Strike Price]] * (1 - SP_MaxLoss_StrikePct), "")</f>
        <v/>
      </c>
      <c r="CZ14" s="31" t="str">
        <f>IF(ISNUMBER(SnapshotTable[[#This Row],[SP Strike  Stop Per Share]]),SnapshotTable[[#This Row],[SP Premium]] - ((SnapshotTable[[#This Row],[SP Strike Price]]-SnapshotTable[[#This Row],[SP Strike  Stop Per Share]]) *(SnapshotTable[[#This Row],[SP Qty]] * 100)),"")</f>
        <v/>
      </c>
      <c r="DA14" s="4" t="str">
        <f>IF(AND(ISNUMBER(SnapshotTable[[#This Row],[SP Premium]]),SnapshotTable[[#This Row],[SP Premium]]&gt;0), SnapshotTable[[#This Row],[SP Book Price]] * (1 + SP_MaxLoss_OptionPct), "")</f>
        <v/>
      </c>
      <c r="DB14" s="31" t="str">
        <f>IF(ISNUMBER(SnapshotTable[[#This Row],[SP Option  Stop Contract]]),(SnapshotTable[[#This Row],[SP Option  Stop Contract]] *(SnapshotTable[[#This Row],[SP Qty]] * 100) - SnapshotTable[[#This Row],[SP Premium]]),"")</f>
        <v/>
      </c>
      <c r="DC14" s="4"/>
      <c r="DD14" s="4"/>
      <c r="DE14" s="4" t="str">
        <f>IF(AND(SnapshotTable[[#This Row],[SP Qty]]&gt;0, SnapshotTable[[#This Row],[SP Stop To Use]]&gt;0),SnapshotTable[[#This Row],[SP Premium]] - ( SnapshotTable[[#This Row],[SP Qty]] * SnapshotTable[[#This Row],[SP Stop To Use]] * 100), "")</f>
        <v/>
      </c>
      <c r="DF14" s="31" t="str">
        <f>IF(AND(SnapshotTable[[#This Row],[SP Qty]]&gt;0,SnapshotTable[[#This Row],[SP Current Ask]]&gt;0), SnapshotTable[[#This Row],[SP Qty]] * SnapshotTable[[#This Row],[SP Current Ask]] * -100, "")</f>
        <v/>
      </c>
      <c r="DG14" s="31" t="str">
        <f>IF(ISNUMBER((SnapshotTable[[#This Row],[SP Total Value]])), SnapshotTable[[#This Row],[SP Premium]] + SnapshotTable[[#This Row],[SP Total Value]], "")</f>
        <v/>
      </c>
      <c r="DH14" s="294" t="str">
        <f>IF(ISNUMBER((SnapshotTable[[#This Row],[SP Total Value]])), SnapshotTable[[#This Row],[SP Gain Loss]] / SnapshotTable[[#This Row],[SP Premium]], "")</f>
        <v/>
      </c>
      <c r="DI14" s="406"/>
      <c r="DJ14" s="138"/>
      <c r="DK14" s="148"/>
      <c r="DL14" s="147"/>
      <c r="DM14" s="147"/>
      <c r="DO14" s="31">
        <f>IF(SnapshotTable[[#This Row],[LC Symbol Count]]=1, SnapshotTable[[#This Row],[LC Qty]] * SnapshotTable[[#This Row],[LC Book Price]] * 100, 0)</f>
        <v>0</v>
      </c>
      <c r="DP14" s="289" t="str">
        <f>IF(AND(SnapshotTable[[#This Row],[LC Exp Date]]&gt;0, SnapshotTable[[#This Row],[LC Strike Price]]&gt;0,SnapshotTable[[#This Row],[LC Qty]]&gt;0,SnapshotTable[[#This Row],[LC Book Date]]&gt;0,SnapshotTable[[#This Row],[LC Book Price]]&gt;0,SnapshotTable[[#This Row],[LC Fill Date]]=0),"Y","")</f>
        <v/>
      </c>
      <c r="DQ14" s="386" t="str">
        <f>IF(SnapshotTable[[#This Row],[LC Premium]] &gt; 0,SnapshotTable[[#This Row],[LC Exp Date]]-MAX(SnapshotTable[[#This Row],[LC Book Date]], SnapshotTable[[#This Row],[LC Fill Date]]),"")</f>
        <v/>
      </c>
      <c r="DR14" s="386" t="str">
        <f>IF(ISNUMBER(SnapshotTable[[#This Row],[LC Term]]), SnapshotTable[[#This Row],[LC Exp Date]] - MockToday, "")</f>
        <v/>
      </c>
      <c r="DS14" s="234" t="str">
        <f>IF(SnapshotTable[[#This Row],[LC Premium]]&gt;0,SnapshotTable[[#This Row],[LC Strike Price]] + SnapshotTable[[#This Row],[LC Book Price]],"")</f>
        <v/>
      </c>
      <c r="DU14" s="9" t="str">
        <f>IF(AND(SnapshotTable[[#This Row],[LC Symbol Count]]&gt;0, SnapshotTable[[#This Row],[LC Contract Value]]&gt;0), SnapshotTable[[#This Row],[LC Contract Value]] * SnapshotTable[[#This Row],[LC Qty]] * 100, "")</f>
        <v/>
      </c>
      <c r="DV14" s="9" t="str">
        <f>IF(AND(ISNUMBER(SnapshotTable[[#This Row],[LC Total Value]]), SnapshotTable[[#This Row],[LC Not Filled]]&lt;&gt;"Y"), SnapshotTable[[#This Row],[LC Total Value]]-SnapshotTable[[#This Row],[LC Premium]],"")</f>
        <v/>
      </c>
      <c r="DW14" s="240" t="str">
        <f>IF(ISNUMBER(SnapshotTable[[#This Row],[LC Actual Gain Loss]]), SnapshotTable[[#This Row],[LC Actual Gain Loss]] / SnapshotTable[[#This Row],[LC Premium]],"")</f>
        <v/>
      </c>
      <c r="DX14" s="284" t="str">
        <f>IF(ISNUMBER(SnapshotTable[[#This Row],[LC Book Price]]),SnapshotTable[[#This Row],[LC Book Price]] * 1.5,"")</f>
        <v/>
      </c>
      <c r="DY14" s="265" t="str">
        <f>IF(SnapshotTable[[#This Row],[LC Premium]]&gt;0, SnapshotTable[[#This Row],[LC Next Target]] * SnapshotTable[[#This Row],[LC Qty]] * 100,"")</f>
        <v/>
      </c>
      <c r="DZ14" s="265" t="str">
        <f>IF(ISNUMBER(SnapshotTable[[#This Row],[LC Target Gross]]), SnapshotTable[[#This Row],[LC Target Gross]] - SnapshotTable[[#This Row],[LC Premium]], "")</f>
        <v/>
      </c>
      <c r="EA14" s="305" t="str">
        <f>IF(ISNUMBER(SnapshotTable[[#This Row],[LC Target Gain Loss]]), SnapshotTable[[#This Row],[LC Target Gain Loss]]/SnapshotTable[[#This Row],[LC Premium]], "")</f>
        <v/>
      </c>
      <c r="EB14" s="262"/>
      <c r="EC14" s="283" t="str">
        <f>IF(SnapshotTable[[#This Row],[LC Premium]]&gt;0, SnapshotTable[[#This Row],[LC Book Price]] * (1 - LC_StopLoss_Pct),"")</f>
        <v/>
      </c>
      <c r="ED14" s="284"/>
      <c r="EE14" s="283" t="str">
        <f>IF(ISNUMBER(SnapshotTable[[#This Row],[LC Contract Value]]),IF(ISNUMBER(SnapshotTable[[#This Row],[LC Stop Loss Override]]), SnapshotTable[[#This Row],[LC Stop Loss Override]],SnapshotTable[[#This Row],[LC Stop Loss Calc Target]]),"")</f>
        <v/>
      </c>
      <c r="EF14" s="31" t="str">
        <f>IF(ISNUMBER(SnapshotTable[[#This Row],[LC Stop  To Use]]), (SnapshotTable[[#This Row],[LC Stop  To Use]] * SnapshotTable[[#This Row],[LC Qty]] * 100),"")</f>
        <v/>
      </c>
      <c r="EG14" s="9" t="str">
        <f>IF(ISNUMBER(SnapshotTable[[#This Row],[LC Total Value]]),SnapshotTable[[#This Row],[LC Stop Loss Amount]] - SnapshotTable[[#This Row],[LC Premium]],"")</f>
        <v/>
      </c>
      <c r="EH14" s="9">
        <f>IF(ISNUMBER(SnapshotTable[[#This Row],[LC Premium]]), SnapshotTable[[#This Row],[LC Qty]] * 100 * SnapshotTable[[#This Row],[LC Strike Price]], "")</f>
        <v>0</v>
      </c>
      <c r="EI14" s="240" t="str">
        <f>IF(AND(ISNUMBER(SnapshotTable[[#This Row],[LC Total Value]]),SnapshotTable[[#This Row],[LC Total Value]]&gt;0),SnapshotTable[[#This Row],[LC Stop Gain Loss]]  / SnapshotTable[[#This Row],[LC Premium]],"")</f>
        <v/>
      </c>
      <c r="EJ14" s="35">
        <f>IF(ISNUMBER(SnapshotTable[[#This Row],[Equity Shares]]),TRUNC(SnapshotTable[[#This Row],[Equity Shares]] / 100),0) + SnapshotTable[[#This Row],[LC Qty]]</f>
        <v>0</v>
      </c>
      <c r="EK14" s="147"/>
      <c r="EL14" s="138" t="str">
        <f>IF(SnapshotTable[[#This Row],[SC Exp Date]]&lt;&gt;"",TRUNC(SnapshotTable[[#This Row],[Last Price]]),"")</f>
        <v/>
      </c>
      <c r="EM14" s="148"/>
      <c r="EN14" s="147"/>
      <c r="EO14" s="147"/>
      <c r="EP14" s="138"/>
      <c r="EQ14" s="419" t="b">
        <f>AND(ISNUMBER(SnapshotTable[[#This Row],[SC Exp Date]]), ISNUMBER(SnapshotTable[[#This Row],[SC Strike Price]]), ISNUMBER(SnapshotTable[[#This Row],[SC Qty]]), ISNUMBER(SnapshotTable[[#This Row],[SC Book Date]]), ISNUMBER(SnapshotTable[[#This Row],[SC Book Price]]))</f>
        <v>0</v>
      </c>
      <c r="ER14" s="419" t="b">
        <f>AND(SnapshotTable[[#This Row],[SC Is Booked]], NOT(ISBLANK(SnapshotTable[[#This Row],[SC Fill Date]])))</f>
        <v>0</v>
      </c>
      <c r="ES14" s="370"/>
      <c r="ET14" s="34" t="str">
        <f>IF(AND(ISNUMBER(SnapshotTable[[#This Row],[SC Exp Date]]), ISNUMBER(SnapshotTable[[#This Row],[SC Book Date]])), SnapshotTable[[#This Row],[SC Exp Date]] - MAX(SnapshotTable[[#This Row],[SC Book Date]], SnapshotTable[[#This Row],[SC Fill Date]]) + 1, "")</f>
        <v/>
      </c>
      <c r="EU14" s="34" t="str">
        <f>IF(ISNUMBER(SnapshotTable[[#This Row],[SC Term]]), SnapshotTable[[#This Row],[SC Exp Date]]- MockToday, "")</f>
        <v/>
      </c>
      <c r="EV14" s="31">
        <f>IF(SnapshotTable[[#This Row],[SC Is Booked]], SnapshotTable[[#This Row],[SC Qty]] * SnapshotTable[[#This Row],[SC Book Price]] * 100, 0)</f>
        <v>0</v>
      </c>
      <c r="EW14" s="4" t="str">
        <f>IF(AND(ISNUMBER(SnapshotTable[[#This Row],[Last Price]]), ISNUMBER( SnapshotTable[[#This Row],[SC Book Price]])), SnapshotTable[[#This Row],[Last Price]] - SnapshotTable[[#This Row],[SC Book Price]],"")</f>
        <v/>
      </c>
      <c r="EX14" s="234" t="str">
        <f>IF(SnapshotTable[[#This Row],[SC Is Booked]],IF(SnapshotTable[[#This Row],[SC Intrinsic Value]] &gt; 0, SnapshotTable[[#This Row],[SC Strike Price]], SnapshotTable[[#This Row],[Last Price]]), "")</f>
        <v/>
      </c>
      <c r="EY14" s="4">
        <f>IF(SnapshotTable[[#This Row],[SC Is Booked]], (MinimumPremiumRequired * SnapshotTable[[#This Row],[SC Basis]] * SnapshotTable[[#This Row],[SC Term]]), 0)</f>
        <v>0</v>
      </c>
      <c r="EZ14" s="283"/>
      <c r="FA14" s="218"/>
      <c r="FB14" s="370"/>
      <c r="FC14" s="4">
        <f>IF(SnapshotTable[[#This Row],[SC Is Filled]], btc_max_buyback_amount(SnapshotTable[[#This Row],[SC Fill Date]],SnapshotTable[[#This Row],[SC Exp Date]], SnapshotTable[[#This Row],[SC Book Price]]),0)</f>
        <v>0</v>
      </c>
      <c r="FD14" s="5"/>
      <c r="FE14" s="144" t="str">
        <f>IF(SnapshotTable[[#This Row],[SC Is Filled]], btc_next_cutoff_date(SnapshotTable[[#This Row],[SC Fill Date]],SnapshotTable[[#This Row],[SC Exp Date]]),"")</f>
        <v/>
      </c>
      <c r="FF14" s="4" t="str" cm="1">
        <f t="array" ref="FF14">IF(SnapshotTable[[#This Row],[SC Is Filled]], btc_should_buy_back(SnapshotTable[[#This Row],[SC Fill Date]], SnapshotTable[[#This Row],[SC Exp Date]], SnapshotTable[[#This Row],[SC Book Price]], SnapshotTable[[#This Row],[SC Current Ask]], MockToday, SnapshotTable[[#This Row],[SC Buyback Override]]),"")</f>
        <v/>
      </c>
      <c r="FG14" s="4">
        <f>IF(SnapshotTable[[#This Row],[SC Is Filled]], MAX(0,SnapshotTable[[#This Row],[Last Price]]  - SnapshotTable[[#This Row],[SC Strike Price]]), 0)</f>
        <v>0</v>
      </c>
      <c r="FH14" s="382">
        <f>IF(SnapshotTable[[#This Row],[SC Is Filled]], IF(ISNUMBER(SnapshotTable[[#This Row],[SC Current Ask]]), SnapshotTable[[#This Row],[SC Current Ask]], SnapshotTable[[#This Row],[SC Book Price]]) - SnapshotTable[[#This Row],[SC Intrinsic Value]], 0)</f>
        <v>0</v>
      </c>
      <c r="FI14" s="143"/>
      <c r="FJ14" s="32" t="str">
        <f>IF(SnapshotTable[[#This Row],[SC Is Filled]],100 * SnapshotTable[[#This Row],[SC Qty]] * IF(ISNUMBER(SnapshotTable[[#This Row],[SC Buyback Override]]), SnapshotTable[[#This Row],[SC Buyback Override]], SnapshotTable[[#This Row],[SC Current Ask]]), "")</f>
        <v/>
      </c>
      <c r="FK14" s="250" t="str">
        <f>IF(SnapshotTable[[#This Row],[SC Time Val]]&gt;0, SnapshotTable[[#This Row],[SC Time Val]] / SnapshotTable[[#This Row],[Last Price]],"")</f>
        <v/>
      </c>
      <c r="FL14" s="302" t="str">
        <f>IF(SnapshotTable[[#This Row],[SC Is Booked]], ((SnapshotTable[[#This Row],[Last Price]] -SnapshotTable[[#This Row],[SC Strike Price]]) / SnapshotTable[[#This Row],[Last Price]]) * -1, "")</f>
        <v/>
      </c>
      <c r="FM14" s="157" t="str">
        <f>IF(SnapshotTable[[#This Row],[SC Is Booked]],  (SnapshotTable[[#This Row],[SC Qty]] * 100 * SnapshotTable[[#This Row],[SC Strike Price]]) - SnapshotTable[[#This Row],[SC Current Ask]], "")</f>
        <v/>
      </c>
      <c r="FN14"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 s="157" t="str">
        <f>IF(AND(ISNUMBER(SnapshotTable[[#This Row],[SC Exercise Gross]]), ISNUMBER(SnapshotTable[[#This Row],[Equity Basis Per Share]] )), SnapshotTable[[#This Row],[SC Exercise Gross]] - SnapshotTable[[#This Row],[Equity Basis Total]] +  SnapshotTable[[#This Row],[SC Premium]], "")</f>
        <v/>
      </c>
      <c r="FP14" s="5" t="str">
        <f>IF(ISNUMBER(SnapshotTable[[#This Row],[SC Exercise Gross]]), (SnapshotTable[[#This Row],[SC Exercise Gross]]) / (SnapshotTable[[#This Row],[SC Qty]] * 100), "")</f>
        <v/>
      </c>
      <c r="FQ14" s="27" t="str">
        <f>IF(SnapshotTable[[#This Row],[SC Is Booked]],SnapshotTable[[#This Row],[SC Time Val]] /SnapshotTable[[#This Row],[SC Basis]], "")</f>
        <v/>
      </c>
      <c r="FR14" s="27" t="str" cm="1">
        <f t="array" ref="FR14">IF(AND(ISNUMBER(SnapshotTable[[#This Row],[SC Term]]),ISNUMBER(SnapshotTable[[#This Row],[SC Simple ROO]])), EllmanAnnualize(SnapshotTable[[#This Row],[SC DTE]], SnapshotTable[[#This Row],[SC Simple ROO]] ),"")</f>
        <v/>
      </c>
      <c r="FS14" s="4" t="e">
        <f>IF(SnapshotTable[[#This Row],[SC Strike Price]] &gt; SnapshotTable[[#This Row],[Last Price]], SnapshotTable[[#This Row],[SC Strike Price]] - SnapshotTable[[#This Row],[Last Price]],0)</f>
        <v>#VALUE!</v>
      </c>
      <c r="FT14" s="27" t="e">
        <f>IF(AND(ISNUMBER(SnapshotTable[[#This Row],[SC Upside Potential]]), SnapshotTable[[#This Row],[SC Upside Potential]] &gt; 0),(SnapshotTable[[#This Row],[SC Upside Potential]]/ SnapshotTable[[#This Row],[ACB]]),"")</f>
        <v>#VALUE!</v>
      </c>
      <c r="FU14" s="333" t="str">
        <f>IF(SnapshotTable[[#This Row],[SC Intrinsic Value]] &gt; 0,SnapshotTable[[#This Row],[SC Intrinsic Value]],"")</f>
        <v/>
      </c>
      <c r="FV14" s="27" t="str">
        <f>IF(AND( ISNUMBER( SnapshotTable[[#This Row],[ACB]]),ISNUMBER(SnapshotTable[[#This Row],[SC Downside Protect]])),SnapshotTable[[#This Row],[SC Downside Protect]] / SnapshotTable[[#This Row],[ACB]],"")</f>
        <v/>
      </c>
      <c r="FW14" s="236" t="str">
        <f>IF(AND(ISNUMBER(SnapshotTable[[#This Row],[SC Simple ROO]]),SnapshotTable[[#This Row],[SC Simple ROO]] &gt; 0), SnapshotTable[[#This Row],[SC Premium]] + (SnapshotTable[[#This Row],[SC Qty]] * SnapshotTable[[#This Row],[SC Upside Potential]]), "")</f>
        <v/>
      </c>
      <c r="FX14" s="302" t="str" cm="1">
        <f t="array" ref="FX14">IF(ISNUMBER(SnapshotTable[[#This Row],[SC Max Dollars]]), annualize(SnapshotTable[[#This Row],[SC Term]],(SnapshotTable[[#This Row],[SC Max Dollars]]/SnapshotTable[[#This Row],[SC Basis]])),"")</f>
        <v/>
      </c>
      <c r="FY14" s="236" t="str">
        <f>IF(AND(SnapshotTable[[#This Row],[SC Qty]]&gt;0,SnapshotTable[[#This Row],[SC Current Ask]]&gt;0), SnapshotTable[[#This Row],[SC Qty]] * SnapshotTable[[#This Row],[SC Current Ask]] * -100, "")</f>
        <v/>
      </c>
      <c r="FZ14" s="235" t="str">
        <f>IF(ISNUMBER((SnapshotTable[[#This Row],[SC Current Value]])), SnapshotTable[[#This Row],[SC Premium]] + SnapshotTable[[#This Row],[SC Current Value]], "")</f>
        <v/>
      </c>
      <c r="GA14" s="294" t="str">
        <f>IFERROR( IF(ISNUMBER((SnapshotTable[[#This Row],[SC Current Value]])), SnapshotTable[[#This Row],[SC Gain Loss]] / SnapshotTable[[#This Row],[SC Premium]], ""), "")</f>
        <v/>
      </c>
      <c r="GB14" s="42">
        <f>SnapshotTable[[#This Row],[Equity Shares]] * SaleSharesToConsiderPercentage</f>
        <v>0</v>
      </c>
      <c r="GC14" s="40">
        <f>SnapshotTable[[#This Row],[Long Term Target]] * SellingPriceToConsiderBasedOnTargetPercentage</f>
        <v>131.1</v>
      </c>
      <c r="GD14" s="40">
        <f>SnapshotTable[[#This Row],[Last Price]] * (1+ SellingPriceToConsiderBasedOnTargetPercentage)</f>
        <v>1077.0435</v>
      </c>
      <c r="GE14" s="41"/>
      <c r="GF14" s="40"/>
      <c r="GG14" s="31">
        <f>SnapshotTable[[#This Row],[Booked Sale Shares]] * SnapshotTable[[#This Row],[Booked Sale Price]]</f>
        <v>0</v>
      </c>
      <c r="GH14" s="31" t="str">
        <f>IF(SnapshotTable[[#This Row],[Equity Basis Total]] &gt; 0, SnapshotTable[[#This Row],[Equity Basis Per Share]] * SnapshotTable[[#This Row],[Booked Sale Shares]], "")</f>
        <v/>
      </c>
      <c r="GI14" s="31">
        <f>IF(SnapshotTable[[#This Row],[Sale Proceeds]]&gt;0, SnapshotTable[[#This Row],[Sale Proceeds]] - SnapshotTable[[#This Row],[Sale Basis]], 0)</f>
        <v>0</v>
      </c>
      <c r="GJ14" s="158" t="str">
        <f>IF(SnapshotTable[[#This Row],[Sale G/L]]&gt;0, SnapshotTable[[#This Row],[Sale G/L]] / SnapshotTable[[#This Row],[Sale Basis]], IF(ISNUMBER(SnapshotTable[[#This Row],[SC Exercise P&amp;L (TAX)]]), SnapshotTable[[#This Row],[SC Exercise P&amp;L (TAX)]] / SnapshotTable[[#This Row],[SC Basis]], ""))</f>
        <v/>
      </c>
      <c r="GK14" s="27"/>
      <c r="GL14" s="159" t="str">
        <f>IF(AND(SnapshotTable[[#This Row],[LP Exp Date]]&gt;0,SnapshotTable[[#This Row],[LP Strike Price]]&gt;0), [1]!ToOptionSymbol(SnapshotTable[[#This Row],[Symbol]], SnapshotTable[[#This Row],[LP Strike Price]],SnapshotTable[[#This Row],[LP Exp Date]],1), "")</f>
        <v/>
      </c>
      <c r="GM14" s="30" t="str">
        <f>IF(LEN(SnapshotTable[[#This Row],[LP Symbol]])&gt;0, 1, "")</f>
        <v/>
      </c>
      <c r="GN14" s="43" t="str">
        <f>IF(AND(SnapshotTable[[#This Row],[SP Exp Date]]&gt;0,SnapshotTable[[#This Row],[SP Strike Price]]&gt;0), [1]!ToOptionSymbol(SnapshotTable[[#This Row],[Symbol]], SnapshotTable[[#This Row],[SP Strike Price]],SnapshotTable[[#This Row],[SP Exp Date]],1), "")</f>
        <v/>
      </c>
      <c r="GO14" s="30" t="str">
        <f>IF(LEN(SnapshotTable[[#This Row],[SP Symbol]])&gt;0, 1, "")</f>
        <v/>
      </c>
      <c r="GP14" s="159" t="str">
        <f>IF(AND(SnapshotTable[[#This Row],[LC Exp Date]]&gt;0,SnapshotTable[[#This Row],[LC Strike Price]]&gt;0), [1]!ToOptionSymbol(SnapshotTable[[#This Row],[Symbol]], SnapshotTable[[#This Row],[LC Strike Price]],SnapshotTable[[#This Row],[LC Exp Date]],0), "")</f>
        <v/>
      </c>
      <c r="GQ14" s="160" t="str">
        <f>IF(LEN(SnapshotTable[[#This Row],[LC Symbol]])&gt;0, 1, "")</f>
        <v/>
      </c>
      <c r="GR14" s="159" t="str">
        <f>IF(AND(SnapshotTable[[#This Row],[SC Exp Date]]&gt;0,SnapshotTable[[#This Row],[SC Strike Price]]&gt;0), [1]!ToOptionSymbol(SnapshotTable[[#This Row],[Symbol]], SnapshotTable[[#This Row],[SC Strike Price]],SnapshotTable[[#This Row],[SC Exp Date]],0), "")</f>
        <v/>
      </c>
      <c r="GS14" s="160" t="str">
        <f>IF(LEN(SnapshotTable[[#This Row],[SC Symbol]])&gt;0, 1, "")</f>
        <v/>
      </c>
      <c r="GT14" s="161" t="str">
        <f>IF(COUNT(SnapshotTable[[#This Row],[LP Symbol Count]],SnapshotTable[[#This Row],[SP Symbol Count]],SnapshotTable[[#This Row],[LC Symbol Count]],SnapshotTable[[#This Row],[SC Symbol Count]])&gt;0, "Y", "")</f>
        <v/>
      </c>
      <c r="GU1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 s="231" t="e">
        <f>MAX(SnapshotTable[[#This Row],[Equity Basis Total]],SnapshotTable[[#This Row],[Equity Value]]) + (SnapshotTable[[#This Row],[SP Potential Spend]]- SnapshotTable[[#This Row],[SP Premium]] + SnapshotTable[[#This Row],[LP Premium]])+ (SnapshotTable[[#This Row],[LC Premium]] - SnapshotTable[[#This Row],[SC Premium]])</f>
        <v>#VALUE!</v>
      </c>
      <c r="GW14" s="139" t="e">
        <f>IF(AND(SnapshotTable[[#This Row],[Exposure]] &lt;&gt; 0),SnapshotTable[[#This Row],[Exposure]] / SnapshotTable[[#Totals],[Exposure]], "")</f>
        <v>#VALUE!</v>
      </c>
      <c r="HK14" s="1"/>
      <c r="HL14" s="1"/>
      <c r="HM14" s="1"/>
      <c r="HN14" s="1"/>
      <c r="HO14" s="1"/>
      <c r="HP14" s="1"/>
    </row>
    <row r="15" spans="2:224" ht="12.75" hidden="1" customHeight="1" x14ac:dyDescent="0.25">
      <c r="B15" s="12" t="s">
        <v>934</v>
      </c>
      <c r="C15" s="422">
        <v>2.66</v>
      </c>
      <c r="D15" s="208" t="s">
        <v>954</v>
      </c>
      <c r="E15" s="39">
        <f>SnapshotTable[[#This Row],[Last Price]]*(1 -CrashDiscount)</f>
        <v>2.2610000000000001</v>
      </c>
      <c r="F15" s="26" t="s">
        <v>935</v>
      </c>
      <c r="G15" s="26" t="s">
        <v>49</v>
      </c>
      <c r="H15" s="149"/>
      <c r="I15" s="194">
        <v>44784.677083333336</v>
      </c>
      <c r="J15" s="195">
        <v>44784.677083333336</v>
      </c>
      <c r="K15" s="196"/>
      <c r="L15" s="326"/>
      <c r="M15" s="140"/>
      <c r="N15" s="140"/>
      <c r="O15" s="140"/>
      <c r="P15" s="22"/>
      <c r="Q15" s="25"/>
      <c r="R15" s="4" t="str">
        <f>IF(SnapshotTable[[#This Row],[Equity Basis Total]] &gt; 0, SnapshotTable[[#This Row],[Equity Basis Total]] / SnapshotTable[[#This Row],[Equity Shares]], "")</f>
        <v/>
      </c>
      <c r="S15" s="269">
        <f>SnapshotTable[[#This Row],[Last Price]] * SnapshotTable[[#This Row],[Equity Shares]]</f>
        <v>0</v>
      </c>
      <c r="T15" s="269">
        <f>SnapshotTable[[#This Row],[Equity Value]] - SnapshotTable[[#This Row],[Equity Basis Total]]</f>
        <v>0</v>
      </c>
      <c r="U15" s="270" t="str">
        <f>IF(SnapshotTable[[#This Row],[Equity Basis Total]] &gt; 0, SnapshotTable[[#This Row],[Equity G/L]] / SnapshotTable[[#This Row],[Equity Basis Total]], "")</f>
        <v/>
      </c>
      <c r="V15" s="268"/>
      <c r="W15" s="268"/>
      <c r="X15" s="4" t="str">
        <f>IF(AND(ISNUMBER(SnapshotTable[[#This Row],[Equity Basis Per Share]]),ISNUMBER(SnapshotTable[[#This Row],[Equity Target]])),SnapshotTable[[#This Row],[Equity Target]]-SnapshotTable[[#This Row],[Equity Basis Per Share]],"")</f>
        <v/>
      </c>
      <c r="Y15" s="4" t="str">
        <f>IF(AND(ISNUMBER(SnapshotTable[[#This Row],[Equity Basis Per Share]]),ISNUMBER(SnapshotTable[[#This Row],[Equity Stop Loss]])),SnapshotTable[[#This Row],[Equity Stop Loss]]-SnapshotTable[[#This Row],[Equity Basis Per Share]],"")</f>
        <v/>
      </c>
      <c r="Z15" s="275" t="str">
        <f>IFERROR( TEXT(SnapshotTable[[#This Row],[Equity Max Gain Per Share]] /ABS( SnapshotTable[[#This Row],[Equity Max Loss Per Share]]),"0.0 " ) &amp; " : 1", "")</f>
        <v/>
      </c>
      <c r="AA15" s="31" t="str">
        <f>IF(ISNUMBER(SnapshotTable[[#This Row],[Equity Max Gain Per Share]]),SnapshotTable[[#This Row],[Equity Max Gain Per Share]] * SnapshotTable[[#This Row],[Equity Shares]],"")</f>
        <v/>
      </c>
      <c r="AB15" s="31" t="str">
        <f>IF(ISNUMBER(SnapshotTable[[#This Row],[Equity Max Loss Per Share]]),SnapshotTable[[#This Row],[Equity Max Loss Per Share]] * SnapshotTable[[#This Row],[Equity Shares]],"")</f>
        <v/>
      </c>
      <c r="AC15" s="150"/>
      <c r="AD15" s="151"/>
      <c r="AE15" s="31">
        <f>(SnapshotTable[[#This Row],[Annual Dividend Per Share]] / 4) * SnapshotTable[[#This Row],[Equity Shares]]</f>
        <v>0</v>
      </c>
      <c r="AF15" s="31">
        <f>SnapshotTable[[#This Row],[Quarterly Div $]] * 4</f>
        <v>0</v>
      </c>
      <c r="AG15" s="7">
        <f>IF(SnapshotTable[[#This Row],[Annual Dividend Per Share]]&gt;0, SnapshotTable[[#This Row],[Annual Dividend Per Share]]  / SnapshotTable[[#This Row],[Last Price]], 0)</f>
        <v>0</v>
      </c>
      <c r="AH15" s="151"/>
      <c r="AI15" s="5"/>
      <c r="AJ15" s="138" t="s">
        <v>164</v>
      </c>
      <c r="AK15" s="152" t="str">
        <f>IF(ISNUMBER( SnapshotTable[[#This Row],[EBF Target]]),(SnapshotTable[[#This Row],[EBF Target]] - SnapshotTable[[#This Row],[Last Price]]) / SnapshotTable[[#This Row],[Last Price]], "")</f>
        <v/>
      </c>
      <c r="AL15" s="152" t="str">
        <f>IF(AND(SnapshotTable[[#This Row],[Equity Basis Total]] &gt; 0,ISNUMBER( SnapshotTable[[#This Row],[Long Term Target]])), SnapshotTable[[#This Row],[From Basis $]] / SnapshotTable[[#This Row],[Equity Basis Total]], "")</f>
        <v/>
      </c>
      <c r="AM15" s="9">
        <f>IF( AND(SnapshotTable[[#This Row],[Equity Shares]] &gt;0,ISNUMBER( SnapshotTable[[#This Row],[Long Term Target]])),(SnapshotTable[[#This Row],[Equity Shares]] * SnapshotTable[[#This Row],[Long Term Target]]) - SnapshotTable[[#This Row],[Equity Basis Total]],0)</f>
        <v>0</v>
      </c>
      <c r="AN15" s="9">
        <f>IF( AND(SnapshotTable[[#This Row],[Equity Shares]] &gt;0,ISNUMBER( SnapshotTable[[#This Row],[Long Term Target]])),(SnapshotTable[[#This Row],[Equity Shares]]*SnapshotTable[[#This Row],[Long Term Target]]) - SnapshotTable[[#This Row],[Equity Value]],0)</f>
        <v>0</v>
      </c>
      <c r="AO15" s="5" t="str">
        <f>IF(AND(ISNUMBER( SnapshotTable[[#This Row],[Long Term Target]]), ISNUMBER(SnapshotTable[[#This Row],[Last Price]])),(SnapshotTable[[#This Row],[Long Term Target]] - SnapshotTable[[#This Row],[Last Price]]) / SnapshotTable[[#This Row],[Last Price]], "")</f>
        <v/>
      </c>
      <c r="AP15" s="5">
        <v>15</v>
      </c>
      <c r="AQ15" s="38" t="s">
        <v>27</v>
      </c>
      <c r="AR15" s="5">
        <v>15</v>
      </c>
      <c r="AS15" s="38" t="s">
        <v>38</v>
      </c>
      <c r="AT15" s="146" t="s">
        <v>542</v>
      </c>
      <c r="AU15" s="187" t="str">
        <f>IF(OR(SnapshotTable[[#This Row],[LP No Fill]]="Y",SnapshotTable[[#This Row],[SP Is Filled]],SnapshotTable[[#This Row],[LC Not Filled]]="Y",SnapshotTable[[#This Row],[SC Is Filled]]),"Y","")</f>
        <v/>
      </c>
      <c r="AV15" s="219"/>
      <c r="AW15" s="225"/>
      <c r="AX15" s="220"/>
      <c r="AY15" s="219" t="str">
        <f>IF(SnapshotTable[[#This Row],[Implied Move]]&gt;0, SnapshotTable[[#This Row],[Last Price]]-SnapshotTable[[#This Row],[Implied Move]],"")</f>
        <v/>
      </c>
      <c r="AZ15" s="219" t="str">
        <f>IF(SnapshotTable[[#This Row],[Implied Move]]&gt;0, SnapshotTable[[#This Row],[Last Price]] + SnapshotTable[[#This Row],[Implied Move]],"")</f>
        <v/>
      </c>
      <c r="BA15" s="331"/>
      <c r="BB15" s="347"/>
      <c r="BC1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 s="351"/>
      <c r="BE15" s="5"/>
      <c r="BF15" s="14"/>
      <c r="BG15" s="13"/>
      <c r="BH15" s="13"/>
      <c r="BI15" s="5"/>
      <c r="BJ15" s="136">
        <f>IF(SnapshotTable[[#This Row],[LP Qty]] &gt; 0, SnapshotTable[[#This Row],[LP Qty]] * SnapshotTable[[#This Row],[LP Book Price]] * 100,0)</f>
        <v>0</v>
      </c>
      <c r="BK15" s="136">
        <f>IF(SnapshotTable[[#This Row],[LP Premium]] &gt; 0, SnapshotTable[[#This Row],[LP Qty]] * SnapshotTable[[#This Row],[LP Strike Price]] * 100,0)</f>
        <v>0</v>
      </c>
      <c r="BL15" s="154"/>
      <c r="BM15" s="385" t="str">
        <f>IF(SnapshotTable[[#This Row],[LP Premium]] &gt; 0,SnapshotTable[[#This Row],[LP Exp Date]]-MAX(SnapshotTable[[#This Row],[LP Book Date]], SnapshotTable[[#This Row],[LP Fill Date]]),"")</f>
        <v/>
      </c>
      <c r="BN15" s="385" t="str">
        <f>IF(ISNUMBER( SnapshotTable[[#This Row],[LP Term]]), SnapshotTable[[#This Row],[LP Exp Date]] - MockToday,"")</f>
        <v/>
      </c>
      <c r="BO15" s="163" t="str">
        <f>IF(AND(SnapshotTable[[#This Row],[LP Exp Date]]&gt;0, SnapshotTable[[#This Row],[LP Strike Price]]&gt;0,SnapshotTable[[#This Row],[LP Qty]]&gt;0,SnapshotTable[[#This Row],[LP Book Date]]&gt;0,SnapshotTable[[#This Row],[LP Book Price]]&gt;0,SnapshotTable[[#This Row],[LP Fill Date]]=0),"Y","")</f>
        <v/>
      </c>
      <c r="BP15" s="31" t="str">
        <f>IF(AND(SnapshotTable[[#This Row],[LP No Fill]]&lt;&gt;"Y",SnapshotTable[[#This Row],[LP Contract Value]]&gt;0, SnapshotTable[[#This Row],[LP Qty]]&gt;0), SnapshotTable[[#This Row],[LP Contract Value]]*SnapshotTable[[#This Row],[LP Qty]]*100,"")</f>
        <v/>
      </c>
      <c r="BQ15" s="13"/>
      <c r="BR15" s="5" t="str">
        <f>IF(SnapshotTable[[#This Row],[SP Exp Date]]&lt;&gt;"",TRUNC(SnapshotTable[[#This Row],[Last Price]]),"")</f>
        <v/>
      </c>
      <c r="BS15" s="36"/>
      <c r="BT15" s="147"/>
      <c r="BU15" s="13"/>
      <c r="BV15" s="5"/>
      <c r="BW15" s="419" t="b">
        <f>AND(ISNUMBER(SnapshotTable[[#This Row],[SP Exp Date]]), ISNUMBER(SnapshotTable[[#This Row],[SP Strike Price]]), ISNUMBER(SnapshotTable[[#This Row],[SP Qty]]), ISNUMBER(SnapshotTable[[#This Row],[SP Book Date]]), ISNUMBER(SnapshotTable[[#This Row],[SP Book Price]]))</f>
        <v>0</v>
      </c>
      <c r="BX15" s="419" t="b">
        <f>AND(SnapshotTable[[#This Row],[SP Is Booked]], NOT(ISBLANK(SnapshotTable[[#This Row],[SP Fill Date]])))</f>
        <v>0</v>
      </c>
      <c r="BY15" s="33">
        <f>IF(SnapshotTable[[#This Row],[SP Is Booked]], SnapshotTable[[#This Row],[SP Qty]] * SnapshotTable[[#This Row],[SP Book Price]] * 100, 0)</f>
        <v>0</v>
      </c>
      <c r="BZ15" s="369"/>
      <c r="CA15" s="368">
        <f>SnapshotTable[[#This Row],[LP Qty]]</f>
        <v>0</v>
      </c>
      <c r="CB15" s="4" t="str">
        <f>IF(SnapshotTable[[#This Row],[SP Is Booked]], SnapshotTable[[#This Row],[SP Strike Price]] - SnapshotTable[[#This Row],[SP Book Price]], "")</f>
        <v/>
      </c>
      <c r="CC15" s="19" t="str">
        <f>IF(SnapshotTable[[#This Row],[SP Is Booked]],SnapshotTable[[#This Row],[SP Exp Date]]-MAX(SnapshotTable[[#This Row],[SP Book Date]], SnapshotTable[[#This Row],[SP Fill Date]]),"")</f>
        <v/>
      </c>
      <c r="CD15" s="7" t="str">
        <f>IF(SnapshotTable[[#This Row],[SP Is Booked]], SnapshotTable[[#This Row],[SP Book Price]]/SnapshotTable[[#This Row],[SP Strike Price]], "")</f>
        <v/>
      </c>
      <c r="CE15" s="7" t="str">
        <f>IF(ISNUMBER(SnapshotTable[[#This Row],[SP ROO Term]]),SnapshotTable[[#This Row],[SP ROO Term]]*(365/SnapshotTable[[#This Row],[SP Term]]),"")</f>
        <v/>
      </c>
      <c r="CF15" s="236">
        <f>SnapshotTable[[#This Row],[LP Strike Price]] * SnapshotTable[[#This Row],[LP Qty]] * 100</f>
        <v>0</v>
      </c>
      <c r="CG15" s="31" t="e">
        <f>IF(ISNUMBER(SnapshotTable[[#This Row],[SP Premium]]), (SnapshotTable[[#This Row],[SP Qty]] * SnapshotTable[[#This Row],[SP Strike Price]]* 100) - SnapshotTable[[#This Row],[LP Protection]], 0)</f>
        <v>#VALUE!</v>
      </c>
      <c r="CH15" s="7" t="str">
        <f>IF(ISNUMBER(SnapshotTable[[#This Row],[SP Break Even]]),-1 * (SnapshotTable[[#This Row],[SP Break Even]] - SnapshotTable[[#This Row],[Last Price]]) / SnapshotTable[[#This Row],[Last Price]], "")</f>
        <v/>
      </c>
      <c r="CI15" s="31">
        <f>IF(AND(ISNUMBER((SnapshotTable[[#This Row],[SP Potential Spend]])), SnapshotTable[[#This Row],[SP Strike Price]] &gt; SnapshotTable[[#This Row],[Last Price]], SnapshotTable[[#This Row],[SP Is Filled]]), SnapshotTable[[#This Row],[SP Potential Spend]] -  SnapshotTable[[#This Row],[LP Max Value]], 0)</f>
        <v>0</v>
      </c>
      <c r="CJ15" s="244"/>
      <c r="CK15" s="31" t="str">
        <f>IF(ISNUMBER(SnapshotTable[[#This Row],[SP Potential Spend]]),IF(ISNUMBER(SnapshotTable[[#This Row],[SP POW]]), SnapshotTable[[#This Row],[SP POW]] * SnapshotTable[[#This Row],[SP Potential Spend]], SnapshotTable[[#This Row],[SP Potential Spend]]), "")</f>
        <v/>
      </c>
      <c r="CL15" s="164" t="e">
        <f>IF(NOT(SnapshotTable[[#This Row],[SP Is Filled]]),(SnapshotTable[[#This Row],[SP Qty]] * SnapshotTable[[#This Row],[SP Strike Price]] * 100) - SnapshotTable[[#This Row],[LP Max Value]],"")</f>
        <v>#VALUE!</v>
      </c>
      <c r="CM15" s="31" t="str">
        <f>IF(SnapshotTable[[#This Row],[SP Actual Spend]]&lt;&gt;0, ((SnapshotTable[[#This Row],[SP Strike Price]]-SnapshotTable[[#This Row],[Last Price]]) *(SnapshotTable[[#This Row],[SP Qty]]*100) - SnapshotTable[[#This Row],[SP Premium]]) * - 1, "")</f>
        <v/>
      </c>
      <c r="CN15" s="78"/>
      <c r="CO15" s="369"/>
      <c r="CP15" s="4" t="str">
        <f>IF(SnapshotTable[[#This Row],[SP Is Filled]], btc_max_buyback_amount(SnapshotTable[[#This Row],[SP Fill Date]],SnapshotTable[[#This Row],[SP Exp Date]], SnapshotTable[[#This Row],[SP Book Price]]),"")</f>
        <v/>
      </c>
      <c r="CQ15" s="78"/>
      <c r="CR1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 s="155" t="str">
        <f>IF(SnapshotTable[[#This Row],[SP Is Filled]], btc_next_cutoff_date(SnapshotTable[[#This Row],[SP Fill Date]],SnapshotTable[[#This Row],[SP Exp Date]]),"")</f>
        <v/>
      </c>
      <c r="CT15" s="235" t="str" cm="1">
        <f t="array" ref="CT15">IF(SnapshotTable[[#This Row],[SP Is Filled]], btc_should_buy_back(SnapshotTable[[#This Row],[SP Fill Date]], SnapshotTable[[#This Row],[SP Exp Date]], SnapshotTable[[#This Row],[SP Book Price]], SnapshotTable[[#This Row],[SP Current Ask]], MockToday, SnapshotTable[[#This Row],[SP Buyback Override]]),"")</f>
        <v/>
      </c>
      <c r="CU15" s="143"/>
      <c r="CV15" s="235"/>
      <c r="CW15" s="378" t="str">
        <f>IF(ISNUMBER( SnapshotTable[[#This Row],[SP Term]]), SnapshotTable[[#This Row],[SP Exp Date]] - MockToday,"")</f>
        <v/>
      </c>
      <c r="CX15" s="31" t="str">
        <f>IF(SnapshotTable[[#This Row],[SP Is Filled]],SnapshotTable[[#This Row],[SP Buyback Price to Use]] * 100 * SnapshotTable[[#This Row],[SP Qty]], "")</f>
        <v/>
      </c>
      <c r="CY15" s="4" t="str">
        <f>IF(ISNUMBER(SnapshotTable[[#This Row],[SP Strike Price]]), SnapshotTable[[#This Row],[SP Strike Price]] * (1 - SP_MaxLoss_StrikePct), "")</f>
        <v/>
      </c>
      <c r="CZ15" s="31" t="str">
        <f>IF(ISNUMBER(SnapshotTable[[#This Row],[SP Strike  Stop Per Share]]),SnapshotTable[[#This Row],[SP Premium]] - ((SnapshotTable[[#This Row],[SP Strike Price]]-SnapshotTable[[#This Row],[SP Strike  Stop Per Share]]) *(SnapshotTable[[#This Row],[SP Qty]] * 100)),"")</f>
        <v/>
      </c>
      <c r="DA15" s="4" t="str">
        <f>IF(AND(ISNUMBER(SnapshotTable[[#This Row],[SP Premium]]),SnapshotTable[[#This Row],[SP Premium]]&gt;0), SnapshotTable[[#This Row],[SP Book Price]] * (1 + SP_MaxLoss_OptionPct), "")</f>
        <v/>
      </c>
      <c r="DB15" s="31" t="str">
        <f>IF(ISNUMBER(SnapshotTable[[#This Row],[SP Option  Stop Contract]]),(SnapshotTable[[#This Row],[SP Option  Stop Contract]] *(SnapshotTable[[#This Row],[SP Qty]] * 100) - SnapshotTable[[#This Row],[SP Premium]]),"")</f>
        <v/>
      </c>
      <c r="DC15" s="4"/>
      <c r="DD15" s="4"/>
      <c r="DE15" s="4" t="str">
        <f>IF(AND(SnapshotTable[[#This Row],[SP Qty]]&gt;0, SnapshotTable[[#This Row],[SP Stop To Use]]&gt;0),SnapshotTable[[#This Row],[SP Premium]] - ( SnapshotTable[[#This Row],[SP Qty]] * SnapshotTable[[#This Row],[SP Stop To Use]] * 100), "")</f>
        <v/>
      </c>
      <c r="DF15" s="31" t="str">
        <f>IF(AND(SnapshotTable[[#This Row],[SP Qty]]&gt;0,SnapshotTable[[#This Row],[SP Current Ask]]&gt;0), SnapshotTable[[#This Row],[SP Qty]] * SnapshotTable[[#This Row],[SP Current Ask]] * -100, "")</f>
        <v/>
      </c>
      <c r="DG15" s="31" t="str">
        <f>IF(ISNUMBER((SnapshotTable[[#This Row],[SP Total Value]])), SnapshotTable[[#This Row],[SP Premium]] + SnapshotTable[[#This Row],[SP Total Value]], "")</f>
        <v/>
      </c>
      <c r="DH15" s="294" t="str">
        <f>IF(ISNUMBER((SnapshotTable[[#This Row],[SP Total Value]])), SnapshotTable[[#This Row],[SP Gain Loss]] / SnapshotTable[[#This Row],[SP Premium]], "")</f>
        <v/>
      </c>
      <c r="DI15" s="406"/>
      <c r="DJ15" s="138"/>
      <c r="DK15" s="148"/>
      <c r="DL15" s="13"/>
      <c r="DM15" s="13"/>
      <c r="DO15" s="31">
        <f>IF(SnapshotTable[[#This Row],[LC Symbol Count]]=1, SnapshotTable[[#This Row],[LC Qty]] * SnapshotTable[[#This Row],[LC Book Price]] * 100, 0)</f>
        <v>0</v>
      </c>
      <c r="DP15" s="163" t="str">
        <f>IF(AND(SnapshotTable[[#This Row],[LC Exp Date]]&gt;0, SnapshotTable[[#This Row],[LC Strike Price]]&gt;0,SnapshotTable[[#This Row],[LC Qty]]&gt;0,SnapshotTable[[#This Row],[LC Book Date]]&gt;0,SnapshotTable[[#This Row],[LC Book Price]]&gt;0,SnapshotTable[[#This Row],[LC Fill Date]]=0),"Y","")</f>
        <v/>
      </c>
      <c r="DQ15" s="386" t="str">
        <f>IF(SnapshotTable[[#This Row],[LC Premium]] &gt; 0,SnapshotTable[[#This Row],[LC Exp Date]]-MAX(SnapshotTable[[#This Row],[LC Book Date]], SnapshotTable[[#This Row],[LC Fill Date]]),"")</f>
        <v/>
      </c>
      <c r="DR15" s="386" t="str">
        <f>IF(ISNUMBER(SnapshotTable[[#This Row],[LC Term]]), SnapshotTable[[#This Row],[LC Exp Date]] - MockToday, "")</f>
        <v/>
      </c>
      <c r="DS15" s="234" t="str">
        <f>IF(SnapshotTable[[#This Row],[LC Premium]]&gt;0,SnapshotTable[[#This Row],[LC Strike Price]] + SnapshotTable[[#This Row],[LC Book Price]],"")</f>
        <v/>
      </c>
      <c r="DU15" s="9" t="str">
        <f>IF(AND(SnapshotTable[[#This Row],[LC Symbol Count]]&gt;0, SnapshotTable[[#This Row],[LC Contract Value]]&gt;0), SnapshotTable[[#This Row],[LC Contract Value]] * SnapshotTable[[#This Row],[LC Qty]] * 100, "")</f>
        <v/>
      </c>
      <c r="DV15" s="9" t="str">
        <f>IF(AND(ISNUMBER(SnapshotTable[[#This Row],[LC Total Value]]), SnapshotTable[[#This Row],[LC Not Filled]]&lt;&gt;"Y"), SnapshotTable[[#This Row],[LC Total Value]]-SnapshotTable[[#This Row],[LC Premium]],"")</f>
        <v/>
      </c>
      <c r="DW15" s="240" t="str">
        <f>IF(ISNUMBER(SnapshotTable[[#This Row],[LC Actual Gain Loss]]), SnapshotTable[[#This Row],[LC Actual Gain Loss]] / SnapshotTable[[#This Row],[LC Premium]],"")</f>
        <v/>
      </c>
      <c r="DX15" s="284" t="str">
        <f>IF(ISNUMBER(SnapshotTable[[#This Row],[LC Book Price]]),SnapshotTable[[#This Row],[LC Book Price]] * 1.5,"")</f>
        <v/>
      </c>
      <c r="DY15" s="265" t="str">
        <f>IF(SnapshotTable[[#This Row],[LC Premium]]&gt;0, SnapshotTable[[#This Row],[LC Next Target]] * SnapshotTable[[#This Row],[LC Qty]] * 100,"")</f>
        <v/>
      </c>
      <c r="DZ15" s="265" t="str">
        <f>IF(ISNUMBER(SnapshotTable[[#This Row],[LC Target Gross]]), SnapshotTable[[#This Row],[LC Target Gross]] - SnapshotTable[[#This Row],[LC Premium]], "")</f>
        <v/>
      </c>
      <c r="EA15" s="305" t="str">
        <f>IF(ISNUMBER(SnapshotTable[[#This Row],[LC Target Gain Loss]]), SnapshotTable[[#This Row],[LC Target Gain Loss]]/SnapshotTable[[#This Row],[LC Premium]], "")</f>
        <v/>
      </c>
      <c r="EB15" s="262"/>
      <c r="EC15" s="283" t="str">
        <f>IF(SnapshotTable[[#This Row],[LC Premium]]&gt;0, SnapshotTable[[#This Row],[LC Book Price]] * (1 - LC_StopLoss_Pct),"")</f>
        <v/>
      </c>
      <c r="ED15" s="284"/>
      <c r="EE15" s="283" t="str">
        <f>IF(ISNUMBER(SnapshotTable[[#This Row],[LC Contract Value]]),IF(ISNUMBER(SnapshotTable[[#This Row],[LC Stop Loss Override]]), SnapshotTable[[#This Row],[LC Stop Loss Override]],SnapshotTable[[#This Row],[LC Stop Loss Calc Target]]),"")</f>
        <v/>
      </c>
      <c r="EF15" s="31" t="str">
        <f>IF(ISNUMBER(SnapshotTable[[#This Row],[LC Stop  To Use]]), (SnapshotTable[[#This Row],[LC Stop  To Use]] * SnapshotTable[[#This Row],[LC Qty]] * 100),"")</f>
        <v/>
      </c>
      <c r="EG15" s="9" t="str">
        <f>IF(ISNUMBER(SnapshotTable[[#This Row],[LC Total Value]]),SnapshotTable[[#This Row],[LC Stop Loss Amount]] - SnapshotTable[[#This Row],[LC Premium]],"")</f>
        <v/>
      </c>
      <c r="EH15" s="9">
        <f>IF(ISNUMBER(SnapshotTable[[#This Row],[LC Premium]]), SnapshotTable[[#This Row],[LC Qty]] * 100 * SnapshotTable[[#This Row],[LC Strike Price]], "")</f>
        <v>0</v>
      </c>
      <c r="EI15" s="240" t="str">
        <f>IF(AND(ISNUMBER(SnapshotTable[[#This Row],[LC Total Value]]),SnapshotTable[[#This Row],[LC Total Value]]&gt;0),SnapshotTable[[#This Row],[LC Stop Gain Loss]]  / SnapshotTable[[#This Row],[LC Premium]],"")</f>
        <v/>
      </c>
      <c r="EJ15" s="35">
        <f>IF(ISNUMBER(SnapshotTable[[#This Row],[Equity Shares]]),TRUNC(SnapshotTable[[#This Row],[Equity Shares]] / 100),0) + SnapshotTable[[#This Row],[LC Qty]]</f>
        <v>0</v>
      </c>
      <c r="EK15" s="147"/>
      <c r="EL15" s="138" t="str">
        <f>IF(SnapshotTable[[#This Row],[SC Exp Date]]&lt;&gt;"",TRUNC(SnapshotTable[[#This Row],[Last Price]]),"")</f>
        <v/>
      </c>
      <c r="EM15" s="148"/>
      <c r="EN15" s="147"/>
      <c r="EO15" s="147"/>
      <c r="EP15" s="138"/>
      <c r="EQ15" s="419" t="b">
        <f>AND(ISNUMBER(SnapshotTable[[#This Row],[SC Exp Date]]), ISNUMBER(SnapshotTable[[#This Row],[SC Strike Price]]), ISNUMBER(SnapshotTable[[#This Row],[SC Qty]]), ISNUMBER(SnapshotTable[[#This Row],[SC Book Date]]), ISNUMBER(SnapshotTable[[#This Row],[SC Book Price]]))</f>
        <v>0</v>
      </c>
      <c r="ER15" s="419" t="b">
        <f>AND(SnapshotTable[[#This Row],[SC Is Booked]], NOT(ISBLANK(SnapshotTable[[#This Row],[SC Fill Date]])))</f>
        <v>0</v>
      </c>
      <c r="ES15" s="370"/>
      <c r="ET15" s="34" t="str">
        <f>IF(AND(ISNUMBER(SnapshotTable[[#This Row],[SC Exp Date]]), ISNUMBER(SnapshotTable[[#This Row],[SC Book Date]])), SnapshotTable[[#This Row],[SC Exp Date]] - MAX(SnapshotTable[[#This Row],[SC Book Date]], SnapshotTable[[#This Row],[SC Fill Date]]) + 1, "")</f>
        <v/>
      </c>
      <c r="EU15" s="34" t="str">
        <f>IF(ISNUMBER(SnapshotTable[[#This Row],[SC Term]]), SnapshotTable[[#This Row],[SC Exp Date]]- MockToday, "")</f>
        <v/>
      </c>
      <c r="EV15" s="31">
        <f>IF(SnapshotTable[[#This Row],[SC Is Booked]], SnapshotTable[[#This Row],[SC Qty]] * SnapshotTable[[#This Row],[SC Book Price]] * 100, 0)</f>
        <v>0</v>
      </c>
      <c r="EW15" s="4" t="str">
        <f>IF(AND(ISNUMBER(SnapshotTable[[#This Row],[Last Price]]), ISNUMBER( SnapshotTable[[#This Row],[SC Book Price]])), SnapshotTable[[#This Row],[Last Price]] - SnapshotTable[[#This Row],[SC Book Price]],"")</f>
        <v/>
      </c>
      <c r="EX15" s="234" t="str">
        <f>IF(SnapshotTable[[#This Row],[SC Is Booked]],IF(SnapshotTable[[#This Row],[SC Intrinsic Value]] &gt; 0, SnapshotTable[[#This Row],[SC Strike Price]], SnapshotTable[[#This Row],[Last Price]]), "")</f>
        <v/>
      </c>
      <c r="EY15" s="4">
        <f>IF(SnapshotTable[[#This Row],[SC Is Booked]], (MinimumPremiumRequired * SnapshotTable[[#This Row],[SC Basis]] * SnapshotTable[[#This Row],[SC Term]]), 0)</f>
        <v>0</v>
      </c>
      <c r="EZ15" s="283"/>
      <c r="FA15" s="218"/>
      <c r="FB15" s="370"/>
      <c r="FC15" s="4">
        <f>IF(SnapshotTable[[#This Row],[SC Is Filled]], btc_max_buyback_amount(SnapshotTable[[#This Row],[SC Fill Date]],SnapshotTable[[#This Row],[SC Exp Date]], SnapshotTable[[#This Row],[SC Book Price]]),0)</f>
        <v>0</v>
      </c>
      <c r="FD15" s="5"/>
      <c r="FE15" s="144" t="str">
        <f>IF(SnapshotTable[[#This Row],[SC Is Filled]], btc_next_cutoff_date(SnapshotTable[[#This Row],[SC Fill Date]],SnapshotTable[[#This Row],[SC Exp Date]]),"")</f>
        <v/>
      </c>
      <c r="FF15" s="4" t="str" cm="1">
        <f t="array" ref="FF15">IF(SnapshotTable[[#This Row],[SC Is Filled]], btc_should_buy_back(SnapshotTable[[#This Row],[SC Fill Date]], SnapshotTable[[#This Row],[SC Exp Date]], SnapshotTable[[#This Row],[SC Book Price]], SnapshotTable[[#This Row],[SC Current Ask]], MockToday, SnapshotTable[[#This Row],[SC Buyback Override]]),"")</f>
        <v/>
      </c>
      <c r="FG15" s="4">
        <f>IF(SnapshotTable[[#This Row],[SC Is Filled]], MAX(0,SnapshotTable[[#This Row],[Last Price]]  - SnapshotTable[[#This Row],[SC Strike Price]]), 0)</f>
        <v>0</v>
      </c>
      <c r="FH15" s="382">
        <f>IF(SnapshotTable[[#This Row],[SC Is Filled]], IF(ISNUMBER(SnapshotTable[[#This Row],[SC Current Ask]]), SnapshotTable[[#This Row],[SC Current Ask]], SnapshotTable[[#This Row],[SC Book Price]]) - SnapshotTable[[#This Row],[SC Intrinsic Value]], 0)</f>
        <v>0</v>
      </c>
      <c r="FI15" s="143">
        <v>45786</v>
      </c>
      <c r="FJ15" s="32" t="str">
        <f>IF(SnapshotTable[[#This Row],[SC Is Filled]],100 * SnapshotTable[[#This Row],[SC Qty]] * IF(ISNUMBER(SnapshotTable[[#This Row],[SC Buyback Override]]), SnapshotTable[[#This Row],[SC Buyback Override]], SnapshotTable[[#This Row],[SC Current Ask]]), "")</f>
        <v/>
      </c>
      <c r="FK15" s="250" t="str">
        <f>IF(SnapshotTable[[#This Row],[SC Time Val]]&gt;0, SnapshotTable[[#This Row],[SC Time Val]] / SnapshotTable[[#This Row],[Last Price]],"")</f>
        <v/>
      </c>
      <c r="FL15" s="302" t="str">
        <f>IF(SnapshotTable[[#This Row],[SC Is Booked]], ((SnapshotTable[[#This Row],[Last Price]] -SnapshotTable[[#This Row],[SC Strike Price]]) / SnapshotTable[[#This Row],[Last Price]]) * -1, "")</f>
        <v/>
      </c>
      <c r="FM15" s="157" t="str">
        <f>IF(SnapshotTable[[#This Row],[SC Is Booked]],  (SnapshotTable[[#This Row],[SC Qty]] * 100 * SnapshotTable[[#This Row],[SC Strike Price]]) - SnapshotTable[[#This Row],[SC Current Ask]], "")</f>
        <v/>
      </c>
      <c r="FN1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 s="31" t="str">
        <f>IF(AND(ISNUMBER(SnapshotTable[[#This Row],[SC Exercise Gross]]), ISNUMBER(SnapshotTable[[#This Row],[Equity Basis Per Share]] )), SnapshotTable[[#This Row],[SC Exercise Gross]] - SnapshotTable[[#This Row],[Equity Basis Total]] +  SnapshotTable[[#This Row],[SC Premium]], "")</f>
        <v/>
      </c>
      <c r="FP15" s="5" t="str">
        <f>IF(ISNUMBER(SnapshotTable[[#This Row],[SC Exercise Gross]]), (SnapshotTable[[#This Row],[SC Exercise Gross]]) / (SnapshotTable[[#This Row],[SC Qty]] * 100), "")</f>
        <v/>
      </c>
      <c r="FQ15" s="27" t="str">
        <f>IF(SnapshotTable[[#This Row],[SC Is Booked]],SnapshotTable[[#This Row],[SC Time Val]] /SnapshotTable[[#This Row],[SC Basis]], "")</f>
        <v/>
      </c>
      <c r="FR15" s="27" t="str" cm="1">
        <f t="array" ref="FR15">IF(AND(ISNUMBER(SnapshotTable[[#This Row],[SC Term]]),ISNUMBER(SnapshotTable[[#This Row],[SC Simple ROO]])), EllmanAnnualize(SnapshotTable[[#This Row],[SC DTE]], SnapshotTable[[#This Row],[SC Simple ROO]] ),"")</f>
        <v/>
      </c>
      <c r="FS15" s="4" t="e">
        <f>IF(SnapshotTable[[#This Row],[SC Strike Price]] &gt; SnapshotTable[[#This Row],[Last Price]], SnapshotTable[[#This Row],[SC Strike Price]] - SnapshotTable[[#This Row],[Last Price]],0)</f>
        <v>#VALUE!</v>
      </c>
      <c r="FT15" s="27" t="e">
        <f>IF(AND(ISNUMBER(SnapshotTable[[#This Row],[SC Upside Potential]]), SnapshotTable[[#This Row],[SC Upside Potential]] &gt; 0),(SnapshotTable[[#This Row],[SC Upside Potential]]/ SnapshotTable[[#This Row],[ACB]]),"")</f>
        <v>#VALUE!</v>
      </c>
      <c r="FU15" s="333" t="str">
        <f>IF(SnapshotTable[[#This Row],[SC Intrinsic Value]] &gt; 0,SnapshotTable[[#This Row],[SC Intrinsic Value]],"")</f>
        <v/>
      </c>
      <c r="FV15" s="27" t="str">
        <f>IF(AND( ISNUMBER( SnapshotTable[[#This Row],[ACB]]),ISNUMBER(SnapshotTable[[#This Row],[SC Downside Protect]])),SnapshotTable[[#This Row],[SC Downside Protect]] / SnapshotTable[[#This Row],[ACB]],"")</f>
        <v/>
      </c>
      <c r="FW15" s="236" t="str">
        <f>IF(AND(ISNUMBER(SnapshotTable[[#This Row],[SC Simple ROO]]),SnapshotTable[[#This Row],[SC Simple ROO]] &gt; 0), SnapshotTable[[#This Row],[SC Premium]] + (SnapshotTable[[#This Row],[SC Qty]] * SnapshotTable[[#This Row],[SC Upside Potential]]), "")</f>
        <v/>
      </c>
      <c r="FX15" s="302" t="str" cm="1">
        <f t="array" ref="FX15">IF(ISNUMBER(SnapshotTable[[#This Row],[SC Max Dollars]]), annualize(SnapshotTable[[#This Row],[SC Term]],(SnapshotTable[[#This Row],[SC Max Dollars]]/SnapshotTable[[#This Row],[SC Basis]])),"")</f>
        <v/>
      </c>
      <c r="FY15" s="236" t="str">
        <f>IF(AND(SnapshotTable[[#This Row],[SC Qty]]&gt;0,SnapshotTable[[#This Row],[SC Current Ask]]&gt;0), SnapshotTable[[#This Row],[SC Qty]] * SnapshotTable[[#This Row],[SC Current Ask]] * -100, "")</f>
        <v/>
      </c>
      <c r="FZ15" s="31" t="str">
        <f>IF(ISNUMBER((SnapshotTable[[#This Row],[SC Current Value]])), SnapshotTable[[#This Row],[SC Premium]] + SnapshotTable[[#This Row],[SC Current Value]], "")</f>
        <v/>
      </c>
      <c r="GA15" s="294" t="str">
        <f>IFERROR( IF(ISNUMBER((SnapshotTable[[#This Row],[SC Current Value]])), SnapshotTable[[#This Row],[SC Gain Loss]] / SnapshotTable[[#This Row],[SC Premium]], ""), "")</f>
        <v/>
      </c>
      <c r="GB15" s="42">
        <f>SnapshotTable[[#This Row],[Equity Shares]] * SaleSharesToConsiderPercentage</f>
        <v>0</v>
      </c>
      <c r="GC15" s="40" t="e">
        <f>SnapshotTable[[#This Row],[Long Term Target]] * SellingPriceToConsiderBasedOnTargetPercentage</f>
        <v>#VALUE!</v>
      </c>
      <c r="GD15" s="40">
        <f>SnapshotTable[[#This Row],[Last Price]] * (1+ SellingPriceToConsiderBasedOnTargetPercentage)</f>
        <v>5.1870000000000003</v>
      </c>
      <c r="GE15" s="41"/>
      <c r="GF15" s="40"/>
      <c r="GG15" s="31">
        <f>SnapshotTable[[#This Row],[Booked Sale Shares]] * SnapshotTable[[#This Row],[Booked Sale Price]]</f>
        <v>0</v>
      </c>
      <c r="GH15" s="31" t="str">
        <f>IF(SnapshotTable[[#This Row],[Equity Basis Total]] &gt; 0, SnapshotTable[[#This Row],[Equity Basis Per Share]] * SnapshotTable[[#This Row],[Booked Sale Shares]], "")</f>
        <v/>
      </c>
      <c r="GI15" s="31">
        <f>IF(SnapshotTable[[#This Row],[Sale Proceeds]]&gt;0, SnapshotTable[[#This Row],[Sale Proceeds]] - SnapshotTable[[#This Row],[Sale Basis]], 0)</f>
        <v>0</v>
      </c>
      <c r="GJ15" s="27" t="str">
        <f>IF(SnapshotTable[[#This Row],[Sale G/L]]&gt;0, SnapshotTable[[#This Row],[Sale G/L]] / SnapshotTable[[#This Row],[Sale Basis]], IF(ISNUMBER(SnapshotTable[[#This Row],[SC Exercise P&amp;L (TAX)]]), SnapshotTable[[#This Row],[SC Exercise P&amp;L (TAX)]] / SnapshotTable[[#This Row],[SC Basis]], ""))</f>
        <v/>
      </c>
      <c r="GK15" s="27"/>
      <c r="GL15" s="43" t="str">
        <f>IF(AND(SnapshotTable[[#This Row],[LP Exp Date]]&gt;0,SnapshotTable[[#This Row],[LP Strike Price]]&gt;0), [1]!ToOptionSymbol(SnapshotTable[[#This Row],[Symbol]], SnapshotTable[[#This Row],[LP Strike Price]],SnapshotTable[[#This Row],[LP Exp Date]],1), "")</f>
        <v/>
      </c>
      <c r="GM15" s="30" t="str">
        <f>IF(LEN(SnapshotTable[[#This Row],[LP Symbol]])&gt;0, 1, "")</f>
        <v/>
      </c>
      <c r="GN15" s="43" t="str">
        <f>IF(AND(SnapshotTable[[#This Row],[SP Exp Date]]&gt;0,SnapshotTable[[#This Row],[SP Strike Price]]&gt;0), [1]!ToOptionSymbol(SnapshotTable[[#This Row],[Symbol]], SnapshotTable[[#This Row],[SP Strike Price]],SnapshotTable[[#This Row],[SP Exp Date]],1), "")</f>
        <v/>
      </c>
      <c r="GO15" s="30" t="str">
        <f>IF(LEN(SnapshotTable[[#This Row],[SP Symbol]])&gt;0, 1, "")</f>
        <v/>
      </c>
      <c r="GP15" s="43" t="str">
        <f>IF(AND(SnapshotTable[[#This Row],[LC Exp Date]]&gt;0,SnapshotTable[[#This Row],[LC Strike Price]]&gt;0), [1]!ToOptionSymbol(SnapshotTable[[#This Row],[Symbol]], SnapshotTable[[#This Row],[LC Strike Price]],SnapshotTable[[#This Row],[LC Exp Date]],0), "")</f>
        <v/>
      </c>
      <c r="GQ15" s="30" t="str">
        <f>IF(LEN(SnapshotTable[[#This Row],[LC Symbol]])&gt;0, 1, "")</f>
        <v/>
      </c>
      <c r="GR15" s="43" t="str">
        <f>IF(AND(SnapshotTable[[#This Row],[SC Exp Date]]&gt;0,SnapshotTable[[#This Row],[SC Strike Price]]&gt;0), [1]!ToOptionSymbol(SnapshotTable[[#This Row],[Symbol]], SnapshotTable[[#This Row],[SC Strike Price]],SnapshotTable[[#This Row],[SC Exp Date]],0), "")</f>
        <v/>
      </c>
      <c r="GS15" s="30" t="str">
        <f>IF(LEN(SnapshotTable[[#This Row],[SC Symbol]])&gt;0, 1, "")</f>
        <v/>
      </c>
      <c r="GT15" s="29" t="str">
        <f>IF(COUNT(SnapshotTable[[#This Row],[LP Symbol Count]],SnapshotTable[[#This Row],[SP Symbol Count]],SnapshotTable[[#This Row],[LC Symbol Count]],SnapshotTable[[#This Row],[SC Symbol Count]])&gt;0, "Y", "")</f>
        <v/>
      </c>
      <c r="GU1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 s="231" t="e">
        <f>MAX(SnapshotTable[[#This Row],[Equity Basis Total]],SnapshotTable[[#This Row],[Equity Value]]) + (SnapshotTable[[#This Row],[SP Potential Spend]]- SnapshotTable[[#This Row],[SP Premium]] + SnapshotTable[[#This Row],[LP Premium]])+ (SnapshotTable[[#This Row],[LC Premium]] - SnapshotTable[[#This Row],[SC Premium]])</f>
        <v>#VALUE!</v>
      </c>
      <c r="GW15" s="139" t="e">
        <f>IF(AND(SnapshotTable[[#This Row],[Exposure]] &lt;&gt; 0),SnapshotTable[[#This Row],[Exposure]] / SnapshotTable[[#Totals],[Exposure]], "")</f>
        <v>#VALUE!</v>
      </c>
      <c r="HK15" s="1"/>
      <c r="HL15" s="1"/>
      <c r="HM15" s="1"/>
      <c r="HN15" s="1"/>
      <c r="HO15" s="1"/>
      <c r="HP15" s="1"/>
    </row>
    <row r="16" spans="2:224" ht="12.75" hidden="1" customHeight="1" x14ac:dyDescent="0.25">
      <c r="B16" s="12" t="s">
        <v>1126</v>
      </c>
      <c r="C16" s="422">
        <v>141.94999999999999</v>
      </c>
      <c r="D16" s="208"/>
      <c r="E16" s="39">
        <f>SnapshotTable[[#This Row],[Last Price]]*(1 -CrashDiscount)</f>
        <v>120.65749999999998</v>
      </c>
      <c r="F16" s="26" t="s">
        <v>243</v>
      </c>
      <c r="G16" s="26" t="s">
        <v>9</v>
      </c>
      <c r="H16" s="149"/>
      <c r="I16" s="194"/>
      <c r="J16" s="195"/>
      <c r="K16" s="196"/>
      <c r="L16" s="326"/>
      <c r="M16" s="140"/>
      <c r="N16" s="140"/>
      <c r="O16" s="140"/>
      <c r="P16" s="22"/>
      <c r="Q16" s="25"/>
      <c r="R16" s="4" t="str">
        <f>IF(SnapshotTable[[#This Row],[Equity Basis Total]] &gt; 0, SnapshotTable[[#This Row],[Equity Basis Total]] / SnapshotTable[[#This Row],[Equity Shares]], "")</f>
        <v/>
      </c>
      <c r="S16" s="269">
        <f>SnapshotTable[[#This Row],[Last Price]] * SnapshotTable[[#This Row],[Equity Shares]]</f>
        <v>0</v>
      </c>
      <c r="T16" s="269">
        <f>SnapshotTable[[#This Row],[Equity Value]] - SnapshotTable[[#This Row],[Equity Basis Total]]</f>
        <v>0</v>
      </c>
      <c r="U16" s="270" t="str">
        <f>IF(SnapshotTable[[#This Row],[Equity Basis Total]] &gt; 0, SnapshotTable[[#This Row],[Equity G/L]] / SnapshotTable[[#This Row],[Equity Basis Total]], "")</f>
        <v/>
      </c>
      <c r="V16" s="268"/>
      <c r="W16" s="268"/>
      <c r="X16" s="4" t="str">
        <f>IF(AND(ISNUMBER(SnapshotTable[[#This Row],[Equity Basis Per Share]]),ISNUMBER(SnapshotTable[[#This Row],[Equity Target]])),SnapshotTable[[#This Row],[Equity Target]]-SnapshotTable[[#This Row],[Equity Basis Per Share]],"")</f>
        <v/>
      </c>
      <c r="Y16" s="4" t="str">
        <f>IF(AND(ISNUMBER(SnapshotTable[[#This Row],[Equity Basis Per Share]]),ISNUMBER(SnapshotTable[[#This Row],[Equity Stop Loss]])),SnapshotTable[[#This Row],[Equity Stop Loss]]-SnapshotTable[[#This Row],[Equity Basis Per Share]],"")</f>
        <v/>
      </c>
      <c r="Z16" s="275" t="str">
        <f>IFERROR( TEXT(SnapshotTable[[#This Row],[Equity Max Gain Per Share]] /ABS( SnapshotTable[[#This Row],[Equity Max Loss Per Share]]),"0.0 " ) &amp; " : 1", "")</f>
        <v/>
      </c>
      <c r="AA16" s="31" t="str">
        <f>IF(ISNUMBER(SnapshotTable[[#This Row],[Equity Max Gain Per Share]]),SnapshotTable[[#This Row],[Equity Max Gain Per Share]] * SnapshotTable[[#This Row],[Equity Shares]],"")</f>
        <v/>
      </c>
      <c r="AB16" s="31" t="str">
        <f>IF(ISNUMBER(SnapshotTable[[#This Row],[Equity Max Loss Per Share]]),SnapshotTable[[#This Row],[Equity Max Loss Per Share]] * SnapshotTable[[#This Row],[Equity Shares]],"")</f>
        <v/>
      </c>
      <c r="AC16" s="150"/>
      <c r="AD16" s="151"/>
      <c r="AE16" s="31">
        <f>(SnapshotTable[[#This Row],[Annual Dividend Per Share]] / 4) * SnapshotTable[[#This Row],[Equity Shares]]</f>
        <v>0</v>
      </c>
      <c r="AF16" s="31">
        <f>SnapshotTable[[#This Row],[Quarterly Div $]] * 4</f>
        <v>0</v>
      </c>
      <c r="AG16" s="7">
        <f>IF(SnapshotTable[[#This Row],[Annual Dividend Per Share]]&gt;0, SnapshotTable[[#This Row],[Annual Dividend Per Share]]  / SnapshotTable[[#This Row],[Last Price]], 0)</f>
        <v>0</v>
      </c>
      <c r="AH16" s="151"/>
      <c r="AI16" s="5"/>
      <c r="AJ16" s="138">
        <v>213.75</v>
      </c>
      <c r="AK16" s="152" t="str">
        <f>IF(ISNUMBER( SnapshotTable[[#This Row],[EBF Target]]),(SnapshotTable[[#This Row],[EBF Target]] - SnapshotTable[[#This Row],[Last Price]]) / SnapshotTable[[#This Row],[Last Price]], "")</f>
        <v/>
      </c>
      <c r="AL16" s="152" t="str">
        <f>IF(AND(SnapshotTable[[#This Row],[Equity Basis Total]] &gt; 0,ISNUMBER( SnapshotTable[[#This Row],[Long Term Target]])), SnapshotTable[[#This Row],[From Basis $]] / SnapshotTable[[#This Row],[Equity Basis Total]], "")</f>
        <v/>
      </c>
      <c r="AM16" s="9">
        <f>IF( AND(SnapshotTable[[#This Row],[Equity Shares]] &gt;0,ISNUMBER( SnapshotTable[[#This Row],[Long Term Target]])),(SnapshotTable[[#This Row],[Equity Shares]] * SnapshotTable[[#This Row],[Long Term Target]]) - SnapshotTable[[#This Row],[Equity Basis Total]],0)</f>
        <v>0</v>
      </c>
      <c r="AN16" s="9">
        <f>IF( AND(SnapshotTable[[#This Row],[Equity Shares]] &gt;0,ISNUMBER( SnapshotTable[[#This Row],[Long Term Target]])),(SnapshotTable[[#This Row],[Equity Shares]]*SnapshotTable[[#This Row],[Long Term Target]]) - SnapshotTable[[#This Row],[Equity Value]],0)</f>
        <v>0</v>
      </c>
      <c r="AO16" s="152">
        <f>IF(AND(ISNUMBER( SnapshotTable[[#This Row],[Long Term Target]]), ISNUMBER(SnapshotTable[[#This Row],[Last Price]])),(SnapshotTable[[#This Row],[Long Term Target]] - SnapshotTable[[#This Row],[Last Price]]) / SnapshotTable[[#This Row],[Last Price]], "")</f>
        <v>0.50581190560056366</v>
      </c>
      <c r="AP16" s="5"/>
      <c r="AQ16" s="38"/>
      <c r="AR16" s="5"/>
      <c r="AS16" s="38"/>
      <c r="AT16" s="146"/>
      <c r="AU16" s="187" t="str">
        <f>IF(OR(SnapshotTable[[#This Row],[LP No Fill]]="Y",SnapshotTable[[#This Row],[SP Is Filled]],SnapshotTable[[#This Row],[LC Not Filled]]="Y",SnapshotTable[[#This Row],[SC Is Filled]]),"Y","")</f>
        <v/>
      </c>
      <c r="AV16" s="219"/>
      <c r="AW16" s="225"/>
      <c r="AX16" s="220"/>
      <c r="AY16" s="219" t="str">
        <f>IF(SnapshotTable[[#This Row],[Implied Move]]&gt;0, SnapshotTable[[#This Row],[Last Price]]-SnapshotTable[[#This Row],[Implied Move]],"")</f>
        <v/>
      </c>
      <c r="AZ16" s="219" t="str">
        <f>IF(SnapshotTable[[#This Row],[Implied Move]]&gt;0, SnapshotTable[[#This Row],[Last Price]] + SnapshotTable[[#This Row],[Implied Move]],"")</f>
        <v/>
      </c>
      <c r="BA16" s="331"/>
      <c r="BB16" s="347"/>
      <c r="BC1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 s="351"/>
      <c r="BE16" s="138"/>
      <c r="BF16" s="166"/>
      <c r="BG16" s="167"/>
      <c r="BH16" s="167"/>
      <c r="BI16" s="221"/>
      <c r="BJ16" s="153">
        <f>IF(SnapshotTable[[#This Row],[LP Qty]] &gt; 0, SnapshotTable[[#This Row],[LP Qty]] * SnapshotTable[[#This Row],[LP Book Price]] * 100,0)</f>
        <v>0</v>
      </c>
      <c r="BK16" s="136">
        <f>IF(SnapshotTable[[#This Row],[LP Premium]] &gt; 0, SnapshotTable[[#This Row],[LP Qty]] * SnapshotTable[[#This Row],[LP Strike Price]] * 100,0)</f>
        <v>0</v>
      </c>
      <c r="BL16" s="154"/>
      <c r="BM16" s="385" t="str">
        <f>IF(SnapshotTable[[#This Row],[LP Premium]] &gt; 0,SnapshotTable[[#This Row],[LP Exp Date]]-MAX(SnapshotTable[[#This Row],[LP Book Date]], SnapshotTable[[#This Row],[LP Fill Date]]),"")</f>
        <v/>
      </c>
      <c r="BN16" s="385" t="str">
        <f>IF(ISNUMBER( SnapshotTable[[#This Row],[LP Term]]), SnapshotTable[[#This Row],[LP Exp Date]] - MockToday,"")</f>
        <v/>
      </c>
      <c r="BO16" s="163" t="str">
        <f>IF(AND(SnapshotTable[[#This Row],[LP Exp Date]]&gt;0, SnapshotTable[[#This Row],[LP Strike Price]]&gt;0,SnapshotTable[[#This Row],[LP Qty]]&gt;0,SnapshotTable[[#This Row],[LP Book Date]]&gt;0,SnapshotTable[[#This Row],[LP Book Price]]&gt;0,SnapshotTable[[#This Row],[LP Fill Date]]=0),"Y","")</f>
        <v/>
      </c>
      <c r="BP16" s="31" t="str">
        <f>IF(AND(SnapshotTable[[#This Row],[LP No Fill]]&lt;&gt;"Y",SnapshotTable[[#This Row],[LP Contract Value]]&gt;0, SnapshotTable[[#This Row],[LP Qty]]&gt;0), SnapshotTable[[#This Row],[LP Contract Value]]*SnapshotTable[[#This Row],[LP Qty]]*100,"")</f>
        <v/>
      </c>
      <c r="BQ16" s="13"/>
      <c r="BR16" s="5" t="str">
        <f>IF(SnapshotTable[[#This Row],[SP Exp Date]]&lt;&gt;"",TRUNC(SnapshotTable[[#This Row],[Last Price]]),"")</f>
        <v/>
      </c>
      <c r="BS16" s="36"/>
      <c r="BT16" s="147"/>
      <c r="BU16" s="13"/>
      <c r="BV16" s="5"/>
      <c r="BW16" s="419" t="b">
        <f>AND(ISNUMBER(SnapshotTable[[#This Row],[SP Exp Date]]), ISNUMBER(SnapshotTable[[#This Row],[SP Strike Price]]), ISNUMBER(SnapshotTable[[#This Row],[SP Qty]]), ISNUMBER(SnapshotTable[[#This Row],[SP Book Date]]), ISNUMBER(SnapshotTable[[#This Row],[SP Book Price]]))</f>
        <v>0</v>
      </c>
      <c r="BX16" s="419" t="b">
        <f>AND(SnapshotTable[[#This Row],[SP Is Booked]], NOT(ISBLANK(SnapshotTable[[#This Row],[SP Fill Date]])))</f>
        <v>0</v>
      </c>
      <c r="BY16" s="33">
        <f>IF(SnapshotTable[[#This Row],[SP Is Booked]], SnapshotTable[[#This Row],[SP Qty]] * SnapshotTable[[#This Row],[SP Book Price]] * 100, 0)</f>
        <v>0</v>
      </c>
      <c r="BZ16" s="369"/>
      <c r="CA16" s="368">
        <f>SnapshotTable[[#This Row],[LP Qty]]</f>
        <v>0</v>
      </c>
      <c r="CB16" s="4" t="str">
        <f>IF(SnapshotTable[[#This Row],[SP Is Booked]], SnapshotTable[[#This Row],[SP Strike Price]] - SnapshotTable[[#This Row],[SP Book Price]], "")</f>
        <v/>
      </c>
      <c r="CC16" s="19" t="str">
        <f>IF(SnapshotTable[[#This Row],[SP Is Booked]],SnapshotTable[[#This Row],[SP Exp Date]]-MAX(SnapshotTable[[#This Row],[SP Book Date]], SnapshotTable[[#This Row],[SP Fill Date]]),"")</f>
        <v/>
      </c>
      <c r="CD16" s="7" t="str">
        <f>IF(SnapshotTable[[#This Row],[SP Is Booked]], SnapshotTable[[#This Row],[SP Book Price]]/SnapshotTable[[#This Row],[SP Strike Price]], "")</f>
        <v/>
      </c>
      <c r="CE16" s="7" t="str">
        <f>IF(ISNUMBER(SnapshotTable[[#This Row],[SP ROO Term]]),SnapshotTable[[#This Row],[SP ROO Term]]*(365/SnapshotTable[[#This Row],[SP Term]]),"")</f>
        <v/>
      </c>
      <c r="CF16" s="236">
        <f>SnapshotTable[[#This Row],[LP Strike Price]] * SnapshotTable[[#This Row],[LP Qty]] * 100</f>
        <v>0</v>
      </c>
      <c r="CG16" s="31" t="e">
        <f>IF(ISNUMBER(SnapshotTable[[#This Row],[SP Premium]]), (SnapshotTable[[#This Row],[SP Qty]] * SnapshotTable[[#This Row],[SP Strike Price]]* 100) - SnapshotTable[[#This Row],[LP Protection]], 0)</f>
        <v>#VALUE!</v>
      </c>
      <c r="CH16" s="7" t="str">
        <f>IF(ISNUMBER(SnapshotTable[[#This Row],[SP Break Even]]),-1 * (SnapshotTable[[#This Row],[SP Break Even]] - SnapshotTable[[#This Row],[Last Price]]) / SnapshotTable[[#This Row],[Last Price]], "")</f>
        <v/>
      </c>
      <c r="CI16" s="31">
        <f>IF(AND(ISNUMBER((SnapshotTable[[#This Row],[SP Potential Spend]])), SnapshotTable[[#This Row],[SP Strike Price]] &gt; SnapshotTable[[#This Row],[Last Price]], SnapshotTable[[#This Row],[SP Is Filled]]), SnapshotTable[[#This Row],[SP Potential Spend]] -  SnapshotTable[[#This Row],[LP Max Value]], 0)</f>
        <v>0</v>
      </c>
      <c r="CJ16" s="244"/>
      <c r="CK16" s="31" t="str">
        <f>IF(ISNUMBER(SnapshotTable[[#This Row],[SP Potential Spend]]),IF(ISNUMBER(SnapshotTable[[#This Row],[SP POW]]), SnapshotTable[[#This Row],[SP POW]] * SnapshotTable[[#This Row],[SP Potential Spend]], SnapshotTable[[#This Row],[SP Potential Spend]]), "")</f>
        <v/>
      </c>
      <c r="CL16" s="164" t="e">
        <f>IF(NOT(SnapshotTable[[#This Row],[SP Is Filled]]),(SnapshotTable[[#This Row],[SP Qty]] * SnapshotTable[[#This Row],[SP Strike Price]] * 100) - SnapshotTable[[#This Row],[LP Max Value]],"")</f>
        <v>#VALUE!</v>
      </c>
      <c r="CM16" s="31" t="str">
        <f>IF(SnapshotTable[[#This Row],[SP Actual Spend]]&lt;&gt;0, ((SnapshotTable[[#This Row],[SP Strike Price]]-SnapshotTable[[#This Row],[Last Price]]) *(SnapshotTable[[#This Row],[SP Qty]]*100) - SnapshotTable[[#This Row],[SP Premium]]) * - 1, "")</f>
        <v/>
      </c>
      <c r="CN16" s="227"/>
      <c r="CO16" s="369"/>
      <c r="CP16" s="4" t="str">
        <f>IF(SnapshotTable[[#This Row],[SP Is Filled]], btc_max_buyback_amount(SnapshotTable[[#This Row],[SP Fill Date]],SnapshotTable[[#This Row],[SP Exp Date]], SnapshotTable[[#This Row],[SP Book Price]]),"")</f>
        <v/>
      </c>
      <c r="CQ16" s="78"/>
      <c r="CR1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 s="155" t="str">
        <f>IF(SnapshotTable[[#This Row],[SP Is Filled]], btc_next_cutoff_date(SnapshotTable[[#This Row],[SP Fill Date]],SnapshotTable[[#This Row],[SP Exp Date]]),"")</f>
        <v/>
      </c>
      <c r="CT16" s="235" t="str" cm="1">
        <f t="array" ref="CT16">IF(SnapshotTable[[#This Row],[SP Is Filled]], btc_should_buy_back(SnapshotTable[[#This Row],[SP Fill Date]], SnapshotTable[[#This Row],[SP Exp Date]], SnapshotTable[[#This Row],[SP Book Price]], SnapshotTable[[#This Row],[SP Current Ask]], MockToday, SnapshotTable[[#This Row],[SP Buyback Override]]),"")</f>
        <v/>
      </c>
      <c r="CU16" s="156"/>
      <c r="CV16" s="235"/>
      <c r="CW16" s="378" t="str">
        <f>IF(ISNUMBER( SnapshotTable[[#This Row],[SP Term]]), SnapshotTable[[#This Row],[SP Exp Date]] - MockToday,"")</f>
        <v/>
      </c>
      <c r="CX16" s="31" t="str">
        <f>IF(SnapshotTable[[#This Row],[SP Is Filled]],SnapshotTable[[#This Row],[SP Buyback Price to Use]] * 100 * SnapshotTable[[#This Row],[SP Qty]], "")</f>
        <v/>
      </c>
      <c r="CY16" s="4" t="str">
        <f>IF(ISNUMBER(SnapshotTable[[#This Row],[SP Strike Price]]), SnapshotTable[[#This Row],[SP Strike Price]] * (1 - SP_MaxLoss_StrikePct), "")</f>
        <v/>
      </c>
      <c r="CZ16" s="31" t="str">
        <f>IF(ISNUMBER(SnapshotTable[[#This Row],[SP Strike  Stop Per Share]]),SnapshotTable[[#This Row],[SP Premium]] - ((SnapshotTable[[#This Row],[SP Strike Price]]-SnapshotTable[[#This Row],[SP Strike  Stop Per Share]]) *(SnapshotTable[[#This Row],[SP Qty]] * 100)),"")</f>
        <v/>
      </c>
      <c r="DA16" s="4" t="str">
        <f>IF(AND(ISNUMBER(SnapshotTable[[#This Row],[SP Premium]]),SnapshotTable[[#This Row],[SP Premium]]&gt;0), SnapshotTable[[#This Row],[SP Book Price]] * (1 + SP_MaxLoss_OptionPct), "")</f>
        <v/>
      </c>
      <c r="DB16" s="31" t="str">
        <f>IF(ISNUMBER(SnapshotTable[[#This Row],[SP Option  Stop Contract]]),(SnapshotTable[[#This Row],[SP Option  Stop Contract]] *(SnapshotTable[[#This Row],[SP Qty]] * 100) - SnapshotTable[[#This Row],[SP Premium]]),"")</f>
        <v/>
      </c>
      <c r="DC16" s="4"/>
      <c r="DD16" s="4"/>
      <c r="DE16" s="4" t="str">
        <f>IF(AND(SnapshotTable[[#This Row],[SP Qty]]&gt;0, SnapshotTable[[#This Row],[SP Stop To Use]]&gt;0),SnapshotTable[[#This Row],[SP Premium]] - ( SnapshotTable[[#This Row],[SP Qty]] * SnapshotTable[[#This Row],[SP Stop To Use]] * 100), "")</f>
        <v/>
      </c>
      <c r="DF16" s="31" t="str">
        <f>IF(AND(SnapshotTable[[#This Row],[SP Qty]]&gt;0,SnapshotTable[[#This Row],[SP Current Ask]]&gt;0), SnapshotTable[[#This Row],[SP Qty]] * SnapshotTable[[#This Row],[SP Current Ask]] * -100, "")</f>
        <v/>
      </c>
      <c r="DG16" s="31" t="str">
        <f>IF(ISNUMBER((SnapshotTable[[#This Row],[SP Total Value]])), SnapshotTable[[#This Row],[SP Premium]] + SnapshotTable[[#This Row],[SP Total Value]], "")</f>
        <v/>
      </c>
      <c r="DH16" s="294" t="str">
        <f>IF(ISNUMBER((SnapshotTable[[#This Row],[SP Total Value]])), SnapshotTable[[#This Row],[SP Gain Loss]] / SnapshotTable[[#This Row],[SP Premium]], "")</f>
        <v/>
      </c>
      <c r="DI16" s="406"/>
      <c r="DJ16" s="138"/>
      <c r="DK16" s="148"/>
      <c r="DL16" s="147"/>
      <c r="DM16" s="147"/>
      <c r="DO16" s="31">
        <f>IF(SnapshotTable[[#This Row],[LC Symbol Count]]=1, SnapshotTable[[#This Row],[LC Qty]] * SnapshotTable[[#This Row],[LC Book Price]] * 100, 0)</f>
        <v>0</v>
      </c>
      <c r="DP16" s="163" t="str">
        <f>IF(AND(SnapshotTable[[#This Row],[LC Exp Date]]&gt;0, SnapshotTable[[#This Row],[LC Strike Price]]&gt;0,SnapshotTable[[#This Row],[LC Qty]]&gt;0,SnapshotTable[[#This Row],[LC Book Date]]&gt;0,SnapshotTable[[#This Row],[LC Book Price]]&gt;0,SnapshotTable[[#This Row],[LC Fill Date]]=0),"Y","")</f>
        <v/>
      </c>
      <c r="DQ16" s="386" t="str">
        <f>IF(SnapshotTable[[#This Row],[LC Premium]] &gt; 0,SnapshotTable[[#This Row],[LC Exp Date]]-MAX(SnapshotTable[[#This Row],[LC Book Date]], SnapshotTable[[#This Row],[LC Fill Date]]),"")</f>
        <v/>
      </c>
      <c r="DR16" s="386" t="str">
        <f>IF(ISNUMBER(SnapshotTable[[#This Row],[LC Term]]), SnapshotTable[[#This Row],[LC Exp Date]] - MockToday, "")</f>
        <v/>
      </c>
      <c r="DS16" s="234" t="str">
        <f>IF(SnapshotTable[[#This Row],[LC Premium]]&gt;0,SnapshotTable[[#This Row],[LC Strike Price]] + SnapshotTable[[#This Row],[LC Book Price]],"")</f>
        <v/>
      </c>
      <c r="DU16" s="9" t="str">
        <f>IF(AND(SnapshotTable[[#This Row],[LC Symbol Count]]&gt;0, SnapshotTable[[#This Row],[LC Contract Value]]&gt;0), SnapshotTable[[#This Row],[LC Contract Value]] * SnapshotTable[[#This Row],[LC Qty]] * 100, "")</f>
        <v/>
      </c>
      <c r="DV16" s="9" t="str">
        <f>IF(AND(ISNUMBER(SnapshotTable[[#This Row],[LC Total Value]]), SnapshotTable[[#This Row],[LC Not Filled]]&lt;&gt;"Y"), SnapshotTable[[#This Row],[LC Total Value]]-SnapshotTable[[#This Row],[LC Premium]],"")</f>
        <v/>
      </c>
      <c r="DW16" s="240" t="str">
        <f>IF(ISNUMBER(SnapshotTable[[#This Row],[LC Actual Gain Loss]]), SnapshotTable[[#This Row],[LC Actual Gain Loss]] / SnapshotTable[[#This Row],[LC Premium]],"")</f>
        <v/>
      </c>
      <c r="DX16" s="284" t="str">
        <f>IF(ISNUMBER(SnapshotTable[[#This Row],[LC Book Price]]),SnapshotTable[[#This Row],[LC Book Price]] * 1.5,"")</f>
        <v/>
      </c>
      <c r="DY16" s="265" t="str">
        <f>IF(SnapshotTable[[#This Row],[LC Premium]]&gt;0, SnapshotTable[[#This Row],[LC Next Target]] * SnapshotTable[[#This Row],[LC Qty]] * 100,"")</f>
        <v/>
      </c>
      <c r="DZ16" s="265" t="str">
        <f>IF(ISNUMBER(SnapshotTable[[#This Row],[LC Target Gross]]), SnapshotTable[[#This Row],[LC Target Gross]] - SnapshotTable[[#This Row],[LC Premium]], "")</f>
        <v/>
      </c>
      <c r="EA16" s="305" t="str">
        <f>IF(ISNUMBER(SnapshotTable[[#This Row],[LC Target Gain Loss]]), SnapshotTable[[#This Row],[LC Target Gain Loss]]/SnapshotTable[[#This Row],[LC Premium]], "")</f>
        <v/>
      </c>
      <c r="EB16" s="262"/>
      <c r="EC16" s="283" t="str">
        <f>IF(SnapshotTable[[#This Row],[LC Premium]]&gt;0, SnapshotTable[[#This Row],[LC Book Price]] * (1 - LC_StopLoss_Pct),"")</f>
        <v/>
      </c>
      <c r="ED16" s="284"/>
      <c r="EE16" s="283" t="str">
        <f>IF(ISNUMBER(SnapshotTable[[#This Row],[LC Contract Value]]),IF(ISNUMBER(SnapshotTable[[#This Row],[LC Stop Loss Override]]), SnapshotTable[[#This Row],[LC Stop Loss Override]],SnapshotTable[[#This Row],[LC Stop Loss Calc Target]]),"")</f>
        <v/>
      </c>
      <c r="EF16" s="31" t="str">
        <f>IF(ISNUMBER(SnapshotTable[[#This Row],[LC Stop  To Use]]), (SnapshotTable[[#This Row],[LC Stop  To Use]] * SnapshotTable[[#This Row],[LC Qty]] * 100),"")</f>
        <v/>
      </c>
      <c r="EG16" s="9" t="str">
        <f>IF(ISNUMBER(SnapshotTable[[#This Row],[LC Total Value]]),SnapshotTable[[#This Row],[LC Stop Loss Amount]] - SnapshotTable[[#This Row],[LC Premium]],"")</f>
        <v/>
      </c>
      <c r="EH16" s="9">
        <f>IF(ISNUMBER(SnapshotTable[[#This Row],[LC Premium]]), SnapshotTable[[#This Row],[LC Qty]] * 100 * SnapshotTable[[#This Row],[LC Strike Price]], "")</f>
        <v>0</v>
      </c>
      <c r="EI16" s="240" t="str">
        <f>IF(AND(ISNUMBER(SnapshotTable[[#This Row],[LC Total Value]]),SnapshotTable[[#This Row],[LC Total Value]]&gt;0),SnapshotTable[[#This Row],[LC Stop Gain Loss]]  / SnapshotTable[[#This Row],[LC Premium]],"")</f>
        <v/>
      </c>
      <c r="EJ16" s="35">
        <f>IF(ISNUMBER(SnapshotTable[[#This Row],[Equity Shares]]),TRUNC(SnapshotTable[[#This Row],[Equity Shares]] / 100),0) + SnapshotTable[[#This Row],[LC Qty]]</f>
        <v>0</v>
      </c>
      <c r="EK16" s="147"/>
      <c r="EL16" s="138" t="str">
        <f>IF(SnapshotTable[[#This Row],[SC Exp Date]]&lt;&gt;"",TRUNC(SnapshotTable[[#This Row],[Last Price]]),"")</f>
        <v/>
      </c>
      <c r="EM16" s="148"/>
      <c r="EN16" s="147"/>
      <c r="EO16" s="147"/>
      <c r="EP16" s="138"/>
      <c r="EQ16" s="419" t="b">
        <f>AND(ISNUMBER(SnapshotTable[[#This Row],[SC Exp Date]]), ISNUMBER(SnapshotTable[[#This Row],[SC Strike Price]]), ISNUMBER(SnapshotTable[[#This Row],[SC Qty]]), ISNUMBER(SnapshotTable[[#This Row],[SC Book Date]]), ISNUMBER(SnapshotTable[[#This Row],[SC Book Price]]))</f>
        <v>0</v>
      </c>
      <c r="ER16" s="419" t="b">
        <f>AND(SnapshotTable[[#This Row],[SC Is Booked]], NOT(ISBLANK(SnapshotTable[[#This Row],[SC Fill Date]])))</f>
        <v>0</v>
      </c>
      <c r="ES16" s="370"/>
      <c r="ET16" s="34" t="str">
        <f>IF(AND(ISNUMBER(SnapshotTable[[#This Row],[SC Exp Date]]), ISNUMBER(SnapshotTable[[#This Row],[SC Book Date]])), SnapshotTable[[#This Row],[SC Exp Date]] - MAX(SnapshotTable[[#This Row],[SC Book Date]], SnapshotTable[[#This Row],[SC Fill Date]]) + 1, "")</f>
        <v/>
      </c>
      <c r="EU16" s="34" t="str">
        <f>IF(ISNUMBER(SnapshotTable[[#This Row],[SC Term]]), SnapshotTable[[#This Row],[SC Exp Date]]- MockToday, "")</f>
        <v/>
      </c>
      <c r="EV16" s="31">
        <f>IF(SnapshotTable[[#This Row],[SC Is Booked]], SnapshotTable[[#This Row],[SC Qty]] * SnapshotTable[[#This Row],[SC Book Price]] * 100, 0)</f>
        <v>0</v>
      </c>
      <c r="EW16" s="4" t="str">
        <f>IF(AND(ISNUMBER(SnapshotTable[[#This Row],[Last Price]]), ISNUMBER( SnapshotTable[[#This Row],[SC Book Price]])), SnapshotTable[[#This Row],[Last Price]] - SnapshotTable[[#This Row],[SC Book Price]],"")</f>
        <v/>
      </c>
      <c r="EX16" s="234" t="str">
        <f>IF(SnapshotTable[[#This Row],[SC Is Booked]],IF(SnapshotTable[[#This Row],[SC Intrinsic Value]] &gt; 0, SnapshotTable[[#This Row],[SC Strike Price]], SnapshotTable[[#This Row],[Last Price]]), "")</f>
        <v/>
      </c>
      <c r="EY16" s="4">
        <f>IF(SnapshotTable[[#This Row],[SC Is Booked]], (MinimumPremiumRequired * SnapshotTable[[#This Row],[SC Basis]] * SnapshotTable[[#This Row],[SC Term]]), 0)</f>
        <v>0</v>
      </c>
      <c r="EZ16" s="283"/>
      <c r="FA16" s="218"/>
      <c r="FB16" s="370"/>
      <c r="FC16" s="4">
        <f>IF(SnapshotTable[[#This Row],[SC Is Filled]], btc_max_buyback_amount(SnapshotTable[[#This Row],[SC Fill Date]],SnapshotTable[[#This Row],[SC Exp Date]], SnapshotTable[[#This Row],[SC Book Price]]),0)</f>
        <v>0</v>
      </c>
      <c r="FD16" s="5"/>
      <c r="FE16" s="144" t="str">
        <f>IF(SnapshotTable[[#This Row],[SC Is Filled]], btc_next_cutoff_date(SnapshotTable[[#This Row],[SC Fill Date]],SnapshotTable[[#This Row],[SC Exp Date]]),"")</f>
        <v/>
      </c>
      <c r="FF16" s="4" t="str" cm="1">
        <f t="array" ref="FF16">IF(SnapshotTable[[#This Row],[SC Is Filled]], btc_should_buy_back(SnapshotTable[[#This Row],[SC Fill Date]], SnapshotTable[[#This Row],[SC Exp Date]], SnapshotTable[[#This Row],[SC Book Price]], SnapshotTable[[#This Row],[SC Current Ask]], MockToday, SnapshotTable[[#This Row],[SC Buyback Override]]),"")</f>
        <v/>
      </c>
      <c r="FG16" s="4">
        <f>IF(SnapshotTable[[#This Row],[SC Is Filled]], MAX(0,SnapshotTable[[#This Row],[Last Price]]  - SnapshotTable[[#This Row],[SC Strike Price]]), 0)</f>
        <v>0</v>
      </c>
      <c r="FH16" s="382">
        <f>IF(SnapshotTable[[#This Row],[SC Is Filled]], IF(ISNUMBER(SnapshotTable[[#This Row],[SC Current Ask]]), SnapshotTable[[#This Row],[SC Current Ask]], SnapshotTable[[#This Row],[SC Book Price]]) - SnapshotTable[[#This Row],[SC Intrinsic Value]], 0)</f>
        <v>0</v>
      </c>
      <c r="FI16" s="143">
        <v>45786</v>
      </c>
      <c r="FJ16" s="32" t="str">
        <f>IF(SnapshotTable[[#This Row],[SC Is Filled]],100 * SnapshotTable[[#This Row],[SC Qty]] * IF(ISNUMBER(SnapshotTable[[#This Row],[SC Buyback Override]]), SnapshotTable[[#This Row],[SC Buyback Override]], SnapshotTable[[#This Row],[SC Current Ask]]), "")</f>
        <v/>
      </c>
      <c r="FK16" s="250" t="str">
        <f>IF(SnapshotTable[[#This Row],[SC Time Val]]&gt;0, SnapshotTable[[#This Row],[SC Time Val]] / SnapshotTable[[#This Row],[Last Price]],"")</f>
        <v/>
      </c>
      <c r="FL16" s="302" t="str">
        <f>IF(SnapshotTable[[#This Row],[SC Is Booked]], ((SnapshotTable[[#This Row],[Last Price]] -SnapshotTable[[#This Row],[SC Strike Price]]) / SnapshotTable[[#This Row],[Last Price]]) * -1, "")</f>
        <v/>
      </c>
      <c r="FM16" s="157" t="str">
        <f>IF(SnapshotTable[[#This Row],[SC Is Booked]],  (SnapshotTable[[#This Row],[SC Qty]] * 100 * SnapshotTable[[#This Row],[SC Strike Price]]) - SnapshotTable[[#This Row],[SC Current Ask]], "")</f>
        <v/>
      </c>
      <c r="FN16"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 s="157" t="str">
        <f>IF(AND(ISNUMBER(SnapshotTable[[#This Row],[SC Exercise Gross]]), ISNUMBER(SnapshotTable[[#This Row],[Equity Basis Per Share]] )), SnapshotTable[[#This Row],[SC Exercise Gross]] - SnapshotTable[[#This Row],[Equity Basis Total]] +  SnapshotTable[[#This Row],[SC Premium]], "")</f>
        <v/>
      </c>
      <c r="FP16" s="5" t="str">
        <f>IF(ISNUMBER(SnapshotTable[[#This Row],[SC Exercise Gross]]), (SnapshotTable[[#This Row],[SC Exercise Gross]]) / (SnapshotTable[[#This Row],[SC Qty]] * 100), "")</f>
        <v/>
      </c>
      <c r="FQ16" s="27" t="str">
        <f>IF(SnapshotTable[[#This Row],[SC Is Booked]],SnapshotTable[[#This Row],[SC Time Val]] /SnapshotTable[[#This Row],[SC Basis]], "")</f>
        <v/>
      </c>
      <c r="FR16" s="27" t="str" cm="1">
        <f t="array" ref="FR16">IF(AND(ISNUMBER(SnapshotTable[[#This Row],[SC Term]]),ISNUMBER(SnapshotTable[[#This Row],[SC Simple ROO]])), EllmanAnnualize(SnapshotTable[[#This Row],[SC DTE]], SnapshotTable[[#This Row],[SC Simple ROO]] ),"")</f>
        <v/>
      </c>
      <c r="FS16" s="4" t="e">
        <f>IF(SnapshotTable[[#This Row],[SC Strike Price]] &gt; SnapshotTable[[#This Row],[Last Price]], SnapshotTable[[#This Row],[SC Strike Price]] - SnapshotTable[[#This Row],[Last Price]],0)</f>
        <v>#VALUE!</v>
      </c>
      <c r="FT16" s="27" t="e">
        <f>IF(AND(ISNUMBER(SnapshotTable[[#This Row],[SC Upside Potential]]), SnapshotTable[[#This Row],[SC Upside Potential]] &gt; 0),(SnapshotTable[[#This Row],[SC Upside Potential]]/ SnapshotTable[[#This Row],[ACB]]),"")</f>
        <v>#VALUE!</v>
      </c>
      <c r="FU16" s="333" t="str">
        <f>IF(SnapshotTable[[#This Row],[SC Intrinsic Value]] &gt; 0,SnapshotTable[[#This Row],[SC Intrinsic Value]],"")</f>
        <v/>
      </c>
      <c r="FV16" s="27" t="str">
        <f>IF(AND( ISNUMBER( SnapshotTable[[#This Row],[ACB]]),ISNUMBER(SnapshotTable[[#This Row],[SC Downside Protect]])),SnapshotTable[[#This Row],[SC Downside Protect]] / SnapshotTable[[#This Row],[ACB]],"")</f>
        <v/>
      </c>
      <c r="FW16" s="236" t="str">
        <f>IF(AND(ISNUMBER(SnapshotTable[[#This Row],[SC Simple ROO]]),SnapshotTable[[#This Row],[SC Simple ROO]] &gt; 0), SnapshotTable[[#This Row],[SC Premium]] + (SnapshotTable[[#This Row],[SC Qty]] * SnapshotTable[[#This Row],[SC Upside Potential]]), "")</f>
        <v/>
      </c>
      <c r="FX16" s="302" t="str" cm="1">
        <f t="array" ref="FX16">IF(ISNUMBER(SnapshotTable[[#This Row],[SC Max Dollars]]), annualize(SnapshotTable[[#This Row],[SC Term]],(SnapshotTable[[#This Row],[SC Max Dollars]]/SnapshotTable[[#This Row],[SC Basis]])),"")</f>
        <v/>
      </c>
      <c r="FY16" s="236" t="str">
        <f>IF(AND(SnapshotTable[[#This Row],[SC Qty]]&gt;0,SnapshotTable[[#This Row],[SC Current Ask]]&gt;0), SnapshotTable[[#This Row],[SC Qty]] * SnapshotTable[[#This Row],[SC Current Ask]] * -100, "")</f>
        <v/>
      </c>
      <c r="FZ16" s="31" t="str">
        <f>IF(ISNUMBER((SnapshotTable[[#This Row],[SC Current Value]])), SnapshotTable[[#This Row],[SC Premium]] + SnapshotTable[[#This Row],[SC Current Value]], "")</f>
        <v/>
      </c>
      <c r="GA16" s="294" t="str">
        <f>IFERROR( IF(ISNUMBER((SnapshotTable[[#This Row],[SC Current Value]])), SnapshotTable[[#This Row],[SC Gain Loss]] / SnapshotTable[[#This Row],[SC Premium]], ""), "")</f>
        <v/>
      </c>
      <c r="GB16" s="42">
        <f>SnapshotTable[[#This Row],[Equity Shares]] * SaleSharesToConsiderPercentage</f>
        <v>0</v>
      </c>
      <c r="GC16" s="40">
        <f>SnapshotTable[[#This Row],[Long Term Target]] * SellingPriceToConsiderBasedOnTargetPercentage</f>
        <v>203.0625</v>
      </c>
      <c r="GD16" s="40">
        <f>SnapshotTable[[#This Row],[Last Price]] * (1+ SellingPriceToConsiderBasedOnTargetPercentage)</f>
        <v>276.80249999999995</v>
      </c>
      <c r="GE16" s="41"/>
      <c r="GF16" s="40"/>
      <c r="GG16" s="31">
        <f>SnapshotTable[[#This Row],[Booked Sale Shares]] * SnapshotTable[[#This Row],[Booked Sale Price]]</f>
        <v>0</v>
      </c>
      <c r="GH16" s="31" t="str">
        <f>IF(SnapshotTable[[#This Row],[Equity Basis Total]] &gt; 0, SnapshotTable[[#This Row],[Equity Basis Per Share]] * SnapshotTable[[#This Row],[Booked Sale Shares]], "")</f>
        <v/>
      </c>
      <c r="GI16" s="31">
        <f>IF(SnapshotTable[[#This Row],[Sale Proceeds]]&gt;0, SnapshotTable[[#This Row],[Sale Proceeds]] - SnapshotTable[[#This Row],[Sale Basis]], 0)</f>
        <v>0</v>
      </c>
      <c r="GJ16" s="158" t="str">
        <f>IF(SnapshotTable[[#This Row],[Sale G/L]]&gt;0, SnapshotTable[[#This Row],[Sale G/L]] / SnapshotTable[[#This Row],[Sale Basis]], IF(ISNUMBER(SnapshotTable[[#This Row],[SC Exercise P&amp;L (TAX)]]), SnapshotTable[[#This Row],[SC Exercise P&amp;L (TAX)]] / SnapshotTable[[#This Row],[SC Basis]], ""))</f>
        <v/>
      </c>
      <c r="GK16" s="158"/>
      <c r="GL16" s="159" t="str">
        <f>IF(AND(SnapshotTable[[#This Row],[LP Exp Date]]&gt;0,SnapshotTable[[#This Row],[LP Strike Price]]&gt;0), [1]!ToOptionSymbol(SnapshotTable[[#This Row],[Symbol]], SnapshotTable[[#This Row],[LP Strike Price]],SnapshotTable[[#This Row],[LP Exp Date]],1), "")</f>
        <v/>
      </c>
      <c r="GM16" s="30" t="str">
        <f>IF(LEN(SnapshotTable[[#This Row],[LP Symbol]])&gt;0, 1, "")</f>
        <v/>
      </c>
      <c r="GN16" s="43" t="str">
        <f>IF(AND(SnapshotTable[[#This Row],[SP Exp Date]]&gt;0,SnapshotTable[[#This Row],[SP Strike Price]]&gt;0), [1]!ToOptionSymbol(SnapshotTable[[#This Row],[Symbol]], SnapshotTable[[#This Row],[SP Strike Price]],SnapshotTable[[#This Row],[SP Exp Date]],1), "")</f>
        <v/>
      </c>
      <c r="GO16" s="30" t="str">
        <f>IF(LEN(SnapshotTable[[#This Row],[SP Symbol]])&gt;0, 1, "")</f>
        <v/>
      </c>
      <c r="GP16" s="159" t="str">
        <f>IF(AND(SnapshotTable[[#This Row],[LC Exp Date]]&gt;0,SnapshotTable[[#This Row],[LC Strike Price]]&gt;0), [1]!ToOptionSymbol(SnapshotTable[[#This Row],[Symbol]], SnapshotTable[[#This Row],[LC Strike Price]],SnapshotTable[[#This Row],[LC Exp Date]],0), "")</f>
        <v/>
      </c>
      <c r="GQ16" s="160" t="str">
        <f>IF(LEN(SnapshotTable[[#This Row],[LC Symbol]])&gt;0, 1, "")</f>
        <v/>
      </c>
      <c r="GR16" s="159" t="str">
        <f>IF(AND(SnapshotTable[[#This Row],[SC Exp Date]]&gt;0,SnapshotTable[[#This Row],[SC Strike Price]]&gt;0), [1]!ToOptionSymbol(SnapshotTable[[#This Row],[Symbol]], SnapshotTable[[#This Row],[SC Strike Price]],SnapshotTable[[#This Row],[SC Exp Date]],0), "")</f>
        <v/>
      </c>
      <c r="GS16" s="160" t="str">
        <f>IF(LEN(SnapshotTable[[#This Row],[SC Symbol]])&gt;0, 1, "")</f>
        <v/>
      </c>
      <c r="GT16" s="161" t="str">
        <f>IF(COUNT(SnapshotTable[[#This Row],[LP Symbol Count]],SnapshotTable[[#This Row],[SP Symbol Count]],SnapshotTable[[#This Row],[LC Symbol Count]],SnapshotTable[[#This Row],[SC Symbol Count]])&gt;0, "Y", "")</f>
        <v/>
      </c>
      <c r="GU1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 s="231" t="e">
        <f>MAX(SnapshotTable[[#This Row],[Equity Basis Total]],SnapshotTable[[#This Row],[Equity Value]]) + (SnapshotTable[[#This Row],[SP Potential Spend]]- SnapshotTable[[#This Row],[SP Premium]] + SnapshotTable[[#This Row],[LP Premium]])+ (SnapshotTable[[#This Row],[LC Premium]] - SnapshotTable[[#This Row],[SC Premium]])</f>
        <v>#VALUE!</v>
      </c>
      <c r="GW16" s="139" t="e">
        <f>IF(AND(SnapshotTable[[#This Row],[Exposure]] &lt;&gt; 0),SnapshotTable[[#This Row],[Exposure]] / SnapshotTable[[#Totals],[Exposure]], "")</f>
        <v>#VALUE!</v>
      </c>
      <c r="HK16" s="1"/>
      <c r="HL16" s="1"/>
      <c r="HM16" s="1"/>
      <c r="HN16" s="1"/>
      <c r="HO16" s="1"/>
      <c r="HP16" s="1"/>
    </row>
    <row r="17" spans="2:224" ht="12.75" hidden="1" customHeight="1" x14ac:dyDescent="0.25">
      <c r="B17" s="12" t="s">
        <v>470</v>
      </c>
      <c r="C17" s="422">
        <v>140.09</v>
      </c>
      <c r="D17" s="208"/>
      <c r="E17" s="39">
        <f>SnapshotTable[[#This Row],[Last Price]]*(1 -CrashDiscount)</f>
        <v>119.0765</v>
      </c>
      <c r="F17" s="26" t="s">
        <v>129</v>
      </c>
      <c r="G17" s="26" t="s">
        <v>9</v>
      </c>
      <c r="H17" s="149"/>
      <c r="I17" s="194">
        <v>44735.28125</v>
      </c>
      <c r="J17" s="195">
        <v>44735.28125</v>
      </c>
      <c r="K17" s="196" t="s">
        <v>3</v>
      </c>
      <c r="L17" s="326"/>
      <c r="M17" s="140"/>
      <c r="N17" s="140"/>
      <c r="O17" s="140"/>
      <c r="P17" s="22"/>
      <c r="Q17" s="25"/>
      <c r="R17" s="4" t="str">
        <f>IF(SnapshotTable[[#This Row],[Equity Basis Total]] &gt; 0, SnapshotTable[[#This Row],[Equity Basis Total]] / SnapshotTable[[#This Row],[Equity Shares]], "")</f>
        <v/>
      </c>
      <c r="S17" s="269">
        <f>SnapshotTable[[#This Row],[Last Price]] * SnapshotTable[[#This Row],[Equity Shares]]</f>
        <v>0</v>
      </c>
      <c r="T17" s="269">
        <f>SnapshotTable[[#This Row],[Equity Value]] - SnapshotTable[[#This Row],[Equity Basis Total]]</f>
        <v>0</v>
      </c>
      <c r="U17" s="270" t="str">
        <f>IF(SnapshotTable[[#This Row],[Equity Basis Total]] &gt; 0, SnapshotTable[[#This Row],[Equity G/L]] / SnapshotTable[[#This Row],[Equity Basis Total]], "")</f>
        <v/>
      </c>
      <c r="V17" s="268"/>
      <c r="W17" s="268"/>
      <c r="X17" s="4" t="str">
        <f>IF(AND(ISNUMBER(SnapshotTable[[#This Row],[Equity Basis Per Share]]),ISNUMBER(SnapshotTable[[#This Row],[Equity Target]])),SnapshotTable[[#This Row],[Equity Target]]-SnapshotTable[[#This Row],[Equity Basis Per Share]],"")</f>
        <v/>
      </c>
      <c r="Y17" s="4" t="str">
        <f>IF(AND(ISNUMBER(SnapshotTable[[#This Row],[Equity Basis Per Share]]),ISNUMBER(SnapshotTable[[#This Row],[Equity Stop Loss]])),SnapshotTable[[#This Row],[Equity Stop Loss]]-SnapshotTable[[#This Row],[Equity Basis Per Share]],"")</f>
        <v/>
      </c>
      <c r="Z17" s="275" t="str">
        <f>IFERROR( TEXT(SnapshotTable[[#This Row],[Equity Max Gain Per Share]] /ABS( SnapshotTable[[#This Row],[Equity Max Loss Per Share]]),"0.0 " ) &amp; " : 1", "")</f>
        <v/>
      </c>
      <c r="AA17" s="31" t="str">
        <f>IF(ISNUMBER(SnapshotTable[[#This Row],[Equity Max Gain Per Share]]),SnapshotTable[[#This Row],[Equity Max Gain Per Share]] * SnapshotTable[[#This Row],[Equity Shares]],"")</f>
        <v/>
      </c>
      <c r="AB17" s="31" t="str">
        <f>IF(ISNUMBER(SnapshotTable[[#This Row],[Equity Max Loss Per Share]]),SnapshotTable[[#This Row],[Equity Max Loss Per Share]] * SnapshotTable[[#This Row],[Equity Shares]],"")</f>
        <v/>
      </c>
      <c r="AC17" s="150"/>
      <c r="AD17" s="151"/>
      <c r="AE17" s="31">
        <f>(SnapshotTable[[#This Row],[Annual Dividend Per Share]] / 4) * SnapshotTable[[#This Row],[Equity Shares]]</f>
        <v>0</v>
      </c>
      <c r="AF17" s="31">
        <f>SnapshotTable[[#This Row],[Quarterly Div $]] * 4</f>
        <v>0</v>
      </c>
      <c r="AG17" s="7">
        <f>IF(SnapshotTable[[#This Row],[Annual Dividend Per Share]]&gt;0, SnapshotTable[[#This Row],[Annual Dividend Per Share]]  / SnapshotTable[[#This Row],[Last Price]], 0)</f>
        <v>0</v>
      </c>
      <c r="AH17" s="151"/>
      <c r="AI17" s="5"/>
      <c r="AJ17" s="138">
        <v>337.95</v>
      </c>
      <c r="AK17" s="152" t="str">
        <f>IF(ISNUMBER( SnapshotTable[[#This Row],[EBF Target]]),(SnapshotTable[[#This Row],[EBF Target]] - SnapshotTable[[#This Row],[Last Price]]) / SnapshotTable[[#This Row],[Last Price]], "")</f>
        <v/>
      </c>
      <c r="AL17" s="152" t="str">
        <f>IF(AND(SnapshotTable[[#This Row],[Equity Basis Total]] &gt; 0,ISNUMBER( SnapshotTable[[#This Row],[Long Term Target]])), SnapshotTable[[#This Row],[From Basis $]] / SnapshotTable[[#This Row],[Equity Basis Total]], "")</f>
        <v/>
      </c>
      <c r="AM17" s="9">
        <f>IF( AND(SnapshotTable[[#This Row],[Equity Shares]] &gt;0,ISNUMBER( SnapshotTable[[#This Row],[Long Term Target]])),(SnapshotTable[[#This Row],[Equity Shares]] * SnapshotTable[[#This Row],[Long Term Target]]) - SnapshotTable[[#This Row],[Equity Basis Total]],0)</f>
        <v>0</v>
      </c>
      <c r="AN17" s="9">
        <f>IF( AND(SnapshotTable[[#This Row],[Equity Shares]] &gt;0,ISNUMBER( SnapshotTable[[#This Row],[Long Term Target]])),(SnapshotTable[[#This Row],[Equity Shares]]*SnapshotTable[[#This Row],[Long Term Target]]) - SnapshotTable[[#This Row],[Equity Value]],0)</f>
        <v>0</v>
      </c>
      <c r="AO17" s="5">
        <f>IF(AND(ISNUMBER( SnapshotTable[[#This Row],[Long Term Target]]), ISNUMBER(SnapshotTable[[#This Row],[Last Price]])),(SnapshotTable[[#This Row],[Long Term Target]] - SnapshotTable[[#This Row],[Last Price]]) / SnapshotTable[[#This Row],[Last Price]], "")</f>
        <v>1.4123777571561138</v>
      </c>
      <c r="AP17" s="5">
        <v>170</v>
      </c>
      <c r="AQ17" s="38" t="s">
        <v>46</v>
      </c>
      <c r="AR17" s="5">
        <v>170</v>
      </c>
      <c r="AS17" s="38" t="s">
        <v>109</v>
      </c>
      <c r="AT17" s="146"/>
      <c r="AU17" s="187" t="str">
        <f>IF(OR(SnapshotTable[[#This Row],[LP No Fill]]="Y",SnapshotTable[[#This Row],[SP Is Filled]],SnapshotTable[[#This Row],[LC Not Filled]]="Y",SnapshotTable[[#This Row],[SC Is Filled]]),"Y","")</f>
        <v/>
      </c>
      <c r="AV17" s="219"/>
      <c r="AW17" s="225"/>
      <c r="AX17" s="220"/>
      <c r="AY17" s="219" t="str">
        <f>IF(SnapshotTable[[#This Row],[Implied Move]]&gt;0, SnapshotTable[[#This Row],[Last Price]]-SnapshotTable[[#This Row],[Implied Move]],"")</f>
        <v/>
      </c>
      <c r="AZ17" s="219" t="str">
        <f>IF(SnapshotTable[[#This Row],[Implied Move]]&gt;0, SnapshotTable[[#This Row],[Last Price]] + SnapshotTable[[#This Row],[Implied Move]],"")</f>
        <v/>
      </c>
      <c r="BA17" s="331"/>
      <c r="BB17" s="347"/>
      <c r="BC1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 s="351"/>
      <c r="BE17" s="5"/>
      <c r="BF17" s="14"/>
      <c r="BG17" s="13"/>
      <c r="BH17" s="13"/>
      <c r="BI17" s="5"/>
      <c r="BJ17" s="136">
        <f>IF(SnapshotTable[[#This Row],[LP Qty]] &gt; 0, SnapshotTable[[#This Row],[LP Qty]] * SnapshotTable[[#This Row],[LP Book Price]] * 100,0)</f>
        <v>0</v>
      </c>
      <c r="BK17" s="136">
        <f>IF(SnapshotTable[[#This Row],[LP Premium]] &gt; 0, SnapshotTable[[#This Row],[LP Qty]] * SnapshotTable[[#This Row],[LP Strike Price]] * 100,0)</f>
        <v>0</v>
      </c>
      <c r="BL17" s="154"/>
      <c r="BM17" s="385" t="str">
        <f>IF(SnapshotTable[[#This Row],[LP Premium]] &gt; 0,SnapshotTable[[#This Row],[LP Exp Date]]-MAX(SnapshotTable[[#This Row],[LP Book Date]], SnapshotTable[[#This Row],[LP Fill Date]]),"")</f>
        <v/>
      </c>
      <c r="BN17" s="385" t="str">
        <f>IF(ISNUMBER( SnapshotTable[[#This Row],[LP Term]]), SnapshotTable[[#This Row],[LP Exp Date]] - MockToday,"")</f>
        <v/>
      </c>
      <c r="BO17" s="163" t="str">
        <f>IF(AND(SnapshotTable[[#This Row],[LP Exp Date]]&gt;0, SnapshotTable[[#This Row],[LP Strike Price]]&gt;0,SnapshotTable[[#This Row],[LP Qty]]&gt;0,SnapshotTable[[#This Row],[LP Book Date]]&gt;0,SnapshotTable[[#This Row],[LP Book Price]]&gt;0,SnapshotTable[[#This Row],[LP Fill Date]]=0),"Y","")</f>
        <v/>
      </c>
      <c r="BP17" s="31" t="str">
        <f>IF(AND(SnapshotTable[[#This Row],[LP No Fill]]&lt;&gt;"Y",SnapshotTable[[#This Row],[LP Contract Value]]&gt;0, SnapshotTable[[#This Row],[LP Qty]]&gt;0), SnapshotTable[[#This Row],[LP Contract Value]]*SnapshotTable[[#This Row],[LP Qty]]*100,"")</f>
        <v/>
      </c>
      <c r="BQ17" s="13"/>
      <c r="BR17" s="5" t="str">
        <f>IF(SnapshotTable[[#This Row],[SP Exp Date]]&lt;&gt;"",TRUNC(SnapshotTable[[#This Row],[Last Price]]),"")</f>
        <v/>
      </c>
      <c r="BS17" s="36"/>
      <c r="BT17" s="147"/>
      <c r="BU17" s="13"/>
      <c r="BV17" s="5"/>
      <c r="BW17" s="419" t="b">
        <f>AND(ISNUMBER(SnapshotTable[[#This Row],[SP Exp Date]]), ISNUMBER(SnapshotTable[[#This Row],[SP Strike Price]]), ISNUMBER(SnapshotTable[[#This Row],[SP Qty]]), ISNUMBER(SnapshotTable[[#This Row],[SP Book Date]]), ISNUMBER(SnapshotTable[[#This Row],[SP Book Price]]))</f>
        <v>0</v>
      </c>
      <c r="BX17" s="419" t="b">
        <f>AND(SnapshotTable[[#This Row],[SP Is Booked]], NOT(ISBLANK(SnapshotTable[[#This Row],[SP Fill Date]])))</f>
        <v>0</v>
      </c>
      <c r="BY17" s="33">
        <f>IF(SnapshotTable[[#This Row],[SP Is Booked]], SnapshotTable[[#This Row],[SP Qty]] * SnapshotTable[[#This Row],[SP Book Price]] * 100, 0)</f>
        <v>0</v>
      </c>
      <c r="BZ17" s="369"/>
      <c r="CA17" s="368">
        <f>SnapshotTable[[#This Row],[LP Qty]]</f>
        <v>0</v>
      </c>
      <c r="CB17" s="4" t="str">
        <f>IF(SnapshotTable[[#This Row],[SP Is Booked]], SnapshotTable[[#This Row],[SP Strike Price]] - SnapshotTable[[#This Row],[SP Book Price]], "")</f>
        <v/>
      </c>
      <c r="CC17" s="19" t="str">
        <f>IF(SnapshotTable[[#This Row],[SP Is Booked]],SnapshotTable[[#This Row],[SP Exp Date]]-MAX(SnapshotTable[[#This Row],[SP Book Date]], SnapshotTable[[#This Row],[SP Fill Date]]),"")</f>
        <v/>
      </c>
      <c r="CD17" s="7" t="str">
        <f>IF(SnapshotTable[[#This Row],[SP Is Booked]], SnapshotTable[[#This Row],[SP Book Price]]/SnapshotTable[[#This Row],[SP Strike Price]], "")</f>
        <v/>
      </c>
      <c r="CE17" s="7" t="str">
        <f>IF(ISNUMBER(SnapshotTable[[#This Row],[SP ROO Term]]),SnapshotTable[[#This Row],[SP ROO Term]]*(365/SnapshotTable[[#This Row],[SP Term]]),"")</f>
        <v/>
      </c>
      <c r="CF17" s="236">
        <f>SnapshotTable[[#This Row],[LP Strike Price]] * SnapshotTable[[#This Row],[LP Qty]] * 100</f>
        <v>0</v>
      </c>
      <c r="CG17" s="31" t="e">
        <f>IF(ISNUMBER(SnapshotTable[[#This Row],[SP Premium]]), (SnapshotTable[[#This Row],[SP Qty]] * SnapshotTable[[#This Row],[SP Strike Price]]* 100) - SnapshotTable[[#This Row],[LP Protection]], 0)</f>
        <v>#VALUE!</v>
      </c>
      <c r="CH17" s="7" t="str">
        <f>IF(ISNUMBER(SnapshotTable[[#This Row],[SP Break Even]]),-1 * (SnapshotTable[[#This Row],[SP Break Even]] - SnapshotTable[[#This Row],[Last Price]]) / SnapshotTable[[#This Row],[Last Price]], "")</f>
        <v/>
      </c>
      <c r="CI17" s="31">
        <f>IF(AND(ISNUMBER((SnapshotTable[[#This Row],[SP Potential Spend]])), SnapshotTable[[#This Row],[SP Strike Price]] &gt; SnapshotTable[[#This Row],[Last Price]], SnapshotTable[[#This Row],[SP Is Filled]]), SnapshotTable[[#This Row],[SP Potential Spend]] -  SnapshotTable[[#This Row],[LP Max Value]], 0)</f>
        <v>0</v>
      </c>
      <c r="CJ17" s="244"/>
      <c r="CK17" s="31" t="str">
        <f>IF(ISNUMBER(SnapshotTable[[#This Row],[SP Potential Spend]]),IF(ISNUMBER(SnapshotTable[[#This Row],[SP POW]]), SnapshotTable[[#This Row],[SP POW]] * SnapshotTable[[#This Row],[SP Potential Spend]], SnapshotTable[[#This Row],[SP Potential Spend]]), "")</f>
        <v/>
      </c>
      <c r="CL17" s="164" t="e">
        <f>IF(NOT(SnapshotTable[[#This Row],[SP Is Filled]]),(SnapshotTable[[#This Row],[SP Qty]] * SnapshotTable[[#This Row],[SP Strike Price]] * 100) - SnapshotTable[[#This Row],[LP Max Value]],"")</f>
        <v>#VALUE!</v>
      </c>
      <c r="CM17" s="31" t="str">
        <f>IF(SnapshotTable[[#This Row],[SP Actual Spend]]&lt;&gt;0, ((SnapshotTable[[#This Row],[SP Strike Price]]-SnapshotTable[[#This Row],[Last Price]]) *(SnapshotTable[[#This Row],[SP Qty]]*100) - SnapshotTable[[#This Row],[SP Premium]]) * - 1, "")</f>
        <v/>
      </c>
      <c r="CN17" s="78"/>
      <c r="CO17" s="369"/>
      <c r="CP17" s="4" t="str">
        <f>IF(SnapshotTable[[#This Row],[SP Is Filled]], btc_max_buyback_amount(SnapshotTable[[#This Row],[SP Fill Date]],SnapshotTable[[#This Row],[SP Exp Date]], SnapshotTable[[#This Row],[SP Book Price]]),"")</f>
        <v/>
      </c>
      <c r="CQ17" s="78"/>
      <c r="CR1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 s="155" t="str">
        <f>IF(SnapshotTable[[#This Row],[SP Is Filled]], btc_next_cutoff_date(SnapshotTable[[#This Row],[SP Fill Date]],SnapshotTable[[#This Row],[SP Exp Date]]),"")</f>
        <v/>
      </c>
      <c r="CT17" s="235" t="str" cm="1">
        <f t="array" ref="CT17">IF(SnapshotTable[[#This Row],[SP Is Filled]], btc_should_buy_back(SnapshotTable[[#This Row],[SP Fill Date]], SnapshotTable[[#This Row],[SP Exp Date]], SnapshotTable[[#This Row],[SP Book Price]], SnapshotTable[[#This Row],[SP Current Ask]], MockToday, SnapshotTable[[#This Row],[SP Buyback Override]]),"")</f>
        <v/>
      </c>
      <c r="CU17" s="143"/>
      <c r="CV17" s="235"/>
      <c r="CW17" s="378" t="str">
        <f>IF(ISNUMBER( SnapshotTable[[#This Row],[SP Term]]), SnapshotTable[[#This Row],[SP Exp Date]] - MockToday,"")</f>
        <v/>
      </c>
      <c r="CX17" s="31" t="str">
        <f>IF(SnapshotTable[[#This Row],[SP Is Filled]],SnapshotTable[[#This Row],[SP Buyback Price to Use]] * 100 * SnapshotTable[[#This Row],[SP Qty]], "")</f>
        <v/>
      </c>
      <c r="CY17" s="4" t="str">
        <f>IF(ISNUMBER(SnapshotTable[[#This Row],[SP Strike Price]]), SnapshotTable[[#This Row],[SP Strike Price]] * (1 - SP_MaxLoss_StrikePct), "")</f>
        <v/>
      </c>
      <c r="CZ17" s="31" t="str">
        <f>IF(ISNUMBER(SnapshotTable[[#This Row],[SP Strike  Stop Per Share]]),SnapshotTable[[#This Row],[SP Premium]] - ((SnapshotTable[[#This Row],[SP Strike Price]]-SnapshotTable[[#This Row],[SP Strike  Stop Per Share]]) *(SnapshotTable[[#This Row],[SP Qty]] * 100)),"")</f>
        <v/>
      </c>
      <c r="DA17" s="4" t="str">
        <f>IF(AND(ISNUMBER(SnapshotTable[[#This Row],[SP Premium]]),SnapshotTable[[#This Row],[SP Premium]]&gt;0), SnapshotTable[[#This Row],[SP Book Price]] * (1 + SP_MaxLoss_OptionPct), "")</f>
        <v/>
      </c>
      <c r="DB17" s="31" t="str">
        <f>IF(ISNUMBER(SnapshotTable[[#This Row],[SP Option  Stop Contract]]),(SnapshotTable[[#This Row],[SP Option  Stop Contract]] *(SnapshotTable[[#This Row],[SP Qty]] * 100) - SnapshotTable[[#This Row],[SP Premium]]),"")</f>
        <v/>
      </c>
      <c r="DC17" s="4"/>
      <c r="DD17" s="4"/>
      <c r="DE17" s="4" t="str">
        <f>IF(AND(SnapshotTable[[#This Row],[SP Qty]]&gt;0, SnapshotTable[[#This Row],[SP Stop To Use]]&gt;0),SnapshotTable[[#This Row],[SP Premium]] - ( SnapshotTable[[#This Row],[SP Qty]] * SnapshotTable[[#This Row],[SP Stop To Use]] * 100), "")</f>
        <v/>
      </c>
      <c r="DF17" s="31" t="str">
        <f>IF(AND(SnapshotTable[[#This Row],[SP Qty]]&gt;0,SnapshotTable[[#This Row],[SP Current Ask]]&gt;0), SnapshotTable[[#This Row],[SP Qty]] * SnapshotTable[[#This Row],[SP Current Ask]] * -100, "")</f>
        <v/>
      </c>
      <c r="DG17" s="31" t="str">
        <f>IF(ISNUMBER((SnapshotTable[[#This Row],[SP Total Value]])), SnapshotTable[[#This Row],[SP Premium]] + SnapshotTable[[#This Row],[SP Total Value]], "")</f>
        <v/>
      </c>
      <c r="DH17" s="294" t="str">
        <f>IF(ISNUMBER((SnapshotTable[[#This Row],[SP Total Value]])), SnapshotTable[[#This Row],[SP Gain Loss]] / SnapshotTable[[#This Row],[SP Premium]], "")</f>
        <v/>
      </c>
      <c r="DI17" s="406"/>
      <c r="DJ17" s="138"/>
      <c r="DK17" s="148"/>
      <c r="DL17" s="13"/>
      <c r="DM17" s="13"/>
      <c r="DO17" s="31">
        <f>IF(SnapshotTable[[#This Row],[LC Symbol Count]]=1, SnapshotTable[[#This Row],[LC Qty]] * SnapshotTable[[#This Row],[LC Book Price]] * 100, 0)</f>
        <v>0</v>
      </c>
      <c r="DP17" s="163" t="str">
        <f>IF(AND(SnapshotTable[[#This Row],[LC Exp Date]]&gt;0, SnapshotTable[[#This Row],[LC Strike Price]]&gt;0,SnapshotTable[[#This Row],[LC Qty]]&gt;0,SnapshotTable[[#This Row],[LC Book Date]]&gt;0,SnapshotTable[[#This Row],[LC Book Price]]&gt;0,SnapshotTable[[#This Row],[LC Fill Date]]=0),"Y","")</f>
        <v/>
      </c>
      <c r="DQ17" s="386" t="str">
        <f>IF(SnapshotTable[[#This Row],[LC Premium]] &gt; 0,SnapshotTable[[#This Row],[LC Exp Date]]-MAX(SnapshotTable[[#This Row],[LC Book Date]], SnapshotTable[[#This Row],[LC Fill Date]]),"")</f>
        <v/>
      </c>
      <c r="DR17" s="386" t="str">
        <f>IF(ISNUMBER(SnapshotTable[[#This Row],[LC Term]]), SnapshotTable[[#This Row],[LC Exp Date]] - MockToday, "")</f>
        <v/>
      </c>
      <c r="DS17" s="234" t="str">
        <f>IF(SnapshotTable[[#This Row],[LC Premium]]&gt;0,SnapshotTable[[#This Row],[LC Strike Price]] + SnapshotTable[[#This Row],[LC Book Price]],"")</f>
        <v/>
      </c>
      <c r="DU17" s="9" t="str">
        <f>IF(AND(SnapshotTable[[#This Row],[LC Symbol Count]]&gt;0, SnapshotTable[[#This Row],[LC Contract Value]]&gt;0), SnapshotTable[[#This Row],[LC Contract Value]] * SnapshotTable[[#This Row],[LC Qty]] * 100, "")</f>
        <v/>
      </c>
      <c r="DV17" s="9" t="str">
        <f>IF(AND(ISNUMBER(SnapshotTable[[#This Row],[LC Total Value]]), SnapshotTable[[#This Row],[LC Not Filled]]&lt;&gt;"Y"), SnapshotTable[[#This Row],[LC Total Value]]-SnapshotTable[[#This Row],[LC Premium]],"")</f>
        <v/>
      </c>
      <c r="DW17" s="240" t="str">
        <f>IF(ISNUMBER(SnapshotTable[[#This Row],[LC Actual Gain Loss]]), SnapshotTable[[#This Row],[LC Actual Gain Loss]] / SnapshotTable[[#This Row],[LC Premium]],"")</f>
        <v/>
      </c>
      <c r="DX17" s="284" t="str">
        <f>IF(ISNUMBER(SnapshotTable[[#This Row],[LC Book Price]]),SnapshotTable[[#This Row],[LC Book Price]] * 1.5,"")</f>
        <v/>
      </c>
      <c r="DY17" s="265" t="str">
        <f>IF(SnapshotTable[[#This Row],[LC Premium]]&gt;0, SnapshotTable[[#This Row],[LC Next Target]] * SnapshotTable[[#This Row],[LC Qty]] * 100,"")</f>
        <v/>
      </c>
      <c r="DZ17" s="265" t="str">
        <f>IF(ISNUMBER(SnapshotTable[[#This Row],[LC Target Gross]]), SnapshotTable[[#This Row],[LC Target Gross]] - SnapshotTable[[#This Row],[LC Premium]], "")</f>
        <v/>
      </c>
      <c r="EA17" s="305" t="str">
        <f>IF(ISNUMBER(SnapshotTable[[#This Row],[LC Target Gain Loss]]), SnapshotTable[[#This Row],[LC Target Gain Loss]]/SnapshotTable[[#This Row],[LC Premium]], "")</f>
        <v/>
      </c>
      <c r="EB17" s="262"/>
      <c r="EC17" s="283" t="str">
        <f>IF(SnapshotTable[[#This Row],[LC Premium]]&gt;0, SnapshotTable[[#This Row],[LC Book Price]] * (1 - LC_StopLoss_Pct),"")</f>
        <v/>
      </c>
      <c r="ED17" s="284"/>
      <c r="EE17" s="283" t="str">
        <f>IF(ISNUMBER(SnapshotTable[[#This Row],[LC Contract Value]]),IF(ISNUMBER(SnapshotTable[[#This Row],[LC Stop Loss Override]]), SnapshotTable[[#This Row],[LC Stop Loss Override]],SnapshotTable[[#This Row],[LC Stop Loss Calc Target]]),"")</f>
        <v/>
      </c>
      <c r="EF17" s="31" t="str">
        <f>IF(ISNUMBER(SnapshotTable[[#This Row],[LC Stop  To Use]]), (SnapshotTable[[#This Row],[LC Stop  To Use]] * SnapshotTable[[#This Row],[LC Qty]] * 100),"")</f>
        <v/>
      </c>
      <c r="EG17" s="9" t="str">
        <f>IF(ISNUMBER(SnapshotTable[[#This Row],[LC Total Value]]),SnapshotTable[[#This Row],[LC Stop Loss Amount]] - SnapshotTable[[#This Row],[LC Premium]],"")</f>
        <v/>
      </c>
      <c r="EH17" s="9">
        <f>IF(ISNUMBER(SnapshotTable[[#This Row],[LC Premium]]), SnapshotTable[[#This Row],[LC Qty]] * 100 * SnapshotTable[[#This Row],[LC Strike Price]], "")</f>
        <v>0</v>
      </c>
      <c r="EI17" s="240" t="str">
        <f>IF(AND(ISNUMBER(SnapshotTable[[#This Row],[LC Total Value]]),SnapshotTable[[#This Row],[LC Total Value]]&gt;0),SnapshotTable[[#This Row],[LC Stop Gain Loss]]  / SnapshotTable[[#This Row],[LC Premium]],"")</f>
        <v/>
      </c>
      <c r="EJ17" s="35">
        <f>IF(ISNUMBER(SnapshotTable[[#This Row],[Equity Shares]]),TRUNC(SnapshotTable[[#This Row],[Equity Shares]] / 100),0) + SnapshotTable[[#This Row],[LC Qty]]</f>
        <v>0</v>
      </c>
      <c r="EK17" s="147"/>
      <c r="EL17" s="138" t="str">
        <f>IF(SnapshotTable[[#This Row],[SC Exp Date]]&lt;&gt;"",TRUNC(SnapshotTable[[#This Row],[Last Price]]),"")</f>
        <v/>
      </c>
      <c r="EM17" s="148"/>
      <c r="EN17" s="147"/>
      <c r="EO17" s="147"/>
      <c r="EP17" s="138"/>
      <c r="EQ17" s="419" t="b">
        <f>AND(ISNUMBER(SnapshotTable[[#This Row],[SC Exp Date]]), ISNUMBER(SnapshotTable[[#This Row],[SC Strike Price]]), ISNUMBER(SnapshotTable[[#This Row],[SC Qty]]), ISNUMBER(SnapshotTable[[#This Row],[SC Book Date]]), ISNUMBER(SnapshotTable[[#This Row],[SC Book Price]]))</f>
        <v>0</v>
      </c>
      <c r="ER17" s="419" t="b">
        <f>AND(SnapshotTable[[#This Row],[SC Is Booked]], NOT(ISBLANK(SnapshotTable[[#This Row],[SC Fill Date]])))</f>
        <v>0</v>
      </c>
      <c r="ES17" s="370"/>
      <c r="ET17" s="34" t="str">
        <f>IF(AND(ISNUMBER(SnapshotTable[[#This Row],[SC Exp Date]]), ISNUMBER(SnapshotTable[[#This Row],[SC Book Date]])), SnapshotTable[[#This Row],[SC Exp Date]] - MAX(SnapshotTable[[#This Row],[SC Book Date]], SnapshotTable[[#This Row],[SC Fill Date]]) + 1, "")</f>
        <v/>
      </c>
      <c r="EU17" s="34" t="str">
        <f>IF(ISNUMBER(SnapshotTable[[#This Row],[SC Term]]), SnapshotTable[[#This Row],[SC Exp Date]]- MockToday, "")</f>
        <v/>
      </c>
      <c r="EV17" s="31">
        <f>IF(SnapshotTable[[#This Row],[SC Is Booked]], SnapshotTable[[#This Row],[SC Qty]] * SnapshotTable[[#This Row],[SC Book Price]] * 100, 0)</f>
        <v>0</v>
      </c>
      <c r="EW17" s="4" t="str">
        <f>IF(AND(ISNUMBER(SnapshotTable[[#This Row],[Last Price]]), ISNUMBER( SnapshotTable[[#This Row],[SC Book Price]])), SnapshotTable[[#This Row],[Last Price]] - SnapshotTable[[#This Row],[SC Book Price]],"")</f>
        <v/>
      </c>
      <c r="EX17" s="234" t="str">
        <f>IF(SnapshotTable[[#This Row],[SC Is Booked]],IF(SnapshotTable[[#This Row],[SC Intrinsic Value]] &gt; 0, SnapshotTable[[#This Row],[SC Strike Price]], SnapshotTable[[#This Row],[Last Price]]), "")</f>
        <v/>
      </c>
      <c r="EY17" s="4">
        <f>IF(SnapshotTable[[#This Row],[SC Is Booked]], (MinimumPremiumRequired * SnapshotTable[[#This Row],[SC Basis]] * SnapshotTable[[#This Row],[SC Term]]), 0)</f>
        <v>0</v>
      </c>
      <c r="EZ17" s="283"/>
      <c r="FA17" s="218"/>
      <c r="FB17" s="370"/>
      <c r="FC17" s="4">
        <f>IF(SnapshotTable[[#This Row],[SC Is Filled]], btc_max_buyback_amount(SnapshotTable[[#This Row],[SC Fill Date]],SnapshotTable[[#This Row],[SC Exp Date]], SnapshotTable[[#This Row],[SC Book Price]]),0)</f>
        <v>0</v>
      </c>
      <c r="FD17" s="5"/>
      <c r="FE17" s="144" t="str">
        <f>IF(SnapshotTable[[#This Row],[SC Is Filled]], btc_next_cutoff_date(SnapshotTable[[#This Row],[SC Fill Date]],SnapshotTable[[#This Row],[SC Exp Date]]),"")</f>
        <v/>
      </c>
      <c r="FF17" s="4" t="str" cm="1">
        <f t="array" ref="FF17">IF(SnapshotTable[[#This Row],[SC Is Filled]], btc_should_buy_back(SnapshotTable[[#This Row],[SC Fill Date]], SnapshotTable[[#This Row],[SC Exp Date]], SnapshotTable[[#This Row],[SC Book Price]], SnapshotTable[[#This Row],[SC Current Ask]], MockToday, SnapshotTable[[#This Row],[SC Buyback Override]]),"")</f>
        <v/>
      </c>
      <c r="FG17" s="4">
        <f>IF(SnapshotTable[[#This Row],[SC Is Filled]], MAX(0,SnapshotTable[[#This Row],[Last Price]]  - SnapshotTable[[#This Row],[SC Strike Price]]), 0)</f>
        <v>0</v>
      </c>
      <c r="FH17" s="382">
        <f>IF(SnapshotTable[[#This Row],[SC Is Filled]], IF(ISNUMBER(SnapshotTable[[#This Row],[SC Current Ask]]), SnapshotTable[[#This Row],[SC Current Ask]], SnapshotTable[[#This Row],[SC Book Price]]) - SnapshotTable[[#This Row],[SC Intrinsic Value]], 0)</f>
        <v>0</v>
      </c>
      <c r="FI17" s="143">
        <v>45786</v>
      </c>
      <c r="FJ17" s="32" t="str">
        <f>IF(SnapshotTable[[#This Row],[SC Is Filled]],100 * SnapshotTable[[#This Row],[SC Qty]] * IF(ISNUMBER(SnapshotTable[[#This Row],[SC Buyback Override]]), SnapshotTable[[#This Row],[SC Buyback Override]], SnapshotTable[[#This Row],[SC Current Ask]]), "")</f>
        <v/>
      </c>
      <c r="FK17" s="250" t="str">
        <f>IF(SnapshotTable[[#This Row],[SC Time Val]]&gt;0, SnapshotTable[[#This Row],[SC Time Val]] / SnapshotTable[[#This Row],[Last Price]],"")</f>
        <v/>
      </c>
      <c r="FL17" s="302" t="str">
        <f>IF(SnapshotTable[[#This Row],[SC Is Booked]], ((SnapshotTable[[#This Row],[Last Price]] -SnapshotTable[[#This Row],[SC Strike Price]]) / SnapshotTable[[#This Row],[Last Price]]) * -1, "")</f>
        <v/>
      </c>
      <c r="FM17" s="157" t="str">
        <f>IF(SnapshotTable[[#This Row],[SC Is Booked]],  (SnapshotTable[[#This Row],[SC Qty]] * 100 * SnapshotTable[[#This Row],[SC Strike Price]]) - SnapshotTable[[#This Row],[SC Current Ask]], "")</f>
        <v/>
      </c>
      <c r="FN1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 s="31" t="str">
        <f>IF(AND(ISNUMBER(SnapshotTable[[#This Row],[SC Exercise Gross]]), ISNUMBER(SnapshotTable[[#This Row],[Equity Basis Per Share]] )), SnapshotTable[[#This Row],[SC Exercise Gross]] - SnapshotTable[[#This Row],[Equity Basis Total]] +  SnapshotTable[[#This Row],[SC Premium]], "")</f>
        <v/>
      </c>
      <c r="FP17" s="5" t="str">
        <f>IF(ISNUMBER(SnapshotTable[[#This Row],[SC Exercise Gross]]), (SnapshotTable[[#This Row],[SC Exercise Gross]]) / (SnapshotTable[[#This Row],[SC Qty]] * 100), "")</f>
        <v/>
      </c>
      <c r="FQ17" s="27" t="str">
        <f>IF(SnapshotTable[[#This Row],[SC Is Booked]],SnapshotTable[[#This Row],[SC Time Val]] /SnapshotTable[[#This Row],[SC Basis]], "")</f>
        <v/>
      </c>
      <c r="FR17" s="27" t="str" cm="1">
        <f t="array" ref="FR17">IF(AND(ISNUMBER(SnapshotTable[[#This Row],[SC Term]]),ISNUMBER(SnapshotTable[[#This Row],[SC Simple ROO]])), EllmanAnnualize(SnapshotTable[[#This Row],[SC DTE]], SnapshotTable[[#This Row],[SC Simple ROO]] ),"")</f>
        <v/>
      </c>
      <c r="FS17" s="4" t="e">
        <f>IF(SnapshotTable[[#This Row],[SC Strike Price]] &gt; SnapshotTable[[#This Row],[Last Price]], SnapshotTable[[#This Row],[SC Strike Price]] - SnapshotTable[[#This Row],[Last Price]],0)</f>
        <v>#VALUE!</v>
      </c>
      <c r="FT17" s="27" t="e">
        <f>IF(AND(ISNUMBER(SnapshotTable[[#This Row],[SC Upside Potential]]), SnapshotTable[[#This Row],[SC Upside Potential]] &gt; 0),(SnapshotTable[[#This Row],[SC Upside Potential]]/ SnapshotTable[[#This Row],[ACB]]),"")</f>
        <v>#VALUE!</v>
      </c>
      <c r="FU17" s="333" t="str">
        <f>IF(SnapshotTable[[#This Row],[SC Intrinsic Value]] &gt; 0,SnapshotTable[[#This Row],[SC Intrinsic Value]],"")</f>
        <v/>
      </c>
      <c r="FV17" s="27" t="str">
        <f>IF(AND( ISNUMBER( SnapshotTable[[#This Row],[ACB]]),ISNUMBER(SnapshotTable[[#This Row],[SC Downside Protect]])),SnapshotTable[[#This Row],[SC Downside Protect]] / SnapshotTable[[#This Row],[ACB]],"")</f>
        <v/>
      </c>
      <c r="FW17" s="236" t="str">
        <f>IF(AND(ISNUMBER(SnapshotTable[[#This Row],[SC Simple ROO]]),SnapshotTable[[#This Row],[SC Simple ROO]] &gt; 0), SnapshotTable[[#This Row],[SC Premium]] + (SnapshotTable[[#This Row],[SC Qty]] * SnapshotTable[[#This Row],[SC Upside Potential]]), "")</f>
        <v/>
      </c>
      <c r="FX17" s="302" t="str" cm="1">
        <f t="array" ref="FX17">IF(ISNUMBER(SnapshotTable[[#This Row],[SC Max Dollars]]), annualize(SnapshotTable[[#This Row],[SC Term]],(SnapshotTable[[#This Row],[SC Max Dollars]]/SnapshotTable[[#This Row],[SC Basis]])),"")</f>
        <v/>
      </c>
      <c r="FY17" s="236" t="str">
        <f>IF(AND(SnapshotTable[[#This Row],[SC Qty]]&gt;0,SnapshotTable[[#This Row],[SC Current Ask]]&gt;0), SnapshotTable[[#This Row],[SC Qty]] * SnapshotTable[[#This Row],[SC Current Ask]] * -100, "")</f>
        <v/>
      </c>
      <c r="FZ17" s="31" t="str">
        <f>IF(ISNUMBER((SnapshotTable[[#This Row],[SC Current Value]])), SnapshotTable[[#This Row],[SC Premium]] + SnapshotTable[[#This Row],[SC Current Value]], "")</f>
        <v/>
      </c>
      <c r="GA17" s="294" t="str">
        <f>IFERROR( IF(ISNUMBER((SnapshotTable[[#This Row],[SC Current Value]])), SnapshotTable[[#This Row],[SC Gain Loss]] / SnapshotTable[[#This Row],[SC Premium]], ""), "")</f>
        <v/>
      </c>
      <c r="GB17" s="42">
        <f>SnapshotTable[[#This Row],[Equity Shares]] * SaleSharesToConsiderPercentage</f>
        <v>0</v>
      </c>
      <c r="GC17" s="40">
        <f>SnapshotTable[[#This Row],[Long Term Target]] * SellingPriceToConsiderBasedOnTargetPercentage</f>
        <v>321.05249999999995</v>
      </c>
      <c r="GD17" s="40">
        <f>SnapshotTable[[#This Row],[Last Price]] * (1+ SellingPriceToConsiderBasedOnTargetPercentage)</f>
        <v>273.1755</v>
      </c>
      <c r="GE17" s="41"/>
      <c r="GF17" s="40"/>
      <c r="GG17" s="31">
        <f>SnapshotTable[[#This Row],[Booked Sale Shares]] * SnapshotTable[[#This Row],[Booked Sale Price]]</f>
        <v>0</v>
      </c>
      <c r="GH17" s="31" t="str">
        <f>IF(SnapshotTable[[#This Row],[Equity Basis Total]] &gt; 0, SnapshotTable[[#This Row],[Equity Basis Per Share]] * SnapshotTable[[#This Row],[Booked Sale Shares]], "")</f>
        <v/>
      </c>
      <c r="GI17" s="31">
        <f>IF(SnapshotTable[[#This Row],[Sale Proceeds]]&gt;0, SnapshotTable[[#This Row],[Sale Proceeds]] - SnapshotTable[[#This Row],[Sale Basis]], 0)</f>
        <v>0</v>
      </c>
      <c r="GJ17" s="27" t="str">
        <f>IF(SnapshotTable[[#This Row],[Sale G/L]]&gt;0, SnapshotTable[[#This Row],[Sale G/L]] / SnapshotTable[[#This Row],[Sale Basis]], IF(ISNUMBER(SnapshotTable[[#This Row],[SC Exercise P&amp;L (TAX)]]), SnapshotTable[[#This Row],[SC Exercise P&amp;L (TAX)]] / SnapshotTable[[#This Row],[SC Basis]], ""))</f>
        <v/>
      </c>
      <c r="GK17" s="27" t="s">
        <v>620</v>
      </c>
      <c r="GL17" s="43" t="str">
        <f>IF(AND(SnapshotTable[[#This Row],[LP Exp Date]]&gt;0,SnapshotTable[[#This Row],[LP Strike Price]]&gt;0), [1]!ToOptionSymbol(SnapshotTable[[#This Row],[Symbol]], SnapshotTable[[#This Row],[LP Strike Price]],SnapshotTable[[#This Row],[LP Exp Date]],1), "")</f>
        <v/>
      </c>
      <c r="GM17" s="30" t="str">
        <f>IF(LEN(SnapshotTable[[#This Row],[LP Symbol]])&gt;0, 1, "")</f>
        <v/>
      </c>
      <c r="GN17" s="43" t="str">
        <f>IF(AND(SnapshotTable[[#This Row],[SP Exp Date]]&gt;0,SnapshotTable[[#This Row],[SP Strike Price]]&gt;0), [1]!ToOptionSymbol(SnapshotTable[[#This Row],[Symbol]], SnapshotTable[[#This Row],[SP Strike Price]],SnapshotTable[[#This Row],[SP Exp Date]],1), "")</f>
        <v/>
      </c>
      <c r="GO17" s="30" t="str">
        <f>IF(LEN(SnapshotTable[[#This Row],[SP Symbol]])&gt;0, 1, "")</f>
        <v/>
      </c>
      <c r="GP17" s="43" t="str">
        <f>IF(AND(SnapshotTable[[#This Row],[LC Exp Date]]&gt;0,SnapshotTable[[#This Row],[LC Strike Price]]&gt;0), [1]!ToOptionSymbol(SnapshotTable[[#This Row],[Symbol]], SnapshotTable[[#This Row],[LC Strike Price]],SnapshotTable[[#This Row],[LC Exp Date]],0), "")</f>
        <v/>
      </c>
      <c r="GQ17" s="30" t="str">
        <f>IF(LEN(SnapshotTable[[#This Row],[LC Symbol]])&gt;0, 1, "")</f>
        <v/>
      </c>
      <c r="GR17" s="43" t="str">
        <f>IF(AND(SnapshotTable[[#This Row],[SC Exp Date]]&gt;0,SnapshotTable[[#This Row],[SC Strike Price]]&gt;0), [1]!ToOptionSymbol(SnapshotTable[[#This Row],[Symbol]], SnapshotTable[[#This Row],[SC Strike Price]],SnapshotTable[[#This Row],[SC Exp Date]],0), "")</f>
        <v/>
      </c>
      <c r="GS17" s="30" t="str">
        <f>IF(LEN(SnapshotTable[[#This Row],[SC Symbol]])&gt;0, 1, "")</f>
        <v/>
      </c>
      <c r="GT17" s="29" t="str">
        <f>IF(COUNT(SnapshotTable[[#This Row],[LP Symbol Count]],SnapshotTable[[#This Row],[SP Symbol Count]],SnapshotTable[[#This Row],[LC Symbol Count]],SnapshotTable[[#This Row],[SC Symbol Count]])&gt;0, "Y", "")</f>
        <v/>
      </c>
      <c r="GU1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 s="231" t="e">
        <f>MAX(SnapshotTable[[#This Row],[Equity Basis Total]],SnapshotTable[[#This Row],[Equity Value]]) + (SnapshotTable[[#This Row],[SP Potential Spend]]- SnapshotTable[[#This Row],[SP Premium]] + SnapshotTable[[#This Row],[LP Premium]])+ (SnapshotTable[[#This Row],[LC Premium]] - SnapshotTable[[#This Row],[SC Premium]])</f>
        <v>#VALUE!</v>
      </c>
      <c r="GW17" s="139" t="e">
        <f>IF(AND(SnapshotTable[[#This Row],[Exposure]] &lt;&gt; 0),SnapshotTable[[#This Row],[Exposure]] / SnapshotTable[[#Totals],[Exposure]], "")</f>
        <v>#VALUE!</v>
      </c>
      <c r="HK17" s="1"/>
      <c r="HL17" s="1"/>
      <c r="HM17" s="1"/>
      <c r="HN17" s="1"/>
      <c r="HO17" s="1"/>
      <c r="HP17" s="1"/>
    </row>
    <row r="18" spans="2:224" ht="12.75" hidden="1" customHeight="1" x14ac:dyDescent="0.25">
      <c r="B18" s="12" t="s">
        <v>245</v>
      </c>
      <c r="C18" s="422">
        <v>218.36</v>
      </c>
      <c r="D18" s="208"/>
      <c r="E18" s="39">
        <f>SnapshotTable[[#This Row],[Last Price]]*(1 -CrashDiscount)</f>
        <v>185.60599999999999</v>
      </c>
      <c r="F18" s="26" t="s">
        <v>840</v>
      </c>
      <c r="G18" s="26" t="s">
        <v>9</v>
      </c>
      <c r="H18" s="149"/>
      <c r="I18" s="194">
        <v>44728.670138888891</v>
      </c>
      <c r="J18" s="195">
        <v>44728.670138888891</v>
      </c>
      <c r="K18" s="196" t="s">
        <v>3</v>
      </c>
      <c r="L18" s="326"/>
      <c r="M18" s="140"/>
      <c r="N18" s="140"/>
      <c r="O18" s="140"/>
      <c r="P18" s="22"/>
      <c r="Q18" s="25"/>
      <c r="R18" s="4" t="str">
        <f>IF(SnapshotTable[[#This Row],[Equity Basis Total]] &gt; 0, SnapshotTable[[#This Row],[Equity Basis Total]] / SnapshotTable[[#This Row],[Equity Shares]], "")</f>
        <v/>
      </c>
      <c r="S18" s="269">
        <f>SnapshotTable[[#This Row],[Last Price]] * SnapshotTable[[#This Row],[Equity Shares]]</f>
        <v>0</v>
      </c>
      <c r="T18" s="269">
        <f>SnapshotTable[[#This Row],[Equity Value]] - SnapshotTable[[#This Row],[Equity Basis Total]]</f>
        <v>0</v>
      </c>
      <c r="U18" s="270" t="str">
        <f>IF(SnapshotTable[[#This Row],[Equity Basis Total]] &gt; 0, SnapshotTable[[#This Row],[Equity G/L]] / SnapshotTable[[#This Row],[Equity Basis Total]], "")</f>
        <v/>
      </c>
      <c r="V18" s="268"/>
      <c r="W18" s="268"/>
      <c r="X18" s="4" t="str">
        <f>IF(AND(ISNUMBER(SnapshotTable[[#This Row],[Equity Basis Per Share]]),ISNUMBER(SnapshotTable[[#This Row],[Equity Target]])),SnapshotTable[[#This Row],[Equity Target]]-SnapshotTable[[#This Row],[Equity Basis Per Share]],"")</f>
        <v/>
      </c>
      <c r="Y18" s="4" t="str">
        <f>IF(AND(ISNUMBER(SnapshotTable[[#This Row],[Equity Basis Per Share]]),ISNUMBER(SnapshotTable[[#This Row],[Equity Stop Loss]])),SnapshotTable[[#This Row],[Equity Stop Loss]]-SnapshotTable[[#This Row],[Equity Basis Per Share]],"")</f>
        <v/>
      </c>
      <c r="Z18" s="275" t="str">
        <f>IFERROR( TEXT(SnapshotTable[[#This Row],[Equity Max Gain Per Share]] /ABS( SnapshotTable[[#This Row],[Equity Max Loss Per Share]]),"0.0 " ) &amp; " : 1", "")</f>
        <v/>
      </c>
      <c r="AA18" s="31" t="str">
        <f>IF(ISNUMBER(SnapshotTable[[#This Row],[Equity Max Gain Per Share]]),SnapshotTable[[#This Row],[Equity Max Gain Per Share]] * SnapshotTable[[#This Row],[Equity Shares]],"")</f>
        <v/>
      </c>
      <c r="AB18" s="31" t="str">
        <f>IF(ISNUMBER(SnapshotTable[[#This Row],[Equity Max Loss Per Share]]),SnapshotTable[[#This Row],[Equity Max Loss Per Share]] * SnapshotTable[[#This Row],[Equity Shares]],"")</f>
        <v/>
      </c>
      <c r="AC18" s="150"/>
      <c r="AD18" s="151"/>
      <c r="AE18" s="31">
        <f>(SnapshotTable[[#This Row],[Annual Dividend Per Share]] / 4) * SnapshotTable[[#This Row],[Equity Shares]]</f>
        <v>0</v>
      </c>
      <c r="AF18" s="31">
        <f>SnapshotTable[[#This Row],[Quarterly Div $]] * 4</f>
        <v>0</v>
      </c>
      <c r="AG18" s="7">
        <f>IF(SnapshotTable[[#This Row],[Annual Dividend Per Share]]&gt;0, SnapshotTable[[#This Row],[Annual Dividend Per Share]]  / SnapshotTable[[#This Row],[Last Price]], 0)</f>
        <v>0</v>
      </c>
      <c r="AH18" s="151"/>
      <c r="AI18" s="5"/>
      <c r="AJ18" s="138">
        <v>553.86</v>
      </c>
      <c r="AK18" s="152" t="str">
        <f>IF(ISNUMBER( SnapshotTable[[#This Row],[EBF Target]]),(SnapshotTable[[#This Row],[EBF Target]] - SnapshotTable[[#This Row],[Last Price]]) / SnapshotTable[[#This Row],[Last Price]], "")</f>
        <v/>
      </c>
      <c r="AL18" s="152" t="str">
        <f>IF(AND(SnapshotTable[[#This Row],[Equity Basis Total]] &gt; 0,ISNUMBER( SnapshotTable[[#This Row],[Long Term Target]])), SnapshotTable[[#This Row],[From Basis $]] / SnapshotTable[[#This Row],[Equity Basis Total]], "")</f>
        <v/>
      </c>
      <c r="AM18" s="9">
        <f>IF( AND(SnapshotTable[[#This Row],[Equity Shares]] &gt;0,ISNUMBER( SnapshotTable[[#This Row],[Long Term Target]])),(SnapshotTable[[#This Row],[Equity Shares]] * SnapshotTable[[#This Row],[Long Term Target]]) - SnapshotTable[[#This Row],[Equity Basis Total]],0)</f>
        <v>0</v>
      </c>
      <c r="AN18" s="9">
        <f>IF( AND(SnapshotTable[[#This Row],[Equity Shares]] &gt;0,ISNUMBER( SnapshotTable[[#This Row],[Long Term Target]])),(SnapshotTable[[#This Row],[Equity Shares]]*SnapshotTable[[#This Row],[Long Term Target]]) - SnapshotTable[[#This Row],[Equity Value]],0)</f>
        <v>0</v>
      </c>
      <c r="AO18" s="152">
        <f>IF(AND(ISNUMBER( SnapshotTable[[#This Row],[Long Term Target]]), ISNUMBER(SnapshotTable[[#This Row],[Last Price]])),(SnapshotTable[[#This Row],[Long Term Target]] - SnapshotTable[[#This Row],[Last Price]]) / SnapshotTable[[#This Row],[Last Price]], "")</f>
        <v>1.5364535629236122</v>
      </c>
      <c r="AP18" s="5"/>
      <c r="AQ18" s="38"/>
      <c r="AR18" s="5"/>
      <c r="AS18" s="38"/>
      <c r="AT18" s="146"/>
      <c r="AU18" s="187" t="str">
        <f>IF(OR(SnapshotTable[[#This Row],[LP No Fill]]="Y",SnapshotTable[[#This Row],[SP Is Filled]],SnapshotTable[[#This Row],[LC Not Filled]]="Y",SnapshotTable[[#This Row],[SC Is Filled]]),"Y","")</f>
        <v/>
      </c>
      <c r="AV18" s="219"/>
      <c r="AW18" s="225"/>
      <c r="AX18" s="220"/>
      <c r="AY18" s="219" t="str">
        <f>IF(SnapshotTable[[#This Row],[Implied Move]]&gt;0, SnapshotTable[[#This Row],[Last Price]]-SnapshotTable[[#This Row],[Implied Move]],"")</f>
        <v/>
      </c>
      <c r="AZ18" s="219" t="str">
        <f>IF(SnapshotTable[[#This Row],[Implied Move]]&gt;0, SnapshotTable[[#This Row],[Last Price]] + SnapshotTable[[#This Row],[Implied Move]],"")</f>
        <v/>
      </c>
      <c r="BA18" s="331"/>
      <c r="BB18" s="347"/>
      <c r="BC1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 s="351"/>
      <c r="BE18" s="5"/>
      <c r="BF18" s="14"/>
      <c r="BG18" s="13"/>
      <c r="BH18" s="13"/>
      <c r="BI18" s="5"/>
      <c r="BJ18" s="136">
        <f>IF(SnapshotTable[[#This Row],[LP Qty]] &gt; 0, SnapshotTable[[#This Row],[LP Qty]] * SnapshotTable[[#This Row],[LP Book Price]] * 100,0)</f>
        <v>0</v>
      </c>
      <c r="BK18" s="136">
        <f>IF(SnapshotTable[[#This Row],[LP Premium]] &gt; 0, SnapshotTable[[#This Row],[LP Qty]] * SnapshotTable[[#This Row],[LP Strike Price]] * 100,0)</f>
        <v>0</v>
      </c>
      <c r="BL18" s="154"/>
      <c r="BM18" s="385" t="str">
        <f>IF(SnapshotTable[[#This Row],[LP Premium]] &gt; 0,SnapshotTable[[#This Row],[LP Exp Date]]-MAX(SnapshotTable[[#This Row],[LP Book Date]], SnapshotTable[[#This Row],[LP Fill Date]]),"")</f>
        <v/>
      </c>
      <c r="BN18" s="385" t="str">
        <f>IF(ISNUMBER( SnapshotTable[[#This Row],[LP Term]]), SnapshotTable[[#This Row],[LP Exp Date]] - MockToday,"")</f>
        <v/>
      </c>
      <c r="BO18" s="163" t="str">
        <f>IF(AND(SnapshotTable[[#This Row],[LP Exp Date]]&gt;0, SnapshotTable[[#This Row],[LP Strike Price]]&gt;0,SnapshotTable[[#This Row],[LP Qty]]&gt;0,SnapshotTable[[#This Row],[LP Book Date]]&gt;0,SnapshotTable[[#This Row],[LP Book Price]]&gt;0,SnapshotTable[[#This Row],[LP Fill Date]]=0),"Y","")</f>
        <v/>
      </c>
      <c r="BP18" s="31" t="str">
        <f>IF(AND(SnapshotTable[[#This Row],[LP No Fill]]&lt;&gt;"Y",SnapshotTable[[#This Row],[LP Contract Value]]&gt;0, SnapshotTable[[#This Row],[LP Qty]]&gt;0), SnapshotTable[[#This Row],[LP Contract Value]]*SnapshotTable[[#This Row],[LP Qty]]*100,"")</f>
        <v/>
      </c>
      <c r="BQ18" s="13"/>
      <c r="BR18" s="5" t="str">
        <f>IF(SnapshotTable[[#This Row],[SP Exp Date]]&lt;&gt;"",TRUNC(SnapshotTable[[#This Row],[Last Price]]),"")</f>
        <v/>
      </c>
      <c r="BS18" s="36"/>
      <c r="BT18" s="147"/>
      <c r="BU18" s="13"/>
      <c r="BV18" s="5"/>
      <c r="BW18" s="419" t="b">
        <f>AND(ISNUMBER(SnapshotTable[[#This Row],[SP Exp Date]]), ISNUMBER(SnapshotTable[[#This Row],[SP Strike Price]]), ISNUMBER(SnapshotTable[[#This Row],[SP Qty]]), ISNUMBER(SnapshotTable[[#This Row],[SP Book Date]]), ISNUMBER(SnapshotTable[[#This Row],[SP Book Price]]))</f>
        <v>0</v>
      </c>
      <c r="BX18" s="419" t="b">
        <f>AND(SnapshotTable[[#This Row],[SP Is Booked]], NOT(ISBLANK(SnapshotTable[[#This Row],[SP Fill Date]])))</f>
        <v>0</v>
      </c>
      <c r="BY18" s="33">
        <f>IF(SnapshotTable[[#This Row],[SP Is Booked]], SnapshotTable[[#This Row],[SP Qty]] * SnapshotTable[[#This Row],[SP Book Price]] * 100, 0)</f>
        <v>0</v>
      </c>
      <c r="BZ18" s="369"/>
      <c r="CA18" s="368">
        <f>SnapshotTable[[#This Row],[LP Qty]]</f>
        <v>0</v>
      </c>
      <c r="CB18" s="4" t="str">
        <f>IF(SnapshotTable[[#This Row],[SP Is Booked]], SnapshotTable[[#This Row],[SP Strike Price]] - SnapshotTable[[#This Row],[SP Book Price]], "")</f>
        <v/>
      </c>
      <c r="CC18" s="19" t="str">
        <f>IF(SnapshotTable[[#This Row],[SP Is Booked]],SnapshotTable[[#This Row],[SP Exp Date]]-MAX(SnapshotTable[[#This Row],[SP Book Date]], SnapshotTable[[#This Row],[SP Fill Date]]),"")</f>
        <v/>
      </c>
      <c r="CD18" s="7" t="str">
        <f>IF(SnapshotTable[[#This Row],[SP Is Booked]], SnapshotTable[[#This Row],[SP Book Price]]/SnapshotTable[[#This Row],[SP Strike Price]], "")</f>
        <v/>
      </c>
      <c r="CE18" s="7" t="str">
        <f>IF(ISNUMBER(SnapshotTable[[#This Row],[SP ROO Term]]),SnapshotTable[[#This Row],[SP ROO Term]]*(365/SnapshotTable[[#This Row],[SP Term]]),"")</f>
        <v/>
      </c>
      <c r="CF18" s="236">
        <f>SnapshotTable[[#This Row],[LP Strike Price]] * SnapshotTable[[#This Row],[LP Qty]] * 100</f>
        <v>0</v>
      </c>
      <c r="CG18" s="31" t="e">
        <f>IF(ISNUMBER(SnapshotTable[[#This Row],[SP Premium]]), (SnapshotTable[[#This Row],[SP Qty]] * SnapshotTable[[#This Row],[SP Strike Price]]* 100) - SnapshotTable[[#This Row],[LP Protection]], 0)</f>
        <v>#VALUE!</v>
      </c>
      <c r="CH18" s="7" t="str">
        <f>IF(ISNUMBER(SnapshotTable[[#This Row],[SP Break Even]]),-1 * (SnapshotTable[[#This Row],[SP Break Even]] - SnapshotTable[[#This Row],[Last Price]]) / SnapshotTable[[#This Row],[Last Price]], "")</f>
        <v/>
      </c>
      <c r="CI18" s="31">
        <f>IF(AND(ISNUMBER((SnapshotTable[[#This Row],[SP Potential Spend]])), SnapshotTable[[#This Row],[SP Strike Price]] &gt; SnapshotTable[[#This Row],[Last Price]], SnapshotTable[[#This Row],[SP Is Filled]]), SnapshotTable[[#This Row],[SP Potential Spend]] -  SnapshotTable[[#This Row],[LP Max Value]], 0)</f>
        <v>0</v>
      </c>
      <c r="CJ18" s="244"/>
      <c r="CK18" s="31" t="str">
        <f>IF(ISNUMBER(SnapshotTable[[#This Row],[SP Potential Spend]]),IF(ISNUMBER(SnapshotTable[[#This Row],[SP POW]]), SnapshotTable[[#This Row],[SP POW]] * SnapshotTable[[#This Row],[SP Potential Spend]], SnapshotTable[[#This Row],[SP Potential Spend]]), "")</f>
        <v/>
      </c>
      <c r="CL18" s="164" t="e">
        <f>IF(NOT(SnapshotTable[[#This Row],[SP Is Filled]]),(SnapshotTable[[#This Row],[SP Qty]] * SnapshotTable[[#This Row],[SP Strike Price]] * 100) - SnapshotTable[[#This Row],[LP Max Value]],"")</f>
        <v>#VALUE!</v>
      </c>
      <c r="CM18" s="31" t="str">
        <f>IF(SnapshotTable[[#This Row],[SP Actual Spend]]&lt;&gt;0, ((SnapshotTable[[#This Row],[SP Strike Price]]-SnapshotTable[[#This Row],[Last Price]]) *(SnapshotTable[[#This Row],[SP Qty]]*100) - SnapshotTable[[#This Row],[SP Premium]]) * - 1, "")</f>
        <v/>
      </c>
      <c r="CN18" s="78"/>
      <c r="CO18" s="369"/>
      <c r="CP18" s="4" t="str">
        <f>IF(SnapshotTable[[#This Row],[SP Is Filled]], btc_max_buyback_amount(SnapshotTable[[#This Row],[SP Fill Date]],SnapshotTable[[#This Row],[SP Exp Date]], SnapshotTable[[#This Row],[SP Book Price]]),"")</f>
        <v/>
      </c>
      <c r="CQ18" s="78"/>
      <c r="CR1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 s="155" t="str">
        <f>IF(SnapshotTable[[#This Row],[SP Is Filled]], btc_next_cutoff_date(SnapshotTable[[#This Row],[SP Fill Date]],SnapshotTable[[#This Row],[SP Exp Date]]),"")</f>
        <v/>
      </c>
      <c r="CT18" s="235" t="str" cm="1">
        <f t="array" ref="CT18">IF(SnapshotTable[[#This Row],[SP Is Filled]], btc_should_buy_back(SnapshotTable[[#This Row],[SP Fill Date]], SnapshotTable[[#This Row],[SP Exp Date]], SnapshotTable[[#This Row],[SP Book Price]], SnapshotTable[[#This Row],[SP Current Ask]], MockToday, SnapshotTable[[#This Row],[SP Buyback Override]]),"")</f>
        <v/>
      </c>
      <c r="CU18" s="143"/>
      <c r="CV18" s="235"/>
      <c r="CW18" s="378" t="str">
        <f>IF(ISNUMBER( SnapshotTable[[#This Row],[SP Term]]), SnapshotTable[[#This Row],[SP Exp Date]] - MockToday,"")</f>
        <v/>
      </c>
      <c r="CX18" s="31" t="str">
        <f>IF(SnapshotTable[[#This Row],[SP Is Filled]],SnapshotTable[[#This Row],[SP Buyback Price to Use]] * 100 * SnapshotTable[[#This Row],[SP Qty]], "")</f>
        <v/>
      </c>
      <c r="CY18" s="4" t="str">
        <f>IF(ISNUMBER(SnapshotTable[[#This Row],[SP Strike Price]]), SnapshotTable[[#This Row],[SP Strike Price]] * (1 - SP_MaxLoss_StrikePct), "")</f>
        <v/>
      </c>
      <c r="CZ18" s="31" t="str">
        <f>IF(ISNUMBER(SnapshotTable[[#This Row],[SP Strike  Stop Per Share]]),SnapshotTable[[#This Row],[SP Premium]] - ((SnapshotTable[[#This Row],[SP Strike Price]]-SnapshotTable[[#This Row],[SP Strike  Stop Per Share]]) *(SnapshotTable[[#This Row],[SP Qty]] * 100)),"")</f>
        <v/>
      </c>
      <c r="DA18" s="4" t="str">
        <f>IF(AND(ISNUMBER(SnapshotTable[[#This Row],[SP Premium]]),SnapshotTable[[#This Row],[SP Premium]]&gt;0), SnapshotTable[[#This Row],[SP Book Price]] * (1 + SP_MaxLoss_OptionPct), "")</f>
        <v/>
      </c>
      <c r="DB18" s="31" t="str">
        <f>IF(ISNUMBER(SnapshotTable[[#This Row],[SP Option  Stop Contract]]),(SnapshotTable[[#This Row],[SP Option  Stop Contract]] *(SnapshotTable[[#This Row],[SP Qty]] * 100) - SnapshotTable[[#This Row],[SP Premium]]),"")</f>
        <v/>
      </c>
      <c r="DC18" s="4"/>
      <c r="DD18" s="4"/>
      <c r="DE18" s="4" t="str">
        <f>IF(AND(SnapshotTable[[#This Row],[SP Qty]]&gt;0, SnapshotTable[[#This Row],[SP Stop To Use]]&gt;0),SnapshotTable[[#This Row],[SP Premium]] - ( SnapshotTable[[#This Row],[SP Qty]] * SnapshotTable[[#This Row],[SP Stop To Use]] * 100), "")</f>
        <v/>
      </c>
      <c r="DF18" s="31" t="str">
        <f>IF(AND(SnapshotTable[[#This Row],[SP Qty]]&gt;0,SnapshotTable[[#This Row],[SP Current Ask]]&gt;0), SnapshotTable[[#This Row],[SP Qty]] * SnapshotTable[[#This Row],[SP Current Ask]] * -100, "")</f>
        <v/>
      </c>
      <c r="DG18" s="31" t="str">
        <f>IF(ISNUMBER((SnapshotTable[[#This Row],[SP Total Value]])), SnapshotTable[[#This Row],[SP Premium]] + SnapshotTable[[#This Row],[SP Total Value]], "")</f>
        <v/>
      </c>
      <c r="DH18" s="294" t="str">
        <f>IF(ISNUMBER((SnapshotTable[[#This Row],[SP Total Value]])), SnapshotTable[[#This Row],[SP Gain Loss]] / SnapshotTable[[#This Row],[SP Premium]], "")</f>
        <v/>
      </c>
      <c r="DI18" s="406"/>
      <c r="DJ18" s="138"/>
      <c r="DK18" s="148"/>
      <c r="DL18" s="13"/>
      <c r="DM18" s="13"/>
      <c r="DO18" s="31">
        <f>IF(SnapshotTable[[#This Row],[LC Symbol Count]]=1, SnapshotTable[[#This Row],[LC Qty]] * SnapshotTable[[#This Row],[LC Book Price]] * 100, 0)</f>
        <v>0</v>
      </c>
      <c r="DP18" s="163" t="str">
        <f>IF(AND(SnapshotTable[[#This Row],[LC Exp Date]]&gt;0, SnapshotTable[[#This Row],[LC Strike Price]]&gt;0,SnapshotTable[[#This Row],[LC Qty]]&gt;0,SnapshotTable[[#This Row],[LC Book Date]]&gt;0,SnapshotTable[[#This Row],[LC Book Price]]&gt;0,SnapshotTable[[#This Row],[LC Fill Date]]=0),"Y","")</f>
        <v/>
      </c>
      <c r="DQ18" s="386" t="str">
        <f>IF(SnapshotTable[[#This Row],[LC Premium]] &gt; 0,SnapshotTable[[#This Row],[LC Exp Date]]-MAX(SnapshotTable[[#This Row],[LC Book Date]], SnapshotTable[[#This Row],[LC Fill Date]]),"")</f>
        <v/>
      </c>
      <c r="DR18" s="386" t="str">
        <f>IF(ISNUMBER(SnapshotTable[[#This Row],[LC Term]]), SnapshotTable[[#This Row],[LC Exp Date]] - MockToday, "")</f>
        <v/>
      </c>
      <c r="DS18" s="234" t="str">
        <f>IF(SnapshotTable[[#This Row],[LC Premium]]&gt;0,SnapshotTable[[#This Row],[LC Strike Price]] + SnapshotTable[[#This Row],[LC Book Price]],"")</f>
        <v/>
      </c>
      <c r="DU18" s="9" t="str">
        <f>IF(AND(SnapshotTable[[#This Row],[LC Symbol Count]]&gt;0, SnapshotTable[[#This Row],[LC Contract Value]]&gt;0), SnapshotTable[[#This Row],[LC Contract Value]] * SnapshotTable[[#This Row],[LC Qty]] * 100, "")</f>
        <v/>
      </c>
      <c r="DV18" s="9" t="str">
        <f>IF(AND(ISNUMBER(SnapshotTable[[#This Row],[LC Total Value]]), SnapshotTable[[#This Row],[LC Not Filled]]&lt;&gt;"Y"), SnapshotTable[[#This Row],[LC Total Value]]-SnapshotTable[[#This Row],[LC Premium]],"")</f>
        <v/>
      </c>
      <c r="DW18" s="240" t="str">
        <f>IF(ISNUMBER(SnapshotTable[[#This Row],[LC Actual Gain Loss]]), SnapshotTable[[#This Row],[LC Actual Gain Loss]] / SnapshotTable[[#This Row],[LC Premium]],"")</f>
        <v/>
      </c>
      <c r="DX18" s="284" t="str">
        <f>IF(ISNUMBER(SnapshotTable[[#This Row],[LC Book Price]]),SnapshotTable[[#This Row],[LC Book Price]] * 1.5,"")</f>
        <v/>
      </c>
      <c r="DY18" s="265" t="str">
        <f>IF(SnapshotTable[[#This Row],[LC Premium]]&gt;0, SnapshotTable[[#This Row],[LC Next Target]] * SnapshotTable[[#This Row],[LC Qty]] * 100,"")</f>
        <v/>
      </c>
      <c r="DZ18" s="265" t="str">
        <f>IF(ISNUMBER(SnapshotTable[[#This Row],[LC Target Gross]]), SnapshotTable[[#This Row],[LC Target Gross]] - SnapshotTable[[#This Row],[LC Premium]], "")</f>
        <v/>
      </c>
      <c r="EA18" s="305" t="str">
        <f>IF(ISNUMBER(SnapshotTable[[#This Row],[LC Target Gain Loss]]), SnapshotTable[[#This Row],[LC Target Gain Loss]]/SnapshotTable[[#This Row],[LC Premium]], "")</f>
        <v/>
      </c>
      <c r="EB18" s="262"/>
      <c r="EC18" s="283" t="str">
        <f>IF(SnapshotTable[[#This Row],[LC Premium]]&gt;0, SnapshotTable[[#This Row],[LC Book Price]] * (1 - LC_StopLoss_Pct),"")</f>
        <v/>
      </c>
      <c r="ED18" s="284"/>
      <c r="EE18" s="283" t="str">
        <f>IF(ISNUMBER(SnapshotTable[[#This Row],[LC Contract Value]]),IF(ISNUMBER(SnapshotTable[[#This Row],[LC Stop Loss Override]]), SnapshotTable[[#This Row],[LC Stop Loss Override]],SnapshotTable[[#This Row],[LC Stop Loss Calc Target]]),"")</f>
        <v/>
      </c>
      <c r="EF18" s="31" t="str">
        <f>IF(ISNUMBER(SnapshotTable[[#This Row],[LC Stop  To Use]]), (SnapshotTable[[#This Row],[LC Stop  To Use]] * SnapshotTable[[#This Row],[LC Qty]] * 100),"")</f>
        <v/>
      </c>
      <c r="EG18" s="9" t="str">
        <f>IF(ISNUMBER(SnapshotTable[[#This Row],[LC Total Value]]),SnapshotTable[[#This Row],[LC Stop Loss Amount]] - SnapshotTable[[#This Row],[LC Premium]],"")</f>
        <v/>
      </c>
      <c r="EH18" s="9">
        <f>IF(ISNUMBER(SnapshotTable[[#This Row],[LC Premium]]), SnapshotTable[[#This Row],[LC Qty]] * 100 * SnapshotTable[[#This Row],[LC Strike Price]], "")</f>
        <v>0</v>
      </c>
      <c r="EI18" s="240" t="str">
        <f>IF(AND(ISNUMBER(SnapshotTable[[#This Row],[LC Total Value]]),SnapshotTable[[#This Row],[LC Total Value]]&gt;0),SnapshotTable[[#This Row],[LC Stop Gain Loss]]  / SnapshotTable[[#This Row],[LC Premium]],"")</f>
        <v/>
      </c>
      <c r="EJ18" s="35">
        <f>IF(ISNUMBER(SnapshotTable[[#This Row],[Equity Shares]]),TRUNC(SnapshotTable[[#This Row],[Equity Shares]] / 100),0) + SnapshotTable[[#This Row],[LC Qty]]</f>
        <v>0</v>
      </c>
      <c r="EK18" s="147"/>
      <c r="EL18" s="138" t="str">
        <f>IF(SnapshotTable[[#This Row],[SC Exp Date]]&lt;&gt;"",TRUNC(SnapshotTable[[#This Row],[Last Price]]),"")</f>
        <v/>
      </c>
      <c r="EM18" s="148"/>
      <c r="EN18" s="147"/>
      <c r="EO18" s="147"/>
      <c r="EP18" s="138"/>
      <c r="EQ18" s="419" t="b">
        <f>AND(ISNUMBER(SnapshotTable[[#This Row],[SC Exp Date]]), ISNUMBER(SnapshotTable[[#This Row],[SC Strike Price]]), ISNUMBER(SnapshotTable[[#This Row],[SC Qty]]), ISNUMBER(SnapshotTable[[#This Row],[SC Book Date]]), ISNUMBER(SnapshotTable[[#This Row],[SC Book Price]]))</f>
        <v>0</v>
      </c>
      <c r="ER18" s="419" t="b">
        <f>AND(SnapshotTable[[#This Row],[SC Is Booked]], NOT(ISBLANK(SnapshotTable[[#This Row],[SC Fill Date]])))</f>
        <v>0</v>
      </c>
      <c r="ES18" s="370"/>
      <c r="ET18" s="34" t="str">
        <f>IF(AND(ISNUMBER(SnapshotTable[[#This Row],[SC Exp Date]]), ISNUMBER(SnapshotTable[[#This Row],[SC Book Date]])), SnapshotTable[[#This Row],[SC Exp Date]] - MAX(SnapshotTable[[#This Row],[SC Book Date]], SnapshotTable[[#This Row],[SC Fill Date]]) + 1, "")</f>
        <v/>
      </c>
      <c r="EU18" s="34" t="str">
        <f>IF(ISNUMBER(SnapshotTable[[#This Row],[SC Term]]), SnapshotTable[[#This Row],[SC Exp Date]]- MockToday, "")</f>
        <v/>
      </c>
      <c r="EV18" s="31">
        <f>IF(SnapshotTable[[#This Row],[SC Is Booked]], SnapshotTable[[#This Row],[SC Qty]] * SnapshotTable[[#This Row],[SC Book Price]] * 100, 0)</f>
        <v>0</v>
      </c>
      <c r="EW18" s="4" t="str">
        <f>IF(AND(ISNUMBER(SnapshotTable[[#This Row],[Last Price]]), ISNUMBER( SnapshotTable[[#This Row],[SC Book Price]])), SnapshotTable[[#This Row],[Last Price]] - SnapshotTable[[#This Row],[SC Book Price]],"")</f>
        <v/>
      </c>
      <c r="EX18" s="234" t="str">
        <f>IF(SnapshotTable[[#This Row],[SC Is Booked]],IF(SnapshotTable[[#This Row],[SC Intrinsic Value]] &gt; 0, SnapshotTable[[#This Row],[SC Strike Price]], SnapshotTable[[#This Row],[Last Price]]), "")</f>
        <v/>
      </c>
      <c r="EY18" s="4">
        <f>IF(SnapshotTable[[#This Row],[SC Is Booked]], (MinimumPremiumRequired * SnapshotTable[[#This Row],[SC Basis]] * SnapshotTable[[#This Row],[SC Term]]), 0)</f>
        <v>0</v>
      </c>
      <c r="EZ18" s="283"/>
      <c r="FA18" s="218"/>
      <c r="FB18" s="370"/>
      <c r="FC18" s="4">
        <f>IF(SnapshotTable[[#This Row],[SC Is Filled]], btc_max_buyback_amount(SnapshotTable[[#This Row],[SC Fill Date]],SnapshotTable[[#This Row],[SC Exp Date]], SnapshotTable[[#This Row],[SC Book Price]]),0)</f>
        <v>0</v>
      </c>
      <c r="FD18" s="5"/>
      <c r="FE18" s="144" t="str">
        <f>IF(SnapshotTable[[#This Row],[SC Is Filled]], btc_next_cutoff_date(SnapshotTable[[#This Row],[SC Fill Date]],SnapshotTable[[#This Row],[SC Exp Date]]),"")</f>
        <v/>
      </c>
      <c r="FF18" s="4" t="str" cm="1">
        <f t="array" ref="FF18">IF(SnapshotTable[[#This Row],[SC Is Filled]], btc_should_buy_back(SnapshotTable[[#This Row],[SC Fill Date]], SnapshotTable[[#This Row],[SC Exp Date]], SnapshotTable[[#This Row],[SC Book Price]], SnapshotTable[[#This Row],[SC Current Ask]], MockToday, SnapshotTable[[#This Row],[SC Buyback Override]]),"")</f>
        <v/>
      </c>
      <c r="FG18" s="4">
        <f>IF(SnapshotTable[[#This Row],[SC Is Filled]], MAX(0,SnapshotTable[[#This Row],[Last Price]]  - SnapshotTable[[#This Row],[SC Strike Price]]), 0)</f>
        <v>0</v>
      </c>
      <c r="FH18" s="382">
        <f>IF(SnapshotTable[[#This Row],[SC Is Filled]], IF(ISNUMBER(SnapshotTable[[#This Row],[SC Current Ask]]), SnapshotTable[[#This Row],[SC Current Ask]], SnapshotTable[[#This Row],[SC Book Price]]) - SnapshotTable[[#This Row],[SC Intrinsic Value]], 0)</f>
        <v>0</v>
      </c>
      <c r="FI18" s="143">
        <v>45786</v>
      </c>
      <c r="FJ18" s="32" t="str">
        <f>IF(SnapshotTable[[#This Row],[SC Is Filled]],100 * SnapshotTable[[#This Row],[SC Qty]] * IF(ISNUMBER(SnapshotTable[[#This Row],[SC Buyback Override]]), SnapshotTable[[#This Row],[SC Buyback Override]], SnapshotTable[[#This Row],[SC Current Ask]]), "")</f>
        <v/>
      </c>
      <c r="FK18" s="250" t="str">
        <f>IF(SnapshotTable[[#This Row],[SC Time Val]]&gt;0, SnapshotTable[[#This Row],[SC Time Val]] / SnapshotTable[[#This Row],[Last Price]],"")</f>
        <v/>
      </c>
      <c r="FL18" s="302" t="str">
        <f>IF(SnapshotTable[[#This Row],[SC Is Booked]], ((SnapshotTable[[#This Row],[Last Price]] -SnapshotTable[[#This Row],[SC Strike Price]]) / SnapshotTable[[#This Row],[Last Price]]) * -1, "")</f>
        <v/>
      </c>
      <c r="FM18" s="157" t="str">
        <f>IF(SnapshotTable[[#This Row],[SC Is Booked]],  (SnapshotTable[[#This Row],[SC Qty]] * 100 * SnapshotTable[[#This Row],[SC Strike Price]]) - SnapshotTable[[#This Row],[SC Current Ask]], "")</f>
        <v/>
      </c>
      <c r="FN1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 s="31" t="str">
        <f>IF(AND(ISNUMBER(SnapshotTable[[#This Row],[SC Exercise Gross]]), ISNUMBER(SnapshotTable[[#This Row],[Equity Basis Per Share]] )), SnapshotTable[[#This Row],[SC Exercise Gross]] - SnapshotTable[[#This Row],[Equity Basis Total]] +  SnapshotTable[[#This Row],[SC Premium]], "")</f>
        <v/>
      </c>
      <c r="FP18" s="5" t="str">
        <f>IF(ISNUMBER(SnapshotTable[[#This Row],[SC Exercise Gross]]), (SnapshotTable[[#This Row],[SC Exercise Gross]]) / (SnapshotTable[[#This Row],[SC Qty]] * 100), "")</f>
        <v/>
      </c>
      <c r="FQ18" s="27" t="str">
        <f>IF(SnapshotTable[[#This Row],[SC Is Booked]],SnapshotTable[[#This Row],[SC Time Val]] /SnapshotTable[[#This Row],[SC Basis]], "")</f>
        <v/>
      </c>
      <c r="FR18" s="27" t="str" cm="1">
        <f t="array" ref="FR18">IF(AND(ISNUMBER(SnapshotTable[[#This Row],[SC Term]]),ISNUMBER(SnapshotTable[[#This Row],[SC Simple ROO]])), EllmanAnnualize(SnapshotTable[[#This Row],[SC DTE]], SnapshotTable[[#This Row],[SC Simple ROO]] ),"")</f>
        <v/>
      </c>
      <c r="FS18" s="4" t="e">
        <f>IF(SnapshotTable[[#This Row],[SC Strike Price]] &gt; SnapshotTable[[#This Row],[Last Price]], SnapshotTable[[#This Row],[SC Strike Price]] - SnapshotTable[[#This Row],[Last Price]],0)</f>
        <v>#VALUE!</v>
      </c>
      <c r="FT18" s="27" t="e">
        <f>IF(AND(ISNUMBER(SnapshotTable[[#This Row],[SC Upside Potential]]), SnapshotTable[[#This Row],[SC Upside Potential]] &gt; 0),(SnapshotTable[[#This Row],[SC Upside Potential]]/ SnapshotTable[[#This Row],[ACB]]),"")</f>
        <v>#VALUE!</v>
      </c>
      <c r="FU18" s="333" t="str">
        <f>IF(SnapshotTable[[#This Row],[SC Intrinsic Value]] &gt; 0,SnapshotTable[[#This Row],[SC Intrinsic Value]],"")</f>
        <v/>
      </c>
      <c r="FV18" s="27" t="str">
        <f>IF(AND( ISNUMBER( SnapshotTable[[#This Row],[ACB]]),ISNUMBER(SnapshotTable[[#This Row],[SC Downside Protect]])),SnapshotTable[[#This Row],[SC Downside Protect]] / SnapshotTable[[#This Row],[ACB]],"")</f>
        <v/>
      </c>
      <c r="FW18" s="236" t="str">
        <f>IF(AND(ISNUMBER(SnapshotTable[[#This Row],[SC Simple ROO]]),SnapshotTable[[#This Row],[SC Simple ROO]] &gt; 0), SnapshotTable[[#This Row],[SC Premium]] + (SnapshotTable[[#This Row],[SC Qty]] * SnapshotTable[[#This Row],[SC Upside Potential]]), "")</f>
        <v/>
      </c>
      <c r="FX18" s="302" t="str" cm="1">
        <f t="array" ref="FX18">IF(ISNUMBER(SnapshotTable[[#This Row],[SC Max Dollars]]), annualize(SnapshotTable[[#This Row],[SC Term]],(SnapshotTable[[#This Row],[SC Max Dollars]]/SnapshotTable[[#This Row],[SC Basis]])),"")</f>
        <v/>
      </c>
      <c r="FY18" s="236" t="str">
        <f>IF(AND(SnapshotTable[[#This Row],[SC Qty]]&gt;0,SnapshotTable[[#This Row],[SC Current Ask]]&gt;0), SnapshotTable[[#This Row],[SC Qty]] * SnapshotTable[[#This Row],[SC Current Ask]] * -100, "")</f>
        <v/>
      </c>
      <c r="FZ18" s="31" t="str">
        <f>IF(ISNUMBER((SnapshotTable[[#This Row],[SC Current Value]])), SnapshotTable[[#This Row],[SC Premium]] + SnapshotTable[[#This Row],[SC Current Value]], "")</f>
        <v/>
      </c>
      <c r="GA18" s="294" t="str">
        <f>IFERROR( IF(ISNUMBER((SnapshotTable[[#This Row],[SC Current Value]])), SnapshotTable[[#This Row],[SC Gain Loss]] / SnapshotTable[[#This Row],[SC Premium]], ""), "")</f>
        <v/>
      </c>
      <c r="GB18" s="42">
        <f>SnapshotTable[[#This Row],[Equity Shares]] * SaleSharesToConsiderPercentage</f>
        <v>0</v>
      </c>
      <c r="GC18" s="40">
        <f>SnapshotTable[[#This Row],[Long Term Target]] * SellingPriceToConsiderBasedOnTargetPercentage</f>
        <v>526.16700000000003</v>
      </c>
      <c r="GD18" s="40">
        <f>SnapshotTable[[#This Row],[Last Price]] * (1+ SellingPriceToConsiderBasedOnTargetPercentage)</f>
        <v>425.80200000000002</v>
      </c>
      <c r="GE18" s="41"/>
      <c r="GF18" s="40"/>
      <c r="GG18" s="31">
        <f>SnapshotTable[[#This Row],[Booked Sale Shares]] * SnapshotTable[[#This Row],[Booked Sale Price]]</f>
        <v>0</v>
      </c>
      <c r="GH18" s="31" t="str">
        <f>IF(SnapshotTable[[#This Row],[Equity Basis Total]] &gt; 0, SnapshotTable[[#This Row],[Equity Basis Per Share]] * SnapshotTable[[#This Row],[Booked Sale Shares]], "")</f>
        <v/>
      </c>
      <c r="GI18" s="31">
        <f>IF(SnapshotTable[[#This Row],[Sale Proceeds]]&gt;0, SnapshotTable[[#This Row],[Sale Proceeds]] - SnapshotTable[[#This Row],[Sale Basis]], 0)</f>
        <v>0</v>
      </c>
      <c r="GJ18" s="27" t="str">
        <f>IF(SnapshotTable[[#This Row],[Sale G/L]]&gt;0, SnapshotTable[[#This Row],[Sale G/L]] / SnapshotTable[[#This Row],[Sale Basis]], IF(ISNUMBER(SnapshotTable[[#This Row],[SC Exercise P&amp;L (TAX)]]), SnapshotTable[[#This Row],[SC Exercise P&amp;L (TAX)]] / SnapshotTable[[#This Row],[SC Basis]], ""))</f>
        <v/>
      </c>
      <c r="GK18" s="27" t="s">
        <v>621</v>
      </c>
      <c r="GL18" s="43" t="str">
        <f>IF(AND(SnapshotTable[[#This Row],[LP Exp Date]]&gt;0,SnapshotTable[[#This Row],[LP Strike Price]]&gt;0), [1]!ToOptionSymbol(SnapshotTable[[#This Row],[Symbol]], SnapshotTable[[#This Row],[LP Strike Price]],SnapshotTable[[#This Row],[LP Exp Date]],1), "")</f>
        <v/>
      </c>
      <c r="GM18" s="30" t="str">
        <f>IF(LEN(SnapshotTable[[#This Row],[LP Symbol]])&gt;0, 1, "")</f>
        <v/>
      </c>
      <c r="GN18" s="43" t="str">
        <f>IF(AND(SnapshotTable[[#This Row],[SP Exp Date]]&gt;0,SnapshotTable[[#This Row],[SP Strike Price]]&gt;0), [1]!ToOptionSymbol(SnapshotTable[[#This Row],[Symbol]], SnapshotTable[[#This Row],[SP Strike Price]],SnapshotTable[[#This Row],[SP Exp Date]],1), "")</f>
        <v/>
      </c>
      <c r="GO18" s="30" t="str">
        <f>IF(LEN(SnapshotTable[[#This Row],[SP Symbol]])&gt;0, 1, "")</f>
        <v/>
      </c>
      <c r="GP18" s="43" t="str">
        <f>IF(AND(SnapshotTable[[#This Row],[LC Exp Date]]&gt;0,SnapshotTable[[#This Row],[LC Strike Price]]&gt;0), [1]!ToOptionSymbol(SnapshotTable[[#This Row],[Symbol]], SnapshotTable[[#This Row],[LC Strike Price]],SnapshotTable[[#This Row],[LC Exp Date]],0), "")</f>
        <v/>
      </c>
      <c r="GQ18" s="30" t="str">
        <f>IF(LEN(SnapshotTable[[#This Row],[LC Symbol]])&gt;0, 1, "")</f>
        <v/>
      </c>
      <c r="GR18" s="43" t="str">
        <f>IF(AND(SnapshotTable[[#This Row],[SC Exp Date]]&gt;0,SnapshotTable[[#This Row],[SC Strike Price]]&gt;0), [1]!ToOptionSymbol(SnapshotTable[[#This Row],[Symbol]], SnapshotTable[[#This Row],[SC Strike Price]],SnapshotTable[[#This Row],[SC Exp Date]],0), "")</f>
        <v/>
      </c>
      <c r="GS18" s="30" t="str">
        <f>IF(LEN(SnapshotTable[[#This Row],[SC Symbol]])&gt;0, 1, "")</f>
        <v/>
      </c>
      <c r="GT18" s="29" t="str">
        <f>IF(COUNT(SnapshotTable[[#This Row],[LP Symbol Count]],SnapshotTable[[#This Row],[SP Symbol Count]],SnapshotTable[[#This Row],[LC Symbol Count]],SnapshotTable[[#This Row],[SC Symbol Count]])&gt;0, "Y", "")</f>
        <v/>
      </c>
      <c r="GU1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 s="231" t="e">
        <f>MAX(SnapshotTable[[#This Row],[Equity Basis Total]],SnapshotTable[[#This Row],[Equity Value]]) + (SnapshotTable[[#This Row],[SP Potential Spend]]- SnapshotTable[[#This Row],[SP Premium]] + SnapshotTable[[#This Row],[LP Premium]])+ (SnapshotTable[[#This Row],[LC Premium]] - SnapshotTable[[#This Row],[SC Premium]])</f>
        <v>#VALUE!</v>
      </c>
      <c r="GW18" s="139" t="e">
        <f>IF(AND(SnapshotTable[[#This Row],[Exposure]] &lt;&gt; 0),SnapshotTable[[#This Row],[Exposure]] / SnapshotTable[[#Totals],[Exposure]], "")</f>
        <v>#VALUE!</v>
      </c>
      <c r="HK18" s="1"/>
      <c r="HL18" s="1"/>
      <c r="HM18" s="1"/>
      <c r="HN18" s="1"/>
      <c r="HO18" s="1"/>
      <c r="HP18" s="1"/>
    </row>
    <row r="19" spans="2:224" ht="12.75" hidden="1" customHeight="1" x14ac:dyDescent="0.25">
      <c r="B19" s="12" t="s">
        <v>161</v>
      </c>
      <c r="C19" s="422">
        <v>87.32</v>
      </c>
      <c r="D19" s="208"/>
      <c r="E19" s="39">
        <f>SnapshotTable[[#This Row],[Last Price]]*(1 -CrashDiscount)</f>
        <v>74.221999999999994</v>
      </c>
      <c r="F19" s="26" t="s">
        <v>160</v>
      </c>
      <c r="G19" s="26" t="s">
        <v>821</v>
      </c>
      <c r="H19" s="149"/>
      <c r="I19" s="194">
        <v>44768.291666666664</v>
      </c>
      <c r="J19" s="195">
        <v>44768.291666666664</v>
      </c>
      <c r="K19" s="196"/>
      <c r="L19" s="326"/>
      <c r="M19" s="140"/>
      <c r="N19" s="140"/>
      <c r="O19" s="140"/>
      <c r="P19" s="22"/>
      <c r="Q19" s="25"/>
      <c r="R19" s="4" t="str">
        <f>IF(SnapshotTable[[#This Row],[Equity Basis Total]] &gt; 0, SnapshotTable[[#This Row],[Equity Basis Total]] / SnapshotTable[[#This Row],[Equity Shares]], "")</f>
        <v/>
      </c>
      <c r="S19" s="269">
        <f>SnapshotTable[[#This Row],[Last Price]] * SnapshotTable[[#This Row],[Equity Shares]]</f>
        <v>0</v>
      </c>
      <c r="T19" s="269">
        <f>SnapshotTable[[#This Row],[Equity Value]] - SnapshotTable[[#This Row],[Equity Basis Total]]</f>
        <v>0</v>
      </c>
      <c r="U19" s="270" t="str">
        <f>IF(SnapshotTable[[#This Row],[Equity Basis Total]] &gt; 0, SnapshotTable[[#This Row],[Equity G/L]] / SnapshotTable[[#This Row],[Equity Basis Total]], "")</f>
        <v/>
      </c>
      <c r="V19" s="268"/>
      <c r="W19" s="268"/>
      <c r="X19" s="4" t="str">
        <f>IF(AND(ISNUMBER(SnapshotTable[[#This Row],[Equity Basis Per Share]]),ISNUMBER(SnapshotTable[[#This Row],[Equity Target]])),SnapshotTable[[#This Row],[Equity Target]]-SnapshotTable[[#This Row],[Equity Basis Per Share]],"")</f>
        <v/>
      </c>
      <c r="Y19" s="4" t="str">
        <f>IF(AND(ISNUMBER(SnapshotTable[[#This Row],[Equity Basis Per Share]]),ISNUMBER(SnapshotTable[[#This Row],[Equity Stop Loss]])),SnapshotTable[[#This Row],[Equity Stop Loss]]-SnapshotTable[[#This Row],[Equity Basis Per Share]],"")</f>
        <v/>
      </c>
      <c r="Z19" s="275" t="str">
        <f>IFERROR( TEXT(SnapshotTable[[#This Row],[Equity Max Gain Per Share]] /ABS( SnapshotTable[[#This Row],[Equity Max Loss Per Share]]),"0.0 " ) &amp; " : 1", "")</f>
        <v/>
      </c>
      <c r="AA19" s="31" t="str">
        <f>IF(ISNUMBER(SnapshotTable[[#This Row],[Equity Max Gain Per Share]]),SnapshotTable[[#This Row],[Equity Max Gain Per Share]] * SnapshotTable[[#This Row],[Equity Shares]],"")</f>
        <v/>
      </c>
      <c r="AB19" s="31" t="str">
        <f>IF(ISNUMBER(SnapshotTable[[#This Row],[Equity Max Loss Per Share]]),SnapshotTable[[#This Row],[Equity Max Loss Per Share]] * SnapshotTable[[#This Row],[Equity Shares]],"")</f>
        <v/>
      </c>
      <c r="AC19" s="150">
        <v>1.2</v>
      </c>
      <c r="AD19" s="151">
        <v>42801</v>
      </c>
      <c r="AE19" s="31">
        <f>(SnapshotTable[[#This Row],[Annual Dividend Per Share]] / 4) * SnapshotTable[[#This Row],[Equity Shares]]</f>
        <v>0</v>
      </c>
      <c r="AF19" s="31">
        <f>SnapshotTable[[#This Row],[Quarterly Div $]] * 4</f>
        <v>0</v>
      </c>
      <c r="AG19" s="7">
        <f>IF(SnapshotTable[[#This Row],[Annual Dividend Per Share]]&gt;0, SnapshotTable[[#This Row],[Annual Dividend Per Share]]  / SnapshotTable[[#This Row],[Last Price]], 0)</f>
        <v>1.3742556115437472E-2</v>
      </c>
      <c r="AH19" s="151">
        <v>42776</v>
      </c>
      <c r="AI19" s="5"/>
      <c r="AJ19" s="138">
        <v>98.89</v>
      </c>
      <c r="AK19" s="152" t="str">
        <f>IF(ISNUMBER( SnapshotTable[[#This Row],[EBF Target]]),(SnapshotTable[[#This Row],[EBF Target]] - SnapshotTable[[#This Row],[Last Price]]) / SnapshotTable[[#This Row],[Last Price]], "")</f>
        <v/>
      </c>
      <c r="AL19" s="152" t="str">
        <f>IF(AND(SnapshotTable[[#This Row],[Equity Basis Total]] &gt; 0,ISNUMBER( SnapshotTable[[#This Row],[Long Term Target]])), SnapshotTable[[#This Row],[From Basis $]] / SnapshotTable[[#This Row],[Equity Basis Total]], "")</f>
        <v/>
      </c>
      <c r="AM19" s="9">
        <f>IF( AND(SnapshotTable[[#This Row],[Equity Shares]] &gt;0,ISNUMBER( SnapshotTable[[#This Row],[Long Term Target]])),(SnapshotTable[[#This Row],[Equity Shares]] * SnapshotTable[[#This Row],[Long Term Target]]) - SnapshotTable[[#This Row],[Equity Basis Total]],0)</f>
        <v>0</v>
      </c>
      <c r="AN19" s="9">
        <f>IF( AND(SnapshotTable[[#This Row],[Equity Shares]] &gt;0,ISNUMBER( SnapshotTable[[#This Row],[Long Term Target]])),(SnapshotTable[[#This Row],[Equity Shares]]*SnapshotTable[[#This Row],[Long Term Target]]) - SnapshotTable[[#This Row],[Equity Value]],0)</f>
        <v>0</v>
      </c>
      <c r="AO19" s="152">
        <f>IF(AND(ISNUMBER( SnapshotTable[[#This Row],[Long Term Target]]), ISNUMBER(SnapshotTable[[#This Row],[Last Price]])),(SnapshotTable[[#This Row],[Long Term Target]] - SnapshotTable[[#This Row],[Last Price]]) / SnapshotTable[[#This Row],[Last Price]], "")</f>
        <v>0.13250114521300971</v>
      </c>
      <c r="AP19" s="5">
        <v>49.88</v>
      </c>
      <c r="AQ19" s="38" t="s">
        <v>89</v>
      </c>
      <c r="AR19" s="5">
        <v>44</v>
      </c>
      <c r="AS19" s="38" t="s">
        <v>45</v>
      </c>
      <c r="AT19" s="146"/>
      <c r="AU19" s="187" t="str">
        <f>IF(OR(SnapshotTable[[#This Row],[LP No Fill]]="Y",SnapshotTable[[#This Row],[SP Is Filled]],SnapshotTable[[#This Row],[LC Not Filled]]="Y",SnapshotTable[[#This Row],[SC Is Filled]]),"Y","")</f>
        <v/>
      </c>
      <c r="AV19" s="219"/>
      <c r="AW19" s="225"/>
      <c r="AX19" s="220"/>
      <c r="AY19" s="219" t="str">
        <f>IF(SnapshotTable[[#This Row],[Implied Move]]&gt;0, SnapshotTable[[#This Row],[Last Price]]-SnapshotTable[[#This Row],[Implied Move]],"")</f>
        <v/>
      </c>
      <c r="AZ19" s="219" t="str">
        <f>IF(SnapshotTable[[#This Row],[Implied Move]]&gt;0, SnapshotTable[[#This Row],[Last Price]] + SnapshotTable[[#This Row],[Implied Move]],"")</f>
        <v/>
      </c>
      <c r="BA19" s="331"/>
      <c r="BB19" s="347"/>
      <c r="BC1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 s="351"/>
      <c r="BE19" s="5"/>
      <c r="BF19" s="14"/>
      <c r="BG19" s="13"/>
      <c r="BH19" s="13"/>
      <c r="BI19" s="5"/>
      <c r="BJ19" s="136"/>
      <c r="BK19" s="136">
        <f>IF(SnapshotTable[[#This Row],[LP Premium]] &gt; 0, SnapshotTable[[#This Row],[LP Qty]] * SnapshotTable[[#This Row],[LP Strike Price]] * 100,0)</f>
        <v>0</v>
      </c>
      <c r="BL19" s="154"/>
      <c r="BM19" s="385" t="str">
        <f>IF(SnapshotTable[[#This Row],[LP Premium]] &gt; 0,SnapshotTable[[#This Row],[LP Exp Date]]-MAX(SnapshotTable[[#This Row],[LP Book Date]], SnapshotTable[[#This Row],[LP Fill Date]]),"")</f>
        <v/>
      </c>
      <c r="BN19" s="385" t="str">
        <f>IF(ISNUMBER( SnapshotTable[[#This Row],[LP Term]]), SnapshotTable[[#This Row],[LP Exp Date]] - MockToday,"")</f>
        <v/>
      </c>
      <c r="BO19" s="163" t="str">
        <f>IF(AND(SnapshotTable[[#This Row],[LP Exp Date]]&gt;0, SnapshotTable[[#This Row],[LP Strike Price]]&gt;0,SnapshotTable[[#This Row],[LP Qty]]&gt;0,SnapshotTable[[#This Row],[LP Book Date]]&gt;0,SnapshotTable[[#This Row],[LP Book Price]]&gt;0,SnapshotTable[[#This Row],[LP Fill Date]]=0),"Y","")</f>
        <v/>
      </c>
      <c r="BP19" s="31" t="str">
        <f>IF(AND(SnapshotTable[[#This Row],[LP No Fill]]&lt;&gt;"Y",SnapshotTable[[#This Row],[LP Contract Value]]&gt;0, SnapshotTable[[#This Row],[LP Qty]]&gt;0), SnapshotTable[[#This Row],[LP Contract Value]]*SnapshotTable[[#This Row],[LP Qty]]*100,"")</f>
        <v/>
      </c>
      <c r="BQ19" s="13"/>
      <c r="BR19" s="5" t="str">
        <f>IF(SnapshotTable[[#This Row],[SP Exp Date]]&lt;&gt;"",TRUNC(SnapshotTable[[#This Row],[Last Price]]),"")</f>
        <v/>
      </c>
      <c r="BS19" s="36"/>
      <c r="BT19" s="147"/>
      <c r="BU19" s="13"/>
      <c r="BV19" s="5"/>
      <c r="BW19" s="419" t="b">
        <f>AND(ISNUMBER(SnapshotTable[[#This Row],[SP Exp Date]]), ISNUMBER(SnapshotTable[[#This Row],[SP Strike Price]]), ISNUMBER(SnapshotTable[[#This Row],[SP Qty]]), ISNUMBER(SnapshotTable[[#This Row],[SP Book Date]]), ISNUMBER(SnapshotTable[[#This Row],[SP Book Price]]))</f>
        <v>0</v>
      </c>
      <c r="BX19" s="419" t="b">
        <f>AND(SnapshotTable[[#This Row],[SP Is Booked]], NOT(ISBLANK(SnapshotTable[[#This Row],[SP Fill Date]])))</f>
        <v>0</v>
      </c>
      <c r="BY19" s="33">
        <f>IF(SnapshotTable[[#This Row],[SP Is Booked]], SnapshotTable[[#This Row],[SP Qty]] * SnapshotTable[[#This Row],[SP Book Price]] * 100, 0)</f>
        <v>0</v>
      </c>
      <c r="BZ19" s="369"/>
      <c r="CA19" s="368">
        <f>SnapshotTable[[#This Row],[LP Qty]]</f>
        <v>0</v>
      </c>
      <c r="CB19" s="4" t="str">
        <f>IF(SnapshotTable[[#This Row],[SP Is Booked]], SnapshotTable[[#This Row],[SP Strike Price]] - SnapshotTable[[#This Row],[SP Book Price]], "")</f>
        <v/>
      </c>
      <c r="CC19" s="19" t="str">
        <f>IF(SnapshotTable[[#This Row],[SP Is Booked]],SnapshotTable[[#This Row],[SP Exp Date]]-MAX(SnapshotTable[[#This Row],[SP Book Date]], SnapshotTable[[#This Row],[SP Fill Date]]),"")</f>
        <v/>
      </c>
      <c r="CD19" s="7" t="str">
        <f>IF(SnapshotTable[[#This Row],[SP Is Booked]], SnapshotTable[[#This Row],[SP Book Price]]/SnapshotTable[[#This Row],[SP Strike Price]], "")</f>
        <v/>
      </c>
      <c r="CE19" s="7" t="str">
        <f>IF(ISNUMBER(SnapshotTable[[#This Row],[SP ROO Term]]),SnapshotTable[[#This Row],[SP ROO Term]]*(365/SnapshotTable[[#This Row],[SP Term]]),"")</f>
        <v/>
      </c>
      <c r="CF19" s="236">
        <f>SnapshotTable[[#This Row],[LP Strike Price]] * SnapshotTable[[#This Row],[LP Qty]] * 100</f>
        <v>0</v>
      </c>
      <c r="CG19" s="31" t="e">
        <f>IF(ISNUMBER(SnapshotTable[[#This Row],[SP Premium]]), (SnapshotTable[[#This Row],[SP Qty]] * SnapshotTable[[#This Row],[SP Strike Price]]* 100) - SnapshotTable[[#This Row],[LP Protection]], 0)</f>
        <v>#VALUE!</v>
      </c>
      <c r="CH19" s="7" t="str">
        <f>IF(ISNUMBER(SnapshotTable[[#This Row],[SP Break Even]]),-1 * (SnapshotTable[[#This Row],[SP Break Even]] - SnapshotTable[[#This Row],[Last Price]]) / SnapshotTable[[#This Row],[Last Price]], "")</f>
        <v/>
      </c>
      <c r="CI19" s="31">
        <f>IF(AND(ISNUMBER((SnapshotTable[[#This Row],[SP Potential Spend]])), SnapshotTable[[#This Row],[SP Strike Price]] &gt; SnapshotTable[[#This Row],[Last Price]], SnapshotTable[[#This Row],[SP Is Filled]]), SnapshotTable[[#This Row],[SP Potential Spend]] -  SnapshotTable[[#This Row],[LP Max Value]], 0)</f>
        <v>0</v>
      </c>
      <c r="CJ19" s="244"/>
      <c r="CK19" s="31" t="str">
        <f>IF(ISNUMBER(SnapshotTable[[#This Row],[SP Potential Spend]]),IF(ISNUMBER(SnapshotTable[[#This Row],[SP POW]]), SnapshotTable[[#This Row],[SP POW]] * SnapshotTable[[#This Row],[SP Potential Spend]], SnapshotTable[[#This Row],[SP Potential Spend]]), "")</f>
        <v/>
      </c>
      <c r="CL19" s="164" t="e">
        <f>IF(NOT(SnapshotTable[[#This Row],[SP Is Filled]]),(SnapshotTable[[#This Row],[SP Qty]] * SnapshotTable[[#This Row],[SP Strike Price]] * 100) - SnapshotTable[[#This Row],[LP Max Value]],"")</f>
        <v>#VALUE!</v>
      </c>
      <c r="CM19" s="31" t="str">
        <f>IF(SnapshotTable[[#This Row],[SP Actual Spend]]&lt;&gt;0, ((SnapshotTable[[#This Row],[SP Strike Price]]-SnapshotTable[[#This Row],[Last Price]]) *(SnapshotTable[[#This Row],[SP Qty]]*100) - SnapshotTable[[#This Row],[SP Premium]]) * - 1, "")</f>
        <v/>
      </c>
      <c r="CN19" s="78"/>
      <c r="CO19" s="369"/>
      <c r="CP19" s="4" t="str">
        <f>IF(SnapshotTable[[#This Row],[SP Is Filled]], btc_max_buyback_amount(SnapshotTable[[#This Row],[SP Fill Date]],SnapshotTable[[#This Row],[SP Exp Date]], SnapshotTable[[#This Row],[SP Book Price]]),"")</f>
        <v/>
      </c>
      <c r="CQ19" s="78"/>
      <c r="CR1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 s="155" t="str">
        <f>IF(SnapshotTable[[#This Row],[SP Is Filled]], btc_next_cutoff_date(SnapshotTable[[#This Row],[SP Fill Date]],SnapshotTable[[#This Row],[SP Exp Date]]),"")</f>
        <v/>
      </c>
      <c r="CT19" s="235" t="str" cm="1">
        <f t="array" ref="CT19">IF(SnapshotTable[[#This Row],[SP Is Filled]], btc_should_buy_back(SnapshotTable[[#This Row],[SP Fill Date]], SnapshotTable[[#This Row],[SP Exp Date]], SnapshotTable[[#This Row],[SP Book Price]], SnapshotTable[[#This Row],[SP Current Ask]], MockToday, SnapshotTable[[#This Row],[SP Buyback Override]]),"")</f>
        <v/>
      </c>
      <c r="CU19" s="143"/>
      <c r="CV19" s="235"/>
      <c r="CW19" s="378" t="str">
        <f>IF(ISNUMBER( SnapshotTable[[#This Row],[SP Term]]), SnapshotTable[[#This Row],[SP Exp Date]] - MockToday,"")</f>
        <v/>
      </c>
      <c r="CX19" s="31" t="str">
        <f>IF(SnapshotTable[[#This Row],[SP Is Filled]],SnapshotTable[[#This Row],[SP Buyback Price to Use]] * 100 * SnapshotTable[[#This Row],[SP Qty]], "")</f>
        <v/>
      </c>
      <c r="CY19" s="4" t="str">
        <f>IF(ISNUMBER(SnapshotTable[[#This Row],[SP Strike Price]]), SnapshotTable[[#This Row],[SP Strike Price]] * (1 - SP_MaxLoss_StrikePct), "")</f>
        <v/>
      </c>
      <c r="CZ19" s="31" t="str">
        <f>IF(ISNUMBER(SnapshotTable[[#This Row],[SP Strike  Stop Per Share]]),SnapshotTable[[#This Row],[SP Premium]] - ((SnapshotTable[[#This Row],[SP Strike Price]]-SnapshotTable[[#This Row],[SP Strike  Stop Per Share]]) *(SnapshotTable[[#This Row],[SP Qty]] * 100)),"")</f>
        <v/>
      </c>
      <c r="DA19" s="4" t="str">
        <f>IF(AND(ISNUMBER(SnapshotTable[[#This Row],[SP Premium]]),SnapshotTable[[#This Row],[SP Premium]]&gt;0), SnapshotTable[[#This Row],[SP Book Price]] * (1 + SP_MaxLoss_OptionPct), "")</f>
        <v/>
      </c>
      <c r="DB19" s="31" t="str">
        <f>IF(ISNUMBER(SnapshotTable[[#This Row],[SP Option  Stop Contract]]),(SnapshotTable[[#This Row],[SP Option  Stop Contract]] *(SnapshotTable[[#This Row],[SP Qty]] * 100) - SnapshotTable[[#This Row],[SP Premium]]),"")</f>
        <v/>
      </c>
      <c r="DC19" s="4"/>
      <c r="DD19" s="4"/>
      <c r="DE19" s="4" t="str">
        <f>IF(AND(SnapshotTable[[#This Row],[SP Qty]]&gt;0, SnapshotTable[[#This Row],[SP Stop To Use]]&gt;0),SnapshotTable[[#This Row],[SP Premium]] - ( SnapshotTable[[#This Row],[SP Qty]] * SnapshotTable[[#This Row],[SP Stop To Use]] * 100), "")</f>
        <v/>
      </c>
      <c r="DF19" s="31" t="str">
        <f>IF(AND(SnapshotTable[[#This Row],[SP Qty]]&gt;0,SnapshotTable[[#This Row],[SP Current Ask]]&gt;0), SnapshotTable[[#This Row],[SP Qty]] * SnapshotTable[[#This Row],[SP Current Ask]] * -100, "")</f>
        <v/>
      </c>
      <c r="DG19" s="31" t="str">
        <f>IF(ISNUMBER((SnapshotTable[[#This Row],[SP Total Value]])), SnapshotTable[[#This Row],[SP Premium]] + SnapshotTable[[#This Row],[SP Total Value]], "")</f>
        <v/>
      </c>
      <c r="DH19" s="294" t="str">
        <f>IF(ISNUMBER((SnapshotTable[[#This Row],[SP Total Value]])), SnapshotTable[[#This Row],[SP Gain Loss]] / SnapshotTable[[#This Row],[SP Premium]], "")</f>
        <v/>
      </c>
      <c r="DI19" s="406"/>
      <c r="DJ19" s="138"/>
      <c r="DK19" s="148"/>
      <c r="DL19" s="13"/>
      <c r="DM19" s="13"/>
      <c r="DO19" s="31">
        <f>IF(SnapshotTable[[#This Row],[LC Symbol Count]]=1, SnapshotTable[[#This Row],[LC Qty]] * SnapshotTable[[#This Row],[LC Book Price]] * 100, 0)</f>
        <v>0</v>
      </c>
      <c r="DP19" s="163" t="str">
        <f>IF(AND(SnapshotTable[[#This Row],[LC Exp Date]]&gt;0, SnapshotTable[[#This Row],[LC Strike Price]]&gt;0,SnapshotTable[[#This Row],[LC Qty]]&gt;0,SnapshotTable[[#This Row],[LC Book Date]]&gt;0,SnapshotTable[[#This Row],[LC Book Price]]&gt;0,SnapshotTable[[#This Row],[LC Fill Date]]=0),"Y","")</f>
        <v/>
      </c>
      <c r="DQ19" s="386" t="str">
        <f>IF(SnapshotTable[[#This Row],[LC Premium]] &gt; 0,SnapshotTable[[#This Row],[LC Exp Date]]-MAX(SnapshotTable[[#This Row],[LC Book Date]], SnapshotTable[[#This Row],[LC Fill Date]]),"")</f>
        <v/>
      </c>
      <c r="DR19" s="386" t="str">
        <f>IF(ISNUMBER(SnapshotTable[[#This Row],[LC Term]]), SnapshotTable[[#This Row],[LC Exp Date]] - MockToday, "")</f>
        <v/>
      </c>
      <c r="DS19" s="234" t="str">
        <f>IF(SnapshotTable[[#This Row],[LC Premium]]&gt;0,SnapshotTable[[#This Row],[LC Strike Price]] + SnapshotTable[[#This Row],[LC Book Price]],"")</f>
        <v/>
      </c>
      <c r="DU19" s="9" t="str">
        <f>IF(AND(SnapshotTable[[#This Row],[LC Symbol Count]]&gt;0, SnapshotTable[[#This Row],[LC Contract Value]]&gt;0), SnapshotTable[[#This Row],[LC Contract Value]] * SnapshotTable[[#This Row],[LC Qty]] * 100, "")</f>
        <v/>
      </c>
      <c r="DV19" s="9" t="str">
        <f>IF(AND(ISNUMBER(SnapshotTable[[#This Row],[LC Total Value]]), SnapshotTable[[#This Row],[LC Not Filled]]&lt;&gt;"Y"), SnapshotTable[[#This Row],[LC Total Value]]-SnapshotTable[[#This Row],[LC Premium]],"")</f>
        <v/>
      </c>
      <c r="DW19" s="240" t="str">
        <f>IF(ISNUMBER(SnapshotTable[[#This Row],[LC Actual Gain Loss]]), SnapshotTable[[#This Row],[LC Actual Gain Loss]] / SnapshotTable[[#This Row],[LC Premium]],"")</f>
        <v/>
      </c>
      <c r="DX19" s="284" t="str">
        <f>IF(ISNUMBER(SnapshotTable[[#This Row],[LC Book Price]]),SnapshotTable[[#This Row],[LC Book Price]] * 1.5,"")</f>
        <v/>
      </c>
      <c r="DY19" s="265" t="str">
        <f>IF(SnapshotTable[[#This Row],[LC Premium]]&gt;0, SnapshotTable[[#This Row],[LC Next Target]] * SnapshotTable[[#This Row],[LC Qty]] * 100,"")</f>
        <v/>
      </c>
      <c r="DZ19" s="265" t="str">
        <f>IF(ISNUMBER(SnapshotTable[[#This Row],[LC Target Gross]]), SnapshotTable[[#This Row],[LC Target Gross]] - SnapshotTable[[#This Row],[LC Premium]], "")</f>
        <v/>
      </c>
      <c r="EA19" s="305" t="str">
        <f>IF(ISNUMBER(SnapshotTable[[#This Row],[LC Target Gain Loss]]), SnapshotTable[[#This Row],[LC Target Gain Loss]]/SnapshotTable[[#This Row],[LC Premium]], "")</f>
        <v/>
      </c>
      <c r="EB19" s="262"/>
      <c r="EC19" s="283" t="str">
        <f>IF(SnapshotTable[[#This Row],[LC Premium]]&gt;0, SnapshotTable[[#This Row],[LC Book Price]] * (1 - LC_StopLoss_Pct),"")</f>
        <v/>
      </c>
      <c r="ED19" s="284"/>
      <c r="EE19" s="283" t="str">
        <f>IF(ISNUMBER(SnapshotTable[[#This Row],[LC Contract Value]]),IF(ISNUMBER(SnapshotTable[[#This Row],[LC Stop Loss Override]]), SnapshotTable[[#This Row],[LC Stop Loss Override]],SnapshotTable[[#This Row],[LC Stop Loss Calc Target]]),"")</f>
        <v/>
      </c>
      <c r="EF19" s="31" t="str">
        <f>IF(ISNUMBER(SnapshotTable[[#This Row],[LC Stop  To Use]]), (SnapshotTable[[#This Row],[LC Stop  To Use]] * SnapshotTable[[#This Row],[LC Qty]] * 100),"")</f>
        <v/>
      </c>
      <c r="EG19" s="9" t="str">
        <f>IF(ISNUMBER(SnapshotTable[[#This Row],[LC Total Value]]),SnapshotTable[[#This Row],[LC Stop Loss Amount]] - SnapshotTable[[#This Row],[LC Premium]],"")</f>
        <v/>
      </c>
      <c r="EH19" s="9">
        <f>IF(ISNUMBER(SnapshotTable[[#This Row],[LC Premium]]), SnapshotTable[[#This Row],[LC Qty]] * 100 * SnapshotTable[[#This Row],[LC Strike Price]], "")</f>
        <v>0</v>
      </c>
      <c r="EI19" s="240" t="str">
        <f>IF(AND(ISNUMBER(SnapshotTable[[#This Row],[LC Total Value]]),SnapshotTable[[#This Row],[LC Total Value]]&gt;0),SnapshotTable[[#This Row],[LC Stop Gain Loss]]  / SnapshotTable[[#This Row],[LC Premium]],"")</f>
        <v/>
      </c>
      <c r="EJ19" s="35">
        <f>IF(ISNUMBER(SnapshotTable[[#This Row],[Equity Shares]]),TRUNC(SnapshotTable[[#This Row],[Equity Shares]] / 100),0) + SnapshotTable[[#This Row],[LC Qty]]</f>
        <v>0</v>
      </c>
      <c r="EK19" s="147"/>
      <c r="EL19" s="138" t="str">
        <f>IF(SnapshotTable[[#This Row],[SC Exp Date]]&lt;&gt;"",TRUNC(SnapshotTable[[#This Row],[Last Price]]),"")</f>
        <v/>
      </c>
      <c r="EM19" s="148"/>
      <c r="EN19" s="147"/>
      <c r="EO19" s="147"/>
      <c r="EP19" s="138"/>
      <c r="EQ19" s="419" t="b">
        <f>AND(ISNUMBER(SnapshotTable[[#This Row],[SC Exp Date]]), ISNUMBER(SnapshotTable[[#This Row],[SC Strike Price]]), ISNUMBER(SnapshotTable[[#This Row],[SC Qty]]), ISNUMBER(SnapshotTable[[#This Row],[SC Book Date]]), ISNUMBER(SnapshotTable[[#This Row],[SC Book Price]]))</f>
        <v>0</v>
      </c>
      <c r="ER19" s="419" t="b">
        <f>AND(SnapshotTable[[#This Row],[SC Is Booked]], NOT(ISBLANK(SnapshotTable[[#This Row],[SC Fill Date]])))</f>
        <v>0</v>
      </c>
      <c r="ES19" s="370"/>
      <c r="ET19" s="34" t="str">
        <f>IF(AND(ISNUMBER(SnapshotTable[[#This Row],[SC Exp Date]]), ISNUMBER(SnapshotTable[[#This Row],[SC Book Date]])), SnapshotTable[[#This Row],[SC Exp Date]] - MAX(SnapshotTable[[#This Row],[SC Book Date]], SnapshotTable[[#This Row],[SC Fill Date]]) + 1, "")</f>
        <v/>
      </c>
      <c r="EU19" s="34" t="str">
        <f>IF(ISNUMBER(SnapshotTable[[#This Row],[SC Term]]), SnapshotTable[[#This Row],[SC Exp Date]]- MockToday, "")</f>
        <v/>
      </c>
      <c r="EV19" s="31">
        <f>IF(SnapshotTable[[#This Row],[SC Is Booked]], SnapshotTable[[#This Row],[SC Qty]] * SnapshotTable[[#This Row],[SC Book Price]] * 100, 0)</f>
        <v>0</v>
      </c>
      <c r="EW19" s="4" t="str">
        <f>IF(AND(ISNUMBER(SnapshotTable[[#This Row],[Last Price]]), ISNUMBER( SnapshotTable[[#This Row],[SC Book Price]])), SnapshotTable[[#This Row],[Last Price]] - SnapshotTable[[#This Row],[SC Book Price]],"")</f>
        <v/>
      </c>
      <c r="EX19" s="234" t="str">
        <f>IF(SnapshotTable[[#This Row],[SC Is Booked]],IF(SnapshotTable[[#This Row],[SC Intrinsic Value]] &gt; 0, SnapshotTable[[#This Row],[SC Strike Price]], SnapshotTable[[#This Row],[Last Price]]), "")</f>
        <v/>
      </c>
      <c r="EY19" s="4">
        <f>IF(SnapshotTable[[#This Row],[SC Is Booked]], (MinimumPremiumRequired * SnapshotTable[[#This Row],[SC Basis]] * SnapshotTable[[#This Row],[SC Term]]), 0)</f>
        <v>0</v>
      </c>
      <c r="EZ19" s="283"/>
      <c r="FA19" s="218"/>
      <c r="FB19" s="370"/>
      <c r="FC19" s="4">
        <f>IF(SnapshotTable[[#This Row],[SC Is Filled]], btc_max_buyback_amount(SnapshotTable[[#This Row],[SC Fill Date]],SnapshotTable[[#This Row],[SC Exp Date]], SnapshotTable[[#This Row],[SC Book Price]]),0)</f>
        <v>0</v>
      </c>
      <c r="FD19" s="5"/>
      <c r="FE19" s="144" t="str">
        <f>IF(SnapshotTable[[#This Row],[SC Is Filled]], btc_next_cutoff_date(SnapshotTable[[#This Row],[SC Fill Date]],SnapshotTable[[#This Row],[SC Exp Date]]),"")</f>
        <v/>
      </c>
      <c r="FF19" s="4" t="str" cm="1">
        <f t="array" ref="FF19">IF(SnapshotTable[[#This Row],[SC Is Filled]], btc_should_buy_back(SnapshotTable[[#This Row],[SC Fill Date]], SnapshotTable[[#This Row],[SC Exp Date]], SnapshotTable[[#This Row],[SC Book Price]], SnapshotTable[[#This Row],[SC Current Ask]], MockToday, SnapshotTable[[#This Row],[SC Buyback Override]]),"")</f>
        <v/>
      </c>
      <c r="FG19" s="4">
        <f>IF(SnapshotTable[[#This Row],[SC Is Filled]], MAX(0,SnapshotTable[[#This Row],[Last Price]]  - SnapshotTable[[#This Row],[SC Strike Price]]), 0)</f>
        <v>0</v>
      </c>
      <c r="FH19" s="382">
        <f>IF(SnapshotTable[[#This Row],[SC Is Filled]], IF(ISNUMBER(SnapshotTable[[#This Row],[SC Current Ask]]), SnapshotTable[[#This Row],[SC Current Ask]], SnapshotTable[[#This Row],[SC Book Price]]) - SnapshotTable[[#This Row],[SC Intrinsic Value]], 0)</f>
        <v>0</v>
      </c>
      <c r="FI19" s="143">
        <v>45786</v>
      </c>
      <c r="FJ19" s="32" t="str">
        <f>IF(SnapshotTable[[#This Row],[SC Is Filled]],100 * SnapshotTable[[#This Row],[SC Qty]] * IF(ISNUMBER(SnapshotTable[[#This Row],[SC Buyback Override]]), SnapshotTable[[#This Row],[SC Buyback Override]], SnapshotTable[[#This Row],[SC Current Ask]]), "")</f>
        <v/>
      </c>
      <c r="FK19" s="250" t="str">
        <f>IF(SnapshotTable[[#This Row],[SC Time Val]]&gt;0, SnapshotTable[[#This Row],[SC Time Val]] / SnapshotTable[[#This Row],[Last Price]],"")</f>
        <v/>
      </c>
      <c r="FL19" s="302" t="str">
        <f>IF(SnapshotTable[[#This Row],[SC Is Booked]], ((SnapshotTable[[#This Row],[Last Price]] -SnapshotTable[[#This Row],[SC Strike Price]]) / SnapshotTable[[#This Row],[Last Price]]) * -1, "")</f>
        <v/>
      </c>
      <c r="FM19" s="157" t="str">
        <f>IF(SnapshotTable[[#This Row],[SC Is Booked]],  (SnapshotTable[[#This Row],[SC Qty]] * 100 * SnapshotTable[[#This Row],[SC Strike Price]]) - SnapshotTable[[#This Row],[SC Current Ask]], "")</f>
        <v/>
      </c>
      <c r="FN1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 s="31" t="str">
        <f>IF(AND(ISNUMBER(SnapshotTable[[#This Row],[SC Exercise Gross]]), ISNUMBER(SnapshotTable[[#This Row],[Equity Basis Per Share]] )), SnapshotTable[[#This Row],[SC Exercise Gross]] - SnapshotTable[[#This Row],[Equity Basis Total]] +  SnapshotTable[[#This Row],[SC Premium]], "")</f>
        <v/>
      </c>
      <c r="FP19" s="5" t="str">
        <f>IF(ISNUMBER(SnapshotTable[[#This Row],[SC Exercise Gross]]), (SnapshotTable[[#This Row],[SC Exercise Gross]]) / (SnapshotTable[[#This Row],[SC Qty]] * 100), "")</f>
        <v/>
      </c>
      <c r="FQ19" s="27" t="str">
        <f>IF(SnapshotTable[[#This Row],[SC Is Booked]],SnapshotTable[[#This Row],[SC Time Val]] /SnapshotTable[[#This Row],[SC Basis]], "")</f>
        <v/>
      </c>
      <c r="FR19" s="27" t="str" cm="1">
        <f t="array" ref="FR19">IF(AND(ISNUMBER(SnapshotTable[[#This Row],[SC Term]]),ISNUMBER(SnapshotTable[[#This Row],[SC Simple ROO]])), EllmanAnnualize(SnapshotTable[[#This Row],[SC DTE]], SnapshotTable[[#This Row],[SC Simple ROO]] ),"")</f>
        <v/>
      </c>
      <c r="FS19" s="4" t="e">
        <f>IF(SnapshotTable[[#This Row],[SC Strike Price]] &gt; SnapshotTable[[#This Row],[Last Price]], SnapshotTable[[#This Row],[SC Strike Price]] - SnapshotTable[[#This Row],[Last Price]],0)</f>
        <v>#VALUE!</v>
      </c>
      <c r="FT19" s="27" t="e">
        <f>IF(AND(ISNUMBER(SnapshotTable[[#This Row],[SC Upside Potential]]), SnapshotTable[[#This Row],[SC Upside Potential]] &gt; 0),(SnapshotTable[[#This Row],[SC Upside Potential]]/ SnapshotTable[[#This Row],[ACB]]),"")</f>
        <v>#VALUE!</v>
      </c>
      <c r="FU19" s="333" t="str">
        <f>IF(SnapshotTable[[#This Row],[SC Intrinsic Value]] &gt; 0,SnapshotTable[[#This Row],[SC Intrinsic Value]],"")</f>
        <v/>
      </c>
      <c r="FV19" s="27" t="str">
        <f>IF(AND( ISNUMBER( SnapshotTable[[#This Row],[ACB]]),ISNUMBER(SnapshotTable[[#This Row],[SC Downside Protect]])),SnapshotTable[[#This Row],[SC Downside Protect]] / SnapshotTable[[#This Row],[ACB]],"")</f>
        <v/>
      </c>
      <c r="FW19" s="236" t="str">
        <f>IF(AND(ISNUMBER(SnapshotTable[[#This Row],[SC Simple ROO]]),SnapshotTable[[#This Row],[SC Simple ROO]] &gt; 0), SnapshotTable[[#This Row],[SC Premium]] + (SnapshotTable[[#This Row],[SC Qty]] * SnapshotTable[[#This Row],[SC Upside Potential]]), "")</f>
        <v/>
      </c>
      <c r="FX19" s="302" t="str" cm="1">
        <f t="array" ref="FX19">IF(ISNUMBER(SnapshotTable[[#This Row],[SC Max Dollars]]), annualize(SnapshotTable[[#This Row],[SC Term]],(SnapshotTable[[#This Row],[SC Max Dollars]]/SnapshotTable[[#This Row],[SC Basis]])),"")</f>
        <v/>
      </c>
      <c r="FY19" s="236" t="str">
        <f>IF(AND(SnapshotTable[[#This Row],[SC Qty]]&gt;0,SnapshotTable[[#This Row],[SC Current Ask]]&gt;0), SnapshotTable[[#This Row],[SC Qty]] * SnapshotTable[[#This Row],[SC Current Ask]] * -100, "")</f>
        <v/>
      </c>
      <c r="FZ19" s="31" t="str">
        <f>IF(ISNUMBER((SnapshotTable[[#This Row],[SC Current Value]])), SnapshotTable[[#This Row],[SC Premium]] + SnapshotTable[[#This Row],[SC Current Value]], "")</f>
        <v/>
      </c>
      <c r="GA19" s="294" t="str">
        <f>IFERROR( IF(ISNUMBER((SnapshotTable[[#This Row],[SC Current Value]])), SnapshotTable[[#This Row],[SC Gain Loss]] / SnapshotTable[[#This Row],[SC Premium]], ""), "")</f>
        <v/>
      </c>
      <c r="GB19" s="42">
        <f>SnapshotTable[[#This Row],[Equity Shares]] * SaleSharesToConsiderPercentage</f>
        <v>0</v>
      </c>
      <c r="GC19" s="40">
        <f>SnapshotTable[[#This Row],[Long Term Target]] * SellingPriceToConsiderBasedOnTargetPercentage</f>
        <v>93.945499999999996</v>
      </c>
      <c r="GD19" s="40">
        <f>SnapshotTable[[#This Row],[Last Price]] * (1+ SellingPriceToConsiderBasedOnTargetPercentage)</f>
        <v>170.27399999999997</v>
      </c>
      <c r="GE19" s="41"/>
      <c r="GF19" s="40"/>
      <c r="GG19" s="31">
        <f>SnapshotTable[[#This Row],[Booked Sale Shares]] * SnapshotTable[[#This Row],[Booked Sale Price]]</f>
        <v>0</v>
      </c>
      <c r="GH19" s="31" t="str">
        <f>IF(SnapshotTable[[#This Row],[Equity Basis Total]] &gt; 0, SnapshotTable[[#This Row],[Equity Basis Per Share]] * SnapshotTable[[#This Row],[Booked Sale Shares]], "")</f>
        <v/>
      </c>
      <c r="GI19" s="31">
        <f>IF(SnapshotTable[[#This Row],[Sale Proceeds]]&gt;0, SnapshotTable[[#This Row],[Sale Proceeds]] - SnapshotTable[[#This Row],[Sale Basis]], 0)</f>
        <v>0</v>
      </c>
      <c r="GJ19" s="27" t="str">
        <f>IF(SnapshotTable[[#This Row],[Sale G/L]]&gt;0, SnapshotTable[[#This Row],[Sale G/L]] / SnapshotTable[[#This Row],[Sale Basis]], IF(ISNUMBER(SnapshotTable[[#This Row],[SC Exercise P&amp;L (TAX)]]), SnapshotTable[[#This Row],[SC Exercise P&amp;L (TAX)]] / SnapshotTable[[#This Row],[SC Basis]], ""))</f>
        <v/>
      </c>
      <c r="GK19" s="27" t="s">
        <v>623</v>
      </c>
      <c r="GL19" s="43" t="str">
        <f>IF(AND(SnapshotTable[[#This Row],[LP Exp Date]]&gt;0,SnapshotTable[[#This Row],[LP Strike Price]]&gt;0), [1]!ToOptionSymbol(SnapshotTable[[#This Row],[Symbol]], SnapshotTable[[#This Row],[LP Strike Price]],SnapshotTable[[#This Row],[LP Exp Date]],1), "")</f>
        <v/>
      </c>
      <c r="GM19" s="30" t="str">
        <f>IF(LEN(SnapshotTable[[#This Row],[LP Symbol]])&gt;0, 1, "")</f>
        <v/>
      </c>
      <c r="GN19" s="43" t="str">
        <f>IF(AND(SnapshotTable[[#This Row],[SP Exp Date]]&gt;0,SnapshotTable[[#This Row],[SP Strike Price]]&gt;0), [1]!ToOptionSymbol(SnapshotTable[[#This Row],[Symbol]], SnapshotTable[[#This Row],[SP Strike Price]],SnapshotTable[[#This Row],[SP Exp Date]],1), "")</f>
        <v/>
      </c>
      <c r="GO19" s="30" t="str">
        <f>IF(LEN(SnapshotTable[[#This Row],[SP Symbol]])&gt;0, 1, "")</f>
        <v/>
      </c>
      <c r="GP19" s="43" t="str">
        <f>IF(AND(SnapshotTable[[#This Row],[LC Exp Date]]&gt;0,SnapshotTable[[#This Row],[LC Strike Price]]&gt;0), [1]!ToOptionSymbol(SnapshotTable[[#This Row],[Symbol]], SnapshotTable[[#This Row],[LC Strike Price]],SnapshotTable[[#This Row],[LC Exp Date]],0), "")</f>
        <v/>
      </c>
      <c r="GQ19" s="30" t="str">
        <f>IF(LEN(SnapshotTable[[#This Row],[LC Symbol]])&gt;0, 1, "")</f>
        <v/>
      </c>
      <c r="GR19" s="43" t="str">
        <f>IF(AND(SnapshotTable[[#This Row],[SC Exp Date]]&gt;0,SnapshotTable[[#This Row],[SC Strike Price]]&gt;0), [1]!ToOptionSymbol(SnapshotTable[[#This Row],[Symbol]], SnapshotTable[[#This Row],[SC Strike Price]],SnapshotTable[[#This Row],[SC Exp Date]],0), "")</f>
        <v/>
      </c>
      <c r="GS19" s="30" t="str">
        <f>IF(LEN(SnapshotTable[[#This Row],[SC Symbol]])&gt;0, 1, "")</f>
        <v/>
      </c>
      <c r="GT19" s="29" t="str">
        <f>IF(COUNT(SnapshotTable[[#This Row],[LP Symbol Count]],SnapshotTable[[#This Row],[SP Symbol Count]],SnapshotTable[[#This Row],[LC Symbol Count]],SnapshotTable[[#This Row],[SC Symbol Count]])&gt;0, "Y", "")</f>
        <v/>
      </c>
      <c r="GU1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 s="231" t="e">
        <f>MAX(SnapshotTable[[#This Row],[Equity Basis Total]],SnapshotTable[[#This Row],[Equity Value]]) + (SnapshotTable[[#This Row],[SP Potential Spend]]- SnapshotTable[[#This Row],[SP Premium]] + SnapshotTable[[#This Row],[LP Premium]])+ (SnapshotTable[[#This Row],[LC Premium]] - SnapshotTable[[#This Row],[SC Premium]])</f>
        <v>#VALUE!</v>
      </c>
      <c r="GW19" s="139" t="e">
        <f>IF(AND(SnapshotTable[[#This Row],[Exposure]] &lt;&gt; 0),SnapshotTable[[#This Row],[Exposure]] / SnapshotTable[[#Totals],[Exposure]], "")</f>
        <v>#VALUE!</v>
      </c>
      <c r="HK19" s="1"/>
      <c r="HL19" s="1"/>
      <c r="HM19" s="1"/>
      <c r="HN19" s="1"/>
      <c r="HO19" s="1"/>
      <c r="HP19" s="1"/>
    </row>
    <row r="20" spans="2:224" ht="12.75" hidden="1" customHeight="1" x14ac:dyDescent="0.25">
      <c r="B20" s="12" t="s">
        <v>503</v>
      </c>
      <c r="C20" s="422">
        <v>203.5</v>
      </c>
      <c r="D20" s="208"/>
      <c r="E20" s="39">
        <f>SnapshotTable[[#This Row],[Last Price]]*(1 -CrashDiscount)</f>
        <v>172.97499999999999</v>
      </c>
      <c r="F20" s="26" t="s">
        <v>613</v>
      </c>
      <c r="G20" s="26" t="s">
        <v>9</v>
      </c>
      <c r="H20" s="149"/>
      <c r="I20" s="194">
        <v>44798.666666666664</v>
      </c>
      <c r="J20" s="195">
        <v>44798.666666666664</v>
      </c>
      <c r="K20" s="196"/>
      <c r="L20" s="326"/>
      <c r="M20" s="140"/>
      <c r="N20" s="140"/>
      <c r="O20" s="140"/>
      <c r="P20" s="22"/>
      <c r="Q20" s="25"/>
      <c r="R20" s="4" t="str">
        <f>IF(SnapshotTable[[#This Row],[Equity Basis Total]] &gt; 0, SnapshotTable[[#This Row],[Equity Basis Total]] / SnapshotTable[[#This Row],[Equity Shares]], "")</f>
        <v/>
      </c>
      <c r="S20" s="269">
        <f>SnapshotTable[[#This Row],[Last Price]] * SnapshotTable[[#This Row],[Equity Shares]]</f>
        <v>0</v>
      </c>
      <c r="T20" s="269">
        <f>SnapshotTable[[#This Row],[Equity Value]] - SnapshotTable[[#This Row],[Equity Basis Total]]</f>
        <v>0</v>
      </c>
      <c r="U20" s="270" t="str">
        <f>IF(SnapshotTable[[#This Row],[Equity Basis Total]] &gt; 0, SnapshotTable[[#This Row],[Equity G/L]] / SnapshotTable[[#This Row],[Equity Basis Total]], "")</f>
        <v/>
      </c>
      <c r="V20" s="268"/>
      <c r="W20" s="268"/>
      <c r="X20" s="4" t="str">
        <f>IF(AND(ISNUMBER(SnapshotTable[[#This Row],[Equity Basis Per Share]]),ISNUMBER(SnapshotTable[[#This Row],[Equity Target]])),SnapshotTable[[#This Row],[Equity Target]]-SnapshotTable[[#This Row],[Equity Basis Per Share]],"")</f>
        <v/>
      </c>
      <c r="Y20" s="4" t="str">
        <f>IF(AND(ISNUMBER(SnapshotTable[[#This Row],[Equity Basis Per Share]]),ISNUMBER(SnapshotTable[[#This Row],[Equity Stop Loss]])),SnapshotTable[[#This Row],[Equity Stop Loss]]-SnapshotTable[[#This Row],[Equity Basis Per Share]],"")</f>
        <v/>
      </c>
      <c r="Z20" s="275" t="str">
        <f>IFERROR( TEXT(SnapshotTable[[#This Row],[Equity Max Gain Per Share]] /ABS( SnapshotTable[[#This Row],[Equity Max Loss Per Share]]),"0.0 " ) &amp; " : 1", "")</f>
        <v/>
      </c>
      <c r="AA20" s="31" t="str">
        <f>IF(ISNUMBER(SnapshotTable[[#This Row],[Equity Max Gain Per Share]]),SnapshotTable[[#This Row],[Equity Max Gain Per Share]] * SnapshotTable[[#This Row],[Equity Shares]],"")</f>
        <v/>
      </c>
      <c r="AB20" s="31" t="str">
        <f>IF(ISNUMBER(SnapshotTable[[#This Row],[Equity Max Loss Per Share]]),SnapshotTable[[#This Row],[Equity Max Loss Per Share]] * SnapshotTable[[#This Row],[Equity Shares]],"")</f>
        <v/>
      </c>
      <c r="AC20" s="150"/>
      <c r="AD20" s="151"/>
      <c r="AE20" s="31">
        <f>(SnapshotTable[[#This Row],[Annual Dividend Per Share]] / 4) * SnapshotTable[[#This Row],[Equity Shares]]</f>
        <v>0</v>
      </c>
      <c r="AF20" s="31">
        <f>SnapshotTable[[#This Row],[Quarterly Div $]] * 4</f>
        <v>0</v>
      </c>
      <c r="AG20" s="7">
        <f>IF(SnapshotTable[[#This Row],[Annual Dividend Per Share]]&gt;0, SnapshotTable[[#This Row],[Annual Dividend Per Share]]  / SnapshotTable[[#This Row],[Last Price]], 0)</f>
        <v>0</v>
      </c>
      <c r="AH20" s="151"/>
      <c r="AI20" s="5"/>
      <c r="AJ20" s="138">
        <v>231.7</v>
      </c>
      <c r="AK20" s="152" t="str">
        <f>IF(ISNUMBER( SnapshotTable[[#This Row],[EBF Target]]),(SnapshotTable[[#This Row],[EBF Target]] - SnapshotTable[[#This Row],[Last Price]]) / SnapshotTable[[#This Row],[Last Price]], "")</f>
        <v/>
      </c>
      <c r="AL20" s="152" t="str">
        <f>IF(AND(SnapshotTable[[#This Row],[Equity Basis Total]] &gt; 0,ISNUMBER( SnapshotTable[[#This Row],[Long Term Target]])), SnapshotTable[[#This Row],[From Basis $]] / SnapshotTable[[#This Row],[Equity Basis Total]], "")</f>
        <v/>
      </c>
      <c r="AM20" s="9">
        <f>IF( AND(SnapshotTable[[#This Row],[Equity Shares]] &gt;0,ISNUMBER( SnapshotTable[[#This Row],[Long Term Target]])),(SnapshotTable[[#This Row],[Equity Shares]] * SnapshotTable[[#This Row],[Long Term Target]]) - SnapshotTable[[#This Row],[Equity Basis Total]],0)</f>
        <v>0</v>
      </c>
      <c r="AN20" s="9">
        <f>IF( AND(SnapshotTable[[#This Row],[Equity Shares]] &gt;0,ISNUMBER( SnapshotTable[[#This Row],[Long Term Target]])),(SnapshotTable[[#This Row],[Equity Shares]]*SnapshotTable[[#This Row],[Long Term Target]]) - SnapshotTable[[#This Row],[Equity Value]],0)</f>
        <v>0</v>
      </c>
      <c r="AO20" s="152">
        <f>IF(AND(ISNUMBER( SnapshotTable[[#This Row],[Long Term Target]]), ISNUMBER(SnapshotTable[[#This Row],[Last Price]])),(SnapshotTable[[#This Row],[Long Term Target]] - SnapshotTable[[#This Row],[Last Price]]) / SnapshotTable[[#This Row],[Last Price]], "")</f>
        <v>0.13857493857493852</v>
      </c>
      <c r="AP20" s="5"/>
      <c r="AQ20" s="38"/>
      <c r="AR20" s="5"/>
      <c r="AS20" s="38"/>
      <c r="AT20" s="146"/>
      <c r="AU20" s="187" t="str">
        <f>IF(OR(SnapshotTable[[#This Row],[LP No Fill]]="Y",SnapshotTable[[#This Row],[SP Is Filled]],SnapshotTable[[#This Row],[LC Not Filled]]="Y",SnapshotTable[[#This Row],[SC Is Filled]]),"Y","")</f>
        <v/>
      </c>
      <c r="AV20" s="219"/>
      <c r="AW20" s="225"/>
      <c r="AX20" s="220"/>
      <c r="AY20" s="219" t="str">
        <f>IF(SnapshotTable[[#This Row],[Implied Move]]&gt;0, SnapshotTable[[#This Row],[Last Price]]-SnapshotTable[[#This Row],[Implied Move]],"")</f>
        <v/>
      </c>
      <c r="AZ20" s="219" t="str">
        <f>IF(SnapshotTable[[#This Row],[Implied Move]]&gt;0, SnapshotTable[[#This Row],[Last Price]] + SnapshotTable[[#This Row],[Implied Move]],"")</f>
        <v/>
      </c>
      <c r="BA20" s="331"/>
      <c r="BB20" s="347"/>
      <c r="BC2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 s="351"/>
      <c r="BE20" s="5"/>
      <c r="BF20" s="14"/>
      <c r="BG20" s="13"/>
      <c r="BH20" s="13"/>
      <c r="BI20" s="5"/>
      <c r="BJ20" s="136">
        <f>IF(SnapshotTable[[#This Row],[LP Qty]] &gt; 0, SnapshotTable[[#This Row],[LP Qty]] * SnapshotTable[[#This Row],[LP Book Price]] * 100,0)</f>
        <v>0</v>
      </c>
      <c r="BK20" s="136">
        <f>IF(SnapshotTable[[#This Row],[LP Premium]] &gt; 0, SnapshotTable[[#This Row],[LP Qty]] * SnapshotTable[[#This Row],[LP Strike Price]] * 100,0)</f>
        <v>0</v>
      </c>
      <c r="BL20" s="154"/>
      <c r="BM20" s="385" t="str">
        <f>IF(SnapshotTable[[#This Row],[LP Premium]] &gt; 0,SnapshotTable[[#This Row],[LP Exp Date]]-MAX(SnapshotTable[[#This Row],[LP Book Date]], SnapshotTable[[#This Row],[LP Fill Date]]),"")</f>
        <v/>
      </c>
      <c r="BN20" s="385" t="str">
        <f>IF(ISNUMBER( SnapshotTable[[#This Row],[LP Term]]), SnapshotTable[[#This Row],[LP Exp Date]] - MockToday,"")</f>
        <v/>
      </c>
      <c r="BO20" s="163" t="str">
        <f>IF(AND(SnapshotTable[[#This Row],[LP Exp Date]]&gt;0, SnapshotTable[[#This Row],[LP Strike Price]]&gt;0,SnapshotTable[[#This Row],[LP Qty]]&gt;0,SnapshotTable[[#This Row],[LP Book Date]]&gt;0,SnapshotTable[[#This Row],[LP Book Price]]&gt;0,SnapshotTable[[#This Row],[LP Fill Date]]=0),"Y","")</f>
        <v/>
      </c>
      <c r="BP20" s="31" t="str">
        <f>IF(AND(SnapshotTable[[#This Row],[LP No Fill]]&lt;&gt;"Y",SnapshotTable[[#This Row],[LP Contract Value]]&gt;0, SnapshotTable[[#This Row],[LP Qty]]&gt;0), SnapshotTable[[#This Row],[LP Contract Value]]*SnapshotTable[[#This Row],[LP Qty]]*100,"")</f>
        <v/>
      </c>
      <c r="BQ20" s="13"/>
      <c r="BR20" s="5" t="str">
        <f>IF(SnapshotTable[[#This Row],[SP Exp Date]]&lt;&gt;"",TRUNC(SnapshotTable[[#This Row],[Last Price]]),"")</f>
        <v/>
      </c>
      <c r="BS20" s="36"/>
      <c r="BT20" s="147"/>
      <c r="BU20" s="13"/>
      <c r="BV20" s="5"/>
      <c r="BW20" s="419" t="b">
        <f>AND(ISNUMBER(SnapshotTable[[#This Row],[SP Exp Date]]), ISNUMBER(SnapshotTable[[#This Row],[SP Strike Price]]), ISNUMBER(SnapshotTable[[#This Row],[SP Qty]]), ISNUMBER(SnapshotTable[[#This Row],[SP Book Date]]), ISNUMBER(SnapshotTable[[#This Row],[SP Book Price]]))</f>
        <v>0</v>
      </c>
      <c r="BX20" s="419" t="b">
        <f>AND(SnapshotTable[[#This Row],[SP Is Booked]], NOT(ISBLANK(SnapshotTable[[#This Row],[SP Fill Date]])))</f>
        <v>0</v>
      </c>
      <c r="BY20" s="33">
        <f>IF(SnapshotTable[[#This Row],[SP Is Booked]], SnapshotTable[[#This Row],[SP Qty]] * SnapshotTable[[#This Row],[SP Book Price]] * 100, 0)</f>
        <v>0</v>
      </c>
      <c r="BZ20" s="369"/>
      <c r="CA20" s="368">
        <f>SnapshotTable[[#This Row],[LP Qty]]</f>
        <v>0</v>
      </c>
      <c r="CB20" s="4" t="str">
        <f>IF(SnapshotTable[[#This Row],[SP Is Booked]], SnapshotTable[[#This Row],[SP Strike Price]] - SnapshotTable[[#This Row],[SP Book Price]], "")</f>
        <v/>
      </c>
      <c r="CC20" s="19" t="str">
        <f>IF(SnapshotTable[[#This Row],[SP Is Booked]],SnapshotTable[[#This Row],[SP Exp Date]]-MAX(SnapshotTable[[#This Row],[SP Book Date]], SnapshotTable[[#This Row],[SP Fill Date]]),"")</f>
        <v/>
      </c>
      <c r="CD20" s="7" t="str">
        <f>IF(SnapshotTable[[#This Row],[SP Is Booked]], SnapshotTable[[#This Row],[SP Book Price]]/SnapshotTable[[#This Row],[SP Strike Price]], "")</f>
        <v/>
      </c>
      <c r="CE20" s="7" t="str">
        <f>IF(ISNUMBER(SnapshotTable[[#This Row],[SP ROO Term]]),SnapshotTable[[#This Row],[SP ROO Term]]*(365/SnapshotTable[[#This Row],[SP Term]]),"")</f>
        <v/>
      </c>
      <c r="CF20" s="236">
        <f>SnapshotTable[[#This Row],[LP Strike Price]] * SnapshotTable[[#This Row],[LP Qty]] * 100</f>
        <v>0</v>
      </c>
      <c r="CG20" s="31" t="e">
        <f>IF(ISNUMBER(SnapshotTable[[#This Row],[SP Premium]]), (SnapshotTable[[#This Row],[SP Qty]] * SnapshotTable[[#This Row],[SP Strike Price]]* 100) - SnapshotTable[[#This Row],[LP Protection]], 0)</f>
        <v>#VALUE!</v>
      </c>
      <c r="CH20" s="7" t="str">
        <f>IF(ISNUMBER(SnapshotTable[[#This Row],[SP Break Even]]),-1 * (SnapshotTable[[#This Row],[SP Break Even]] - SnapshotTable[[#This Row],[Last Price]]) / SnapshotTable[[#This Row],[Last Price]], "")</f>
        <v/>
      </c>
      <c r="CI20" s="31">
        <f>IF(AND(ISNUMBER((SnapshotTable[[#This Row],[SP Potential Spend]])), SnapshotTable[[#This Row],[SP Strike Price]] &gt; SnapshotTable[[#This Row],[Last Price]], SnapshotTable[[#This Row],[SP Is Filled]]), SnapshotTable[[#This Row],[SP Potential Spend]] -  SnapshotTable[[#This Row],[LP Max Value]], 0)</f>
        <v>0</v>
      </c>
      <c r="CJ20" s="244"/>
      <c r="CK20" s="31" t="str">
        <f>IF(ISNUMBER(SnapshotTable[[#This Row],[SP Potential Spend]]),IF(ISNUMBER(SnapshotTable[[#This Row],[SP POW]]), SnapshotTable[[#This Row],[SP POW]] * SnapshotTable[[#This Row],[SP Potential Spend]], SnapshotTable[[#This Row],[SP Potential Spend]]), "")</f>
        <v/>
      </c>
      <c r="CL20" s="164" t="e">
        <f>IF(NOT(SnapshotTable[[#This Row],[SP Is Filled]]),(SnapshotTable[[#This Row],[SP Qty]] * SnapshotTable[[#This Row],[SP Strike Price]] * 100) - SnapshotTable[[#This Row],[LP Max Value]],"")</f>
        <v>#VALUE!</v>
      </c>
      <c r="CM20" s="31" t="str">
        <f>IF(SnapshotTable[[#This Row],[SP Actual Spend]]&lt;&gt;0, ((SnapshotTable[[#This Row],[SP Strike Price]]-SnapshotTable[[#This Row],[Last Price]]) *(SnapshotTable[[#This Row],[SP Qty]]*100) - SnapshotTable[[#This Row],[SP Premium]]) * - 1, "")</f>
        <v/>
      </c>
      <c r="CN20" s="78"/>
      <c r="CO20" s="369"/>
      <c r="CP20" s="4" t="str">
        <f>IF(SnapshotTable[[#This Row],[SP Is Filled]], btc_max_buyback_amount(SnapshotTable[[#This Row],[SP Fill Date]],SnapshotTable[[#This Row],[SP Exp Date]], SnapshotTable[[#This Row],[SP Book Price]]),"")</f>
        <v/>
      </c>
      <c r="CQ20" s="78"/>
      <c r="CR2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 s="155" t="str">
        <f>IF(SnapshotTable[[#This Row],[SP Is Filled]], btc_next_cutoff_date(SnapshotTable[[#This Row],[SP Fill Date]],SnapshotTable[[#This Row],[SP Exp Date]]),"")</f>
        <v/>
      </c>
      <c r="CT20" s="235" t="str" cm="1">
        <f t="array" ref="CT20">IF(SnapshotTable[[#This Row],[SP Is Filled]], btc_should_buy_back(SnapshotTable[[#This Row],[SP Fill Date]], SnapshotTable[[#This Row],[SP Exp Date]], SnapshotTable[[#This Row],[SP Book Price]], SnapshotTable[[#This Row],[SP Current Ask]], MockToday, SnapshotTable[[#This Row],[SP Buyback Override]]),"")</f>
        <v/>
      </c>
      <c r="CU20" s="143"/>
      <c r="CV20" s="235"/>
      <c r="CW20" s="378" t="str">
        <f>IF(ISNUMBER( SnapshotTable[[#This Row],[SP Term]]), SnapshotTable[[#This Row],[SP Exp Date]] - MockToday,"")</f>
        <v/>
      </c>
      <c r="CX20" s="31" t="str">
        <f>IF(SnapshotTable[[#This Row],[SP Is Filled]],SnapshotTable[[#This Row],[SP Buyback Price to Use]] * 100 * SnapshotTable[[#This Row],[SP Qty]], "")</f>
        <v/>
      </c>
      <c r="CY20" s="4" t="str">
        <f>IF(ISNUMBER(SnapshotTable[[#This Row],[SP Strike Price]]), SnapshotTable[[#This Row],[SP Strike Price]] * (1 - SP_MaxLoss_StrikePct), "")</f>
        <v/>
      </c>
      <c r="CZ20" s="31" t="str">
        <f>IF(ISNUMBER(SnapshotTable[[#This Row],[SP Strike  Stop Per Share]]),SnapshotTable[[#This Row],[SP Premium]] - ((SnapshotTable[[#This Row],[SP Strike Price]]-SnapshotTable[[#This Row],[SP Strike  Stop Per Share]]) *(SnapshotTable[[#This Row],[SP Qty]] * 100)),"")</f>
        <v/>
      </c>
      <c r="DA20" s="4" t="str">
        <f>IF(AND(ISNUMBER(SnapshotTable[[#This Row],[SP Premium]]),SnapshotTable[[#This Row],[SP Premium]]&gt;0), SnapshotTable[[#This Row],[SP Book Price]] * (1 + SP_MaxLoss_OptionPct), "")</f>
        <v/>
      </c>
      <c r="DB20" s="31" t="str">
        <f>IF(ISNUMBER(SnapshotTable[[#This Row],[SP Option  Stop Contract]]),(SnapshotTable[[#This Row],[SP Option  Stop Contract]] *(SnapshotTable[[#This Row],[SP Qty]] * 100) - SnapshotTable[[#This Row],[SP Premium]]),"")</f>
        <v/>
      </c>
      <c r="DC20" s="4"/>
      <c r="DD20" s="4"/>
      <c r="DE20" s="4" t="str">
        <f>IF(AND(SnapshotTable[[#This Row],[SP Qty]]&gt;0, SnapshotTable[[#This Row],[SP Stop To Use]]&gt;0),SnapshotTable[[#This Row],[SP Premium]] - ( SnapshotTable[[#This Row],[SP Qty]] * SnapshotTable[[#This Row],[SP Stop To Use]] * 100), "")</f>
        <v/>
      </c>
      <c r="DF20" s="31" t="str">
        <f>IF(AND(SnapshotTable[[#This Row],[SP Qty]]&gt;0,SnapshotTable[[#This Row],[SP Current Ask]]&gt;0), SnapshotTable[[#This Row],[SP Qty]] * SnapshotTable[[#This Row],[SP Current Ask]] * -100, "")</f>
        <v/>
      </c>
      <c r="DG20" s="31" t="str">
        <f>IF(ISNUMBER((SnapshotTable[[#This Row],[SP Total Value]])), SnapshotTable[[#This Row],[SP Premium]] + SnapshotTable[[#This Row],[SP Total Value]], "")</f>
        <v/>
      </c>
      <c r="DH20" s="294" t="str">
        <f>IF(ISNUMBER((SnapshotTable[[#This Row],[SP Total Value]])), SnapshotTable[[#This Row],[SP Gain Loss]] / SnapshotTable[[#This Row],[SP Premium]], "")</f>
        <v/>
      </c>
      <c r="DI20" s="406"/>
      <c r="DJ20" s="138"/>
      <c r="DK20" s="148"/>
      <c r="DL20" s="13"/>
      <c r="DM20" s="13"/>
      <c r="DO20" s="31">
        <f>IF(SnapshotTable[[#This Row],[LC Symbol Count]]=1, SnapshotTable[[#This Row],[LC Qty]] * SnapshotTable[[#This Row],[LC Book Price]] * 100, 0)</f>
        <v>0</v>
      </c>
      <c r="DP20" s="163" t="str">
        <f>IF(AND(SnapshotTable[[#This Row],[LC Exp Date]]&gt;0, SnapshotTable[[#This Row],[LC Strike Price]]&gt;0,SnapshotTable[[#This Row],[LC Qty]]&gt;0,SnapshotTable[[#This Row],[LC Book Date]]&gt;0,SnapshotTable[[#This Row],[LC Book Price]]&gt;0,SnapshotTable[[#This Row],[LC Fill Date]]=0),"Y","")</f>
        <v/>
      </c>
      <c r="DQ20" s="386" t="str">
        <f>IF(SnapshotTable[[#This Row],[LC Premium]] &gt; 0,SnapshotTable[[#This Row],[LC Exp Date]]-MAX(SnapshotTable[[#This Row],[LC Book Date]], SnapshotTable[[#This Row],[LC Fill Date]]),"")</f>
        <v/>
      </c>
      <c r="DR20" s="386" t="str">
        <f>IF(ISNUMBER(SnapshotTable[[#This Row],[LC Term]]), SnapshotTable[[#This Row],[LC Exp Date]] - MockToday, "")</f>
        <v/>
      </c>
      <c r="DS20" s="234" t="str">
        <f>IF(SnapshotTable[[#This Row],[LC Premium]]&gt;0,SnapshotTable[[#This Row],[LC Strike Price]] + SnapshotTable[[#This Row],[LC Book Price]],"")</f>
        <v/>
      </c>
      <c r="DU20" s="9" t="str">
        <f>IF(AND(SnapshotTable[[#This Row],[LC Symbol Count]]&gt;0, SnapshotTable[[#This Row],[LC Contract Value]]&gt;0), SnapshotTable[[#This Row],[LC Contract Value]] * SnapshotTable[[#This Row],[LC Qty]] * 100, "")</f>
        <v/>
      </c>
      <c r="DV20" s="9" t="str">
        <f>IF(AND(ISNUMBER(SnapshotTable[[#This Row],[LC Total Value]]), SnapshotTable[[#This Row],[LC Not Filled]]&lt;&gt;"Y"), SnapshotTable[[#This Row],[LC Total Value]]-SnapshotTable[[#This Row],[LC Premium]],"")</f>
        <v/>
      </c>
      <c r="DW20" s="240" t="str">
        <f>IF(ISNUMBER(SnapshotTable[[#This Row],[LC Actual Gain Loss]]), SnapshotTable[[#This Row],[LC Actual Gain Loss]] / SnapshotTable[[#This Row],[LC Premium]],"")</f>
        <v/>
      </c>
      <c r="DX20" s="284" t="str">
        <f>IF(ISNUMBER(SnapshotTable[[#This Row],[LC Book Price]]),SnapshotTable[[#This Row],[LC Book Price]] * 1.5,"")</f>
        <v/>
      </c>
      <c r="DY20" s="265" t="str">
        <f>IF(SnapshotTable[[#This Row],[LC Premium]]&gt;0, SnapshotTable[[#This Row],[LC Next Target]] * SnapshotTable[[#This Row],[LC Qty]] * 100,"")</f>
        <v/>
      </c>
      <c r="DZ20" s="265" t="str">
        <f>IF(ISNUMBER(SnapshotTable[[#This Row],[LC Target Gross]]), SnapshotTable[[#This Row],[LC Target Gross]] - SnapshotTable[[#This Row],[LC Premium]], "")</f>
        <v/>
      </c>
      <c r="EA20" s="305" t="str">
        <f>IF(ISNUMBER(SnapshotTable[[#This Row],[LC Target Gain Loss]]), SnapshotTable[[#This Row],[LC Target Gain Loss]]/SnapshotTable[[#This Row],[LC Premium]], "")</f>
        <v/>
      </c>
      <c r="EB20" s="262"/>
      <c r="EC20" s="283" t="str">
        <f>IF(SnapshotTable[[#This Row],[LC Premium]]&gt;0, SnapshotTable[[#This Row],[LC Book Price]] * (1 - LC_StopLoss_Pct),"")</f>
        <v/>
      </c>
      <c r="ED20" s="284"/>
      <c r="EE20" s="283" t="str">
        <f>IF(ISNUMBER(SnapshotTable[[#This Row],[LC Contract Value]]),IF(ISNUMBER(SnapshotTable[[#This Row],[LC Stop Loss Override]]), SnapshotTable[[#This Row],[LC Stop Loss Override]],SnapshotTable[[#This Row],[LC Stop Loss Calc Target]]),"")</f>
        <v/>
      </c>
      <c r="EF20" s="31" t="str">
        <f>IF(ISNUMBER(SnapshotTable[[#This Row],[LC Stop  To Use]]), (SnapshotTable[[#This Row],[LC Stop  To Use]] * SnapshotTable[[#This Row],[LC Qty]] * 100),"")</f>
        <v/>
      </c>
      <c r="EG20" s="9" t="str">
        <f>IF(ISNUMBER(SnapshotTable[[#This Row],[LC Total Value]]),SnapshotTable[[#This Row],[LC Stop Loss Amount]] - SnapshotTable[[#This Row],[LC Premium]],"")</f>
        <v/>
      </c>
      <c r="EH20" s="9">
        <f>IF(ISNUMBER(SnapshotTable[[#This Row],[LC Premium]]), SnapshotTable[[#This Row],[LC Qty]] * 100 * SnapshotTable[[#This Row],[LC Strike Price]], "")</f>
        <v>0</v>
      </c>
      <c r="EI20" s="240" t="str">
        <f>IF(AND(ISNUMBER(SnapshotTable[[#This Row],[LC Total Value]]),SnapshotTable[[#This Row],[LC Total Value]]&gt;0),SnapshotTable[[#This Row],[LC Stop Gain Loss]]  / SnapshotTable[[#This Row],[LC Premium]],"")</f>
        <v/>
      </c>
      <c r="EJ20" s="35">
        <f>IF(ISNUMBER(SnapshotTable[[#This Row],[Equity Shares]]),TRUNC(SnapshotTable[[#This Row],[Equity Shares]] / 100),0) + SnapshotTable[[#This Row],[LC Qty]]</f>
        <v>0</v>
      </c>
      <c r="EK20" s="147"/>
      <c r="EL20" s="138" t="str">
        <f>IF(SnapshotTable[[#This Row],[SC Exp Date]]&lt;&gt;"",TRUNC(SnapshotTable[[#This Row],[Last Price]]),"")</f>
        <v/>
      </c>
      <c r="EM20" s="148"/>
      <c r="EN20" s="147"/>
      <c r="EO20" s="147"/>
      <c r="EP20" s="138"/>
      <c r="EQ20" s="419" t="b">
        <f>AND(ISNUMBER(SnapshotTable[[#This Row],[SC Exp Date]]), ISNUMBER(SnapshotTable[[#This Row],[SC Strike Price]]), ISNUMBER(SnapshotTable[[#This Row],[SC Qty]]), ISNUMBER(SnapshotTable[[#This Row],[SC Book Date]]), ISNUMBER(SnapshotTable[[#This Row],[SC Book Price]]))</f>
        <v>0</v>
      </c>
      <c r="ER20" s="419" t="b">
        <f>AND(SnapshotTable[[#This Row],[SC Is Booked]], NOT(ISBLANK(SnapshotTable[[#This Row],[SC Fill Date]])))</f>
        <v>0</v>
      </c>
      <c r="ES20" s="370"/>
      <c r="ET20" s="34" t="str">
        <f>IF(AND(ISNUMBER(SnapshotTable[[#This Row],[SC Exp Date]]), ISNUMBER(SnapshotTable[[#This Row],[SC Book Date]])), SnapshotTable[[#This Row],[SC Exp Date]] - MAX(SnapshotTable[[#This Row],[SC Book Date]], SnapshotTable[[#This Row],[SC Fill Date]]) + 1, "")</f>
        <v/>
      </c>
      <c r="EU20" s="34" t="str">
        <f>IF(ISNUMBER(SnapshotTable[[#This Row],[SC Term]]), SnapshotTable[[#This Row],[SC Exp Date]]- MockToday, "")</f>
        <v/>
      </c>
      <c r="EV20" s="31">
        <f>IF(SnapshotTable[[#This Row],[SC Is Booked]], SnapshotTable[[#This Row],[SC Qty]] * SnapshotTable[[#This Row],[SC Book Price]] * 100, 0)</f>
        <v>0</v>
      </c>
      <c r="EW20" s="4" t="str">
        <f>IF(AND(ISNUMBER(SnapshotTable[[#This Row],[Last Price]]), ISNUMBER( SnapshotTable[[#This Row],[SC Book Price]])), SnapshotTable[[#This Row],[Last Price]] - SnapshotTable[[#This Row],[SC Book Price]],"")</f>
        <v/>
      </c>
      <c r="EX20" s="234" t="str">
        <f>IF(SnapshotTable[[#This Row],[SC Is Booked]],IF(SnapshotTable[[#This Row],[SC Intrinsic Value]] &gt; 0, SnapshotTable[[#This Row],[SC Strike Price]], SnapshotTable[[#This Row],[Last Price]]), "")</f>
        <v/>
      </c>
      <c r="EY20" s="4">
        <f>IF(SnapshotTable[[#This Row],[SC Is Booked]], (MinimumPremiumRequired * SnapshotTable[[#This Row],[SC Basis]] * SnapshotTable[[#This Row],[SC Term]]), 0)</f>
        <v>0</v>
      </c>
      <c r="EZ20" s="283"/>
      <c r="FA20" s="218"/>
      <c r="FB20" s="370"/>
      <c r="FC20" s="4">
        <f>IF(SnapshotTable[[#This Row],[SC Is Filled]], btc_max_buyback_amount(SnapshotTable[[#This Row],[SC Fill Date]],SnapshotTable[[#This Row],[SC Exp Date]], SnapshotTable[[#This Row],[SC Book Price]]),0)</f>
        <v>0</v>
      </c>
      <c r="FD20" s="5"/>
      <c r="FE20" s="144" t="str">
        <f>IF(SnapshotTable[[#This Row],[SC Is Filled]], btc_next_cutoff_date(SnapshotTable[[#This Row],[SC Fill Date]],SnapshotTable[[#This Row],[SC Exp Date]]),"")</f>
        <v/>
      </c>
      <c r="FF20" s="4" t="str" cm="1">
        <f t="array" ref="FF20">IF(SnapshotTable[[#This Row],[SC Is Filled]], btc_should_buy_back(SnapshotTable[[#This Row],[SC Fill Date]], SnapshotTable[[#This Row],[SC Exp Date]], SnapshotTable[[#This Row],[SC Book Price]], SnapshotTable[[#This Row],[SC Current Ask]], MockToday, SnapshotTable[[#This Row],[SC Buyback Override]]),"")</f>
        <v/>
      </c>
      <c r="FG20" s="4">
        <f>IF(SnapshotTable[[#This Row],[SC Is Filled]], MAX(0,SnapshotTable[[#This Row],[Last Price]]  - SnapshotTable[[#This Row],[SC Strike Price]]), 0)</f>
        <v>0</v>
      </c>
      <c r="FH20" s="382">
        <f>IF(SnapshotTable[[#This Row],[SC Is Filled]], IF(ISNUMBER(SnapshotTable[[#This Row],[SC Current Ask]]), SnapshotTable[[#This Row],[SC Current Ask]], SnapshotTable[[#This Row],[SC Book Price]]) - SnapshotTable[[#This Row],[SC Intrinsic Value]], 0)</f>
        <v>0</v>
      </c>
      <c r="FI20" s="143">
        <v>45786</v>
      </c>
      <c r="FJ20" s="32" t="str">
        <f>IF(SnapshotTable[[#This Row],[SC Is Filled]],100 * SnapshotTable[[#This Row],[SC Qty]] * IF(ISNUMBER(SnapshotTable[[#This Row],[SC Buyback Override]]), SnapshotTable[[#This Row],[SC Buyback Override]], SnapshotTable[[#This Row],[SC Current Ask]]), "")</f>
        <v/>
      </c>
      <c r="FK20" s="250" t="str">
        <f>IF(SnapshotTable[[#This Row],[SC Time Val]]&gt;0, SnapshotTable[[#This Row],[SC Time Val]] / SnapshotTable[[#This Row],[Last Price]],"")</f>
        <v/>
      </c>
      <c r="FL20" s="302" t="str">
        <f>IF(SnapshotTable[[#This Row],[SC Is Booked]], ((SnapshotTable[[#This Row],[Last Price]] -SnapshotTable[[#This Row],[SC Strike Price]]) / SnapshotTable[[#This Row],[Last Price]]) * -1, "")</f>
        <v/>
      </c>
      <c r="FM20" s="157" t="str">
        <f>IF(SnapshotTable[[#This Row],[SC Is Booked]],  (SnapshotTable[[#This Row],[SC Qty]] * 100 * SnapshotTable[[#This Row],[SC Strike Price]]) - SnapshotTable[[#This Row],[SC Current Ask]], "")</f>
        <v/>
      </c>
      <c r="FN2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 s="31" t="str">
        <f>IF(AND(ISNUMBER(SnapshotTable[[#This Row],[SC Exercise Gross]]), ISNUMBER(SnapshotTable[[#This Row],[Equity Basis Per Share]] )), SnapshotTable[[#This Row],[SC Exercise Gross]] - SnapshotTable[[#This Row],[Equity Basis Total]] +  SnapshotTable[[#This Row],[SC Premium]], "")</f>
        <v/>
      </c>
      <c r="FP20" s="5" t="str">
        <f>IF(ISNUMBER(SnapshotTable[[#This Row],[SC Exercise Gross]]), (SnapshotTable[[#This Row],[SC Exercise Gross]]) / (SnapshotTable[[#This Row],[SC Qty]] * 100), "")</f>
        <v/>
      </c>
      <c r="FQ20" s="27" t="str">
        <f>IF(SnapshotTable[[#This Row],[SC Is Booked]],SnapshotTable[[#This Row],[SC Time Val]] /SnapshotTable[[#This Row],[SC Basis]], "")</f>
        <v/>
      </c>
      <c r="FR20" s="27" t="str" cm="1">
        <f t="array" ref="FR20">IF(AND(ISNUMBER(SnapshotTable[[#This Row],[SC Term]]),ISNUMBER(SnapshotTable[[#This Row],[SC Simple ROO]])), EllmanAnnualize(SnapshotTable[[#This Row],[SC DTE]], SnapshotTable[[#This Row],[SC Simple ROO]] ),"")</f>
        <v/>
      </c>
      <c r="FS20" s="4" t="e">
        <f>IF(SnapshotTable[[#This Row],[SC Strike Price]] &gt; SnapshotTable[[#This Row],[Last Price]], SnapshotTable[[#This Row],[SC Strike Price]] - SnapshotTable[[#This Row],[Last Price]],0)</f>
        <v>#VALUE!</v>
      </c>
      <c r="FT20" s="27" t="e">
        <f>IF(AND(ISNUMBER(SnapshotTable[[#This Row],[SC Upside Potential]]), SnapshotTable[[#This Row],[SC Upside Potential]] &gt; 0),(SnapshotTable[[#This Row],[SC Upside Potential]]/ SnapshotTable[[#This Row],[ACB]]),"")</f>
        <v>#VALUE!</v>
      </c>
      <c r="FU20" s="333" t="str">
        <f>IF(SnapshotTable[[#This Row],[SC Intrinsic Value]] &gt; 0,SnapshotTable[[#This Row],[SC Intrinsic Value]],"")</f>
        <v/>
      </c>
      <c r="FV20" s="27" t="str">
        <f>IF(AND( ISNUMBER( SnapshotTable[[#This Row],[ACB]]),ISNUMBER(SnapshotTable[[#This Row],[SC Downside Protect]])),SnapshotTable[[#This Row],[SC Downside Protect]] / SnapshotTable[[#This Row],[ACB]],"")</f>
        <v/>
      </c>
      <c r="FW20" s="236" t="str">
        <f>IF(AND(ISNUMBER(SnapshotTable[[#This Row],[SC Simple ROO]]),SnapshotTable[[#This Row],[SC Simple ROO]] &gt; 0), SnapshotTable[[#This Row],[SC Premium]] + (SnapshotTable[[#This Row],[SC Qty]] * SnapshotTable[[#This Row],[SC Upside Potential]]), "")</f>
        <v/>
      </c>
      <c r="FX20" s="302" t="str" cm="1">
        <f t="array" ref="FX20">IF(ISNUMBER(SnapshotTable[[#This Row],[SC Max Dollars]]), annualize(SnapshotTable[[#This Row],[SC Term]],(SnapshotTable[[#This Row],[SC Max Dollars]]/SnapshotTable[[#This Row],[SC Basis]])),"")</f>
        <v/>
      </c>
      <c r="FY20" s="236" t="str">
        <f>IF(AND(SnapshotTable[[#This Row],[SC Qty]]&gt;0,SnapshotTable[[#This Row],[SC Current Ask]]&gt;0), SnapshotTable[[#This Row],[SC Qty]] * SnapshotTable[[#This Row],[SC Current Ask]] * -100, "")</f>
        <v/>
      </c>
      <c r="FZ20" s="31" t="str">
        <f>IF(ISNUMBER((SnapshotTable[[#This Row],[SC Current Value]])), SnapshotTable[[#This Row],[SC Premium]] + SnapshotTable[[#This Row],[SC Current Value]], "")</f>
        <v/>
      </c>
      <c r="GA20" s="294" t="str">
        <f>IFERROR( IF(ISNUMBER((SnapshotTable[[#This Row],[SC Current Value]])), SnapshotTable[[#This Row],[SC Gain Loss]] / SnapshotTable[[#This Row],[SC Premium]], ""), "")</f>
        <v/>
      </c>
      <c r="GB20" s="42">
        <f>SnapshotTable[[#This Row],[Equity Shares]] * SaleSharesToConsiderPercentage</f>
        <v>0</v>
      </c>
      <c r="GC20" s="40">
        <f>SnapshotTable[[#This Row],[Long Term Target]] * SellingPriceToConsiderBasedOnTargetPercentage</f>
        <v>220.11499999999998</v>
      </c>
      <c r="GD20" s="40">
        <f>SnapshotTable[[#This Row],[Last Price]] * (1+ SellingPriceToConsiderBasedOnTargetPercentage)</f>
        <v>396.82499999999999</v>
      </c>
      <c r="GE20" s="41"/>
      <c r="GF20" s="40"/>
      <c r="GG20" s="31">
        <f>SnapshotTable[[#This Row],[Booked Sale Shares]] * SnapshotTable[[#This Row],[Booked Sale Price]]</f>
        <v>0</v>
      </c>
      <c r="GH20" s="31" t="str">
        <f>IF(SnapshotTable[[#This Row],[Equity Basis Total]] &gt; 0, SnapshotTable[[#This Row],[Equity Basis Per Share]] * SnapshotTable[[#This Row],[Booked Sale Shares]], "")</f>
        <v/>
      </c>
      <c r="GI20" s="31">
        <f>IF(SnapshotTable[[#This Row],[Sale Proceeds]]&gt;0, SnapshotTable[[#This Row],[Sale Proceeds]] - SnapshotTable[[#This Row],[Sale Basis]], 0)</f>
        <v>0</v>
      </c>
      <c r="GJ20" s="27" t="str">
        <f>IF(SnapshotTable[[#This Row],[Sale G/L]]&gt;0, SnapshotTable[[#This Row],[Sale G/L]] / SnapshotTable[[#This Row],[Sale Basis]], IF(ISNUMBER(SnapshotTable[[#This Row],[SC Exercise P&amp;L (TAX)]]), SnapshotTable[[#This Row],[SC Exercise P&amp;L (TAX)]] / SnapshotTable[[#This Row],[SC Basis]], ""))</f>
        <v/>
      </c>
      <c r="GK20" s="27" t="s">
        <v>624</v>
      </c>
      <c r="GL20" s="43" t="str">
        <f>IF(AND(SnapshotTable[[#This Row],[LP Exp Date]]&gt;0,SnapshotTable[[#This Row],[LP Strike Price]]&gt;0), [1]!ToOptionSymbol(SnapshotTable[[#This Row],[Symbol]], SnapshotTable[[#This Row],[LP Strike Price]],SnapshotTable[[#This Row],[LP Exp Date]],1), "")</f>
        <v/>
      </c>
      <c r="GM20" s="30" t="str">
        <f>IF(LEN(SnapshotTable[[#This Row],[LP Symbol]])&gt;0, 1, "")</f>
        <v/>
      </c>
      <c r="GN20" s="43" t="str">
        <f>IF(AND(SnapshotTable[[#This Row],[SP Exp Date]]&gt;0,SnapshotTable[[#This Row],[SP Strike Price]]&gt;0), [1]!ToOptionSymbol(SnapshotTable[[#This Row],[Symbol]], SnapshotTable[[#This Row],[SP Strike Price]],SnapshotTable[[#This Row],[SP Exp Date]],1), "")</f>
        <v/>
      </c>
      <c r="GO20" s="30" t="str">
        <f>IF(LEN(SnapshotTable[[#This Row],[SP Symbol]])&gt;0, 1, "")</f>
        <v/>
      </c>
      <c r="GP20" s="43" t="str">
        <f>IF(AND(SnapshotTable[[#This Row],[LC Exp Date]]&gt;0,SnapshotTable[[#This Row],[LC Strike Price]]&gt;0), [1]!ToOptionSymbol(SnapshotTable[[#This Row],[Symbol]], SnapshotTable[[#This Row],[LC Strike Price]],SnapshotTable[[#This Row],[LC Exp Date]],0), "")</f>
        <v/>
      </c>
      <c r="GQ20" s="30" t="str">
        <f>IF(LEN(SnapshotTable[[#This Row],[LC Symbol]])&gt;0, 1, "")</f>
        <v/>
      </c>
      <c r="GR20" s="43" t="str">
        <f>IF(AND(SnapshotTable[[#This Row],[SC Exp Date]]&gt;0,SnapshotTable[[#This Row],[SC Strike Price]]&gt;0), [1]!ToOptionSymbol(SnapshotTable[[#This Row],[Symbol]], SnapshotTable[[#This Row],[SC Strike Price]],SnapshotTable[[#This Row],[SC Exp Date]],0), "")</f>
        <v/>
      </c>
      <c r="GS20" s="30" t="str">
        <f>IF(LEN(SnapshotTable[[#This Row],[SC Symbol]])&gt;0, 1, "")</f>
        <v/>
      </c>
      <c r="GT20" s="29" t="str">
        <f>IF(COUNT(SnapshotTable[[#This Row],[LP Symbol Count]],SnapshotTable[[#This Row],[SP Symbol Count]],SnapshotTable[[#This Row],[LC Symbol Count]],SnapshotTable[[#This Row],[SC Symbol Count]])&gt;0, "Y", "")</f>
        <v/>
      </c>
      <c r="GU2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 s="231" t="e">
        <f>MAX(SnapshotTable[[#This Row],[Equity Basis Total]],SnapshotTable[[#This Row],[Equity Value]]) + (SnapshotTable[[#This Row],[SP Potential Spend]]- SnapshotTable[[#This Row],[SP Premium]] + SnapshotTable[[#This Row],[LP Premium]])+ (SnapshotTable[[#This Row],[LC Premium]] - SnapshotTable[[#This Row],[SC Premium]])</f>
        <v>#VALUE!</v>
      </c>
      <c r="GW20" s="139" t="e">
        <f>IF(AND(SnapshotTable[[#This Row],[Exposure]] &lt;&gt; 0),SnapshotTable[[#This Row],[Exposure]] / SnapshotTable[[#Totals],[Exposure]], "")</f>
        <v>#VALUE!</v>
      </c>
      <c r="HK20" s="1"/>
      <c r="HL20" s="1"/>
      <c r="HM20" s="1"/>
      <c r="HN20" s="1"/>
      <c r="HO20" s="1"/>
      <c r="HP20" s="1"/>
    </row>
    <row r="21" spans="2:224" ht="12.75" hidden="1" customHeight="1" x14ac:dyDescent="0.25">
      <c r="B21" s="12" t="s">
        <v>582</v>
      </c>
      <c r="C21" s="422">
        <v>147.05000000000001</v>
      </c>
      <c r="D21" s="208" t="s">
        <v>578</v>
      </c>
      <c r="E21" s="39">
        <f>SnapshotTable[[#This Row],[Last Price]]*(1 -CrashDiscount)</f>
        <v>124.99250000000001</v>
      </c>
      <c r="F21" s="26" t="s">
        <v>550</v>
      </c>
      <c r="G21" s="26" t="s">
        <v>41</v>
      </c>
      <c r="H21" s="149"/>
      <c r="I21" s="194">
        <v>45701</v>
      </c>
      <c r="J21" s="195">
        <v>0.66666666666666663</v>
      </c>
      <c r="K21" s="196"/>
      <c r="L21" s="326"/>
      <c r="M21" s="140"/>
      <c r="N21" s="140"/>
      <c r="O21" s="140"/>
      <c r="P21" s="22"/>
      <c r="Q21" s="25"/>
      <c r="R21" s="4" t="str">
        <f>IF(SnapshotTable[[#This Row],[Equity Basis Total]] &gt; 0, SnapshotTable[[#This Row],[Equity Basis Total]] / SnapshotTable[[#This Row],[Equity Shares]], "")</f>
        <v/>
      </c>
      <c r="S21" s="269">
        <f>SnapshotTable[[#This Row],[Last Price]] * SnapshotTable[[#This Row],[Equity Shares]]</f>
        <v>0</v>
      </c>
      <c r="T21" s="269">
        <f>SnapshotTable[[#This Row],[Equity Value]] - SnapshotTable[[#This Row],[Equity Basis Total]]</f>
        <v>0</v>
      </c>
      <c r="U21" s="270" t="str">
        <f>IF(SnapshotTable[[#This Row],[Equity Basis Total]] &gt; 0, SnapshotTable[[#This Row],[Equity G/L]] / SnapshotTable[[#This Row],[Equity Basis Total]], "")</f>
        <v/>
      </c>
      <c r="V21" s="268"/>
      <c r="W21" s="268"/>
      <c r="X21" s="4" t="str">
        <f>IF(AND(ISNUMBER(SnapshotTable[[#This Row],[Equity Basis Per Share]]),ISNUMBER(SnapshotTable[[#This Row],[Equity Target]])),SnapshotTable[[#This Row],[Equity Target]]-SnapshotTable[[#This Row],[Equity Basis Per Share]],"")</f>
        <v/>
      </c>
      <c r="Y21" s="4" t="str">
        <f>IF(AND(ISNUMBER(SnapshotTable[[#This Row],[Equity Basis Per Share]]),ISNUMBER(SnapshotTable[[#This Row],[Equity Stop Loss]])),SnapshotTable[[#This Row],[Equity Stop Loss]]-SnapshotTable[[#This Row],[Equity Basis Per Share]],"")</f>
        <v/>
      </c>
      <c r="Z21" s="275" t="str">
        <f>IFERROR( TEXT(SnapshotTable[[#This Row],[Equity Max Gain Per Share]] /ABS( SnapshotTable[[#This Row],[Equity Max Loss Per Share]]),"0.0 " ) &amp; " : 1", "")</f>
        <v/>
      </c>
      <c r="AA21" s="31" t="str">
        <f>IF(ISNUMBER(SnapshotTable[[#This Row],[Equity Max Gain Per Share]]),SnapshotTable[[#This Row],[Equity Max Gain Per Share]] * SnapshotTable[[#This Row],[Equity Shares]],"")</f>
        <v/>
      </c>
      <c r="AB21" s="31" t="str">
        <f>IF(ISNUMBER(SnapshotTable[[#This Row],[Equity Max Loss Per Share]]),SnapshotTable[[#This Row],[Equity Max Loss Per Share]] * SnapshotTable[[#This Row],[Equity Shares]],"")</f>
        <v/>
      </c>
      <c r="AC21" s="150"/>
      <c r="AD21" s="151"/>
      <c r="AE21" s="31">
        <f>(SnapshotTable[[#This Row],[Annual Dividend Per Share]] / 4) * SnapshotTable[[#This Row],[Equity Shares]]</f>
        <v>0</v>
      </c>
      <c r="AF21" s="31">
        <f>SnapshotTable[[#This Row],[Quarterly Div $]] * 4</f>
        <v>0</v>
      </c>
      <c r="AG21" s="7">
        <f>IF(SnapshotTable[[#This Row],[Annual Dividend Per Share]]&gt;0, SnapshotTable[[#This Row],[Annual Dividend Per Share]]  / SnapshotTable[[#This Row],[Last Price]], 0)</f>
        <v>0</v>
      </c>
      <c r="AH21" s="151"/>
      <c r="AI21" s="5"/>
      <c r="AJ21" s="138">
        <v>66.78</v>
      </c>
      <c r="AK21" s="152" t="str">
        <f>IF(ISNUMBER( SnapshotTable[[#This Row],[EBF Target]]),(SnapshotTable[[#This Row],[EBF Target]] - SnapshotTable[[#This Row],[Last Price]]) / SnapshotTable[[#This Row],[Last Price]], "")</f>
        <v/>
      </c>
      <c r="AL21" s="152" t="str">
        <f>IF(AND(SnapshotTable[[#This Row],[Equity Basis Total]] &gt; 0,ISNUMBER( SnapshotTable[[#This Row],[Long Term Target]])), SnapshotTable[[#This Row],[From Basis $]] / SnapshotTable[[#This Row],[Equity Basis Total]], "")</f>
        <v/>
      </c>
      <c r="AM21" s="9">
        <f>IF( AND(SnapshotTable[[#This Row],[Equity Shares]] &gt;0,ISNUMBER( SnapshotTable[[#This Row],[Long Term Target]])),(SnapshotTable[[#This Row],[Equity Shares]] * SnapshotTable[[#This Row],[Long Term Target]]) - SnapshotTable[[#This Row],[Equity Basis Total]],0)</f>
        <v>0</v>
      </c>
      <c r="AN21" s="9">
        <f>IF( AND(SnapshotTable[[#This Row],[Equity Shares]] &gt;0,ISNUMBER( SnapshotTable[[#This Row],[Long Term Target]])),(SnapshotTable[[#This Row],[Equity Shares]]*SnapshotTable[[#This Row],[Long Term Target]]) - SnapshotTable[[#This Row],[Equity Value]],0)</f>
        <v>0</v>
      </c>
      <c r="AO21" s="152">
        <f>IF(AND(ISNUMBER( SnapshotTable[[#This Row],[Long Term Target]]), ISNUMBER(SnapshotTable[[#This Row],[Last Price]])),(SnapshotTable[[#This Row],[Long Term Target]] - SnapshotTable[[#This Row],[Last Price]]) / SnapshotTable[[#This Row],[Last Price]], "")</f>
        <v>-0.54586875212512753</v>
      </c>
      <c r="AP21" s="5">
        <v>118</v>
      </c>
      <c r="AQ21" s="38" t="s">
        <v>38</v>
      </c>
      <c r="AR21" s="5">
        <v>118</v>
      </c>
      <c r="AS21" s="38" t="s">
        <v>26</v>
      </c>
      <c r="AT21" s="146" t="s">
        <v>538</v>
      </c>
      <c r="AU21" s="187" t="str">
        <f>IF(OR(SnapshotTable[[#This Row],[LP No Fill]]="Y",SnapshotTable[[#This Row],[SP Is Filled]],SnapshotTable[[#This Row],[LC Not Filled]]="Y",SnapshotTable[[#This Row],[SC Is Filled]]),"Y","")</f>
        <v/>
      </c>
      <c r="AV21" s="219"/>
      <c r="AW21" s="225"/>
      <c r="AX21" s="220"/>
      <c r="AY21" s="219" t="str">
        <f>IF(SnapshotTable[[#This Row],[Implied Move]]&gt;0, SnapshotTable[[#This Row],[Last Price]]-SnapshotTable[[#This Row],[Implied Move]],"")</f>
        <v/>
      </c>
      <c r="AZ21" s="219" t="str">
        <f>IF(SnapshotTable[[#This Row],[Implied Move]]&gt;0, SnapshotTable[[#This Row],[Last Price]] + SnapshotTable[[#This Row],[Implied Move]],"")</f>
        <v/>
      </c>
      <c r="BA21" s="331">
        <v>114.55</v>
      </c>
      <c r="BB21" s="347"/>
      <c r="BC2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 s="351"/>
      <c r="BE21" s="138"/>
      <c r="BF21" s="166"/>
      <c r="BG21" s="167"/>
      <c r="BH21" s="167"/>
      <c r="BI21" s="5"/>
      <c r="BJ21" s="153">
        <f>IF(SnapshotTable[[#This Row],[LP Qty]] &gt; 0, SnapshotTable[[#This Row],[LP Qty]] * SnapshotTable[[#This Row],[LP Book Price]] * 100,0)</f>
        <v>0</v>
      </c>
      <c r="BK21" s="136">
        <f>IF(SnapshotTable[[#This Row],[LP Premium]] &gt; 0, SnapshotTable[[#This Row],[LP Qty]] * SnapshotTable[[#This Row],[LP Strike Price]] * 100,0)</f>
        <v>0</v>
      </c>
      <c r="BL21" s="154"/>
      <c r="BM21" s="385" t="str">
        <f>IF(SnapshotTable[[#This Row],[LP Premium]] &gt; 0,SnapshotTable[[#This Row],[LP Exp Date]]-MAX(SnapshotTable[[#This Row],[LP Book Date]], SnapshotTable[[#This Row],[LP Fill Date]]),"")</f>
        <v/>
      </c>
      <c r="BN21" s="385" t="str">
        <f>IF(ISNUMBER( SnapshotTable[[#This Row],[LP Term]]), SnapshotTable[[#This Row],[LP Exp Date]] - MockToday,"")</f>
        <v/>
      </c>
      <c r="BO21" s="163" t="str">
        <f>IF(AND(SnapshotTable[[#This Row],[LP Exp Date]]&gt;0, SnapshotTable[[#This Row],[LP Strike Price]]&gt;0,SnapshotTable[[#This Row],[LP Qty]]&gt;0,SnapshotTable[[#This Row],[LP Book Date]]&gt;0,SnapshotTable[[#This Row],[LP Book Price]]&gt;0,SnapshotTable[[#This Row],[LP Fill Date]]=0),"Y","")</f>
        <v/>
      </c>
      <c r="BP21" s="31" t="str">
        <f>IF(AND(SnapshotTable[[#This Row],[LP No Fill]]&lt;&gt;"Y",SnapshotTable[[#This Row],[LP Contract Value]]&gt;0, SnapshotTable[[#This Row],[LP Qty]]&gt;0), SnapshotTable[[#This Row],[LP Contract Value]]*SnapshotTable[[#This Row],[LP Qty]]*100,"")</f>
        <v/>
      </c>
      <c r="BQ21" s="13"/>
      <c r="BR21" s="5" t="str">
        <f>IF(SnapshotTable[[#This Row],[SP Exp Date]]&lt;&gt;"",TRUNC(SnapshotTable[[#This Row],[Last Price]]),"")</f>
        <v/>
      </c>
      <c r="BS21" s="36"/>
      <c r="BT21" s="147"/>
      <c r="BU21" s="13"/>
      <c r="BV21" s="5"/>
      <c r="BW21" s="419" t="b">
        <f>AND(ISNUMBER(SnapshotTable[[#This Row],[SP Exp Date]]), ISNUMBER(SnapshotTable[[#This Row],[SP Strike Price]]), ISNUMBER(SnapshotTable[[#This Row],[SP Qty]]), ISNUMBER(SnapshotTable[[#This Row],[SP Book Date]]), ISNUMBER(SnapshotTable[[#This Row],[SP Book Price]]))</f>
        <v>0</v>
      </c>
      <c r="BX21" s="419" t="b">
        <f>AND(SnapshotTable[[#This Row],[SP Is Booked]], NOT(ISBLANK(SnapshotTable[[#This Row],[SP Fill Date]])))</f>
        <v>0</v>
      </c>
      <c r="BY21" s="33">
        <f>IF(SnapshotTable[[#This Row],[SP Is Booked]], SnapshotTable[[#This Row],[SP Qty]] * SnapshotTable[[#This Row],[SP Book Price]] * 100, 0)</f>
        <v>0</v>
      </c>
      <c r="BZ21" s="369"/>
      <c r="CA21" s="368">
        <f>SnapshotTable[[#This Row],[LP Qty]]</f>
        <v>0</v>
      </c>
      <c r="CB21" s="4" t="str">
        <f>IF(SnapshotTable[[#This Row],[SP Is Booked]], SnapshotTable[[#This Row],[SP Strike Price]] - SnapshotTable[[#This Row],[SP Book Price]], "")</f>
        <v/>
      </c>
      <c r="CC21" s="19" t="str">
        <f>IF(SnapshotTable[[#This Row],[SP Is Booked]],SnapshotTable[[#This Row],[SP Exp Date]]-MAX(SnapshotTable[[#This Row],[SP Book Date]], SnapshotTable[[#This Row],[SP Fill Date]]),"")</f>
        <v/>
      </c>
      <c r="CD21" s="7" t="str">
        <f>IF(SnapshotTable[[#This Row],[SP Is Booked]], SnapshotTable[[#This Row],[SP Book Price]]/SnapshotTable[[#This Row],[SP Strike Price]], "")</f>
        <v/>
      </c>
      <c r="CE21" s="7" t="str">
        <f>IF(ISNUMBER(SnapshotTable[[#This Row],[SP ROO Term]]),SnapshotTable[[#This Row],[SP ROO Term]]*(365/SnapshotTable[[#This Row],[SP Term]]),"")</f>
        <v/>
      </c>
      <c r="CF21" s="236">
        <f>SnapshotTable[[#This Row],[LP Strike Price]] * SnapshotTable[[#This Row],[LP Qty]] * 100</f>
        <v>0</v>
      </c>
      <c r="CG21" s="31" t="e">
        <f>IF(ISNUMBER(SnapshotTable[[#This Row],[SP Premium]]), (SnapshotTable[[#This Row],[SP Qty]] * SnapshotTable[[#This Row],[SP Strike Price]]* 100) - SnapshotTable[[#This Row],[LP Protection]], 0)</f>
        <v>#VALUE!</v>
      </c>
      <c r="CH21" s="7" t="str">
        <f>IF(ISNUMBER(SnapshotTable[[#This Row],[SP Break Even]]),-1 * (SnapshotTable[[#This Row],[SP Break Even]] - SnapshotTable[[#This Row],[Last Price]]) / SnapshotTable[[#This Row],[Last Price]], "")</f>
        <v/>
      </c>
      <c r="CI21" s="31">
        <f>IF(AND(ISNUMBER((SnapshotTable[[#This Row],[SP Potential Spend]])), SnapshotTable[[#This Row],[SP Strike Price]] &gt; SnapshotTable[[#This Row],[Last Price]], SnapshotTable[[#This Row],[SP Is Filled]]), SnapshotTable[[#This Row],[SP Potential Spend]] -  SnapshotTable[[#This Row],[LP Max Value]], 0)</f>
        <v>0</v>
      </c>
      <c r="CJ21" s="244"/>
      <c r="CK21" s="31" t="str">
        <f>IF(ISNUMBER(SnapshotTable[[#This Row],[SP Potential Spend]]),IF(ISNUMBER(SnapshotTable[[#This Row],[SP POW]]), SnapshotTable[[#This Row],[SP POW]] * SnapshotTable[[#This Row],[SP Potential Spend]], SnapshotTable[[#This Row],[SP Potential Spend]]), "")</f>
        <v/>
      </c>
      <c r="CL21" s="164" t="e">
        <f>IF(NOT(SnapshotTable[[#This Row],[SP Is Filled]]),(SnapshotTable[[#This Row],[SP Qty]] * SnapshotTable[[#This Row],[SP Strike Price]] * 100) - SnapshotTable[[#This Row],[LP Max Value]],"")</f>
        <v>#VALUE!</v>
      </c>
      <c r="CM21" s="31" t="str">
        <f>IF(SnapshotTable[[#This Row],[SP Actual Spend]]&lt;&gt;0, ((SnapshotTable[[#This Row],[SP Strike Price]]-SnapshotTable[[#This Row],[Last Price]]) *(SnapshotTable[[#This Row],[SP Qty]]*100) - SnapshotTable[[#This Row],[SP Premium]]) * - 1, "")</f>
        <v/>
      </c>
      <c r="CN21" s="154"/>
      <c r="CO21" s="369"/>
      <c r="CP21" s="4" t="str">
        <f>IF(SnapshotTable[[#This Row],[SP Is Filled]], btc_max_buyback_amount(SnapshotTable[[#This Row],[SP Fill Date]],SnapshotTable[[#This Row],[SP Exp Date]], SnapshotTable[[#This Row],[SP Book Price]]),"")</f>
        <v/>
      </c>
      <c r="CQ21" s="78"/>
      <c r="CR2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 s="155" t="str">
        <f>IF(SnapshotTable[[#This Row],[SP Is Filled]], btc_next_cutoff_date(SnapshotTable[[#This Row],[SP Fill Date]],SnapshotTable[[#This Row],[SP Exp Date]]),"")</f>
        <v/>
      </c>
      <c r="CT21" s="235" t="str" cm="1">
        <f t="array" ref="CT21">IF(SnapshotTable[[#This Row],[SP Is Filled]], btc_should_buy_back(SnapshotTable[[#This Row],[SP Fill Date]], SnapshotTable[[#This Row],[SP Exp Date]], SnapshotTable[[#This Row],[SP Book Price]], SnapshotTable[[#This Row],[SP Current Ask]], MockToday, SnapshotTable[[#This Row],[SP Buyback Override]]),"")</f>
        <v/>
      </c>
      <c r="CU21" s="156"/>
      <c r="CV21" s="235"/>
      <c r="CW21" s="378" t="str">
        <f>IF(ISNUMBER( SnapshotTable[[#This Row],[SP Term]]), SnapshotTable[[#This Row],[SP Exp Date]] - MockToday,"")</f>
        <v/>
      </c>
      <c r="CX21" s="31" t="str">
        <f>IF(SnapshotTable[[#This Row],[SP Is Filled]],SnapshotTable[[#This Row],[SP Buyback Price to Use]] * 100 * SnapshotTable[[#This Row],[SP Qty]], "")</f>
        <v/>
      </c>
      <c r="CY21" s="4" t="str">
        <f>IF(ISNUMBER(SnapshotTable[[#This Row],[SP Strike Price]]), SnapshotTable[[#This Row],[SP Strike Price]] * (1 - SP_MaxLoss_StrikePct), "")</f>
        <v/>
      </c>
      <c r="CZ21" s="31" t="str">
        <f>IF(ISNUMBER(SnapshotTable[[#This Row],[SP Strike  Stop Per Share]]),SnapshotTable[[#This Row],[SP Premium]] - ((SnapshotTable[[#This Row],[SP Strike Price]]-SnapshotTable[[#This Row],[SP Strike  Stop Per Share]]) *(SnapshotTable[[#This Row],[SP Qty]] * 100)),"")</f>
        <v/>
      </c>
      <c r="DA21" s="4" t="str">
        <f>IF(AND(ISNUMBER(SnapshotTable[[#This Row],[SP Premium]]),SnapshotTable[[#This Row],[SP Premium]]&gt;0), SnapshotTable[[#This Row],[SP Book Price]] * (1 + SP_MaxLoss_OptionPct), "")</f>
        <v/>
      </c>
      <c r="DB21" s="31" t="str">
        <f>IF(ISNUMBER(SnapshotTable[[#This Row],[SP Option  Stop Contract]]),(SnapshotTable[[#This Row],[SP Option  Stop Contract]] *(SnapshotTable[[#This Row],[SP Qty]] * 100) - SnapshotTable[[#This Row],[SP Premium]]),"")</f>
        <v/>
      </c>
      <c r="DC21" s="4"/>
      <c r="DD21" s="4"/>
      <c r="DE21" s="4" t="str">
        <f>IF(AND(SnapshotTable[[#This Row],[SP Qty]]&gt;0, SnapshotTable[[#This Row],[SP Stop To Use]]&gt;0),SnapshotTable[[#This Row],[SP Premium]] - ( SnapshotTable[[#This Row],[SP Qty]] * SnapshotTable[[#This Row],[SP Stop To Use]] * 100), "")</f>
        <v/>
      </c>
      <c r="DF21" s="31" t="str">
        <f>IF(AND(SnapshotTable[[#This Row],[SP Qty]]&gt;0,SnapshotTable[[#This Row],[SP Current Ask]]&gt;0), SnapshotTable[[#This Row],[SP Qty]] * SnapshotTable[[#This Row],[SP Current Ask]] * -100, "")</f>
        <v/>
      </c>
      <c r="DG21" s="31" t="str">
        <f>IF(ISNUMBER((SnapshotTable[[#This Row],[SP Total Value]])), SnapshotTable[[#This Row],[SP Premium]] + SnapshotTable[[#This Row],[SP Total Value]], "")</f>
        <v/>
      </c>
      <c r="DH21" s="294" t="str">
        <f>IF(ISNUMBER((SnapshotTable[[#This Row],[SP Total Value]])), SnapshotTable[[#This Row],[SP Gain Loss]] / SnapshotTable[[#This Row],[SP Premium]], "")</f>
        <v/>
      </c>
      <c r="DI21" s="406"/>
      <c r="DJ21" s="138"/>
      <c r="DK21" s="148"/>
      <c r="DL21" s="147"/>
      <c r="DM21" s="147"/>
      <c r="DO21" s="31">
        <f>IF(SnapshotTable[[#This Row],[LC Symbol Count]]=1, SnapshotTable[[#This Row],[LC Qty]] * SnapshotTable[[#This Row],[LC Book Price]] * 100, 0)</f>
        <v>0</v>
      </c>
      <c r="DP21" s="163" t="str">
        <f>IF(AND(SnapshotTable[[#This Row],[LC Exp Date]]&gt;0, SnapshotTable[[#This Row],[LC Strike Price]]&gt;0,SnapshotTable[[#This Row],[LC Qty]]&gt;0,SnapshotTable[[#This Row],[LC Book Date]]&gt;0,SnapshotTable[[#This Row],[LC Book Price]]&gt;0,SnapshotTable[[#This Row],[LC Fill Date]]=0),"Y","")</f>
        <v/>
      </c>
      <c r="DQ21" s="386" t="str">
        <f>IF(SnapshotTable[[#This Row],[LC Premium]] &gt; 0,SnapshotTable[[#This Row],[LC Exp Date]]-MAX(SnapshotTable[[#This Row],[LC Book Date]], SnapshotTable[[#This Row],[LC Fill Date]]),"")</f>
        <v/>
      </c>
      <c r="DR21" s="386" t="str">
        <f>IF(ISNUMBER(SnapshotTable[[#This Row],[LC Term]]), SnapshotTable[[#This Row],[LC Exp Date]] - MockToday, "")</f>
        <v/>
      </c>
      <c r="DS21" s="234" t="str">
        <f>IF(SnapshotTable[[#This Row],[LC Premium]]&gt;0,SnapshotTable[[#This Row],[LC Strike Price]] + SnapshotTable[[#This Row],[LC Book Price]],"")</f>
        <v/>
      </c>
      <c r="DU21" s="9" t="str">
        <f>IF(AND(SnapshotTable[[#This Row],[LC Symbol Count]]&gt;0, SnapshotTable[[#This Row],[LC Contract Value]]&gt;0), SnapshotTable[[#This Row],[LC Contract Value]] * SnapshotTable[[#This Row],[LC Qty]] * 100, "")</f>
        <v/>
      </c>
      <c r="DV21" s="9" t="str">
        <f>IF(AND(ISNUMBER(SnapshotTable[[#This Row],[LC Total Value]]), SnapshotTable[[#This Row],[LC Not Filled]]&lt;&gt;"Y"), SnapshotTable[[#This Row],[LC Total Value]]-SnapshotTable[[#This Row],[LC Premium]],"")</f>
        <v/>
      </c>
      <c r="DW21" s="240" t="str">
        <f>IF(ISNUMBER(SnapshotTable[[#This Row],[LC Actual Gain Loss]]), SnapshotTable[[#This Row],[LC Actual Gain Loss]] / SnapshotTable[[#This Row],[LC Premium]],"")</f>
        <v/>
      </c>
      <c r="DX21" s="284" t="str">
        <f>IF(ISNUMBER(SnapshotTable[[#This Row],[LC Book Price]]),SnapshotTable[[#This Row],[LC Book Price]] * 1.5,"")</f>
        <v/>
      </c>
      <c r="DY21" s="265" t="str">
        <f>IF(SnapshotTable[[#This Row],[LC Premium]]&gt;0, SnapshotTable[[#This Row],[LC Next Target]] * SnapshotTable[[#This Row],[LC Qty]] * 100,"")</f>
        <v/>
      </c>
      <c r="DZ21" s="265" t="str">
        <f>IF(ISNUMBER(SnapshotTable[[#This Row],[LC Target Gross]]), SnapshotTable[[#This Row],[LC Target Gross]] - SnapshotTable[[#This Row],[LC Premium]], "")</f>
        <v/>
      </c>
      <c r="EA21" s="305" t="str">
        <f>IF(ISNUMBER(SnapshotTable[[#This Row],[LC Target Gain Loss]]), SnapshotTable[[#This Row],[LC Target Gain Loss]]/SnapshotTable[[#This Row],[LC Premium]], "")</f>
        <v/>
      </c>
      <c r="EB21" s="262"/>
      <c r="EC21" s="283" t="str">
        <f>IF(SnapshotTable[[#This Row],[LC Premium]]&gt;0, SnapshotTable[[#This Row],[LC Book Price]] * (1 - LC_StopLoss_Pct),"")</f>
        <v/>
      </c>
      <c r="ED21" s="284"/>
      <c r="EE21" s="283" t="str">
        <f>IF(ISNUMBER(SnapshotTable[[#This Row],[LC Contract Value]]),IF(ISNUMBER(SnapshotTable[[#This Row],[LC Stop Loss Override]]), SnapshotTable[[#This Row],[LC Stop Loss Override]],SnapshotTable[[#This Row],[LC Stop Loss Calc Target]]),"")</f>
        <v/>
      </c>
      <c r="EF21" s="31" t="str">
        <f>IF(ISNUMBER(SnapshotTable[[#This Row],[LC Stop  To Use]]), (SnapshotTable[[#This Row],[LC Stop  To Use]] * SnapshotTable[[#This Row],[LC Qty]] * 100),"")</f>
        <v/>
      </c>
      <c r="EG21" s="9" t="str">
        <f>IF(ISNUMBER(SnapshotTable[[#This Row],[LC Total Value]]),SnapshotTable[[#This Row],[LC Stop Loss Amount]] - SnapshotTable[[#This Row],[LC Premium]],"")</f>
        <v/>
      </c>
      <c r="EH21" s="9">
        <f>IF(ISNUMBER(SnapshotTable[[#This Row],[LC Premium]]), SnapshotTable[[#This Row],[LC Qty]] * 100 * SnapshotTable[[#This Row],[LC Strike Price]], "")</f>
        <v>0</v>
      </c>
      <c r="EI21" s="240" t="str">
        <f>IF(AND(ISNUMBER(SnapshotTable[[#This Row],[LC Total Value]]),SnapshotTable[[#This Row],[LC Total Value]]&gt;0),SnapshotTable[[#This Row],[LC Stop Gain Loss]]  / SnapshotTable[[#This Row],[LC Premium]],"")</f>
        <v/>
      </c>
      <c r="EJ21" s="35">
        <f>IF(ISNUMBER(SnapshotTable[[#This Row],[Equity Shares]]),TRUNC(SnapshotTable[[#This Row],[Equity Shares]] / 100),0) + SnapshotTable[[#This Row],[LC Qty]]</f>
        <v>0</v>
      </c>
      <c r="EK21" s="147"/>
      <c r="EL21" s="138" t="str">
        <f>IF(SnapshotTable[[#This Row],[SC Exp Date]]&lt;&gt;"",TRUNC(SnapshotTable[[#This Row],[Last Price]]),"")</f>
        <v/>
      </c>
      <c r="EM21" s="148"/>
      <c r="EN21" s="147"/>
      <c r="EO21" s="147"/>
      <c r="EP21" s="138"/>
      <c r="EQ21" s="419" t="b">
        <f>AND(ISNUMBER(SnapshotTable[[#This Row],[SC Exp Date]]), ISNUMBER(SnapshotTable[[#This Row],[SC Strike Price]]), ISNUMBER(SnapshotTable[[#This Row],[SC Qty]]), ISNUMBER(SnapshotTable[[#This Row],[SC Book Date]]), ISNUMBER(SnapshotTable[[#This Row],[SC Book Price]]))</f>
        <v>0</v>
      </c>
      <c r="ER21" s="419" t="b">
        <f>AND(SnapshotTable[[#This Row],[SC Is Booked]], NOT(ISBLANK(SnapshotTable[[#This Row],[SC Fill Date]])))</f>
        <v>0</v>
      </c>
      <c r="ES21" s="370"/>
      <c r="ET21" s="34" t="str">
        <f>IF(AND(ISNUMBER(SnapshotTable[[#This Row],[SC Exp Date]]), ISNUMBER(SnapshotTable[[#This Row],[SC Book Date]])), SnapshotTable[[#This Row],[SC Exp Date]] - MAX(SnapshotTable[[#This Row],[SC Book Date]], SnapshotTable[[#This Row],[SC Fill Date]]) + 1, "")</f>
        <v/>
      </c>
      <c r="EU21" s="34" t="str">
        <f>IF(ISNUMBER(SnapshotTable[[#This Row],[SC Term]]), SnapshotTable[[#This Row],[SC Exp Date]]- MockToday, "")</f>
        <v/>
      </c>
      <c r="EV21" s="31">
        <f>IF(SnapshotTable[[#This Row],[SC Is Booked]], SnapshotTable[[#This Row],[SC Qty]] * SnapshotTable[[#This Row],[SC Book Price]] * 100, 0)</f>
        <v>0</v>
      </c>
      <c r="EW21" s="4" t="str">
        <f>IF(AND(ISNUMBER(SnapshotTable[[#This Row],[Last Price]]), ISNUMBER( SnapshotTable[[#This Row],[SC Book Price]])), SnapshotTable[[#This Row],[Last Price]] - SnapshotTable[[#This Row],[SC Book Price]],"")</f>
        <v/>
      </c>
      <c r="EX21" s="234" t="str">
        <f>IF(SnapshotTable[[#This Row],[SC Is Booked]],IF(SnapshotTable[[#This Row],[SC Intrinsic Value]] &gt; 0, SnapshotTable[[#This Row],[SC Strike Price]], SnapshotTable[[#This Row],[Last Price]]), "")</f>
        <v/>
      </c>
      <c r="EY21" s="4">
        <f>IF(SnapshotTable[[#This Row],[SC Is Booked]], (MinimumPremiumRequired * SnapshotTable[[#This Row],[SC Basis]] * SnapshotTable[[#This Row],[SC Term]]), 0)</f>
        <v>0</v>
      </c>
      <c r="EZ21" s="283"/>
      <c r="FA21" s="218"/>
      <c r="FB21" s="370"/>
      <c r="FC21" s="4">
        <f>IF(SnapshotTable[[#This Row],[SC Is Filled]], btc_max_buyback_amount(SnapshotTable[[#This Row],[SC Fill Date]],SnapshotTable[[#This Row],[SC Exp Date]], SnapshotTable[[#This Row],[SC Book Price]]),0)</f>
        <v>0</v>
      </c>
      <c r="FD21" s="5"/>
      <c r="FE21" s="144" t="str">
        <f>IF(SnapshotTable[[#This Row],[SC Is Filled]], btc_next_cutoff_date(SnapshotTable[[#This Row],[SC Fill Date]],SnapshotTable[[#This Row],[SC Exp Date]]),"")</f>
        <v/>
      </c>
      <c r="FF21" s="4" t="str" cm="1">
        <f t="array" ref="FF21">IF(SnapshotTable[[#This Row],[SC Is Filled]], btc_should_buy_back(SnapshotTable[[#This Row],[SC Fill Date]], SnapshotTable[[#This Row],[SC Exp Date]], SnapshotTable[[#This Row],[SC Book Price]], SnapshotTable[[#This Row],[SC Current Ask]], MockToday, SnapshotTable[[#This Row],[SC Buyback Override]]),"")</f>
        <v/>
      </c>
      <c r="FG21" s="4">
        <f>IF(SnapshotTable[[#This Row],[SC Is Filled]], MAX(0,SnapshotTable[[#This Row],[Last Price]]  - SnapshotTable[[#This Row],[SC Strike Price]]), 0)</f>
        <v>0</v>
      </c>
      <c r="FH21" s="382">
        <f>IF(SnapshotTable[[#This Row],[SC Is Filled]], IF(ISNUMBER(SnapshotTable[[#This Row],[SC Current Ask]]), SnapshotTable[[#This Row],[SC Current Ask]], SnapshotTable[[#This Row],[SC Book Price]]) - SnapshotTable[[#This Row],[SC Intrinsic Value]], 0)</f>
        <v>0</v>
      </c>
      <c r="FI21" s="143">
        <v>45828</v>
      </c>
      <c r="FJ21" s="32" t="str">
        <f>IF(SnapshotTable[[#This Row],[SC Is Filled]],100 * SnapshotTable[[#This Row],[SC Qty]] * IF(ISNUMBER(SnapshotTable[[#This Row],[SC Buyback Override]]), SnapshotTable[[#This Row],[SC Buyback Override]], SnapshotTable[[#This Row],[SC Current Ask]]), "")</f>
        <v/>
      </c>
      <c r="FK21" s="250" t="str">
        <f>IF(SnapshotTable[[#This Row],[SC Time Val]]&gt;0, SnapshotTable[[#This Row],[SC Time Val]] / SnapshotTable[[#This Row],[Last Price]],"")</f>
        <v/>
      </c>
      <c r="FL21" s="302" t="str">
        <f>IF(SnapshotTable[[#This Row],[SC Is Booked]], ((SnapshotTable[[#This Row],[Last Price]] -SnapshotTable[[#This Row],[SC Strike Price]]) / SnapshotTable[[#This Row],[Last Price]]) * -1, "")</f>
        <v/>
      </c>
      <c r="FM21" s="157" t="str">
        <f>IF(SnapshotTable[[#This Row],[SC Is Booked]],  (SnapshotTable[[#This Row],[SC Qty]] * 100 * SnapshotTable[[#This Row],[SC Strike Price]]) - SnapshotTable[[#This Row],[SC Current Ask]], "")</f>
        <v/>
      </c>
      <c r="FN21"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 s="157" t="str">
        <f>IF(AND(ISNUMBER(SnapshotTable[[#This Row],[SC Exercise Gross]]), ISNUMBER(SnapshotTable[[#This Row],[Equity Basis Per Share]] )), SnapshotTable[[#This Row],[SC Exercise Gross]] - SnapshotTable[[#This Row],[Equity Basis Total]] +  SnapshotTable[[#This Row],[SC Premium]], "")</f>
        <v/>
      </c>
      <c r="FP21" s="5" t="str">
        <f>IF(ISNUMBER(SnapshotTable[[#This Row],[SC Exercise Gross]]), (SnapshotTable[[#This Row],[SC Exercise Gross]]) / (SnapshotTable[[#This Row],[SC Qty]] * 100), "")</f>
        <v/>
      </c>
      <c r="FQ21" s="27" t="str">
        <f>IF(SnapshotTable[[#This Row],[SC Is Booked]],SnapshotTable[[#This Row],[SC Time Val]] /SnapshotTable[[#This Row],[SC Basis]], "")</f>
        <v/>
      </c>
      <c r="FR21" s="27" t="str" cm="1">
        <f t="array" ref="FR21">IF(AND(ISNUMBER(SnapshotTable[[#This Row],[SC Term]]),ISNUMBER(SnapshotTable[[#This Row],[SC Simple ROO]])), EllmanAnnualize(SnapshotTable[[#This Row],[SC DTE]], SnapshotTable[[#This Row],[SC Simple ROO]] ),"")</f>
        <v/>
      </c>
      <c r="FS21" s="4" t="e">
        <f>IF(SnapshotTable[[#This Row],[SC Strike Price]] &gt; SnapshotTable[[#This Row],[Last Price]], SnapshotTable[[#This Row],[SC Strike Price]] - SnapshotTable[[#This Row],[Last Price]],0)</f>
        <v>#VALUE!</v>
      </c>
      <c r="FT21" s="27" t="e">
        <f>IF(AND(ISNUMBER(SnapshotTable[[#This Row],[SC Upside Potential]]), SnapshotTable[[#This Row],[SC Upside Potential]] &gt; 0),(SnapshotTable[[#This Row],[SC Upside Potential]]/ SnapshotTable[[#This Row],[ACB]]),"")</f>
        <v>#VALUE!</v>
      </c>
      <c r="FU21" s="333" t="str">
        <f>IF(SnapshotTable[[#This Row],[SC Intrinsic Value]] &gt; 0,SnapshotTable[[#This Row],[SC Intrinsic Value]],"")</f>
        <v/>
      </c>
      <c r="FV21" s="27" t="str">
        <f>IF(AND( ISNUMBER( SnapshotTable[[#This Row],[ACB]]),ISNUMBER(SnapshotTable[[#This Row],[SC Downside Protect]])),SnapshotTable[[#This Row],[SC Downside Protect]] / SnapshotTable[[#This Row],[ACB]],"")</f>
        <v/>
      </c>
      <c r="FW21" s="236" t="str">
        <f>IF(AND(ISNUMBER(SnapshotTable[[#This Row],[SC Simple ROO]]),SnapshotTable[[#This Row],[SC Simple ROO]] &gt; 0), SnapshotTable[[#This Row],[SC Premium]] + (SnapshotTable[[#This Row],[SC Qty]] * SnapshotTable[[#This Row],[SC Upside Potential]]), "")</f>
        <v/>
      </c>
      <c r="FX21" s="302" t="str" cm="1">
        <f t="array" ref="FX21">IF(ISNUMBER(SnapshotTable[[#This Row],[SC Max Dollars]]), annualize(SnapshotTable[[#This Row],[SC Term]],(SnapshotTable[[#This Row],[SC Max Dollars]]/SnapshotTable[[#This Row],[SC Basis]])),"")</f>
        <v/>
      </c>
      <c r="FY21" s="236" t="str">
        <f>IF(AND(SnapshotTable[[#This Row],[SC Qty]]&gt;0,SnapshotTable[[#This Row],[SC Current Ask]]&gt;0), SnapshotTable[[#This Row],[SC Qty]] * SnapshotTable[[#This Row],[SC Current Ask]] * -100, "")</f>
        <v/>
      </c>
      <c r="FZ21" s="31" t="str">
        <f>IF(ISNUMBER((SnapshotTable[[#This Row],[SC Current Value]])), SnapshotTable[[#This Row],[SC Premium]] + SnapshotTable[[#This Row],[SC Current Value]], "")</f>
        <v/>
      </c>
      <c r="GA21" s="294" t="str">
        <f>IFERROR( IF(ISNUMBER((SnapshotTable[[#This Row],[SC Current Value]])), SnapshotTable[[#This Row],[SC Gain Loss]] / SnapshotTable[[#This Row],[SC Premium]], ""), "")</f>
        <v/>
      </c>
      <c r="GB21" s="42">
        <f>SnapshotTable[[#This Row],[Equity Shares]] * SaleSharesToConsiderPercentage</f>
        <v>0</v>
      </c>
      <c r="GC21" s="40">
        <f>SnapshotTable[[#This Row],[Long Term Target]] * SellingPriceToConsiderBasedOnTargetPercentage</f>
        <v>63.440999999999995</v>
      </c>
      <c r="GD21" s="40">
        <f>SnapshotTable[[#This Row],[Last Price]] * (1+ SellingPriceToConsiderBasedOnTargetPercentage)</f>
        <v>286.7475</v>
      </c>
      <c r="GE21" s="41"/>
      <c r="GF21" s="40"/>
      <c r="GG21" s="31">
        <f>SnapshotTable[[#This Row],[Booked Sale Shares]] * SnapshotTable[[#This Row],[Booked Sale Price]]</f>
        <v>0</v>
      </c>
      <c r="GH21" s="31" t="str">
        <f>IF(SnapshotTable[[#This Row],[Equity Basis Total]] &gt; 0, SnapshotTable[[#This Row],[Equity Basis Per Share]] * SnapshotTable[[#This Row],[Booked Sale Shares]], "")</f>
        <v/>
      </c>
      <c r="GI21" s="31">
        <f>IF(SnapshotTable[[#This Row],[Sale Proceeds]]&gt;0, SnapshotTable[[#This Row],[Sale Proceeds]] - SnapshotTable[[#This Row],[Sale Basis]], 0)</f>
        <v>0</v>
      </c>
      <c r="GJ21" s="158" t="str">
        <f>IF(SnapshotTable[[#This Row],[Sale G/L]]&gt;0, SnapshotTable[[#This Row],[Sale G/L]] / SnapshotTable[[#This Row],[Sale Basis]], IF(ISNUMBER(SnapshotTable[[#This Row],[SC Exercise P&amp;L (TAX)]]), SnapshotTable[[#This Row],[SC Exercise P&amp;L (TAX)]] / SnapshotTable[[#This Row],[SC Basis]], ""))</f>
        <v/>
      </c>
      <c r="GK21" s="158" t="s">
        <v>625</v>
      </c>
      <c r="GL21" s="159" t="str">
        <f>IF(AND(SnapshotTable[[#This Row],[LP Exp Date]]&gt;0,SnapshotTable[[#This Row],[LP Strike Price]]&gt;0), [1]!ToOptionSymbol(SnapshotTable[[#This Row],[Symbol]], SnapshotTable[[#This Row],[LP Strike Price]],SnapshotTable[[#This Row],[LP Exp Date]],1), "")</f>
        <v/>
      </c>
      <c r="GM21" s="30" t="str">
        <f>IF(LEN(SnapshotTable[[#This Row],[LP Symbol]])&gt;0, 1, "")</f>
        <v/>
      </c>
      <c r="GN21" s="43" t="str">
        <f>IF(AND(SnapshotTable[[#This Row],[SP Exp Date]]&gt;0,SnapshotTable[[#This Row],[SP Strike Price]]&gt;0), [1]!ToOptionSymbol(SnapshotTable[[#This Row],[Symbol]], SnapshotTable[[#This Row],[SP Strike Price]],SnapshotTable[[#This Row],[SP Exp Date]],1), "")</f>
        <v/>
      </c>
      <c r="GO21" s="30" t="str">
        <f>IF(LEN(SnapshotTable[[#This Row],[SP Symbol]])&gt;0, 1, "")</f>
        <v/>
      </c>
      <c r="GP21" s="159" t="str">
        <f>IF(AND(SnapshotTable[[#This Row],[LC Exp Date]]&gt;0,SnapshotTable[[#This Row],[LC Strike Price]]&gt;0), [1]!ToOptionSymbol(SnapshotTable[[#This Row],[Symbol]], SnapshotTable[[#This Row],[LC Strike Price]],SnapshotTable[[#This Row],[LC Exp Date]],0), "")</f>
        <v/>
      </c>
      <c r="GQ21" s="160" t="str">
        <f>IF(LEN(SnapshotTable[[#This Row],[LC Symbol]])&gt;0, 1, "")</f>
        <v/>
      </c>
      <c r="GR21" s="159" t="str">
        <f>IF(AND(SnapshotTable[[#This Row],[SC Exp Date]]&gt;0,SnapshotTable[[#This Row],[SC Strike Price]]&gt;0), [1]!ToOptionSymbol(SnapshotTable[[#This Row],[Symbol]], SnapshotTable[[#This Row],[SC Strike Price]],SnapshotTable[[#This Row],[SC Exp Date]],0), "")</f>
        <v/>
      </c>
      <c r="GS21" s="160" t="str">
        <f>IF(LEN(SnapshotTable[[#This Row],[SC Symbol]])&gt;0, 1, "")</f>
        <v/>
      </c>
      <c r="GT21" s="161" t="str">
        <f>IF(COUNT(SnapshotTable[[#This Row],[LP Symbol Count]],SnapshotTable[[#This Row],[SP Symbol Count]],SnapshotTable[[#This Row],[LC Symbol Count]],SnapshotTable[[#This Row],[SC Symbol Count]])&gt;0, "Y", "")</f>
        <v/>
      </c>
      <c r="GU2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 s="231" t="e">
        <f>MAX(SnapshotTable[[#This Row],[Equity Basis Total]],SnapshotTable[[#This Row],[Equity Value]]) + (SnapshotTable[[#This Row],[SP Potential Spend]]- SnapshotTable[[#This Row],[SP Premium]] + SnapshotTable[[#This Row],[LP Premium]])+ (SnapshotTable[[#This Row],[LC Premium]] - SnapshotTable[[#This Row],[SC Premium]])</f>
        <v>#VALUE!</v>
      </c>
      <c r="GW21" s="139" t="e">
        <f>IF(AND(SnapshotTable[[#This Row],[Exposure]] &lt;&gt; 0),SnapshotTable[[#This Row],[Exposure]] / SnapshotTable[[#Totals],[Exposure]], "")</f>
        <v>#VALUE!</v>
      </c>
      <c r="HK21" s="1"/>
      <c r="HL21" s="1"/>
      <c r="HM21" s="1"/>
      <c r="HN21" s="1"/>
      <c r="HO21" s="1"/>
      <c r="HP21" s="1"/>
    </row>
    <row r="22" spans="2:224" ht="12.75" hidden="1" customHeight="1" x14ac:dyDescent="0.25">
      <c r="B22" s="12" t="s">
        <v>182</v>
      </c>
      <c r="C22" s="422">
        <v>133.07</v>
      </c>
      <c r="D22" s="208"/>
      <c r="E22" s="39">
        <f>SnapshotTable[[#This Row],[Last Price]]*(1 -CrashDiscount)</f>
        <v>113.1095</v>
      </c>
      <c r="F22" s="26" t="s">
        <v>944</v>
      </c>
      <c r="G22" s="26" t="s">
        <v>178</v>
      </c>
      <c r="H22" s="149"/>
      <c r="I22" s="194">
        <v>44770.288194444445</v>
      </c>
      <c r="J22" s="195">
        <v>44770.288194444445</v>
      </c>
      <c r="K22" s="196"/>
      <c r="L22" s="326"/>
      <c r="M22" s="140"/>
      <c r="N22" s="140"/>
      <c r="O22" s="140"/>
      <c r="P22" s="22"/>
      <c r="Q22" s="25"/>
      <c r="R22" s="4" t="str">
        <f>IF(SnapshotTable[[#This Row],[Equity Basis Total]] &gt; 0, SnapshotTable[[#This Row],[Equity Basis Total]] / SnapshotTable[[#This Row],[Equity Shares]], "")</f>
        <v/>
      </c>
      <c r="S22" s="269">
        <f>SnapshotTable[[#This Row],[Last Price]] * SnapshotTable[[#This Row],[Equity Shares]]</f>
        <v>0</v>
      </c>
      <c r="T22" s="269">
        <f>SnapshotTable[[#This Row],[Equity Value]] - SnapshotTable[[#This Row],[Equity Basis Total]]</f>
        <v>0</v>
      </c>
      <c r="U22" s="270" t="str">
        <f>IF(SnapshotTable[[#This Row],[Equity Basis Total]] &gt; 0, SnapshotTable[[#This Row],[Equity G/L]] / SnapshotTable[[#This Row],[Equity Basis Total]], "")</f>
        <v/>
      </c>
      <c r="V22" s="268"/>
      <c r="W22" s="268"/>
      <c r="X22" s="4" t="str">
        <f>IF(AND(ISNUMBER(SnapshotTable[[#This Row],[Equity Basis Per Share]]),ISNUMBER(SnapshotTable[[#This Row],[Equity Target]])),SnapshotTable[[#This Row],[Equity Target]]-SnapshotTable[[#This Row],[Equity Basis Per Share]],"")</f>
        <v/>
      </c>
      <c r="Y22" s="4" t="str">
        <f>IF(AND(ISNUMBER(SnapshotTable[[#This Row],[Equity Basis Per Share]]),ISNUMBER(SnapshotTable[[#This Row],[Equity Stop Loss]])),SnapshotTable[[#This Row],[Equity Stop Loss]]-SnapshotTable[[#This Row],[Equity Basis Per Share]],"")</f>
        <v/>
      </c>
      <c r="Z22" s="275" t="str">
        <f>IFERROR( TEXT(SnapshotTable[[#This Row],[Equity Max Gain Per Share]] /ABS( SnapshotTable[[#This Row],[Equity Max Loss Per Share]]),"0.0 " ) &amp; " : 1", "")</f>
        <v/>
      </c>
      <c r="AA22" s="31" t="str">
        <f>IF(ISNUMBER(SnapshotTable[[#This Row],[Equity Max Gain Per Share]]),SnapshotTable[[#This Row],[Equity Max Gain Per Share]] * SnapshotTable[[#This Row],[Equity Shares]],"")</f>
        <v/>
      </c>
      <c r="AB22" s="31" t="str">
        <f>IF(ISNUMBER(SnapshotTable[[#This Row],[Equity Max Loss Per Share]]),SnapshotTable[[#This Row],[Equity Max Loss Per Share]] * SnapshotTable[[#This Row],[Equity Shares]],"")</f>
        <v/>
      </c>
      <c r="AC22" s="150">
        <v>2.2400000000000002</v>
      </c>
      <c r="AD22" s="151">
        <v>42623</v>
      </c>
      <c r="AE22" s="31">
        <f>(SnapshotTable[[#This Row],[Annual Dividend Per Share]] / 4) * SnapshotTable[[#This Row],[Equity Shares]]</f>
        <v>0</v>
      </c>
      <c r="AF22" s="31">
        <f>SnapshotTable[[#This Row],[Quarterly Div $]] * 4</f>
        <v>0</v>
      </c>
      <c r="AG22" s="7">
        <f>IF(SnapshotTable[[#This Row],[Annual Dividend Per Share]]&gt;0, SnapshotTable[[#This Row],[Annual Dividend Per Share]]  / SnapshotTable[[#This Row],[Last Price]], 0)</f>
        <v>1.6833245660178856E-2</v>
      </c>
      <c r="AH22" s="151">
        <v>42586</v>
      </c>
      <c r="AI22" s="5"/>
      <c r="AJ22" s="138">
        <v>97.82</v>
      </c>
      <c r="AK22" s="152" t="str">
        <f>IF(ISNUMBER( SnapshotTable[[#This Row],[EBF Target]]),(SnapshotTable[[#This Row],[EBF Target]] - SnapshotTable[[#This Row],[Last Price]]) / SnapshotTable[[#This Row],[Last Price]], "")</f>
        <v/>
      </c>
      <c r="AL22" s="152" t="str">
        <f>IF(AND(SnapshotTable[[#This Row],[Equity Basis Total]] &gt; 0,ISNUMBER( SnapshotTable[[#This Row],[Long Term Target]])), SnapshotTable[[#This Row],[From Basis $]] / SnapshotTable[[#This Row],[Equity Basis Total]], "")</f>
        <v/>
      </c>
      <c r="AM22" s="9">
        <f>IF( AND(SnapshotTable[[#This Row],[Equity Shares]] &gt;0,ISNUMBER( SnapshotTable[[#This Row],[Long Term Target]])),(SnapshotTable[[#This Row],[Equity Shares]] * SnapshotTable[[#This Row],[Long Term Target]]) - SnapshotTable[[#This Row],[Equity Basis Total]],0)</f>
        <v>0</v>
      </c>
      <c r="AN22" s="9">
        <f>IF( AND(SnapshotTable[[#This Row],[Equity Shares]] &gt;0,ISNUMBER( SnapshotTable[[#This Row],[Long Term Target]])),(SnapshotTable[[#This Row],[Equity Shares]]*SnapshotTable[[#This Row],[Long Term Target]]) - SnapshotTable[[#This Row],[Equity Value]],0)</f>
        <v>0</v>
      </c>
      <c r="AO22" s="152">
        <f>IF(AND(ISNUMBER( SnapshotTable[[#This Row],[Long Term Target]]), ISNUMBER(SnapshotTable[[#This Row],[Last Price]])),(SnapshotTable[[#This Row],[Long Term Target]] - SnapshotTable[[#This Row],[Last Price]]) / SnapshotTable[[#This Row],[Last Price]], "")</f>
        <v>-0.26489817389343956</v>
      </c>
      <c r="AP22" s="5"/>
      <c r="AQ22" s="38"/>
      <c r="AR22" s="5"/>
      <c r="AS22" s="38"/>
      <c r="AT22" s="146"/>
      <c r="AU22" s="187" t="str">
        <f>IF(OR(SnapshotTable[[#This Row],[LP No Fill]]="Y",SnapshotTable[[#This Row],[SP Is Filled]],SnapshotTable[[#This Row],[LC Not Filled]]="Y",SnapshotTable[[#This Row],[SC Is Filled]]),"Y","")</f>
        <v/>
      </c>
      <c r="AV22" s="219"/>
      <c r="AW22" s="225"/>
      <c r="AX22" s="220"/>
      <c r="AY22" s="219" t="str">
        <f>IF(SnapshotTable[[#This Row],[Implied Move]]&gt;0, SnapshotTable[[#This Row],[Last Price]]-SnapshotTable[[#This Row],[Implied Move]],"")</f>
        <v/>
      </c>
      <c r="AZ22" s="219" t="str">
        <f>IF(SnapshotTable[[#This Row],[Implied Move]]&gt;0, SnapshotTable[[#This Row],[Last Price]] + SnapshotTable[[#This Row],[Implied Move]],"")</f>
        <v/>
      </c>
      <c r="BA22" s="331"/>
      <c r="BB22" s="347"/>
      <c r="BC2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 s="351"/>
      <c r="BE22" s="5"/>
      <c r="BF22" s="14"/>
      <c r="BG22" s="13"/>
      <c r="BH22" s="13"/>
      <c r="BI22" s="5"/>
      <c r="BJ22" s="136">
        <f>IF(SnapshotTable[[#This Row],[LP Qty]] &gt; 0, SnapshotTable[[#This Row],[LP Qty]] * SnapshotTable[[#This Row],[LP Book Price]] * 100,0)</f>
        <v>0</v>
      </c>
      <c r="BK22" s="136">
        <f>IF(SnapshotTable[[#This Row],[LP Premium]] &gt; 0, SnapshotTable[[#This Row],[LP Qty]] * SnapshotTable[[#This Row],[LP Strike Price]] * 100,0)</f>
        <v>0</v>
      </c>
      <c r="BL22" s="154"/>
      <c r="BM22" s="385" t="str">
        <f>IF(SnapshotTable[[#This Row],[LP Premium]] &gt; 0,SnapshotTable[[#This Row],[LP Exp Date]]-MAX(SnapshotTable[[#This Row],[LP Book Date]], SnapshotTable[[#This Row],[LP Fill Date]]),"")</f>
        <v/>
      </c>
      <c r="BN22" s="385" t="str">
        <f>IF(ISNUMBER( SnapshotTable[[#This Row],[LP Term]]), SnapshotTable[[#This Row],[LP Exp Date]] - MockToday,"")</f>
        <v/>
      </c>
      <c r="BO22" s="163" t="str">
        <f>IF(AND(SnapshotTable[[#This Row],[LP Exp Date]]&gt;0, SnapshotTable[[#This Row],[LP Strike Price]]&gt;0,SnapshotTable[[#This Row],[LP Qty]]&gt;0,SnapshotTable[[#This Row],[LP Book Date]]&gt;0,SnapshotTable[[#This Row],[LP Book Price]]&gt;0,SnapshotTable[[#This Row],[LP Fill Date]]=0),"Y","")</f>
        <v/>
      </c>
      <c r="BP22" s="31" t="str">
        <f>IF(AND(SnapshotTable[[#This Row],[LP No Fill]]&lt;&gt;"Y",SnapshotTable[[#This Row],[LP Contract Value]]&gt;0, SnapshotTable[[#This Row],[LP Qty]]&gt;0), SnapshotTable[[#This Row],[LP Contract Value]]*SnapshotTable[[#This Row],[LP Qty]]*100,"")</f>
        <v/>
      </c>
      <c r="BQ22" s="13"/>
      <c r="BR22" s="5" t="str">
        <f>IF(SnapshotTable[[#This Row],[SP Exp Date]]&lt;&gt;"",TRUNC(SnapshotTable[[#This Row],[Last Price]]),"")</f>
        <v/>
      </c>
      <c r="BS22" s="36"/>
      <c r="BT22" s="147"/>
      <c r="BU22" s="13"/>
      <c r="BV22" s="5"/>
      <c r="BW22" s="419" t="b">
        <f>AND(ISNUMBER(SnapshotTable[[#This Row],[SP Exp Date]]), ISNUMBER(SnapshotTable[[#This Row],[SP Strike Price]]), ISNUMBER(SnapshotTable[[#This Row],[SP Qty]]), ISNUMBER(SnapshotTable[[#This Row],[SP Book Date]]), ISNUMBER(SnapshotTable[[#This Row],[SP Book Price]]))</f>
        <v>0</v>
      </c>
      <c r="BX22" s="419" t="b">
        <f>AND(SnapshotTable[[#This Row],[SP Is Booked]], NOT(ISBLANK(SnapshotTable[[#This Row],[SP Fill Date]])))</f>
        <v>0</v>
      </c>
      <c r="BY22" s="33">
        <f>IF(SnapshotTable[[#This Row],[SP Is Booked]], SnapshotTable[[#This Row],[SP Qty]] * SnapshotTable[[#This Row],[SP Book Price]] * 100, 0)</f>
        <v>0</v>
      </c>
      <c r="BZ22" s="369"/>
      <c r="CA22" s="368">
        <f>SnapshotTable[[#This Row],[LP Qty]]</f>
        <v>0</v>
      </c>
      <c r="CB22" s="4" t="str">
        <f>IF(SnapshotTable[[#This Row],[SP Is Booked]], SnapshotTable[[#This Row],[SP Strike Price]] - SnapshotTable[[#This Row],[SP Book Price]], "")</f>
        <v/>
      </c>
      <c r="CC22" s="19" t="str">
        <f>IF(SnapshotTable[[#This Row],[SP Is Booked]],SnapshotTable[[#This Row],[SP Exp Date]]-MAX(SnapshotTable[[#This Row],[SP Book Date]], SnapshotTable[[#This Row],[SP Fill Date]]),"")</f>
        <v/>
      </c>
      <c r="CD22" s="7" t="str">
        <f>IF(SnapshotTable[[#This Row],[SP Is Booked]], SnapshotTable[[#This Row],[SP Book Price]]/SnapshotTable[[#This Row],[SP Strike Price]], "")</f>
        <v/>
      </c>
      <c r="CE22" s="7" t="str">
        <f>IF(ISNUMBER(SnapshotTable[[#This Row],[SP ROO Term]]),SnapshotTable[[#This Row],[SP ROO Term]]*(365/SnapshotTable[[#This Row],[SP Term]]),"")</f>
        <v/>
      </c>
      <c r="CF22" s="236">
        <f>SnapshotTable[[#This Row],[LP Strike Price]] * SnapshotTable[[#This Row],[LP Qty]] * 100</f>
        <v>0</v>
      </c>
      <c r="CG22" s="31" t="e">
        <f>IF(ISNUMBER(SnapshotTable[[#This Row],[SP Premium]]), (SnapshotTable[[#This Row],[SP Qty]] * SnapshotTable[[#This Row],[SP Strike Price]]* 100) - SnapshotTable[[#This Row],[LP Protection]], 0)</f>
        <v>#VALUE!</v>
      </c>
      <c r="CH22" s="7" t="str">
        <f>IF(ISNUMBER(SnapshotTable[[#This Row],[SP Break Even]]),-1 * (SnapshotTable[[#This Row],[SP Break Even]] - SnapshotTable[[#This Row],[Last Price]]) / SnapshotTable[[#This Row],[Last Price]], "")</f>
        <v/>
      </c>
      <c r="CI22" s="31">
        <f>IF(AND(ISNUMBER((SnapshotTable[[#This Row],[SP Potential Spend]])), SnapshotTable[[#This Row],[SP Strike Price]] &gt; SnapshotTable[[#This Row],[Last Price]], SnapshotTable[[#This Row],[SP Is Filled]]), SnapshotTable[[#This Row],[SP Potential Spend]] -  SnapshotTable[[#This Row],[LP Max Value]], 0)</f>
        <v>0</v>
      </c>
      <c r="CJ22" s="244"/>
      <c r="CK22" s="31" t="str">
        <f>IF(ISNUMBER(SnapshotTable[[#This Row],[SP Potential Spend]]),IF(ISNUMBER(SnapshotTable[[#This Row],[SP POW]]), SnapshotTable[[#This Row],[SP POW]] * SnapshotTable[[#This Row],[SP Potential Spend]], SnapshotTable[[#This Row],[SP Potential Spend]]), "")</f>
        <v/>
      </c>
      <c r="CL22" s="164" t="e">
        <f>IF(NOT(SnapshotTable[[#This Row],[SP Is Filled]]),(SnapshotTable[[#This Row],[SP Qty]] * SnapshotTable[[#This Row],[SP Strike Price]] * 100) - SnapshotTable[[#This Row],[LP Max Value]],"")</f>
        <v>#VALUE!</v>
      </c>
      <c r="CM22" s="31" t="str">
        <f>IF(SnapshotTable[[#This Row],[SP Actual Spend]]&lt;&gt;0, ((SnapshotTable[[#This Row],[SP Strike Price]]-SnapshotTable[[#This Row],[Last Price]]) *(SnapshotTable[[#This Row],[SP Qty]]*100) - SnapshotTable[[#This Row],[SP Premium]]) * - 1, "")</f>
        <v/>
      </c>
      <c r="CN22" s="78"/>
      <c r="CO22" s="369"/>
      <c r="CP22" s="4" t="str">
        <f>IF(SnapshotTable[[#This Row],[SP Is Filled]], btc_max_buyback_amount(SnapshotTable[[#This Row],[SP Fill Date]],SnapshotTable[[#This Row],[SP Exp Date]], SnapshotTable[[#This Row],[SP Book Price]]),"")</f>
        <v/>
      </c>
      <c r="CQ22" s="78"/>
      <c r="CR2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 s="155" t="str">
        <f>IF(SnapshotTable[[#This Row],[SP Is Filled]], btc_next_cutoff_date(SnapshotTable[[#This Row],[SP Fill Date]],SnapshotTable[[#This Row],[SP Exp Date]]),"")</f>
        <v/>
      </c>
      <c r="CT22" s="235" t="str" cm="1">
        <f t="array" ref="CT22">IF(SnapshotTable[[#This Row],[SP Is Filled]], btc_should_buy_back(SnapshotTable[[#This Row],[SP Fill Date]], SnapshotTable[[#This Row],[SP Exp Date]], SnapshotTable[[#This Row],[SP Book Price]], SnapshotTable[[#This Row],[SP Current Ask]], MockToday, SnapshotTable[[#This Row],[SP Buyback Override]]),"")</f>
        <v/>
      </c>
      <c r="CU22" s="143"/>
      <c r="CV22" s="235"/>
      <c r="CW22" s="378" t="str">
        <f>IF(ISNUMBER( SnapshotTable[[#This Row],[SP Term]]), SnapshotTable[[#This Row],[SP Exp Date]] - MockToday,"")</f>
        <v/>
      </c>
      <c r="CX22" s="31" t="str">
        <f>IF(SnapshotTable[[#This Row],[SP Is Filled]],SnapshotTable[[#This Row],[SP Buyback Price to Use]] * 100 * SnapshotTable[[#This Row],[SP Qty]], "")</f>
        <v/>
      </c>
      <c r="CY22" s="4" t="str">
        <f>IF(ISNUMBER(SnapshotTable[[#This Row],[SP Strike Price]]), SnapshotTable[[#This Row],[SP Strike Price]] * (1 - SP_MaxLoss_StrikePct), "")</f>
        <v/>
      </c>
      <c r="CZ22" s="31" t="str">
        <f>IF(ISNUMBER(SnapshotTable[[#This Row],[SP Strike  Stop Per Share]]),SnapshotTable[[#This Row],[SP Premium]] - ((SnapshotTable[[#This Row],[SP Strike Price]]-SnapshotTable[[#This Row],[SP Strike  Stop Per Share]]) *(SnapshotTable[[#This Row],[SP Qty]] * 100)),"")</f>
        <v/>
      </c>
      <c r="DA22" s="4" t="str">
        <f>IF(AND(ISNUMBER(SnapshotTable[[#This Row],[SP Premium]]),SnapshotTable[[#This Row],[SP Premium]]&gt;0), SnapshotTable[[#This Row],[SP Book Price]] * (1 + SP_MaxLoss_OptionPct), "")</f>
        <v/>
      </c>
      <c r="DB22" s="31" t="str">
        <f>IF(ISNUMBER(SnapshotTable[[#This Row],[SP Option  Stop Contract]]),(SnapshotTable[[#This Row],[SP Option  Stop Contract]] *(SnapshotTable[[#This Row],[SP Qty]] * 100) - SnapshotTable[[#This Row],[SP Premium]]),"")</f>
        <v/>
      </c>
      <c r="DC22" s="4"/>
      <c r="DD22" s="4"/>
      <c r="DE22" s="4" t="str">
        <f>IF(AND(SnapshotTable[[#This Row],[SP Qty]]&gt;0, SnapshotTable[[#This Row],[SP Stop To Use]]&gt;0),SnapshotTable[[#This Row],[SP Premium]] - ( SnapshotTable[[#This Row],[SP Qty]] * SnapshotTable[[#This Row],[SP Stop To Use]] * 100), "")</f>
        <v/>
      </c>
      <c r="DF22" s="31" t="str">
        <f>IF(AND(SnapshotTable[[#This Row],[SP Qty]]&gt;0,SnapshotTable[[#This Row],[SP Current Ask]]&gt;0), SnapshotTable[[#This Row],[SP Qty]] * SnapshotTable[[#This Row],[SP Current Ask]] * -100, "")</f>
        <v/>
      </c>
      <c r="DG22" s="31" t="str">
        <f>IF(ISNUMBER((SnapshotTable[[#This Row],[SP Total Value]])), SnapshotTable[[#This Row],[SP Premium]] + SnapshotTable[[#This Row],[SP Total Value]], "")</f>
        <v/>
      </c>
      <c r="DH22" s="294" t="str">
        <f>IF(ISNUMBER((SnapshotTable[[#This Row],[SP Total Value]])), SnapshotTable[[#This Row],[SP Gain Loss]] / SnapshotTable[[#This Row],[SP Premium]], "")</f>
        <v/>
      </c>
      <c r="DI22" s="406"/>
      <c r="DJ22" s="138"/>
      <c r="DK22" s="148"/>
      <c r="DL22" s="13"/>
      <c r="DM22" s="13"/>
      <c r="DO22" s="31">
        <f>IF(SnapshotTable[[#This Row],[LC Symbol Count]]=1, SnapshotTable[[#This Row],[LC Qty]] * SnapshotTable[[#This Row],[LC Book Price]] * 100, 0)</f>
        <v>0</v>
      </c>
      <c r="DP22" s="163" t="str">
        <f>IF(AND(SnapshotTable[[#This Row],[LC Exp Date]]&gt;0, SnapshotTable[[#This Row],[LC Strike Price]]&gt;0,SnapshotTable[[#This Row],[LC Qty]]&gt;0,SnapshotTable[[#This Row],[LC Book Date]]&gt;0,SnapshotTable[[#This Row],[LC Book Price]]&gt;0,SnapshotTable[[#This Row],[LC Fill Date]]=0),"Y","")</f>
        <v/>
      </c>
      <c r="DQ22" s="386" t="str">
        <f>IF(SnapshotTable[[#This Row],[LC Premium]] &gt; 0,SnapshotTable[[#This Row],[LC Exp Date]]-MAX(SnapshotTable[[#This Row],[LC Book Date]], SnapshotTable[[#This Row],[LC Fill Date]]),"")</f>
        <v/>
      </c>
      <c r="DR22" s="386" t="str">
        <f>IF(ISNUMBER(SnapshotTable[[#This Row],[LC Term]]), SnapshotTable[[#This Row],[LC Exp Date]] - MockToday, "")</f>
        <v/>
      </c>
      <c r="DS22" s="234" t="str">
        <f>IF(SnapshotTable[[#This Row],[LC Premium]]&gt;0,SnapshotTable[[#This Row],[LC Strike Price]] + SnapshotTable[[#This Row],[LC Book Price]],"")</f>
        <v/>
      </c>
      <c r="DU22" s="9" t="str">
        <f>IF(AND(SnapshotTable[[#This Row],[LC Symbol Count]]&gt;0, SnapshotTable[[#This Row],[LC Contract Value]]&gt;0), SnapshotTable[[#This Row],[LC Contract Value]] * SnapshotTable[[#This Row],[LC Qty]] * 100, "")</f>
        <v/>
      </c>
      <c r="DV22" s="9" t="str">
        <f>IF(AND(ISNUMBER(SnapshotTable[[#This Row],[LC Total Value]]), SnapshotTable[[#This Row],[LC Not Filled]]&lt;&gt;"Y"), SnapshotTable[[#This Row],[LC Total Value]]-SnapshotTable[[#This Row],[LC Premium]],"")</f>
        <v/>
      </c>
      <c r="DW22" s="240" t="str">
        <f>IF(ISNUMBER(SnapshotTable[[#This Row],[LC Actual Gain Loss]]), SnapshotTable[[#This Row],[LC Actual Gain Loss]] / SnapshotTable[[#This Row],[LC Premium]],"")</f>
        <v/>
      </c>
      <c r="DX22" s="284" t="str">
        <f>IF(ISNUMBER(SnapshotTable[[#This Row],[LC Book Price]]),SnapshotTable[[#This Row],[LC Book Price]] * 1.5,"")</f>
        <v/>
      </c>
      <c r="DY22" s="265" t="str">
        <f>IF(SnapshotTable[[#This Row],[LC Premium]]&gt;0, SnapshotTable[[#This Row],[LC Next Target]] * SnapshotTable[[#This Row],[LC Qty]] * 100,"")</f>
        <v/>
      </c>
      <c r="DZ22" s="265" t="str">
        <f>IF(ISNUMBER(SnapshotTable[[#This Row],[LC Target Gross]]), SnapshotTable[[#This Row],[LC Target Gross]] - SnapshotTable[[#This Row],[LC Premium]], "")</f>
        <v/>
      </c>
      <c r="EA22" s="305" t="str">
        <f>IF(ISNUMBER(SnapshotTable[[#This Row],[LC Target Gain Loss]]), SnapshotTable[[#This Row],[LC Target Gain Loss]]/SnapshotTable[[#This Row],[LC Premium]], "")</f>
        <v/>
      </c>
      <c r="EB22" s="262"/>
      <c r="EC22" s="283" t="str">
        <f>IF(SnapshotTable[[#This Row],[LC Premium]]&gt;0, SnapshotTable[[#This Row],[LC Book Price]] * (1 - LC_StopLoss_Pct),"")</f>
        <v/>
      </c>
      <c r="ED22" s="284"/>
      <c r="EE22" s="283" t="str">
        <f>IF(ISNUMBER(SnapshotTable[[#This Row],[LC Contract Value]]),IF(ISNUMBER(SnapshotTable[[#This Row],[LC Stop Loss Override]]), SnapshotTable[[#This Row],[LC Stop Loss Override]],SnapshotTable[[#This Row],[LC Stop Loss Calc Target]]),"")</f>
        <v/>
      </c>
      <c r="EF22" s="31" t="str">
        <f>IF(ISNUMBER(SnapshotTable[[#This Row],[LC Stop  To Use]]), (SnapshotTable[[#This Row],[LC Stop  To Use]] * SnapshotTable[[#This Row],[LC Qty]] * 100),"")</f>
        <v/>
      </c>
      <c r="EG22" s="9" t="str">
        <f>IF(ISNUMBER(SnapshotTable[[#This Row],[LC Total Value]]),SnapshotTable[[#This Row],[LC Stop Loss Amount]] - SnapshotTable[[#This Row],[LC Premium]],"")</f>
        <v/>
      </c>
      <c r="EH22" s="9">
        <f>IF(ISNUMBER(SnapshotTable[[#This Row],[LC Premium]]), SnapshotTable[[#This Row],[LC Qty]] * 100 * SnapshotTable[[#This Row],[LC Strike Price]], "")</f>
        <v>0</v>
      </c>
      <c r="EI22" s="240" t="str">
        <f>IF(AND(ISNUMBER(SnapshotTable[[#This Row],[LC Total Value]]),SnapshotTable[[#This Row],[LC Total Value]]&gt;0),SnapshotTable[[#This Row],[LC Stop Gain Loss]]  / SnapshotTable[[#This Row],[LC Premium]],"")</f>
        <v/>
      </c>
      <c r="EJ22" s="35">
        <f>IF(ISNUMBER(SnapshotTable[[#This Row],[Equity Shares]]),TRUNC(SnapshotTable[[#This Row],[Equity Shares]] / 100),0) + SnapshotTable[[#This Row],[LC Qty]]</f>
        <v>0</v>
      </c>
      <c r="EK22" s="147"/>
      <c r="EL22" s="138" t="str">
        <f>IF(SnapshotTable[[#This Row],[SC Exp Date]]&lt;&gt;"",TRUNC(SnapshotTable[[#This Row],[Last Price]]),"")</f>
        <v/>
      </c>
      <c r="EM22" s="148"/>
      <c r="EN22" s="147"/>
      <c r="EO22" s="147"/>
      <c r="EP22" s="138"/>
      <c r="EQ22" s="419" t="b">
        <f>AND(ISNUMBER(SnapshotTable[[#This Row],[SC Exp Date]]), ISNUMBER(SnapshotTable[[#This Row],[SC Strike Price]]), ISNUMBER(SnapshotTable[[#This Row],[SC Qty]]), ISNUMBER(SnapshotTable[[#This Row],[SC Book Date]]), ISNUMBER(SnapshotTable[[#This Row],[SC Book Price]]))</f>
        <v>0</v>
      </c>
      <c r="ER22" s="419" t="b">
        <f>AND(SnapshotTable[[#This Row],[SC Is Booked]], NOT(ISBLANK(SnapshotTable[[#This Row],[SC Fill Date]])))</f>
        <v>0</v>
      </c>
      <c r="ES22" s="370"/>
      <c r="ET22" s="34" t="str">
        <f>IF(AND(ISNUMBER(SnapshotTable[[#This Row],[SC Exp Date]]), ISNUMBER(SnapshotTable[[#This Row],[SC Book Date]])), SnapshotTable[[#This Row],[SC Exp Date]] - MAX(SnapshotTable[[#This Row],[SC Book Date]], SnapshotTable[[#This Row],[SC Fill Date]]) + 1, "")</f>
        <v/>
      </c>
      <c r="EU22" s="34" t="str">
        <f>IF(ISNUMBER(SnapshotTable[[#This Row],[SC Term]]), SnapshotTable[[#This Row],[SC Exp Date]]- MockToday, "")</f>
        <v/>
      </c>
      <c r="EV22" s="31">
        <f>IF(SnapshotTable[[#This Row],[SC Is Booked]], SnapshotTable[[#This Row],[SC Qty]] * SnapshotTable[[#This Row],[SC Book Price]] * 100, 0)</f>
        <v>0</v>
      </c>
      <c r="EW22" s="4" t="str">
        <f>IF(AND(ISNUMBER(SnapshotTable[[#This Row],[Last Price]]), ISNUMBER( SnapshotTable[[#This Row],[SC Book Price]])), SnapshotTable[[#This Row],[Last Price]] - SnapshotTable[[#This Row],[SC Book Price]],"")</f>
        <v/>
      </c>
      <c r="EX22" s="234" t="str">
        <f>IF(SnapshotTable[[#This Row],[SC Is Booked]],IF(SnapshotTable[[#This Row],[SC Intrinsic Value]] &gt; 0, SnapshotTable[[#This Row],[SC Strike Price]], SnapshotTable[[#This Row],[Last Price]]), "")</f>
        <v/>
      </c>
      <c r="EY22" s="4">
        <f>IF(SnapshotTable[[#This Row],[SC Is Booked]], (MinimumPremiumRequired * SnapshotTable[[#This Row],[SC Basis]] * SnapshotTable[[#This Row],[SC Term]]), 0)</f>
        <v>0</v>
      </c>
      <c r="EZ22" s="283"/>
      <c r="FA22" s="218"/>
      <c r="FB22" s="370"/>
      <c r="FC22" s="4">
        <f>IF(SnapshotTable[[#This Row],[SC Is Filled]], btc_max_buyback_amount(SnapshotTable[[#This Row],[SC Fill Date]],SnapshotTable[[#This Row],[SC Exp Date]], SnapshotTable[[#This Row],[SC Book Price]]),0)</f>
        <v>0</v>
      </c>
      <c r="FD22" s="5"/>
      <c r="FE22" s="144" t="str">
        <f>IF(SnapshotTable[[#This Row],[SC Is Filled]], btc_next_cutoff_date(SnapshotTable[[#This Row],[SC Fill Date]],SnapshotTable[[#This Row],[SC Exp Date]]),"")</f>
        <v/>
      </c>
      <c r="FF22" s="4" t="str" cm="1">
        <f t="array" ref="FF22">IF(SnapshotTable[[#This Row],[SC Is Filled]], btc_should_buy_back(SnapshotTable[[#This Row],[SC Fill Date]], SnapshotTable[[#This Row],[SC Exp Date]], SnapshotTable[[#This Row],[SC Book Price]], SnapshotTable[[#This Row],[SC Current Ask]], MockToday, SnapshotTable[[#This Row],[SC Buyback Override]]),"")</f>
        <v/>
      </c>
      <c r="FG22" s="4">
        <f>IF(SnapshotTable[[#This Row],[SC Is Filled]], MAX(0,SnapshotTable[[#This Row],[Last Price]]  - SnapshotTable[[#This Row],[SC Strike Price]]), 0)</f>
        <v>0</v>
      </c>
      <c r="FH22" s="382">
        <f>IF(SnapshotTable[[#This Row],[SC Is Filled]], IF(ISNUMBER(SnapshotTable[[#This Row],[SC Current Ask]]), SnapshotTable[[#This Row],[SC Current Ask]], SnapshotTable[[#This Row],[SC Book Price]]) - SnapshotTable[[#This Row],[SC Intrinsic Value]], 0)</f>
        <v>0</v>
      </c>
      <c r="FI22" s="143">
        <v>45786</v>
      </c>
      <c r="FJ22" s="32" t="str">
        <f>IF(SnapshotTable[[#This Row],[SC Is Filled]],100 * SnapshotTable[[#This Row],[SC Qty]] * IF(ISNUMBER(SnapshotTable[[#This Row],[SC Buyback Override]]), SnapshotTable[[#This Row],[SC Buyback Override]], SnapshotTable[[#This Row],[SC Current Ask]]), "")</f>
        <v/>
      </c>
      <c r="FK22" s="250" t="str">
        <f>IF(SnapshotTable[[#This Row],[SC Time Val]]&gt;0, SnapshotTable[[#This Row],[SC Time Val]] / SnapshotTable[[#This Row],[Last Price]],"")</f>
        <v/>
      </c>
      <c r="FL22" s="302" t="str">
        <f>IF(SnapshotTable[[#This Row],[SC Is Booked]], ((SnapshotTable[[#This Row],[Last Price]] -SnapshotTable[[#This Row],[SC Strike Price]]) / SnapshotTable[[#This Row],[Last Price]]) * -1, "")</f>
        <v/>
      </c>
      <c r="FM22" s="157" t="str">
        <f>IF(SnapshotTable[[#This Row],[SC Is Booked]],  (SnapshotTable[[#This Row],[SC Qty]] * 100 * SnapshotTable[[#This Row],[SC Strike Price]]) - SnapshotTable[[#This Row],[SC Current Ask]], "")</f>
        <v/>
      </c>
      <c r="FN2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 s="31" t="str">
        <f>IF(AND(ISNUMBER(SnapshotTable[[#This Row],[SC Exercise Gross]]), ISNUMBER(SnapshotTable[[#This Row],[Equity Basis Per Share]] )), SnapshotTable[[#This Row],[SC Exercise Gross]] - SnapshotTable[[#This Row],[Equity Basis Total]] +  SnapshotTable[[#This Row],[SC Premium]], "")</f>
        <v/>
      </c>
      <c r="FP22" s="5" t="str">
        <f>IF(ISNUMBER(SnapshotTable[[#This Row],[SC Exercise Gross]]), (SnapshotTable[[#This Row],[SC Exercise Gross]]) / (SnapshotTable[[#This Row],[SC Qty]] * 100), "")</f>
        <v/>
      </c>
      <c r="FQ22" s="27" t="str">
        <f>IF(SnapshotTable[[#This Row],[SC Is Booked]],SnapshotTable[[#This Row],[SC Time Val]] /SnapshotTable[[#This Row],[SC Basis]], "")</f>
        <v/>
      </c>
      <c r="FR22" s="27" t="str" cm="1">
        <f t="array" ref="FR22">IF(AND(ISNUMBER(SnapshotTable[[#This Row],[SC Term]]),ISNUMBER(SnapshotTable[[#This Row],[SC Simple ROO]])), EllmanAnnualize(SnapshotTable[[#This Row],[SC DTE]], SnapshotTable[[#This Row],[SC Simple ROO]] ),"")</f>
        <v/>
      </c>
      <c r="FS22" s="4" t="e">
        <f>IF(SnapshotTable[[#This Row],[SC Strike Price]] &gt; SnapshotTable[[#This Row],[Last Price]], SnapshotTable[[#This Row],[SC Strike Price]] - SnapshotTable[[#This Row],[Last Price]],0)</f>
        <v>#VALUE!</v>
      </c>
      <c r="FT22" s="27" t="e">
        <f>IF(AND(ISNUMBER(SnapshotTable[[#This Row],[SC Upside Potential]]), SnapshotTable[[#This Row],[SC Upside Potential]] &gt; 0),(SnapshotTable[[#This Row],[SC Upside Potential]]/ SnapshotTable[[#This Row],[ACB]]),"")</f>
        <v>#VALUE!</v>
      </c>
      <c r="FU22" s="333" t="str">
        <f>IF(SnapshotTable[[#This Row],[SC Intrinsic Value]] &gt; 0,SnapshotTable[[#This Row],[SC Intrinsic Value]],"")</f>
        <v/>
      </c>
      <c r="FV22" s="27" t="str">
        <f>IF(AND( ISNUMBER( SnapshotTable[[#This Row],[ACB]]),ISNUMBER(SnapshotTable[[#This Row],[SC Downside Protect]])),SnapshotTable[[#This Row],[SC Downside Protect]] / SnapshotTable[[#This Row],[ACB]],"")</f>
        <v/>
      </c>
      <c r="FW22" s="236" t="str">
        <f>IF(AND(ISNUMBER(SnapshotTable[[#This Row],[SC Simple ROO]]),SnapshotTable[[#This Row],[SC Simple ROO]] &gt; 0), SnapshotTable[[#This Row],[SC Premium]] + (SnapshotTable[[#This Row],[SC Qty]] * SnapshotTable[[#This Row],[SC Upside Potential]]), "")</f>
        <v/>
      </c>
      <c r="FX22" s="302" t="str" cm="1">
        <f t="array" ref="FX22">IF(ISNUMBER(SnapshotTable[[#This Row],[SC Max Dollars]]), annualize(SnapshotTable[[#This Row],[SC Term]],(SnapshotTable[[#This Row],[SC Max Dollars]]/SnapshotTable[[#This Row],[SC Basis]])),"")</f>
        <v/>
      </c>
      <c r="FY22" s="236" t="str">
        <f>IF(AND(SnapshotTable[[#This Row],[SC Qty]]&gt;0,SnapshotTable[[#This Row],[SC Current Ask]]&gt;0), SnapshotTable[[#This Row],[SC Qty]] * SnapshotTable[[#This Row],[SC Current Ask]] * -100, "")</f>
        <v/>
      </c>
      <c r="FZ22" s="31" t="str">
        <f>IF(ISNUMBER((SnapshotTable[[#This Row],[SC Current Value]])), SnapshotTable[[#This Row],[SC Premium]] + SnapshotTable[[#This Row],[SC Current Value]], "")</f>
        <v/>
      </c>
      <c r="GA22" s="294" t="str">
        <f>IFERROR( IF(ISNUMBER((SnapshotTable[[#This Row],[SC Current Value]])), SnapshotTable[[#This Row],[SC Gain Loss]] / SnapshotTable[[#This Row],[SC Premium]], ""), "")</f>
        <v/>
      </c>
      <c r="GB22" s="42">
        <f>SnapshotTable[[#This Row],[Equity Shares]] * SaleSharesToConsiderPercentage</f>
        <v>0</v>
      </c>
      <c r="GC22" s="40">
        <f>SnapshotTable[[#This Row],[Long Term Target]] * SellingPriceToConsiderBasedOnTargetPercentage</f>
        <v>92.928999999999988</v>
      </c>
      <c r="GD22" s="40">
        <f>SnapshotTable[[#This Row],[Last Price]] * (1+ SellingPriceToConsiderBasedOnTargetPercentage)</f>
        <v>259.48649999999998</v>
      </c>
      <c r="GE22" s="41"/>
      <c r="GF22" s="40"/>
      <c r="GG22" s="31">
        <f>SnapshotTable[[#This Row],[Booked Sale Shares]] * SnapshotTable[[#This Row],[Booked Sale Price]]</f>
        <v>0</v>
      </c>
      <c r="GH22" s="31" t="str">
        <f>IF(SnapshotTable[[#This Row],[Equity Basis Total]] &gt; 0, SnapshotTable[[#This Row],[Equity Basis Per Share]] * SnapshotTable[[#This Row],[Booked Sale Shares]], "")</f>
        <v/>
      </c>
      <c r="GI22" s="31">
        <f>IF(SnapshotTable[[#This Row],[Sale Proceeds]]&gt;0, SnapshotTable[[#This Row],[Sale Proceeds]] - SnapshotTable[[#This Row],[Sale Basis]], 0)</f>
        <v>0</v>
      </c>
      <c r="GJ22" s="27" t="str">
        <f>IF(SnapshotTable[[#This Row],[Sale G/L]]&gt;0, SnapshotTable[[#This Row],[Sale G/L]] / SnapshotTable[[#This Row],[Sale Basis]], IF(ISNUMBER(SnapshotTable[[#This Row],[SC Exercise P&amp;L (TAX)]]), SnapshotTable[[#This Row],[SC Exercise P&amp;L (TAX)]] / SnapshotTable[[#This Row],[SC Basis]], ""))</f>
        <v/>
      </c>
      <c r="GK22" s="27" t="s">
        <v>626</v>
      </c>
      <c r="GL22" s="43" t="str">
        <f>IF(AND(SnapshotTable[[#This Row],[LP Exp Date]]&gt;0,SnapshotTable[[#This Row],[LP Strike Price]]&gt;0), [1]!ToOptionSymbol(SnapshotTable[[#This Row],[Symbol]], SnapshotTable[[#This Row],[LP Strike Price]],SnapshotTable[[#This Row],[LP Exp Date]],1), "")</f>
        <v/>
      </c>
      <c r="GM22" s="30" t="str">
        <f>IF(LEN(SnapshotTable[[#This Row],[LP Symbol]])&gt;0, 1, "")</f>
        <v/>
      </c>
      <c r="GN22" s="43" t="str">
        <f>IF(AND(SnapshotTable[[#This Row],[SP Exp Date]]&gt;0,SnapshotTable[[#This Row],[SP Strike Price]]&gt;0), [1]!ToOptionSymbol(SnapshotTable[[#This Row],[Symbol]], SnapshotTable[[#This Row],[SP Strike Price]],SnapshotTable[[#This Row],[SP Exp Date]],1), "")</f>
        <v/>
      </c>
      <c r="GO22" s="30" t="str">
        <f>IF(LEN(SnapshotTable[[#This Row],[SP Symbol]])&gt;0, 1, "")</f>
        <v/>
      </c>
      <c r="GP22" s="43" t="str">
        <f>IF(AND(SnapshotTable[[#This Row],[LC Exp Date]]&gt;0,SnapshotTable[[#This Row],[LC Strike Price]]&gt;0), [1]!ToOptionSymbol(SnapshotTable[[#This Row],[Symbol]], SnapshotTable[[#This Row],[LC Strike Price]],SnapshotTable[[#This Row],[LC Exp Date]],0), "")</f>
        <v/>
      </c>
      <c r="GQ22" s="30" t="str">
        <f>IF(LEN(SnapshotTable[[#This Row],[LC Symbol]])&gt;0, 1, "")</f>
        <v/>
      </c>
      <c r="GR22" s="43" t="str">
        <f>IF(AND(SnapshotTable[[#This Row],[SC Exp Date]]&gt;0,SnapshotTable[[#This Row],[SC Strike Price]]&gt;0), [1]!ToOptionSymbol(SnapshotTable[[#This Row],[Symbol]], SnapshotTable[[#This Row],[SC Strike Price]],SnapshotTable[[#This Row],[SC Exp Date]],0), "")</f>
        <v/>
      </c>
      <c r="GS22" s="30" t="str">
        <f>IF(LEN(SnapshotTable[[#This Row],[SC Symbol]])&gt;0, 1, "")</f>
        <v/>
      </c>
      <c r="GT22" s="29" t="str">
        <f>IF(COUNT(SnapshotTable[[#This Row],[LP Symbol Count]],SnapshotTable[[#This Row],[SP Symbol Count]],SnapshotTable[[#This Row],[LC Symbol Count]],SnapshotTable[[#This Row],[SC Symbol Count]])&gt;0, "Y", "")</f>
        <v/>
      </c>
      <c r="GU2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 s="231" t="e">
        <f>MAX(SnapshotTable[[#This Row],[Equity Basis Total]],SnapshotTable[[#This Row],[Equity Value]]) + (SnapshotTable[[#This Row],[SP Potential Spend]]- SnapshotTable[[#This Row],[SP Premium]] + SnapshotTable[[#This Row],[LP Premium]])+ (SnapshotTable[[#This Row],[LC Premium]] - SnapshotTable[[#This Row],[SC Premium]])</f>
        <v>#VALUE!</v>
      </c>
      <c r="GW22" s="139" t="e">
        <f>IF(AND(SnapshotTable[[#This Row],[Exposure]] &lt;&gt; 0),SnapshotTable[[#This Row],[Exposure]] / SnapshotTable[[#Totals],[Exposure]], "")</f>
        <v>#VALUE!</v>
      </c>
      <c r="HK22" s="1"/>
      <c r="HL22" s="1"/>
      <c r="HM22" s="1"/>
      <c r="HN22" s="1"/>
      <c r="HO22" s="1"/>
      <c r="HP22" s="1"/>
    </row>
    <row r="23" spans="2:224" ht="12.75" hidden="1" customHeight="1" x14ac:dyDescent="0.25">
      <c r="B23" s="12" t="s">
        <v>1186</v>
      </c>
      <c r="C23" s="422">
        <v>16.04</v>
      </c>
      <c r="D23" s="208" t="s">
        <v>578</v>
      </c>
      <c r="E23" s="39">
        <f>SnapshotTable[[#This Row],[Last Price]]*(1 -CrashDiscount)</f>
        <v>13.633999999999999</v>
      </c>
      <c r="F23" s="325" t="s">
        <v>1034</v>
      </c>
      <c r="G23" s="325" t="s">
        <v>1184</v>
      </c>
      <c r="H23" s="149"/>
      <c r="I23" s="194"/>
      <c r="J23" s="195"/>
      <c r="K23" s="196"/>
      <c r="L23" s="326"/>
      <c r="M23" s="140"/>
      <c r="N23" s="140"/>
      <c r="O23" s="140"/>
      <c r="P23" s="22"/>
      <c r="Q23" s="25"/>
      <c r="R23" s="4" t="str">
        <f>IF(SnapshotTable[[#This Row],[Equity Basis Total]] &gt; 0, SnapshotTable[[#This Row],[Equity Basis Total]] / SnapshotTable[[#This Row],[Equity Shares]], "")</f>
        <v/>
      </c>
      <c r="S23" s="269">
        <f>SnapshotTable[[#This Row],[Last Price]] * SnapshotTable[[#This Row],[Equity Shares]]</f>
        <v>0</v>
      </c>
      <c r="T23" s="269">
        <f>SnapshotTable[[#This Row],[Equity Value]] - SnapshotTable[[#This Row],[Equity Basis Total]]</f>
        <v>0</v>
      </c>
      <c r="U23" s="270" t="str">
        <f>IF(SnapshotTable[[#This Row],[Equity Basis Total]] &gt; 0, SnapshotTable[[#This Row],[Equity G/L]] / SnapshotTable[[#This Row],[Equity Basis Total]], "")</f>
        <v/>
      </c>
      <c r="V23" s="268"/>
      <c r="W23" s="268"/>
      <c r="X23" s="4" t="str">
        <f>IF(AND(ISNUMBER(SnapshotTable[[#This Row],[Equity Basis Per Share]]),ISNUMBER(SnapshotTable[[#This Row],[Equity Target]])),SnapshotTable[[#This Row],[Equity Target]]-SnapshotTable[[#This Row],[Equity Basis Per Share]],"")</f>
        <v/>
      </c>
      <c r="Y23" s="4" t="str">
        <f>IF(AND(ISNUMBER(SnapshotTable[[#This Row],[Equity Basis Per Share]]),ISNUMBER(SnapshotTable[[#This Row],[Equity Stop Loss]])),SnapshotTable[[#This Row],[Equity Stop Loss]]-SnapshotTable[[#This Row],[Equity Basis Per Share]],"")</f>
        <v/>
      </c>
      <c r="Z23" s="275" t="str">
        <f>IFERROR( TEXT(SnapshotTable[[#This Row],[Equity Max Gain Per Share]] /ABS( SnapshotTable[[#This Row],[Equity Max Loss Per Share]]),"0.0 " ) &amp; " : 1", "")</f>
        <v/>
      </c>
      <c r="AA23" s="31" t="str">
        <f>IF(ISNUMBER(SnapshotTable[[#This Row],[Equity Max Gain Per Share]]),SnapshotTable[[#This Row],[Equity Max Gain Per Share]] * SnapshotTable[[#This Row],[Equity Shares]],"")</f>
        <v/>
      </c>
      <c r="AB23" s="31" t="str">
        <f>IF(ISNUMBER(SnapshotTable[[#This Row],[Equity Max Loss Per Share]]),SnapshotTable[[#This Row],[Equity Max Loss Per Share]] * SnapshotTable[[#This Row],[Equity Shares]],"")</f>
        <v/>
      </c>
      <c r="AC23" s="150"/>
      <c r="AD23" s="151"/>
      <c r="AE23" s="31">
        <f>(SnapshotTable[[#This Row],[Annual Dividend Per Share]] / 4) * SnapshotTable[[#This Row],[Equity Shares]]</f>
        <v>0</v>
      </c>
      <c r="AF23" s="31">
        <f>SnapshotTable[[#This Row],[Quarterly Div $]] * 4</f>
        <v>0</v>
      </c>
      <c r="AG23" s="7">
        <f>IF(SnapshotTable[[#This Row],[Annual Dividend Per Share]]&gt;0, SnapshotTable[[#This Row],[Annual Dividend Per Share]]  / SnapshotTable[[#This Row],[Last Price]], 0)</f>
        <v>0</v>
      </c>
      <c r="AH23" s="151"/>
      <c r="AI23" s="5"/>
      <c r="AJ23" s="138">
        <v>21</v>
      </c>
      <c r="AK23" s="152" t="str">
        <f>IF(ISNUMBER( SnapshotTable[[#This Row],[EBF Target]]),(SnapshotTable[[#This Row],[EBF Target]] - SnapshotTable[[#This Row],[Last Price]]) / SnapshotTable[[#This Row],[Last Price]], "")</f>
        <v/>
      </c>
      <c r="AL23" s="152" t="str">
        <f>IF(AND(SnapshotTable[[#This Row],[Equity Basis Total]] &gt; 0,ISNUMBER( SnapshotTable[[#This Row],[Long Term Target]])), SnapshotTable[[#This Row],[From Basis $]] / SnapshotTable[[#This Row],[Equity Basis Total]], "")</f>
        <v/>
      </c>
      <c r="AM23" s="9">
        <f>IF( AND(SnapshotTable[[#This Row],[Equity Shares]] &gt;0,ISNUMBER( SnapshotTable[[#This Row],[Long Term Target]])),(SnapshotTable[[#This Row],[Equity Shares]] * SnapshotTable[[#This Row],[Long Term Target]]) - SnapshotTable[[#This Row],[Equity Basis Total]],0)</f>
        <v>0</v>
      </c>
      <c r="AN23" s="9">
        <f>IF( AND(SnapshotTable[[#This Row],[Equity Shares]] &gt;0,ISNUMBER( SnapshotTable[[#This Row],[Long Term Target]])),(SnapshotTable[[#This Row],[Equity Shares]]*SnapshotTable[[#This Row],[Long Term Target]]) - SnapshotTable[[#This Row],[Equity Value]],0)</f>
        <v>0</v>
      </c>
      <c r="AO23" s="152">
        <f>IF(AND(ISNUMBER( SnapshotTable[[#This Row],[Long Term Target]]), ISNUMBER(SnapshotTable[[#This Row],[Last Price]])),(SnapshotTable[[#This Row],[Long Term Target]] - SnapshotTable[[#This Row],[Last Price]]) / SnapshotTable[[#This Row],[Last Price]], "")</f>
        <v>0.30922693266832924</v>
      </c>
      <c r="AP23" s="5">
        <v>17</v>
      </c>
      <c r="AQ23" s="38" t="s">
        <v>89</v>
      </c>
      <c r="AR23" s="5">
        <v>13.3</v>
      </c>
      <c r="AS23" s="38" t="s">
        <v>32</v>
      </c>
      <c r="AT23" s="146" t="s">
        <v>1132</v>
      </c>
      <c r="AU23" s="187" t="str">
        <f>IF(OR(SnapshotTable[[#This Row],[LP No Fill]]="Y",SnapshotTable[[#This Row],[SP Is Filled]],SnapshotTable[[#This Row],[LC Not Filled]]="Y",SnapshotTable[[#This Row],[SC Is Filled]]),"Y","")</f>
        <v/>
      </c>
      <c r="AV23" s="219"/>
      <c r="AW23" s="225"/>
      <c r="AX23" s="220"/>
      <c r="AY23" s="219" t="str">
        <f>IF(SnapshotTable[[#This Row],[Implied Move]]&gt;0, SnapshotTable[[#This Row],[Last Price]]-SnapshotTable[[#This Row],[Implied Move]],"")</f>
        <v/>
      </c>
      <c r="AZ23" s="219" t="str">
        <f>IF(SnapshotTable[[#This Row],[Implied Move]]&gt;0, SnapshotTable[[#This Row],[Last Price]] + SnapshotTable[[#This Row],[Implied Move]],"")</f>
        <v/>
      </c>
      <c r="BA23" s="331">
        <v>12.69</v>
      </c>
      <c r="BB23" s="347"/>
      <c r="BC2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 s="351"/>
      <c r="BE23" s="5"/>
      <c r="BF23" s="14"/>
      <c r="BG23" s="13"/>
      <c r="BH23" s="13"/>
      <c r="BI23" s="5"/>
      <c r="BJ23" s="136">
        <f>IF(SnapshotTable[[#This Row],[LP Qty]] &gt; 0, SnapshotTable[[#This Row],[LP Qty]] * SnapshotTable[[#This Row],[LP Book Price]] * 100,0)</f>
        <v>0</v>
      </c>
      <c r="BK23" s="136">
        <f>IF(SnapshotTable[[#This Row],[LP Premium]] &gt; 0, SnapshotTable[[#This Row],[LP Qty]] * SnapshotTable[[#This Row],[LP Strike Price]] * 100,0)</f>
        <v>0</v>
      </c>
      <c r="BL23" s="154"/>
      <c r="BM23" s="385" t="str">
        <f>IF(SnapshotTable[[#This Row],[LP Premium]] &gt; 0,SnapshotTable[[#This Row],[LP Exp Date]]-MAX(SnapshotTable[[#This Row],[LP Book Date]], SnapshotTable[[#This Row],[LP Fill Date]]),"")</f>
        <v/>
      </c>
      <c r="BN23" s="385" t="str">
        <f>IF(ISNUMBER( SnapshotTable[[#This Row],[LP Term]]), SnapshotTable[[#This Row],[LP Exp Date]] - MockToday,"")</f>
        <v/>
      </c>
      <c r="BO23" s="163" t="str">
        <f>IF(AND(SnapshotTable[[#This Row],[LP Exp Date]]&gt;0, SnapshotTable[[#This Row],[LP Strike Price]]&gt;0,SnapshotTable[[#This Row],[LP Qty]]&gt;0,SnapshotTable[[#This Row],[LP Book Date]]&gt;0,SnapshotTable[[#This Row],[LP Book Price]]&gt;0,SnapshotTable[[#This Row],[LP Fill Date]]=0),"Y","")</f>
        <v/>
      </c>
      <c r="BP23" s="31" t="str">
        <f>IF(AND(SnapshotTable[[#This Row],[LP No Fill]]&lt;&gt;"Y",SnapshotTable[[#This Row],[LP Contract Value]]&gt;0, SnapshotTable[[#This Row],[LP Qty]]&gt;0), SnapshotTable[[#This Row],[LP Contract Value]]*SnapshotTable[[#This Row],[LP Qty]]*100,"")</f>
        <v/>
      </c>
      <c r="BQ23" s="13"/>
      <c r="BR23" s="5" t="str">
        <f>IF(SnapshotTable[[#This Row],[SP Exp Date]]&lt;&gt;"",TRUNC(SnapshotTable[[#This Row],[Last Price]]),"")</f>
        <v/>
      </c>
      <c r="BS23" s="36"/>
      <c r="BT23" s="147"/>
      <c r="BU23" s="13"/>
      <c r="BV23" s="5"/>
      <c r="BW23" s="419" t="b">
        <f>AND(ISNUMBER(SnapshotTable[[#This Row],[SP Exp Date]]), ISNUMBER(SnapshotTable[[#This Row],[SP Strike Price]]), ISNUMBER(SnapshotTable[[#This Row],[SP Qty]]), ISNUMBER(SnapshotTable[[#This Row],[SP Book Date]]), ISNUMBER(SnapshotTable[[#This Row],[SP Book Price]]))</f>
        <v>0</v>
      </c>
      <c r="BX23" s="419" t="b">
        <f>AND(SnapshotTable[[#This Row],[SP Is Booked]], NOT(ISBLANK(SnapshotTable[[#This Row],[SP Fill Date]])))</f>
        <v>0</v>
      </c>
      <c r="BY23" s="33">
        <f>IF(SnapshotTable[[#This Row],[SP Is Booked]], SnapshotTable[[#This Row],[SP Qty]] * SnapshotTable[[#This Row],[SP Book Price]] * 100, 0)</f>
        <v>0</v>
      </c>
      <c r="BZ23" s="369"/>
      <c r="CA23" s="368">
        <f>SnapshotTable[[#This Row],[LP Qty]]</f>
        <v>0</v>
      </c>
      <c r="CB23" s="4" t="str">
        <f>IF(SnapshotTable[[#This Row],[SP Is Booked]], SnapshotTable[[#This Row],[SP Strike Price]] - SnapshotTable[[#This Row],[SP Book Price]], "")</f>
        <v/>
      </c>
      <c r="CC23" s="19" t="str">
        <f>IF(SnapshotTable[[#This Row],[SP Is Booked]],SnapshotTable[[#This Row],[SP Exp Date]]-MAX(SnapshotTable[[#This Row],[SP Book Date]], SnapshotTable[[#This Row],[SP Fill Date]]),"")</f>
        <v/>
      </c>
      <c r="CD23" s="7" t="str">
        <f>IF(SnapshotTable[[#This Row],[SP Is Booked]], SnapshotTable[[#This Row],[SP Book Price]]/SnapshotTable[[#This Row],[SP Strike Price]], "")</f>
        <v/>
      </c>
      <c r="CE23" s="7" t="str">
        <f>IF(ISNUMBER(SnapshotTable[[#This Row],[SP ROO Term]]),SnapshotTable[[#This Row],[SP ROO Term]]*(365/SnapshotTable[[#This Row],[SP Term]]),"")</f>
        <v/>
      </c>
      <c r="CF23" s="236">
        <f>SnapshotTable[[#This Row],[LP Strike Price]] * SnapshotTable[[#This Row],[LP Qty]] * 100</f>
        <v>0</v>
      </c>
      <c r="CG23" s="31" t="e">
        <f>IF(ISNUMBER(SnapshotTable[[#This Row],[SP Premium]]), (SnapshotTable[[#This Row],[SP Qty]] * SnapshotTable[[#This Row],[SP Strike Price]]* 100) - SnapshotTable[[#This Row],[LP Protection]], 0)</f>
        <v>#VALUE!</v>
      </c>
      <c r="CH23" s="7" t="str">
        <f>IF(ISNUMBER(SnapshotTable[[#This Row],[SP Break Even]]),-1 * (SnapshotTable[[#This Row],[SP Break Even]] - SnapshotTable[[#This Row],[Last Price]]) / SnapshotTable[[#This Row],[Last Price]], "")</f>
        <v/>
      </c>
      <c r="CI23" s="31">
        <f>IF(AND(ISNUMBER((SnapshotTable[[#This Row],[SP Potential Spend]])), SnapshotTable[[#This Row],[SP Strike Price]] &gt; SnapshotTable[[#This Row],[Last Price]], SnapshotTable[[#This Row],[SP Is Filled]]), SnapshotTable[[#This Row],[SP Potential Spend]] -  SnapshotTable[[#This Row],[LP Max Value]], 0)</f>
        <v>0</v>
      </c>
      <c r="CJ23" s="244"/>
      <c r="CK23" s="31" t="str">
        <f>IF(ISNUMBER(SnapshotTable[[#This Row],[SP Potential Spend]]),IF(ISNUMBER(SnapshotTable[[#This Row],[SP POW]]), SnapshotTable[[#This Row],[SP POW]] * SnapshotTable[[#This Row],[SP Potential Spend]], SnapshotTable[[#This Row],[SP Potential Spend]]), "")</f>
        <v/>
      </c>
      <c r="CL23" s="164" t="e">
        <f>IF(NOT(SnapshotTable[[#This Row],[SP Is Filled]]),(SnapshotTable[[#This Row],[SP Qty]] * SnapshotTable[[#This Row],[SP Strike Price]] * 100) - SnapshotTable[[#This Row],[LP Max Value]],"")</f>
        <v>#VALUE!</v>
      </c>
      <c r="CM23" s="31" t="str">
        <f>IF(SnapshotTable[[#This Row],[SP Actual Spend]]&lt;&gt;0, ((SnapshotTable[[#This Row],[SP Strike Price]]-SnapshotTable[[#This Row],[Last Price]]) *(SnapshotTable[[#This Row],[SP Qty]]*100) - SnapshotTable[[#This Row],[SP Premium]]) * - 1, "")</f>
        <v/>
      </c>
      <c r="CN23" s="78"/>
      <c r="CO23" s="369"/>
      <c r="CP23" s="4" t="str">
        <f>IF(SnapshotTable[[#This Row],[SP Is Filled]], btc_max_buyback_amount(SnapshotTable[[#This Row],[SP Fill Date]],SnapshotTable[[#This Row],[SP Exp Date]], SnapshotTable[[#This Row],[SP Book Price]]),"")</f>
        <v/>
      </c>
      <c r="CQ23" s="78"/>
      <c r="CR2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 s="155" t="str">
        <f>IF(SnapshotTable[[#This Row],[SP Is Filled]], btc_next_cutoff_date(SnapshotTable[[#This Row],[SP Fill Date]],SnapshotTable[[#This Row],[SP Exp Date]]),"")</f>
        <v/>
      </c>
      <c r="CT23" s="235" t="str" cm="1">
        <f t="array" ref="CT23">IF(SnapshotTable[[#This Row],[SP Is Filled]], btc_should_buy_back(SnapshotTable[[#This Row],[SP Fill Date]], SnapshotTable[[#This Row],[SP Exp Date]], SnapshotTable[[#This Row],[SP Book Price]], SnapshotTable[[#This Row],[SP Current Ask]], MockToday, SnapshotTable[[#This Row],[SP Buyback Override]]),"")</f>
        <v/>
      </c>
      <c r="CU23" s="143"/>
      <c r="CV23" s="235"/>
      <c r="CW23" s="378" t="str">
        <f>IF(ISNUMBER( SnapshotTable[[#This Row],[SP Term]]), SnapshotTable[[#This Row],[SP Exp Date]] - MockToday,"")</f>
        <v/>
      </c>
      <c r="CX23" s="31" t="str">
        <f>IF(SnapshotTable[[#This Row],[SP Is Filled]],SnapshotTable[[#This Row],[SP Buyback Price to Use]] * 100 * SnapshotTable[[#This Row],[SP Qty]], "")</f>
        <v/>
      </c>
      <c r="CY23" s="4" t="str">
        <f>IF(ISNUMBER(SnapshotTable[[#This Row],[SP Strike Price]]), SnapshotTable[[#This Row],[SP Strike Price]] * (1 - SP_MaxLoss_StrikePct), "")</f>
        <v/>
      </c>
      <c r="CZ23" s="31" t="str">
        <f>IF(ISNUMBER(SnapshotTable[[#This Row],[SP Strike  Stop Per Share]]),SnapshotTable[[#This Row],[SP Premium]] - ((SnapshotTable[[#This Row],[SP Strike Price]]-SnapshotTable[[#This Row],[SP Strike  Stop Per Share]]) *(SnapshotTable[[#This Row],[SP Qty]] * 100)),"")</f>
        <v/>
      </c>
      <c r="DA23" s="4" t="str">
        <f>IF(AND(ISNUMBER(SnapshotTable[[#This Row],[SP Premium]]),SnapshotTable[[#This Row],[SP Premium]]&gt;0), SnapshotTable[[#This Row],[SP Book Price]] * (1 + SP_MaxLoss_OptionPct), "")</f>
        <v/>
      </c>
      <c r="DB23" s="31" t="str">
        <f>IF(ISNUMBER(SnapshotTable[[#This Row],[SP Option  Stop Contract]]),(SnapshotTable[[#This Row],[SP Option  Stop Contract]] *(SnapshotTable[[#This Row],[SP Qty]] * 100) - SnapshotTable[[#This Row],[SP Premium]]),"")</f>
        <v/>
      </c>
      <c r="DC23" s="4"/>
      <c r="DD23" s="4"/>
      <c r="DE23" s="4" t="str">
        <f>IF(AND(SnapshotTable[[#This Row],[SP Qty]]&gt;0, SnapshotTable[[#This Row],[SP Stop To Use]]&gt;0),SnapshotTable[[#This Row],[SP Premium]] - ( SnapshotTable[[#This Row],[SP Qty]] * SnapshotTable[[#This Row],[SP Stop To Use]] * 100), "")</f>
        <v/>
      </c>
      <c r="DF23" s="31" t="str">
        <f>IF(AND(SnapshotTable[[#This Row],[SP Qty]]&gt;0,SnapshotTable[[#This Row],[SP Current Ask]]&gt;0), SnapshotTable[[#This Row],[SP Qty]] * SnapshotTable[[#This Row],[SP Current Ask]] * -100, "")</f>
        <v/>
      </c>
      <c r="DG23" s="31" t="str">
        <f>IF(ISNUMBER((SnapshotTable[[#This Row],[SP Total Value]])), SnapshotTable[[#This Row],[SP Premium]] + SnapshotTable[[#This Row],[SP Total Value]], "")</f>
        <v/>
      </c>
      <c r="DH23" s="294" t="str">
        <f>IF(ISNUMBER((SnapshotTable[[#This Row],[SP Total Value]])), SnapshotTable[[#This Row],[SP Gain Loss]] / SnapshotTable[[#This Row],[SP Premium]], "")</f>
        <v/>
      </c>
      <c r="DI23" s="406"/>
      <c r="DJ23" s="138"/>
      <c r="DK23" s="148"/>
      <c r="DL23" s="147"/>
      <c r="DM23" s="147"/>
      <c r="DO23" s="31">
        <f>IF(SnapshotTable[[#This Row],[LC Symbol Count]]=1, SnapshotTable[[#This Row],[LC Qty]] * SnapshotTable[[#This Row],[LC Book Price]] * 100, 0)</f>
        <v>0</v>
      </c>
      <c r="DP23" s="163" t="str">
        <f>IF(AND(SnapshotTable[[#This Row],[LC Exp Date]]&gt;0, SnapshotTable[[#This Row],[LC Strike Price]]&gt;0,SnapshotTable[[#This Row],[LC Qty]]&gt;0,SnapshotTable[[#This Row],[LC Book Date]]&gt;0,SnapshotTable[[#This Row],[LC Book Price]]&gt;0,SnapshotTable[[#This Row],[LC Fill Date]]=0),"Y","")</f>
        <v/>
      </c>
      <c r="DQ23" s="386" t="str">
        <f>IF(SnapshotTable[[#This Row],[LC Premium]] &gt; 0,SnapshotTable[[#This Row],[LC Exp Date]]-MAX(SnapshotTable[[#This Row],[LC Book Date]], SnapshotTable[[#This Row],[LC Fill Date]]),"")</f>
        <v/>
      </c>
      <c r="DR23" s="386" t="str">
        <f>IF(ISNUMBER(SnapshotTable[[#This Row],[LC Term]]), SnapshotTable[[#This Row],[LC Exp Date]] - MockToday, "")</f>
        <v/>
      </c>
      <c r="DS23" s="234" t="str">
        <f>IF(SnapshotTable[[#This Row],[LC Premium]]&gt;0,SnapshotTable[[#This Row],[LC Strike Price]] + SnapshotTable[[#This Row],[LC Book Price]],"")</f>
        <v/>
      </c>
      <c r="DU23" s="9" t="str">
        <f>IF(AND(SnapshotTable[[#This Row],[LC Symbol Count]]&gt;0, SnapshotTable[[#This Row],[LC Contract Value]]&gt;0), SnapshotTable[[#This Row],[LC Contract Value]] * SnapshotTable[[#This Row],[LC Qty]] * 100, "")</f>
        <v/>
      </c>
      <c r="DV23" s="9" t="str">
        <f>IF(AND(ISNUMBER(SnapshotTable[[#This Row],[LC Total Value]]), SnapshotTable[[#This Row],[LC Not Filled]]&lt;&gt;"Y"), SnapshotTable[[#This Row],[LC Total Value]]-SnapshotTable[[#This Row],[LC Premium]],"")</f>
        <v/>
      </c>
      <c r="DW23" s="240" t="str">
        <f>IF(ISNUMBER(SnapshotTable[[#This Row],[LC Actual Gain Loss]]), SnapshotTable[[#This Row],[LC Actual Gain Loss]] / SnapshotTable[[#This Row],[LC Premium]],"")</f>
        <v/>
      </c>
      <c r="DX23" s="284" t="str">
        <f>IF(ISNUMBER(SnapshotTable[[#This Row],[LC Book Price]]),SnapshotTable[[#This Row],[LC Book Price]] * 1.5,"")</f>
        <v/>
      </c>
      <c r="DY23" s="265" t="str">
        <f>IF(SnapshotTable[[#This Row],[LC Premium]]&gt;0, SnapshotTable[[#This Row],[LC Next Target]] * SnapshotTable[[#This Row],[LC Qty]] * 100,"")</f>
        <v/>
      </c>
      <c r="DZ23" s="265" t="str">
        <f>IF(ISNUMBER(SnapshotTable[[#This Row],[LC Target Gross]]), SnapshotTable[[#This Row],[LC Target Gross]] - SnapshotTable[[#This Row],[LC Premium]], "")</f>
        <v/>
      </c>
      <c r="EA23" s="305" t="str">
        <f>IF(ISNUMBER(SnapshotTable[[#This Row],[LC Target Gain Loss]]), SnapshotTable[[#This Row],[LC Target Gain Loss]]/SnapshotTable[[#This Row],[LC Premium]], "")</f>
        <v/>
      </c>
      <c r="EB23" s="262"/>
      <c r="EC23" s="283" t="str">
        <f>IF(SnapshotTable[[#This Row],[LC Premium]]&gt;0, SnapshotTable[[#This Row],[LC Book Price]] * (1 - LC_StopLoss_Pct),"")</f>
        <v/>
      </c>
      <c r="ED23" s="284"/>
      <c r="EE23" s="283" t="str">
        <f>IF(ISNUMBER(SnapshotTable[[#This Row],[LC Contract Value]]),IF(ISNUMBER(SnapshotTable[[#This Row],[LC Stop Loss Override]]), SnapshotTable[[#This Row],[LC Stop Loss Override]],SnapshotTable[[#This Row],[LC Stop Loss Calc Target]]),"")</f>
        <v/>
      </c>
      <c r="EF23" s="31" t="str">
        <f>IF(ISNUMBER(SnapshotTable[[#This Row],[LC Stop  To Use]]), (SnapshotTable[[#This Row],[LC Stop  To Use]] * SnapshotTable[[#This Row],[LC Qty]] * 100),"")</f>
        <v/>
      </c>
      <c r="EG23" s="9" t="str">
        <f>IF(ISNUMBER(SnapshotTable[[#This Row],[LC Total Value]]),SnapshotTable[[#This Row],[LC Stop Loss Amount]] - SnapshotTable[[#This Row],[LC Premium]],"")</f>
        <v/>
      </c>
      <c r="EH23" s="9">
        <f>IF(ISNUMBER(SnapshotTable[[#This Row],[LC Premium]]), SnapshotTable[[#This Row],[LC Qty]] * 100 * SnapshotTable[[#This Row],[LC Strike Price]], "")</f>
        <v>0</v>
      </c>
      <c r="EI23" s="240" t="str">
        <f>IF(AND(ISNUMBER(SnapshotTable[[#This Row],[LC Total Value]]),SnapshotTable[[#This Row],[LC Total Value]]&gt;0),SnapshotTable[[#This Row],[LC Stop Gain Loss]]  / SnapshotTable[[#This Row],[LC Premium]],"")</f>
        <v/>
      </c>
      <c r="EJ23" s="35">
        <f>IF(ISNUMBER(SnapshotTable[[#This Row],[Equity Shares]]),TRUNC(SnapshotTable[[#This Row],[Equity Shares]] / 100),0) + SnapshotTable[[#This Row],[LC Qty]]</f>
        <v>0</v>
      </c>
      <c r="EK23" s="147"/>
      <c r="EL23" s="138" t="str">
        <f>IF(SnapshotTable[[#This Row],[SC Exp Date]]&lt;&gt;"",TRUNC(SnapshotTable[[#This Row],[Last Price]]),"")</f>
        <v/>
      </c>
      <c r="EM23" s="148"/>
      <c r="EN23" s="147"/>
      <c r="EO23" s="147"/>
      <c r="EP23" s="138"/>
      <c r="EQ23" s="419" t="b">
        <f>AND(ISNUMBER(SnapshotTable[[#This Row],[SC Exp Date]]), ISNUMBER(SnapshotTable[[#This Row],[SC Strike Price]]), ISNUMBER(SnapshotTable[[#This Row],[SC Qty]]), ISNUMBER(SnapshotTable[[#This Row],[SC Book Date]]), ISNUMBER(SnapshotTable[[#This Row],[SC Book Price]]))</f>
        <v>0</v>
      </c>
      <c r="ER23" s="419" t="b">
        <f>AND(SnapshotTable[[#This Row],[SC Is Booked]], NOT(ISBLANK(SnapshotTable[[#This Row],[SC Fill Date]])))</f>
        <v>0</v>
      </c>
      <c r="ES23" s="370"/>
      <c r="ET23" s="34" t="str">
        <f>IF(AND(ISNUMBER(SnapshotTable[[#This Row],[SC Exp Date]]), ISNUMBER(SnapshotTable[[#This Row],[SC Book Date]])), SnapshotTable[[#This Row],[SC Exp Date]] - MAX(SnapshotTable[[#This Row],[SC Book Date]], SnapshotTable[[#This Row],[SC Fill Date]]) + 1, "")</f>
        <v/>
      </c>
      <c r="EU23" s="34" t="str">
        <f>IF(ISNUMBER(SnapshotTable[[#This Row],[SC Term]]), SnapshotTable[[#This Row],[SC Exp Date]]- MockToday, "")</f>
        <v/>
      </c>
      <c r="EV23" s="31">
        <f>IF(SnapshotTable[[#This Row],[SC Is Booked]], SnapshotTable[[#This Row],[SC Qty]] * SnapshotTable[[#This Row],[SC Book Price]] * 100, 0)</f>
        <v>0</v>
      </c>
      <c r="EW23" s="4" t="str">
        <f>IF(AND(ISNUMBER(SnapshotTable[[#This Row],[Last Price]]), ISNUMBER( SnapshotTable[[#This Row],[SC Book Price]])), SnapshotTable[[#This Row],[Last Price]] - SnapshotTable[[#This Row],[SC Book Price]],"")</f>
        <v/>
      </c>
      <c r="EX23" s="234" t="str">
        <f>IF(SnapshotTable[[#This Row],[SC Is Booked]],IF(SnapshotTable[[#This Row],[SC Intrinsic Value]] &gt; 0, SnapshotTable[[#This Row],[SC Strike Price]], SnapshotTable[[#This Row],[Last Price]]), "")</f>
        <v/>
      </c>
      <c r="EY23" s="4">
        <f>IF(SnapshotTable[[#This Row],[SC Is Booked]], (MinimumPremiumRequired * SnapshotTable[[#This Row],[SC Basis]] * SnapshotTable[[#This Row],[SC Term]]), 0)</f>
        <v>0</v>
      </c>
      <c r="EZ23" s="283"/>
      <c r="FA23" s="218"/>
      <c r="FB23" s="370"/>
      <c r="FC23" s="4">
        <f>IF(SnapshotTable[[#This Row],[SC Is Filled]], btc_max_buyback_amount(SnapshotTable[[#This Row],[SC Fill Date]],SnapshotTable[[#This Row],[SC Exp Date]], SnapshotTable[[#This Row],[SC Book Price]]),0)</f>
        <v>0</v>
      </c>
      <c r="FD23" s="5"/>
      <c r="FE23" s="144" t="str">
        <f>IF(SnapshotTable[[#This Row],[SC Is Filled]], btc_next_cutoff_date(SnapshotTable[[#This Row],[SC Fill Date]],SnapshotTable[[#This Row],[SC Exp Date]]),"")</f>
        <v/>
      </c>
      <c r="FF23" s="4" t="str" cm="1">
        <f t="array" ref="FF23">IF(SnapshotTable[[#This Row],[SC Is Filled]], btc_should_buy_back(SnapshotTable[[#This Row],[SC Fill Date]], SnapshotTable[[#This Row],[SC Exp Date]], SnapshotTable[[#This Row],[SC Book Price]], SnapshotTable[[#This Row],[SC Current Ask]], MockToday, SnapshotTable[[#This Row],[SC Buyback Override]]),"")</f>
        <v/>
      </c>
      <c r="FG23" s="4">
        <f>IF(SnapshotTable[[#This Row],[SC Is Filled]], MAX(0,SnapshotTable[[#This Row],[Last Price]]  - SnapshotTable[[#This Row],[SC Strike Price]]), 0)</f>
        <v>0</v>
      </c>
      <c r="FH23" s="382">
        <f>IF(SnapshotTable[[#This Row],[SC Is Filled]], IF(ISNUMBER(SnapshotTable[[#This Row],[SC Current Ask]]), SnapshotTable[[#This Row],[SC Current Ask]], SnapshotTable[[#This Row],[SC Book Price]]) - SnapshotTable[[#This Row],[SC Intrinsic Value]], 0)</f>
        <v>0</v>
      </c>
      <c r="FI23" s="143"/>
      <c r="FJ23" s="32" t="str">
        <f>IF(SnapshotTable[[#This Row],[SC Is Filled]],100 * SnapshotTable[[#This Row],[SC Qty]] * IF(ISNUMBER(SnapshotTable[[#This Row],[SC Buyback Override]]), SnapshotTable[[#This Row],[SC Buyback Override]], SnapshotTable[[#This Row],[SC Current Ask]]), "")</f>
        <v/>
      </c>
      <c r="FK23" s="250" t="str">
        <f>IF(SnapshotTable[[#This Row],[SC Time Val]]&gt;0, SnapshotTable[[#This Row],[SC Time Val]] / SnapshotTable[[#This Row],[Last Price]],"")</f>
        <v/>
      </c>
      <c r="FL23" s="302" t="str">
        <f>IF(SnapshotTable[[#This Row],[SC Is Booked]], ((SnapshotTable[[#This Row],[Last Price]] -SnapshotTable[[#This Row],[SC Strike Price]]) / SnapshotTable[[#This Row],[Last Price]]) * -1, "")</f>
        <v/>
      </c>
      <c r="FM23" s="157" t="str">
        <f>IF(SnapshotTable[[#This Row],[SC Is Booked]],  (SnapshotTable[[#This Row],[SC Qty]] * 100 * SnapshotTable[[#This Row],[SC Strike Price]]) - SnapshotTable[[#This Row],[SC Current Ask]], "")</f>
        <v/>
      </c>
      <c r="FN2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 s="31" t="str">
        <f>IF(AND(ISNUMBER(SnapshotTable[[#This Row],[SC Exercise Gross]]), ISNUMBER(SnapshotTable[[#This Row],[Equity Basis Per Share]] )), SnapshotTable[[#This Row],[SC Exercise Gross]] - SnapshotTable[[#This Row],[Equity Basis Total]] +  SnapshotTable[[#This Row],[SC Premium]], "")</f>
        <v/>
      </c>
      <c r="FP23" s="5" t="str">
        <f>IF(ISNUMBER(SnapshotTable[[#This Row],[SC Exercise Gross]]), (SnapshotTable[[#This Row],[SC Exercise Gross]]) / (SnapshotTable[[#This Row],[SC Qty]] * 100), "")</f>
        <v/>
      </c>
      <c r="FQ23" s="27" t="str">
        <f>IF(SnapshotTable[[#This Row],[SC Is Booked]],SnapshotTable[[#This Row],[SC Time Val]] /SnapshotTable[[#This Row],[SC Basis]], "")</f>
        <v/>
      </c>
      <c r="FR23" s="27" t="str" cm="1">
        <f t="array" ref="FR23">IF(AND(ISNUMBER(SnapshotTable[[#This Row],[SC Term]]),ISNUMBER(SnapshotTable[[#This Row],[SC Simple ROO]])), EllmanAnnualize(SnapshotTable[[#This Row],[SC DTE]], SnapshotTable[[#This Row],[SC Simple ROO]] ),"")</f>
        <v/>
      </c>
      <c r="FS23" s="4" t="e">
        <f>IF(SnapshotTable[[#This Row],[SC Strike Price]] &gt; SnapshotTable[[#This Row],[Last Price]], SnapshotTable[[#This Row],[SC Strike Price]] - SnapshotTable[[#This Row],[Last Price]],0)</f>
        <v>#VALUE!</v>
      </c>
      <c r="FT23" s="27" t="e">
        <f>IF(AND(ISNUMBER(SnapshotTable[[#This Row],[SC Upside Potential]]), SnapshotTable[[#This Row],[SC Upside Potential]] &gt; 0),(SnapshotTable[[#This Row],[SC Upside Potential]]/ SnapshotTable[[#This Row],[ACB]]),"")</f>
        <v>#VALUE!</v>
      </c>
      <c r="FU23" s="333" t="str">
        <f>IF(SnapshotTable[[#This Row],[SC Intrinsic Value]] &gt; 0,SnapshotTable[[#This Row],[SC Intrinsic Value]],"")</f>
        <v/>
      </c>
      <c r="FV23" s="27" t="str">
        <f>IF(AND( ISNUMBER( SnapshotTable[[#This Row],[ACB]]),ISNUMBER(SnapshotTable[[#This Row],[SC Downside Protect]])),SnapshotTable[[#This Row],[SC Downside Protect]] / SnapshotTable[[#This Row],[ACB]],"")</f>
        <v/>
      </c>
      <c r="FW23" s="236" t="str">
        <f>IF(AND(ISNUMBER(SnapshotTable[[#This Row],[SC Simple ROO]]),SnapshotTable[[#This Row],[SC Simple ROO]] &gt; 0), SnapshotTable[[#This Row],[SC Premium]] + (SnapshotTable[[#This Row],[SC Qty]] * SnapshotTable[[#This Row],[SC Upside Potential]]), "")</f>
        <v/>
      </c>
      <c r="FX23" s="302" t="str" cm="1">
        <f t="array" ref="FX23">IF(ISNUMBER(SnapshotTable[[#This Row],[SC Max Dollars]]), annualize(SnapshotTable[[#This Row],[SC Term]],(SnapshotTable[[#This Row],[SC Max Dollars]]/SnapshotTable[[#This Row],[SC Basis]])),"")</f>
        <v/>
      </c>
      <c r="FY23" s="236" t="str">
        <f>IF(AND(SnapshotTable[[#This Row],[SC Qty]]&gt;0,SnapshotTable[[#This Row],[SC Current Ask]]&gt;0), SnapshotTable[[#This Row],[SC Qty]] * SnapshotTable[[#This Row],[SC Current Ask]] * -100, "")</f>
        <v/>
      </c>
      <c r="FZ23" s="31" t="str">
        <f>IF(ISNUMBER((SnapshotTable[[#This Row],[SC Current Value]])), SnapshotTable[[#This Row],[SC Premium]] + SnapshotTable[[#This Row],[SC Current Value]], "")</f>
        <v/>
      </c>
      <c r="GA23" s="294" t="str">
        <f>IFERROR( IF(ISNUMBER((SnapshotTable[[#This Row],[SC Current Value]])), SnapshotTable[[#This Row],[SC Gain Loss]] / SnapshotTable[[#This Row],[SC Premium]], ""), "")</f>
        <v/>
      </c>
      <c r="GB23" s="42">
        <f>SnapshotTable[[#This Row],[Equity Shares]] * SaleSharesToConsiderPercentage</f>
        <v>0</v>
      </c>
      <c r="GC23" s="40">
        <f>SnapshotTable[[#This Row],[Long Term Target]] * SellingPriceToConsiderBasedOnTargetPercentage</f>
        <v>19.95</v>
      </c>
      <c r="GD23" s="40">
        <f>SnapshotTable[[#This Row],[Last Price]] * (1+ SellingPriceToConsiderBasedOnTargetPercentage)</f>
        <v>31.277999999999999</v>
      </c>
      <c r="GE23" s="41"/>
      <c r="GF23" s="40"/>
      <c r="GG23" s="31">
        <f>SnapshotTable[[#This Row],[Booked Sale Shares]] * SnapshotTable[[#This Row],[Booked Sale Price]]</f>
        <v>0</v>
      </c>
      <c r="GH23" s="31" t="str">
        <f>IF(SnapshotTable[[#This Row],[Equity Basis Total]] &gt; 0, SnapshotTable[[#This Row],[Equity Basis Per Share]] * SnapshotTable[[#This Row],[Booked Sale Shares]], "")</f>
        <v/>
      </c>
      <c r="GI23" s="31">
        <f>IF(SnapshotTable[[#This Row],[Sale Proceeds]]&gt;0, SnapshotTable[[#This Row],[Sale Proceeds]] - SnapshotTable[[#This Row],[Sale Basis]], 0)</f>
        <v>0</v>
      </c>
      <c r="GJ23" s="27" t="str">
        <f>IF(SnapshotTable[[#This Row],[Sale G/L]]&gt;0, SnapshotTable[[#This Row],[Sale G/L]] / SnapshotTable[[#This Row],[Sale Basis]], IF(ISNUMBER(SnapshotTable[[#This Row],[SC Exercise P&amp;L (TAX)]]), SnapshotTable[[#This Row],[SC Exercise P&amp;L (TAX)]] / SnapshotTable[[#This Row],[SC Basis]], ""))</f>
        <v/>
      </c>
      <c r="GK23" s="27"/>
      <c r="GL23" s="43" t="str">
        <f>IF(AND(SnapshotTable[[#This Row],[LP Exp Date]]&gt;0,SnapshotTable[[#This Row],[LP Strike Price]]&gt;0), [1]!ToOptionSymbol(SnapshotTable[[#This Row],[Symbol]], SnapshotTable[[#This Row],[LP Strike Price]],SnapshotTable[[#This Row],[LP Exp Date]],1), "")</f>
        <v/>
      </c>
      <c r="GM23" s="30" t="str">
        <f>IF(LEN(SnapshotTable[[#This Row],[LP Symbol]])&gt;0, 1, "")</f>
        <v/>
      </c>
      <c r="GN23" s="43" t="str">
        <f>IF(AND(SnapshotTable[[#This Row],[SP Exp Date]]&gt;0,SnapshotTable[[#This Row],[SP Strike Price]]&gt;0), [1]!ToOptionSymbol(SnapshotTable[[#This Row],[Symbol]], SnapshotTable[[#This Row],[SP Strike Price]],SnapshotTable[[#This Row],[SP Exp Date]],1), "")</f>
        <v/>
      </c>
      <c r="GO23" s="30" t="str">
        <f>IF(LEN(SnapshotTable[[#This Row],[SP Symbol]])&gt;0, 1, "")</f>
        <v/>
      </c>
      <c r="GP23" s="43" t="str">
        <f>IF(AND(SnapshotTable[[#This Row],[LC Exp Date]]&gt;0,SnapshotTable[[#This Row],[LC Strike Price]]&gt;0), [1]!ToOptionSymbol(SnapshotTable[[#This Row],[Symbol]], SnapshotTable[[#This Row],[LC Strike Price]],SnapshotTable[[#This Row],[LC Exp Date]],0), "")</f>
        <v/>
      </c>
      <c r="GQ23" s="30" t="str">
        <f>IF(LEN(SnapshotTable[[#This Row],[LC Symbol]])&gt;0, 1, "")</f>
        <v/>
      </c>
      <c r="GR23" s="43" t="str">
        <f>IF(AND(SnapshotTable[[#This Row],[SC Exp Date]]&gt;0,SnapshotTable[[#This Row],[SC Strike Price]]&gt;0), [1]!ToOptionSymbol(SnapshotTable[[#This Row],[Symbol]], SnapshotTable[[#This Row],[SC Strike Price]],SnapshotTable[[#This Row],[SC Exp Date]],0), "")</f>
        <v/>
      </c>
      <c r="GS23" s="30" t="str">
        <f>IF(LEN(SnapshotTable[[#This Row],[SC Symbol]])&gt;0, 1, "")</f>
        <v/>
      </c>
      <c r="GT23" s="29" t="str">
        <f>IF(COUNT(SnapshotTable[[#This Row],[LP Symbol Count]],SnapshotTable[[#This Row],[SP Symbol Count]],SnapshotTable[[#This Row],[LC Symbol Count]],SnapshotTable[[#This Row],[SC Symbol Count]])&gt;0, "Y", "")</f>
        <v/>
      </c>
      <c r="GU2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 s="231" t="e">
        <f>MAX(SnapshotTable[[#This Row],[Equity Basis Total]],SnapshotTable[[#This Row],[Equity Value]]) + (SnapshotTable[[#This Row],[SP Potential Spend]]- SnapshotTable[[#This Row],[SP Premium]] + SnapshotTable[[#This Row],[LP Premium]])+ (SnapshotTable[[#This Row],[LC Premium]] - SnapshotTable[[#This Row],[SC Premium]])</f>
        <v>#VALUE!</v>
      </c>
      <c r="GW23" s="139" t="e">
        <f>IF(AND(SnapshotTable[[#This Row],[Exposure]] &lt;&gt; 0),SnapshotTable[[#This Row],[Exposure]] / SnapshotTable[[#Totals],[Exposure]], "")</f>
        <v>#VALUE!</v>
      </c>
      <c r="HK23" s="1"/>
      <c r="HL23" s="1"/>
      <c r="HM23" s="1"/>
      <c r="HN23" s="1"/>
      <c r="HO23" s="1"/>
      <c r="HP23" s="1"/>
    </row>
    <row r="24" spans="2:224" ht="12.75" hidden="1" customHeight="1" x14ac:dyDescent="0.25">
      <c r="B24" s="12" t="s">
        <v>1007</v>
      </c>
      <c r="C24" s="422">
        <v>73.92</v>
      </c>
      <c r="D24" s="208" t="s">
        <v>578</v>
      </c>
      <c r="E24" s="39">
        <f>SnapshotTable[[#This Row],[Last Price]]*(1 -CrashDiscount)</f>
        <v>62.832000000000001</v>
      </c>
      <c r="F24" s="26" t="s">
        <v>840</v>
      </c>
      <c r="G24" s="26" t="s">
        <v>9</v>
      </c>
      <c r="H24" s="149"/>
      <c r="I24" s="194">
        <v>44784.670138888891</v>
      </c>
      <c r="J24" s="195">
        <v>44784.670138888891</v>
      </c>
      <c r="K24" s="196"/>
      <c r="L24" s="326"/>
      <c r="M24" s="140"/>
      <c r="N24" s="140"/>
      <c r="O24" s="140"/>
      <c r="P24" s="22"/>
      <c r="Q24" s="25"/>
      <c r="R24" s="4" t="str">
        <f>IF(SnapshotTable[[#This Row],[Equity Basis Total]] &gt; 0, SnapshotTable[[#This Row],[Equity Basis Total]] / SnapshotTable[[#This Row],[Equity Shares]], "")</f>
        <v/>
      </c>
      <c r="S24" s="269">
        <f>SnapshotTable[[#This Row],[Last Price]] * SnapshotTable[[#This Row],[Equity Shares]]</f>
        <v>0</v>
      </c>
      <c r="T24" s="269">
        <f>SnapshotTable[[#This Row],[Equity Value]] - SnapshotTable[[#This Row],[Equity Basis Total]]</f>
        <v>0</v>
      </c>
      <c r="U24" s="270" t="str">
        <f>IF(SnapshotTable[[#This Row],[Equity Basis Total]] &gt; 0, SnapshotTable[[#This Row],[Equity G/L]] / SnapshotTable[[#This Row],[Equity Basis Total]], "")</f>
        <v/>
      </c>
      <c r="V24" s="268"/>
      <c r="W24" s="268"/>
      <c r="X24" s="4" t="str">
        <f>IF(AND(ISNUMBER(SnapshotTable[[#This Row],[Equity Basis Per Share]]),ISNUMBER(SnapshotTable[[#This Row],[Equity Target]])),SnapshotTable[[#This Row],[Equity Target]]-SnapshotTable[[#This Row],[Equity Basis Per Share]],"")</f>
        <v/>
      </c>
      <c r="Y24" s="4" t="str">
        <f>IF(AND(ISNUMBER(SnapshotTable[[#This Row],[Equity Basis Per Share]]),ISNUMBER(SnapshotTable[[#This Row],[Equity Stop Loss]])),SnapshotTable[[#This Row],[Equity Stop Loss]]-SnapshotTable[[#This Row],[Equity Basis Per Share]],"")</f>
        <v/>
      </c>
      <c r="Z24" s="275" t="str">
        <f>IFERROR( TEXT(SnapshotTable[[#This Row],[Equity Max Gain Per Share]] /ABS( SnapshotTable[[#This Row],[Equity Max Loss Per Share]]),"0.0 " ) &amp; " : 1", "")</f>
        <v/>
      </c>
      <c r="AA24" s="31" t="str">
        <f>IF(ISNUMBER(SnapshotTable[[#This Row],[Equity Max Gain Per Share]]),SnapshotTable[[#This Row],[Equity Max Gain Per Share]] * SnapshotTable[[#This Row],[Equity Shares]],"")</f>
        <v/>
      </c>
      <c r="AB24" s="31" t="str">
        <f>IF(ISNUMBER(SnapshotTable[[#This Row],[Equity Max Loss Per Share]]),SnapshotTable[[#This Row],[Equity Max Loss Per Share]] * SnapshotTable[[#This Row],[Equity Shares]],"")</f>
        <v/>
      </c>
      <c r="AC24" s="150"/>
      <c r="AD24" s="151"/>
      <c r="AE24" s="31">
        <f>(SnapshotTable[[#This Row],[Annual Dividend Per Share]] / 4) * SnapshotTable[[#This Row],[Equity Shares]]</f>
        <v>0</v>
      </c>
      <c r="AF24" s="31">
        <f>SnapshotTable[[#This Row],[Quarterly Div $]] * 4</f>
        <v>0</v>
      </c>
      <c r="AG24" s="7">
        <f>IF(SnapshotTable[[#This Row],[Annual Dividend Per Share]]&gt;0, SnapshotTable[[#This Row],[Annual Dividend Per Share]]  / SnapshotTable[[#This Row],[Last Price]], 0)</f>
        <v>0</v>
      </c>
      <c r="AH24" s="151"/>
      <c r="AI24" s="5"/>
      <c r="AJ24" s="138">
        <v>14.54</v>
      </c>
      <c r="AK24" s="152" t="str">
        <f>IF(ISNUMBER( SnapshotTable[[#This Row],[EBF Target]]),(SnapshotTable[[#This Row],[EBF Target]] - SnapshotTable[[#This Row],[Last Price]]) / SnapshotTable[[#This Row],[Last Price]], "")</f>
        <v/>
      </c>
      <c r="AL24" s="152" t="str">
        <f>IF(AND(SnapshotTable[[#This Row],[Equity Basis Total]] &gt; 0,ISNUMBER( SnapshotTable[[#This Row],[Long Term Target]])), SnapshotTable[[#This Row],[From Basis $]] / SnapshotTable[[#This Row],[Equity Basis Total]], "")</f>
        <v/>
      </c>
      <c r="AM24" s="9">
        <f>IF( AND(SnapshotTable[[#This Row],[Equity Shares]] &gt;0,ISNUMBER( SnapshotTable[[#This Row],[Long Term Target]])),(SnapshotTable[[#This Row],[Equity Shares]] * SnapshotTable[[#This Row],[Long Term Target]]) - SnapshotTable[[#This Row],[Equity Basis Total]],0)</f>
        <v>0</v>
      </c>
      <c r="AN24" s="9">
        <f>IF( AND(SnapshotTable[[#This Row],[Equity Shares]] &gt;0,ISNUMBER( SnapshotTable[[#This Row],[Long Term Target]])),(SnapshotTable[[#This Row],[Equity Shares]]*SnapshotTable[[#This Row],[Long Term Target]]) - SnapshotTable[[#This Row],[Equity Value]],0)</f>
        <v>0</v>
      </c>
      <c r="AO24" s="152">
        <f>IF(AND(ISNUMBER( SnapshotTable[[#This Row],[Long Term Target]]), ISNUMBER(SnapshotTable[[#This Row],[Last Price]])),(SnapshotTable[[#This Row],[Long Term Target]] - SnapshotTable[[#This Row],[Last Price]]) / SnapshotTable[[#This Row],[Last Price]], "")</f>
        <v>-0.80330086580086579</v>
      </c>
      <c r="AP24" s="5">
        <v>110</v>
      </c>
      <c r="AQ24" s="38" t="s">
        <v>46</v>
      </c>
      <c r="AR24" s="5">
        <v>100</v>
      </c>
      <c r="AS24" s="38" t="s">
        <v>110</v>
      </c>
      <c r="AT24" s="146" t="s">
        <v>532</v>
      </c>
      <c r="AU24" s="187" t="str">
        <f>IF(OR(SnapshotTable[[#This Row],[LP No Fill]]="Y",SnapshotTable[[#This Row],[SP Is Filled]],SnapshotTable[[#This Row],[LC Not Filled]]="Y",SnapshotTable[[#This Row],[SC Is Filled]]),"Y","")</f>
        <v/>
      </c>
      <c r="AV24" s="219"/>
      <c r="AW24" s="225"/>
      <c r="AX24" s="220"/>
      <c r="AY24" s="219" t="str">
        <f>IF(SnapshotTable[[#This Row],[Implied Move]]&gt;0, SnapshotTable[[#This Row],[Last Price]]-SnapshotTable[[#This Row],[Implied Move]],"")</f>
        <v/>
      </c>
      <c r="AZ24" s="219" t="str">
        <f>IF(SnapshotTable[[#This Row],[Implied Move]]&gt;0, SnapshotTable[[#This Row],[Last Price]] + SnapshotTable[[#This Row],[Implied Move]],"")</f>
        <v/>
      </c>
      <c r="BA24" s="331">
        <v>1.7</v>
      </c>
      <c r="BB24" s="347"/>
      <c r="BC2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 s="351"/>
      <c r="BE24" s="138"/>
      <c r="BF24" s="166"/>
      <c r="BG24" s="167"/>
      <c r="BH24" s="167"/>
      <c r="BI24" s="221"/>
      <c r="BJ24" s="153">
        <f>IF(SnapshotTable[[#This Row],[LP Qty]] &gt; 0, SnapshotTable[[#This Row],[LP Qty]] * SnapshotTable[[#This Row],[LP Book Price]] * 100,0)</f>
        <v>0</v>
      </c>
      <c r="BK24" s="136">
        <f>IF(SnapshotTable[[#This Row],[LP Premium]] &gt; 0, SnapshotTable[[#This Row],[LP Qty]] * SnapshotTable[[#This Row],[LP Strike Price]] * 100,0)</f>
        <v>0</v>
      </c>
      <c r="BL24" s="154"/>
      <c r="BM24" s="385" t="str">
        <f>IF(SnapshotTable[[#This Row],[LP Premium]] &gt; 0,SnapshotTable[[#This Row],[LP Exp Date]]-MAX(SnapshotTable[[#This Row],[LP Book Date]], SnapshotTable[[#This Row],[LP Fill Date]]),"")</f>
        <v/>
      </c>
      <c r="BN24" s="385" t="str">
        <f>IF(ISNUMBER( SnapshotTable[[#This Row],[LP Term]]), SnapshotTable[[#This Row],[LP Exp Date]] - MockToday,"")</f>
        <v/>
      </c>
      <c r="BO24" s="163" t="str">
        <f>IF(AND(SnapshotTable[[#This Row],[LP Exp Date]]&gt;0, SnapshotTable[[#This Row],[LP Strike Price]]&gt;0,SnapshotTable[[#This Row],[LP Qty]]&gt;0,SnapshotTable[[#This Row],[LP Book Date]]&gt;0,SnapshotTable[[#This Row],[LP Book Price]]&gt;0,SnapshotTable[[#This Row],[LP Fill Date]]=0),"Y","")</f>
        <v/>
      </c>
      <c r="BP24" s="31" t="str">
        <f>IF(AND(SnapshotTable[[#This Row],[LP No Fill]]&lt;&gt;"Y",SnapshotTable[[#This Row],[LP Contract Value]]&gt;0, SnapshotTable[[#This Row],[LP Qty]]&gt;0), SnapshotTable[[#This Row],[LP Contract Value]]*SnapshotTable[[#This Row],[LP Qty]]*100,"")</f>
        <v/>
      </c>
      <c r="BQ24" s="13"/>
      <c r="BR24" s="5" t="str">
        <f>IF(SnapshotTable[[#This Row],[SP Exp Date]]&lt;&gt;"",TRUNC(SnapshotTable[[#This Row],[Last Price]]),"")</f>
        <v/>
      </c>
      <c r="BS24" s="36"/>
      <c r="BT24" s="147"/>
      <c r="BU24" s="13"/>
      <c r="BV24" s="5"/>
      <c r="BW24" s="419" t="b">
        <f>AND(ISNUMBER(SnapshotTable[[#This Row],[SP Exp Date]]), ISNUMBER(SnapshotTable[[#This Row],[SP Strike Price]]), ISNUMBER(SnapshotTable[[#This Row],[SP Qty]]), ISNUMBER(SnapshotTable[[#This Row],[SP Book Date]]), ISNUMBER(SnapshotTable[[#This Row],[SP Book Price]]))</f>
        <v>0</v>
      </c>
      <c r="BX24" s="419" t="b">
        <f>AND(SnapshotTable[[#This Row],[SP Is Booked]], NOT(ISBLANK(SnapshotTable[[#This Row],[SP Fill Date]])))</f>
        <v>0</v>
      </c>
      <c r="BY24" s="33">
        <f>IF(SnapshotTable[[#This Row],[SP Is Booked]], SnapshotTable[[#This Row],[SP Qty]] * SnapshotTable[[#This Row],[SP Book Price]] * 100, 0)</f>
        <v>0</v>
      </c>
      <c r="BZ24" s="369"/>
      <c r="CA24" s="368">
        <f>SnapshotTable[[#This Row],[LP Qty]]</f>
        <v>0</v>
      </c>
      <c r="CB24" s="4" t="str">
        <f>IF(SnapshotTable[[#This Row],[SP Is Booked]], SnapshotTable[[#This Row],[SP Strike Price]] - SnapshotTable[[#This Row],[SP Book Price]], "")</f>
        <v/>
      </c>
      <c r="CC24" s="19" t="str">
        <f>IF(SnapshotTable[[#This Row],[SP Is Booked]],SnapshotTable[[#This Row],[SP Exp Date]]-MAX(SnapshotTable[[#This Row],[SP Book Date]], SnapshotTable[[#This Row],[SP Fill Date]]),"")</f>
        <v/>
      </c>
      <c r="CD24" s="7" t="str">
        <f>IF(SnapshotTable[[#This Row],[SP Is Booked]], SnapshotTable[[#This Row],[SP Book Price]]/SnapshotTable[[#This Row],[SP Strike Price]], "")</f>
        <v/>
      </c>
      <c r="CE24" s="7" t="str">
        <f>IF(ISNUMBER(SnapshotTable[[#This Row],[SP ROO Term]]),SnapshotTable[[#This Row],[SP ROO Term]]*(365/SnapshotTable[[#This Row],[SP Term]]),"")</f>
        <v/>
      </c>
      <c r="CF24" s="236">
        <f>SnapshotTable[[#This Row],[LP Strike Price]] * SnapshotTable[[#This Row],[LP Qty]] * 100</f>
        <v>0</v>
      </c>
      <c r="CG24" s="31" t="e">
        <f>IF(ISNUMBER(SnapshotTable[[#This Row],[SP Premium]]), (SnapshotTable[[#This Row],[SP Qty]] * SnapshotTable[[#This Row],[SP Strike Price]]* 100) - SnapshotTable[[#This Row],[LP Protection]], 0)</f>
        <v>#VALUE!</v>
      </c>
      <c r="CH24" s="7" t="str">
        <f>IF(ISNUMBER(SnapshotTable[[#This Row],[SP Break Even]]),-1 * (SnapshotTable[[#This Row],[SP Break Even]] - SnapshotTable[[#This Row],[Last Price]]) / SnapshotTable[[#This Row],[Last Price]], "")</f>
        <v/>
      </c>
      <c r="CI24" s="31">
        <f>IF(AND(ISNUMBER((SnapshotTable[[#This Row],[SP Potential Spend]])), SnapshotTable[[#This Row],[SP Strike Price]] &gt; SnapshotTable[[#This Row],[Last Price]], SnapshotTable[[#This Row],[SP Is Filled]]), SnapshotTable[[#This Row],[SP Potential Spend]] -  SnapshotTable[[#This Row],[LP Max Value]], 0)</f>
        <v>0</v>
      </c>
      <c r="CJ24" s="244"/>
      <c r="CK24" s="31" t="str">
        <f>IF(ISNUMBER(SnapshotTable[[#This Row],[SP Potential Spend]]),IF(ISNUMBER(SnapshotTable[[#This Row],[SP POW]]), SnapshotTable[[#This Row],[SP POW]] * SnapshotTable[[#This Row],[SP Potential Spend]], SnapshotTable[[#This Row],[SP Potential Spend]]), "")</f>
        <v/>
      </c>
      <c r="CL24" s="164" t="e">
        <f>IF(NOT(SnapshotTable[[#This Row],[SP Is Filled]]),(SnapshotTable[[#This Row],[SP Qty]] * SnapshotTable[[#This Row],[SP Strike Price]] * 100) - SnapshotTable[[#This Row],[LP Max Value]],"")</f>
        <v>#VALUE!</v>
      </c>
      <c r="CM24" s="31" t="str">
        <f>IF(SnapshotTable[[#This Row],[SP Actual Spend]]&lt;&gt;0, ((SnapshotTable[[#This Row],[SP Strike Price]]-SnapshotTable[[#This Row],[Last Price]]) *(SnapshotTable[[#This Row],[SP Qty]]*100) - SnapshotTable[[#This Row],[SP Premium]]) * - 1, "")</f>
        <v/>
      </c>
      <c r="CN24" s="154"/>
      <c r="CO24" s="369"/>
      <c r="CP24" s="4" t="str">
        <f>IF(SnapshotTable[[#This Row],[SP Is Filled]], btc_max_buyback_amount(SnapshotTable[[#This Row],[SP Fill Date]],SnapshotTable[[#This Row],[SP Exp Date]], SnapshotTable[[#This Row],[SP Book Price]]),"")</f>
        <v/>
      </c>
      <c r="CQ24" s="78"/>
      <c r="CR2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 s="155" t="str">
        <f>IF(SnapshotTable[[#This Row],[SP Is Filled]], btc_next_cutoff_date(SnapshotTable[[#This Row],[SP Fill Date]],SnapshotTable[[#This Row],[SP Exp Date]]),"")</f>
        <v/>
      </c>
      <c r="CT24" s="235" t="str" cm="1">
        <f t="array" ref="CT24">IF(SnapshotTable[[#This Row],[SP Is Filled]], btc_should_buy_back(SnapshotTable[[#This Row],[SP Fill Date]], SnapshotTable[[#This Row],[SP Exp Date]], SnapshotTable[[#This Row],[SP Book Price]], SnapshotTable[[#This Row],[SP Current Ask]], MockToday, SnapshotTable[[#This Row],[SP Buyback Override]]),"")</f>
        <v/>
      </c>
      <c r="CU24" s="143"/>
      <c r="CV24" s="235"/>
      <c r="CW24" s="378" t="str">
        <f>IF(ISNUMBER( SnapshotTable[[#This Row],[SP Term]]), SnapshotTable[[#This Row],[SP Exp Date]] - MockToday,"")</f>
        <v/>
      </c>
      <c r="CX24" s="31" t="str">
        <f>IF(SnapshotTable[[#This Row],[SP Is Filled]],SnapshotTable[[#This Row],[SP Buyback Price to Use]] * 100 * SnapshotTable[[#This Row],[SP Qty]], "")</f>
        <v/>
      </c>
      <c r="CY24" s="4" t="str">
        <f>IF(ISNUMBER(SnapshotTable[[#This Row],[SP Strike Price]]), SnapshotTable[[#This Row],[SP Strike Price]] * (1 - SP_MaxLoss_StrikePct), "")</f>
        <v/>
      </c>
      <c r="CZ24" s="31" t="str">
        <f>IF(ISNUMBER(SnapshotTable[[#This Row],[SP Strike  Stop Per Share]]),SnapshotTable[[#This Row],[SP Premium]] - ((SnapshotTable[[#This Row],[SP Strike Price]]-SnapshotTable[[#This Row],[SP Strike  Stop Per Share]]) *(SnapshotTable[[#This Row],[SP Qty]] * 100)),"")</f>
        <v/>
      </c>
      <c r="DA24" s="4" t="str">
        <f>IF(AND(ISNUMBER(SnapshotTable[[#This Row],[SP Premium]]),SnapshotTable[[#This Row],[SP Premium]]&gt;0), SnapshotTable[[#This Row],[SP Book Price]] * (1 + SP_MaxLoss_OptionPct), "")</f>
        <v/>
      </c>
      <c r="DB24" s="31" t="str">
        <f>IF(ISNUMBER(SnapshotTable[[#This Row],[SP Option  Stop Contract]]),(SnapshotTable[[#This Row],[SP Option  Stop Contract]] *(SnapshotTable[[#This Row],[SP Qty]] * 100) - SnapshotTable[[#This Row],[SP Premium]]),"")</f>
        <v/>
      </c>
      <c r="DC24" s="4"/>
      <c r="DD24" s="4"/>
      <c r="DE24" s="4" t="str">
        <f>IF(AND(SnapshotTable[[#This Row],[SP Qty]]&gt;0, SnapshotTable[[#This Row],[SP Stop To Use]]&gt;0),SnapshotTable[[#This Row],[SP Premium]] - ( SnapshotTable[[#This Row],[SP Qty]] * SnapshotTable[[#This Row],[SP Stop To Use]] * 100), "")</f>
        <v/>
      </c>
      <c r="DF24" s="31" t="str">
        <f>IF(AND(SnapshotTable[[#This Row],[SP Qty]]&gt;0,SnapshotTable[[#This Row],[SP Current Ask]]&gt;0), SnapshotTable[[#This Row],[SP Qty]] * SnapshotTable[[#This Row],[SP Current Ask]] * -100, "")</f>
        <v/>
      </c>
      <c r="DG24" s="31" t="str">
        <f>IF(ISNUMBER((SnapshotTable[[#This Row],[SP Total Value]])), SnapshotTable[[#This Row],[SP Premium]] + SnapshotTable[[#This Row],[SP Total Value]], "")</f>
        <v/>
      </c>
      <c r="DH24" s="294" t="str">
        <f>IF(ISNUMBER((SnapshotTable[[#This Row],[SP Total Value]])), SnapshotTable[[#This Row],[SP Gain Loss]] / SnapshotTable[[#This Row],[SP Premium]], "")</f>
        <v/>
      </c>
      <c r="DI24" s="406"/>
      <c r="DJ24" s="138"/>
      <c r="DK24" s="148"/>
      <c r="DL24" s="147"/>
      <c r="DM24" s="147"/>
      <c r="DO24" s="31">
        <f>IF(SnapshotTable[[#This Row],[LC Symbol Count]]=1, SnapshotTable[[#This Row],[LC Qty]] * SnapshotTable[[#This Row],[LC Book Price]] * 100, 0)</f>
        <v>0</v>
      </c>
      <c r="DP24" s="163" t="str">
        <f>IF(AND(SnapshotTable[[#This Row],[LC Exp Date]]&gt;0, SnapshotTable[[#This Row],[LC Strike Price]]&gt;0,SnapshotTable[[#This Row],[LC Qty]]&gt;0,SnapshotTable[[#This Row],[LC Book Date]]&gt;0,SnapshotTable[[#This Row],[LC Book Price]]&gt;0,SnapshotTable[[#This Row],[LC Fill Date]]=0),"Y","")</f>
        <v/>
      </c>
      <c r="DQ24" s="386" t="str">
        <f>IF(SnapshotTable[[#This Row],[LC Premium]] &gt; 0,SnapshotTable[[#This Row],[LC Exp Date]]-MAX(SnapshotTable[[#This Row],[LC Book Date]], SnapshotTable[[#This Row],[LC Fill Date]]),"")</f>
        <v/>
      </c>
      <c r="DR24" s="386" t="str">
        <f>IF(ISNUMBER(SnapshotTable[[#This Row],[LC Term]]), SnapshotTable[[#This Row],[LC Exp Date]] - MockToday, "")</f>
        <v/>
      </c>
      <c r="DS24" s="234" t="str">
        <f>IF(SnapshotTable[[#This Row],[LC Premium]]&gt;0,SnapshotTable[[#This Row],[LC Strike Price]] + SnapshotTable[[#This Row],[LC Book Price]],"")</f>
        <v/>
      </c>
      <c r="DU24" s="9" t="str">
        <f>IF(AND(SnapshotTable[[#This Row],[LC Symbol Count]]&gt;0, SnapshotTable[[#This Row],[LC Contract Value]]&gt;0), SnapshotTable[[#This Row],[LC Contract Value]] * SnapshotTable[[#This Row],[LC Qty]] * 100, "")</f>
        <v/>
      </c>
      <c r="DV24" s="9" t="str">
        <f>IF(AND(ISNUMBER(SnapshotTable[[#This Row],[LC Total Value]]), SnapshotTable[[#This Row],[LC Not Filled]]&lt;&gt;"Y"), SnapshotTable[[#This Row],[LC Total Value]]-SnapshotTable[[#This Row],[LC Premium]],"")</f>
        <v/>
      </c>
      <c r="DW24" s="240" t="str">
        <f>IF(ISNUMBER(SnapshotTable[[#This Row],[LC Actual Gain Loss]]), SnapshotTable[[#This Row],[LC Actual Gain Loss]] / SnapshotTable[[#This Row],[LC Premium]],"")</f>
        <v/>
      </c>
      <c r="DX24" s="284" t="str">
        <f>IF(ISNUMBER(SnapshotTable[[#This Row],[LC Book Price]]),SnapshotTable[[#This Row],[LC Book Price]] * 1.5,"")</f>
        <v/>
      </c>
      <c r="DY24" s="265" t="str">
        <f>IF(SnapshotTable[[#This Row],[LC Premium]]&gt;0, SnapshotTable[[#This Row],[LC Next Target]] * SnapshotTable[[#This Row],[LC Qty]] * 100,"")</f>
        <v/>
      </c>
      <c r="DZ24" s="265" t="str">
        <f>IF(ISNUMBER(SnapshotTable[[#This Row],[LC Target Gross]]), SnapshotTable[[#This Row],[LC Target Gross]] - SnapshotTable[[#This Row],[LC Premium]], "")</f>
        <v/>
      </c>
      <c r="EA24" s="305" t="str">
        <f>IF(ISNUMBER(SnapshotTable[[#This Row],[LC Target Gain Loss]]), SnapshotTable[[#This Row],[LC Target Gain Loss]]/SnapshotTable[[#This Row],[LC Premium]], "")</f>
        <v/>
      </c>
      <c r="EB24" s="262"/>
      <c r="EC24" s="283" t="str">
        <f>IF(SnapshotTable[[#This Row],[LC Premium]]&gt;0, SnapshotTable[[#This Row],[LC Book Price]] * (1 - LC_StopLoss_Pct),"")</f>
        <v/>
      </c>
      <c r="ED24" s="284"/>
      <c r="EE24" s="283" t="str">
        <f>IF(ISNUMBER(SnapshotTable[[#This Row],[LC Contract Value]]),IF(ISNUMBER(SnapshotTable[[#This Row],[LC Stop Loss Override]]), SnapshotTable[[#This Row],[LC Stop Loss Override]],SnapshotTable[[#This Row],[LC Stop Loss Calc Target]]),"")</f>
        <v/>
      </c>
      <c r="EF24" s="31" t="str">
        <f>IF(ISNUMBER(SnapshotTable[[#This Row],[LC Stop  To Use]]), (SnapshotTable[[#This Row],[LC Stop  To Use]] * SnapshotTable[[#This Row],[LC Qty]] * 100),"")</f>
        <v/>
      </c>
      <c r="EG24" s="9" t="str">
        <f>IF(ISNUMBER(SnapshotTable[[#This Row],[LC Total Value]]),SnapshotTable[[#This Row],[LC Stop Loss Amount]] - SnapshotTable[[#This Row],[LC Premium]],"")</f>
        <v/>
      </c>
      <c r="EH24" s="9">
        <f>IF(ISNUMBER(SnapshotTable[[#This Row],[LC Premium]]), SnapshotTable[[#This Row],[LC Qty]] * 100 * SnapshotTable[[#This Row],[LC Strike Price]], "")</f>
        <v>0</v>
      </c>
      <c r="EI24" s="240" t="str">
        <f>IF(AND(ISNUMBER(SnapshotTable[[#This Row],[LC Total Value]]),SnapshotTable[[#This Row],[LC Total Value]]&gt;0),SnapshotTable[[#This Row],[LC Stop Gain Loss]]  / SnapshotTable[[#This Row],[LC Premium]],"")</f>
        <v/>
      </c>
      <c r="EJ24" s="35">
        <f>IF(ISNUMBER(SnapshotTable[[#This Row],[Equity Shares]]),TRUNC(SnapshotTable[[#This Row],[Equity Shares]] / 100),0) + SnapshotTable[[#This Row],[LC Qty]]</f>
        <v>0</v>
      </c>
      <c r="EK24" s="147"/>
      <c r="EL24" s="138" t="str">
        <f>IF(SnapshotTable[[#This Row],[SC Exp Date]]&lt;&gt;"",TRUNC(SnapshotTable[[#This Row],[Last Price]]),"")</f>
        <v/>
      </c>
      <c r="EM24" s="148"/>
      <c r="EN24" s="147"/>
      <c r="EO24" s="147"/>
      <c r="EP24" s="138"/>
      <c r="EQ24" s="419" t="b">
        <f>AND(ISNUMBER(SnapshotTable[[#This Row],[SC Exp Date]]), ISNUMBER(SnapshotTable[[#This Row],[SC Strike Price]]), ISNUMBER(SnapshotTable[[#This Row],[SC Qty]]), ISNUMBER(SnapshotTable[[#This Row],[SC Book Date]]), ISNUMBER(SnapshotTable[[#This Row],[SC Book Price]]))</f>
        <v>0</v>
      </c>
      <c r="ER24" s="419" t="b">
        <f>AND(SnapshotTable[[#This Row],[SC Is Booked]], NOT(ISBLANK(SnapshotTable[[#This Row],[SC Fill Date]])))</f>
        <v>0</v>
      </c>
      <c r="ES24" s="370"/>
      <c r="ET24" s="34" t="str">
        <f>IF(AND(ISNUMBER(SnapshotTable[[#This Row],[SC Exp Date]]), ISNUMBER(SnapshotTable[[#This Row],[SC Book Date]])), SnapshotTable[[#This Row],[SC Exp Date]] - MAX(SnapshotTable[[#This Row],[SC Book Date]], SnapshotTable[[#This Row],[SC Fill Date]]) + 1, "")</f>
        <v/>
      </c>
      <c r="EU24" s="34" t="str">
        <f>IF(ISNUMBER(SnapshotTable[[#This Row],[SC Term]]), SnapshotTable[[#This Row],[SC Exp Date]]- MockToday, "")</f>
        <v/>
      </c>
      <c r="EV24" s="31">
        <f>IF(SnapshotTable[[#This Row],[SC Is Booked]], SnapshotTable[[#This Row],[SC Qty]] * SnapshotTable[[#This Row],[SC Book Price]] * 100, 0)</f>
        <v>0</v>
      </c>
      <c r="EW24" s="4" t="str">
        <f>IF(AND(ISNUMBER(SnapshotTable[[#This Row],[Last Price]]), ISNUMBER( SnapshotTable[[#This Row],[SC Book Price]])), SnapshotTable[[#This Row],[Last Price]] - SnapshotTable[[#This Row],[SC Book Price]],"")</f>
        <v/>
      </c>
      <c r="EX24" s="234" t="str">
        <f>IF(SnapshotTable[[#This Row],[SC Is Booked]],IF(SnapshotTable[[#This Row],[SC Intrinsic Value]] &gt; 0, SnapshotTable[[#This Row],[SC Strike Price]], SnapshotTable[[#This Row],[Last Price]]), "")</f>
        <v/>
      </c>
      <c r="EY24" s="4">
        <f>IF(SnapshotTable[[#This Row],[SC Is Booked]], (MinimumPremiumRequired * SnapshotTable[[#This Row],[SC Basis]] * SnapshotTable[[#This Row],[SC Term]]), 0)</f>
        <v>0</v>
      </c>
      <c r="EZ24" s="283"/>
      <c r="FA24" s="218"/>
      <c r="FB24" s="370"/>
      <c r="FC24" s="4">
        <f>IF(SnapshotTable[[#This Row],[SC Is Filled]], btc_max_buyback_amount(SnapshotTable[[#This Row],[SC Fill Date]],SnapshotTable[[#This Row],[SC Exp Date]], SnapshotTable[[#This Row],[SC Book Price]]),0)</f>
        <v>0</v>
      </c>
      <c r="FD24" s="5"/>
      <c r="FE24" s="144" t="str">
        <f>IF(SnapshotTable[[#This Row],[SC Is Filled]], btc_next_cutoff_date(SnapshotTable[[#This Row],[SC Fill Date]],SnapshotTable[[#This Row],[SC Exp Date]]),"")</f>
        <v/>
      </c>
      <c r="FF24" s="4" t="str" cm="1">
        <f t="array" ref="FF24">IF(SnapshotTable[[#This Row],[SC Is Filled]], btc_should_buy_back(SnapshotTable[[#This Row],[SC Fill Date]], SnapshotTable[[#This Row],[SC Exp Date]], SnapshotTable[[#This Row],[SC Book Price]], SnapshotTable[[#This Row],[SC Current Ask]], MockToday, SnapshotTable[[#This Row],[SC Buyback Override]]),"")</f>
        <v/>
      </c>
      <c r="FG24" s="4">
        <f>IF(SnapshotTable[[#This Row],[SC Is Filled]], MAX(0,SnapshotTable[[#This Row],[Last Price]]  - SnapshotTable[[#This Row],[SC Strike Price]]), 0)</f>
        <v>0</v>
      </c>
      <c r="FH24" s="382">
        <f>IF(SnapshotTable[[#This Row],[SC Is Filled]], IF(ISNUMBER(SnapshotTable[[#This Row],[SC Current Ask]]), SnapshotTable[[#This Row],[SC Current Ask]], SnapshotTable[[#This Row],[SC Book Price]]) - SnapshotTable[[#This Row],[SC Intrinsic Value]], 0)</f>
        <v>0</v>
      </c>
      <c r="FI24" s="143">
        <v>45786</v>
      </c>
      <c r="FJ24" s="32" t="str">
        <f>IF(SnapshotTable[[#This Row],[SC Is Filled]],100 * SnapshotTable[[#This Row],[SC Qty]] * IF(ISNUMBER(SnapshotTable[[#This Row],[SC Buyback Override]]), SnapshotTable[[#This Row],[SC Buyback Override]], SnapshotTable[[#This Row],[SC Current Ask]]), "")</f>
        <v/>
      </c>
      <c r="FK24" s="250" t="str">
        <f>IF(SnapshotTable[[#This Row],[SC Time Val]]&gt;0, SnapshotTable[[#This Row],[SC Time Val]] / SnapshotTable[[#This Row],[Last Price]],"")</f>
        <v/>
      </c>
      <c r="FL24" s="302" t="str">
        <f>IF(SnapshotTable[[#This Row],[SC Is Booked]], ((SnapshotTable[[#This Row],[Last Price]] -SnapshotTable[[#This Row],[SC Strike Price]]) / SnapshotTable[[#This Row],[Last Price]]) * -1, "")</f>
        <v/>
      </c>
      <c r="FM24" s="157" t="str">
        <f>IF(SnapshotTable[[#This Row],[SC Is Booked]],  (SnapshotTable[[#This Row],[SC Qty]] * 100 * SnapshotTable[[#This Row],[SC Strike Price]]) - SnapshotTable[[#This Row],[SC Current Ask]], "")</f>
        <v/>
      </c>
      <c r="FN24"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 s="157" t="str">
        <f>IF(AND(ISNUMBER(SnapshotTable[[#This Row],[SC Exercise Gross]]), ISNUMBER(SnapshotTable[[#This Row],[Equity Basis Per Share]] )), SnapshotTable[[#This Row],[SC Exercise Gross]] - SnapshotTable[[#This Row],[Equity Basis Total]] +  SnapshotTable[[#This Row],[SC Premium]], "")</f>
        <v/>
      </c>
      <c r="FP24" s="5" t="str">
        <f>IF(ISNUMBER(SnapshotTable[[#This Row],[SC Exercise Gross]]), (SnapshotTable[[#This Row],[SC Exercise Gross]]) / (SnapshotTable[[#This Row],[SC Qty]] * 100), "")</f>
        <v/>
      </c>
      <c r="FQ24" s="27" t="str">
        <f>IF(SnapshotTable[[#This Row],[SC Is Booked]],SnapshotTable[[#This Row],[SC Time Val]] /SnapshotTable[[#This Row],[SC Basis]], "")</f>
        <v/>
      </c>
      <c r="FR24" s="27" t="str" cm="1">
        <f t="array" ref="FR24">IF(AND(ISNUMBER(SnapshotTable[[#This Row],[SC Term]]),ISNUMBER(SnapshotTable[[#This Row],[SC Simple ROO]])), EllmanAnnualize(SnapshotTable[[#This Row],[SC DTE]], SnapshotTable[[#This Row],[SC Simple ROO]] ),"")</f>
        <v/>
      </c>
      <c r="FS24" s="4" t="e">
        <f>IF(SnapshotTable[[#This Row],[SC Strike Price]] &gt; SnapshotTable[[#This Row],[Last Price]], SnapshotTable[[#This Row],[SC Strike Price]] - SnapshotTable[[#This Row],[Last Price]],0)</f>
        <v>#VALUE!</v>
      </c>
      <c r="FT24" s="27" t="e">
        <f>IF(AND(ISNUMBER(SnapshotTable[[#This Row],[SC Upside Potential]]), SnapshotTable[[#This Row],[SC Upside Potential]] &gt; 0),(SnapshotTable[[#This Row],[SC Upside Potential]]/ SnapshotTable[[#This Row],[ACB]]),"")</f>
        <v>#VALUE!</v>
      </c>
      <c r="FU24" s="333" t="str">
        <f>IF(SnapshotTable[[#This Row],[SC Intrinsic Value]] &gt; 0,SnapshotTable[[#This Row],[SC Intrinsic Value]],"")</f>
        <v/>
      </c>
      <c r="FV24" s="27" t="str">
        <f>IF(AND( ISNUMBER( SnapshotTable[[#This Row],[ACB]]),ISNUMBER(SnapshotTable[[#This Row],[SC Downside Protect]])),SnapshotTable[[#This Row],[SC Downside Protect]] / SnapshotTable[[#This Row],[ACB]],"")</f>
        <v/>
      </c>
      <c r="FW24" s="236" t="str">
        <f>IF(AND(ISNUMBER(SnapshotTable[[#This Row],[SC Simple ROO]]),SnapshotTable[[#This Row],[SC Simple ROO]] &gt; 0), SnapshotTable[[#This Row],[SC Premium]] + (SnapshotTable[[#This Row],[SC Qty]] * SnapshotTable[[#This Row],[SC Upside Potential]]), "")</f>
        <v/>
      </c>
      <c r="FX24" s="302" t="str" cm="1">
        <f t="array" ref="FX24">IF(ISNUMBER(SnapshotTable[[#This Row],[SC Max Dollars]]), annualize(SnapshotTable[[#This Row],[SC Term]],(SnapshotTable[[#This Row],[SC Max Dollars]]/SnapshotTable[[#This Row],[SC Basis]])),"")</f>
        <v/>
      </c>
      <c r="FY24" s="236" t="str">
        <f>IF(AND(SnapshotTable[[#This Row],[SC Qty]]&gt;0,SnapshotTable[[#This Row],[SC Current Ask]]&gt;0), SnapshotTable[[#This Row],[SC Qty]] * SnapshotTable[[#This Row],[SC Current Ask]] * -100, "")</f>
        <v/>
      </c>
      <c r="FZ24" s="235" t="str">
        <f>IF(ISNUMBER((SnapshotTable[[#This Row],[SC Current Value]])), SnapshotTable[[#This Row],[SC Premium]] + SnapshotTable[[#This Row],[SC Current Value]], "")</f>
        <v/>
      </c>
      <c r="GA24" s="294" t="str">
        <f>IFERROR( IF(ISNUMBER((SnapshotTable[[#This Row],[SC Current Value]])), SnapshotTable[[#This Row],[SC Gain Loss]] / SnapshotTable[[#This Row],[SC Premium]], ""), "")</f>
        <v/>
      </c>
      <c r="GB24" s="42">
        <f>SnapshotTable[[#This Row],[Equity Shares]] * SaleSharesToConsiderPercentage</f>
        <v>0</v>
      </c>
      <c r="GC24" s="40">
        <f>SnapshotTable[[#This Row],[Long Term Target]] * SellingPriceToConsiderBasedOnTargetPercentage</f>
        <v>13.812999999999999</v>
      </c>
      <c r="GD24" s="40">
        <f>SnapshotTable[[#This Row],[Last Price]] * (1+ SellingPriceToConsiderBasedOnTargetPercentage)</f>
        <v>144.14400000000001</v>
      </c>
      <c r="GE24" s="41"/>
      <c r="GF24" s="40"/>
      <c r="GG24" s="31">
        <f>SnapshotTable[[#This Row],[Booked Sale Shares]] * SnapshotTable[[#This Row],[Booked Sale Price]]</f>
        <v>0</v>
      </c>
      <c r="GH24" s="31" t="str">
        <f>IF(SnapshotTable[[#This Row],[Equity Basis Total]] &gt; 0, SnapshotTable[[#This Row],[Equity Basis Per Share]] * SnapshotTable[[#This Row],[Booked Sale Shares]], "")</f>
        <v/>
      </c>
      <c r="GI24" s="31">
        <f>IF(SnapshotTable[[#This Row],[Sale Proceeds]]&gt;0, SnapshotTable[[#This Row],[Sale Proceeds]] - SnapshotTable[[#This Row],[Sale Basis]], 0)</f>
        <v>0</v>
      </c>
      <c r="GJ24" s="158" t="str">
        <f>IF(SnapshotTable[[#This Row],[Sale G/L]]&gt;0, SnapshotTable[[#This Row],[Sale G/L]] / SnapshotTable[[#This Row],[Sale Basis]], IF(ISNUMBER(SnapshotTable[[#This Row],[SC Exercise P&amp;L (TAX)]]), SnapshotTable[[#This Row],[SC Exercise P&amp;L (TAX)]] / SnapshotTable[[#This Row],[SC Basis]], ""))</f>
        <v/>
      </c>
      <c r="GK24" s="27"/>
      <c r="GL24" s="159" t="str">
        <f>IF(AND(SnapshotTable[[#This Row],[LP Exp Date]]&gt;0,SnapshotTable[[#This Row],[LP Strike Price]]&gt;0), [1]!ToOptionSymbol(SnapshotTable[[#This Row],[Symbol]], SnapshotTable[[#This Row],[LP Strike Price]],SnapshotTable[[#This Row],[LP Exp Date]],1), "")</f>
        <v/>
      </c>
      <c r="GM24" s="30" t="str">
        <f>IF(LEN(SnapshotTable[[#This Row],[LP Symbol]])&gt;0, 1, "")</f>
        <v/>
      </c>
      <c r="GN24" s="43" t="str">
        <f>IF(AND(SnapshotTable[[#This Row],[SP Exp Date]]&gt;0,SnapshotTable[[#This Row],[SP Strike Price]]&gt;0), [1]!ToOptionSymbol(SnapshotTable[[#This Row],[Symbol]], SnapshotTable[[#This Row],[SP Strike Price]],SnapshotTable[[#This Row],[SP Exp Date]],1), "")</f>
        <v/>
      </c>
      <c r="GO24" s="30" t="str">
        <f>IF(LEN(SnapshotTable[[#This Row],[SP Symbol]])&gt;0, 1, "")</f>
        <v/>
      </c>
      <c r="GP24" s="159" t="str">
        <f>IF(AND(SnapshotTable[[#This Row],[LC Exp Date]]&gt;0,SnapshotTable[[#This Row],[LC Strike Price]]&gt;0), [1]!ToOptionSymbol(SnapshotTable[[#This Row],[Symbol]], SnapshotTable[[#This Row],[LC Strike Price]],SnapshotTable[[#This Row],[LC Exp Date]],0), "")</f>
        <v/>
      </c>
      <c r="GQ24" s="160" t="str">
        <f>IF(LEN(SnapshotTable[[#This Row],[LC Symbol]])&gt;0, 1, "")</f>
        <v/>
      </c>
      <c r="GR24" s="159" t="str">
        <f>IF(AND(SnapshotTable[[#This Row],[SC Exp Date]]&gt;0,SnapshotTable[[#This Row],[SC Strike Price]]&gt;0), [1]!ToOptionSymbol(SnapshotTable[[#This Row],[Symbol]], SnapshotTable[[#This Row],[SC Strike Price]],SnapshotTable[[#This Row],[SC Exp Date]],0), "")</f>
        <v/>
      </c>
      <c r="GS24" s="160" t="str">
        <f>IF(LEN(SnapshotTable[[#This Row],[SC Symbol]])&gt;0, 1, "")</f>
        <v/>
      </c>
      <c r="GT24" s="161" t="str">
        <f>IF(COUNT(SnapshotTable[[#This Row],[LP Symbol Count]],SnapshotTable[[#This Row],[SP Symbol Count]],SnapshotTable[[#This Row],[LC Symbol Count]],SnapshotTable[[#This Row],[SC Symbol Count]])&gt;0, "Y", "")</f>
        <v/>
      </c>
      <c r="GU2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 s="231" t="e">
        <f>MAX(SnapshotTable[[#This Row],[Equity Basis Total]],SnapshotTable[[#This Row],[Equity Value]]) + (SnapshotTable[[#This Row],[SP Potential Spend]]- SnapshotTable[[#This Row],[SP Premium]] + SnapshotTable[[#This Row],[LP Premium]])+ (SnapshotTable[[#This Row],[LC Premium]] - SnapshotTable[[#This Row],[SC Premium]])</f>
        <v>#VALUE!</v>
      </c>
      <c r="GW24" s="139" t="e">
        <f>IF(AND(SnapshotTable[[#This Row],[Exposure]] &lt;&gt; 0),SnapshotTable[[#This Row],[Exposure]] / SnapshotTable[[#Totals],[Exposure]], "")</f>
        <v>#VALUE!</v>
      </c>
      <c r="HK24" s="1"/>
      <c r="HL24" s="1"/>
      <c r="HM24" s="1"/>
      <c r="HN24" s="1"/>
      <c r="HO24" s="1"/>
      <c r="HP24" s="1"/>
    </row>
    <row r="25" spans="2:224" ht="12.75" hidden="1" customHeight="1" x14ac:dyDescent="0.25">
      <c r="B25" s="12" t="s">
        <v>224</v>
      </c>
      <c r="C25" s="422">
        <v>130.34</v>
      </c>
      <c r="D25" s="208"/>
      <c r="E25" s="39">
        <f>SnapshotTable[[#This Row],[Last Price]]*(1 -CrashDiscount)</f>
        <v>110.789</v>
      </c>
      <c r="F25" s="26" t="s">
        <v>223</v>
      </c>
      <c r="G25" s="26" t="s">
        <v>49</v>
      </c>
      <c r="H25" s="149"/>
      <c r="I25" s="194">
        <v>44770.666666666664</v>
      </c>
      <c r="J25" s="195">
        <v>44770.666666666664</v>
      </c>
      <c r="K25" s="196"/>
      <c r="L25" s="326"/>
      <c r="M25" s="140"/>
      <c r="N25" s="140"/>
      <c r="O25" s="140">
        <v>2</v>
      </c>
      <c r="P25" s="22"/>
      <c r="Q25" s="25"/>
      <c r="R25" s="4" t="str">
        <f>IF(SnapshotTable[[#This Row],[Equity Basis Total]] &gt; 0, SnapshotTable[[#This Row],[Equity Basis Total]] / SnapshotTable[[#This Row],[Equity Shares]], "")</f>
        <v/>
      </c>
      <c r="S25" s="269">
        <f>SnapshotTable[[#This Row],[Last Price]] * SnapshotTable[[#This Row],[Equity Shares]]</f>
        <v>0</v>
      </c>
      <c r="T25" s="269">
        <f>SnapshotTable[[#This Row],[Equity Value]] - SnapshotTable[[#This Row],[Equity Basis Total]]</f>
        <v>0</v>
      </c>
      <c r="U25" s="270" t="str">
        <f>IF(SnapshotTable[[#This Row],[Equity Basis Total]] &gt; 0, SnapshotTable[[#This Row],[Equity G/L]] / SnapshotTable[[#This Row],[Equity Basis Total]], "")</f>
        <v/>
      </c>
      <c r="V25" s="268"/>
      <c r="W25" s="268"/>
      <c r="X25" s="4" t="str">
        <f>IF(AND(ISNUMBER(SnapshotTable[[#This Row],[Equity Basis Per Share]]),ISNUMBER(SnapshotTable[[#This Row],[Equity Target]])),SnapshotTable[[#This Row],[Equity Target]]-SnapshotTable[[#This Row],[Equity Basis Per Share]],"")</f>
        <v/>
      </c>
      <c r="Y25" s="4" t="str">
        <f>IF(AND(ISNUMBER(SnapshotTable[[#This Row],[Equity Basis Per Share]]),ISNUMBER(SnapshotTable[[#This Row],[Equity Stop Loss]])),SnapshotTable[[#This Row],[Equity Stop Loss]]-SnapshotTable[[#This Row],[Equity Basis Per Share]],"")</f>
        <v/>
      </c>
      <c r="Z25" s="275" t="str">
        <f>IFERROR( TEXT(SnapshotTable[[#This Row],[Equity Max Gain Per Share]] /ABS( SnapshotTable[[#This Row],[Equity Max Loss Per Share]]),"0.0 " ) &amp; " : 1", "")</f>
        <v/>
      </c>
      <c r="AA25" s="31" t="str">
        <f>IF(ISNUMBER(SnapshotTable[[#This Row],[Equity Max Gain Per Share]]),SnapshotTable[[#This Row],[Equity Max Gain Per Share]] * SnapshotTable[[#This Row],[Equity Shares]],"")</f>
        <v/>
      </c>
      <c r="AB25" s="31" t="str">
        <f>IF(ISNUMBER(SnapshotTable[[#This Row],[Equity Max Loss Per Share]]),SnapshotTable[[#This Row],[Equity Max Loss Per Share]] * SnapshotTable[[#This Row],[Equity Shares]],"")</f>
        <v/>
      </c>
      <c r="AC25" s="150">
        <v>2.08</v>
      </c>
      <c r="AD25" s="151">
        <v>43007</v>
      </c>
      <c r="AE25" s="31">
        <f>(SnapshotTable[[#This Row],[Annual Dividend Per Share]] / 4) * SnapshotTable[[#This Row],[Equity Shares]]</f>
        <v>0</v>
      </c>
      <c r="AF25" s="31">
        <f>SnapshotTable[[#This Row],[Quarterly Div $]] * 4</f>
        <v>0</v>
      </c>
      <c r="AG25" s="7">
        <f>IF(SnapshotTable[[#This Row],[Annual Dividend Per Share]]&gt;0, SnapshotTable[[#This Row],[Annual Dividend Per Share]]  / SnapshotTable[[#This Row],[Last Price]], 0)</f>
        <v>1.5958263004449899E-2</v>
      </c>
      <c r="AH25" s="151">
        <v>43357</v>
      </c>
      <c r="AI25" s="5"/>
      <c r="AJ25" s="138">
        <v>75.319999999999993</v>
      </c>
      <c r="AK25" s="152" t="str">
        <f>IF(ISNUMBER( SnapshotTable[[#This Row],[EBF Target]]),(SnapshotTable[[#This Row],[EBF Target]] - SnapshotTable[[#This Row],[Last Price]]) / SnapshotTable[[#This Row],[Last Price]], "")</f>
        <v/>
      </c>
      <c r="AL25" s="152" t="str">
        <f>IF(AND(SnapshotTable[[#This Row],[Equity Basis Total]] &gt; 0,ISNUMBER( SnapshotTable[[#This Row],[Long Term Target]])), SnapshotTable[[#This Row],[From Basis $]] / SnapshotTable[[#This Row],[Equity Basis Total]], "")</f>
        <v/>
      </c>
      <c r="AM25" s="9">
        <f>IF( AND(SnapshotTable[[#This Row],[Equity Shares]] &gt;0,ISNUMBER( SnapshotTable[[#This Row],[Long Term Target]])),(SnapshotTable[[#This Row],[Equity Shares]] * SnapshotTable[[#This Row],[Long Term Target]]) - SnapshotTable[[#This Row],[Equity Basis Total]],0)</f>
        <v>0</v>
      </c>
      <c r="AN25" s="9">
        <f>IF( AND(SnapshotTable[[#This Row],[Equity Shares]] &gt;0,ISNUMBER( SnapshotTable[[#This Row],[Long Term Target]])),(SnapshotTable[[#This Row],[Equity Shares]]*SnapshotTable[[#This Row],[Long Term Target]]) - SnapshotTable[[#This Row],[Equity Value]],0)</f>
        <v>0</v>
      </c>
      <c r="AO25" s="152">
        <f>IF(AND(ISNUMBER( SnapshotTable[[#This Row],[Long Term Target]]), ISNUMBER(SnapshotTable[[#This Row],[Last Price]])),(SnapshotTable[[#This Row],[Long Term Target]] - SnapshotTable[[#This Row],[Last Price]]) / SnapshotTable[[#This Row],[Last Price]], "")</f>
        <v>-0.42212674543501616</v>
      </c>
      <c r="AP25" s="5"/>
      <c r="AQ25" s="38"/>
      <c r="AR25" s="5"/>
      <c r="AS25" s="38"/>
      <c r="AT25" s="146"/>
      <c r="AU25" s="187" t="str">
        <f>IF(OR(SnapshotTable[[#This Row],[LP No Fill]]="Y",SnapshotTable[[#This Row],[SP Is Filled]],SnapshotTable[[#This Row],[LC Not Filled]]="Y",SnapshotTable[[#This Row],[SC Is Filled]]),"Y","")</f>
        <v/>
      </c>
      <c r="AV25" s="219"/>
      <c r="AW25" s="225"/>
      <c r="AX25" s="220"/>
      <c r="AY25" s="219" t="str">
        <f>IF(SnapshotTable[[#This Row],[Implied Move]]&gt;0, SnapshotTable[[#This Row],[Last Price]]-SnapshotTable[[#This Row],[Implied Move]],"")</f>
        <v/>
      </c>
      <c r="AZ25" s="219" t="str">
        <f>IF(SnapshotTable[[#This Row],[Implied Move]]&gt;0, SnapshotTable[[#This Row],[Last Price]] + SnapshotTable[[#This Row],[Implied Move]],"")</f>
        <v/>
      </c>
      <c r="BA25" s="331">
        <v>9.32</v>
      </c>
      <c r="BB25" s="347"/>
      <c r="BC2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 s="351"/>
      <c r="BE25" s="5"/>
      <c r="BF25" s="14"/>
      <c r="BG25" s="13"/>
      <c r="BH25" s="13"/>
      <c r="BI25" s="5"/>
      <c r="BJ25" s="136">
        <f>IF(SnapshotTable[[#This Row],[LP Qty]] &gt; 0, SnapshotTable[[#This Row],[LP Qty]] * SnapshotTable[[#This Row],[LP Book Price]] * 100,0)</f>
        <v>0</v>
      </c>
      <c r="BK25" s="136">
        <f>IF(SnapshotTable[[#This Row],[LP Premium]] &gt; 0, SnapshotTable[[#This Row],[LP Qty]] * SnapshotTable[[#This Row],[LP Strike Price]] * 100,0)</f>
        <v>0</v>
      </c>
      <c r="BL25" s="154"/>
      <c r="BM25" s="385" t="str">
        <f>IF(SnapshotTable[[#This Row],[LP Premium]] &gt; 0,SnapshotTable[[#This Row],[LP Exp Date]]-MAX(SnapshotTable[[#This Row],[LP Book Date]], SnapshotTable[[#This Row],[LP Fill Date]]),"")</f>
        <v/>
      </c>
      <c r="BN25" s="385" t="str">
        <f>IF(ISNUMBER( SnapshotTable[[#This Row],[LP Term]]), SnapshotTable[[#This Row],[LP Exp Date]] - MockToday,"")</f>
        <v/>
      </c>
      <c r="BO25" s="163" t="str">
        <f>IF(AND(SnapshotTable[[#This Row],[LP Exp Date]]&gt;0, SnapshotTable[[#This Row],[LP Strike Price]]&gt;0,SnapshotTable[[#This Row],[LP Qty]]&gt;0,SnapshotTable[[#This Row],[LP Book Date]]&gt;0,SnapshotTable[[#This Row],[LP Book Price]]&gt;0,SnapshotTable[[#This Row],[LP Fill Date]]=0),"Y","")</f>
        <v/>
      </c>
      <c r="BP25" s="31" t="str">
        <f>IF(AND(SnapshotTable[[#This Row],[LP No Fill]]&lt;&gt;"Y",SnapshotTable[[#This Row],[LP Contract Value]]&gt;0, SnapshotTable[[#This Row],[LP Qty]]&gt;0), SnapshotTable[[#This Row],[LP Contract Value]]*SnapshotTable[[#This Row],[LP Qty]]*100,"")</f>
        <v/>
      </c>
      <c r="BQ25" s="13"/>
      <c r="BR25" s="5" t="str">
        <f>IF(SnapshotTable[[#This Row],[SP Exp Date]]&lt;&gt;"",TRUNC(SnapshotTable[[#This Row],[Last Price]]),"")</f>
        <v/>
      </c>
      <c r="BS25" s="36"/>
      <c r="BT25" s="147"/>
      <c r="BU25" s="13"/>
      <c r="BV25" s="5"/>
      <c r="BW25" s="419" t="b">
        <f>AND(ISNUMBER(SnapshotTable[[#This Row],[SP Exp Date]]), ISNUMBER(SnapshotTable[[#This Row],[SP Strike Price]]), ISNUMBER(SnapshotTable[[#This Row],[SP Qty]]), ISNUMBER(SnapshotTable[[#This Row],[SP Book Date]]), ISNUMBER(SnapshotTable[[#This Row],[SP Book Price]]))</f>
        <v>0</v>
      </c>
      <c r="BX25" s="419" t="b">
        <f>AND(SnapshotTable[[#This Row],[SP Is Booked]], NOT(ISBLANK(SnapshotTable[[#This Row],[SP Fill Date]])))</f>
        <v>0</v>
      </c>
      <c r="BY25" s="33">
        <f>IF(SnapshotTable[[#This Row],[SP Is Booked]], SnapshotTable[[#This Row],[SP Qty]] * SnapshotTable[[#This Row],[SP Book Price]] * 100, 0)</f>
        <v>0</v>
      </c>
      <c r="BZ25" s="369"/>
      <c r="CA25" s="368">
        <f>SnapshotTable[[#This Row],[LP Qty]]</f>
        <v>0</v>
      </c>
      <c r="CB25" s="4" t="str">
        <f>IF(SnapshotTable[[#This Row],[SP Is Booked]], SnapshotTable[[#This Row],[SP Strike Price]] - SnapshotTable[[#This Row],[SP Book Price]], "")</f>
        <v/>
      </c>
      <c r="CC25" s="19" t="str">
        <f>IF(SnapshotTable[[#This Row],[SP Is Booked]],SnapshotTable[[#This Row],[SP Exp Date]]-MAX(SnapshotTable[[#This Row],[SP Book Date]], SnapshotTable[[#This Row],[SP Fill Date]]),"")</f>
        <v/>
      </c>
      <c r="CD25" s="7" t="str">
        <f>IF(SnapshotTable[[#This Row],[SP Is Booked]], SnapshotTable[[#This Row],[SP Book Price]]/SnapshotTable[[#This Row],[SP Strike Price]], "")</f>
        <v/>
      </c>
      <c r="CE25" s="7" t="str">
        <f>IF(ISNUMBER(SnapshotTable[[#This Row],[SP ROO Term]]),SnapshotTable[[#This Row],[SP ROO Term]]*(365/SnapshotTable[[#This Row],[SP Term]]),"")</f>
        <v/>
      </c>
      <c r="CF25" s="236">
        <f>SnapshotTable[[#This Row],[LP Strike Price]] * SnapshotTable[[#This Row],[LP Qty]] * 100</f>
        <v>0</v>
      </c>
      <c r="CG25" s="31" t="e">
        <f>IF(ISNUMBER(SnapshotTable[[#This Row],[SP Premium]]), (SnapshotTable[[#This Row],[SP Qty]] * SnapshotTable[[#This Row],[SP Strike Price]]* 100) - SnapshotTable[[#This Row],[LP Protection]], 0)</f>
        <v>#VALUE!</v>
      </c>
      <c r="CH25" s="7" t="str">
        <f>IF(ISNUMBER(SnapshotTable[[#This Row],[SP Break Even]]),-1 * (SnapshotTable[[#This Row],[SP Break Even]] - SnapshotTable[[#This Row],[Last Price]]) / SnapshotTable[[#This Row],[Last Price]], "")</f>
        <v/>
      </c>
      <c r="CI25" s="31">
        <f>IF(AND(ISNUMBER((SnapshotTable[[#This Row],[SP Potential Spend]])), SnapshotTable[[#This Row],[SP Strike Price]] &gt; SnapshotTable[[#This Row],[Last Price]], SnapshotTable[[#This Row],[SP Is Filled]]), SnapshotTable[[#This Row],[SP Potential Spend]] -  SnapshotTable[[#This Row],[LP Max Value]], 0)</f>
        <v>0</v>
      </c>
      <c r="CJ25" s="244"/>
      <c r="CK25" s="31" t="str">
        <f>IF(ISNUMBER(SnapshotTable[[#This Row],[SP Potential Spend]]),IF(ISNUMBER(SnapshotTable[[#This Row],[SP POW]]), SnapshotTable[[#This Row],[SP POW]] * SnapshotTable[[#This Row],[SP Potential Spend]], SnapshotTable[[#This Row],[SP Potential Spend]]), "")</f>
        <v/>
      </c>
      <c r="CL25" s="164" t="e">
        <f>IF(NOT(SnapshotTable[[#This Row],[SP Is Filled]]),(SnapshotTable[[#This Row],[SP Qty]] * SnapshotTable[[#This Row],[SP Strike Price]] * 100) - SnapshotTable[[#This Row],[LP Max Value]],"")</f>
        <v>#VALUE!</v>
      </c>
      <c r="CM25" s="31" t="str">
        <f>IF(SnapshotTable[[#This Row],[SP Actual Spend]]&lt;&gt;0, ((SnapshotTable[[#This Row],[SP Strike Price]]-SnapshotTable[[#This Row],[Last Price]]) *(SnapshotTable[[#This Row],[SP Qty]]*100) - SnapshotTable[[#This Row],[SP Premium]]) * - 1, "")</f>
        <v/>
      </c>
      <c r="CN25" s="78"/>
      <c r="CO25" s="369"/>
      <c r="CP25" s="4" t="str">
        <f>IF(SnapshotTable[[#This Row],[SP Is Filled]], btc_max_buyback_amount(SnapshotTable[[#This Row],[SP Fill Date]],SnapshotTable[[#This Row],[SP Exp Date]], SnapshotTable[[#This Row],[SP Book Price]]),"")</f>
        <v/>
      </c>
      <c r="CQ25" s="78"/>
      <c r="CR2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 s="155" t="str">
        <f>IF(SnapshotTable[[#This Row],[SP Is Filled]], btc_next_cutoff_date(SnapshotTable[[#This Row],[SP Fill Date]],SnapshotTable[[#This Row],[SP Exp Date]]),"")</f>
        <v/>
      </c>
      <c r="CT25" s="235" t="str" cm="1">
        <f t="array" ref="CT25">IF(SnapshotTable[[#This Row],[SP Is Filled]], btc_should_buy_back(SnapshotTable[[#This Row],[SP Fill Date]], SnapshotTable[[#This Row],[SP Exp Date]], SnapshotTable[[#This Row],[SP Book Price]], SnapshotTable[[#This Row],[SP Current Ask]], MockToday, SnapshotTable[[#This Row],[SP Buyback Override]]),"")</f>
        <v/>
      </c>
      <c r="CU25" s="143"/>
      <c r="CV25" s="235"/>
      <c r="CW25" s="378" t="str">
        <f>IF(ISNUMBER( SnapshotTable[[#This Row],[SP Term]]), SnapshotTable[[#This Row],[SP Exp Date]] - MockToday,"")</f>
        <v/>
      </c>
      <c r="CX25" s="31" t="str">
        <f>IF(SnapshotTable[[#This Row],[SP Is Filled]],SnapshotTable[[#This Row],[SP Buyback Price to Use]] * 100 * SnapshotTable[[#This Row],[SP Qty]], "")</f>
        <v/>
      </c>
      <c r="CY25" s="4" t="str">
        <f>IF(ISNUMBER(SnapshotTable[[#This Row],[SP Strike Price]]), SnapshotTable[[#This Row],[SP Strike Price]] * (1 - SP_MaxLoss_StrikePct), "")</f>
        <v/>
      </c>
      <c r="CZ25" s="31" t="str">
        <f>IF(ISNUMBER(SnapshotTable[[#This Row],[SP Strike  Stop Per Share]]),SnapshotTable[[#This Row],[SP Premium]] - ((SnapshotTable[[#This Row],[SP Strike Price]]-SnapshotTable[[#This Row],[SP Strike  Stop Per Share]]) *(SnapshotTable[[#This Row],[SP Qty]] * 100)),"")</f>
        <v/>
      </c>
      <c r="DA25" s="4" t="str">
        <f>IF(AND(ISNUMBER(SnapshotTable[[#This Row],[SP Premium]]),SnapshotTable[[#This Row],[SP Premium]]&gt;0), SnapshotTable[[#This Row],[SP Book Price]] * (1 + SP_MaxLoss_OptionPct), "")</f>
        <v/>
      </c>
      <c r="DB25" s="31" t="str">
        <f>IF(ISNUMBER(SnapshotTable[[#This Row],[SP Option  Stop Contract]]),(SnapshotTable[[#This Row],[SP Option  Stop Contract]] *(SnapshotTable[[#This Row],[SP Qty]] * 100) - SnapshotTable[[#This Row],[SP Premium]]),"")</f>
        <v/>
      </c>
      <c r="DC25" s="4"/>
      <c r="DD25" s="4"/>
      <c r="DE25" s="4" t="str">
        <f>IF(AND(SnapshotTable[[#This Row],[SP Qty]]&gt;0, SnapshotTable[[#This Row],[SP Stop To Use]]&gt;0),SnapshotTable[[#This Row],[SP Premium]] - ( SnapshotTable[[#This Row],[SP Qty]] * SnapshotTable[[#This Row],[SP Stop To Use]] * 100), "")</f>
        <v/>
      </c>
      <c r="DF25" s="31" t="str">
        <f>IF(AND(SnapshotTable[[#This Row],[SP Qty]]&gt;0,SnapshotTable[[#This Row],[SP Current Ask]]&gt;0), SnapshotTable[[#This Row],[SP Qty]] * SnapshotTable[[#This Row],[SP Current Ask]] * -100, "")</f>
        <v/>
      </c>
      <c r="DG25" s="31" t="str">
        <f>IF(ISNUMBER((SnapshotTable[[#This Row],[SP Total Value]])), SnapshotTable[[#This Row],[SP Premium]] + SnapshotTable[[#This Row],[SP Total Value]], "")</f>
        <v/>
      </c>
      <c r="DH25" s="294" t="str">
        <f>IF(ISNUMBER((SnapshotTable[[#This Row],[SP Total Value]])), SnapshotTable[[#This Row],[SP Gain Loss]] / SnapshotTable[[#This Row],[SP Premium]], "")</f>
        <v/>
      </c>
      <c r="DI25" s="406"/>
      <c r="DJ25" s="138"/>
      <c r="DK25" s="148"/>
      <c r="DL25" s="13"/>
      <c r="DM25" s="13"/>
      <c r="DO25" s="31">
        <f>IF(SnapshotTable[[#This Row],[LC Symbol Count]]=1, SnapshotTable[[#This Row],[LC Qty]] * SnapshotTable[[#This Row],[LC Book Price]] * 100, 0)</f>
        <v>0</v>
      </c>
      <c r="DP25" s="163" t="str">
        <f>IF(AND(SnapshotTable[[#This Row],[LC Exp Date]]&gt;0, SnapshotTable[[#This Row],[LC Strike Price]]&gt;0,SnapshotTable[[#This Row],[LC Qty]]&gt;0,SnapshotTable[[#This Row],[LC Book Date]]&gt;0,SnapshotTable[[#This Row],[LC Book Price]]&gt;0,SnapshotTable[[#This Row],[LC Fill Date]]=0),"Y","")</f>
        <v/>
      </c>
      <c r="DQ25" s="386" t="str">
        <f>IF(SnapshotTable[[#This Row],[LC Premium]] &gt; 0,SnapshotTable[[#This Row],[LC Exp Date]]-MAX(SnapshotTable[[#This Row],[LC Book Date]], SnapshotTable[[#This Row],[LC Fill Date]]),"")</f>
        <v/>
      </c>
      <c r="DR25" s="386" t="str">
        <f>IF(ISNUMBER(SnapshotTable[[#This Row],[LC Term]]), SnapshotTable[[#This Row],[LC Exp Date]] - MockToday, "")</f>
        <v/>
      </c>
      <c r="DS25" s="234" t="str">
        <f>IF(SnapshotTable[[#This Row],[LC Premium]]&gt;0,SnapshotTable[[#This Row],[LC Strike Price]] + SnapshotTable[[#This Row],[LC Book Price]],"")</f>
        <v/>
      </c>
      <c r="DT25" s="5">
        <v>15.8</v>
      </c>
      <c r="DU25" s="9">
        <f>IF(AND(SnapshotTable[[#This Row],[LC Symbol Count]]&gt;0, SnapshotTable[[#This Row],[LC Contract Value]]&gt;0), SnapshotTable[[#This Row],[LC Contract Value]] * SnapshotTable[[#This Row],[LC Qty]] * 100, "")</f>
        <v>0</v>
      </c>
      <c r="DV25" s="9">
        <f>IF(AND(ISNUMBER(SnapshotTable[[#This Row],[LC Total Value]]), SnapshotTable[[#This Row],[LC Not Filled]]&lt;&gt;"Y"), SnapshotTable[[#This Row],[LC Total Value]]-SnapshotTable[[#This Row],[LC Premium]],"")</f>
        <v>0</v>
      </c>
      <c r="DW25" s="240" t="e">
        <f>IF(ISNUMBER(SnapshotTable[[#This Row],[LC Actual Gain Loss]]), SnapshotTable[[#This Row],[LC Actual Gain Loss]] / SnapshotTable[[#This Row],[LC Premium]],"")</f>
        <v>#DIV/0!</v>
      </c>
      <c r="DX25" s="284" t="str">
        <f>IF(ISNUMBER(SnapshotTable[[#This Row],[LC Book Price]]),SnapshotTable[[#This Row],[LC Book Price]] * 1.5,"")</f>
        <v/>
      </c>
      <c r="DY25" s="265" t="str">
        <f>IF(SnapshotTable[[#This Row],[LC Premium]]&gt;0, SnapshotTable[[#This Row],[LC Next Target]] * SnapshotTable[[#This Row],[LC Qty]] * 100,"")</f>
        <v/>
      </c>
      <c r="DZ25" s="265" t="str">
        <f>IF(ISNUMBER(SnapshotTable[[#This Row],[LC Target Gross]]), SnapshotTable[[#This Row],[LC Target Gross]] - SnapshotTable[[#This Row],[LC Premium]], "")</f>
        <v/>
      </c>
      <c r="EA25" s="305" t="str">
        <f>IF(ISNUMBER(SnapshotTable[[#This Row],[LC Target Gain Loss]]), SnapshotTable[[#This Row],[LC Target Gain Loss]]/SnapshotTable[[#This Row],[LC Premium]], "")</f>
        <v/>
      </c>
      <c r="EB25" s="262"/>
      <c r="EC25" s="283" t="str">
        <f>IF(SnapshotTable[[#This Row],[LC Premium]]&gt;0, SnapshotTable[[#This Row],[LC Book Price]] * (1 - LC_StopLoss_Pct),"")</f>
        <v/>
      </c>
      <c r="ED25" s="284"/>
      <c r="EE25" s="283" t="str">
        <f>IF(ISNUMBER(SnapshotTable[[#This Row],[LC Contract Value]]),IF(ISNUMBER(SnapshotTable[[#This Row],[LC Stop Loss Override]]), SnapshotTable[[#This Row],[LC Stop Loss Override]],SnapshotTable[[#This Row],[LC Stop Loss Calc Target]]),"")</f>
        <v/>
      </c>
      <c r="EF25" s="31" t="str">
        <f>IF(ISNUMBER(SnapshotTable[[#This Row],[LC Stop  To Use]]), (SnapshotTable[[#This Row],[LC Stop  To Use]] * SnapshotTable[[#This Row],[LC Qty]] * 100),"")</f>
        <v/>
      </c>
      <c r="EG25" s="9" t="e">
        <f>IF(ISNUMBER(SnapshotTable[[#This Row],[LC Total Value]]),SnapshotTable[[#This Row],[LC Stop Loss Amount]] - SnapshotTable[[#This Row],[LC Premium]],"")</f>
        <v>#VALUE!</v>
      </c>
      <c r="EH25" s="9">
        <f>IF(ISNUMBER(SnapshotTable[[#This Row],[LC Premium]]), SnapshotTable[[#This Row],[LC Qty]] * 100 * SnapshotTable[[#This Row],[LC Strike Price]], "")</f>
        <v>0</v>
      </c>
      <c r="EI25" s="240" t="str">
        <f>IF(AND(ISNUMBER(SnapshotTable[[#This Row],[LC Total Value]]),SnapshotTable[[#This Row],[LC Total Value]]&gt;0),SnapshotTable[[#This Row],[LC Stop Gain Loss]]  / SnapshotTable[[#This Row],[LC Premium]],"")</f>
        <v/>
      </c>
      <c r="EJ25" s="35">
        <f>IF(ISNUMBER(SnapshotTable[[#This Row],[Equity Shares]]),TRUNC(SnapshotTable[[#This Row],[Equity Shares]] / 100),0) + SnapshotTable[[#This Row],[LC Qty]]</f>
        <v>0</v>
      </c>
      <c r="EK25" s="147"/>
      <c r="EL25" s="138" t="str">
        <f>IF(SnapshotTable[[#This Row],[SC Exp Date]]&lt;&gt;"",TRUNC(SnapshotTable[[#This Row],[Last Price]]),"")</f>
        <v/>
      </c>
      <c r="EM25" s="148"/>
      <c r="EN25" s="147"/>
      <c r="EO25" s="147"/>
      <c r="EP25" s="138"/>
      <c r="EQ25" s="419" t="b">
        <f>AND(ISNUMBER(SnapshotTable[[#This Row],[SC Exp Date]]), ISNUMBER(SnapshotTable[[#This Row],[SC Strike Price]]), ISNUMBER(SnapshotTable[[#This Row],[SC Qty]]), ISNUMBER(SnapshotTable[[#This Row],[SC Book Date]]), ISNUMBER(SnapshotTable[[#This Row],[SC Book Price]]))</f>
        <v>0</v>
      </c>
      <c r="ER25" s="419" t="b">
        <f>AND(SnapshotTable[[#This Row],[SC Is Booked]], NOT(ISBLANK(SnapshotTable[[#This Row],[SC Fill Date]])))</f>
        <v>0</v>
      </c>
      <c r="ES25" s="370"/>
      <c r="ET25" s="34" t="str">
        <f>IF(AND(ISNUMBER(SnapshotTable[[#This Row],[SC Exp Date]]), ISNUMBER(SnapshotTable[[#This Row],[SC Book Date]])), SnapshotTable[[#This Row],[SC Exp Date]] - MAX(SnapshotTable[[#This Row],[SC Book Date]], SnapshotTable[[#This Row],[SC Fill Date]]) + 1, "")</f>
        <v/>
      </c>
      <c r="EU25" s="34" t="str">
        <f>IF(ISNUMBER(SnapshotTable[[#This Row],[SC Term]]), SnapshotTable[[#This Row],[SC Exp Date]]- MockToday, "")</f>
        <v/>
      </c>
      <c r="EV25" s="31">
        <f>IF(SnapshotTable[[#This Row],[SC Is Booked]], SnapshotTable[[#This Row],[SC Qty]] * SnapshotTable[[#This Row],[SC Book Price]] * 100, 0)</f>
        <v>0</v>
      </c>
      <c r="EW25" s="4" t="str">
        <f>IF(AND(ISNUMBER(SnapshotTable[[#This Row],[Last Price]]), ISNUMBER( SnapshotTable[[#This Row],[SC Book Price]])), SnapshotTable[[#This Row],[Last Price]] - SnapshotTable[[#This Row],[SC Book Price]],"")</f>
        <v/>
      </c>
      <c r="EX25" s="234" t="str">
        <f>IF(SnapshotTable[[#This Row],[SC Is Booked]],IF(SnapshotTable[[#This Row],[SC Intrinsic Value]] &gt; 0, SnapshotTable[[#This Row],[SC Strike Price]], SnapshotTable[[#This Row],[Last Price]]), "")</f>
        <v/>
      </c>
      <c r="EY25" s="4">
        <f>IF(SnapshotTable[[#This Row],[SC Is Booked]], (MinimumPremiumRequired * SnapshotTable[[#This Row],[SC Basis]] * SnapshotTable[[#This Row],[SC Term]]), 0)</f>
        <v>0</v>
      </c>
      <c r="EZ25" s="283"/>
      <c r="FA25" s="218"/>
      <c r="FB25" s="370"/>
      <c r="FC25" s="4">
        <f>IF(SnapshotTable[[#This Row],[SC Is Filled]], btc_max_buyback_amount(SnapshotTable[[#This Row],[SC Fill Date]],SnapshotTable[[#This Row],[SC Exp Date]], SnapshotTable[[#This Row],[SC Book Price]]),0)</f>
        <v>0</v>
      </c>
      <c r="FD25" s="5"/>
      <c r="FE25" s="144" t="str">
        <f>IF(SnapshotTable[[#This Row],[SC Is Filled]], btc_next_cutoff_date(SnapshotTable[[#This Row],[SC Fill Date]],SnapshotTable[[#This Row],[SC Exp Date]]),"")</f>
        <v/>
      </c>
      <c r="FF25" s="4" t="str" cm="1">
        <f t="array" ref="FF25">IF(SnapshotTable[[#This Row],[SC Is Filled]], btc_should_buy_back(SnapshotTable[[#This Row],[SC Fill Date]], SnapshotTable[[#This Row],[SC Exp Date]], SnapshotTable[[#This Row],[SC Book Price]], SnapshotTable[[#This Row],[SC Current Ask]], MockToday, SnapshotTable[[#This Row],[SC Buyback Override]]),"")</f>
        <v/>
      </c>
      <c r="FG25" s="4">
        <f>IF(SnapshotTable[[#This Row],[SC Is Filled]], MAX(0,SnapshotTable[[#This Row],[Last Price]]  - SnapshotTable[[#This Row],[SC Strike Price]]), 0)</f>
        <v>0</v>
      </c>
      <c r="FH25" s="382">
        <f>IF(SnapshotTable[[#This Row],[SC Is Filled]], IF(ISNUMBER(SnapshotTable[[#This Row],[SC Current Ask]]), SnapshotTable[[#This Row],[SC Current Ask]], SnapshotTable[[#This Row],[SC Book Price]]) - SnapshotTable[[#This Row],[SC Intrinsic Value]], 0)</f>
        <v>0</v>
      </c>
      <c r="FI25" s="143"/>
      <c r="FJ25" s="32" t="str">
        <f>IF(SnapshotTable[[#This Row],[SC Is Filled]],100 * SnapshotTable[[#This Row],[SC Qty]] * IF(ISNUMBER(SnapshotTable[[#This Row],[SC Buyback Override]]), SnapshotTable[[#This Row],[SC Buyback Override]], SnapshotTable[[#This Row],[SC Current Ask]]), "")</f>
        <v/>
      </c>
      <c r="FK25" s="250" t="str">
        <f>IF(SnapshotTable[[#This Row],[SC Time Val]]&gt;0, SnapshotTable[[#This Row],[SC Time Val]] / SnapshotTable[[#This Row],[Last Price]],"")</f>
        <v/>
      </c>
      <c r="FL25" s="302" t="str">
        <f>IF(SnapshotTable[[#This Row],[SC Is Booked]], ((SnapshotTable[[#This Row],[Last Price]] -SnapshotTable[[#This Row],[SC Strike Price]]) / SnapshotTable[[#This Row],[Last Price]]) * -1, "")</f>
        <v/>
      </c>
      <c r="FM25" s="157" t="str">
        <f>IF(SnapshotTable[[#This Row],[SC Is Booked]],  (SnapshotTable[[#This Row],[SC Qty]] * 100 * SnapshotTable[[#This Row],[SC Strike Price]]) - SnapshotTable[[#This Row],[SC Current Ask]], "")</f>
        <v/>
      </c>
      <c r="FN2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 s="31" t="str">
        <f>IF(AND(ISNUMBER(SnapshotTable[[#This Row],[SC Exercise Gross]]), ISNUMBER(SnapshotTable[[#This Row],[Equity Basis Per Share]] )), SnapshotTable[[#This Row],[SC Exercise Gross]] - SnapshotTable[[#This Row],[Equity Basis Total]] +  SnapshotTable[[#This Row],[SC Premium]], "")</f>
        <v/>
      </c>
      <c r="FP25" s="5" t="str">
        <f>IF(ISNUMBER(SnapshotTable[[#This Row],[SC Exercise Gross]]), (SnapshotTable[[#This Row],[SC Exercise Gross]]) / (SnapshotTable[[#This Row],[SC Qty]] * 100), "")</f>
        <v/>
      </c>
      <c r="FQ25" s="27" t="str">
        <f>IF(SnapshotTable[[#This Row],[SC Is Booked]],SnapshotTable[[#This Row],[SC Time Val]] /SnapshotTable[[#This Row],[SC Basis]], "")</f>
        <v/>
      </c>
      <c r="FR25" s="27" t="str" cm="1">
        <f t="array" ref="FR25">IF(AND(ISNUMBER(SnapshotTable[[#This Row],[SC Term]]),ISNUMBER(SnapshotTable[[#This Row],[SC Simple ROO]])), EllmanAnnualize(SnapshotTable[[#This Row],[SC DTE]], SnapshotTable[[#This Row],[SC Simple ROO]] ),"")</f>
        <v/>
      </c>
      <c r="FS25" s="4" t="e">
        <f>IF(SnapshotTable[[#This Row],[SC Strike Price]] &gt; SnapshotTable[[#This Row],[Last Price]], SnapshotTable[[#This Row],[SC Strike Price]] - SnapshotTable[[#This Row],[Last Price]],0)</f>
        <v>#VALUE!</v>
      </c>
      <c r="FT25" s="27" t="e">
        <f>IF(AND(ISNUMBER(SnapshotTable[[#This Row],[SC Upside Potential]]), SnapshotTable[[#This Row],[SC Upside Potential]] &gt; 0),(SnapshotTable[[#This Row],[SC Upside Potential]]/ SnapshotTable[[#This Row],[ACB]]),"")</f>
        <v>#VALUE!</v>
      </c>
      <c r="FU25" s="333" t="str">
        <f>IF(SnapshotTable[[#This Row],[SC Intrinsic Value]] &gt; 0,SnapshotTable[[#This Row],[SC Intrinsic Value]],"")</f>
        <v/>
      </c>
      <c r="FV25" s="27" t="str">
        <f>IF(AND( ISNUMBER( SnapshotTable[[#This Row],[ACB]]),ISNUMBER(SnapshotTable[[#This Row],[SC Downside Protect]])),SnapshotTable[[#This Row],[SC Downside Protect]] / SnapshotTable[[#This Row],[ACB]],"")</f>
        <v/>
      </c>
      <c r="FW25" s="236" t="str">
        <f>IF(AND(ISNUMBER(SnapshotTable[[#This Row],[SC Simple ROO]]),SnapshotTable[[#This Row],[SC Simple ROO]] &gt; 0), SnapshotTable[[#This Row],[SC Premium]] + (SnapshotTable[[#This Row],[SC Qty]] * SnapshotTable[[#This Row],[SC Upside Potential]]), "")</f>
        <v/>
      </c>
      <c r="FX25" s="302" t="str" cm="1">
        <f t="array" ref="FX25">IF(ISNUMBER(SnapshotTable[[#This Row],[SC Max Dollars]]), annualize(SnapshotTable[[#This Row],[SC Term]],(SnapshotTable[[#This Row],[SC Max Dollars]]/SnapshotTable[[#This Row],[SC Basis]])),"")</f>
        <v/>
      </c>
      <c r="FY25" s="236" t="str">
        <f>IF(AND(SnapshotTable[[#This Row],[SC Qty]]&gt;0,SnapshotTable[[#This Row],[SC Current Ask]]&gt;0), SnapshotTable[[#This Row],[SC Qty]] * SnapshotTable[[#This Row],[SC Current Ask]] * -100, "")</f>
        <v/>
      </c>
      <c r="FZ25" s="31" t="str">
        <f>IF(ISNUMBER((SnapshotTable[[#This Row],[SC Current Value]])), SnapshotTable[[#This Row],[SC Premium]] + SnapshotTable[[#This Row],[SC Current Value]], "")</f>
        <v/>
      </c>
      <c r="GA25" s="294" t="str">
        <f>IFERROR( IF(ISNUMBER((SnapshotTable[[#This Row],[SC Current Value]])), SnapshotTable[[#This Row],[SC Gain Loss]] / SnapshotTable[[#This Row],[SC Premium]], ""), "")</f>
        <v/>
      </c>
      <c r="GB25" s="42">
        <f>SnapshotTable[[#This Row],[Equity Shares]] * SaleSharesToConsiderPercentage</f>
        <v>0</v>
      </c>
      <c r="GC25" s="40">
        <f>SnapshotTable[[#This Row],[Long Term Target]] * SellingPriceToConsiderBasedOnTargetPercentage</f>
        <v>71.553999999999988</v>
      </c>
      <c r="GD25" s="40">
        <f>SnapshotTable[[#This Row],[Last Price]] * (1+ SellingPriceToConsiderBasedOnTargetPercentage)</f>
        <v>254.16300000000001</v>
      </c>
      <c r="GE25" s="41"/>
      <c r="GF25" s="40"/>
      <c r="GG25" s="31">
        <f>SnapshotTable[[#This Row],[Booked Sale Shares]] * SnapshotTable[[#This Row],[Booked Sale Price]]</f>
        <v>0</v>
      </c>
      <c r="GH25" s="31" t="str">
        <f>IF(SnapshotTable[[#This Row],[Equity Basis Total]] &gt; 0, SnapshotTable[[#This Row],[Equity Basis Per Share]] * SnapshotTable[[#This Row],[Booked Sale Shares]], "")</f>
        <v/>
      </c>
      <c r="GI25" s="31">
        <f>IF(SnapshotTable[[#This Row],[Sale Proceeds]]&gt;0, SnapshotTable[[#This Row],[Sale Proceeds]] - SnapshotTable[[#This Row],[Sale Basis]], 0)</f>
        <v>0</v>
      </c>
      <c r="GJ25" s="27" t="str">
        <f>IF(SnapshotTable[[#This Row],[Sale G/L]]&gt;0, SnapshotTable[[#This Row],[Sale G/L]] / SnapshotTable[[#This Row],[Sale Basis]], IF(ISNUMBER(SnapshotTable[[#This Row],[SC Exercise P&amp;L (TAX)]]), SnapshotTable[[#This Row],[SC Exercise P&amp;L (TAX)]] / SnapshotTable[[#This Row],[SC Basis]], ""))</f>
        <v/>
      </c>
      <c r="GK25" s="27" t="s">
        <v>713</v>
      </c>
      <c r="GL25" s="43" t="str">
        <f>IF(AND(SnapshotTable[[#This Row],[LP Exp Date]]&gt;0,SnapshotTable[[#This Row],[LP Strike Price]]&gt;0), [1]!ToOptionSymbol(SnapshotTable[[#This Row],[Symbol]], SnapshotTable[[#This Row],[LP Strike Price]],SnapshotTable[[#This Row],[LP Exp Date]],1), "")</f>
        <v/>
      </c>
      <c r="GM25" s="30" t="str">
        <f>IF(LEN(SnapshotTable[[#This Row],[LP Symbol]])&gt;0, 1, "")</f>
        <v/>
      </c>
      <c r="GN25" s="43" t="str">
        <f>IF(AND(SnapshotTable[[#This Row],[SP Exp Date]]&gt;0,SnapshotTable[[#This Row],[SP Strike Price]]&gt;0), [1]!ToOptionSymbol(SnapshotTable[[#This Row],[Symbol]], SnapshotTable[[#This Row],[SP Strike Price]],SnapshotTable[[#This Row],[SP Exp Date]],1), "")</f>
        <v/>
      </c>
      <c r="GO25" s="30" t="str">
        <f>IF(LEN(SnapshotTable[[#This Row],[SP Symbol]])&gt;0, 1, "")</f>
        <v/>
      </c>
      <c r="GP25" s="43" t="str">
        <f>IF(AND(SnapshotTable[[#This Row],[LC Exp Date]]&gt;0,SnapshotTable[[#This Row],[LC Strike Price]]&gt;0), [1]!ToOptionSymbol(SnapshotTable[[#This Row],[Symbol]], SnapshotTable[[#This Row],[LC Strike Price]],SnapshotTable[[#This Row],[LC Exp Date]],0), "")</f>
        <v/>
      </c>
      <c r="GQ25" s="30" t="str">
        <f>IF(LEN(SnapshotTable[[#This Row],[LC Symbol]])&gt;0, 1, "")</f>
        <v/>
      </c>
      <c r="GR25" s="43" t="str">
        <f>IF(AND(SnapshotTable[[#This Row],[SC Exp Date]]&gt;0,SnapshotTable[[#This Row],[SC Strike Price]]&gt;0), [1]!ToOptionSymbol(SnapshotTable[[#This Row],[Symbol]], SnapshotTable[[#This Row],[SC Strike Price]],SnapshotTable[[#This Row],[SC Exp Date]],0), "")</f>
        <v/>
      </c>
      <c r="GS25" s="30" t="str">
        <f>IF(LEN(SnapshotTable[[#This Row],[SC Symbol]])&gt;0, 1, "")</f>
        <v/>
      </c>
      <c r="GT25" s="29" t="str">
        <f>IF(COUNT(SnapshotTable[[#This Row],[LP Symbol Count]],SnapshotTable[[#This Row],[SP Symbol Count]],SnapshotTable[[#This Row],[LC Symbol Count]],SnapshotTable[[#This Row],[SC Symbol Count]])&gt;0, "Y", "")</f>
        <v/>
      </c>
      <c r="GU2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 s="231" t="e">
        <f>MAX(SnapshotTable[[#This Row],[Equity Basis Total]],SnapshotTable[[#This Row],[Equity Value]]) + (SnapshotTable[[#This Row],[SP Potential Spend]]- SnapshotTable[[#This Row],[SP Premium]] + SnapshotTable[[#This Row],[LP Premium]])+ (SnapshotTable[[#This Row],[LC Premium]] - SnapshotTable[[#This Row],[SC Premium]])</f>
        <v>#VALUE!</v>
      </c>
      <c r="GW25" s="139" t="e">
        <f>IF(AND(SnapshotTable[[#This Row],[Exposure]] &lt;&gt; 0),SnapshotTable[[#This Row],[Exposure]] / SnapshotTable[[#Totals],[Exposure]], "")</f>
        <v>#VALUE!</v>
      </c>
      <c r="HK25" s="1"/>
      <c r="HL25" s="1"/>
      <c r="HM25" s="1"/>
      <c r="HN25" s="1"/>
      <c r="HO25" s="1"/>
      <c r="HP25" s="1"/>
    </row>
    <row r="26" spans="2:224" ht="12.75" hidden="1" customHeight="1" x14ac:dyDescent="0.25">
      <c r="B26" s="12" t="s">
        <v>50</v>
      </c>
      <c r="C26" s="422">
        <v>193.02</v>
      </c>
      <c r="D26" s="208" t="s">
        <v>586</v>
      </c>
      <c r="E26" s="39">
        <f>SnapshotTable[[#This Row],[Last Price]]*(1 -CrashDiscount)</f>
        <v>164.06700000000001</v>
      </c>
      <c r="F26" s="26" t="s">
        <v>550</v>
      </c>
      <c r="G26" s="26" t="s">
        <v>41</v>
      </c>
      <c r="H26" s="149"/>
      <c r="I26" s="194">
        <v>44770.708333333336</v>
      </c>
      <c r="J26" s="195">
        <v>44770.708333333336</v>
      </c>
      <c r="K26" s="196"/>
      <c r="L26" s="326" t="s">
        <v>580</v>
      </c>
      <c r="M26" s="140"/>
      <c r="N26" s="140"/>
      <c r="O26" s="140"/>
      <c r="P26" s="22"/>
      <c r="Q26" s="25"/>
      <c r="R26" s="4" t="str">
        <f>IF(SnapshotTable[[#This Row],[Equity Basis Total]] &gt; 0, SnapshotTable[[#This Row],[Equity Basis Total]] / SnapshotTable[[#This Row],[Equity Shares]], "")</f>
        <v/>
      </c>
      <c r="S26" s="269">
        <f>SnapshotTable[[#This Row],[Last Price]] * SnapshotTable[[#This Row],[Equity Shares]]</f>
        <v>0</v>
      </c>
      <c r="T26" s="269">
        <f>SnapshotTable[[#This Row],[Equity Value]] - SnapshotTable[[#This Row],[Equity Basis Total]]</f>
        <v>0</v>
      </c>
      <c r="U26" s="270" t="str">
        <f>IF(SnapshotTable[[#This Row],[Equity Basis Total]] &gt; 0, SnapshotTable[[#This Row],[Equity G/L]] / SnapshotTable[[#This Row],[Equity Basis Total]], "")</f>
        <v/>
      </c>
      <c r="V26" s="268"/>
      <c r="W26" s="268"/>
      <c r="X26" s="4" t="str">
        <f>IF(AND(ISNUMBER(SnapshotTable[[#This Row],[Equity Basis Per Share]]),ISNUMBER(SnapshotTable[[#This Row],[Equity Target]])),SnapshotTable[[#This Row],[Equity Target]]-SnapshotTable[[#This Row],[Equity Basis Per Share]],"")</f>
        <v/>
      </c>
      <c r="Y26" s="4" t="str">
        <f>IF(AND(ISNUMBER(SnapshotTable[[#This Row],[Equity Basis Per Share]]),ISNUMBER(SnapshotTable[[#This Row],[Equity Stop Loss]])),SnapshotTable[[#This Row],[Equity Stop Loss]]-SnapshotTable[[#This Row],[Equity Basis Per Share]],"")</f>
        <v/>
      </c>
      <c r="Z26" s="275" t="str">
        <f>IFERROR( TEXT(SnapshotTable[[#This Row],[Equity Max Gain Per Share]] /ABS( SnapshotTable[[#This Row],[Equity Max Loss Per Share]]),"0.0 " ) &amp; " : 1", "")</f>
        <v/>
      </c>
      <c r="AA26" s="31" t="str">
        <f>IF(ISNUMBER(SnapshotTable[[#This Row],[Equity Max Gain Per Share]]),SnapshotTable[[#This Row],[Equity Max Gain Per Share]] * SnapshotTable[[#This Row],[Equity Shares]],"")</f>
        <v/>
      </c>
      <c r="AB26" s="31" t="str">
        <f>IF(ISNUMBER(SnapshotTable[[#This Row],[Equity Max Loss Per Share]]),SnapshotTable[[#This Row],[Equity Max Loss Per Share]] * SnapshotTable[[#This Row],[Equity Shares]],"")</f>
        <v/>
      </c>
      <c r="AC26" s="150">
        <v>2.88</v>
      </c>
      <c r="AD26" s="151">
        <v>42993</v>
      </c>
      <c r="AE26" s="31">
        <f>(SnapshotTable[[#This Row],[Annual Dividend Per Share]] / 4) * SnapshotTable[[#This Row],[Equity Shares]]</f>
        <v>0</v>
      </c>
      <c r="AF26" s="31">
        <f>SnapshotTable[[#This Row],[Quarterly Div $]] * 4</f>
        <v>0</v>
      </c>
      <c r="AG26" s="7">
        <f>IF(SnapshotTable[[#This Row],[Annual Dividend Per Share]]&gt;0, SnapshotTable[[#This Row],[Annual Dividend Per Share]]  / SnapshotTable[[#This Row],[Last Price]], 0)</f>
        <v>1.4920733602735466E-2</v>
      </c>
      <c r="AH26" s="151">
        <v>43782</v>
      </c>
      <c r="AI26" s="5">
        <v>205</v>
      </c>
      <c r="AJ26" s="138">
        <v>9.5399999999999991</v>
      </c>
      <c r="AK26" s="152">
        <f>IF(ISNUMBER( SnapshotTable[[#This Row],[EBF Target]]),(SnapshotTable[[#This Row],[EBF Target]] - SnapshotTable[[#This Row],[Last Price]]) / SnapshotTable[[#This Row],[Last Price]], "")</f>
        <v>6.2066107139156508E-2</v>
      </c>
      <c r="AL26" s="152" t="str">
        <f>IF(AND(SnapshotTable[[#This Row],[Equity Basis Total]] &gt; 0,ISNUMBER( SnapshotTable[[#This Row],[Long Term Target]])), SnapshotTable[[#This Row],[From Basis $]] / SnapshotTable[[#This Row],[Equity Basis Total]], "")</f>
        <v/>
      </c>
      <c r="AM26" s="9">
        <f>IF( AND(SnapshotTable[[#This Row],[Equity Shares]] &gt;0,ISNUMBER( SnapshotTable[[#This Row],[Long Term Target]])),(SnapshotTable[[#This Row],[Equity Shares]] * SnapshotTable[[#This Row],[Long Term Target]]) - SnapshotTable[[#This Row],[Equity Basis Total]],0)</f>
        <v>0</v>
      </c>
      <c r="AN26" s="9">
        <f>IF( AND(SnapshotTable[[#This Row],[Equity Shares]] &gt;0,ISNUMBER( SnapshotTable[[#This Row],[Long Term Target]])),(SnapshotTable[[#This Row],[Equity Shares]]*SnapshotTable[[#This Row],[Long Term Target]]) - SnapshotTable[[#This Row],[Equity Value]],0)</f>
        <v>0</v>
      </c>
      <c r="AO26" s="152">
        <f>IF(AND(ISNUMBER( SnapshotTable[[#This Row],[Long Term Target]]), ISNUMBER(SnapshotTable[[#This Row],[Last Price]])),(SnapshotTable[[#This Row],[Long Term Target]] - SnapshotTable[[#This Row],[Last Price]]) / SnapshotTable[[#This Row],[Last Price]], "")</f>
        <v>-0.95057506994093877</v>
      </c>
      <c r="AP26" s="5">
        <v>8</v>
      </c>
      <c r="AQ26" s="38" t="s">
        <v>27</v>
      </c>
      <c r="AR26" s="5">
        <v>8</v>
      </c>
      <c r="AS26" s="38" t="s">
        <v>38</v>
      </c>
      <c r="AT26" s="146" t="s">
        <v>542</v>
      </c>
      <c r="AU26" s="187" t="str">
        <f>IF(OR(SnapshotTable[[#This Row],[LP No Fill]]="Y",SnapshotTable[[#This Row],[SP Is Filled]],SnapshotTable[[#This Row],[LC Not Filled]]="Y",SnapshotTable[[#This Row],[SC Is Filled]]),"Y","")</f>
        <v/>
      </c>
      <c r="AV26" s="219"/>
      <c r="AW26" s="225"/>
      <c r="AX26" s="220"/>
      <c r="AY26" s="219" t="str">
        <f>IF(SnapshotTable[[#This Row],[Implied Move]]&gt;0, SnapshotTable[[#This Row],[Last Price]]-SnapshotTable[[#This Row],[Implied Move]],"")</f>
        <v/>
      </c>
      <c r="AZ26" s="219" t="str">
        <f>IF(SnapshotTable[[#This Row],[Implied Move]]&gt;0, SnapshotTable[[#This Row],[Last Price]] + SnapshotTable[[#This Row],[Implied Move]],"")</f>
        <v/>
      </c>
      <c r="BA26" s="331"/>
      <c r="BB26" s="347"/>
      <c r="BC2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 s="351"/>
      <c r="BE26" s="5"/>
      <c r="BF26" s="14"/>
      <c r="BG26" s="13"/>
      <c r="BH26" s="13"/>
      <c r="BI26" s="5"/>
      <c r="BJ26" s="136">
        <f>IF(SnapshotTable[[#This Row],[LP Qty]] &gt; 0, SnapshotTable[[#This Row],[LP Qty]] * SnapshotTable[[#This Row],[LP Book Price]] * 100,0)</f>
        <v>0</v>
      </c>
      <c r="BK26" s="136">
        <f>IF(SnapshotTable[[#This Row],[LP Premium]] &gt; 0, SnapshotTable[[#This Row],[LP Qty]] * SnapshotTable[[#This Row],[LP Strike Price]] * 100,0)</f>
        <v>0</v>
      </c>
      <c r="BL26" s="154"/>
      <c r="BM26" s="385" t="str">
        <f>IF(SnapshotTable[[#This Row],[LP Premium]] &gt; 0,SnapshotTable[[#This Row],[LP Exp Date]]-MAX(SnapshotTable[[#This Row],[LP Book Date]], SnapshotTable[[#This Row],[LP Fill Date]]),"")</f>
        <v/>
      </c>
      <c r="BN26" s="385" t="str">
        <f>IF(ISNUMBER( SnapshotTable[[#This Row],[LP Term]]), SnapshotTable[[#This Row],[LP Exp Date]] - MockToday,"")</f>
        <v/>
      </c>
      <c r="BO26" s="163" t="str">
        <f>IF(AND(SnapshotTable[[#This Row],[LP Exp Date]]&gt;0, SnapshotTable[[#This Row],[LP Strike Price]]&gt;0,SnapshotTable[[#This Row],[LP Qty]]&gt;0,SnapshotTable[[#This Row],[LP Book Date]]&gt;0,SnapshotTable[[#This Row],[LP Book Price]]&gt;0,SnapshotTable[[#This Row],[LP Fill Date]]=0),"Y","")</f>
        <v/>
      </c>
      <c r="BP26" s="31" t="str">
        <f>IF(AND(SnapshotTable[[#This Row],[LP No Fill]]&lt;&gt;"Y",SnapshotTable[[#This Row],[LP Contract Value]]&gt;0, SnapshotTable[[#This Row],[LP Qty]]&gt;0), SnapshotTable[[#This Row],[LP Contract Value]]*SnapshotTable[[#This Row],[LP Qty]]*100,"")</f>
        <v/>
      </c>
      <c r="BQ26" s="13"/>
      <c r="BR26" s="5" t="str">
        <f>IF(SnapshotTable[[#This Row],[SP Exp Date]]&lt;&gt;"",TRUNC(SnapshotTable[[#This Row],[Last Price]]),"")</f>
        <v/>
      </c>
      <c r="BS26" s="36"/>
      <c r="BT26" s="147"/>
      <c r="BU26" s="13"/>
      <c r="BV26" s="5"/>
      <c r="BW26" s="419" t="b">
        <f>AND(ISNUMBER(SnapshotTable[[#This Row],[SP Exp Date]]), ISNUMBER(SnapshotTable[[#This Row],[SP Strike Price]]), ISNUMBER(SnapshotTable[[#This Row],[SP Qty]]), ISNUMBER(SnapshotTable[[#This Row],[SP Book Date]]), ISNUMBER(SnapshotTable[[#This Row],[SP Book Price]]))</f>
        <v>0</v>
      </c>
      <c r="BX26" s="419" t="b">
        <f>AND(SnapshotTable[[#This Row],[SP Is Booked]], NOT(ISBLANK(SnapshotTable[[#This Row],[SP Fill Date]])))</f>
        <v>0</v>
      </c>
      <c r="BY26" s="33">
        <f>IF(SnapshotTable[[#This Row],[SP Is Booked]], SnapshotTable[[#This Row],[SP Qty]] * SnapshotTable[[#This Row],[SP Book Price]] * 100, 0)</f>
        <v>0</v>
      </c>
      <c r="BZ26" s="369"/>
      <c r="CA26" s="368">
        <f>SnapshotTable[[#This Row],[LP Qty]]</f>
        <v>0</v>
      </c>
      <c r="CB26" s="4" t="str">
        <f>IF(SnapshotTable[[#This Row],[SP Is Booked]], SnapshotTable[[#This Row],[SP Strike Price]] - SnapshotTable[[#This Row],[SP Book Price]], "")</f>
        <v/>
      </c>
      <c r="CC26" s="19" t="str">
        <f>IF(SnapshotTable[[#This Row],[SP Is Booked]],SnapshotTable[[#This Row],[SP Exp Date]]-MAX(SnapshotTable[[#This Row],[SP Book Date]], SnapshotTable[[#This Row],[SP Fill Date]]),"")</f>
        <v/>
      </c>
      <c r="CD26" s="7" t="str">
        <f>IF(SnapshotTable[[#This Row],[SP Is Booked]], SnapshotTable[[#This Row],[SP Book Price]]/SnapshotTable[[#This Row],[SP Strike Price]], "")</f>
        <v/>
      </c>
      <c r="CE26" s="7" t="str">
        <f>IF(ISNUMBER(SnapshotTable[[#This Row],[SP ROO Term]]),SnapshotTable[[#This Row],[SP ROO Term]]*(365/SnapshotTable[[#This Row],[SP Term]]),"")</f>
        <v/>
      </c>
      <c r="CF26" s="236">
        <f>SnapshotTable[[#This Row],[LP Strike Price]] * SnapshotTable[[#This Row],[LP Qty]] * 100</f>
        <v>0</v>
      </c>
      <c r="CG26" s="31" t="e">
        <f>IF(ISNUMBER(SnapshotTable[[#This Row],[SP Premium]]), (SnapshotTable[[#This Row],[SP Qty]] * SnapshotTable[[#This Row],[SP Strike Price]]* 100) - SnapshotTable[[#This Row],[LP Protection]], 0)</f>
        <v>#VALUE!</v>
      </c>
      <c r="CH26" s="7" t="str">
        <f>IF(ISNUMBER(SnapshotTable[[#This Row],[SP Break Even]]),-1 * (SnapshotTable[[#This Row],[SP Break Even]] - SnapshotTable[[#This Row],[Last Price]]) / SnapshotTable[[#This Row],[Last Price]], "")</f>
        <v/>
      </c>
      <c r="CI26" s="31">
        <f>IF(AND(ISNUMBER((SnapshotTable[[#This Row],[SP Potential Spend]])), SnapshotTable[[#This Row],[SP Strike Price]] &gt; SnapshotTable[[#This Row],[Last Price]], SnapshotTable[[#This Row],[SP Is Filled]]), SnapshotTable[[#This Row],[SP Potential Spend]] -  SnapshotTable[[#This Row],[LP Max Value]], 0)</f>
        <v>0</v>
      </c>
      <c r="CJ26" s="244"/>
      <c r="CK26" s="31" t="str">
        <f>IF(ISNUMBER(SnapshotTable[[#This Row],[SP Potential Spend]]),IF(ISNUMBER(SnapshotTable[[#This Row],[SP POW]]), SnapshotTable[[#This Row],[SP POW]] * SnapshotTable[[#This Row],[SP Potential Spend]], SnapshotTable[[#This Row],[SP Potential Spend]]), "")</f>
        <v/>
      </c>
      <c r="CL26" s="164" t="e">
        <f>IF(NOT(SnapshotTable[[#This Row],[SP Is Filled]]),(SnapshotTable[[#This Row],[SP Qty]] * SnapshotTable[[#This Row],[SP Strike Price]] * 100) - SnapshotTable[[#This Row],[LP Max Value]],"")</f>
        <v>#VALUE!</v>
      </c>
      <c r="CM26" s="31" t="str">
        <f>IF(SnapshotTable[[#This Row],[SP Actual Spend]]&lt;&gt;0, ((SnapshotTable[[#This Row],[SP Strike Price]]-SnapshotTable[[#This Row],[Last Price]]) *(SnapshotTable[[#This Row],[SP Qty]]*100) - SnapshotTable[[#This Row],[SP Premium]]) * - 1, "")</f>
        <v/>
      </c>
      <c r="CN26" s="78"/>
      <c r="CO26" s="369"/>
      <c r="CP26" s="4" t="str">
        <f>IF(SnapshotTable[[#This Row],[SP Is Filled]], btc_max_buyback_amount(SnapshotTable[[#This Row],[SP Fill Date]],SnapshotTable[[#This Row],[SP Exp Date]], SnapshotTable[[#This Row],[SP Book Price]]),"")</f>
        <v/>
      </c>
      <c r="CQ26" s="78"/>
      <c r="CR2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 s="155" t="str">
        <f>IF(SnapshotTable[[#This Row],[SP Is Filled]], btc_next_cutoff_date(SnapshotTable[[#This Row],[SP Fill Date]],SnapshotTable[[#This Row],[SP Exp Date]]),"")</f>
        <v/>
      </c>
      <c r="CT26" s="235" t="str" cm="1">
        <f t="array" ref="CT26">IF(SnapshotTable[[#This Row],[SP Is Filled]], btc_should_buy_back(SnapshotTable[[#This Row],[SP Fill Date]], SnapshotTable[[#This Row],[SP Exp Date]], SnapshotTable[[#This Row],[SP Book Price]], SnapshotTable[[#This Row],[SP Current Ask]], MockToday, SnapshotTable[[#This Row],[SP Buyback Override]]),"")</f>
        <v/>
      </c>
      <c r="CU26" s="143"/>
      <c r="CV26" s="235"/>
      <c r="CW26" s="378" t="str">
        <f>IF(ISNUMBER( SnapshotTable[[#This Row],[SP Term]]), SnapshotTable[[#This Row],[SP Exp Date]] - MockToday,"")</f>
        <v/>
      </c>
      <c r="CX26" s="31" t="str">
        <f>IF(SnapshotTable[[#This Row],[SP Is Filled]],SnapshotTable[[#This Row],[SP Buyback Price to Use]] * 100 * SnapshotTable[[#This Row],[SP Qty]], "")</f>
        <v/>
      </c>
      <c r="CY26" s="4" t="str">
        <f>IF(ISNUMBER(SnapshotTable[[#This Row],[SP Strike Price]]), SnapshotTable[[#This Row],[SP Strike Price]] * (1 - SP_MaxLoss_StrikePct), "")</f>
        <v/>
      </c>
      <c r="CZ26" s="31" t="str">
        <f>IF(ISNUMBER(SnapshotTable[[#This Row],[SP Strike  Stop Per Share]]),SnapshotTable[[#This Row],[SP Premium]] - ((SnapshotTable[[#This Row],[SP Strike Price]]-SnapshotTable[[#This Row],[SP Strike  Stop Per Share]]) *(SnapshotTable[[#This Row],[SP Qty]] * 100)),"")</f>
        <v/>
      </c>
      <c r="DA26" s="4" t="str">
        <f>IF(AND(ISNUMBER(SnapshotTable[[#This Row],[SP Premium]]),SnapshotTable[[#This Row],[SP Premium]]&gt;0), SnapshotTable[[#This Row],[SP Book Price]] * (1 + SP_MaxLoss_OptionPct), "")</f>
        <v/>
      </c>
      <c r="DB26" s="31" t="str">
        <f>IF(ISNUMBER(SnapshotTable[[#This Row],[SP Option  Stop Contract]]),(SnapshotTable[[#This Row],[SP Option  Stop Contract]] *(SnapshotTable[[#This Row],[SP Qty]] * 100) - SnapshotTable[[#This Row],[SP Premium]]),"")</f>
        <v/>
      </c>
      <c r="DC26" s="4"/>
      <c r="DD26" s="4"/>
      <c r="DE26" s="4" t="str">
        <f>IF(AND(SnapshotTable[[#This Row],[SP Qty]]&gt;0, SnapshotTable[[#This Row],[SP Stop To Use]]&gt;0),SnapshotTable[[#This Row],[SP Premium]] - ( SnapshotTable[[#This Row],[SP Qty]] * SnapshotTable[[#This Row],[SP Stop To Use]] * 100), "")</f>
        <v/>
      </c>
      <c r="DF26" s="31" t="str">
        <f>IF(AND(SnapshotTable[[#This Row],[SP Qty]]&gt;0,SnapshotTable[[#This Row],[SP Current Ask]]&gt;0), SnapshotTable[[#This Row],[SP Qty]] * SnapshotTable[[#This Row],[SP Current Ask]] * -100, "")</f>
        <v/>
      </c>
      <c r="DG26" s="31" t="str">
        <f>IF(ISNUMBER((SnapshotTable[[#This Row],[SP Total Value]])), SnapshotTable[[#This Row],[SP Premium]] + SnapshotTable[[#This Row],[SP Total Value]], "")</f>
        <v/>
      </c>
      <c r="DH26" s="294" t="str">
        <f>IF(ISNUMBER((SnapshotTable[[#This Row],[SP Total Value]])), SnapshotTable[[#This Row],[SP Gain Loss]] / SnapshotTable[[#This Row],[SP Premium]], "")</f>
        <v/>
      </c>
      <c r="DI26" s="406"/>
      <c r="DJ26" s="138"/>
      <c r="DK26" s="148"/>
      <c r="DL26" s="13"/>
      <c r="DM26" s="13"/>
      <c r="DO26" s="31">
        <f>IF(SnapshotTable[[#This Row],[LC Symbol Count]]=1, SnapshotTable[[#This Row],[LC Qty]] * SnapshotTable[[#This Row],[LC Book Price]] * 100, 0)</f>
        <v>0</v>
      </c>
      <c r="DP26" s="163" t="str">
        <f>IF(AND(SnapshotTable[[#This Row],[LC Exp Date]]&gt;0, SnapshotTable[[#This Row],[LC Strike Price]]&gt;0,SnapshotTable[[#This Row],[LC Qty]]&gt;0,SnapshotTable[[#This Row],[LC Book Date]]&gt;0,SnapshotTable[[#This Row],[LC Book Price]]&gt;0,SnapshotTable[[#This Row],[LC Fill Date]]=0),"Y","")</f>
        <v/>
      </c>
      <c r="DQ26" s="386" t="str">
        <f>IF(SnapshotTable[[#This Row],[LC Premium]] &gt; 0,SnapshotTable[[#This Row],[LC Exp Date]]-MAX(SnapshotTable[[#This Row],[LC Book Date]], SnapshotTable[[#This Row],[LC Fill Date]]),"")</f>
        <v/>
      </c>
      <c r="DR26" s="386" t="str">
        <f>IF(ISNUMBER(SnapshotTable[[#This Row],[LC Term]]), SnapshotTable[[#This Row],[LC Exp Date]] - MockToday, "")</f>
        <v/>
      </c>
      <c r="DS26" s="234" t="str">
        <f>IF(SnapshotTable[[#This Row],[LC Premium]]&gt;0,SnapshotTable[[#This Row],[LC Strike Price]] + SnapshotTable[[#This Row],[LC Book Price]],"")</f>
        <v/>
      </c>
      <c r="DU26" s="9" t="str">
        <f>IF(AND(SnapshotTable[[#This Row],[LC Symbol Count]]&gt;0, SnapshotTable[[#This Row],[LC Contract Value]]&gt;0), SnapshotTable[[#This Row],[LC Contract Value]] * SnapshotTable[[#This Row],[LC Qty]] * 100, "")</f>
        <v/>
      </c>
      <c r="DV26" s="9" t="str">
        <f>IF(AND(ISNUMBER(SnapshotTable[[#This Row],[LC Total Value]]), SnapshotTable[[#This Row],[LC Not Filled]]&lt;&gt;"Y"), SnapshotTable[[#This Row],[LC Total Value]]-SnapshotTable[[#This Row],[LC Premium]],"")</f>
        <v/>
      </c>
      <c r="DW26" s="240" t="str">
        <f>IF(ISNUMBER(SnapshotTable[[#This Row],[LC Actual Gain Loss]]), SnapshotTable[[#This Row],[LC Actual Gain Loss]] / SnapshotTable[[#This Row],[LC Premium]],"")</f>
        <v/>
      </c>
      <c r="DX26" s="284" t="str">
        <f>IF(ISNUMBER(SnapshotTable[[#This Row],[LC Book Price]]),SnapshotTable[[#This Row],[LC Book Price]] * 1.5,"")</f>
        <v/>
      </c>
      <c r="DY26" s="265" t="str">
        <f>IF(SnapshotTable[[#This Row],[LC Premium]]&gt;0, SnapshotTable[[#This Row],[LC Next Target]] * SnapshotTable[[#This Row],[LC Qty]] * 100,"")</f>
        <v/>
      </c>
      <c r="DZ26" s="265" t="str">
        <f>IF(ISNUMBER(SnapshotTable[[#This Row],[LC Target Gross]]), SnapshotTable[[#This Row],[LC Target Gross]] - SnapshotTable[[#This Row],[LC Premium]], "")</f>
        <v/>
      </c>
      <c r="EA26" s="305" t="str">
        <f>IF(ISNUMBER(SnapshotTable[[#This Row],[LC Target Gain Loss]]), SnapshotTable[[#This Row],[LC Target Gain Loss]]/SnapshotTable[[#This Row],[LC Premium]], "")</f>
        <v/>
      </c>
      <c r="EB26" s="262"/>
      <c r="EC26" s="283" t="str">
        <f>IF(SnapshotTable[[#This Row],[LC Premium]]&gt;0, SnapshotTable[[#This Row],[LC Book Price]] * (1 - LC_StopLoss_Pct),"")</f>
        <v/>
      </c>
      <c r="ED26" s="284"/>
      <c r="EE26" s="283" t="str">
        <f>IF(ISNUMBER(SnapshotTable[[#This Row],[LC Contract Value]]),IF(ISNUMBER(SnapshotTable[[#This Row],[LC Stop Loss Override]]), SnapshotTable[[#This Row],[LC Stop Loss Override]],SnapshotTable[[#This Row],[LC Stop Loss Calc Target]]),"")</f>
        <v/>
      </c>
      <c r="EF26" s="31" t="str">
        <f>IF(ISNUMBER(SnapshotTable[[#This Row],[LC Stop  To Use]]), (SnapshotTable[[#This Row],[LC Stop  To Use]] * SnapshotTable[[#This Row],[LC Qty]] * 100),"")</f>
        <v/>
      </c>
      <c r="EG26" s="9" t="str">
        <f>IF(ISNUMBER(SnapshotTable[[#This Row],[LC Total Value]]),SnapshotTable[[#This Row],[LC Stop Loss Amount]] - SnapshotTable[[#This Row],[LC Premium]],"")</f>
        <v/>
      </c>
      <c r="EH26" s="9">
        <f>IF(ISNUMBER(SnapshotTable[[#This Row],[LC Premium]]), SnapshotTable[[#This Row],[LC Qty]] * 100 * SnapshotTable[[#This Row],[LC Strike Price]], "")</f>
        <v>0</v>
      </c>
      <c r="EI26" s="240" t="str">
        <f>IF(AND(ISNUMBER(SnapshotTable[[#This Row],[LC Total Value]]),SnapshotTable[[#This Row],[LC Total Value]]&gt;0),SnapshotTable[[#This Row],[LC Stop Gain Loss]]  / SnapshotTable[[#This Row],[LC Premium]],"")</f>
        <v/>
      </c>
      <c r="EJ26" s="35">
        <f>IF(ISNUMBER(SnapshotTable[[#This Row],[Equity Shares]]),TRUNC(SnapshotTable[[#This Row],[Equity Shares]] / 100),0) + SnapshotTable[[#This Row],[LC Qty]]</f>
        <v>0</v>
      </c>
      <c r="EK26" s="147"/>
      <c r="EL26" s="138" t="str">
        <f>IF(SnapshotTable[[#This Row],[SC Exp Date]]&lt;&gt;"",TRUNC(SnapshotTable[[#This Row],[Last Price]]),"")</f>
        <v/>
      </c>
      <c r="EM26" s="148"/>
      <c r="EN26" s="147"/>
      <c r="EO26" s="147"/>
      <c r="EP26" s="138"/>
      <c r="EQ26" s="419" t="b">
        <f>AND(ISNUMBER(SnapshotTable[[#This Row],[SC Exp Date]]), ISNUMBER(SnapshotTable[[#This Row],[SC Strike Price]]), ISNUMBER(SnapshotTable[[#This Row],[SC Qty]]), ISNUMBER(SnapshotTable[[#This Row],[SC Book Date]]), ISNUMBER(SnapshotTable[[#This Row],[SC Book Price]]))</f>
        <v>0</v>
      </c>
      <c r="ER26" s="419" t="b">
        <f>AND(SnapshotTable[[#This Row],[SC Is Booked]], NOT(ISBLANK(SnapshotTable[[#This Row],[SC Fill Date]])))</f>
        <v>0</v>
      </c>
      <c r="ES26" s="370"/>
      <c r="ET26" s="34" t="str">
        <f>IF(AND(ISNUMBER(SnapshotTable[[#This Row],[SC Exp Date]]), ISNUMBER(SnapshotTable[[#This Row],[SC Book Date]])), SnapshotTable[[#This Row],[SC Exp Date]] - MAX(SnapshotTable[[#This Row],[SC Book Date]], SnapshotTable[[#This Row],[SC Fill Date]]) + 1, "")</f>
        <v/>
      </c>
      <c r="EU26" s="34" t="str">
        <f>IF(ISNUMBER(SnapshotTable[[#This Row],[SC Term]]), SnapshotTable[[#This Row],[SC Exp Date]]- MockToday, "")</f>
        <v/>
      </c>
      <c r="EV26" s="31">
        <f>IF(SnapshotTable[[#This Row],[SC Is Booked]], SnapshotTable[[#This Row],[SC Qty]] * SnapshotTable[[#This Row],[SC Book Price]] * 100, 0)</f>
        <v>0</v>
      </c>
      <c r="EW26" s="4" t="str">
        <f>IF(AND(ISNUMBER(SnapshotTable[[#This Row],[Last Price]]), ISNUMBER( SnapshotTable[[#This Row],[SC Book Price]])), SnapshotTable[[#This Row],[Last Price]] - SnapshotTable[[#This Row],[SC Book Price]],"")</f>
        <v/>
      </c>
      <c r="EX26" s="234" t="str">
        <f>IF(SnapshotTable[[#This Row],[SC Is Booked]],IF(SnapshotTable[[#This Row],[SC Intrinsic Value]] &gt; 0, SnapshotTable[[#This Row],[SC Strike Price]], SnapshotTable[[#This Row],[Last Price]]), "")</f>
        <v/>
      </c>
      <c r="EY26" s="4">
        <f>IF(SnapshotTable[[#This Row],[SC Is Booked]], (MinimumPremiumRequired * SnapshotTable[[#This Row],[SC Basis]] * SnapshotTable[[#This Row],[SC Term]]), 0)</f>
        <v>0</v>
      </c>
      <c r="EZ26" s="283"/>
      <c r="FA26" s="218"/>
      <c r="FB26" s="370"/>
      <c r="FC26" s="4">
        <f>IF(SnapshotTable[[#This Row],[SC Is Filled]], btc_max_buyback_amount(SnapshotTable[[#This Row],[SC Fill Date]],SnapshotTable[[#This Row],[SC Exp Date]], SnapshotTable[[#This Row],[SC Book Price]]),0)</f>
        <v>0</v>
      </c>
      <c r="FD26" s="5"/>
      <c r="FE26" s="144" t="str">
        <f>IF(SnapshotTable[[#This Row],[SC Is Filled]], btc_next_cutoff_date(SnapshotTable[[#This Row],[SC Fill Date]],SnapshotTable[[#This Row],[SC Exp Date]]),"")</f>
        <v/>
      </c>
      <c r="FF26" s="4" t="str" cm="1">
        <f t="array" ref="FF26">IF(SnapshotTable[[#This Row],[SC Is Filled]], btc_should_buy_back(SnapshotTable[[#This Row],[SC Fill Date]], SnapshotTable[[#This Row],[SC Exp Date]], SnapshotTable[[#This Row],[SC Book Price]], SnapshotTable[[#This Row],[SC Current Ask]], MockToday, SnapshotTable[[#This Row],[SC Buyback Override]]),"")</f>
        <v/>
      </c>
      <c r="FG26" s="4">
        <f>IF(SnapshotTable[[#This Row],[SC Is Filled]], MAX(0,SnapshotTable[[#This Row],[Last Price]]  - SnapshotTable[[#This Row],[SC Strike Price]]), 0)</f>
        <v>0</v>
      </c>
      <c r="FH26" s="382">
        <f>IF(SnapshotTable[[#This Row],[SC Is Filled]], IF(ISNUMBER(SnapshotTable[[#This Row],[SC Current Ask]]), SnapshotTable[[#This Row],[SC Current Ask]], SnapshotTable[[#This Row],[SC Book Price]]) - SnapshotTable[[#This Row],[SC Intrinsic Value]], 0)</f>
        <v>0</v>
      </c>
      <c r="FI26" s="143">
        <v>45786</v>
      </c>
      <c r="FJ26" s="32" t="str">
        <f>IF(SnapshotTable[[#This Row],[SC Is Filled]],100 * SnapshotTable[[#This Row],[SC Qty]] * IF(ISNUMBER(SnapshotTable[[#This Row],[SC Buyback Override]]), SnapshotTable[[#This Row],[SC Buyback Override]], SnapshotTable[[#This Row],[SC Current Ask]]), "")</f>
        <v/>
      </c>
      <c r="FK26" s="250" t="str">
        <f>IF(SnapshotTable[[#This Row],[SC Time Val]]&gt;0, SnapshotTable[[#This Row],[SC Time Val]] / SnapshotTable[[#This Row],[Last Price]],"")</f>
        <v/>
      </c>
      <c r="FL26" s="302" t="str">
        <f>IF(SnapshotTable[[#This Row],[SC Is Booked]], ((SnapshotTable[[#This Row],[Last Price]] -SnapshotTable[[#This Row],[SC Strike Price]]) / SnapshotTable[[#This Row],[Last Price]]) * -1, "")</f>
        <v/>
      </c>
      <c r="FM26" s="157" t="str">
        <f>IF(SnapshotTable[[#This Row],[SC Is Booked]],  (SnapshotTable[[#This Row],[SC Qty]] * 100 * SnapshotTable[[#This Row],[SC Strike Price]]) - SnapshotTable[[#This Row],[SC Current Ask]], "")</f>
        <v/>
      </c>
      <c r="FN2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 s="31" t="str">
        <f>IF(AND(ISNUMBER(SnapshotTable[[#This Row],[SC Exercise Gross]]), ISNUMBER(SnapshotTable[[#This Row],[Equity Basis Per Share]] )), SnapshotTable[[#This Row],[SC Exercise Gross]] - SnapshotTable[[#This Row],[Equity Basis Total]] +  SnapshotTable[[#This Row],[SC Premium]], "")</f>
        <v/>
      </c>
      <c r="FP26" s="5" t="str">
        <f>IF(ISNUMBER(SnapshotTable[[#This Row],[SC Exercise Gross]]), (SnapshotTable[[#This Row],[SC Exercise Gross]]) / (SnapshotTable[[#This Row],[SC Qty]] * 100), "")</f>
        <v/>
      </c>
      <c r="FQ26" s="27" t="str">
        <f>IF(SnapshotTable[[#This Row],[SC Is Booked]],SnapshotTable[[#This Row],[SC Time Val]] /SnapshotTable[[#This Row],[SC Basis]], "")</f>
        <v/>
      </c>
      <c r="FR26" s="27" t="str" cm="1">
        <f t="array" ref="FR26">IF(AND(ISNUMBER(SnapshotTable[[#This Row],[SC Term]]),ISNUMBER(SnapshotTable[[#This Row],[SC Simple ROO]])), EllmanAnnualize(SnapshotTable[[#This Row],[SC DTE]], SnapshotTable[[#This Row],[SC Simple ROO]] ),"")</f>
        <v/>
      </c>
      <c r="FS26" s="4" t="e">
        <f>IF(SnapshotTable[[#This Row],[SC Strike Price]] &gt; SnapshotTable[[#This Row],[Last Price]], SnapshotTable[[#This Row],[SC Strike Price]] - SnapshotTable[[#This Row],[Last Price]],0)</f>
        <v>#VALUE!</v>
      </c>
      <c r="FT26" s="27" t="e">
        <f>IF(AND(ISNUMBER(SnapshotTable[[#This Row],[SC Upside Potential]]), SnapshotTable[[#This Row],[SC Upside Potential]] &gt; 0),(SnapshotTable[[#This Row],[SC Upside Potential]]/ SnapshotTable[[#This Row],[ACB]]),"")</f>
        <v>#VALUE!</v>
      </c>
      <c r="FU26" s="333" t="str">
        <f>IF(SnapshotTable[[#This Row],[SC Intrinsic Value]] &gt; 0,SnapshotTable[[#This Row],[SC Intrinsic Value]],"")</f>
        <v/>
      </c>
      <c r="FV26" s="27" t="str">
        <f>IF(AND( ISNUMBER( SnapshotTable[[#This Row],[ACB]]),ISNUMBER(SnapshotTable[[#This Row],[SC Downside Protect]])),SnapshotTable[[#This Row],[SC Downside Protect]] / SnapshotTable[[#This Row],[ACB]],"")</f>
        <v/>
      </c>
      <c r="FW26" s="236" t="str">
        <f>IF(AND(ISNUMBER(SnapshotTable[[#This Row],[SC Simple ROO]]),SnapshotTable[[#This Row],[SC Simple ROO]] &gt; 0), SnapshotTable[[#This Row],[SC Premium]] + (SnapshotTable[[#This Row],[SC Qty]] * SnapshotTable[[#This Row],[SC Upside Potential]]), "")</f>
        <v/>
      </c>
      <c r="FX26" s="302" t="str" cm="1">
        <f t="array" ref="FX26">IF(ISNUMBER(SnapshotTable[[#This Row],[SC Max Dollars]]), annualize(SnapshotTable[[#This Row],[SC Term]],(SnapshotTable[[#This Row],[SC Max Dollars]]/SnapshotTable[[#This Row],[SC Basis]])),"")</f>
        <v/>
      </c>
      <c r="FY26" s="236" t="str">
        <f>IF(AND(SnapshotTable[[#This Row],[SC Qty]]&gt;0,SnapshotTable[[#This Row],[SC Current Ask]]&gt;0), SnapshotTable[[#This Row],[SC Qty]] * SnapshotTable[[#This Row],[SC Current Ask]] * -100, "")</f>
        <v/>
      </c>
      <c r="FZ26" s="31" t="str">
        <f>IF(ISNUMBER((SnapshotTable[[#This Row],[SC Current Value]])), SnapshotTable[[#This Row],[SC Premium]] + SnapshotTable[[#This Row],[SC Current Value]], "")</f>
        <v/>
      </c>
      <c r="GA26" s="294" t="str">
        <f>IFERROR( IF(ISNUMBER((SnapshotTable[[#This Row],[SC Current Value]])), SnapshotTable[[#This Row],[SC Gain Loss]] / SnapshotTable[[#This Row],[SC Premium]], ""), "")</f>
        <v/>
      </c>
      <c r="GB26" s="42">
        <f>SnapshotTable[[#This Row],[Equity Shares]] * SaleSharesToConsiderPercentage</f>
        <v>0</v>
      </c>
      <c r="GC26" s="40">
        <f>SnapshotTable[[#This Row],[Long Term Target]] * SellingPriceToConsiderBasedOnTargetPercentage</f>
        <v>9.0629999999999988</v>
      </c>
      <c r="GD26" s="40">
        <f>SnapshotTable[[#This Row],[Last Price]] * (1+ SellingPriceToConsiderBasedOnTargetPercentage)</f>
        <v>376.38900000000001</v>
      </c>
      <c r="GE26" s="41"/>
      <c r="GF26" s="40"/>
      <c r="GG26" s="31">
        <f>SnapshotTable[[#This Row],[Booked Sale Shares]] * SnapshotTable[[#This Row],[Booked Sale Price]]</f>
        <v>0</v>
      </c>
      <c r="GH26" s="31" t="str">
        <f>IF(SnapshotTable[[#This Row],[Equity Basis Total]] &gt; 0, SnapshotTable[[#This Row],[Equity Basis Per Share]] * SnapshotTable[[#This Row],[Booked Sale Shares]], "")</f>
        <v/>
      </c>
      <c r="GI26" s="31">
        <f>IF(SnapshotTable[[#This Row],[Sale Proceeds]]&gt;0, SnapshotTable[[#This Row],[Sale Proceeds]] - SnapshotTable[[#This Row],[Sale Basis]], 0)</f>
        <v>0</v>
      </c>
      <c r="GJ26" s="27" t="str">
        <f>IF(SnapshotTable[[#This Row],[Sale G/L]]&gt;0, SnapshotTable[[#This Row],[Sale G/L]] / SnapshotTable[[#This Row],[Sale Basis]], IF(ISNUMBER(SnapshotTable[[#This Row],[SC Exercise P&amp;L (TAX)]]), SnapshotTable[[#This Row],[SC Exercise P&amp;L (TAX)]] / SnapshotTable[[#This Row],[SC Basis]], ""))</f>
        <v/>
      </c>
      <c r="GK26" s="27" t="s">
        <v>628</v>
      </c>
      <c r="GL26" s="43" t="str">
        <f>IF(AND(SnapshotTable[[#This Row],[LP Exp Date]]&gt;0,SnapshotTable[[#This Row],[LP Strike Price]]&gt;0), [1]!ToOptionSymbol(SnapshotTable[[#This Row],[Symbol]], SnapshotTable[[#This Row],[LP Strike Price]],SnapshotTable[[#This Row],[LP Exp Date]],1), "")</f>
        <v/>
      </c>
      <c r="GM26" s="30" t="str">
        <f>IF(LEN(SnapshotTable[[#This Row],[LP Symbol]])&gt;0, 1, "")</f>
        <v/>
      </c>
      <c r="GN26" s="43" t="str">
        <f>IF(AND(SnapshotTable[[#This Row],[SP Exp Date]]&gt;0,SnapshotTable[[#This Row],[SP Strike Price]]&gt;0), [1]!ToOptionSymbol(SnapshotTable[[#This Row],[Symbol]], SnapshotTable[[#This Row],[SP Strike Price]],SnapshotTable[[#This Row],[SP Exp Date]],1), "")</f>
        <v/>
      </c>
      <c r="GO26" s="30" t="str">
        <f>IF(LEN(SnapshotTable[[#This Row],[SP Symbol]])&gt;0, 1, "")</f>
        <v/>
      </c>
      <c r="GP26" s="43" t="str">
        <f>IF(AND(SnapshotTable[[#This Row],[LC Exp Date]]&gt;0,SnapshotTable[[#This Row],[LC Strike Price]]&gt;0), [1]!ToOptionSymbol(SnapshotTable[[#This Row],[Symbol]], SnapshotTable[[#This Row],[LC Strike Price]],SnapshotTable[[#This Row],[LC Exp Date]],0), "")</f>
        <v/>
      </c>
      <c r="GQ26" s="30" t="str">
        <f>IF(LEN(SnapshotTable[[#This Row],[LC Symbol]])&gt;0, 1, "")</f>
        <v/>
      </c>
      <c r="GR26" s="43" t="str">
        <f>IF(AND(SnapshotTable[[#This Row],[SC Exp Date]]&gt;0,SnapshotTable[[#This Row],[SC Strike Price]]&gt;0), [1]!ToOptionSymbol(SnapshotTable[[#This Row],[Symbol]], SnapshotTable[[#This Row],[SC Strike Price]],SnapshotTable[[#This Row],[SC Exp Date]],0), "")</f>
        <v/>
      </c>
      <c r="GS26" s="30" t="str">
        <f>IF(LEN(SnapshotTable[[#This Row],[SC Symbol]])&gt;0, 1, "")</f>
        <v/>
      </c>
      <c r="GT26" s="29" t="str">
        <f>IF(COUNT(SnapshotTable[[#This Row],[LP Symbol Count]],SnapshotTable[[#This Row],[SP Symbol Count]],SnapshotTable[[#This Row],[LC Symbol Count]],SnapshotTable[[#This Row],[SC Symbol Count]])&gt;0, "Y", "")</f>
        <v/>
      </c>
      <c r="GU2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 s="231" t="e">
        <f>MAX(SnapshotTable[[#This Row],[Equity Basis Total]],SnapshotTable[[#This Row],[Equity Value]]) + (SnapshotTable[[#This Row],[SP Potential Spend]]- SnapshotTable[[#This Row],[SP Premium]] + SnapshotTable[[#This Row],[LP Premium]])+ (SnapshotTable[[#This Row],[LC Premium]] - SnapshotTable[[#This Row],[SC Premium]])</f>
        <v>#VALUE!</v>
      </c>
      <c r="GW26" s="139" t="e">
        <f>IF(AND(SnapshotTable[[#This Row],[Exposure]] &lt;&gt; 0),SnapshotTable[[#This Row],[Exposure]] / SnapshotTable[[#Totals],[Exposure]], "")</f>
        <v>#VALUE!</v>
      </c>
      <c r="HK26" s="1"/>
      <c r="HL26" s="1"/>
      <c r="HM26" s="1"/>
      <c r="HN26" s="1"/>
      <c r="HO26" s="1"/>
      <c r="HP26" s="1"/>
    </row>
    <row r="27" spans="2:224" ht="12.75" hidden="1" customHeight="1" x14ac:dyDescent="0.25">
      <c r="B27" s="12" t="s">
        <v>1230</v>
      </c>
      <c r="C27" s="422">
        <v>610.35</v>
      </c>
      <c r="D27" s="208"/>
      <c r="E27" s="39">
        <f>SnapshotTable[[#This Row],[Last Price]]*(1 -CrashDiscount)</f>
        <v>518.79750000000001</v>
      </c>
      <c r="F27" s="325" t="s">
        <v>1231</v>
      </c>
      <c r="G27" s="325" t="s">
        <v>872</v>
      </c>
      <c r="H27" s="149"/>
      <c r="I27" s="194"/>
      <c r="J27" s="195"/>
      <c r="K27" s="196"/>
      <c r="L27" s="326"/>
      <c r="M27" s="140"/>
      <c r="N27" s="140"/>
      <c r="O27" s="140"/>
      <c r="P27" s="22"/>
      <c r="Q27" s="25"/>
      <c r="R27" s="4" t="str">
        <f>IF(SnapshotTable[[#This Row],[Equity Basis Total]] &gt; 0, SnapshotTable[[#This Row],[Equity Basis Total]] / SnapshotTable[[#This Row],[Equity Shares]], "")</f>
        <v/>
      </c>
      <c r="S27" s="269">
        <f>SnapshotTable[[#This Row],[Last Price]] * SnapshotTable[[#This Row],[Equity Shares]]</f>
        <v>0</v>
      </c>
      <c r="T27" s="269">
        <f>SnapshotTable[[#This Row],[Equity Value]] - SnapshotTable[[#This Row],[Equity Basis Total]]</f>
        <v>0</v>
      </c>
      <c r="U27" s="270" t="str">
        <f>IF(SnapshotTable[[#This Row],[Equity Basis Total]] &gt; 0, SnapshotTable[[#This Row],[Equity G/L]] / SnapshotTable[[#This Row],[Equity Basis Total]], "")</f>
        <v/>
      </c>
      <c r="V27" s="268"/>
      <c r="W27" s="268"/>
      <c r="X27" s="4" t="str">
        <f>IF(AND(ISNUMBER(SnapshotTable[[#This Row],[Equity Basis Per Share]]),ISNUMBER(SnapshotTable[[#This Row],[Equity Target]])),SnapshotTable[[#This Row],[Equity Target]]-SnapshotTable[[#This Row],[Equity Basis Per Share]],"")</f>
        <v/>
      </c>
      <c r="Y27" s="4" t="str">
        <f>IF(AND(ISNUMBER(SnapshotTable[[#This Row],[Equity Basis Per Share]]),ISNUMBER(SnapshotTable[[#This Row],[Equity Stop Loss]])),SnapshotTable[[#This Row],[Equity Stop Loss]]-SnapshotTable[[#This Row],[Equity Basis Per Share]],"")</f>
        <v/>
      </c>
      <c r="Z27" s="275" t="str">
        <f>IFERROR( TEXT(SnapshotTable[[#This Row],[Equity Max Gain Per Share]] /ABS( SnapshotTable[[#This Row],[Equity Max Loss Per Share]]),"0.0 " ) &amp; " : 1", "")</f>
        <v/>
      </c>
      <c r="AA27" s="31" t="str">
        <f>IF(ISNUMBER(SnapshotTable[[#This Row],[Equity Max Gain Per Share]]),SnapshotTable[[#This Row],[Equity Max Gain Per Share]] * SnapshotTable[[#This Row],[Equity Shares]],"")</f>
        <v/>
      </c>
      <c r="AB27" s="31" t="str">
        <f>IF(ISNUMBER(SnapshotTable[[#This Row],[Equity Max Loss Per Share]]),SnapshotTable[[#This Row],[Equity Max Loss Per Share]] * SnapshotTable[[#This Row],[Equity Shares]],"")</f>
        <v/>
      </c>
      <c r="AC27" s="150"/>
      <c r="AD27" s="151"/>
      <c r="AE27" s="31">
        <f>(SnapshotTable[[#This Row],[Annual Dividend Per Share]] / 4) * SnapshotTable[[#This Row],[Equity Shares]]</f>
        <v>0</v>
      </c>
      <c r="AF27" s="31">
        <f>SnapshotTable[[#This Row],[Quarterly Div $]] * 4</f>
        <v>0</v>
      </c>
      <c r="AG27" s="7">
        <f>IF(SnapshotTable[[#This Row],[Annual Dividend Per Share]]&gt;0, SnapshotTable[[#This Row],[Annual Dividend Per Share]]  / SnapshotTable[[#This Row],[Last Price]], 0)</f>
        <v>0</v>
      </c>
      <c r="AH27" s="151"/>
      <c r="AI27" s="5"/>
      <c r="AJ27" s="138"/>
      <c r="AK27" s="152" t="str">
        <f>IF(ISNUMBER( SnapshotTable[[#This Row],[EBF Target]]),(SnapshotTable[[#This Row],[EBF Target]] - SnapshotTable[[#This Row],[Last Price]]) / SnapshotTable[[#This Row],[Last Price]], "")</f>
        <v/>
      </c>
      <c r="AL27" s="152" t="str">
        <f>IF(AND(SnapshotTable[[#This Row],[Equity Basis Total]] &gt; 0,ISNUMBER( SnapshotTable[[#This Row],[Long Term Target]])), SnapshotTable[[#This Row],[From Basis $]] / SnapshotTable[[#This Row],[Equity Basis Total]], "")</f>
        <v/>
      </c>
      <c r="AM27" s="9">
        <f>IF( AND(SnapshotTable[[#This Row],[Equity Shares]] &gt;0,ISNUMBER( SnapshotTable[[#This Row],[Long Term Target]])),(SnapshotTable[[#This Row],[Equity Shares]] * SnapshotTable[[#This Row],[Long Term Target]]) - SnapshotTable[[#This Row],[Equity Basis Total]],0)</f>
        <v>0</v>
      </c>
      <c r="AN27" s="9">
        <f>IF( AND(SnapshotTable[[#This Row],[Equity Shares]] &gt;0,ISNUMBER( SnapshotTable[[#This Row],[Long Term Target]])),(SnapshotTable[[#This Row],[Equity Shares]]*SnapshotTable[[#This Row],[Long Term Target]]) - SnapshotTable[[#This Row],[Equity Value]],0)</f>
        <v>0</v>
      </c>
      <c r="AO27" s="152" t="str">
        <f>IF(AND(ISNUMBER( SnapshotTable[[#This Row],[Long Term Target]]), ISNUMBER(SnapshotTable[[#This Row],[Last Price]])),(SnapshotTable[[#This Row],[Long Term Target]] - SnapshotTable[[#This Row],[Last Price]]) / SnapshotTable[[#This Row],[Last Price]], "")</f>
        <v/>
      </c>
      <c r="AP27" s="5"/>
      <c r="AQ27" s="38"/>
      <c r="AR27" s="5"/>
      <c r="AS27" s="38"/>
      <c r="AT27" s="146"/>
      <c r="AU27" s="187" t="str">
        <f>IF(OR(SnapshotTable[[#This Row],[LP No Fill]]="Y",SnapshotTable[[#This Row],[SP Is Filled]],SnapshotTable[[#This Row],[LC Not Filled]]="Y",SnapshotTable[[#This Row],[SC Is Filled]]),"Y","")</f>
        <v/>
      </c>
      <c r="AV27" s="219"/>
      <c r="AW27" s="225"/>
      <c r="AX27" s="220"/>
      <c r="AY27" s="219" t="str">
        <f>IF(SnapshotTable[[#This Row],[Implied Move]]&gt;0, SnapshotTable[[#This Row],[Last Price]]-SnapshotTable[[#This Row],[Implied Move]],"")</f>
        <v/>
      </c>
      <c r="AZ27" s="219" t="str">
        <f>IF(SnapshotTable[[#This Row],[Implied Move]]&gt;0, SnapshotTable[[#This Row],[Last Price]] + SnapshotTable[[#This Row],[Implied Move]],"")</f>
        <v/>
      </c>
      <c r="BA27" s="331">
        <v>202.56</v>
      </c>
      <c r="BB27" s="347"/>
      <c r="BC2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 s="351"/>
      <c r="BE27" s="5"/>
      <c r="BF27" s="14"/>
      <c r="BG27" s="13"/>
      <c r="BH27" s="13"/>
      <c r="BI27" s="5"/>
      <c r="BJ27" s="136">
        <f>IF(SnapshotTable[[#This Row],[LP Qty]] &gt; 0, SnapshotTable[[#This Row],[LP Qty]] * SnapshotTable[[#This Row],[LP Book Price]] * 100,0)</f>
        <v>0</v>
      </c>
      <c r="BK27" s="136">
        <f>IF(SnapshotTable[[#This Row],[LP Premium]] &gt; 0, SnapshotTable[[#This Row],[LP Qty]] * SnapshotTable[[#This Row],[LP Strike Price]] * 100,0)</f>
        <v>0</v>
      </c>
      <c r="BL27" s="154"/>
      <c r="BM27" s="385" t="str">
        <f>IF(SnapshotTable[[#This Row],[LP Premium]] &gt; 0,SnapshotTable[[#This Row],[LP Exp Date]]-MAX(SnapshotTable[[#This Row],[LP Book Date]], SnapshotTable[[#This Row],[LP Fill Date]]),"")</f>
        <v/>
      </c>
      <c r="BN27" s="385" t="str">
        <f>IF(ISNUMBER( SnapshotTable[[#This Row],[LP Term]]), SnapshotTable[[#This Row],[LP Exp Date]] - MockToday,"")</f>
        <v/>
      </c>
      <c r="BO27" s="163" t="str">
        <f>IF(AND(SnapshotTable[[#This Row],[LP Exp Date]]&gt;0, SnapshotTable[[#This Row],[LP Strike Price]]&gt;0,SnapshotTable[[#This Row],[LP Qty]]&gt;0,SnapshotTable[[#This Row],[LP Book Date]]&gt;0,SnapshotTable[[#This Row],[LP Book Price]]&gt;0,SnapshotTable[[#This Row],[LP Fill Date]]=0),"Y","")</f>
        <v/>
      </c>
      <c r="BP27" s="31" t="str">
        <f>IF(AND(SnapshotTable[[#This Row],[LP No Fill]]&lt;&gt;"Y",SnapshotTable[[#This Row],[LP Contract Value]]&gt;0, SnapshotTable[[#This Row],[LP Qty]]&gt;0), SnapshotTable[[#This Row],[LP Contract Value]]*SnapshotTable[[#This Row],[LP Qty]]*100,"")</f>
        <v/>
      </c>
      <c r="BQ27" s="13"/>
      <c r="BR27" s="5" t="str">
        <f>IF(SnapshotTable[[#This Row],[SP Exp Date]]&lt;&gt;"",TRUNC(SnapshotTable[[#This Row],[Last Price]]),"")</f>
        <v/>
      </c>
      <c r="BS27" s="36"/>
      <c r="BT27" s="147"/>
      <c r="BU27" s="13"/>
      <c r="BV27" s="5"/>
      <c r="BW27" s="419" t="b">
        <f>AND(ISNUMBER(SnapshotTable[[#This Row],[SP Exp Date]]), ISNUMBER(SnapshotTable[[#This Row],[SP Strike Price]]), ISNUMBER(SnapshotTable[[#This Row],[SP Qty]]), ISNUMBER(SnapshotTable[[#This Row],[SP Book Date]]), ISNUMBER(SnapshotTable[[#This Row],[SP Book Price]]))</f>
        <v>0</v>
      </c>
      <c r="BX27" s="419" t="b">
        <f>AND(SnapshotTable[[#This Row],[SP Is Booked]], NOT(ISBLANK(SnapshotTable[[#This Row],[SP Fill Date]])))</f>
        <v>0</v>
      </c>
      <c r="BY27" s="33">
        <f>IF(SnapshotTable[[#This Row],[SP Is Booked]], SnapshotTable[[#This Row],[SP Qty]] * SnapshotTable[[#This Row],[SP Book Price]] * 100, 0)</f>
        <v>0</v>
      </c>
      <c r="BZ27" s="369"/>
      <c r="CA27" s="368">
        <f>SnapshotTable[[#This Row],[LP Qty]]</f>
        <v>0</v>
      </c>
      <c r="CB27" s="4" t="str">
        <f>IF(SnapshotTable[[#This Row],[SP Is Booked]], SnapshotTable[[#This Row],[SP Strike Price]] - SnapshotTable[[#This Row],[SP Book Price]], "")</f>
        <v/>
      </c>
      <c r="CC27" s="19" t="str">
        <f>IF(SnapshotTable[[#This Row],[SP Is Booked]],SnapshotTable[[#This Row],[SP Exp Date]]-MAX(SnapshotTable[[#This Row],[SP Book Date]], SnapshotTable[[#This Row],[SP Fill Date]]),"")</f>
        <v/>
      </c>
      <c r="CD27" s="7" t="str">
        <f>IF(SnapshotTable[[#This Row],[SP Is Booked]], SnapshotTable[[#This Row],[SP Book Price]]/SnapshotTable[[#This Row],[SP Strike Price]], "")</f>
        <v/>
      </c>
      <c r="CE27" s="7" t="str">
        <f>IF(ISNUMBER(SnapshotTable[[#This Row],[SP ROO Term]]),SnapshotTable[[#This Row],[SP ROO Term]]*(365/SnapshotTable[[#This Row],[SP Term]]),"")</f>
        <v/>
      </c>
      <c r="CF27" s="236">
        <f>SnapshotTable[[#This Row],[LP Strike Price]] * SnapshotTable[[#This Row],[LP Qty]] * 100</f>
        <v>0</v>
      </c>
      <c r="CG27" s="31" t="e">
        <f>IF(ISNUMBER(SnapshotTable[[#This Row],[SP Premium]]), (SnapshotTable[[#This Row],[SP Qty]] * SnapshotTable[[#This Row],[SP Strike Price]]* 100) - SnapshotTable[[#This Row],[LP Protection]], 0)</f>
        <v>#VALUE!</v>
      </c>
      <c r="CH27" s="7" t="str">
        <f>IF(ISNUMBER(SnapshotTable[[#This Row],[SP Break Even]]),-1 * (SnapshotTable[[#This Row],[SP Break Even]] - SnapshotTable[[#This Row],[Last Price]]) / SnapshotTable[[#This Row],[Last Price]], "")</f>
        <v/>
      </c>
      <c r="CI27" s="31">
        <f>IF(AND(ISNUMBER((SnapshotTable[[#This Row],[SP Potential Spend]])), SnapshotTable[[#This Row],[SP Strike Price]] &gt; SnapshotTable[[#This Row],[Last Price]], SnapshotTable[[#This Row],[SP Is Filled]]), SnapshotTable[[#This Row],[SP Potential Spend]] -  SnapshotTable[[#This Row],[LP Max Value]], 0)</f>
        <v>0</v>
      </c>
      <c r="CJ27" s="244">
        <v>0.5</v>
      </c>
      <c r="CK27" s="31" t="str">
        <f>IF(ISNUMBER(SnapshotTable[[#This Row],[SP Potential Spend]]),IF(ISNUMBER(SnapshotTable[[#This Row],[SP POW]]), SnapshotTable[[#This Row],[SP POW]] * SnapshotTable[[#This Row],[SP Potential Spend]], SnapshotTable[[#This Row],[SP Potential Spend]]), "")</f>
        <v/>
      </c>
      <c r="CL27" s="164" t="e">
        <f>IF(NOT(SnapshotTable[[#This Row],[SP Is Filled]]),(SnapshotTable[[#This Row],[SP Qty]] * SnapshotTable[[#This Row],[SP Strike Price]] * 100) - SnapshotTable[[#This Row],[LP Max Value]],"")</f>
        <v>#VALUE!</v>
      </c>
      <c r="CM27" s="31" t="str">
        <f>IF(SnapshotTable[[#This Row],[SP Actual Spend]]&lt;&gt;0, ((SnapshotTable[[#This Row],[SP Strike Price]]-SnapshotTable[[#This Row],[Last Price]]) *(SnapshotTable[[#This Row],[SP Qty]]*100) - SnapshotTable[[#This Row],[SP Premium]]) * - 1, "")</f>
        <v/>
      </c>
      <c r="CN27" s="78"/>
      <c r="CO27" s="369"/>
      <c r="CP27" s="4" t="str">
        <f>IF(SnapshotTable[[#This Row],[SP Is Filled]], btc_max_buyback_amount(SnapshotTable[[#This Row],[SP Fill Date]],SnapshotTable[[#This Row],[SP Exp Date]], SnapshotTable[[#This Row],[SP Book Price]]),"")</f>
        <v/>
      </c>
      <c r="CQ27" s="78"/>
      <c r="CR2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 s="155" t="str">
        <f>IF(SnapshotTable[[#This Row],[SP Is Filled]], btc_next_cutoff_date(SnapshotTable[[#This Row],[SP Fill Date]],SnapshotTable[[#This Row],[SP Exp Date]]),"")</f>
        <v/>
      </c>
      <c r="CT27" s="235" t="str" cm="1">
        <f t="array" ref="CT27">IF(SnapshotTable[[#This Row],[SP Is Filled]], btc_should_buy_back(SnapshotTable[[#This Row],[SP Fill Date]], SnapshotTable[[#This Row],[SP Exp Date]], SnapshotTable[[#This Row],[SP Book Price]], SnapshotTable[[#This Row],[SP Current Ask]], MockToday, SnapshotTable[[#This Row],[SP Buyback Override]]),"")</f>
        <v/>
      </c>
      <c r="CU27" s="143"/>
      <c r="CV27" s="235"/>
      <c r="CW27" s="378" t="str">
        <f>IF(ISNUMBER( SnapshotTable[[#This Row],[SP Term]]), SnapshotTable[[#This Row],[SP Exp Date]] - MockToday,"")</f>
        <v/>
      </c>
      <c r="CX27" s="31" t="str">
        <f>IF(SnapshotTable[[#This Row],[SP Is Filled]],SnapshotTable[[#This Row],[SP Buyback Price to Use]] * 100 * SnapshotTable[[#This Row],[SP Qty]], "")</f>
        <v/>
      </c>
      <c r="CY27" s="4" t="str">
        <f>IF(ISNUMBER(SnapshotTable[[#This Row],[SP Strike Price]]), SnapshotTable[[#This Row],[SP Strike Price]] * (1 - SP_MaxLoss_StrikePct), "")</f>
        <v/>
      </c>
      <c r="CZ27" s="31" t="str">
        <f>IF(ISNUMBER(SnapshotTable[[#This Row],[SP Strike  Stop Per Share]]),SnapshotTable[[#This Row],[SP Premium]] - ((SnapshotTable[[#This Row],[SP Strike Price]]-SnapshotTable[[#This Row],[SP Strike  Stop Per Share]]) *(SnapshotTable[[#This Row],[SP Qty]] * 100)),"")</f>
        <v/>
      </c>
      <c r="DA27" s="4" t="str">
        <f>IF(AND(ISNUMBER(SnapshotTable[[#This Row],[SP Premium]]),SnapshotTable[[#This Row],[SP Premium]]&gt;0), SnapshotTable[[#This Row],[SP Book Price]] * (1 + SP_MaxLoss_OptionPct), "")</f>
        <v/>
      </c>
      <c r="DB27" s="31" t="str">
        <f>IF(ISNUMBER(SnapshotTable[[#This Row],[SP Option  Stop Contract]]),(SnapshotTable[[#This Row],[SP Option  Stop Contract]] *(SnapshotTable[[#This Row],[SP Qty]] * 100) - SnapshotTable[[#This Row],[SP Premium]]),"")</f>
        <v/>
      </c>
      <c r="DC27" s="4"/>
      <c r="DD27" s="4"/>
      <c r="DE27" s="4" t="str">
        <f>IF(AND(SnapshotTable[[#This Row],[SP Qty]]&gt;0, SnapshotTable[[#This Row],[SP Stop To Use]]&gt;0),SnapshotTable[[#This Row],[SP Premium]] - ( SnapshotTable[[#This Row],[SP Qty]] * SnapshotTable[[#This Row],[SP Stop To Use]] * 100), "")</f>
        <v/>
      </c>
      <c r="DF27" s="31" t="str">
        <f>IF(AND(SnapshotTable[[#This Row],[SP Qty]]&gt;0,SnapshotTable[[#This Row],[SP Current Ask]]&gt;0), SnapshotTable[[#This Row],[SP Qty]] * SnapshotTable[[#This Row],[SP Current Ask]] * -100, "")</f>
        <v/>
      </c>
      <c r="DG27" s="31" t="str">
        <f>IF(ISNUMBER((SnapshotTable[[#This Row],[SP Total Value]])), SnapshotTable[[#This Row],[SP Premium]] + SnapshotTable[[#This Row],[SP Total Value]], "")</f>
        <v/>
      </c>
      <c r="DH27" s="294" t="str">
        <f>IF(ISNUMBER((SnapshotTable[[#This Row],[SP Total Value]])), SnapshotTable[[#This Row],[SP Gain Loss]] / SnapshotTable[[#This Row],[SP Premium]], "")</f>
        <v/>
      </c>
      <c r="DI27" s="406"/>
      <c r="DJ27" s="138"/>
      <c r="DK27" s="148"/>
      <c r="DL27" s="13"/>
      <c r="DM27" s="13"/>
      <c r="DO27" s="31">
        <f>IF(SnapshotTable[[#This Row],[LC Symbol Count]]=1, SnapshotTable[[#This Row],[LC Qty]] * SnapshotTable[[#This Row],[LC Book Price]] * 100, 0)</f>
        <v>0</v>
      </c>
      <c r="DP27" s="163" t="str">
        <f>IF(AND(SnapshotTable[[#This Row],[LC Exp Date]]&gt;0, SnapshotTable[[#This Row],[LC Strike Price]]&gt;0,SnapshotTable[[#This Row],[LC Qty]]&gt;0,SnapshotTable[[#This Row],[LC Book Date]]&gt;0,SnapshotTable[[#This Row],[LC Book Price]]&gt;0,SnapshotTable[[#This Row],[LC Fill Date]]=0),"Y","")</f>
        <v/>
      </c>
      <c r="DQ27" s="386" t="str">
        <f>IF(SnapshotTable[[#This Row],[LC Premium]] &gt; 0,SnapshotTable[[#This Row],[LC Exp Date]]-MAX(SnapshotTable[[#This Row],[LC Book Date]], SnapshotTable[[#This Row],[LC Fill Date]]),"")</f>
        <v/>
      </c>
      <c r="DR27" s="386" t="str">
        <f>IF(ISNUMBER(SnapshotTable[[#This Row],[LC Term]]), SnapshotTable[[#This Row],[LC Exp Date]] - MockToday, "")</f>
        <v/>
      </c>
      <c r="DS27" s="234" t="str">
        <f>IF(SnapshotTable[[#This Row],[LC Premium]]&gt;0,SnapshotTable[[#This Row],[LC Strike Price]] + SnapshotTable[[#This Row],[LC Book Price]],"")</f>
        <v/>
      </c>
      <c r="DU27" s="9" t="str">
        <f>IF(AND(SnapshotTable[[#This Row],[LC Symbol Count]]&gt;0, SnapshotTable[[#This Row],[LC Contract Value]]&gt;0), SnapshotTable[[#This Row],[LC Contract Value]] * SnapshotTable[[#This Row],[LC Qty]] * 100, "")</f>
        <v/>
      </c>
      <c r="DV27" s="9" t="str">
        <f>IF(AND(ISNUMBER(SnapshotTable[[#This Row],[LC Total Value]]), SnapshotTable[[#This Row],[LC Not Filled]]&lt;&gt;"Y"), SnapshotTable[[#This Row],[LC Total Value]]-SnapshotTable[[#This Row],[LC Premium]],"")</f>
        <v/>
      </c>
      <c r="DW27" s="240" t="str">
        <f>IF(ISNUMBER(SnapshotTable[[#This Row],[LC Actual Gain Loss]]), SnapshotTable[[#This Row],[LC Actual Gain Loss]] / SnapshotTable[[#This Row],[LC Premium]],"")</f>
        <v/>
      </c>
      <c r="DX27" s="284" t="str">
        <f>IF(ISNUMBER(SnapshotTable[[#This Row],[LC Book Price]]),SnapshotTable[[#This Row],[LC Book Price]] * 1.5,"")</f>
        <v/>
      </c>
      <c r="DY27" s="265" t="str">
        <f>IF(SnapshotTable[[#This Row],[LC Premium]]&gt;0, SnapshotTable[[#This Row],[LC Next Target]] * SnapshotTable[[#This Row],[LC Qty]] * 100,"")</f>
        <v/>
      </c>
      <c r="DZ27" s="265" t="str">
        <f>IF(ISNUMBER(SnapshotTable[[#This Row],[LC Target Gross]]), SnapshotTable[[#This Row],[LC Target Gross]] - SnapshotTable[[#This Row],[LC Premium]], "")</f>
        <v/>
      </c>
      <c r="EA27" s="305" t="str">
        <f>IF(ISNUMBER(SnapshotTable[[#This Row],[LC Target Gain Loss]]), SnapshotTable[[#This Row],[LC Target Gain Loss]]/SnapshotTable[[#This Row],[LC Premium]], "")</f>
        <v/>
      </c>
      <c r="EB27" s="262"/>
      <c r="EC27" s="283" t="str">
        <f>IF(SnapshotTable[[#This Row],[LC Premium]]&gt;0, SnapshotTable[[#This Row],[LC Book Price]] * (1 - LC_StopLoss_Pct),"")</f>
        <v/>
      </c>
      <c r="ED27" s="284"/>
      <c r="EE27" s="283" t="str">
        <f>IF(ISNUMBER(SnapshotTable[[#This Row],[LC Contract Value]]),IF(ISNUMBER(SnapshotTable[[#This Row],[LC Stop Loss Override]]), SnapshotTable[[#This Row],[LC Stop Loss Override]],SnapshotTable[[#This Row],[LC Stop Loss Calc Target]]),"")</f>
        <v/>
      </c>
      <c r="EF27" s="31" t="str">
        <f>IF(ISNUMBER(SnapshotTable[[#This Row],[LC Stop  To Use]]), (SnapshotTable[[#This Row],[LC Stop  To Use]] * SnapshotTable[[#This Row],[LC Qty]] * 100),"")</f>
        <v/>
      </c>
      <c r="EG27" s="9" t="str">
        <f>IF(ISNUMBER(SnapshotTable[[#This Row],[LC Total Value]]),SnapshotTable[[#This Row],[LC Stop Loss Amount]] - SnapshotTable[[#This Row],[LC Premium]],"")</f>
        <v/>
      </c>
      <c r="EH27" s="9">
        <f>IF(ISNUMBER(SnapshotTable[[#This Row],[LC Premium]]), SnapshotTable[[#This Row],[LC Qty]] * 100 * SnapshotTable[[#This Row],[LC Strike Price]], "")</f>
        <v>0</v>
      </c>
      <c r="EI27" s="240" t="str">
        <f>IF(AND(ISNUMBER(SnapshotTable[[#This Row],[LC Total Value]]),SnapshotTable[[#This Row],[LC Total Value]]&gt;0),SnapshotTable[[#This Row],[LC Stop Gain Loss]]  / SnapshotTable[[#This Row],[LC Premium]],"")</f>
        <v/>
      </c>
      <c r="EJ27" s="35">
        <f>IF(ISNUMBER(SnapshotTable[[#This Row],[Equity Shares]]),TRUNC(SnapshotTable[[#This Row],[Equity Shares]] / 100),0) + SnapshotTable[[#This Row],[LC Qty]]</f>
        <v>0</v>
      </c>
      <c r="EK27" s="147"/>
      <c r="EL27" s="138" t="str">
        <f>IF(SnapshotTable[[#This Row],[SC Exp Date]]&lt;&gt;"",TRUNC(SnapshotTable[[#This Row],[Last Price]]),"")</f>
        <v/>
      </c>
      <c r="EM27" s="148"/>
      <c r="EN27" s="147"/>
      <c r="EO27" s="147"/>
      <c r="EP27" s="138"/>
      <c r="EQ27" s="419" t="b">
        <f>AND(ISNUMBER(SnapshotTable[[#This Row],[SC Exp Date]]), ISNUMBER(SnapshotTable[[#This Row],[SC Strike Price]]), ISNUMBER(SnapshotTable[[#This Row],[SC Qty]]), ISNUMBER(SnapshotTable[[#This Row],[SC Book Date]]), ISNUMBER(SnapshotTable[[#This Row],[SC Book Price]]))</f>
        <v>0</v>
      </c>
      <c r="ER27" s="419" t="b">
        <f>AND(SnapshotTable[[#This Row],[SC Is Booked]], NOT(ISBLANK(SnapshotTable[[#This Row],[SC Fill Date]])))</f>
        <v>0</v>
      </c>
      <c r="ES27" s="370"/>
      <c r="ET27" s="34" t="str">
        <f>IF(AND(ISNUMBER(SnapshotTable[[#This Row],[SC Exp Date]]), ISNUMBER(SnapshotTable[[#This Row],[SC Book Date]])), SnapshotTable[[#This Row],[SC Exp Date]] - MAX(SnapshotTable[[#This Row],[SC Book Date]], SnapshotTable[[#This Row],[SC Fill Date]]) + 1, "")</f>
        <v/>
      </c>
      <c r="EU27" s="34" t="str">
        <f>IF(ISNUMBER(SnapshotTable[[#This Row],[SC Term]]), SnapshotTable[[#This Row],[SC Exp Date]]- MockToday, "")</f>
        <v/>
      </c>
      <c r="EV27" s="31">
        <f>IF(SnapshotTable[[#This Row],[SC Is Booked]], SnapshotTable[[#This Row],[SC Qty]] * SnapshotTable[[#This Row],[SC Book Price]] * 100, 0)</f>
        <v>0</v>
      </c>
      <c r="EW27" s="4" t="str">
        <f>IF(AND(ISNUMBER(SnapshotTable[[#This Row],[Last Price]]), ISNUMBER( SnapshotTable[[#This Row],[SC Book Price]])), SnapshotTable[[#This Row],[Last Price]] - SnapshotTable[[#This Row],[SC Book Price]],"")</f>
        <v/>
      </c>
      <c r="EX27" s="234" t="str">
        <f>IF(SnapshotTable[[#This Row],[SC Is Booked]],IF(SnapshotTable[[#This Row],[SC Intrinsic Value]] &gt; 0, SnapshotTable[[#This Row],[SC Strike Price]], SnapshotTable[[#This Row],[Last Price]]), "")</f>
        <v/>
      </c>
      <c r="EY27" s="4">
        <f>IF(SnapshotTable[[#This Row],[SC Is Booked]], (MinimumPremiumRequired * SnapshotTable[[#This Row],[SC Basis]] * SnapshotTable[[#This Row],[SC Term]]), 0)</f>
        <v>0</v>
      </c>
      <c r="EZ27" s="283"/>
      <c r="FA27" s="218"/>
      <c r="FB27" s="370"/>
      <c r="FC27" s="4">
        <f>IF(SnapshotTable[[#This Row],[SC Is Filled]], btc_max_buyback_amount(SnapshotTable[[#This Row],[SC Fill Date]],SnapshotTable[[#This Row],[SC Exp Date]], SnapshotTable[[#This Row],[SC Book Price]]),0)</f>
        <v>0</v>
      </c>
      <c r="FD27" s="5"/>
      <c r="FE27" s="144" t="str">
        <f>IF(SnapshotTable[[#This Row],[SC Is Filled]], btc_next_cutoff_date(SnapshotTable[[#This Row],[SC Fill Date]],SnapshotTable[[#This Row],[SC Exp Date]]),"")</f>
        <v/>
      </c>
      <c r="FF27" s="4" t="str" cm="1">
        <f t="array" ref="FF27">IF(SnapshotTable[[#This Row],[SC Is Filled]], btc_should_buy_back(SnapshotTable[[#This Row],[SC Fill Date]], SnapshotTable[[#This Row],[SC Exp Date]], SnapshotTable[[#This Row],[SC Book Price]], SnapshotTable[[#This Row],[SC Current Ask]], MockToday, SnapshotTable[[#This Row],[SC Buyback Override]]),"")</f>
        <v/>
      </c>
      <c r="FG27" s="4">
        <f>IF(SnapshotTable[[#This Row],[SC Is Filled]], MAX(0,SnapshotTable[[#This Row],[Last Price]]  - SnapshotTable[[#This Row],[SC Strike Price]]), 0)</f>
        <v>0</v>
      </c>
      <c r="FH27" s="382">
        <f>IF(SnapshotTable[[#This Row],[SC Is Filled]], IF(ISNUMBER(SnapshotTable[[#This Row],[SC Current Ask]]), SnapshotTable[[#This Row],[SC Current Ask]], SnapshotTable[[#This Row],[SC Book Price]]) - SnapshotTable[[#This Row],[SC Intrinsic Value]], 0)</f>
        <v>0</v>
      </c>
      <c r="FI27" s="143"/>
      <c r="FJ27" s="32" t="str">
        <f>IF(SnapshotTable[[#This Row],[SC Is Filled]],100 * SnapshotTable[[#This Row],[SC Qty]] * IF(ISNUMBER(SnapshotTable[[#This Row],[SC Buyback Override]]), SnapshotTable[[#This Row],[SC Buyback Override]], SnapshotTable[[#This Row],[SC Current Ask]]), "")</f>
        <v/>
      </c>
      <c r="FK27" s="250" t="str">
        <f>IF(SnapshotTable[[#This Row],[SC Time Val]]&gt;0, SnapshotTable[[#This Row],[SC Time Val]] / SnapshotTable[[#This Row],[Last Price]],"")</f>
        <v/>
      </c>
      <c r="FL27" s="302" t="str">
        <f>IF(SnapshotTable[[#This Row],[SC Is Booked]], ((SnapshotTable[[#This Row],[Last Price]] -SnapshotTable[[#This Row],[SC Strike Price]]) / SnapshotTable[[#This Row],[Last Price]]) * -1, "")</f>
        <v/>
      </c>
      <c r="FM27" s="157" t="str">
        <f>IF(SnapshotTable[[#This Row],[SC Is Booked]],  (SnapshotTable[[#This Row],[SC Qty]] * 100 * SnapshotTable[[#This Row],[SC Strike Price]]) - SnapshotTable[[#This Row],[SC Current Ask]], "")</f>
        <v/>
      </c>
      <c r="FN2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 s="31" t="str">
        <f>IF(AND(ISNUMBER(SnapshotTable[[#This Row],[SC Exercise Gross]]), ISNUMBER(SnapshotTable[[#This Row],[Equity Basis Per Share]] )), SnapshotTable[[#This Row],[SC Exercise Gross]] - SnapshotTable[[#This Row],[Equity Basis Total]] +  SnapshotTable[[#This Row],[SC Premium]], "")</f>
        <v/>
      </c>
      <c r="FP27" s="5" t="str">
        <f>IF(ISNUMBER(SnapshotTable[[#This Row],[SC Exercise Gross]]), (SnapshotTable[[#This Row],[SC Exercise Gross]]) / (SnapshotTable[[#This Row],[SC Qty]] * 100), "")</f>
        <v/>
      </c>
      <c r="FQ27" s="27" t="str">
        <f>IF(SnapshotTable[[#This Row],[SC Is Booked]],SnapshotTable[[#This Row],[SC Time Val]] /SnapshotTable[[#This Row],[SC Basis]], "")</f>
        <v/>
      </c>
      <c r="FR27" s="27" t="str" cm="1">
        <f t="array" ref="FR27">IF(AND(ISNUMBER(SnapshotTable[[#This Row],[SC Term]]),ISNUMBER(SnapshotTable[[#This Row],[SC Simple ROO]])), EllmanAnnualize(SnapshotTable[[#This Row],[SC DTE]], SnapshotTable[[#This Row],[SC Simple ROO]] ),"")</f>
        <v/>
      </c>
      <c r="FS27" s="4" t="e">
        <f>IF(SnapshotTable[[#This Row],[SC Strike Price]] &gt; SnapshotTable[[#This Row],[Last Price]], SnapshotTable[[#This Row],[SC Strike Price]] - SnapshotTable[[#This Row],[Last Price]],0)</f>
        <v>#VALUE!</v>
      </c>
      <c r="FT27" s="27" t="e">
        <f>IF(AND(ISNUMBER(SnapshotTable[[#This Row],[SC Upside Potential]]), SnapshotTable[[#This Row],[SC Upside Potential]] &gt; 0),(SnapshotTable[[#This Row],[SC Upside Potential]]/ SnapshotTable[[#This Row],[ACB]]),"")</f>
        <v>#VALUE!</v>
      </c>
      <c r="FU27" s="333" t="str">
        <f>IF(SnapshotTable[[#This Row],[SC Intrinsic Value]] &gt; 0,SnapshotTable[[#This Row],[SC Intrinsic Value]],"")</f>
        <v/>
      </c>
      <c r="FV27" s="27" t="str">
        <f>IF(AND( ISNUMBER( SnapshotTable[[#This Row],[ACB]]),ISNUMBER(SnapshotTable[[#This Row],[SC Downside Protect]])),SnapshotTable[[#This Row],[SC Downside Protect]] / SnapshotTable[[#This Row],[ACB]],"")</f>
        <v/>
      </c>
      <c r="FW27" s="236" t="str">
        <f>IF(AND(ISNUMBER(SnapshotTable[[#This Row],[SC Simple ROO]]),SnapshotTable[[#This Row],[SC Simple ROO]] &gt; 0), SnapshotTable[[#This Row],[SC Premium]] + (SnapshotTable[[#This Row],[SC Qty]] * SnapshotTable[[#This Row],[SC Upside Potential]]), "")</f>
        <v/>
      </c>
      <c r="FX27" s="302" t="str" cm="1">
        <f t="array" ref="FX27">IF(ISNUMBER(SnapshotTable[[#This Row],[SC Max Dollars]]), annualize(SnapshotTable[[#This Row],[SC Term]],(SnapshotTable[[#This Row],[SC Max Dollars]]/SnapshotTable[[#This Row],[SC Basis]])),"")</f>
        <v/>
      </c>
      <c r="FY27" s="236" t="str">
        <f>IF(AND(SnapshotTable[[#This Row],[SC Qty]]&gt;0,SnapshotTable[[#This Row],[SC Current Ask]]&gt;0), SnapshotTable[[#This Row],[SC Qty]] * SnapshotTable[[#This Row],[SC Current Ask]] * -100, "")</f>
        <v/>
      </c>
      <c r="FZ27" s="31" t="str">
        <f>IF(ISNUMBER((SnapshotTable[[#This Row],[SC Current Value]])), SnapshotTable[[#This Row],[SC Premium]] + SnapshotTable[[#This Row],[SC Current Value]], "")</f>
        <v/>
      </c>
      <c r="GA27" s="294" t="str">
        <f>IFERROR( IF(ISNUMBER((SnapshotTable[[#This Row],[SC Current Value]])), SnapshotTable[[#This Row],[SC Gain Loss]] / SnapshotTable[[#This Row],[SC Premium]], ""), "")</f>
        <v/>
      </c>
      <c r="GB27" s="42">
        <f>SnapshotTable[[#This Row],[Equity Shares]] * SaleSharesToConsiderPercentage</f>
        <v>0</v>
      </c>
      <c r="GC27" s="40">
        <f>SnapshotTable[[#This Row],[Long Term Target]] * SellingPriceToConsiderBasedOnTargetPercentage</f>
        <v>0</v>
      </c>
      <c r="GD27" s="40">
        <f>SnapshotTable[[#This Row],[Last Price]] * (1+ SellingPriceToConsiderBasedOnTargetPercentage)</f>
        <v>1190.1825000000001</v>
      </c>
      <c r="GE27" s="41"/>
      <c r="GF27" s="40"/>
      <c r="GG27" s="31">
        <f>SnapshotTable[[#This Row],[Booked Sale Shares]] * SnapshotTable[[#This Row],[Booked Sale Price]]</f>
        <v>0</v>
      </c>
      <c r="GH27" s="31" t="str">
        <f>IF(SnapshotTable[[#This Row],[Equity Basis Total]] &gt; 0, SnapshotTable[[#This Row],[Equity Basis Per Share]] * SnapshotTable[[#This Row],[Booked Sale Shares]], "")</f>
        <v/>
      </c>
      <c r="GI27" s="31">
        <f>IF(SnapshotTable[[#This Row],[Sale Proceeds]]&gt;0, SnapshotTable[[#This Row],[Sale Proceeds]] - SnapshotTable[[#This Row],[Sale Basis]], 0)</f>
        <v>0</v>
      </c>
      <c r="GJ27" s="27" t="str">
        <f>IF(SnapshotTable[[#This Row],[Sale G/L]]&gt;0, SnapshotTable[[#This Row],[Sale G/L]] / SnapshotTable[[#This Row],[Sale Basis]], IF(ISNUMBER(SnapshotTable[[#This Row],[SC Exercise P&amp;L (TAX)]]), SnapshotTable[[#This Row],[SC Exercise P&amp;L (TAX)]] / SnapshotTable[[#This Row],[SC Basis]], ""))</f>
        <v/>
      </c>
      <c r="GK27" s="27"/>
      <c r="GL27" s="43" t="str">
        <f>IF(AND(SnapshotTable[[#This Row],[LP Exp Date]]&gt;0,SnapshotTable[[#This Row],[LP Strike Price]]&gt;0), [1]!ToOptionSymbol(SnapshotTable[[#This Row],[Symbol]], SnapshotTable[[#This Row],[LP Strike Price]],SnapshotTable[[#This Row],[LP Exp Date]],1), "")</f>
        <v/>
      </c>
      <c r="GM27" s="30" t="str">
        <f>IF(LEN(SnapshotTable[[#This Row],[LP Symbol]])&gt;0, 1, "")</f>
        <v/>
      </c>
      <c r="GN27" s="43" t="str">
        <f>IF(AND(SnapshotTable[[#This Row],[SP Exp Date]]&gt;0,SnapshotTable[[#This Row],[SP Strike Price]]&gt;0), [1]!ToOptionSymbol(SnapshotTable[[#This Row],[Symbol]], SnapshotTable[[#This Row],[SP Strike Price]],SnapshotTable[[#This Row],[SP Exp Date]],1), "")</f>
        <v/>
      </c>
      <c r="GO27" s="30" t="str">
        <f>IF(LEN(SnapshotTable[[#This Row],[SP Symbol]])&gt;0, 1, "")</f>
        <v/>
      </c>
      <c r="GP27" s="43" t="str">
        <f>IF(AND(SnapshotTable[[#This Row],[LC Exp Date]]&gt;0,SnapshotTable[[#This Row],[LC Strike Price]]&gt;0), [1]!ToOptionSymbol(SnapshotTable[[#This Row],[Symbol]], SnapshotTable[[#This Row],[LC Strike Price]],SnapshotTable[[#This Row],[LC Exp Date]],0), "")</f>
        <v/>
      </c>
      <c r="GQ27" s="30" t="str">
        <f>IF(LEN(SnapshotTable[[#This Row],[LC Symbol]])&gt;0, 1, "")</f>
        <v/>
      </c>
      <c r="GR27" s="43" t="str">
        <f>IF(AND(SnapshotTable[[#This Row],[SC Exp Date]]&gt;0,SnapshotTable[[#This Row],[SC Strike Price]]&gt;0), [1]!ToOptionSymbol(SnapshotTable[[#This Row],[Symbol]], SnapshotTable[[#This Row],[SC Strike Price]],SnapshotTable[[#This Row],[SC Exp Date]],0), "")</f>
        <v/>
      </c>
      <c r="GS27" s="30" t="str">
        <f>IF(LEN(SnapshotTable[[#This Row],[SC Symbol]])&gt;0, 1, "")</f>
        <v/>
      </c>
      <c r="GT27" s="29" t="str">
        <f>IF(COUNT(SnapshotTable[[#This Row],[LP Symbol Count]],SnapshotTable[[#This Row],[SP Symbol Count]],SnapshotTable[[#This Row],[LC Symbol Count]],SnapshotTable[[#This Row],[SC Symbol Count]])&gt;0, "Y", "")</f>
        <v/>
      </c>
      <c r="GU2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 s="231" t="e">
        <f>MAX(SnapshotTable[[#This Row],[Equity Basis Total]],SnapshotTable[[#This Row],[Equity Value]]) + (SnapshotTable[[#This Row],[SP Potential Spend]]- SnapshotTable[[#This Row],[SP Premium]] + SnapshotTable[[#This Row],[LP Premium]])+ (SnapshotTable[[#This Row],[LC Premium]] - SnapshotTable[[#This Row],[SC Premium]])</f>
        <v>#VALUE!</v>
      </c>
      <c r="GW27" s="139" t="e">
        <f>IF(AND(SnapshotTable[[#This Row],[Exposure]] &lt;&gt; 0),SnapshotTable[[#This Row],[Exposure]] / SnapshotTable[[#Totals],[Exposure]], "")</f>
        <v>#VALUE!</v>
      </c>
      <c r="HK27" s="1"/>
      <c r="HL27" s="1"/>
      <c r="HM27" s="1"/>
      <c r="HN27" s="1"/>
      <c r="HO27" s="1"/>
      <c r="HP27" s="1"/>
    </row>
    <row r="28" spans="2:224" ht="12.75" hidden="1" customHeight="1" x14ac:dyDescent="0.25">
      <c r="B28" s="12" t="s">
        <v>1080</v>
      </c>
      <c r="C28" s="422">
        <v>8.19</v>
      </c>
      <c r="D28" s="208" t="s">
        <v>578</v>
      </c>
      <c r="E28" s="39">
        <f>SnapshotTable[[#This Row],[Last Price]]*(1 -CrashDiscount)</f>
        <v>6.9614999999999991</v>
      </c>
      <c r="F28" s="26" t="s">
        <v>613</v>
      </c>
      <c r="G28" s="26" t="s">
        <v>9</v>
      </c>
      <c r="H28" s="149"/>
      <c r="I28" s="194">
        <v>45168.677083333336</v>
      </c>
      <c r="J28" s="195">
        <v>45168.677083333336</v>
      </c>
      <c r="K28" s="196"/>
      <c r="L28" s="326"/>
      <c r="M28" s="140"/>
      <c r="N28" s="140"/>
      <c r="O28" s="140"/>
      <c r="P28" s="22"/>
      <c r="Q28" s="25"/>
      <c r="R28" s="4" t="str">
        <f>IF(SnapshotTable[[#This Row],[Equity Basis Total]] &gt; 0, SnapshotTable[[#This Row],[Equity Basis Total]] / SnapshotTable[[#This Row],[Equity Shares]], "")</f>
        <v/>
      </c>
      <c r="S28" s="269">
        <f>SnapshotTable[[#This Row],[Last Price]] * SnapshotTable[[#This Row],[Equity Shares]]</f>
        <v>0</v>
      </c>
      <c r="T28" s="269">
        <f>SnapshotTable[[#This Row],[Equity Value]] - SnapshotTable[[#This Row],[Equity Basis Total]]</f>
        <v>0</v>
      </c>
      <c r="U28" s="270" t="str">
        <f>IF(SnapshotTable[[#This Row],[Equity Basis Total]] &gt; 0, SnapshotTable[[#This Row],[Equity G/L]] / SnapshotTable[[#This Row],[Equity Basis Total]], "")</f>
        <v/>
      </c>
      <c r="V28" s="268">
        <v>55</v>
      </c>
      <c r="W28" s="268">
        <v>36</v>
      </c>
      <c r="X28" s="4" t="str">
        <f>IF(AND(ISNUMBER(SnapshotTable[[#This Row],[Equity Basis Per Share]]),ISNUMBER(SnapshotTable[[#This Row],[Equity Target]])),SnapshotTable[[#This Row],[Equity Target]]-SnapshotTable[[#This Row],[Equity Basis Per Share]],"")</f>
        <v/>
      </c>
      <c r="Y28" s="4" t="str">
        <f>IF(AND(ISNUMBER(SnapshotTable[[#This Row],[Equity Basis Per Share]]),ISNUMBER(SnapshotTable[[#This Row],[Equity Stop Loss]])),SnapshotTable[[#This Row],[Equity Stop Loss]]-SnapshotTable[[#This Row],[Equity Basis Per Share]],"")</f>
        <v/>
      </c>
      <c r="Z28" s="275" t="str">
        <f>IFERROR( TEXT(SnapshotTable[[#This Row],[Equity Max Gain Per Share]] /ABS( SnapshotTable[[#This Row],[Equity Max Loss Per Share]]),"0.0 " ) &amp; " : 1", "")</f>
        <v/>
      </c>
      <c r="AA28" s="31" t="str">
        <f>IF(ISNUMBER(SnapshotTable[[#This Row],[Equity Max Gain Per Share]]),SnapshotTable[[#This Row],[Equity Max Gain Per Share]] * SnapshotTable[[#This Row],[Equity Shares]],"")</f>
        <v/>
      </c>
      <c r="AB28" s="31" t="str">
        <f>IF(ISNUMBER(SnapshotTable[[#This Row],[Equity Max Loss Per Share]]),SnapshotTable[[#This Row],[Equity Max Loss Per Share]] * SnapshotTable[[#This Row],[Equity Shares]],"")</f>
        <v/>
      </c>
      <c r="AC28" s="150"/>
      <c r="AD28" s="151"/>
      <c r="AE28" s="31">
        <f>(SnapshotTable[[#This Row],[Annual Dividend Per Share]] / 4) * SnapshotTable[[#This Row],[Equity Shares]]</f>
        <v>0</v>
      </c>
      <c r="AF28" s="31">
        <f>SnapshotTable[[#This Row],[Quarterly Div $]] * 4</f>
        <v>0</v>
      </c>
      <c r="AG28" s="7">
        <f>IF(SnapshotTable[[#This Row],[Annual Dividend Per Share]]&gt;0, SnapshotTable[[#This Row],[Annual Dividend Per Share]]  / SnapshotTable[[#This Row],[Last Price]], 0)</f>
        <v>0</v>
      </c>
      <c r="AH28" s="151"/>
      <c r="AI28" s="5"/>
      <c r="AJ28" s="138"/>
      <c r="AK28" s="152" t="str">
        <f>IF(ISNUMBER( SnapshotTable[[#This Row],[EBF Target]]),(SnapshotTable[[#This Row],[EBF Target]] - SnapshotTable[[#This Row],[Last Price]]) / SnapshotTable[[#This Row],[Last Price]], "")</f>
        <v/>
      </c>
      <c r="AL28" s="152" t="str">
        <f>IF(AND(SnapshotTable[[#This Row],[Equity Basis Total]] &gt; 0,ISNUMBER( SnapshotTable[[#This Row],[Long Term Target]])), SnapshotTable[[#This Row],[From Basis $]] / SnapshotTable[[#This Row],[Equity Basis Total]], "")</f>
        <v/>
      </c>
      <c r="AM28" s="9">
        <f>IF( AND(SnapshotTable[[#This Row],[Equity Shares]] &gt;0,ISNUMBER( SnapshotTable[[#This Row],[Long Term Target]])),(SnapshotTable[[#This Row],[Equity Shares]] * SnapshotTable[[#This Row],[Long Term Target]]) - SnapshotTable[[#This Row],[Equity Basis Total]],0)</f>
        <v>0</v>
      </c>
      <c r="AN28" s="9">
        <f>IF( AND(SnapshotTable[[#This Row],[Equity Shares]] &gt;0,ISNUMBER( SnapshotTable[[#This Row],[Long Term Target]])),(SnapshotTable[[#This Row],[Equity Shares]]*SnapshotTable[[#This Row],[Long Term Target]]) - SnapshotTable[[#This Row],[Equity Value]],0)</f>
        <v>0</v>
      </c>
      <c r="AO28" s="152" t="str">
        <f>IF(AND(ISNUMBER( SnapshotTable[[#This Row],[Long Term Target]]), ISNUMBER(SnapshotTable[[#This Row],[Last Price]])),(SnapshotTable[[#This Row],[Long Term Target]] - SnapshotTable[[#This Row],[Last Price]]) / SnapshotTable[[#This Row],[Last Price]], "")</f>
        <v/>
      </c>
      <c r="AP28" s="5">
        <v>29</v>
      </c>
      <c r="AQ28" s="38" t="s">
        <v>27</v>
      </c>
      <c r="AR28" s="5">
        <v>29</v>
      </c>
      <c r="AS28" s="38" t="s">
        <v>38</v>
      </c>
      <c r="AT28" s="146" t="s">
        <v>538</v>
      </c>
      <c r="AU28" s="187" t="str">
        <f>IF(OR(SnapshotTable[[#This Row],[LP No Fill]]="Y",SnapshotTable[[#This Row],[SP Is Filled]],SnapshotTable[[#This Row],[LC Not Filled]]="Y",SnapshotTable[[#This Row],[SC Is Filled]]),"Y","")</f>
        <v/>
      </c>
      <c r="AV28" s="219"/>
      <c r="AW28" s="225"/>
      <c r="AX28" s="220"/>
      <c r="AY28" s="219" t="str">
        <f>IF(SnapshotTable[[#This Row],[Implied Move]]&gt;0, SnapshotTable[[#This Row],[Last Price]]-SnapshotTable[[#This Row],[Implied Move]],"")</f>
        <v/>
      </c>
      <c r="AZ28" s="219" t="str">
        <f>IF(SnapshotTable[[#This Row],[Implied Move]]&gt;0, SnapshotTable[[#This Row],[Last Price]] + SnapshotTable[[#This Row],[Implied Move]],"")</f>
        <v/>
      </c>
      <c r="BA28" s="331"/>
      <c r="BB28" s="347"/>
      <c r="BC2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 s="351"/>
      <c r="BE28" s="5"/>
      <c r="BF28" s="14"/>
      <c r="BG28" s="13"/>
      <c r="BH28" s="13"/>
      <c r="BI28" s="5"/>
      <c r="BJ28" s="136">
        <f>IF(SnapshotTable[[#This Row],[LP Qty]] &gt; 0, SnapshotTable[[#This Row],[LP Qty]] * SnapshotTable[[#This Row],[LP Book Price]] * 100,0)</f>
        <v>0</v>
      </c>
      <c r="BK28" s="136">
        <f>IF(SnapshotTable[[#This Row],[LP Premium]] &gt; 0, SnapshotTable[[#This Row],[LP Qty]] * SnapshotTable[[#This Row],[LP Strike Price]] * 100,0)</f>
        <v>0</v>
      </c>
      <c r="BL28" s="154"/>
      <c r="BM28" s="385" t="str">
        <f>IF(SnapshotTable[[#This Row],[LP Premium]] &gt; 0,SnapshotTable[[#This Row],[LP Exp Date]]-MAX(SnapshotTable[[#This Row],[LP Book Date]], SnapshotTable[[#This Row],[LP Fill Date]]),"")</f>
        <v/>
      </c>
      <c r="BN28" s="385" t="str">
        <f>IF(ISNUMBER( SnapshotTable[[#This Row],[LP Term]]), SnapshotTable[[#This Row],[LP Exp Date]] - MockToday,"")</f>
        <v/>
      </c>
      <c r="BO28" s="163" t="str">
        <f>IF(AND(SnapshotTable[[#This Row],[LP Exp Date]]&gt;0, SnapshotTable[[#This Row],[LP Strike Price]]&gt;0,SnapshotTable[[#This Row],[LP Qty]]&gt;0,SnapshotTable[[#This Row],[LP Book Date]]&gt;0,SnapshotTable[[#This Row],[LP Book Price]]&gt;0,SnapshotTable[[#This Row],[LP Fill Date]]=0),"Y","")</f>
        <v/>
      </c>
      <c r="BP28" s="31" t="str">
        <f>IF(AND(SnapshotTable[[#This Row],[LP No Fill]]&lt;&gt;"Y",SnapshotTable[[#This Row],[LP Contract Value]]&gt;0, SnapshotTable[[#This Row],[LP Qty]]&gt;0), SnapshotTable[[#This Row],[LP Contract Value]]*SnapshotTable[[#This Row],[LP Qty]]*100,"")</f>
        <v/>
      </c>
      <c r="BQ28" s="13"/>
      <c r="BR28" s="5" t="str">
        <f>IF(SnapshotTable[[#This Row],[SP Exp Date]]&lt;&gt;"",TRUNC(SnapshotTable[[#This Row],[Last Price]]),"")</f>
        <v/>
      </c>
      <c r="BS28" s="36"/>
      <c r="BT28" s="147"/>
      <c r="BU28" s="13"/>
      <c r="BV28" s="5"/>
      <c r="BW28" s="419" t="b">
        <f>AND(ISNUMBER(SnapshotTable[[#This Row],[SP Exp Date]]), ISNUMBER(SnapshotTable[[#This Row],[SP Strike Price]]), ISNUMBER(SnapshotTable[[#This Row],[SP Qty]]), ISNUMBER(SnapshotTable[[#This Row],[SP Book Date]]), ISNUMBER(SnapshotTable[[#This Row],[SP Book Price]]))</f>
        <v>0</v>
      </c>
      <c r="BX28" s="419" t="b">
        <f>AND(SnapshotTable[[#This Row],[SP Is Booked]], NOT(ISBLANK(SnapshotTable[[#This Row],[SP Fill Date]])))</f>
        <v>0</v>
      </c>
      <c r="BY28" s="33">
        <f>IF(SnapshotTable[[#This Row],[SP Is Booked]], SnapshotTable[[#This Row],[SP Qty]] * SnapshotTable[[#This Row],[SP Book Price]] * 100, 0)</f>
        <v>0</v>
      </c>
      <c r="BZ28" s="369"/>
      <c r="CA28" s="368">
        <f>SnapshotTable[[#This Row],[LP Qty]]</f>
        <v>0</v>
      </c>
      <c r="CB28" s="4" t="str">
        <f>IF(SnapshotTable[[#This Row],[SP Is Booked]], SnapshotTable[[#This Row],[SP Strike Price]] - SnapshotTable[[#This Row],[SP Book Price]], "")</f>
        <v/>
      </c>
      <c r="CC28" s="19" t="str">
        <f>IF(SnapshotTable[[#This Row],[SP Is Booked]],SnapshotTable[[#This Row],[SP Exp Date]]-MAX(SnapshotTable[[#This Row],[SP Book Date]], SnapshotTable[[#This Row],[SP Fill Date]]),"")</f>
        <v/>
      </c>
      <c r="CD28" s="7" t="str">
        <f>IF(SnapshotTable[[#This Row],[SP Is Booked]], SnapshotTable[[#This Row],[SP Book Price]]/SnapshotTable[[#This Row],[SP Strike Price]], "")</f>
        <v/>
      </c>
      <c r="CE28" s="7" t="str">
        <f>IF(ISNUMBER(SnapshotTable[[#This Row],[SP ROO Term]]),SnapshotTable[[#This Row],[SP ROO Term]]*(365/SnapshotTable[[#This Row],[SP Term]]),"")</f>
        <v/>
      </c>
      <c r="CF28" s="236">
        <f>SnapshotTable[[#This Row],[LP Strike Price]] * SnapshotTable[[#This Row],[LP Qty]] * 100</f>
        <v>0</v>
      </c>
      <c r="CG28" s="31" t="e">
        <f>IF(ISNUMBER(SnapshotTable[[#This Row],[SP Premium]]), (SnapshotTable[[#This Row],[SP Qty]] * SnapshotTable[[#This Row],[SP Strike Price]]* 100) - SnapshotTable[[#This Row],[LP Protection]], 0)</f>
        <v>#VALUE!</v>
      </c>
      <c r="CH28" s="7" t="str">
        <f>IF(ISNUMBER(SnapshotTable[[#This Row],[SP Break Even]]),-1 * (SnapshotTable[[#This Row],[SP Break Even]] - SnapshotTable[[#This Row],[Last Price]]) / SnapshotTable[[#This Row],[Last Price]], "")</f>
        <v/>
      </c>
      <c r="CI28" s="31">
        <f>IF(AND(ISNUMBER((SnapshotTable[[#This Row],[SP Potential Spend]])), SnapshotTable[[#This Row],[SP Strike Price]] &gt; SnapshotTable[[#This Row],[Last Price]], SnapshotTable[[#This Row],[SP Is Filled]]), SnapshotTable[[#This Row],[SP Potential Spend]] -  SnapshotTable[[#This Row],[LP Max Value]], 0)</f>
        <v>0</v>
      </c>
      <c r="CJ28" s="244"/>
      <c r="CK28" s="31" t="str">
        <f>IF(ISNUMBER(SnapshotTable[[#This Row],[SP Potential Spend]]),IF(ISNUMBER(SnapshotTable[[#This Row],[SP POW]]), SnapshotTable[[#This Row],[SP POW]] * SnapshotTable[[#This Row],[SP Potential Spend]], SnapshotTable[[#This Row],[SP Potential Spend]]), "")</f>
        <v/>
      </c>
      <c r="CL28" s="164" t="e">
        <f>IF(NOT(SnapshotTable[[#This Row],[SP Is Filled]]),(SnapshotTable[[#This Row],[SP Qty]] * SnapshotTable[[#This Row],[SP Strike Price]] * 100) - SnapshotTable[[#This Row],[LP Max Value]],"")</f>
        <v>#VALUE!</v>
      </c>
      <c r="CM28" s="31" t="str">
        <f>IF(SnapshotTable[[#This Row],[SP Actual Spend]]&lt;&gt;0, ((SnapshotTable[[#This Row],[SP Strike Price]]-SnapshotTable[[#This Row],[Last Price]]) *(SnapshotTable[[#This Row],[SP Qty]]*100) - SnapshotTable[[#This Row],[SP Premium]]) * - 1, "")</f>
        <v/>
      </c>
      <c r="CN28" s="78"/>
      <c r="CO28" s="369"/>
      <c r="CP28" s="4" t="str">
        <f>IF(SnapshotTable[[#This Row],[SP Is Filled]], btc_max_buyback_amount(SnapshotTable[[#This Row],[SP Fill Date]],SnapshotTable[[#This Row],[SP Exp Date]], SnapshotTable[[#This Row],[SP Book Price]]),"")</f>
        <v/>
      </c>
      <c r="CQ28" s="78"/>
      <c r="CR2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 s="155" t="str">
        <f>IF(SnapshotTable[[#This Row],[SP Is Filled]], btc_next_cutoff_date(SnapshotTable[[#This Row],[SP Fill Date]],SnapshotTable[[#This Row],[SP Exp Date]]),"")</f>
        <v/>
      </c>
      <c r="CT28" s="235" t="str" cm="1">
        <f t="array" ref="CT28">IF(SnapshotTable[[#This Row],[SP Is Filled]], btc_should_buy_back(SnapshotTable[[#This Row],[SP Fill Date]], SnapshotTable[[#This Row],[SP Exp Date]], SnapshotTable[[#This Row],[SP Book Price]], SnapshotTable[[#This Row],[SP Current Ask]], MockToday, SnapshotTable[[#This Row],[SP Buyback Override]]),"")</f>
        <v/>
      </c>
      <c r="CU28" s="156"/>
      <c r="CV28" s="235"/>
      <c r="CW28" s="378" t="str">
        <f>IF(ISNUMBER( SnapshotTable[[#This Row],[SP Term]]), SnapshotTable[[#This Row],[SP Exp Date]] - MockToday,"")</f>
        <v/>
      </c>
      <c r="CX28" s="31" t="str">
        <f>IF(SnapshotTable[[#This Row],[SP Is Filled]],SnapshotTable[[#This Row],[SP Buyback Price to Use]] * 100 * SnapshotTable[[#This Row],[SP Qty]], "")</f>
        <v/>
      </c>
      <c r="CY28" s="4" t="str">
        <f>IF(ISNUMBER(SnapshotTable[[#This Row],[SP Strike Price]]), SnapshotTable[[#This Row],[SP Strike Price]] * (1 - SP_MaxLoss_StrikePct), "")</f>
        <v/>
      </c>
      <c r="CZ28" s="31" t="str">
        <f>IF(ISNUMBER(SnapshotTable[[#This Row],[SP Strike  Stop Per Share]]),SnapshotTable[[#This Row],[SP Premium]] - ((SnapshotTable[[#This Row],[SP Strike Price]]-SnapshotTable[[#This Row],[SP Strike  Stop Per Share]]) *(SnapshotTable[[#This Row],[SP Qty]] * 100)),"")</f>
        <v/>
      </c>
      <c r="DA28" s="4" t="str">
        <f>IF(AND(ISNUMBER(SnapshotTable[[#This Row],[SP Premium]]),SnapshotTable[[#This Row],[SP Premium]]&gt;0), SnapshotTable[[#This Row],[SP Book Price]] * (1 + SP_MaxLoss_OptionPct), "")</f>
        <v/>
      </c>
      <c r="DB28" s="31" t="str">
        <f>IF(ISNUMBER(SnapshotTable[[#This Row],[SP Option  Stop Contract]]),(SnapshotTable[[#This Row],[SP Option  Stop Contract]] *(SnapshotTable[[#This Row],[SP Qty]] * 100) - SnapshotTable[[#This Row],[SP Premium]]),"")</f>
        <v/>
      </c>
      <c r="DC28" s="4"/>
      <c r="DD28" s="4"/>
      <c r="DE28" s="4" t="str">
        <f>IF(AND(SnapshotTable[[#This Row],[SP Qty]]&gt;0, SnapshotTable[[#This Row],[SP Stop To Use]]&gt;0),SnapshotTable[[#This Row],[SP Premium]] - ( SnapshotTable[[#This Row],[SP Qty]] * SnapshotTable[[#This Row],[SP Stop To Use]] * 100), "")</f>
        <v/>
      </c>
      <c r="DF28" s="31" t="str">
        <f>IF(AND(SnapshotTable[[#This Row],[SP Qty]]&gt;0,SnapshotTable[[#This Row],[SP Current Ask]]&gt;0), SnapshotTable[[#This Row],[SP Qty]] * SnapshotTable[[#This Row],[SP Current Ask]] * -100, "")</f>
        <v/>
      </c>
      <c r="DG28" s="31" t="str">
        <f>IF(ISNUMBER((SnapshotTable[[#This Row],[SP Total Value]])), SnapshotTable[[#This Row],[SP Premium]] + SnapshotTable[[#This Row],[SP Total Value]], "")</f>
        <v/>
      </c>
      <c r="DH28" s="294" t="str">
        <f>IF(ISNUMBER((SnapshotTable[[#This Row],[SP Total Value]])), SnapshotTable[[#This Row],[SP Gain Loss]] / SnapshotTable[[#This Row],[SP Premium]], "")</f>
        <v/>
      </c>
      <c r="DI28" s="406"/>
      <c r="DJ28" s="138"/>
      <c r="DK28" s="148"/>
      <c r="DL28" s="13"/>
      <c r="DM28" s="13"/>
      <c r="DO28" s="31">
        <f>IF(SnapshotTable[[#This Row],[LC Symbol Count]]=1, SnapshotTable[[#This Row],[LC Qty]] * SnapshotTable[[#This Row],[LC Book Price]] * 100, 0)</f>
        <v>0</v>
      </c>
      <c r="DP28" s="163" t="str">
        <f>IF(AND(SnapshotTable[[#This Row],[LC Exp Date]]&gt;0, SnapshotTable[[#This Row],[LC Strike Price]]&gt;0,SnapshotTable[[#This Row],[LC Qty]]&gt;0,SnapshotTable[[#This Row],[LC Book Date]]&gt;0,SnapshotTable[[#This Row],[LC Book Price]]&gt;0,SnapshotTable[[#This Row],[LC Fill Date]]=0),"Y","")</f>
        <v/>
      </c>
      <c r="DQ28" s="386" t="str">
        <f>IF(SnapshotTable[[#This Row],[LC Premium]] &gt; 0,SnapshotTable[[#This Row],[LC Exp Date]]-MAX(SnapshotTable[[#This Row],[LC Book Date]], SnapshotTable[[#This Row],[LC Fill Date]]),"")</f>
        <v/>
      </c>
      <c r="DR28" s="386" t="str">
        <f>IF(ISNUMBER(SnapshotTable[[#This Row],[LC Term]]), SnapshotTable[[#This Row],[LC Exp Date]] - MockToday, "")</f>
        <v/>
      </c>
      <c r="DS28" s="234" t="str">
        <f>IF(SnapshotTable[[#This Row],[LC Premium]]&gt;0,SnapshotTable[[#This Row],[LC Strike Price]] + SnapshotTable[[#This Row],[LC Book Price]],"")</f>
        <v/>
      </c>
      <c r="DU28" s="9" t="str">
        <f>IF(AND(SnapshotTable[[#This Row],[LC Symbol Count]]&gt;0, SnapshotTable[[#This Row],[LC Contract Value]]&gt;0), SnapshotTable[[#This Row],[LC Contract Value]] * SnapshotTable[[#This Row],[LC Qty]] * 100, "")</f>
        <v/>
      </c>
      <c r="DV28" s="9" t="str">
        <f>IF(AND(ISNUMBER(SnapshotTable[[#This Row],[LC Total Value]]), SnapshotTable[[#This Row],[LC Not Filled]]&lt;&gt;"Y"), SnapshotTable[[#This Row],[LC Total Value]]-SnapshotTable[[#This Row],[LC Premium]],"")</f>
        <v/>
      </c>
      <c r="DW28" s="240" t="str">
        <f>IF(ISNUMBER(SnapshotTable[[#This Row],[LC Actual Gain Loss]]), SnapshotTable[[#This Row],[LC Actual Gain Loss]] / SnapshotTable[[#This Row],[LC Premium]],"")</f>
        <v/>
      </c>
      <c r="DX28" s="284" t="str">
        <f>IF(ISNUMBER(SnapshotTable[[#This Row],[LC Book Price]]),SnapshotTable[[#This Row],[LC Book Price]] * 1.5,"")</f>
        <v/>
      </c>
      <c r="DY28" s="265" t="str">
        <f>IF(SnapshotTable[[#This Row],[LC Premium]]&gt;0, SnapshotTable[[#This Row],[LC Next Target]] * SnapshotTable[[#This Row],[LC Qty]] * 100,"")</f>
        <v/>
      </c>
      <c r="DZ28" s="265" t="str">
        <f>IF(ISNUMBER(SnapshotTable[[#This Row],[LC Target Gross]]), SnapshotTable[[#This Row],[LC Target Gross]] - SnapshotTable[[#This Row],[LC Premium]], "")</f>
        <v/>
      </c>
      <c r="EA28" s="305" t="str">
        <f>IF(ISNUMBER(SnapshotTable[[#This Row],[LC Target Gain Loss]]), SnapshotTable[[#This Row],[LC Target Gain Loss]]/SnapshotTable[[#This Row],[LC Premium]], "")</f>
        <v/>
      </c>
      <c r="EB28" s="262"/>
      <c r="EC28" s="283" t="str">
        <f>IF(SnapshotTable[[#This Row],[LC Premium]]&gt;0, SnapshotTable[[#This Row],[LC Book Price]] * (1 - LC_StopLoss_Pct),"")</f>
        <v/>
      </c>
      <c r="ED28" s="284"/>
      <c r="EE28" s="283" t="str">
        <f>IF(ISNUMBER(SnapshotTable[[#This Row],[LC Contract Value]]),IF(ISNUMBER(SnapshotTable[[#This Row],[LC Stop Loss Override]]), SnapshotTable[[#This Row],[LC Stop Loss Override]],SnapshotTable[[#This Row],[LC Stop Loss Calc Target]]),"")</f>
        <v/>
      </c>
      <c r="EF28" s="31" t="str">
        <f>IF(ISNUMBER(SnapshotTable[[#This Row],[LC Stop  To Use]]), (SnapshotTable[[#This Row],[LC Stop  To Use]] * SnapshotTable[[#This Row],[LC Qty]] * 100),"")</f>
        <v/>
      </c>
      <c r="EG28" s="9" t="str">
        <f>IF(ISNUMBER(SnapshotTable[[#This Row],[LC Total Value]]),SnapshotTable[[#This Row],[LC Stop Loss Amount]] - SnapshotTable[[#This Row],[LC Premium]],"")</f>
        <v/>
      </c>
      <c r="EH28" s="9">
        <f>IF(ISNUMBER(SnapshotTable[[#This Row],[LC Premium]]), SnapshotTable[[#This Row],[LC Qty]] * 100 * SnapshotTable[[#This Row],[LC Strike Price]], "")</f>
        <v>0</v>
      </c>
      <c r="EI28" s="240" t="str">
        <f>IF(AND(ISNUMBER(SnapshotTable[[#This Row],[LC Total Value]]),SnapshotTable[[#This Row],[LC Total Value]]&gt;0),SnapshotTable[[#This Row],[LC Stop Gain Loss]]  / SnapshotTable[[#This Row],[LC Premium]],"")</f>
        <v/>
      </c>
      <c r="EJ28" s="35">
        <f>IF(ISNUMBER(SnapshotTable[[#This Row],[Equity Shares]]),TRUNC(SnapshotTable[[#This Row],[Equity Shares]] / 100),0) + SnapshotTable[[#This Row],[LC Qty]]</f>
        <v>0</v>
      </c>
      <c r="EK28" s="147"/>
      <c r="EL28" s="138" t="str">
        <f>IF(SnapshotTable[[#This Row],[SC Exp Date]]&lt;&gt;"",TRUNC(SnapshotTable[[#This Row],[Last Price]]),"")</f>
        <v/>
      </c>
      <c r="EM28" s="148"/>
      <c r="EN28" s="147"/>
      <c r="EO28" s="147"/>
      <c r="EP28" s="138"/>
      <c r="EQ28" s="419" t="b">
        <f>AND(ISNUMBER(SnapshotTable[[#This Row],[SC Exp Date]]), ISNUMBER(SnapshotTable[[#This Row],[SC Strike Price]]), ISNUMBER(SnapshotTable[[#This Row],[SC Qty]]), ISNUMBER(SnapshotTable[[#This Row],[SC Book Date]]), ISNUMBER(SnapshotTable[[#This Row],[SC Book Price]]))</f>
        <v>0</v>
      </c>
      <c r="ER28" s="419" t="b">
        <f>AND(SnapshotTable[[#This Row],[SC Is Booked]], NOT(ISBLANK(SnapshotTable[[#This Row],[SC Fill Date]])))</f>
        <v>0</v>
      </c>
      <c r="ES28" s="370">
        <v>0.41</v>
      </c>
      <c r="ET28" s="34" t="str">
        <f>IF(AND(ISNUMBER(SnapshotTable[[#This Row],[SC Exp Date]]), ISNUMBER(SnapshotTable[[#This Row],[SC Book Date]])), SnapshotTable[[#This Row],[SC Exp Date]] - MAX(SnapshotTable[[#This Row],[SC Book Date]], SnapshotTable[[#This Row],[SC Fill Date]]) + 1, "")</f>
        <v/>
      </c>
      <c r="EU28" s="34" t="str">
        <f>IF(ISNUMBER(SnapshotTable[[#This Row],[SC Term]]), SnapshotTable[[#This Row],[SC Exp Date]]- MockToday, "")</f>
        <v/>
      </c>
      <c r="EV28" s="31">
        <f>IF(SnapshotTable[[#This Row],[SC Is Booked]], SnapshotTable[[#This Row],[SC Qty]] * SnapshotTable[[#This Row],[SC Book Price]] * 100, 0)</f>
        <v>0</v>
      </c>
      <c r="EW28" s="4" t="str">
        <f>IF(AND(ISNUMBER(SnapshotTable[[#This Row],[Last Price]]), ISNUMBER( SnapshotTable[[#This Row],[SC Book Price]])), SnapshotTable[[#This Row],[Last Price]] - SnapshotTable[[#This Row],[SC Book Price]],"")</f>
        <v/>
      </c>
      <c r="EX28" s="234" t="str">
        <f>IF(SnapshotTable[[#This Row],[SC Is Booked]],IF(SnapshotTable[[#This Row],[SC Intrinsic Value]] &gt; 0, SnapshotTable[[#This Row],[SC Strike Price]], SnapshotTable[[#This Row],[Last Price]]), "")</f>
        <v/>
      </c>
      <c r="EY28" s="4">
        <f>IF(SnapshotTable[[#This Row],[SC Is Booked]], (MinimumPremiumRequired * SnapshotTable[[#This Row],[SC Basis]] * SnapshotTable[[#This Row],[SC Term]]), 0)</f>
        <v>0</v>
      </c>
      <c r="EZ28" s="283"/>
      <c r="FA28" s="218"/>
      <c r="FB28" s="370"/>
      <c r="FC28" s="4">
        <f>IF(SnapshotTable[[#This Row],[SC Is Filled]], btc_max_buyback_amount(SnapshotTable[[#This Row],[SC Fill Date]],SnapshotTable[[#This Row],[SC Exp Date]], SnapshotTable[[#This Row],[SC Book Price]]),0)</f>
        <v>0</v>
      </c>
      <c r="FD28" s="5"/>
      <c r="FE28" s="144" t="str">
        <f>IF(SnapshotTable[[#This Row],[SC Is Filled]], btc_next_cutoff_date(SnapshotTable[[#This Row],[SC Fill Date]],SnapshotTable[[#This Row],[SC Exp Date]]),"")</f>
        <v/>
      </c>
      <c r="FF28" s="4" t="str" cm="1">
        <f t="array" ref="FF28">IF(SnapshotTable[[#This Row],[SC Is Filled]], btc_should_buy_back(SnapshotTable[[#This Row],[SC Fill Date]], SnapshotTable[[#This Row],[SC Exp Date]], SnapshotTable[[#This Row],[SC Book Price]], SnapshotTable[[#This Row],[SC Current Ask]], MockToday, SnapshotTable[[#This Row],[SC Buyback Override]]),"")</f>
        <v/>
      </c>
      <c r="FG28" s="4">
        <f>IF(SnapshotTable[[#This Row],[SC Is Filled]], MAX(0,SnapshotTable[[#This Row],[Last Price]]  - SnapshotTable[[#This Row],[SC Strike Price]]), 0)</f>
        <v>0</v>
      </c>
      <c r="FH28" s="382">
        <f>IF(SnapshotTable[[#This Row],[SC Is Filled]], IF(ISNUMBER(SnapshotTable[[#This Row],[SC Current Ask]]), SnapshotTable[[#This Row],[SC Current Ask]], SnapshotTable[[#This Row],[SC Book Price]]) - SnapshotTable[[#This Row],[SC Intrinsic Value]], 0)</f>
        <v>0</v>
      </c>
      <c r="FI28" s="143">
        <v>45786</v>
      </c>
      <c r="FJ28" s="32" t="str">
        <f>IF(SnapshotTable[[#This Row],[SC Is Filled]],100 * SnapshotTable[[#This Row],[SC Qty]] * IF(ISNUMBER(SnapshotTable[[#This Row],[SC Buyback Override]]), SnapshotTable[[#This Row],[SC Buyback Override]], SnapshotTable[[#This Row],[SC Current Ask]]), "")</f>
        <v/>
      </c>
      <c r="FK28" s="250" t="str">
        <f>IF(SnapshotTable[[#This Row],[SC Time Val]]&gt;0, SnapshotTable[[#This Row],[SC Time Val]] / SnapshotTable[[#This Row],[Last Price]],"")</f>
        <v/>
      </c>
      <c r="FL28" s="302" t="str">
        <f>IF(SnapshotTable[[#This Row],[SC Is Booked]], ((SnapshotTable[[#This Row],[Last Price]] -SnapshotTable[[#This Row],[SC Strike Price]]) / SnapshotTable[[#This Row],[Last Price]]) * -1, "")</f>
        <v/>
      </c>
      <c r="FM28" s="157" t="str">
        <f>IF(SnapshotTable[[#This Row],[SC Is Booked]],  (SnapshotTable[[#This Row],[SC Qty]] * 100 * SnapshotTable[[#This Row],[SC Strike Price]]) - SnapshotTable[[#This Row],[SC Current Ask]], "")</f>
        <v/>
      </c>
      <c r="FN2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 s="31" t="str">
        <f>IF(AND(ISNUMBER(SnapshotTable[[#This Row],[SC Exercise Gross]]), ISNUMBER(SnapshotTable[[#This Row],[Equity Basis Per Share]] )), SnapshotTable[[#This Row],[SC Exercise Gross]] - SnapshotTable[[#This Row],[Equity Basis Total]] +  SnapshotTable[[#This Row],[SC Premium]], "")</f>
        <v/>
      </c>
      <c r="FP28" s="5" t="str">
        <f>IF(ISNUMBER(SnapshotTable[[#This Row],[SC Exercise Gross]]), (SnapshotTable[[#This Row],[SC Exercise Gross]]) / (SnapshotTable[[#This Row],[SC Qty]] * 100), "")</f>
        <v/>
      </c>
      <c r="FQ28" s="27" t="str">
        <f>IF(SnapshotTable[[#This Row],[SC Is Booked]],SnapshotTable[[#This Row],[SC Time Val]] /SnapshotTable[[#This Row],[SC Basis]], "")</f>
        <v/>
      </c>
      <c r="FR28" s="27" t="str" cm="1">
        <f t="array" ref="FR28">IF(AND(ISNUMBER(SnapshotTable[[#This Row],[SC Term]]),ISNUMBER(SnapshotTable[[#This Row],[SC Simple ROO]])), EllmanAnnualize(SnapshotTable[[#This Row],[SC DTE]], SnapshotTable[[#This Row],[SC Simple ROO]] ),"")</f>
        <v/>
      </c>
      <c r="FS28" s="4" t="e">
        <f>IF(SnapshotTable[[#This Row],[SC Strike Price]] &gt; SnapshotTable[[#This Row],[Last Price]], SnapshotTable[[#This Row],[SC Strike Price]] - SnapshotTable[[#This Row],[Last Price]],0)</f>
        <v>#VALUE!</v>
      </c>
      <c r="FT28" s="27" t="e">
        <f>IF(AND(ISNUMBER(SnapshotTable[[#This Row],[SC Upside Potential]]), SnapshotTable[[#This Row],[SC Upside Potential]] &gt; 0),(SnapshotTable[[#This Row],[SC Upside Potential]]/ SnapshotTable[[#This Row],[ACB]]),"")</f>
        <v>#VALUE!</v>
      </c>
      <c r="FU28" s="333" t="str">
        <f>IF(SnapshotTable[[#This Row],[SC Intrinsic Value]] &gt; 0,SnapshotTable[[#This Row],[SC Intrinsic Value]],"")</f>
        <v/>
      </c>
      <c r="FV28" s="27" t="str">
        <f>IF(AND( ISNUMBER( SnapshotTable[[#This Row],[ACB]]),ISNUMBER(SnapshotTable[[#This Row],[SC Downside Protect]])),SnapshotTable[[#This Row],[SC Downside Protect]] / SnapshotTable[[#This Row],[ACB]],"")</f>
        <v/>
      </c>
      <c r="FW28" s="236" t="str">
        <f>IF(AND(ISNUMBER(SnapshotTable[[#This Row],[SC Simple ROO]]),SnapshotTable[[#This Row],[SC Simple ROO]] &gt; 0), SnapshotTable[[#This Row],[SC Premium]] + (SnapshotTable[[#This Row],[SC Qty]] * SnapshotTable[[#This Row],[SC Upside Potential]]), "")</f>
        <v/>
      </c>
      <c r="FX28" s="302" t="str" cm="1">
        <f t="array" ref="FX28">IF(ISNUMBER(SnapshotTable[[#This Row],[SC Max Dollars]]), annualize(SnapshotTable[[#This Row],[SC Term]],(SnapshotTable[[#This Row],[SC Max Dollars]]/SnapshotTable[[#This Row],[SC Basis]])),"")</f>
        <v/>
      </c>
      <c r="FY28" s="236" t="str">
        <f>IF(AND(SnapshotTable[[#This Row],[SC Qty]]&gt;0,SnapshotTable[[#This Row],[SC Current Ask]]&gt;0), SnapshotTable[[#This Row],[SC Qty]] * SnapshotTable[[#This Row],[SC Current Ask]] * -100, "")</f>
        <v/>
      </c>
      <c r="FZ28" s="31" t="str">
        <f>IF(ISNUMBER((SnapshotTable[[#This Row],[SC Current Value]])), SnapshotTable[[#This Row],[SC Premium]] + SnapshotTable[[#This Row],[SC Current Value]], "")</f>
        <v/>
      </c>
      <c r="GA28" s="294" t="str">
        <f>IFERROR( IF(ISNUMBER((SnapshotTable[[#This Row],[SC Current Value]])), SnapshotTable[[#This Row],[SC Gain Loss]] / SnapshotTable[[#This Row],[SC Premium]], ""), "")</f>
        <v/>
      </c>
      <c r="GB28" s="42">
        <f>SnapshotTable[[#This Row],[Equity Shares]] * SaleSharesToConsiderPercentage</f>
        <v>0</v>
      </c>
      <c r="GC28" s="40">
        <f>SnapshotTable[[#This Row],[Long Term Target]] * SellingPriceToConsiderBasedOnTargetPercentage</f>
        <v>0</v>
      </c>
      <c r="GD28" s="40">
        <f>SnapshotTable[[#This Row],[Last Price]] * (1+ SellingPriceToConsiderBasedOnTargetPercentage)</f>
        <v>15.970499999999999</v>
      </c>
      <c r="GE28" s="41"/>
      <c r="GF28" s="40"/>
      <c r="GG28" s="31">
        <f>SnapshotTable[[#This Row],[Booked Sale Shares]] * SnapshotTable[[#This Row],[Booked Sale Price]]</f>
        <v>0</v>
      </c>
      <c r="GH28" s="31" t="str">
        <f>IF(SnapshotTable[[#This Row],[Equity Basis Total]] &gt; 0, SnapshotTable[[#This Row],[Equity Basis Per Share]] * SnapshotTable[[#This Row],[Booked Sale Shares]], "")</f>
        <v/>
      </c>
      <c r="GI28" s="31">
        <f>IF(SnapshotTable[[#This Row],[Sale Proceeds]]&gt;0, SnapshotTable[[#This Row],[Sale Proceeds]] - SnapshotTable[[#This Row],[Sale Basis]], 0)</f>
        <v>0</v>
      </c>
      <c r="GJ28" s="27" t="str">
        <f>IF(SnapshotTable[[#This Row],[Sale G/L]]&gt;0, SnapshotTable[[#This Row],[Sale G/L]] / SnapshotTable[[#This Row],[Sale Basis]], IF(ISNUMBER(SnapshotTable[[#This Row],[SC Exercise P&amp;L (TAX)]]), SnapshotTable[[#This Row],[SC Exercise P&amp;L (TAX)]] / SnapshotTable[[#This Row],[SC Basis]], ""))</f>
        <v/>
      </c>
      <c r="GK28" s="27"/>
      <c r="GL28" s="43" t="str">
        <f>IF(AND(SnapshotTable[[#This Row],[LP Exp Date]]&gt;0,SnapshotTable[[#This Row],[LP Strike Price]]&gt;0), [1]!ToOptionSymbol(SnapshotTable[[#This Row],[Symbol]], SnapshotTable[[#This Row],[LP Strike Price]],SnapshotTable[[#This Row],[LP Exp Date]],1), "")</f>
        <v/>
      </c>
      <c r="GM28" s="30" t="str">
        <f>IF(LEN(SnapshotTable[[#This Row],[LP Symbol]])&gt;0, 1, "")</f>
        <v/>
      </c>
      <c r="GN28" s="43" t="str">
        <f>IF(AND(SnapshotTable[[#This Row],[SP Exp Date]]&gt;0,SnapshotTable[[#This Row],[SP Strike Price]]&gt;0), [1]!ToOptionSymbol(SnapshotTable[[#This Row],[Symbol]], SnapshotTable[[#This Row],[SP Strike Price]],SnapshotTable[[#This Row],[SP Exp Date]],1), "")</f>
        <v/>
      </c>
      <c r="GO28" s="30" t="str">
        <f>IF(LEN(SnapshotTable[[#This Row],[SP Symbol]])&gt;0, 1, "")</f>
        <v/>
      </c>
      <c r="GP28" s="43" t="str">
        <f>IF(AND(SnapshotTable[[#This Row],[LC Exp Date]]&gt;0,SnapshotTable[[#This Row],[LC Strike Price]]&gt;0), [1]!ToOptionSymbol(SnapshotTable[[#This Row],[Symbol]], SnapshotTable[[#This Row],[LC Strike Price]],SnapshotTable[[#This Row],[LC Exp Date]],0), "")</f>
        <v/>
      </c>
      <c r="GQ28" s="30" t="str">
        <f>IF(LEN(SnapshotTable[[#This Row],[LC Symbol]])&gt;0, 1, "")</f>
        <v/>
      </c>
      <c r="GR28" s="43" t="str">
        <f>IF(AND(SnapshotTable[[#This Row],[SC Exp Date]]&gt;0,SnapshotTable[[#This Row],[SC Strike Price]]&gt;0), [1]!ToOptionSymbol(SnapshotTable[[#This Row],[Symbol]], SnapshotTable[[#This Row],[SC Strike Price]],SnapshotTable[[#This Row],[SC Exp Date]],0), "")</f>
        <v/>
      </c>
      <c r="GS28" s="30" t="str">
        <f>IF(LEN(SnapshotTable[[#This Row],[SC Symbol]])&gt;0, 1, "")</f>
        <v/>
      </c>
      <c r="GT28" s="29" t="str">
        <f>IF(COUNT(SnapshotTable[[#This Row],[LP Symbol Count]],SnapshotTable[[#This Row],[SP Symbol Count]],SnapshotTable[[#This Row],[LC Symbol Count]],SnapshotTable[[#This Row],[SC Symbol Count]])&gt;0, "Y", "")</f>
        <v/>
      </c>
      <c r="GU2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8" s="231" t="e">
        <f>MAX(SnapshotTable[[#This Row],[Equity Basis Total]],SnapshotTable[[#This Row],[Equity Value]]) + (SnapshotTable[[#This Row],[SP Potential Spend]]- SnapshotTable[[#This Row],[SP Premium]] + SnapshotTable[[#This Row],[LP Premium]])+ (SnapshotTable[[#This Row],[LC Premium]] - SnapshotTable[[#This Row],[SC Premium]])</f>
        <v>#VALUE!</v>
      </c>
      <c r="GW28" s="139" t="e">
        <f>IF(AND(SnapshotTable[[#This Row],[Exposure]] &lt;&gt; 0),SnapshotTable[[#This Row],[Exposure]] / SnapshotTable[[#Totals],[Exposure]], "")</f>
        <v>#VALUE!</v>
      </c>
      <c r="HK28" s="1"/>
      <c r="HL28" s="1"/>
      <c r="HM28" s="1"/>
      <c r="HN28" s="1"/>
      <c r="HO28" s="1"/>
      <c r="HP28" s="1"/>
    </row>
    <row r="29" spans="2:224" ht="12.75" hidden="1" customHeight="1" x14ac:dyDescent="0.25">
      <c r="B29" s="12" t="s">
        <v>79</v>
      </c>
      <c r="C29" s="422">
        <v>78.25</v>
      </c>
      <c r="D29" s="208"/>
      <c r="E29" s="39">
        <f>SnapshotTable[[#This Row],[Last Price]]*(1 -CrashDiscount)</f>
        <v>66.512500000000003</v>
      </c>
      <c r="F29" s="26" t="s">
        <v>953</v>
      </c>
      <c r="G29" s="26" t="s">
        <v>4</v>
      </c>
      <c r="H29" s="149"/>
      <c r="I29" s="194">
        <v>44775.677083333336</v>
      </c>
      <c r="J29" s="195">
        <v>44775.677083333336</v>
      </c>
      <c r="K29" s="196"/>
      <c r="L29" s="326"/>
      <c r="M29" s="140"/>
      <c r="N29" s="140"/>
      <c r="O29" s="140"/>
      <c r="P29" s="22"/>
      <c r="Q29" s="25"/>
      <c r="R29" s="4" t="str">
        <f>IF(SnapshotTable[[#This Row],[Equity Basis Total]] &gt; 0, SnapshotTable[[#This Row],[Equity Basis Total]] / SnapshotTable[[#This Row],[Equity Shares]], "")</f>
        <v/>
      </c>
      <c r="S29" s="269">
        <f>SnapshotTable[[#This Row],[Last Price]] * SnapshotTable[[#This Row],[Equity Shares]]</f>
        <v>0</v>
      </c>
      <c r="T29" s="269">
        <f>SnapshotTable[[#This Row],[Equity Value]] - SnapshotTable[[#This Row],[Equity Basis Total]]</f>
        <v>0</v>
      </c>
      <c r="U29" s="270" t="str">
        <f>IF(SnapshotTable[[#This Row],[Equity Basis Total]] &gt; 0, SnapshotTable[[#This Row],[Equity G/L]] / SnapshotTable[[#This Row],[Equity Basis Total]], "")</f>
        <v/>
      </c>
      <c r="V29" s="268"/>
      <c r="W29" s="268"/>
      <c r="X29" s="4" t="str">
        <f>IF(AND(ISNUMBER(SnapshotTable[[#This Row],[Equity Basis Per Share]]),ISNUMBER(SnapshotTable[[#This Row],[Equity Target]])),SnapshotTable[[#This Row],[Equity Target]]-SnapshotTable[[#This Row],[Equity Basis Per Share]],"")</f>
        <v/>
      </c>
      <c r="Y29" s="4" t="str">
        <f>IF(AND(ISNUMBER(SnapshotTable[[#This Row],[Equity Basis Per Share]]),ISNUMBER(SnapshotTable[[#This Row],[Equity Stop Loss]])),SnapshotTable[[#This Row],[Equity Stop Loss]]-SnapshotTable[[#This Row],[Equity Basis Per Share]],"")</f>
        <v/>
      </c>
      <c r="Z29" s="275" t="str">
        <f>IFERROR( TEXT(SnapshotTable[[#This Row],[Equity Max Gain Per Share]] /ABS( SnapshotTable[[#This Row],[Equity Max Loss Per Share]]),"0.0 " ) &amp; " : 1", "")</f>
        <v/>
      </c>
      <c r="AA29" s="31" t="str">
        <f>IF(ISNUMBER(SnapshotTable[[#This Row],[Equity Max Gain Per Share]]),SnapshotTable[[#This Row],[Equity Max Gain Per Share]] * SnapshotTable[[#This Row],[Equity Shares]],"")</f>
        <v/>
      </c>
      <c r="AB29" s="31" t="str">
        <f>IF(ISNUMBER(SnapshotTable[[#This Row],[Equity Max Loss Per Share]]),SnapshotTable[[#This Row],[Equity Max Loss Per Share]] * SnapshotTable[[#This Row],[Equity Shares]],"")</f>
        <v/>
      </c>
      <c r="AC29" s="150">
        <v>1.28</v>
      </c>
      <c r="AD29" s="151">
        <v>42450</v>
      </c>
      <c r="AE29" s="31">
        <f>(SnapshotTable[[#This Row],[Annual Dividend Per Share]] / 4) * SnapshotTable[[#This Row],[Equity Shares]]</f>
        <v>0</v>
      </c>
      <c r="AF29" s="31">
        <f>SnapshotTable[[#This Row],[Quarterly Div $]] * 4</f>
        <v>0</v>
      </c>
      <c r="AG29" s="7">
        <f>IF(SnapshotTable[[#This Row],[Annual Dividend Per Share]]&gt;0, SnapshotTable[[#This Row],[Annual Dividend Per Share]]  / SnapshotTable[[#This Row],[Last Price]], 0)</f>
        <v>1.6357827476038339E-2</v>
      </c>
      <c r="AH29" s="151">
        <v>42339</v>
      </c>
      <c r="AI29" s="5"/>
      <c r="AJ29" s="138">
        <v>42.8</v>
      </c>
      <c r="AK29" s="152" t="str">
        <f>IF(ISNUMBER( SnapshotTable[[#This Row],[EBF Target]]),(SnapshotTable[[#This Row],[EBF Target]] - SnapshotTable[[#This Row],[Last Price]]) / SnapshotTable[[#This Row],[Last Price]], "")</f>
        <v/>
      </c>
      <c r="AL29" s="152" t="str">
        <f>IF(AND(SnapshotTable[[#This Row],[Equity Basis Total]] &gt; 0,ISNUMBER( SnapshotTable[[#This Row],[Long Term Target]])), SnapshotTable[[#This Row],[From Basis $]] / SnapshotTable[[#This Row],[Equity Basis Total]], "")</f>
        <v/>
      </c>
      <c r="AM29" s="9">
        <f>IF( AND(SnapshotTable[[#This Row],[Equity Shares]] &gt;0,ISNUMBER( SnapshotTable[[#This Row],[Long Term Target]])),(SnapshotTable[[#This Row],[Equity Shares]] * SnapshotTable[[#This Row],[Long Term Target]]) - SnapshotTable[[#This Row],[Equity Basis Total]],0)</f>
        <v>0</v>
      </c>
      <c r="AN29" s="9">
        <f>IF( AND(SnapshotTable[[#This Row],[Equity Shares]] &gt;0,ISNUMBER( SnapshotTable[[#This Row],[Long Term Target]])),(SnapshotTable[[#This Row],[Equity Shares]]*SnapshotTable[[#This Row],[Long Term Target]]) - SnapshotTable[[#This Row],[Equity Value]],0)</f>
        <v>0</v>
      </c>
      <c r="AO29" s="152">
        <f>IF(AND(ISNUMBER( SnapshotTable[[#This Row],[Long Term Target]]), ISNUMBER(SnapshotTable[[#This Row],[Last Price]])),(SnapshotTable[[#This Row],[Long Term Target]] - SnapshotTable[[#This Row],[Last Price]]) / SnapshotTable[[#This Row],[Last Price]], "")</f>
        <v>-0.45303514376996806</v>
      </c>
      <c r="AP29" s="5">
        <v>8</v>
      </c>
      <c r="AQ29" s="38" t="s">
        <v>27</v>
      </c>
      <c r="AR29" s="5">
        <v>8</v>
      </c>
      <c r="AS29" s="38" t="s">
        <v>38</v>
      </c>
      <c r="AT29" s="146" t="s">
        <v>542</v>
      </c>
      <c r="AU29" s="187" t="str">
        <f>IF(OR(SnapshotTable[[#This Row],[LP No Fill]]="Y",SnapshotTable[[#This Row],[SP Is Filled]],SnapshotTable[[#This Row],[LC Not Filled]]="Y",SnapshotTable[[#This Row],[SC Is Filled]]),"Y","")</f>
        <v/>
      </c>
      <c r="AV29" s="219"/>
      <c r="AW29" s="225"/>
      <c r="AX29" s="220"/>
      <c r="AY29" s="219" t="str">
        <f>IF(SnapshotTable[[#This Row],[Implied Move]]&gt;0, SnapshotTable[[#This Row],[Last Price]]-SnapshotTable[[#This Row],[Implied Move]],"")</f>
        <v/>
      </c>
      <c r="AZ29" s="219" t="str">
        <f>IF(SnapshotTable[[#This Row],[Implied Move]]&gt;0, SnapshotTable[[#This Row],[Last Price]] + SnapshotTable[[#This Row],[Implied Move]],"")</f>
        <v/>
      </c>
      <c r="BA29" s="331"/>
      <c r="BB29" s="347"/>
      <c r="BC2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 s="351"/>
      <c r="BE29" s="5"/>
      <c r="BF29" s="14"/>
      <c r="BG29" s="13"/>
      <c r="BH29" s="13"/>
      <c r="BI29" s="5"/>
      <c r="BJ29" s="136">
        <f>IF(SnapshotTable[[#This Row],[LP Qty]] &gt; 0, SnapshotTable[[#This Row],[LP Qty]] * SnapshotTable[[#This Row],[LP Book Price]] * 100,0)</f>
        <v>0</v>
      </c>
      <c r="BK29" s="136">
        <f>IF(SnapshotTable[[#This Row],[LP Premium]] &gt; 0, SnapshotTable[[#This Row],[LP Qty]] * SnapshotTable[[#This Row],[LP Strike Price]] * 100,0)</f>
        <v>0</v>
      </c>
      <c r="BL29" s="154"/>
      <c r="BM29" s="385" t="str">
        <f>IF(SnapshotTable[[#This Row],[LP Premium]] &gt; 0,SnapshotTable[[#This Row],[LP Exp Date]]-MAX(SnapshotTable[[#This Row],[LP Book Date]], SnapshotTable[[#This Row],[LP Fill Date]]),"")</f>
        <v/>
      </c>
      <c r="BN29" s="385" t="str">
        <f>IF(ISNUMBER( SnapshotTable[[#This Row],[LP Term]]), SnapshotTable[[#This Row],[LP Exp Date]] - MockToday,"")</f>
        <v/>
      </c>
      <c r="BO29" s="163" t="str">
        <f>IF(AND(SnapshotTable[[#This Row],[LP Exp Date]]&gt;0, SnapshotTable[[#This Row],[LP Strike Price]]&gt;0,SnapshotTable[[#This Row],[LP Qty]]&gt;0,SnapshotTable[[#This Row],[LP Book Date]]&gt;0,SnapshotTable[[#This Row],[LP Book Price]]&gt;0,SnapshotTable[[#This Row],[LP Fill Date]]=0),"Y","")</f>
        <v/>
      </c>
      <c r="BP29" s="31" t="str">
        <f>IF(AND(SnapshotTable[[#This Row],[LP No Fill]]&lt;&gt;"Y",SnapshotTable[[#This Row],[LP Contract Value]]&gt;0, SnapshotTable[[#This Row],[LP Qty]]&gt;0), SnapshotTable[[#This Row],[LP Contract Value]]*SnapshotTable[[#This Row],[LP Qty]]*100,"")</f>
        <v/>
      </c>
      <c r="BQ29" s="13"/>
      <c r="BR29" s="5" t="str">
        <f>IF(SnapshotTable[[#This Row],[SP Exp Date]]&lt;&gt;"",TRUNC(SnapshotTable[[#This Row],[Last Price]]),"")</f>
        <v/>
      </c>
      <c r="BS29" s="36"/>
      <c r="BT29" s="147"/>
      <c r="BU29" s="13"/>
      <c r="BV29" s="5"/>
      <c r="BW29" s="419" t="b">
        <f>AND(ISNUMBER(SnapshotTable[[#This Row],[SP Exp Date]]), ISNUMBER(SnapshotTable[[#This Row],[SP Strike Price]]), ISNUMBER(SnapshotTable[[#This Row],[SP Qty]]), ISNUMBER(SnapshotTable[[#This Row],[SP Book Date]]), ISNUMBER(SnapshotTable[[#This Row],[SP Book Price]]))</f>
        <v>0</v>
      </c>
      <c r="BX29" s="419" t="b">
        <f>AND(SnapshotTable[[#This Row],[SP Is Booked]], NOT(ISBLANK(SnapshotTable[[#This Row],[SP Fill Date]])))</f>
        <v>0</v>
      </c>
      <c r="BY29" s="33">
        <f>IF(SnapshotTable[[#This Row],[SP Is Booked]], SnapshotTable[[#This Row],[SP Qty]] * SnapshotTable[[#This Row],[SP Book Price]] * 100, 0)</f>
        <v>0</v>
      </c>
      <c r="BZ29" s="369"/>
      <c r="CA29" s="368">
        <f>SnapshotTable[[#This Row],[LP Qty]]</f>
        <v>0</v>
      </c>
      <c r="CB29" s="4" t="str">
        <f>IF(SnapshotTable[[#This Row],[SP Is Booked]], SnapshotTable[[#This Row],[SP Strike Price]] - SnapshotTable[[#This Row],[SP Book Price]], "")</f>
        <v/>
      </c>
      <c r="CC29" s="19" t="str">
        <f>IF(SnapshotTable[[#This Row],[SP Is Booked]],SnapshotTable[[#This Row],[SP Exp Date]]-MAX(SnapshotTable[[#This Row],[SP Book Date]], SnapshotTable[[#This Row],[SP Fill Date]]),"")</f>
        <v/>
      </c>
      <c r="CD29" s="7" t="str">
        <f>IF(SnapshotTable[[#This Row],[SP Is Booked]], SnapshotTable[[#This Row],[SP Book Price]]/SnapshotTable[[#This Row],[SP Strike Price]], "")</f>
        <v/>
      </c>
      <c r="CE29" s="7" t="str">
        <f>IF(ISNUMBER(SnapshotTable[[#This Row],[SP ROO Term]]),SnapshotTable[[#This Row],[SP ROO Term]]*(365/SnapshotTable[[#This Row],[SP Term]]),"")</f>
        <v/>
      </c>
      <c r="CF29" s="236">
        <f>SnapshotTable[[#This Row],[LP Strike Price]] * SnapshotTable[[#This Row],[LP Qty]] * 100</f>
        <v>0</v>
      </c>
      <c r="CG29" s="31" t="e">
        <f>IF(ISNUMBER(SnapshotTable[[#This Row],[SP Premium]]), (SnapshotTable[[#This Row],[SP Qty]] * SnapshotTable[[#This Row],[SP Strike Price]]* 100) - SnapshotTable[[#This Row],[LP Protection]], 0)</f>
        <v>#VALUE!</v>
      </c>
      <c r="CH29" s="7" t="str">
        <f>IF(ISNUMBER(SnapshotTable[[#This Row],[SP Break Even]]),-1 * (SnapshotTable[[#This Row],[SP Break Even]] - SnapshotTable[[#This Row],[Last Price]]) / SnapshotTable[[#This Row],[Last Price]], "")</f>
        <v/>
      </c>
      <c r="CI29" s="31">
        <f>IF(AND(ISNUMBER((SnapshotTable[[#This Row],[SP Potential Spend]])), SnapshotTable[[#This Row],[SP Strike Price]] &gt; SnapshotTable[[#This Row],[Last Price]], SnapshotTable[[#This Row],[SP Is Filled]]), SnapshotTable[[#This Row],[SP Potential Spend]] -  SnapshotTable[[#This Row],[LP Max Value]], 0)</f>
        <v>0</v>
      </c>
      <c r="CJ29" s="244"/>
      <c r="CK29" s="31" t="str">
        <f>IF(ISNUMBER(SnapshotTable[[#This Row],[SP Potential Spend]]),IF(ISNUMBER(SnapshotTable[[#This Row],[SP POW]]), SnapshotTable[[#This Row],[SP POW]] * SnapshotTable[[#This Row],[SP Potential Spend]], SnapshotTable[[#This Row],[SP Potential Spend]]), "")</f>
        <v/>
      </c>
      <c r="CL29" s="164" t="e">
        <f>IF(NOT(SnapshotTable[[#This Row],[SP Is Filled]]),(SnapshotTable[[#This Row],[SP Qty]] * SnapshotTable[[#This Row],[SP Strike Price]] * 100) - SnapshotTable[[#This Row],[LP Max Value]],"")</f>
        <v>#VALUE!</v>
      </c>
      <c r="CM29" s="31" t="str">
        <f>IF(SnapshotTable[[#This Row],[SP Actual Spend]]&lt;&gt;0, ((SnapshotTable[[#This Row],[SP Strike Price]]-SnapshotTable[[#This Row],[Last Price]]) *(SnapshotTable[[#This Row],[SP Qty]]*100) - SnapshotTable[[#This Row],[SP Premium]]) * - 1, "")</f>
        <v/>
      </c>
      <c r="CN29" s="78"/>
      <c r="CO29" s="369"/>
      <c r="CP29" s="4" t="str">
        <f>IF(SnapshotTable[[#This Row],[SP Is Filled]], btc_max_buyback_amount(SnapshotTable[[#This Row],[SP Fill Date]],SnapshotTable[[#This Row],[SP Exp Date]], SnapshotTable[[#This Row],[SP Book Price]]),"")</f>
        <v/>
      </c>
      <c r="CQ29" s="78"/>
      <c r="CR2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 s="155" t="str">
        <f>IF(SnapshotTable[[#This Row],[SP Is Filled]], btc_next_cutoff_date(SnapshotTable[[#This Row],[SP Fill Date]],SnapshotTable[[#This Row],[SP Exp Date]]),"")</f>
        <v/>
      </c>
      <c r="CT29" s="235" t="str" cm="1">
        <f t="array" ref="CT29">IF(SnapshotTable[[#This Row],[SP Is Filled]], btc_should_buy_back(SnapshotTable[[#This Row],[SP Fill Date]], SnapshotTable[[#This Row],[SP Exp Date]], SnapshotTable[[#This Row],[SP Book Price]], SnapshotTable[[#This Row],[SP Current Ask]], MockToday, SnapshotTable[[#This Row],[SP Buyback Override]]),"")</f>
        <v/>
      </c>
      <c r="CU29" s="143"/>
      <c r="CV29" s="235"/>
      <c r="CW29" s="378" t="str">
        <f>IF(ISNUMBER( SnapshotTable[[#This Row],[SP Term]]), SnapshotTable[[#This Row],[SP Exp Date]] - MockToday,"")</f>
        <v/>
      </c>
      <c r="CX29" s="31" t="str">
        <f>IF(SnapshotTable[[#This Row],[SP Is Filled]],SnapshotTable[[#This Row],[SP Buyback Price to Use]] * 100 * SnapshotTable[[#This Row],[SP Qty]], "")</f>
        <v/>
      </c>
      <c r="CY29" s="4" t="str">
        <f>IF(ISNUMBER(SnapshotTable[[#This Row],[SP Strike Price]]), SnapshotTable[[#This Row],[SP Strike Price]] * (1 - SP_MaxLoss_StrikePct), "")</f>
        <v/>
      </c>
      <c r="CZ29" s="31" t="str">
        <f>IF(ISNUMBER(SnapshotTable[[#This Row],[SP Strike  Stop Per Share]]),SnapshotTable[[#This Row],[SP Premium]] - ((SnapshotTable[[#This Row],[SP Strike Price]]-SnapshotTable[[#This Row],[SP Strike  Stop Per Share]]) *(SnapshotTable[[#This Row],[SP Qty]] * 100)),"")</f>
        <v/>
      </c>
      <c r="DA29" s="4" t="str">
        <f>IF(AND(ISNUMBER(SnapshotTable[[#This Row],[SP Premium]]),SnapshotTable[[#This Row],[SP Premium]]&gt;0), SnapshotTable[[#This Row],[SP Book Price]] * (1 + SP_MaxLoss_OptionPct), "")</f>
        <v/>
      </c>
      <c r="DB29" s="31" t="str">
        <f>IF(ISNUMBER(SnapshotTable[[#This Row],[SP Option  Stop Contract]]),(SnapshotTable[[#This Row],[SP Option  Stop Contract]] *(SnapshotTable[[#This Row],[SP Qty]] * 100) - SnapshotTable[[#This Row],[SP Premium]]),"")</f>
        <v/>
      </c>
      <c r="DC29" s="4"/>
      <c r="DD29" s="4"/>
      <c r="DE29" s="4" t="str">
        <f>IF(AND(SnapshotTable[[#This Row],[SP Qty]]&gt;0, SnapshotTable[[#This Row],[SP Stop To Use]]&gt;0),SnapshotTable[[#This Row],[SP Premium]] - ( SnapshotTable[[#This Row],[SP Qty]] * SnapshotTable[[#This Row],[SP Stop To Use]] * 100), "")</f>
        <v/>
      </c>
      <c r="DF29" s="31" t="str">
        <f>IF(AND(SnapshotTable[[#This Row],[SP Qty]]&gt;0,SnapshotTable[[#This Row],[SP Current Ask]]&gt;0), SnapshotTable[[#This Row],[SP Qty]] * SnapshotTable[[#This Row],[SP Current Ask]] * -100, "")</f>
        <v/>
      </c>
      <c r="DG29" s="31" t="str">
        <f>IF(ISNUMBER((SnapshotTable[[#This Row],[SP Total Value]])), SnapshotTable[[#This Row],[SP Premium]] + SnapshotTable[[#This Row],[SP Total Value]], "")</f>
        <v/>
      </c>
      <c r="DH29" s="294" t="str">
        <f>IF(ISNUMBER((SnapshotTable[[#This Row],[SP Total Value]])), SnapshotTable[[#This Row],[SP Gain Loss]] / SnapshotTable[[#This Row],[SP Premium]], "")</f>
        <v/>
      </c>
      <c r="DI29" s="406"/>
      <c r="DJ29" s="138"/>
      <c r="DK29" s="148"/>
      <c r="DL29" s="13"/>
      <c r="DM29" s="13"/>
      <c r="DO29" s="31">
        <f>IF(SnapshotTable[[#This Row],[LC Symbol Count]]=1, SnapshotTable[[#This Row],[LC Qty]] * SnapshotTable[[#This Row],[LC Book Price]] * 100, 0)</f>
        <v>0</v>
      </c>
      <c r="DP29" s="163" t="str">
        <f>IF(AND(SnapshotTable[[#This Row],[LC Exp Date]]&gt;0, SnapshotTable[[#This Row],[LC Strike Price]]&gt;0,SnapshotTable[[#This Row],[LC Qty]]&gt;0,SnapshotTable[[#This Row],[LC Book Date]]&gt;0,SnapshotTable[[#This Row],[LC Book Price]]&gt;0,SnapshotTable[[#This Row],[LC Fill Date]]=0),"Y","")</f>
        <v/>
      </c>
      <c r="DQ29" s="386" t="str">
        <f>IF(SnapshotTable[[#This Row],[LC Premium]] &gt; 0,SnapshotTable[[#This Row],[LC Exp Date]]-MAX(SnapshotTable[[#This Row],[LC Book Date]], SnapshotTable[[#This Row],[LC Fill Date]]),"")</f>
        <v/>
      </c>
      <c r="DR29" s="386" t="str">
        <f>IF(ISNUMBER(SnapshotTable[[#This Row],[LC Term]]), SnapshotTable[[#This Row],[LC Exp Date]] - MockToday, "")</f>
        <v/>
      </c>
      <c r="DS29" s="234" t="str">
        <f>IF(SnapshotTable[[#This Row],[LC Premium]]&gt;0,SnapshotTable[[#This Row],[LC Strike Price]] + SnapshotTable[[#This Row],[LC Book Price]],"")</f>
        <v/>
      </c>
      <c r="DU29" s="9" t="str">
        <f>IF(AND(SnapshotTable[[#This Row],[LC Symbol Count]]&gt;0, SnapshotTable[[#This Row],[LC Contract Value]]&gt;0), SnapshotTable[[#This Row],[LC Contract Value]] * SnapshotTable[[#This Row],[LC Qty]] * 100, "")</f>
        <v/>
      </c>
      <c r="DV29" s="9" t="str">
        <f>IF(AND(ISNUMBER(SnapshotTable[[#This Row],[LC Total Value]]), SnapshotTable[[#This Row],[LC Not Filled]]&lt;&gt;"Y"), SnapshotTable[[#This Row],[LC Total Value]]-SnapshotTable[[#This Row],[LC Premium]],"")</f>
        <v/>
      </c>
      <c r="DW29" s="240" t="str">
        <f>IF(ISNUMBER(SnapshotTable[[#This Row],[LC Actual Gain Loss]]), SnapshotTable[[#This Row],[LC Actual Gain Loss]] / SnapshotTable[[#This Row],[LC Premium]],"")</f>
        <v/>
      </c>
      <c r="DX29" s="284" t="str">
        <f>IF(ISNUMBER(SnapshotTable[[#This Row],[LC Book Price]]),SnapshotTable[[#This Row],[LC Book Price]] * 1.5,"")</f>
        <v/>
      </c>
      <c r="DY29" s="265" t="str">
        <f>IF(SnapshotTable[[#This Row],[LC Premium]]&gt;0, SnapshotTable[[#This Row],[LC Next Target]] * SnapshotTable[[#This Row],[LC Qty]] * 100,"")</f>
        <v/>
      </c>
      <c r="DZ29" s="265" t="str">
        <f>IF(ISNUMBER(SnapshotTable[[#This Row],[LC Target Gross]]), SnapshotTable[[#This Row],[LC Target Gross]] - SnapshotTable[[#This Row],[LC Premium]], "")</f>
        <v/>
      </c>
      <c r="EA29" s="305" t="str">
        <f>IF(ISNUMBER(SnapshotTable[[#This Row],[LC Target Gain Loss]]), SnapshotTable[[#This Row],[LC Target Gain Loss]]/SnapshotTable[[#This Row],[LC Premium]], "")</f>
        <v/>
      </c>
      <c r="EB29" s="262"/>
      <c r="EC29" s="283" t="str">
        <f>IF(SnapshotTable[[#This Row],[LC Premium]]&gt;0, SnapshotTable[[#This Row],[LC Book Price]] * (1 - LC_StopLoss_Pct),"")</f>
        <v/>
      </c>
      <c r="ED29" s="284"/>
      <c r="EE29" s="283" t="str">
        <f>IF(ISNUMBER(SnapshotTable[[#This Row],[LC Contract Value]]),IF(ISNUMBER(SnapshotTable[[#This Row],[LC Stop Loss Override]]), SnapshotTable[[#This Row],[LC Stop Loss Override]],SnapshotTable[[#This Row],[LC Stop Loss Calc Target]]),"")</f>
        <v/>
      </c>
      <c r="EF29" s="31" t="str">
        <f>IF(ISNUMBER(SnapshotTable[[#This Row],[LC Stop  To Use]]), (SnapshotTable[[#This Row],[LC Stop  To Use]] * SnapshotTable[[#This Row],[LC Qty]] * 100),"")</f>
        <v/>
      </c>
      <c r="EG29" s="9" t="str">
        <f>IF(ISNUMBER(SnapshotTable[[#This Row],[LC Total Value]]),SnapshotTable[[#This Row],[LC Stop Loss Amount]] - SnapshotTable[[#This Row],[LC Premium]],"")</f>
        <v/>
      </c>
      <c r="EH29" s="9">
        <f>IF(ISNUMBER(SnapshotTable[[#This Row],[LC Premium]]), SnapshotTable[[#This Row],[LC Qty]] * 100 * SnapshotTable[[#This Row],[LC Strike Price]], "")</f>
        <v>0</v>
      </c>
      <c r="EI29" s="240" t="str">
        <f>IF(AND(ISNUMBER(SnapshotTable[[#This Row],[LC Total Value]]),SnapshotTable[[#This Row],[LC Total Value]]&gt;0),SnapshotTable[[#This Row],[LC Stop Gain Loss]]  / SnapshotTable[[#This Row],[LC Premium]],"")</f>
        <v/>
      </c>
      <c r="EJ29" s="35">
        <f>IF(ISNUMBER(SnapshotTable[[#This Row],[Equity Shares]]),TRUNC(SnapshotTable[[#This Row],[Equity Shares]] / 100),0) + SnapshotTable[[#This Row],[LC Qty]]</f>
        <v>0</v>
      </c>
      <c r="EK29" s="147"/>
      <c r="EL29" s="138" t="str">
        <f>IF(SnapshotTable[[#This Row],[SC Exp Date]]&lt;&gt;"",TRUNC(SnapshotTable[[#This Row],[Last Price]]),"")</f>
        <v/>
      </c>
      <c r="EM29" s="148"/>
      <c r="EN29" s="147"/>
      <c r="EO29" s="147"/>
      <c r="EP29" s="138"/>
      <c r="EQ29" s="419" t="b">
        <f>AND(ISNUMBER(SnapshotTable[[#This Row],[SC Exp Date]]), ISNUMBER(SnapshotTable[[#This Row],[SC Strike Price]]), ISNUMBER(SnapshotTable[[#This Row],[SC Qty]]), ISNUMBER(SnapshotTable[[#This Row],[SC Book Date]]), ISNUMBER(SnapshotTable[[#This Row],[SC Book Price]]))</f>
        <v>0</v>
      </c>
      <c r="ER29" s="419" t="b">
        <f>AND(SnapshotTable[[#This Row],[SC Is Booked]], NOT(ISBLANK(SnapshotTable[[#This Row],[SC Fill Date]])))</f>
        <v>0</v>
      </c>
      <c r="ES29" s="370"/>
      <c r="ET29" s="34" t="str">
        <f>IF(AND(ISNUMBER(SnapshotTable[[#This Row],[SC Exp Date]]), ISNUMBER(SnapshotTable[[#This Row],[SC Book Date]])), SnapshotTable[[#This Row],[SC Exp Date]] - MAX(SnapshotTable[[#This Row],[SC Book Date]], SnapshotTable[[#This Row],[SC Fill Date]]) + 1, "")</f>
        <v/>
      </c>
      <c r="EU29" s="34" t="str">
        <f>IF(ISNUMBER(SnapshotTable[[#This Row],[SC Term]]), SnapshotTable[[#This Row],[SC Exp Date]]- MockToday, "")</f>
        <v/>
      </c>
      <c r="EV29" s="31">
        <f>IF(SnapshotTable[[#This Row],[SC Is Booked]], SnapshotTable[[#This Row],[SC Qty]] * SnapshotTable[[#This Row],[SC Book Price]] * 100, 0)</f>
        <v>0</v>
      </c>
      <c r="EW29" s="4" t="str">
        <f>IF(AND(ISNUMBER(SnapshotTable[[#This Row],[Last Price]]), ISNUMBER( SnapshotTable[[#This Row],[SC Book Price]])), SnapshotTable[[#This Row],[Last Price]] - SnapshotTable[[#This Row],[SC Book Price]],"")</f>
        <v/>
      </c>
      <c r="EX29" s="234" t="str">
        <f>IF(SnapshotTable[[#This Row],[SC Is Booked]],IF(SnapshotTable[[#This Row],[SC Intrinsic Value]] &gt; 0, SnapshotTable[[#This Row],[SC Strike Price]], SnapshotTable[[#This Row],[Last Price]]), "")</f>
        <v/>
      </c>
      <c r="EY29" s="4">
        <f>IF(SnapshotTable[[#This Row],[SC Is Booked]], (MinimumPremiumRequired * SnapshotTable[[#This Row],[SC Basis]] * SnapshotTable[[#This Row],[SC Term]]), 0)</f>
        <v>0</v>
      </c>
      <c r="EZ29" s="283"/>
      <c r="FA29" s="218"/>
      <c r="FB29" s="370"/>
      <c r="FC29" s="4">
        <f>IF(SnapshotTable[[#This Row],[SC Is Filled]], btc_max_buyback_amount(SnapshotTable[[#This Row],[SC Fill Date]],SnapshotTable[[#This Row],[SC Exp Date]], SnapshotTable[[#This Row],[SC Book Price]]),0)</f>
        <v>0</v>
      </c>
      <c r="FD29" s="5"/>
      <c r="FE29" s="144" t="str">
        <f>IF(SnapshotTable[[#This Row],[SC Is Filled]], btc_next_cutoff_date(SnapshotTable[[#This Row],[SC Fill Date]],SnapshotTable[[#This Row],[SC Exp Date]]),"")</f>
        <v/>
      </c>
      <c r="FF29" s="4" t="str" cm="1">
        <f t="array" ref="FF29">IF(SnapshotTable[[#This Row],[SC Is Filled]], btc_should_buy_back(SnapshotTable[[#This Row],[SC Fill Date]], SnapshotTable[[#This Row],[SC Exp Date]], SnapshotTable[[#This Row],[SC Book Price]], SnapshotTable[[#This Row],[SC Current Ask]], MockToday, SnapshotTable[[#This Row],[SC Buyback Override]]),"")</f>
        <v/>
      </c>
      <c r="FG29" s="4">
        <f>IF(SnapshotTable[[#This Row],[SC Is Filled]], MAX(0,SnapshotTable[[#This Row],[Last Price]]  - SnapshotTable[[#This Row],[SC Strike Price]]), 0)</f>
        <v>0</v>
      </c>
      <c r="FH29" s="382">
        <f>IF(SnapshotTable[[#This Row],[SC Is Filled]], IF(ISNUMBER(SnapshotTable[[#This Row],[SC Current Ask]]), SnapshotTable[[#This Row],[SC Current Ask]], SnapshotTable[[#This Row],[SC Book Price]]) - SnapshotTable[[#This Row],[SC Intrinsic Value]], 0)</f>
        <v>0</v>
      </c>
      <c r="FI29" s="143">
        <v>45786</v>
      </c>
      <c r="FJ29" s="32" t="str">
        <f>IF(SnapshotTable[[#This Row],[SC Is Filled]],100 * SnapshotTable[[#This Row],[SC Qty]] * IF(ISNUMBER(SnapshotTable[[#This Row],[SC Buyback Override]]), SnapshotTable[[#This Row],[SC Buyback Override]], SnapshotTable[[#This Row],[SC Current Ask]]), "")</f>
        <v/>
      </c>
      <c r="FK29" s="250" t="str">
        <f>IF(SnapshotTable[[#This Row],[SC Time Val]]&gt;0, SnapshotTable[[#This Row],[SC Time Val]] / SnapshotTable[[#This Row],[Last Price]],"")</f>
        <v/>
      </c>
      <c r="FL29" s="302" t="str">
        <f>IF(SnapshotTable[[#This Row],[SC Is Booked]], ((SnapshotTable[[#This Row],[Last Price]] -SnapshotTable[[#This Row],[SC Strike Price]]) / SnapshotTable[[#This Row],[Last Price]]) * -1, "")</f>
        <v/>
      </c>
      <c r="FM29" s="157" t="str">
        <f>IF(SnapshotTable[[#This Row],[SC Is Booked]],  (SnapshotTable[[#This Row],[SC Qty]] * 100 * SnapshotTable[[#This Row],[SC Strike Price]]) - SnapshotTable[[#This Row],[SC Current Ask]], "")</f>
        <v/>
      </c>
      <c r="FN2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 s="31" t="str">
        <f>IF(AND(ISNUMBER(SnapshotTable[[#This Row],[SC Exercise Gross]]), ISNUMBER(SnapshotTable[[#This Row],[Equity Basis Per Share]] )), SnapshotTable[[#This Row],[SC Exercise Gross]] - SnapshotTable[[#This Row],[Equity Basis Total]] +  SnapshotTable[[#This Row],[SC Premium]], "")</f>
        <v/>
      </c>
      <c r="FP29" s="5" t="str">
        <f>IF(ISNUMBER(SnapshotTable[[#This Row],[SC Exercise Gross]]), (SnapshotTable[[#This Row],[SC Exercise Gross]]) / (SnapshotTable[[#This Row],[SC Qty]] * 100), "")</f>
        <v/>
      </c>
      <c r="FQ29" s="27" t="str">
        <f>IF(SnapshotTable[[#This Row],[SC Is Booked]],SnapshotTable[[#This Row],[SC Time Val]] /SnapshotTable[[#This Row],[SC Basis]], "")</f>
        <v/>
      </c>
      <c r="FR29" s="27" t="str" cm="1">
        <f t="array" ref="FR29">IF(AND(ISNUMBER(SnapshotTable[[#This Row],[SC Term]]),ISNUMBER(SnapshotTable[[#This Row],[SC Simple ROO]])), EllmanAnnualize(SnapshotTable[[#This Row],[SC DTE]], SnapshotTable[[#This Row],[SC Simple ROO]] ),"")</f>
        <v/>
      </c>
      <c r="FS29" s="4" t="e">
        <f>IF(SnapshotTable[[#This Row],[SC Strike Price]] &gt; SnapshotTable[[#This Row],[Last Price]], SnapshotTable[[#This Row],[SC Strike Price]] - SnapshotTable[[#This Row],[Last Price]],0)</f>
        <v>#VALUE!</v>
      </c>
      <c r="FT29" s="27" t="e">
        <f>IF(AND(ISNUMBER(SnapshotTable[[#This Row],[SC Upside Potential]]), SnapshotTable[[#This Row],[SC Upside Potential]] &gt; 0),(SnapshotTable[[#This Row],[SC Upside Potential]]/ SnapshotTable[[#This Row],[ACB]]),"")</f>
        <v>#VALUE!</v>
      </c>
      <c r="FU29" s="333" t="str">
        <f>IF(SnapshotTable[[#This Row],[SC Intrinsic Value]] &gt; 0,SnapshotTable[[#This Row],[SC Intrinsic Value]],"")</f>
        <v/>
      </c>
      <c r="FV29" s="27" t="str">
        <f>IF(AND( ISNUMBER( SnapshotTable[[#This Row],[ACB]]),ISNUMBER(SnapshotTable[[#This Row],[SC Downside Protect]])),SnapshotTable[[#This Row],[SC Downside Protect]] / SnapshotTable[[#This Row],[ACB]],"")</f>
        <v/>
      </c>
      <c r="FW29" s="236" t="str">
        <f>IF(AND(ISNUMBER(SnapshotTable[[#This Row],[SC Simple ROO]]),SnapshotTable[[#This Row],[SC Simple ROO]] &gt; 0), SnapshotTable[[#This Row],[SC Premium]] + (SnapshotTable[[#This Row],[SC Qty]] * SnapshotTable[[#This Row],[SC Upside Potential]]), "")</f>
        <v/>
      </c>
      <c r="FX29" s="302" t="str" cm="1">
        <f t="array" ref="FX29">IF(ISNUMBER(SnapshotTable[[#This Row],[SC Max Dollars]]), annualize(SnapshotTable[[#This Row],[SC Term]],(SnapshotTable[[#This Row],[SC Max Dollars]]/SnapshotTable[[#This Row],[SC Basis]])),"")</f>
        <v/>
      </c>
      <c r="FY29" s="236" t="str">
        <f>IF(AND(SnapshotTable[[#This Row],[SC Qty]]&gt;0,SnapshotTable[[#This Row],[SC Current Ask]]&gt;0), SnapshotTable[[#This Row],[SC Qty]] * SnapshotTable[[#This Row],[SC Current Ask]] * -100, "")</f>
        <v/>
      </c>
      <c r="FZ29" s="31" t="str">
        <f>IF(ISNUMBER((SnapshotTable[[#This Row],[SC Current Value]])), SnapshotTable[[#This Row],[SC Premium]] + SnapshotTable[[#This Row],[SC Current Value]], "")</f>
        <v/>
      </c>
      <c r="GA29" s="294" t="str">
        <f>IFERROR( IF(ISNUMBER((SnapshotTable[[#This Row],[SC Current Value]])), SnapshotTable[[#This Row],[SC Gain Loss]] / SnapshotTable[[#This Row],[SC Premium]], ""), "")</f>
        <v/>
      </c>
      <c r="GB29" s="42">
        <f>SnapshotTable[[#This Row],[Equity Shares]] * SaleSharesToConsiderPercentage</f>
        <v>0</v>
      </c>
      <c r="GC29" s="40">
        <f>SnapshotTable[[#This Row],[Long Term Target]] * SellingPriceToConsiderBasedOnTargetPercentage</f>
        <v>40.659999999999997</v>
      </c>
      <c r="GD29" s="40">
        <f>SnapshotTable[[#This Row],[Last Price]] * (1+ SellingPriceToConsiderBasedOnTargetPercentage)</f>
        <v>152.58750000000001</v>
      </c>
      <c r="GE29" s="41"/>
      <c r="GF29" s="40"/>
      <c r="GG29" s="31">
        <f>SnapshotTable[[#This Row],[Booked Sale Shares]] * SnapshotTable[[#This Row],[Booked Sale Price]]</f>
        <v>0</v>
      </c>
      <c r="GH29" s="31" t="str">
        <f>IF(SnapshotTable[[#This Row],[Equity Basis Total]] &gt; 0, SnapshotTable[[#This Row],[Equity Basis Per Share]] * SnapshotTable[[#This Row],[Booked Sale Shares]], "")</f>
        <v/>
      </c>
      <c r="GI29" s="31">
        <f>IF(SnapshotTable[[#This Row],[Sale Proceeds]]&gt;0, SnapshotTable[[#This Row],[Sale Proceeds]] - SnapshotTable[[#This Row],[Sale Basis]], 0)</f>
        <v>0</v>
      </c>
      <c r="GJ29" s="27" t="str">
        <f>IF(SnapshotTable[[#This Row],[Sale G/L]]&gt;0, SnapshotTable[[#This Row],[Sale G/L]] / SnapshotTable[[#This Row],[Sale Basis]], IF(ISNUMBER(SnapshotTable[[#This Row],[SC Exercise P&amp;L (TAX)]]), SnapshotTable[[#This Row],[SC Exercise P&amp;L (TAX)]] / SnapshotTable[[#This Row],[SC Basis]], ""))</f>
        <v/>
      </c>
      <c r="GK29" s="27" t="s">
        <v>629</v>
      </c>
      <c r="GL29" s="43" t="str">
        <f>IF(AND(SnapshotTable[[#This Row],[LP Exp Date]]&gt;0,SnapshotTable[[#This Row],[LP Strike Price]]&gt;0), [1]!ToOptionSymbol(SnapshotTable[[#This Row],[Symbol]], SnapshotTable[[#This Row],[LP Strike Price]],SnapshotTable[[#This Row],[LP Exp Date]],1), "")</f>
        <v/>
      </c>
      <c r="GM29" s="30" t="str">
        <f>IF(LEN(SnapshotTable[[#This Row],[LP Symbol]])&gt;0, 1, "")</f>
        <v/>
      </c>
      <c r="GN29" s="43" t="str">
        <f>IF(AND(SnapshotTable[[#This Row],[SP Exp Date]]&gt;0,SnapshotTable[[#This Row],[SP Strike Price]]&gt;0), [1]!ToOptionSymbol(SnapshotTable[[#This Row],[Symbol]], SnapshotTable[[#This Row],[SP Strike Price]],SnapshotTable[[#This Row],[SP Exp Date]],1), "")</f>
        <v/>
      </c>
      <c r="GO29" s="30" t="str">
        <f>IF(LEN(SnapshotTable[[#This Row],[SP Symbol]])&gt;0, 1, "")</f>
        <v/>
      </c>
      <c r="GP29" s="43" t="str">
        <f>IF(AND(SnapshotTable[[#This Row],[LC Exp Date]]&gt;0,SnapshotTable[[#This Row],[LC Strike Price]]&gt;0), [1]!ToOptionSymbol(SnapshotTable[[#This Row],[Symbol]], SnapshotTable[[#This Row],[LC Strike Price]],SnapshotTable[[#This Row],[LC Exp Date]],0), "")</f>
        <v/>
      </c>
      <c r="GQ29" s="30" t="str">
        <f>IF(LEN(SnapshotTable[[#This Row],[LC Symbol]])&gt;0, 1, "")</f>
        <v/>
      </c>
      <c r="GR29" s="43" t="str">
        <f>IF(AND(SnapshotTable[[#This Row],[SC Exp Date]]&gt;0,SnapshotTable[[#This Row],[SC Strike Price]]&gt;0), [1]!ToOptionSymbol(SnapshotTable[[#This Row],[Symbol]], SnapshotTable[[#This Row],[SC Strike Price]],SnapshotTable[[#This Row],[SC Exp Date]],0), "")</f>
        <v/>
      </c>
      <c r="GS29" s="30" t="str">
        <f>IF(LEN(SnapshotTable[[#This Row],[SC Symbol]])&gt;0, 1, "")</f>
        <v/>
      </c>
      <c r="GT29" s="29" t="str">
        <f>IF(COUNT(SnapshotTable[[#This Row],[LP Symbol Count]],SnapshotTable[[#This Row],[SP Symbol Count]],SnapshotTable[[#This Row],[LC Symbol Count]],SnapshotTable[[#This Row],[SC Symbol Count]])&gt;0, "Y", "")</f>
        <v/>
      </c>
      <c r="GU2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 s="231" t="e">
        <f>MAX(SnapshotTable[[#This Row],[Equity Basis Total]],SnapshotTable[[#This Row],[Equity Value]]) + (SnapshotTable[[#This Row],[SP Potential Spend]]- SnapshotTable[[#This Row],[SP Premium]] + SnapshotTable[[#This Row],[LP Premium]])+ (SnapshotTable[[#This Row],[LC Premium]] - SnapshotTable[[#This Row],[SC Premium]])</f>
        <v>#VALUE!</v>
      </c>
      <c r="GW29" s="139" t="e">
        <f>IF(AND(SnapshotTable[[#This Row],[Exposure]] &lt;&gt; 0),SnapshotTable[[#This Row],[Exposure]] / SnapshotTable[[#Totals],[Exposure]], "")</f>
        <v>#VALUE!</v>
      </c>
      <c r="HK29" s="1"/>
      <c r="HL29" s="1"/>
      <c r="HM29" s="1"/>
      <c r="HN29" s="1"/>
      <c r="HO29" s="1"/>
      <c r="HP29" s="1"/>
    </row>
    <row r="30" spans="2:224" ht="12.75" hidden="1" customHeight="1" x14ac:dyDescent="0.25">
      <c r="B30" s="12" t="s">
        <v>1252</v>
      </c>
      <c r="C30" s="422">
        <v>15.03</v>
      </c>
      <c r="D30" s="208"/>
      <c r="E30" s="39">
        <f>SnapshotTable[[#This Row],[Last Price]]*(1 -CrashDiscount)</f>
        <v>12.775499999999999</v>
      </c>
      <c r="F30" s="325" t="s">
        <v>1253</v>
      </c>
      <c r="G30" s="325" t="s">
        <v>49</v>
      </c>
      <c r="H30" s="149"/>
      <c r="I30" s="194"/>
      <c r="J30" s="195"/>
      <c r="K30" s="196"/>
      <c r="L30" s="326"/>
      <c r="M30" s="140"/>
      <c r="N30" s="140"/>
      <c r="O30" s="140"/>
      <c r="P30" s="328"/>
      <c r="Q30" s="25"/>
      <c r="R30" s="4" t="str">
        <f>IF(SnapshotTable[[#This Row],[Equity Basis Total]] &gt; 0, SnapshotTable[[#This Row],[Equity Basis Total]] / SnapshotTable[[#This Row],[Equity Shares]], "")</f>
        <v/>
      </c>
      <c r="S30" s="269">
        <f>SnapshotTable[[#This Row],[Last Price]] * SnapshotTable[[#This Row],[Equity Shares]]</f>
        <v>0</v>
      </c>
      <c r="T30" s="269">
        <f>SnapshotTable[[#This Row],[Equity Value]] - SnapshotTable[[#This Row],[Equity Basis Total]]</f>
        <v>0</v>
      </c>
      <c r="U30" s="270" t="str">
        <f>IF(SnapshotTable[[#This Row],[Equity Basis Total]] &gt; 0, SnapshotTable[[#This Row],[Equity G/L]] / SnapshotTable[[#This Row],[Equity Basis Total]], "")</f>
        <v/>
      </c>
      <c r="V30" s="268"/>
      <c r="W30" s="268"/>
      <c r="X30" s="4" t="str">
        <f>IF(AND(ISNUMBER(SnapshotTable[[#This Row],[Equity Basis Per Share]]),ISNUMBER(SnapshotTable[[#This Row],[Equity Target]])),SnapshotTable[[#This Row],[Equity Target]]-SnapshotTable[[#This Row],[Equity Basis Per Share]],"")</f>
        <v/>
      </c>
      <c r="Y30" s="4" t="str">
        <f>IF(AND(ISNUMBER(SnapshotTable[[#This Row],[Equity Basis Per Share]]),ISNUMBER(SnapshotTable[[#This Row],[Equity Stop Loss]])),SnapshotTable[[#This Row],[Equity Stop Loss]]-SnapshotTable[[#This Row],[Equity Basis Per Share]],"")</f>
        <v/>
      </c>
      <c r="Z30" s="275" t="str">
        <f>IFERROR( TEXT(SnapshotTable[[#This Row],[Equity Max Gain Per Share]] /ABS( SnapshotTable[[#This Row],[Equity Max Loss Per Share]]),"0.0 " ) &amp; " : 1", "")</f>
        <v/>
      </c>
      <c r="AA30" s="31" t="str">
        <f>IF(ISNUMBER(SnapshotTable[[#This Row],[Equity Max Gain Per Share]]),SnapshotTable[[#This Row],[Equity Max Gain Per Share]] * SnapshotTable[[#This Row],[Equity Shares]],"")</f>
        <v/>
      </c>
      <c r="AB30" s="31" t="str">
        <f>IF(ISNUMBER(SnapshotTable[[#This Row],[Equity Max Loss Per Share]]),SnapshotTable[[#This Row],[Equity Max Loss Per Share]] * SnapshotTable[[#This Row],[Equity Shares]],"")</f>
        <v/>
      </c>
      <c r="AC30" s="150"/>
      <c r="AD30" s="151"/>
      <c r="AE30" s="31">
        <f>(SnapshotTable[[#This Row],[Annual Dividend Per Share]] / 4) * SnapshotTable[[#This Row],[Equity Shares]]</f>
        <v>0</v>
      </c>
      <c r="AF30" s="31">
        <f>SnapshotTable[[#This Row],[Quarterly Div $]] * 4</f>
        <v>0</v>
      </c>
      <c r="AG30" s="7">
        <f>IF(SnapshotTable[[#This Row],[Annual Dividend Per Share]]&gt;0, SnapshotTable[[#This Row],[Annual Dividend Per Share]]  / SnapshotTable[[#This Row],[Last Price]], 0)</f>
        <v>0</v>
      </c>
      <c r="AH30" s="151"/>
      <c r="AI30" s="5"/>
      <c r="AJ30" s="138"/>
      <c r="AK30" s="152" t="str">
        <f>IF(ISNUMBER( SnapshotTable[[#This Row],[EBF Target]]),(SnapshotTable[[#This Row],[EBF Target]] - SnapshotTable[[#This Row],[Last Price]]) / SnapshotTable[[#This Row],[Last Price]], "")</f>
        <v/>
      </c>
      <c r="AL30" s="152" t="str">
        <f>IF(AND(SnapshotTable[[#This Row],[Equity Basis Total]] &gt; 0,ISNUMBER( SnapshotTable[[#This Row],[Long Term Target]])), SnapshotTable[[#This Row],[From Basis $]] / SnapshotTable[[#This Row],[Equity Basis Total]], "")</f>
        <v/>
      </c>
      <c r="AM30" s="9">
        <f>IF( AND(SnapshotTable[[#This Row],[Equity Shares]] &gt;0,ISNUMBER( SnapshotTable[[#This Row],[Long Term Target]])),(SnapshotTable[[#This Row],[Equity Shares]] * SnapshotTable[[#This Row],[Long Term Target]]) - SnapshotTable[[#This Row],[Equity Basis Total]],0)</f>
        <v>0</v>
      </c>
      <c r="AN30" s="9">
        <f>IF( AND(SnapshotTable[[#This Row],[Equity Shares]] &gt;0,ISNUMBER( SnapshotTable[[#This Row],[Long Term Target]])),(SnapshotTable[[#This Row],[Equity Shares]]*SnapshotTable[[#This Row],[Long Term Target]]) - SnapshotTable[[#This Row],[Equity Value]],0)</f>
        <v>0</v>
      </c>
      <c r="AO30" s="152" t="str">
        <f>IF(AND(ISNUMBER( SnapshotTable[[#This Row],[Long Term Target]]), ISNUMBER(SnapshotTable[[#This Row],[Last Price]])),(SnapshotTable[[#This Row],[Long Term Target]] - SnapshotTable[[#This Row],[Last Price]]) / SnapshotTable[[#This Row],[Last Price]], "")</f>
        <v/>
      </c>
      <c r="AP30" s="5"/>
      <c r="AQ30" s="38"/>
      <c r="AR30" s="5"/>
      <c r="AS30" s="38"/>
      <c r="AT30" s="146"/>
      <c r="AU30" s="187" t="str">
        <f>IF(OR(SnapshotTable[[#This Row],[LP No Fill]]="Y",SnapshotTable[[#This Row],[SP Is Filled]],SnapshotTable[[#This Row],[LC Not Filled]]="Y",SnapshotTable[[#This Row],[SC Is Filled]]),"Y","")</f>
        <v/>
      </c>
      <c r="AV30" s="219"/>
      <c r="AW30" s="225"/>
      <c r="AX30" s="220"/>
      <c r="AY30" s="219" t="str">
        <f>IF(SnapshotTable[[#This Row],[Implied Move]]&gt;0, SnapshotTable[[#This Row],[Last Price]]-SnapshotTable[[#This Row],[Implied Move]],"")</f>
        <v/>
      </c>
      <c r="AZ30" s="219" t="str">
        <f>IF(SnapshotTable[[#This Row],[Implied Move]]&gt;0, SnapshotTable[[#This Row],[Last Price]] + SnapshotTable[[#This Row],[Implied Move]],"")</f>
        <v/>
      </c>
      <c r="BA30" s="331">
        <v>14.6</v>
      </c>
      <c r="BB30" s="347"/>
      <c r="BC3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 s="351"/>
      <c r="BE30" s="5"/>
      <c r="BF30" s="14"/>
      <c r="BG30" s="13"/>
      <c r="BH30" s="13"/>
      <c r="BI30" s="5"/>
      <c r="BJ30" s="136">
        <f>IF(SnapshotTable[[#This Row],[LP Qty]] &gt; 0, SnapshotTable[[#This Row],[LP Qty]] * SnapshotTable[[#This Row],[LP Book Price]] * 100,0)</f>
        <v>0</v>
      </c>
      <c r="BK30" s="136">
        <f>IF(SnapshotTable[[#This Row],[LP Premium]] &gt; 0, SnapshotTable[[#This Row],[LP Qty]] * SnapshotTable[[#This Row],[LP Strike Price]] * 100,0)</f>
        <v>0</v>
      </c>
      <c r="BL30" s="154"/>
      <c r="BM30" s="385" t="str">
        <f>IF(SnapshotTable[[#This Row],[LP Premium]] &gt; 0,SnapshotTable[[#This Row],[LP Exp Date]]-MAX(SnapshotTable[[#This Row],[LP Book Date]], SnapshotTable[[#This Row],[LP Fill Date]]),"")</f>
        <v/>
      </c>
      <c r="BN30" s="385" t="str">
        <f>IF(ISNUMBER( SnapshotTable[[#This Row],[LP Term]]), SnapshotTable[[#This Row],[LP Exp Date]] - MockToday,"")</f>
        <v/>
      </c>
      <c r="BO30" s="163" t="str">
        <f>IF(AND(SnapshotTable[[#This Row],[LP Exp Date]]&gt;0, SnapshotTable[[#This Row],[LP Strike Price]]&gt;0,SnapshotTable[[#This Row],[LP Qty]]&gt;0,SnapshotTable[[#This Row],[LP Book Date]]&gt;0,SnapshotTable[[#This Row],[LP Book Price]]&gt;0,SnapshotTable[[#This Row],[LP Fill Date]]=0),"Y","")</f>
        <v/>
      </c>
      <c r="BP30" s="31" t="str">
        <f>IF(AND(SnapshotTable[[#This Row],[LP No Fill]]&lt;&gt;"Y",SnapshotTable[[#This Row],[LP Contract Value]]&gt;0, SnapshotTable[[#This Row],[LP Qty]]&gt;0), SnapshotTable[[#This Row],[LP Contract Value]]*SnapshotTable[[#This Row],[LP Qty]]*100,"")</f>
        <v/>
      </c>
      <c r="BQ30" s="13"/>
      <c r="BR30" s="5" t="str">
        <f>IF(SnapshotTable[[#This Row],[SP Exp Date]]&lt;&gt;"",TRUNC(SnapshotTable[[#This Row],[Last Price]]),"")</f>
        <v/>
      </c>
      <c r="BS30" s="36"/>
      <c r="BT30" s="147"/>
      <c r="BU30" s="13"/>
      <c r="BV30" s="5"/>
      <c r="BW30" s="419" t="b">
        <f>AND(ISNUMBER(SnapshotTable[[#This Row],[SP Exp Date]]), ISNUMBER(SnapshotTable[[#This Row],[SP Strike Price]]), ISNUMBER(SnapshotTable[[#This Row],[SP Qty]]), ISNUMBER(SnapshotTable[[#This Row],[SP Book Date]]), ISNUMBER(SnapshotTable[[#This Row],[SP Book Price]]))</f>
        <v>0</v>
      </c>
      <c r="BX30" s="419" t="b">
        <f>AND(SnapshotTable[[#This Row],[SP Is Booked]], NOT(ISBLANK(SnapshotTable[[#This Row],[SP Fill Date]])))</f>
        <v>0</v>
      </c>
      <c r="BY30" s="33">
        <f>IF(SnapshotTable[[#This Row],[SP Is Booked]], SnapshotTable[[#This Row],[SP Qty]] * SnapshotTable[[#This Row],[SP Book Price]] * 100, 0)</f>
        <v>0</v>
      </c>
      <c r="BZ30" s="369"/>
      <c r="CA30" s="368">
        <f>SnapshotTable[[#This Row],[LP Qty]]</f>
        <v>0</v>
      </c>
      <c r="CB30" s="4" t="str">
        <f>IF(SnapshotTable[[#This Row],[SP Is Booked]], SnapshotTable[[#This Row],[SP Strike Price]] - SnapshotTable[[#This Row],[SP Book Price]], "")</f>
        <v/>
      </c>
      <c r="CC30" s="19" t="str">
        <f>IF(SnapshotTable[[#This Row],[SP Is Booked]],SnapshotTable[[#This Row],[SP Exp Date]]-MAX(SnapshotTable[[#This Row],[SP Book Date]], SnapshotTable[[#This Row],[SP Fill Date]]),"")</f>
        <v/>
      </c>
      <c r="CD30" s="7" t="str">
        <f>IF(SnapshotTable[[#This Row],[SP Is Booked]], SnapshotTable[[#This Row],[SP Book Price]]/SnapshotTable[[#This Row],[SP Strike Price]], "")</f>
        <v/>
      </c>
      <c r="CE30" s="7" t="str">
        <f>IF(ISNUMBER(SnapshotTable[[#This Row],[SP ROO Term]]),SnapshotTable[[#This Row],[SP ROO Term]]*(365/SnapshotTable[[#This Row],[SP Term]]),"")</f>
        <v/>
      </c>
      <c r="CF30" s="236">
        <f>SnapshotTable[[#This Row],[LP Strike Price]] * SnapshotTable[[#This Row],[LP Qty]] * 100</f>
        <v>0</v>
      </c>
      <c r="CG30" s="31" t="e">
        <f>IF(ISNUMBER(SnapshotTable[[#This Row],[SP Premium]]), (SnapshotTable[[#This Row],[SP Qty]] * SnapshotTable[[#This Row],[SP Strike Price]]* 100) - SnapshotTable[[#This Row],[LP Protection]], 0)</f>
        <v>#VALUE!</v>
      </c>
      <c r="CH30" s="7" t="str">
        <f>IF(ISNUMBER(SnapshotTable[[#This Row],[SP Break Even]]),-1 * (SnapshotTable[[#This Row],[SP Break Even]] - SnapshotTable[[#This Row],[Last Price]]) / SnapshotTable[[#This Row],[Last Price]], "")</f>
        <v/>
      </c>
      <c r="CI30" s="31">
        <f>IF(AND(ISNUMBER((SnapshotTable[[#This Row],[SP Potential Spend]])), SnapshotTable[[#This Row],[SP Strike Price]] &gt; SnapshotTable[[#This Row],[Last Price]], SnapshotTable[[#This Row],[SP Is Filled]]), SnapshotTable[[#This Row],[SP Potential Spend]] -  SnapshotTable[[#This Row],[LP Max Value]], 0)</f>
        <v>0</v>
      </c>
      <c r="CJ30" s="244"/>
      <c r="CK30" s="31" t="str">
        <f>IF(ISNUMBER(SnapshotTable[[#This Row],[SP Potential Spend]]),IF(ISNUMBER(SnapshotTable[[#This Row],[SP POW]]), SnapshotTable[[#This Row],[SP POW]] * SnapshotTable[[#This Row],[SP Potential Spend]], SnapshotTable[[#This Row],[SP Potential Spend]]), "")</f>
        <v/>
      </c>
      <c r="CL30" s="164" t="e">
        <f>IF(NOT(SnapshotTable[[#This Row],[SP Is Filled]]),(SnapshotTable[[#This Row],[SP Qty]] * SnapshotTable[[#This Row],[SP Strike Price]] * 100) - SnapshotTable[[#This Row],[LP Max Value]],"")</f>
        <v>#VALUE!</v>
      </c>
      <c r="CM30" s="31" t="str">
        <f>IF(SnapshotTable[[#This Row],[SP Actual Spend]]&lt;&gt;0, ((SnapshotTable[[#This Row],[SP Strike Price]]-SnapshotTable[[#This Row],[Last Price]]) *(SnapshotTable[[#This Row],[SP Qty]]*100) - SnapshotTable[[#This Row],[SP Premium]]) * - 1, "")</f>
        <v/>
      </c>
      <c r="CN30" s="78"/>
      <c r="CO30" s="369"/>
      <c r="CP30" s="4" t="str">
        <f>IF(SnapshotTable[[#This Row],[SP Is Filled]], btc_max_buyback_amount(SnapshotTable[[#This Row],[SP Fill Date]],SnapshotTable[[#This Row],[SP Exp Date]], SnapshotTable[[#This Row],[SP Book Price]]),"")</f>
        <v/>
      </c>
      <c r="CQ30" s="78"/>
      <c r="CR3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 s="155" t="str">
        <f>IF(SnapshotTable[[#This Row],[SP Is Filled]], btc_next_cutoff_date(SnapshotTable[[#This Row],[SP Fill Date]],SnapshotTable[[#This Row],[SP Exp Date]]),"")</f>
        <v/>
      </c>
      <c r="CT30" s="235" t="str" cm="1">
        <f t="array" ref="CT30">IF(SnapshotTable[[#This Row],[SP Is Filled]], btc_should_buy_back(SnapshotTable[[#This Row],[SP Fill Date]], SnapshotTable[[#This Row],[SP Exp Date]], SnapshotTable[[#This Row],[SP Book Price]], SnapshotTable[[#This Row],[SP Current Ask]], MockToday, SnapshotTable[[#This Row],[SP Buyback Override]]),"")</f>
        <v/>
      </c>
      <c r="CU30" s="143"/>
      <c r="CV30" s="235"/>
      <c r="CW30" s="378" t="str">
        <f>IF(ISNUMBER( SnapshotTable[[#This Row],[SP Term]]), SnapshotTable[[#This Row],[SP Exp Date]] - MockToday,"")</f>
        <v/>
      </c>
      <c r="CX30" s="31" t="str">
        <f>IF(SnapshotTable[[#This Row],[SP Is Filled]],SnapshotTable[[#This Row],[SP Buyback Price to Use]] * 100 * SnapshotTable[[#This Row],[SP Qty]], "")</f>
        <v/>
      </c>
      <c r="CY30" s="4" t="str">
        <f>IF(ISNUMBER(SnapshotTable[[#This Row],[SP Strike Price]]), SnapshotTable[[#This Row],[SP Strike Price]] * (1 - SP_MaxLoss_StrikePct), "")</f>
        <v/>
      </c>
      <c r="CZ30" s="31" t="str">
        <f>IF(ISNUMBER(SnapshotTable[[#This Row],[SP Strike  Stop Per Share]]),SnapshotTable[[#This Row],[SP Premium]] - ((SnapshotTable[[#This Row],[SP Strike Price]]-SnapshotTable[[#This Row],[SP Strike  Stop Per Share]]) *(SnapshotTable[[#This Row],[SP Qty]] * 100)),"")</f>
        <v/>
      </c>
      <c r="DA30" s="4" t="str">
        <f>IF(AND(ISNUMBER(SnapshotTable[[#This Row],[SP Premium]]),SnapshotTable[[#This Row],[SP Premium]]&gt;0), SnapshotTable[[#This Row],[SP Book Price]] * (1 + SP_MaxLoss_OptionPct), "")</f>
        <v/>
      </c>
      <c r="DB30" s="31" t="str">
        <f>IF(ISNUMBER(SnapshotTable[[#This Row],[SP Option  Stop Contract]]),(SnapshotTable[[#This Row],[SP Option  Stop Contract]] *(SnapshotTable[[#This Row],[SP Qty]] * 100) - SnapshotTable[[#This Row],[SP Premium]]),"")</f>
        <v/>
      </c>
      <c r="DC30" s="4"/>
      <c r="DD30" s="4"/>
      <c r="DE30" s="4" t="str">
        <f>IF(AND(SnapshotTable[[#This Row],[SP Qty]]&gt;0, SnapshotTable[[#This Row],[SP Stop To Use]]&gt;0),SnapshotTable[[#This Row],[SP Premium]] - ( SnapshotTable[[#This Row],[SP Qty]] * SnapshotTable[[#This Row],[SP Stop To Use]] * 100), "")</f>
        <v/>
      </c>
      <c r="DF30" s="31" t="str">
        <f>IF(AND(SnapshotTable[[#This Row],[SP Qty]]&gt;0,SnapshotTable[[#This Row],[SP Current Ask]]&gt;0), SnapshotTable[[#This Row],[SP Qty]] * SnapshotTable[[#This Row],[SP Current Ask]] * -100, "")</f>
        <v/>
      </c>
      <c r="DG30" s="31" t="str">
        <f>IF(ISNUMBER((SnapshotTable[[#This Row],[SP Total Value]])), SnapshotTable[[#This Row],[SP Premium]] + SnapshotTable[[#This Row],[SP Total Value]], "")</f>
        <v/>
      </c>
      <c r="DH30" s="294" t="str">
        <f>IF(ISNUMBER((SnapshotTable[[#This Row],[SP Total Value]])), SnapshotTable[[#This Row],[SP Gain Loss]] / SnapshotTable[[#This Row],[SP Premium]], "")</f>
        <v/>
      </c>
      <c r="DI30" s="406"/>
      <c r="DJ30" s="138"/>
      <c r="DK30" s="148"/>
      <c r="DL30" s="13"/>
      <c r="DM30" s="13"/>
      <c r="DO30" s="31">
        <f>IF(SnapshotTable[[#This Row],[LC Symbol Count]]=1, SnapshotTable[[#This Row],[LC Qty]] * SnapshotTable[[#This Row],[LC Book Price]] * 100, 0)</f>
        <v>0</v>
      </c>
      <c r="DP30" s="163" t="str">
        <f>IF(AND(SnapshotTable[[#This Row],[LC Exp Date]]&gt;0, SnapshotTable[[#This Row],[LC Strike Price]]&gt;0,SnapshotTable[[#This Row],[LC Qty]]&gt;0,SnapshotTable[[#This Row],[LC Book Date]]&gt;0,SnapshotTable[[#This Row],[LC Book Price]]&gt;0,SnapshotTable[[#This Row],[LC Fill Date]]=0),"Y","")</f>
        <v/>
      </c>
      <c r="DQ30" s="386" t="str">
        <f>IF(SnapshotTable[[#This Row],[LC Premium]] &gt; 0,SnapshotTable[[#This Row],[LC Exp Date]]-MAX(SnapshotTable[[#This Row],[LC Book Date]], SnapshotTable[[#This Row],[LC Fill Date]]),"")</f>
        <v/>
      </c>
      <c r="DR30" s="386" t="str">
        <f>IF(ISNUMBER(SnapshotTable[[#This Row],[LC Term]]), SnapshotTable[[#This Row],[LC Exp Date]] - MockToday, "")</f>
        <v/>
      </c>
      <c r="DS30" s="234" t="str">
        <f>IF(SnapshotTable[[#This Row],[LC Premium]]&gt;0,SnapshotTable[[#This Row],[LC Strike Price]] + SnapshotTable[[#This Row],[LC Book Price]],"")</f>
        <v/>
      </c>
      <c r="DU30" s="9" t="str">
        <f>IF(AND(SnapshotTable[[#This Row],[LC Symbol Count]]&gt;0, SnapshotTable[[#This Row],[LC Contract Value]]&gt;0), SnapshotTable[[#This Row],[LC Contract Value]] * SnapshotTable[[#This Row],[LC Qty]] * 100, "")</f>
        <v/>
      </c>
      <c r="DV30" s="9" t="str">
        <f>IF(AND(ISNUMBER(SnapshotTable[[#This Row],[LC Total Value]]), SnapshotTable[[#This Row],[LC Not Filled]]&lt;&gt;"Y"), SnapshotTable[[#This Row],[LC Total Value]]-SnapshotTable[[#This Row],[LC Premium]],"")</f>
        <v/>
      </c>
      <c r="DW30" s="240" t="str">
        <f>IF(ISNUMBER(SnapshotTable[[#This Row],[LC Actual Gain Loss]]), SnapshotTable[[#This Row],[LC Actual Gain Loss]] / SnapshotTable[[#This Row],[LC Premium]],"")</f>
        <v/>
      </c>
      <c r="DX30" s="284" t="str">
        <f>IF(ISNUMBER(SnapshotTable[[#This Row],[LC Book Price]]),SnapshotTable[[#This Row],[LC Book Price]] * 1.5,"")</f>
        <v/>
      </c>
      <c r="DY30" s="265" t="str">
        <f>IF(SnapshotTable[[#This Row],[LC Premium]]&gt;0, SnapshotTable[[#This Row],[LC Next Target]] * SnapshotTable[[#This Row],[LC Qty]] * 100,"")</f>
        <v/>
      </c>
      <c r="DZ30" s="265" t="str">
        <f>IF(ISNUMBER(SnapshotTable[[#This Row],[LC Target Gross]]), SnapshotTable[[#This Row],[LC Target Gross]] - SnapshotTable[[#This Row],[LC Premium]], "")</f>
        <v/>
      </c>
      <c r="EA30" s="305" t="str">
        <f>IF(ISNUMBER(SnapshotTable[[#This Row],[LC Target Gain Loss]]), SnapshotTable[[#This Row],[LC Target Gain Loss]]/SnapshotTable[[#This Row],[LC Premium]], "")</f>
        <v/>
      </c>
      <c r="EB30" s="262"/>
      <c r="EC30" s="283" t="str">
        <f>IF(SnapshotTable[[#This Row],[LC Premium]]&gt;0, SnapshotTable[[#This Row],[LC Book Price]] * (1 - LC_StopLoss_Pct),"")</f>
        <v/>
      </c>
      <c r="ED30" s="284"/>
      <c r="EE30" s="283" t="str">
        <f>IF(ISNUMBER(SnapshotTable[[#This Row],[LC Contract Value]]),IF(ISNUMBER(SnapshotTable[[#This Row],[LC Stop Loss Override]]), SnapshotTable[[#This Row],[LC Stop Loss Override]],SnapshotTable[[#This Row],[LC Stop Loss Calc Target]]),"")</f>
        <v/>
      </c>
      <c r="EF30" s="31" t="str">
        <f>IF(ISNUMBER(SnapshotTable[[#This Row],[LC Stop  To Use]]), (SnapshotTable[[#This Row],[LC Stop  To Use]] * SnapshotTable[[#This Row],[LC Qty]] * 100),"")</f>
        <v/>
      </c>
      <c r="EG30" s="9" t="str">
        <f>IF(ISNUMBER(SnapshotTable[[#This Row],[LC Total Value]]),SnapshotTable[[#This Row],[LC Stop Loss Amount]] - SnapshotTable[[#This Row],[LC Premium]],"")</f>
        <v/>
      </c>
      <c r="EH30" s="9">
        <f>IF(ISNUMBER(SnapshotTable[[#This Row],[LC Premium]]), SnapshotTable[[#This Row],[LC Qty]] * 100 * SnapshotTable[[#This Row],[LC Strike Price]], "")</f>
        <v>0</v>
      </c>
      <c r="EI30" s="240" t="str">
        <f>IF(AND(ISNUMBER(SnapshotTable[[#This Row],[LC Total Value]]),SnapshotTable[[#This Row],[LC Total Value]]&gt;0),SnapshotTable[[#This Row],[LC Stop Gain Loss]]  / SnapshotTable[[#This Row],[LC Premium]],"")</f>
        <v/>
      </c>
      <c r="EJ30" s="35">
        <f>IF(ISNUMBER(SnapshotTable[[#This Row],[Equity Shares]]),TRUNC(SnapshotTable[[#This Row],[Equity Shares]] / 100),0) + SnapshotTable[[#This Row],[LC Qty]]</f>
        <v>0</v>
      </c>
      <c r="EK30" s="147"/>
      <c r="EL30" s="138" t="str">
        <f>IF(SnapshotTable[[#This Row],[SC Exp Date]]&lt;&gt;"",TRUNC(SnapshotTable[[#This Row],[Last Price]]),"")</f>
        <v/>
      </c>
      <c r="EM30" s="148"/>
      <c r="EN30" s="147"/>
      <c r="EO30" s="147"/>
      <c r="EP30" s="138"/>
      <c r="EQ30" s="419" t="b">
        <f>AND(ISNUMBER(SnapshotTable[[#This Row],[SC Exp Date]]), ISNUMBER(SnapshotTable[[#This Row],[SC Strike Price]]), ISNUMBER(SnapshotTable[[#This Row],[SC Qty]]), ISNUMBER(SnapshotTable[[#This Row],[SC Book Date]]), ISNUMBER(SnapshotTable[[#This Row],[SC Book Price]]))</f>
        <v>0</v>
      </c>
      <c r="ER30" s="419" t="b">
        <f>AND(SnapshotTable[[#This Row],[SC Is Booked]], NOT(ISBLANK(SnapshotTable[[#This Row],[SC Fill Date]])))</f>
        <v>0</v>
      </c>
      <c r="ES30" s="370">
        <v>0.16</v>
      </c>
      <c r="ET30" s="34" t="str">
        <f>IF(AND(ISNUMBER(SnapshotTable[[#This Row],[SC Exp Date]]), ISNUMBER(SnapshotTable[[#This Row],[SC Book Date]])), SnapshotTable[[#This Row],[SC Exp Date]] - MAX(SnapshotTable[[#This Row],[SC Book Date]], SnapshotTable[[#This Row],[SC Fill Date]]) + 1, "")</f>
        <v/>
      </c>
      <c r="EU30" s="34" t="str">
        <f>IF(ISNUMBER(SnapshotTable[[#This Row],[SC Term]]), SnapshotTable[[#This Row],[SC Exp Date]]- MockToday, "")</f>
        <v/>
      </c>
      <c r="EV30" s="31">
        <f>IF(SnapshotTable[[#This Row],[SC Is Booked]], SnapshotTable[[#This Row],[SC Qty]] * SnapshotTable[[#This Row],[SC Book Price]] * 100, 0)</f>
        <v>0</v>
      </c>
      <c r="EW30" s="4" t="str">
        <f>IF(AND(ISNUMBER(SnapshotTable[[#This Row],[Last Price]]), ISNUMBER( SnapshotTable[[#This Row],[SC Book Price]])), SnapshotTable[[#This Row],[Last Price]] - SnapshotTable[[#This Row],[SC Book Price]],"")</f>
        <v/>
      </c>
      <c r="EX30" s="234" t="str">
        <f>IF(SnapshotTable[[#This Row],[SC Is Booked]],IF(SnapshotTable[[#This Row],[SC Intrinsic Value]] &gt; 0, SnapshotTable[[#This Row],[SC Strike Price]], SnapshotTable[[#This Row],[Last Price]]), "")</f>
        <v/>
      </c>
      <c r="EY30" s="4">
        <f>IF(SnapshotTable[[#This Row],[SC Is Booked]], (MinimumPremiumRequired * SnapshotTable[[#This Row],[SC Basis]] * SnapshotTable[[#This Row],[SC Term]]), 0)</f>
        <v>0</v>
      </c>
      <c r="EZ30" s="283"/>
      <c r="FA30" s="218"/>
      <c r="FB30" s="370"/>
      <c r="FC30" s="4">
        <f>IF(SnapshotTable[[#This Row],[SC Is Filled]], btc_max_buyback_amount(SnapshotTable[[#This Row],[SC Fill Date]],SnapshotTable[[#This Row],[SC Exp Date]], SnapshotTable[[#This Row],[SC Book Price]]),0)</f>
        <v>0</v>
      </c>
      <c r="FD30" s="5"/>
      <c r="FE30" s="144" t="str">
        <f>IF(SnapshotTable[[#This Row],[SC Is Filled]], btc_next_cutoff_date(SnapshotTable[[#This Row],[SC Fill Date]],SnapshotTable[[#This Row],[SC Exp Date]]),"")</f>
        <v/>
      </c>
      <c r="FF30" s="4" t="str" cm="1">
        <f t="array" ref="FF30">IF(SnapshotTable[[#This Row],[SC Is Filled]], btc_should_buy_back(SnapshotTable[[#This Row],[SC Fill Date]], SnapshotTable[[#This Row],[SC Exp Date]], SnapshotTable[[#This Row],[SC Book Price]], SnapshotTable[[#This Row],[SC Current Ask]], MockToday, SnapshotTable[[#This Row],[SC Buyback Override]]),"")</f>
        <v/>
      </c>
      <c r="FG30" s="4">
        <f>IF(SnapshotTable[[#This Row],[SC Is Filled]], MAX(0,SnapshotTable[[#This Row],[Last Price]]  - SnapshotTable[[#This Row],[SC Strike Price]]), 0)</f>
        <v>0</v>
      </c>
      <c r="FH30" s="382">
        <f>IF(SnapshotTable[[#This Row],[SC Is Filled]], IF(ISNUMBER(SnapshotTable[[#This Row],[SC Current Ask]]), SnapshotTable[[#This Row],[SC Current Ask]], SnapshotTable[[#This Row],[SC Book Price]]) - SnapshotTable[[#This Row],[SC Intrinsic Value]], 0)</f>
        <v>0</v>
      </c>
      <c r="FI30" s="143"/>
      <c r="FJ30" s="32" t="str">
        <f>IF(SnapshotTable[[#This Row],[SC Is Filled]],100 * SnapshotTable[[#This Row],[SC Qty]] * IF(ISNUMBER(SnapshotTable[[#This Row],[SC Buyback Override]]), SnapshotTable[[#This Row],[SC Buyback Override]], SnapshotTable[[#This Row],[SC Current Ask]]), "")</f>
        <v/>
      </c>
      <c r="FK30" s="250" t="str">
        <f>IF(SnapshotTable[[#This Row],[SC Time Val]]&gt;0, SnapshotTable[[#This Row],[SC Time Val]] / SnapshotTable[[#This Row],[Last Price]],"")</f>
        <v/>
      </c>
      <c r="FL30" s="302" t="str">
        <f>IF(SnapshotTable[[#This Row],[SC Is Booked]], ((SnapshotTable[[#This Row],[Last Price]] -SnapshotTable[[#This Row],[SC Strike Price]]) / SnapshotTable[[#This Row],[Last Price]]) * -1, "")</f>
        <v/>
      </c>
      <c r="FM30" s="157" t="str">
        <f>IF(SnapshotTable[[#This Row],[SC Is Booked]],  (SnapshotTable[[#This Row],[SC Qty]] * 100 * SnapshotTable[[#This Row],[SC Strike Price]]) - SnapshotTable[[#This Row],[SC Current Ask]], "")</f>
        <v/>
      </c>
      <c r="FN3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 s="31" t="str">
        <f>IF(AND(ISNUMBER(SnapshotTable[[#This Row],[SC Exercise Gross]]), ISNUMBER(SnapshotTable[[#This Row],[Equity Basis Per Share]] )), SnapshotTable[[#This Row],[SC Exercise Gross]] - SnapshotTable[[#This Row],[Equity Basis Total]] +  SnapshotTable[[#This Row],[SC Premium]], "")</f>
        <v/>
      </c>
      <c r="FP30" s="5" t="str">
        <f>IF(ISNUMBER(SnapshotTable[[#This Row],[SC Exercise Gross]]), (SnapshotTable[[#This Row],[SC Exercise Gross]]) / (SnapshotTable[[#This Row],[SC Qty]] * 100), "")</f>
        <v/>
      </c>
      <c r="FQ30" s="27" t="str">
        <f>IF(SnapshotTable[[#This Row],[SC Is Booked]],SnapshotTable[[#This Row],[SC Time Val]] /SnapshotTable[[#This Row],[SC Basis]], "")</f>
        <v/>
      </c>
      <c r="FR30" s="27" t="str" cm="1">
        <f t="array" ref="FR30">IF(AND(ISNUMBER(SnapshotTable[[#This Row],[SC Term]]),ISNUMBER(SnapshotTable[[#This Row],[SC Simple ROO]])), EllmanAnnualize(SnapshotTable[[#This Row],[SC DTE]], SnapshotTable[[#This Row],[SC Simple ROO]] ),"")</f>
        <v/>
      </c>
      <c r="FS30" s="4" t="e">
        <f>IF(SnapshotTable[[#This Row],[SC Strike Price]] &gt; SnapshotTable[[#This Row],[Last Price]], SnapshotTable[[#This Row],[SC Strike Price]] - SnapshotTable[[#This Row],[Last Price]],0)</f>
        <v>#VALUE!</v>
      </c>
      <c r="FT30" s="27" t="e">
        <f>IF(AND(ISNUMBER(SnapshotTable[[#This Row],[SC Upside Potential]]), SnapshotTable[[#This Row],[SC Upside Potential]] &gt; 0),(SnapshotTable[[#This Row],[SC Upside Potential]]/ SnapshotTable[[#This Row],[ACB]]),"")</f>
        <v>#VALUE!</v>
      </c>
      <c r="FU30" s="333" t="str">
        <f>IF(SnapshotTable[[#This Row],[SC Intrinsic Value]] &gt; 0,SnapshotTable[[#This Row],[SC Intrinsic Value]],"")</f>
        <v/>
      </c>
      <c r="FV30" s="27" t="str">
        <f>IF(AND( ISNUMBER( SnapshotTable[[#This Row],[ACB]]),ISNUMBER(SnapshotTable[[#This Row],[SC Downside Protect]])),SnapshotTable[[#This Row],[SC Downside Protect]] / SnapshotTable[[#This Row],[ACB]],"")</f>
        <v/>
      </c>
      <c r="FW30" s="236" t="str">
        <f>IF(AND(ISNUMBER(SnapshotTable[[#This Row],[SC Simple ROO]]),SnapshotTable[[#This Row],[SC Simple ROO]] &gt; 0), SnapshotTable[[#This Row],[SC Premium]] + (SnapshotTable[[#This Row],[SC Qty]] * SnapshotTable[[#This Row],[SC Upside Potential]]), "")</f>
        <v/>
      </c>
      <c r="FX30" s="302" t="str" cm="1">
        <f t="array" ref="FX30">IF(ISNUMBER(SnapshotTable[[#This Row],[SC Max Dollars]]), annualize(SnapshotTable[[#This Row],[SC Term]],(SnapshotTable[[#This Row],[SC Max Dollars]]/SnapshotTable[[#This Row],[SC Basis]])),"")</f>
        <v/>
      </c>
      <c r="FY30" s="236" t="str">
        <f>IF(AND(SnapshotTable[[#This Row],[SC Qty]]&gt;0,SnapshotTable[[#This Row],[SC Current Ask]]&gt;0), SnapshotTable[[#This Row],[SC Qty]] * SnapshotTable[[#This Row],[SC Current Ask]] * -100, "")</f>
        <v/>
      </c>
      <c r="FZ30" s="31" t="str">
        <f>IF(ISNUMBER((SnapshotTable[[#This Row],[SC Current Value]])), SnapshotTable[[#This Row],[SC Premium]] + SnapshotTable[[#This Row],[SC Current Value]], "")</f>
        <v/>
      </c>
      <c r="GA30" s="294" t="str">
        <f>IFERROR( IF(ISNUMBER((SnapshotTable[[#This Row],[SC Current Value]])), SnapshotTable[[#This Row],[SC Gain Loss]] / SnapshotTable[[#This Row],[SC Premium]], ""), "")</f>
        <v/>
      </c>
      <c r="GB30" s="42">
        <f>SnapshotTable[[#This Row],[Equity Shares]] * SaleSharesToConsiderPercentage</f>
        <v>0</v>
      </c>
      <c r="GC30" s="40">
        <f>SnapshotTable[[#This Row],[Long Term Target]] * SellingPriceToConsiderBasedOnTargetPercentage</f>
        <v>0</v>
      </c>
      <c r="GD30" s="40">
        <f>SnapshotTable[[#This Row],[Last Price]] * (1+ SellingPriceToConsiderBasedOnTargetPercentage)</f>
        <v>29.308499999999999</v>
      </c>
      <c r="GE30" s="41"/>
      <c r="GF30" s="40"/>
      <c r="GG30" s="31">
        <f>SnapshotTable[[#This Row],[Booked Sale Shares]] * SnapshotTable[[#This Row],[Booked Sale Price]]</f>
        <v>0</v>
      </c>
      <c r="GH30" s="31" t="str">
        <f>IF(SnapshotTable[[#This Row],[Equity Basis Total]] &gt; 0, SnapshotTable[[#This Row],[Equity Basis Per Share]] * SnapshotTable[[#This Row],[Booked Sale Shares]], "")</f>
        <v/>
      </c>
      <c r="GI30" s="31">
        <f>IF(SnapshotTable[[#This Row],[Sale Proceeds]]&gt;0, SnapshotTable[[#This Row],[Sale Proceeds]] - SnapshotTable[[#This Row],[Sale Basis]], 0)</f>
        <v>0</v>
      </c>
      <c r="GJ30" s="27" t="str">
        <f>IF(SnapshotTable[[#This Row],[Sale G/L]]&gt;0, SnapshotTable[[#This Row],[Sale G/L]] / SnapshotTable[[#This Row],[Sale Basis]], IF(ISNUMBER(SnapshotTable[[#This Row],[SC Exercise P&amp;L (TAX)]]), SnapshotTable[[#This Row],[SC Exercise P&amp;L (TAX)]] / SnapshotTable[[#This Row],[SC Basis]], ""))</f>
        <v/>
      </c>
      <c r="GK30" s="27"/>
      <c r="GL30" s="43" t="str">
        <f>IF(AND(SnapshotTable[[#This Row],[LP Exp Date]]&gt;0,SnapshotTable[[#This Row],[LP Strike Price]]&gt;0), [1]!ToOptionSymbol(SnapshotTable[[#This Row],[Symbol]], SnapshotTable[[#This Row],[LP Strike Price]],SnapshotTable[[#This Row],[LP Exp Date]],1), "")</f>
        <v/>
      </c>
      <c r="GM30" s="30" t="str">
        <f>IF(LEN(SnapshotTable[[#This Row],[LP Symbol]])&gt;0, 1, "")</f>
        <v/>
      </c>
      <c r="GN30" s="43" t="str">
        <f>IF(AND(SnapshotTable[[#This Row],[SP Exp Date]]&gt;0,SnapshotTable[[#This Row],[SP Strike Price]]&gt;0), [1]!ToOptionSymbol(SnapshotTable[[#This Row],[Symbol]], SnapshotTable[[#This Row],[SP Strike Price]],SnapshotTable[[#This Row],[SP Exp Date]],1), "")</f>
        <v/>
      </c>
      <c r="GO30" s="30" t="str">
        <f>IF(LEN(SnapshotTable[[#This Row],[SP Symbol]])&gt;0, 1, "")</f>
        <v/>
      </c>
      <c r="GP30" s="43" t="str">
        <f>IF(AND(SnapshotTable[[#This Row],[LC Exp Date]]&gt;0,SnapshotTable[[#This Row],[LC Strike Price]]&gt;0), [1]!ToOptionSymbol(SnapshotTable[[#This Row],[Symbol]], SnapshotTable[[#This Row],[LC Strike Price]],SnapshotTable[[#This Row],[LC Exp Date]],0), "")</f>
        <v/>
      </c>
      <c r="GQ30" s="30" t="str">
        <f>IF(LEN(SnapshotTable[[#This Row],[LC Symbol]])&gt;0, 1, "")</f>
        <v/>
      </c>
      <c r="GR30" s="43" t="str">
        <f>IF(AND(SnapshotTable[[#This Row],[SC Exp Date]]&gt;0,SnapshotTable[[#This Row],[SC Strike Price]]&gt;0), [1]!ToOptionSymbol(SnapshotTable[[#This Row],[Symbol]], SnapshotTable[[#This Row],[SC Strike Price]],SnapshotTable[[#This Row],[SC Exp Date]],0), "")</f>
        <v/>
      </c>
      <c r="GS30" s="30" t="str">
        <f>IF(LEN(SnapshotTable[[#This Row],[SC Symbol]])&gt;0, 1, "")</f>
        <v/>
      </c>
      <c r="GT30" s="29" t="str">
        <f>IF(COUNT(SnapshotTable[[#This Row],[LP Symbol Count]],SnapshotTable[[#This Row],[SP Symbol Count]],SnapshotTable[[#This Row],[LC Symbol Count]],SnapshotTable[[#This Row],[SC Symbol Count]])&gt;0, "Y", "")</f>
        <v/>
      </c>
      <c r="GU3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 s="231" t="e">
        <f>MAX(SnapshotTable[[#This Row],[Equity Basis Total]],SnapshotTable[[#This Row],[Equity Value]]) + (SnapshotTable[[#This Row],[SP Potential Spend]]- SnapshotTable[[#This Row],[SP Premium]] + SnapshotTable[[#This Row],[LP Premium]])+ (SnapshotTable[[#This Row],[LC Premium]] - SnapshotTable[[#This Row],[SC Premium]])</f>
        <v>#VALUE!</v>
      </c>
      <c r="GW30" s="139" t="e">
        <f>IF(AND(SnapshotTable[[#This Row],[Exposure]] &lt;&gt; 0),SnapshotTable[[#This Row],[Exposure]] / SnapshotTable[[#Totals],[Exposure]], "")</f>
        <v>#VALUE!</v>
      </c>
      <c r="HK30" s="1"/>
      <c r="HL30" s="1"/>
      <c r="HM30" s="1"/>
      <c r="HN30" s="1"/>
      <c r="HO30" s="1"/>
      <c r="HP30" s="1"/>
    </row>
    <row r="31" spans="2:224" ht="12.75" hidden="1" customHeight="1" x14ac:dyDescent="0.25">
      <c r="B31" s="12" t="s">
        <v>228</v>
      </c>
      <c r="C31" s="422">
        <v>366.05</v>
      </c>
      <c r="D31" s="208"/>
      <c r="E31" s="39">
        <f>SnapshotTable[[#This Row],[Last Price]]*(1 -CrashDiscount)</f>
        <v>311.14249999999998</v>
      </c>
      <c r="F31" s="26" t="s">
        <v>941</v>
      </c>
      <c r="G31" s="26" t="s">
        <v>49</v>
      </c>
      <c r="H31" s="149"/>
      <c r="I31" s="194">
        <v>44769.666666666664</v>
      </c>
      <c r="J31" s="195">
        <v>44769.666666666664</v>
      </c>
      <c r="K31" s="196"/>
      <c r="L31" s="326"/>
      <c r="M31" s="140"/>
      <c r="N31" s="140"/>
      <c r="O31" s="140"/>
      <c r="P31" s="22"/>
      <c r="Q31" s="25"/>
      <c r="R31" s="4" t="str">
        <f>IF(SnapshotTable[[#This Row],[Equity Basis Total]] &gt; 0, SnapshotTable[[#This Row],[Equity Basis Total]] / SnapshotTable[[#This Row],[Equity Shares]], "")</f>
        <v/>
      </c>
      <c r="S31" s="269">
        <f>SnapshotTable[[#This Row],[Last Price]] * SnapshotTable[[#This Row],[Equity Shares]]</f>
        <v>0</v>
      </c>
      <c r="T31" s="269">
        <f>SnapshotTable[[#This Row],[Equity Value]] - SnapshotTable[[#This Row],[Equity Basis Total]]</f>
        <v>0</v>
      </c>
      <c r="U31" s="270" t="str">
        <f>IF(SnapshotTable[[#This Row],[Equity Basis Total]] &gt; 0, SnapshotTable[[#This Row],[Equity G/L]] / SnapshotTable[[#This Row],[Equity Basis Total]], "")</f>
        <v/>
      </c>
      <c r="V31" s="268"/>
      <c r="W31" s="268"/>
      <c r="X31" s="4" t="str">
        <f>IF(AND(ISNUMBER(SnapshotTable[[#This Row],[Equity Basis Per Share]]),ISNUMBER(SnapshotTable[[#This Row],[Equity Target]])),SnapshotTable[[#This Row],[Equity Target]]-SnapshotTable[[#This Row],[Equity Basis Per Share]],"")</f>
        <v/>
      </c>
      <c r="Y31" s="4" t="str">
        <f>IF(AND(ISNUMBER(SnapshotTable[[#This Row],[Equity Basis Per Share]]),ISNUMBER(SnapshotTable[[#This Row],[Equity Stop Loss]])),SnapshotTable[[#This Row],[Equity Stop Loss]]-SnapshotTable[[#This Row],[Equity Basis Per Share]],"")</f>
        <v/>
      </c>
      <c r="Z31" s="275" t="str">
        <f>IFERROR( TEXT(SnapshotTable[[#This Row],[Equity Max Gain Per Share]] /ABS( SnapshotTable[[#This Row],[Equity Max Loss Per Share]]),"0.0 " ) &amp; " : 1", "")</f>
        <v/>
      </c>
      <c r="AA31" s="31" t="str">
        <f>IF(ISNUMBER(SnapshotTable[[#This Row],[Equity Max Gain Per Share]]),SnapshotTable[[#This Row],[Equity Max Gain Per Share]] * SnapshotTable[[#This Row],[Equity Shares]],"")</f>
        <v/>
      </c>
      <c r="AB31" s="31" t="str">
        <f>IF(ISNUMBER(SnapshotTable[[#This Row],[Equity Max Loss Per Share]]),SnapshotTable[[#This Row],[Equity Max Loss Per Share]] * SnapshotTable[[#This Row],[Equity Shares]],"")</f>
        <v/>
      </c>
      <c r="AC31" s="150">
        <v>4</v>
      </c>
      <c r="AD31" s="151">
        <v>42621</v>
      </c>
      <c r="AE31" s="31">
        <f>(SnapshotTable[[#This Row],[Annual Dividend Per Share]] / 4) * SnapshotTable[[#This Row],[Equity Shares]]</f>
        <v>0</v>
      </c>
      <c r="AF31" s="31">
        <f>SnapshotTable[[#This Row],[Quarterly Div $]] * 4</f>
        <v>0</v>
      </c>
      <c r="AG31" s="7">
        <f>IF(SnapshotTable[[#This Row],[Annual Dividend Per Share]]&gt;0, SnapshotTable[[#This Row],[Annual Dividend Per Share]]  / SnapshotTable[[#This Row],[Last Price]], 0)</f>
        <v>1.0927468925010245E-2</v>
      </c>
      <c r="AH31" s="151">
        <v>43783</v>
      </c>
      <c r="AI31" s="5">
        <v>220</v>
      </c>
      <c r="AJ31" s="138">
        <v>254.2</v>
      </c>
      <c r="AK31" s="152">
        <f>IF(ISNUMBER( SnapshotTable[[#This Row],[EBF Target]]),(SnapshotTable[[#This Row],[EBF Target]] - SnapshotTable[[#This Row],[Last Price]]) / SnapshotTable[[#This Row],[Last Price]], "")</f>
        <v>-0.39898920912443658</v>
      </c>
      <c r="AL31" s="152" t="str">
        <f>IF(AND(SnapshotTable[[#This Row],[Equity Basis Total]] &gt; 0,ISNUMBER( SnapshotTable[[#This Row],[Long Term Target]])), SnapshotTable[[#This Row],[From Basis $]] / SnapshotTable[[#This Row],[Equity Basis Total]], "")</f>
        <v/>
      </c>
      <c r="AM31" s="9">
        <f>IF( AND(SnapshotTable[[#This Row],[Equity Shares]] &gt;0,ISNUMBER( SnapshotTable[[#This Row],[Long Term Target]])),(SnapshotTable[[#This Row],[Equity Shares]] * SnapshotTable[[#This Row],[Long Term Target]]) - SnapshotTable[[#This Row],[Equity Basis Total]],0)</f>
        <v>0</v>
      </c>
      <c r="AN31" s="9">
        <f>IF( AND(SnapshotTable[[#This Row],[Equity Shares]] &gt;0,ISNUMBER( SnapshotTable[[#This Row],[Long Term Target]])),(SnapshotTable[[#This Row],[Equity Shares]]*SnapshotTable[[#This Row],[Long Term Target]]) - SnapshotTable[[#This Row],[Equity Value]],0)</f>
        <v>0</v>
      </c>
      <c r="AO31" s="152">
        <f>IF(AND(ISNUMBER( SnapshotTable[[#This Row],[Long Term Target]]), ISNUMBER(SnapshotTable[[#This Row],[Last Price]])),(SnapshotTable[[#This Row],[Long Term Target]] - SnapshotTable[[#This Row],[Last Price]]) / SnapshotTable[[#This Row],[Last Price]], "")</f>
        <v>-0.30555934981559901</v>
      </c>
      <c r="AP31" s="5">
        <v>8</v>
      </c>
      <c r="AQ31" s="38" t="s">
        <v>27</v>
      </c>
      <c r="AR31" s="5">
        <v>8</v>
      </c>
      <c r="AS31" s="38" t="s">
        <v>38</v>
      </c>
      <c r="AT31" s="146" t="s">
        <v>542</v>
      </c>
      <c r="AU31" s="187" t="str">
        <f>IF(OR(SnapshotTable[[#This Row],[LP No Fill]]="Y",SnapshotTable[[#This Row],[SP Is Filled]],SnapshotTable[[#This Row],[LC Not Filled]]="Y",SnapshotTable[[#This Row],[SC Is Filled]]),"Y","")</f>
        <v/>
      </c>
      <c r="AV31" s="219"/>
      <c r="AW31" s="225"/>
      <c r="AX31" s="220"/>
      <c r="AY31" s="219" t="str">
        <f>IF(SnapshotTable[[#This Row],[Implied Move]]&gt;0, SnapshotTable[[#This Row],[Last Price]]-SnapshotTable[[#This Row],[Implied Move]],"")</f>
        <v/>
      </c>
      <c r="AZ31" s="219" t="str">
        <f>IF(SnapshotTable[[#This Row],[Implied Move]]&gt;0, SnapshotTable[[#This Row],[Last Price]] + SnapshotTable[[#This Row],[Implied Move]],"")</f>
        <v/>
      </c>
      <c r="BA31" s="331"/>
      <c r="BB31" s="347"/>
      <c r="BC3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 s="351"/>
      <c r="BE31" s="5"/>
      <c r="BF31" s="14"/>
      <c r="BG31" s="13"/>
      <c r="BH31" s="13"/>
      <c r="BI31" s="5"/>
      <c r="BJ31" s="136">
        <f>IF(SnapshotTable[[#This Row],[LP Qty]] &gt; 0, SnapshotTable[[#This Row],[LP Qty]] * SnapshotTable[[#This Row],[LP Book Price]] * 100,0)</f>
        <v>0</v>
      </c>
      <c r="BK31" s="136">
        <f>IF(SnapshotTable[[#This Row],[LP Premium]] &gt; 0, SnapshotTable[[#This Row],[LP Qty]] * SnapshotTable[[#This Row],[LP Strike Price]] * 100,0)</f>
        <v>0</v>
      </c>
      <c r="BL31" s="154"/>
      <c r="BM31" s="385" t="str">
        <f>IF(SnapshotTable[[#This Row],[LP Premium]] &gt; 0,SnapshotTable[[#This Row],[LP Exp Date]]-MAX(SnapshotTable[[#This Row],[LP Book Date]], SnapshotTable[[#This Row],[LP Fill Date]]),"")</f>
        <v/>
      </c>
      <c r="BN31" s="385" t="str">
        <f>IF(ISNUMBER( SnapshotTable[[#This Row],[LP Term]]), SnapshotTable[[#This Row],[LP Exp Date]] - MockToday,"")</f>
        <v/>
      </c>
      <c r="BO31" s="163" t="str">
        <f>IF(AND(SnapshotTable[[#This Row],[LP Exp Date]]&gt;0, SnapshotTable[[#This Row],[LP Strike Price]]&gt;0,SnapshotTable[[#This Row],[LP Qty]]&gt;0,SnapshotTable[[#This Row],[LP Book Date]]&gt;0,SnapshotTable[[#This Row],[LP Book Price]]&gt;0,SnapshotTable[[#This Row],[LP Fill Date]]=0),"Y","")</f>
        <v/>
      </c>
      <c r="BP31" s="31" t="str">
        <f>IF(AND(SnapshotTable[[#This Row],[LP No Fill]]&lt;&gt;"Y",SnapshotTable[[#This Row],[LP Contract Value]]&gt;0, SnapshotTable[[#This Row],[LP Qty]]&gt;0), SnapshotTable[[#This Row],[LP Contract Value]]*SnapshotTable[[#This Row],[LP Qty]]*100,"")</f>
        <v/>
      </c>
      <c r="BQ31" s="13"/>
      <c r="BR31" s="5" t="str">
        <f>IF(SnapshotTable[[#This Row],[SP Exp Date]]&lt;&gt;"",TRUNC(SnapshotTable[[#This Row],[Last Price]]),"")</f>
        <v/>
      </c>
      <c r="BS31" s="36"/>
      <c r="BT31" s="147"/>
      <c r="BU31" s="13"/>
      <c r="BV31" s="5"/>
      <c r="BW31" s="419" t="b">
        <f>AND(ISNUMBER(SnapshotTable[[#This Row],[SP Exp Date]]), ISNUMBER(SnapshotTable[[#This Row],[SP Strike Price]]), ISNUMBER(SnapshotTable[[#This Row],[SP Qty]]), ISNUMBER(SnapshotTable[[#This Row],[SP Book Date]]), ISNUMBER(SnapshotTable[[#This Row],[SP Book Price]]))</f>
        <v>0</v>
      </c>
      <c r="BX31" s="419" t="b">
        <f>AND(SnapshotTable[[#This Row],[SP Is Booked]], NOT(ISBLANK(SnapshotTable[[#This Row],[SP Fill Date]])))</f>
        <v>0</v>
      </c>
      <c r="BY31" s="33">
        <f>IF(SnapshotTable[[#This Row],[SP Is Booked]], SnapshotTable[[#This Row],[SP Qty]] * SnapshotTable[[#This Row],[SP Book Price]] * 100, 0)</f>
        <v>0</v>
      </c>
      <c r="BZ31" s="369"/>
      <c r="CA31" s="368">
        <f>SnapshotTable[[#This Row],[LP Qty]]</f>
        <v>0</v>
      </c>
      <c r="CB31" s="4" t="str">
        <f>IF(SnapshotTable[[#This Row],[SP Is Booked]], SnapshotTable[[#This Row],[SP Strike Price]] - SnapshotTable[[#This Row],[SP Book Price]], "")</f>
        <v/>
      </c>
      <c r="CC31" s="19" t="str">
        <f>IF(SnapshotTable[[#This Row],[SP Is Booked]],SnapshotTable[[#This Row],[SP Exp Date]]-MAX(SnapshotTable[[#This Row],[SP Book Date]], SnapshotTable[[#This Row],[SP Fill Date]]),"")</f>
        <v/>
      </c>
      <c r="CD31" s="7" t="str">
        <f>IF(SnapshotTable[[#This Row],[SP Is Booked]], SnapshotTable[[#This Row],[SP Book Price]]/SnapshotTable[[#This Row],[SP Strike Price]], "")</f>
        <v/>
      </c>
      <c r="CE31" s="7" t="str">
        <f>IF(ISNUMBER(SnapshotTable[[#This Row],[SP ROO Term]]),SnapshotTable[[#This Row],[SP ROO Term]]*(365/SnapshotTable[[#This Row],[SP Term]]),"")</f>
        <v/>
      </c>
      <c r="CF31" s="236">
        <f>SnapshotTable[[#This Row],[LP Strike Price]] * SnapshotTable[[#This Row],[LP Qty]] * 100</f>
        <v>0</v>
      </c>
      <c r="CG31" s="31" t="e">
        <f>IF(ISNUMBER(SnapshotTable[[#This Row],[SP Premium]]), (SnapshotTable[[#This Row],[SP Qty]] * SnapshotTable[[#This Row],[SP Strike Price]]* 100) - SnapshotTable[[#This Row],[LP Protection]], 0)</f>
        <v>#VALUE!</v>
      </c>
      <c r="CH31" s="7" t="str">
        <f>IF(ISNUMBER(SnapshotTable[[#This Row],[SP Break Even]]),-1 * (SnapshotTable[[#This Row],[SP Break Even]] - SnapshotTable[[#This Row],[Last Price]]) / SnapshotTable[[#This Row],[Last Price]], "")</f>
        <v/>
      </c>
      <c r="CI31" s="31">
        <f>IF(AND(ISNUMBER((SnapshotTable[[#This Row],[SP Potential Spend]])), SnapshotTable[[#This Row],[SP Strike Price]] &gt; SnapshotTable[[#This Row],[Last Price]], SnapshotTable[[#This Row],[SP Is Filled]]), SnapshotTable[[#This Row],[SP Potential Spend]] -  SnapshotTable[[#This Row],[LP Max Value]], 0)</f>
        <v>0</v>
      </c>
      <c r="CJ31" s="244"/>
      <c r="CK31" s="31" t="str">
        <f>IF(ISNUMBER(SnapshotTable[[#This Row],[SP Potential Spend]]),IF(ISNUMBER(SnapshotTable[[#This Row],[SP POW]]), SnapshotTable[[#This Row],[SP POW]] * SnapshotTable[[#This Row],[SP Potential Spend]], SnapshotTable[[#This Row],[SP Potential Spend]]), "")</f>
        <v/>
      </c>
      <c r="CL31" s="164" t="e">
        <f>IF(NOT(SnapshotTable[[#This Row],[SP Is Filled]]),(SnapshotTable[[#This Row],[SP Qty]] * SnapshotTable[[#This Row],[SP Strike Price]] * 100) - SnapshotTable[[#This Row],[LP Max Value]],"")</f>
        <v>#VALUE!</v>
      </c>
      <c r="CM31" s="31" t="str">
        <f>IF(SnapshotTable[[#This Row],[SP Actual Spend]]&lt;&gt;0, ((SnapshotTable[[#This Row],[SP Strike Price]]-SnapshotTable[[#This Row],[Last Price]]) *(SnapshotTable[[#This Row],[SP Qty]]*100) - SnapshotTable[[#This Row],[SP Premium]]) * - 1, "")</f>
        <v/>
      </c>
      <c r="CN31" s="78"/>
      <c r="CO31" s="369"/>
      <c r="CP31" s="4" t="str">
        <f>IF(SnapshotTable[[#This Row],[SP Is Filled]], btc_max_buyback_amount(SnapshotTable[[#This Row],[SP Fill Date]],SnapshotTable[[#This Row],[SP Exp Date]], SnapshotTable[[#This Row],[SP Book Price]]),"")</f>
        <v/>
      </c>
      <c r="CQ31" s="78"/>
      <c r="CR3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 s="155" t="str">
        <f>IF(SnapshotTable[[#This Row],[SP Is Filled]], btc_next_cutoff_date(SnapshotTable[[#This Row],[SP Fill Date]],SnapshotTable[[#This Row],[SP Exp Date]]),"")</f>
        <v/>
      </c>
      <c r="CT31" s="235" t="str" cm="1">
        <f t="array" ref="CT31">IF(SnapshotTable[[#This Row],[SP Is Filled]], btc_should_buy_back(SnapshotTable[[#This Row],[SP Fill Date]], SnapshotTable[[#This Row],[SP Exp Date]], SnapshotTable[[#This Row],[SP Book Price]], SnapshotTable[[#This Row],[SP Current Ask]], MockToday, SnapshotTable[[#This Row],[SP Buyback Override]]),"")</f>
        <v/>
      </c>
      <c r="CU31" s="143"/>
      <c r="CV31" s="235"/>
      <c r="CW31" s="378" t="str">
        <f>IF(ISNUMBER( SnapshotTable[[#This Row],[SP Term]]), SnapshotTable[[#This Row],[SP Exp Date]] - MockToday,"")</f>
        <v/>
      </c>
      <c r="CX31" s="31" t="str">
        <f>IF(SnapshotTable[[#This Row],[SP Is Filled]],SnapshotTable[[#This Row],[SP Buyback Price to Use]] * 100 * SnapshotTable[[#This Row],[SP Qty]], "")</f>
        <v/>
      </c>
      <c r="CY31" s="4" t="str">
        <f>IF(ISNUMBER(SnapshotTable[[#This Row],[SP Strike Price]]), SnapshotTable[[#This Row],[SP Strike Price]] * (1 - SP_MaxLoss_StrikePct), "")</f>
        <v/>
      </c>
      <c r="CZ31" s="31" t="str">
        <f>IF(ISNUMBER(SnapshotTable[[#This Row],[SP Strike  Stop Per Share]]),SnapshotTable[[#This Row],[SP Premium]] - ((SnapshotTable[[#This Row],[SP Strike Price]]-SnapshotTable[[#This Row],[SP Strike  Stop Per Share]]) *(SnapshotTable[[#This Row],[SP Qty]] * 100)),"")</f>
        <v/>
      </c>
      <c r="DA31" s="4" t="str">
        <f>IF(AND(ISNUMBER(SnapshotTable[[#This Row],[SP Premium]]),SnapshotTable[[#This Row],[SP Premium]]&gt;0), SnapshotTable[[#This Row],[SP Book Price]] * (1 + SP_MaxLoss_OptionPct), "")</f>
        <v/>
      </c>
      <c r="DB31" s="31" t="str">
        <f>IF(ISNUMBER(SnapshotTable[[#This Row],[SP Option  Stop Contract]]),(SnapshotTable[[#This Row],[SP Option  Stop Contract]] *(SnapshotTable[[#This Row],[SP Qty]] * 100) - SnapshotTable[[#This Row],[SP Premium]]),"")</f>
        <v/>
      </c>
      <c r="DC31" s="4"/>
      <c r="DD31" s="4"/>
      <c r="DE31" s="4" t="str">
        <f>IF(AND(SnapshotTable[[#This Row],[SP Qty]]&gt;0, SnapshotTable[[#This Row],[SP Stop To Use]]&gt;0),SnapshotTable[[#This Row],[SP Premium]] - ( SnapshotTable[[#This Row],[SP Qty]] * SnapshotTable[[#This Row],[SP Stop To Use]] * 100), "")</f>
        <v/>
      </c>
      <c r="DF31" s="31" t="str">
        <f>IF(AND(SnapshotTable[[#This Row],[SP Qty]]&gt;0,SnapshotTable[[#This Row],[SP Current Ask]]&gt;0), SnapshotTable[[#This Row],[SP Qty]] * SnapshotTable[[#This Row],[SP Current Ask]] * -100, "")</f>
        <v/>
      </c>
      <c r="DG31" s="31" t="str">
        <f>IF(ISNUMBER((SnapshotTable[[#This Row],[SP Total Value]])), SnapshotTable[[#This Row],[SP Premium]] + SnapshotTable[[#This Row],[SP Total Value]], "")</f>
        <v/>
      </c>
      <c r="DH31" s="294" t="str">
        <f>IF(ISNUMBER((SnapshotTable[[#This Row],[SP Total Value]])), SnapshotTable[[#This Row],[SP Gain Loss]] / SnapshotTable[[#This Row],[SP Premium]], "")</f>
        <v/>
      </c>
      <c r="DI31" s="406"/>
      <c r="DJ31" s="138"/>
      <c r="DK31" s="148"/>
      <c r="DL31" s="13"/>
      <c r="DM31" s="13"/>
      <c r="DO31" s="31">
        <f>IF(SnapshotTable[[#This Row],[LC Symbol Count]]=1, SnapshotTable[[#This Row],[LC Qty]] * SnapshotTable[[#This Row],[LC Book Price]] * 100, 0)</f>
        <v>0</v>
      </c>
      <c r="DP31" s="163" t="str">
        <f>IF(AND(SnapshotTable[[#This Row],[LC Exp Date]]&gt;0, SnapshotTable[[#This Row],[LC Strike Price]]&gt;0,SnapshotTable[[#This Row],[LC Qty]]&gt;0,SnapshotTable[[#This Row],[LC Book Date]]&gt;0,SnapshotTable[[#This Row],[LC Book Price]]&gt;0,SnapshotTable[[#This Row],[LC Fill Date]]=0),"Y","")</f>
        <v/>
      </c>
      <c r="DQ31" s="386" t="str">
        <f>IF(SnapshotTable[[#This Row],[LC Premium]] &gt; 0,SnapshotTable[[#This Row],[LC Exp Date]]-MAX(SnapshotTable[[#This Row],[LC Book Date]], SnapshotTable[[#This Row],[LC Fill Date]]),"")</f>
        <v/>
      </c>
      <c r="DR31" s="386" t="str">
        <f>IF(ISNUMBER(SnapshotTable[[#This Row],[LC Term]]), SnapshotTable[[#This Row],[LC Exp Date]] - MockToday, "")</f>
        <v/>
      </c>
      <c r="DS31" s="234" t="str">
        <f>IF(SnapshotTable[[#This Row],[LC Premium]]&gt;0,SnapshotTable[[#This Row],[LC Strike Price]] + SnapshotTable[[#This Row],[LC Book Price]],"")</f>
        <v/>
      </c>
      <c r="DU31" s="9" t="str">
        <f>IF(AND(SnapshotTable[[#This Row],[LC Symbol Count]]&gt;0, SnapshotTable[[#This Row],[LC Contract Value]]&gt;0), SnapshotTable[[#This Row],[LC Contract Value]] * SnapshotTable[[#This Row],[LC Qty]] * 100, "")</f>
        <v/>
      </c>
      <c r="DV31" s="9" t="str">
        <f>IF(AND(ISNUMBER(SnapshotTable[[#This Row],[LC Total Value]]), SnapshotTable[[#This Row],[LC Not Filled]]&lt;&gt;"Y"), SnapshotTable[[#This Row],[LC Total Value]]-SnapshotTable[[#This Row],[LC Premium]],"")</f>
        <v/>
      </c>
      <c r="DW31" s="240" t="str">
        <f>IF(ISNUMBER(SnapshotTable[[#This Row],[LC Actual Gain Loss]]), SnapshotTable[[#This Row],[LC Actual Gain Loss]] / SnapshotTable[[#This Row],[LC Premium]],"")</f>
        <v/>
      </c>
      <c r="DX31" s="284" t="str">
        <f>IF(ISNUMBER(SnapshotTable[[#This Row],[LC Book Price]]),SnapshotTable[[#This Row],[LC Book Price]] * 1.5,"")</f>
        <v/>
      </c>
      <c r="DY31" s="265" t="str">
        <f>IF(SnapshotTable[[#This Row],[LC Premium]]&gt;0, SnapshotTable[[#This Row],[LC Next Target]] * SnapshotTable[[#This Row],[LC Qty]] * 100,"")</f>
        <v/>
      </c>
      <c r="DZ31" s="265" t="str">
        <f>IF(ISNUMBER(SnapshotTable[[#This Row],[LC Target Gross]]), SnapshotTable[[#This Row],[LC Target Gross]] - SnapshotTable[[#This Row],[LC Premium]], "")</f>
        <v/>
      </c>
      <c r="EA31" s="305" t="str">
        <f>IF(ISNUMBER(SnapshotTable[[#This Row],[LC Target Gain Loss]]), SnapshotTable[[#This Row],[LC Target Gain Loss]]/SnapshotTable[[#This Row],[LC Premium]], "")</f>
        <v/>
      </c>
      <c r="EB31" s="262"/>
      <c r="EC31" s="283" t="str">
        <f>IF(SnapshotTable[[#This Row],[LC Premium]]&gt;0, SnapshotTable[[#This Row],[LC Book Price]] * (1 - LC_StopLoss_Pct),"")</f>
        <v/>
      </c>
      <c r="ED31" s="284"/>
      <c r="EE31" s="283" t="str">
        <f>IF(ISNUMBER(SnapshotTable[[#This Row],[LC Contract Value]]),IF(ISNUMBER(SnapshotTable[[#This Row],[LC Stop Loss Override]]), SnapshotTable[[#This Row],[LC Stop Loss Override]],SnapshotTable[[#This Row],[LC Stop Loss Calc Target]]),"")</f>
        <v/>
      </c>
      <c r="EF31" s="31" t="str">
        <f>IF(ISNUMBER(SnapshotTable[[#This Row],[LC Stop  To Use]]), (SnapshotTable[[#This Row],[LC Stop  To Use]] * SnapshotTable[[#This Row],[LC Qty]] * 100),"")</f>
        <v/>
      </c>
      <c r="EG31" s="9" t="str">
        <f>IF(ISNUMBER(SnapshotTable[[#This Row],[LC Total Value]]),SnapshotTable[[#This Row],[LC Stop Loss Amount]] - SnapshotTable[[#This Row],[LC Premium]],"")</f>
        <v/>
      </c>
      <c r="EH31" s="9">
        <f>IF(ISNUMBER(SnapshotTable[[#This Row],[LC Premium]]), SnapshotTable[[#This Row],[LC Qty]] * 100 * SnapshotTable[[#This Row],[LC Strike Price]], "")</f>
        <v>0</v>
      </c>
      <c r="EI31" s="240" t="str">
        <f>IF(AND(ISNUMBER(SnapshotTable[[#This Row],[LC Total Value]]),SnapshotTable[[#This Row],[LC Total Value]]&gt;0),SnapshotTable[[#This Row],[LC Stop Gain Loss]]  / SnapshotTable[[#This Row],[LC Premium]],"")</f>
        <v/>
      </c>
      <c r="EJ31" s="35">
        <f>IF(ISNUMBER(SnapshotTable[[#This Row],[Equity Shares]]),TRUNC(SnapshotTable[[#This Row],[Equity Shares]] / 100),0) + SnapshotTable[[#This Row],[LC Qty]]</f>
        <v>0</v>
      </c>
      <c r="EK31" s="147"/>
      <c r="EL31" s="138" t="str">
        <f>IF(SnapshotTable[[#This Row],[SC Exp Date]]&lt;&gt;"",TRUNC(SnapshotTable[[#This Row],[Last Price]]),"")</f>
        <v/>
      </c>
      <c r="EM31" s="148"/>
      <c r="EN31" s="147"/>
      <c r="EO31" s="147"/>
      <c r="EP31" s="138"/>
      <c r="EQ31" s="419" t="b">
        <f>AND(ISNUMBER(SnapshotTable[[#This Row],[SC Exp Date]]), ISNUMBER(SnapshotTable[[#This Row],[SC Strike Price]]), ISNUMBER(SnapshotTable[[#This Row],[SC Qty]]), ISNUMBER(SnapshotTable[[#This Row],[SC Book Date]]), ISNUMBER(SnapshotTable[[#This Row],[SC Book Price]]))</f>
        <v>0</v>
      </c>
      <c r="ER31" s="419" t="b">
        <f>AND(SnapshotTable[[#This Row],[SC Is Booked]], NOT(ISBLANK(SnapshotTable[[#This Row],[SC Fill Date]])))</f>
        <v>0</v>
      </c>
      <c r="ES31" s="370"/>
      <c r="ET31" s="34" t="str">
        <f>IF(AND(ISNUMBER(SnapshotTable[[#This Row],[SC Exp Date]]), ISNUMBER(SnapshotTable[[#This Row],[SC Book Date]])), SnapshotTable[[#This Row],[SC Exp Date]] - MAX(SnapshotTable[[#This Row],[SC Book Date]], SnapshotTable[[#This Row],[SC Fill Date]]) + 1, "")</f>
        <v/>
      </c>
      <c r="EU31" s="34" t="str">
        <f>IF(ISNUMBER(SnapshotTable[[#This Row],[SC Term]]), SnapshotTable[[#This Row],[SC Exp Date]]- MockToday, "")</f>
        <v/>
      </c>
      <c r="EV31" s="31">
        <f>IF(SnapshotTable[[#This Row],[SC Is Booked]], SnapshotTable[[#This Row],[SC Qty]] * SnapshotTable[[#This Row],[SC Book Price]] * 100, 0)</f>
        <v>0</v>
      </c>
      <c r="EW31" s="4" t="str">
        <f>IF(AND(ISNUMBER(SnapshotTable[[#This Row],[Last Price]]), ISNUMBER( SnapshotTable[[#This Row],[SC Book Price]])), SnapshotTable[[#This Row],[Last Price]] - SnapshotTable[[#This Row],[SC Book Price]],"")</f>
        <v/>
      </c>
      <c r="EX31" s="234" t="str">
        <f>IF(SnapshotTable[[#This Row],[SC Is Booked]],IF(SnapshotTable[[#This Row],[SC Intrinsic Value]] &gt; 0, SnapshotTable[[#This Row],[SC Strike Price]], SnapshotTable[[#This Row],[Last Price]]), "")</f>
        <v/>
      </c>
      <c r="EY31" s="4">
        <f>IF(SnapshotTable[[#This Row],[SC Is Booked]], (MinimumPremiumRequired * SnapshotTable[[#This Row],[SC Basis]] * SnapshotTable[[#This Row],[SC Term]]), 0)</f>
        <v>0</v>
      </c>
      <c r="EZ31" s="283"/>
      <c r="FA31" s="218"/>
      <c r="FB31" s="370"/>
      <c r="FC31" s="4">
        <f>IF(SnapshotTable[[#This Row],[SC Is Filled]], btc_max_buyback_amount(SnapshotTable[[#This Row],[SC Fill Date]],SnapshotTable[[#This Row],[SC Exp Date]], SnapshotTable[[#This Row],[SC Book Price]]),0)</f>
        <v>0</v>
      </c>
      <c r="FD31" s="5"/>
      <c r="FE31" s="144" t="str">
        <f>IF(SnapshotTable[[#This Row],[SC Is Filled]], btc_next_cutoff_date(SnapshotTable[[#This Row],[SC Fill Date]],SnapshotTable[[#This Row],[SC Exp Date]]),"")</f>
        <v/>
      </c>
      <c r="FF31" s="4" t="str" cm="1">
        <f t="array" ref="FF31">IF(SnapshotTable[[#This Row],[SC Is Filled]], btc_should_buy_back(SnapshotTable[[#This Row],[SC Fill Date]], SnapshotTable[[#This Row],[SC Exp Date]], SnapshotTable[[#This Row],[SC Book Price]], SnapshotTable[[#This Row],[SC Current Ask]], MockToday, SnapshotTable[[#This Row],[SC Buyback Override]]),"")</f>
        <v/>
      </c>
      <c r="FG31" s="4">
        <f>IF(SnapshotTable[[#This Row],[SC Is Filled]], MAX(0,SnapshotTable[[#This Row],[Last Price]]  - SnapshotTable[[#This Row],[SC Strike Price]]), 0)</f>
        <v>0</v>
      </c>
      <c r="FH31" s="382">
        <f>IF(SnapshotTable[[#This Row],[SC Is Filled]], IF(ISNUMBER(SnapshotTable[[#This Row],[SC Current Ask]]), SnapshotTable[[#This Row],[SC Current Ask]], SnapshotTable[[#This Row],[SC Book Price]]) - SnapshotTable[[#This Row],[SC Intrinsic Value]], 0)</f>
        <v>0</v>
      </c>
      <c r="FI31" s="143">
        <v>45786</v>
      </c>
      <c r="FJ31" s="32" t="str">
        <f>IF(SnapshotTable[[#This Row],[SC Is Filled]],100 * SnapshotTable[[#This Row],[SC Qty]] * IF(ISNUMBER(SnapshotTable[[#This Row],[SC Buyback Override]]), SnapshotTable[[#This Row],[SC Buyback Override]], SnapshotTable[[#This Row],[SC Current Ask]]), "")</f>
        <v/>
      </c>
      <c r="FK31" s="250" t="str">
        <f>IF(SnapshotTable[[#This Row],[SC Time Val]]&gt;0, SnapshotTable[[#This Row],[SC Time Val]] / SnapshotTable[[#This Row],[Last Price]],"")</f>
        <v/>
      </c>
      <c r="FL31" s="302" t="str">
        <f>IF(SnapshotTable[[#This Row],[SC Is Booked]], ((SnapshotTable[[#This Row],[Last Price]] -SnapshotTable[[#This Row],[SC Strike Price]]) / SnapshotTable[[#This Row],[Last Price]]) * -1, "")</f>
        <v/>
      </c>
      <c r="FM31" s="157" t="str">
        <f>IF(SnapshotTable[[#This Row],[SC Is Booked]],  (SnapshotTable[[#This Row],[SC Qty]] * 100 * SnapshotTable[[#This Row],[SC Strike Price]]) - SnapshotTable[[#This Row],[SC Current Ask]], "")</f>
        <v/>
      </c>
      <c r="FN3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 s="31" t="str">
        <f>IF(AND(ISNUMBER(SnapshotTable[[#This Row],[SC Exercise Gross]]), ISNUMBER(SnapshotTable[[#This Row],[Equity Basis Per Share]] )), SnapshotTable[[#This Row],[SC Exercise Gross]] - SnapshotTable[[#This Row],[Equity Basis Total]] +  SnapshotTable[[#This Row],[SC Premium]], "")</f>
        <v/>
      </c>
      <c r="FP31" s="5" t="str">
        <f>IF(ISNUMBER(SnapshotTable[[#This Row],[SC Exercise Gross]]), (SnapshotTable[[#This Row],[SC Exercise Gross]]) / (SnapshotTable[[#This Row],[SC Qty]] * 100), "")</f>
        <v/>
      </c>
      <c r="FQ31" s="27" t="str">
        <f>IF(SnapshotTable[[#This Row],[SC Is Booked]],SnapshotTable[[#This Row],[SC Time Val]] /SnapshotTable[[#This Row],[SC Basis]], "")</f>
        <v/>
      </c>
      <c r="FR31" s="27" t="str" cm="1">
        <f t="array" ref="FR31">IF(AND(ISNUMBER(SnapshotTable[[#This Row],[SC Term]]),ISNUMBER(SnapshotTable[[#This Row],[SC Simple ROO]])), EllmanAnnualize(SnapshotTable[[#This Row],[SC DTE]], SnapshotTable[[#This Row],[SC Simple ROO]] ),"")</f>
        <v/>
      </c>
      <c r="FS31" s="4" t="e">
        <f>IF(SnapshotTable[[#This Row],[SC Strike Price]] &gt; SnapshotTable[[#This Row],[Last Price]], SnapshotTable[[#This Row],[SC Strike Price]] - SnapshotTable[[#This Row],[Last Price]],0)</f>
        <v>#VALUE!</v>
      </c>
      <c r="FT31" s="27" t="e">
        <f>IF(AND(ISNUMBER(SnapshotTable[[#This Row],[SC Upside Potential]]), SnapshotTable[[#This Row],[SC Upside Potential]] &gt; 0),(SnapshotTable[[#This Row],[SC Upside Potential]]/ SnapshotTable[[#This Row],[ACB]]),"")</f>
        <v>#VALUE!</v>
      </c>
      <c r="FU31" s="333" t="str">
        <f>IF(SnapshotTable[[#This Row],[SC Intrinsic Value]] &gt; 0,SnapshotTable[[#This Row],[SC Intrinsic Value]],"")</f>
        <v/>
      </c>
      <c r="FV31" s="27" t="str">
        <f>IF(AND( ISNUMBER( SnapshotTable[[#This Row],[ACB]]),ISNUMBER(SnapshotTable[[#This Row],[SC Downside Protect]])),SnapshotTable[[#This Row],[SC Downside Protect]] / SnapshotTable[[#This Row],[ACB]],"")</f>
        <v/>
      </c>
      <c r="FW31" s="236" t="str">
        <f>IF(AND(ISNUMBER(SnapshotTable[[#This Row],[SC Simple ROO]]),SnapshotTable[[#This Row],[SC Simple ROO]] &gt; 0), SnapshotTable[[#This Row],[SC Premium]] + (SnapshotTable[[#This Row],[SC Qty]] * SnapshotTable[[#This Row],[SC Upside Potential]]), "")</f>
        <v/>
      </c>
      <c r="FX31" s="302" t="str" cm="1">
        <f t="array" ref="FX31">IF(ISNUMBER(SnapshotTable[[#This Row],[SC Max Dollars]]), annualize(SnapshotTable[[#This Row],[SC Term]],(SnapshotTable[[#This Row],[SC Max Dollars]]/SnapshotTable[[#This Row],[SC Basis]])),"")</f>
        <v/>
      </c>
      <c r="FY31" s="236" t="str">
        <f>IF(AND(SnapshotTable[[#This Row],[SC Qty]]&gt;0,SnapshotTable[[#This Row],[SC Current Ask]]&gt;0), SnapshotTable[[#This Row],[SC Qty]] * SnapshotTable[[#This Row],[SC Current Ask]] * -100, "")</f>
        <v/>
      </c>
      <c r="FZ31" s="31" t="str">
        <f>IF(ISNUMBER((SnapshotTable[[#This Row],[SC Current Value]])), SnapshotTable[[#This Row],[SC Premium]] + SnapshotTable[[#This Row],[SC Current Value]], "")</f>
        <v/>
      </c>
      <c r="GA31" s="294" t="str">
        <f>IFERROR( IF(ISNUMBER((SnapshotTable[[#This Row],[SC Current Value]])), SnapshotTable[[#This Row],[SC Gain Loss]] / SnapshotTable[[#This Row],[SC Premium]], ""), "")</f>
        <v/>
      </c>
      <c r="GB31" s="42">
        <f>SnapshotTable[[#This Row],[Equity Shares]] * SaleSharesToConsiderPercentage</f>
        <v>0</v>
      </c>
      <c r="GC31" s="40">
        <f>SnapshotTable[[#This Row],[Long Term Target]] * SellingPriceToConsiderBasedOnTargetPercentage</f>
        <v>241.48999999999998</v>
      </c>
      <c r="GD31" s="40">
        <f>SnapshotTable[[#This Row],[Last Price]] * (1+ SellingPriceToConsiderBasedOnTargetPercentage)</f>
        <v>713.79750000000001</v>
      </c>
      <c r="GE31" s="41"/>
      <c r="GF31" s="40"/>
      <c r="GG31" s="31">
        <f>SnapshotTable[[#This Row],[Booked Sale Shares]] * SnapshotTable[[#This Row],[Booked Sale Price]]</f>
        <v>0</v>
      </c>
      <c r="GH31" s="31" t="str">
        <f>IF(SnapshotTable[[#This Row],[Equity Basis Total]] &gt; 0, SnapshotTable[[#This Row],[Equity Basis Per Share]] * SnapshotTable[[#This Row],[Booked Sale Shares]], "")</f>
        <v/>
      </c>
      <c r="GI31" s="31">
        <f>IF(SnapshotTable[[#This Row],[Sale Proceeds]]&gt;0, SnapshotTable[[#This Row],[Sale Proceeds]] - SnapshotTable[[#This Row],[Sale Basis]], 0)</f>
        <v>0</v>
      </c>
      <c r="GJ31" s="27" t="str">
        <f>IF(SnapshotTable[[#This Row],[Sale G/L]]&gt;0, SnapshotTable[[#This Row],[Sale G/L]] / SnapshotTable[[#This Row],[Sale Basis]], IF(ISNUMBER(SnapshotTable[[#This Row],[SC Exercise P&amp;L (TAX)]]), SnapshotTable[[#This Row],[SC Exercise P&amp;L (TAX)]] / SnapshotTable[[#This Row],[SC Basis]], ""))</f>
        <v/>
      </c>
      <c r="GK31" s="27" t="s">
        <v>633</v>
      </c>
      <c r="GL31" s="43" t="str">
        <f>IF(AND(SnapshotTable[[#This Row],[LP Exp Date]]&gt;0,SnapshotTable[[#This Row],[LP Strike Price]]&gt;0), [1]!ToOptionSymbol(SnapshotTable[[#This Row],[Symbol]], SnapshotTable[[#This Row],[LP Strike Price]],SnapshotTable[[#This Row],[LP Exp Date]],1), "")</f>
        <v/>
      </c>
      <c r="GM31" s="30" t="str">
        <f>IF(LEN(SnapshotTable[[#This Row],[LP Symbol]])&gt;0, 1, "")</f>
        <v/>
      </c>
      <c r="GN31" s="43" t="str">
        <f>IF(AND(SnapshotTable[[#This Row],[SP Exp Date]]&gt;0,SnapshotTable[[#This Row],[SP Strike Price]]&gt;0), [1]!ToOptionSymbol(SnapshotTable[[#This Row],[Symbol]], SnapshotTable[[#This Row],[SP Strike Price]],SnapshotTable[[#This Row],[SP Exp Date]],1), "")</f>
        <v/>
      </c>
      <c r="GO31" s="30" t="str">
        <f>IF(LEN(SnapshotTable[[#This Row],[SP Symbol]])&gt;0, 1, "")</f>
        <v/>
      </c>
      <c r="GP31" s="43" t="str">
        <f>IF(AND(SnapshotTable[[#This Row],[LC Exp Date]]&gt;0,SnapshotTable[[#This Row],[LC Strike Price]]&gt;0), [1]!ToOptionSymbol(SnapshotTable[[#This Row],[Symbol]], SnapshotTable[[#This Row],[LC Strike Price]],SnapshotTable[[#This Row],[LC Exp Date]],0), "")</f>
        <v/>
      </c>
      <c r="GQ31" s="30" t="str">
        <f>IF(LEN(SnapshotTable[[#This Row],[LC Symbol]])&gt;0, 1, "")</f>
        <v/>
      </c>
      <c r="GR31" s="43" t="str">
        <f>IF(AND(SnapshotTable[[#This Row],[SC Exp Date]]&gt;0,SnapshotTable[[#This Row],[SC Strike Price]]&gt;0), [1]!ToOptionSymbol(SnapshotTable[[#This Row],[Symbol]], SnapshotTable[[#This Row],[SC Strike Price]],SnapshotTable[[#This Row],[SC Exp Date]],0), "")</f>
        <v/>
      </c>
      <c r="GS31" s="30" t="str">
        <f>IF(LEN(SnapshotTable[[#This Row],[SC Symbol]])&gt;0, 1, "")</f>
        <v/>
      </c>
      <c r="GT31" s="29" t="str">
        <f>IF(COUNT(SnapshotTable[[#This Row],[LP Symbol Count]],SnapshotTable[[#This Row],[SP Symbol Count]],SnapshotTable[[#This Row],[LC Symbol Count]],SnapshotTable[[#This Row],[SC Symbol Count]])&gt;0, "Y", "")</f>
        <v/>
      </c>
      <c r="GU31" s="29"/>
      <c r="GV31" s="231" t="e">
        <f>MAX(SnapshotTable[[#This Row],[Equity Basis Total]],SnapshotTable[[#This Row],[Equity Value]]) + (SnapshotTable[[#This Row],[SP Potential Spend]]- SnapshotTable[[#This Row],[SP Premium]] + SnapshotTable[[#This Row],[LP Premium]])+ (SnapshotTable[[#This Row],[LC Premium]] - SnapshotTable[[#This Row],[SC Premium]])</f>
        <v>#VALUE!</v>
      </c>
      <c r="GW31" s="139" t="e">
        <f>IF(AND(SnapshotTable[[#This Row],[Exposure]] &lt;&gt; 0),SnapshotTable[[#This Row],[Exposure]] / SnapshotTable[[#Totals],[Exposure]], "")</f>
        <v>#VALUE!</v>
      </c>
      <c r="HK31" s="1"/>
      <c r="HL31" s="1"/>
      <c r="HM31" s="1"/>
      <c r="HN31" s="1"/>
      <c r="HO31" s="1"/>
      <c r="HP31" s="1"/>
    </row>
    <row r="32" spans="2:224" ht="12.75" hidden="1" customHeight="1" x14ac:dyDescent="0.25">
      <c r="B32" s="12" t="s">
        <v>1081</v>
      </c>
      <c r="C32" s="422">
        <v>174.87</v>
      </c>
      <c r="D32" s="208"/>
      <c r="E32" s="39">
        <f>SnapshotTable[[#This Row],[Last Price]]*(1 -CrashDiscount)</f>
        <v>148.6395</v>
      </c>
      <c r="F32" s="26" t="s">
        <v>958</v>
      </c>
      <c r="G32" s="26" t="s">
        <v>9</v>
      </c>
      <c r="H32" s="149"/>
      <c r="I32" s="194">
        <v>45138.670138888891</v>
      </c>
      <c r="J32" s="195">
        <v>45138.670138888891</v>
      </c>
      <c r="K32" s="196"/>
      <c r="L32" s="326"/>
      <c r="M32" s="140"/>
      <c r="N32" s="140"/>
      <c r="O32" s="140"/>
      <c r="P32" s="22"/>
      <c r="Q32" s="25"/>
      <c r="R32" s="4" t="str">
        <f>IF(SnapshotTable[[#This Row],[Equity Basis Total]] &gt; 0, SnapshotTable[[#This Row],[Equity Basis Total]] / SnapshotTable[[#This Row],[Equity Shares]], "")</f>
        <v/>
      </c>
      <c r="S32" s="269">
        <f>SnapshotTable[[#This Row],[Last Price]] * SnapshotTable[[#This Row],[Equity Shares]]</f>
        <v>0</v>
      </c>
      <c r="T32" s="269">
        <f>SnapshotTable[[#This Row],[Equity Value]] - SnapshotTable[[#This Row],[Equity Basis Total]]</f>
        <v>0</v>
      </c>
      <c r="U32" s="270" t="str">
        <f>IF(SnapshotTable[[#This Row],[Equity Basis Total]] &gt; 0, SnapshotTable[[#This Row],[Equity G/L]] / SnapshotTable[[#This Row],[Equity Basis Total]], "")</f>
        <v/>
      </c>
      <c r="V32" s="268"/>
      <c r="W32" s="268"/>
      <c r="X32" s="4" t="str">
        <f>IF(AND(ISNUMBER(SnapshotTable[[#This Row],[Equity Basis Per Share]]),ISNUMBER(SnapshotTable[[#This Row],[Equity Target]])),SnapshotTable[[#This Row],[Equity Target]]-SnapshotTable[[#This Row],[Equity Basis Per Share]],"")</f>
        <v/>
      </c>
      <c r="Y32" s="4" t="str">
        <f>IF(AND(ISNUMBER(SnapshotTable[[#This Row],[Equity Basis Per Share]]),ISNUMBER(SnapshotTable[[#This Row],[Equity Stop Loss]])),SnapshotTable[[#This Row],[Equity Stop Loss]]-SnapshotTable[[#This Row],[Equity Basis Per Share]],"")</f>
        <v/>
      </c>
      <c r="Z32" s="275" t="str">
        <f>IFERROR( TEXT(SnapshotTable[[#This Row],[Equity Max Gain Per Share]] /ABS( SnapshotTable[[#This Row],[Equity Max Loss Per Share]]),"0.0 " ) &amp; " : 1", "")</f>
        <v/>
      </c>
      <c r="AA32" s="31" t="str">
        <f>IF(ISNUMBER(SnapshotTable[[#This Row],[Equity Max Gain Per Share]]),SnapshotTable[[#This Row],[Equity Max Gain Per Share]] * SnapshotTable[[#This Row],[Equity Shares]],"")</f>
        <v/>
      </c>
      <c r="AB32" s="31" t="str">
        <f>IF(ISNUMBER(SnapshotTable[[#This Row],[Equity Max Loss Per Share]]),SnapshotTable[[#This Row],[Equity Max Loss Per Share]] * SnapshotTable[[#This Row],[Equity Shares]],"")</f>
        <v/>
      </c>
      <c r="AC32" s="150"/>
      <c r="AD32" s="151"/>
      <c r="AE32" s="31">
        <f>(SnapshotTable[[#This Row],[Annual Dividend Per Share]] / 4) * SnapshotTable[[#This Row],[Equity Shares]]</f>
        <v>0</v>
      </c>
      <c r="AF32" s="31">
        <f>SnapshotTable[[#This Row],[Quarterly Div $]] * 4</f>
        <v>0</v>
      </c>
      <c r="AG32" s="7">
        <f>IF(SnapshotTable[[#This Row],[Annual Dividend Per Share]]&gt;0, SnapshotTable[[#This Row],[Annual Dividend Per Share]]  / SnapshotTable[[#This Row],[Last Price]], 0)</f>
        <v>0</v>
      </c>
      <c r="AH32" s="151"/>
      <c r="AI32" s="5"/>
      <c r="AJ32" s="138">
        <v>171.41</v>
      </c>
      <c r="AK32" s="152" t="str">
        <f>IF(ISNUMBER( SnapshotTable[[#This Row],[EBF Target]]),(SnapshotTable[[#This Row],[EBF Target]] - SnapshotTable[[#This Row],[Last Price]]) / SnapshotTable[[#This Row],[Last Price]], "")</f>
        <v/>
      </c>
      <c r="AL32" s="152" t="str">
        <f>IF(AND(SnapshotTable[[#This Row],[Equity Basis Total]] &gt; 0,ISNUMBER( SnapshotTable[[#This Row],[Long Term Target]])), SnapshotTable[[#This Row],[From Basis $]] / SnapshotTable[[#This Row],[Equity Basis Total]], "")</f>
        <v/>
      </c>
      <c r="AM32" s="9">
        <f>IF( AND(SnapshotTable[[#This Row],[Equity Shares]] &gt;0,ISNUMBER( SnapshotTable[[#This Row],[Long Term Target]])),(SnapshotTable[[#This Row],[Equity Shares]] * SnapshotTable[[#This Row],[Long Term Target]]) - SnapshotTable[[#This Row],[Equity Basis Total]],0)</f>
        <v>0</v>
      </c>
      <c r="AN32" s="9">
        <f>IF( AND(SnapshotTable[[#This Row],[Equity Shares]] &gt;0,ISNUMBER( SnapshotTable[[#This Row],[Long Term Target]])),(SnapshotTable[[#This Row],[Equity Shares]]*SnapshotTable[[#This Row],[Long Term Target]]) - SnapshotTable[[#This Row],[Equity Value]],0)</f>
        <v>0</v>
      </c>
      <c r="AO32" s="152">
        <f>IF(AND(ISNUMBER( SnapshotTable[[#This Row],[Long Term Target]]), ISNUMBER(SnapshotTable[[#This Row],[Last Price]])),(SnapshotTable[[#This Row],[Long Term Target]] - SnapshotTable[[#This Row],[Last Price]]) / SnapshotTable[[#This Row],[Last Price]], "")</f>
        <v>-1.9786126837079018E-2</v>
      </c>
      <c r="AP32" s="5">
        <v>130</v>
      </c>
      <c r="AQ32" s="38" t="s">
        <v>1082</v>
      </c>
      <c r="AR32" s="5">
        <v>120</v>
      </c>
      <c r="AS32" s="38" t="s">
        <v>1083</v>
      </c>
      <c r="AT32" s="146" t="s">
        <v>532</v>
      </c>
      <c r="AU32" s="187" t="str">
        <f>IF(OR(SnapshotTable[[#This Row],[LP No Fill]]="Y",SnapshotTable[[#This Row],[SP Is Filled]],SnapshotTable[[#This Row],[LC Not Filled]]="Y",SnapshotTable[[#This Row],[SC Is Filled]]),"Y","")</f>
        <v/>
      </c>
      <c r="AV32" s="219"/>
      <c r="AW32" s="225"/>
      <c r="AX32" s="220"/>
      <c r="AY32" s="219" t="str">
        <f>IF(SnapshotTable[[#This Row],[Implied Move]]&gt;0, SnapshotTable[[#This Row],[Last Price]]-SnapshotTable[[#This Row],[Implied Move]],"")</f>
        <v/>
      </c>
      <c r="AZ32" s="219" t="str">
        <f>IF(SnapshotTable[[#This Row],[Implied Move]]&gt;0, SnapshotTable[[#This Row],[Last Price]] + SnapshotTable[[#This Row],[Implied Move]],"")</f>
        <v/>
      </c>
      <c r="BA32" s="331">
        <v>-2.2799999999999998</v>
      </c>
      <c r="BB32" s="347"/>
      <c r="BC3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 s="351"/>
      <c r="BE32" s="5"/>
      <c r="BF32" s="14"/>
      <c r="BG32" s="13"/>
      <c r="BH32" s="13"/>
      <c r="BI32" s="5"/>
      <c r="BJ32" s="136">
        <f>IF(SnapshotTable[[#This Row],[LP Qty]] &gt; 0, SnapshotTable[[#This Row],[LP Qty]] * SnapshotTable[[#This Row],[LP Book Price]] * 100,0)</f>
        <v>0</v>
      </c>
      <c r="BK32" s="136">
        <f>IF(SnapshotTable[[#This Row],[LP Premium]] &gt; 0, SnapshotTable[[#This Row],[LP Qty]] * SnapshotTable[[#This Row],[LP Strike Price]] * 100,0)</f>
        <v>0</v>
      </c>
      <c r="BL32" s="154"/>
      <c r="BM32" s="385" t="str">
        <f>IF(SnapshotTable[[#This Row],[LP Premium]] &gt; 0,SnapshotTable[[#This Row],[LP Exp Date]]-MAX(SnapshotTable[[#This Row],[LP Book Date]], SnapshotTable[[#This Row],[LP Fill Date]]),"")</f>
        <v/>
      </c>
      <c r="BN32" s="385" t="str">
        <f>IF(ISNUMBER( SnapshotTable[[#This Row],[LP Term]]), SnapshotTable[[#This Row],[LP Exp Date]] - MockToday,"")</f>
        <v/>
      </c>
      <c r="BO32" s="163" t="str">
        <f>IF(AND(SnapshotTable[[#This Row],[LP Exp Date]]&gt;0, SnapshotTable[[#This Row],[LP Strike Price]]&gt;0,SnapshotTable[[#This Row],[LP Qty]]&gt;0,SnapshotTable[[#This Row],[LP Book Date]]&gt;0,SnapshotTable[[#This Row],[LP Book Price]]&gt;0,SnapshotTable[[#This Row],[LP Fill Date]]=0),"Y","")</f>
        <v/>
      </c>
      <c r="BP32" s="31" t="str">
        <f>IF(AND(SnapshotTable[[#This Row],[LP No Fill]]&lt;&gt;"Y",SnapshotTable[[#This Row],[LP Contract Value]]&gt;0, SnapshotTable[[#This Row],[LP Qty]]&gt;0), SnapshotTable[[#This Row],[LP Contract Value]]*SnapshotTable[[#This Row],[LP Qty]]*100,"")</f>
        <v/>
      </c>
      <c r="BQ32" s="13"/>
      <c r="BR32" s="5" t="str">
        <f>IF(SnapshotTable[[#This Row],[SP Exp Date]]&lt;&gt;"",TRUNC(SnapshotTable[[#This Row],[Last Price]]),"")</f>
        <v/>
      </c>
      <c r="BS32" s="36"/>
      <c r="BT32" s="147"/>
      <c r="BU32" s="13"/>
      <c r="BV32" s="5"/>
      <c r="BW32" s="419" t="b">
        <f>AND(ISNUMBER(SnapshotTable[[#This Row],[SP Exp Date]]), ISNUMBER(SnapshotTable[[#This Row],[SP Strike Price]]), ISNUMBER(SnapshotTable[[#This Row],[SP Qty]]), ISNUMBER(SnapshotTable[[#This Row],[SP Book Date]]), ISNUMBER(SnapshotTable[[#This Row],[SP Book Price]]))</f>
        <v>0</v>
      </c>
      <c r="BX32" s="419" t="b">
        <f>AND(SnapshotTable[[#This Row],[SP Is Booked]], NOT(ISBLANK(SnapshotTable[[#This Row],[SP Fill Date]])))</f>
        <v>0</v>
      </c>
      <c r="BY32" s="33">
        <f>IF(SnapshotTable[[#This Row],[SP Is Booked]], SnapshotTable[[#This Row],[SP Qty]] * SnapshotTable[[#This Row],[SP Book Price]] * 100, 0)</f>
        <v>0</v>
      </c>
      <c r="BZ32" s="369"/>
      <c r="CA32" s="368">
        <f>SnapshotTable[[#This Row],[LP Qty]]</f>
        <v>0</v>
      </c>
      <c r="CB32" s="4" t="str">
        <f>IF(SnapshotTable[[#This Row],[SP Is Booked]], SnapshotTable[[#This Row],[SP Strike Price]] - SnapshotTable[[#This Row],[SP Book Price]], "")</f>
        <v/>
      </c>
      <c r="CC32" s="19" t="str">
        <f>IF(SnapshotTable[[#This Row],[SP Is Booked]],SnapshotTable[[#This Row],[SP Exp Date]]-MAX(SnapshotTable[[#This Row],[SP Book Date]], SnapshotTable[[#This Row],[SP Fill Date]]),"")</f>
        <v/>
      </c>
      <c r="CD32" s="7" t="str">
        <f>IF(SnapshotTable[[#This Row],[SP Is Booked]], SnapshotTable[[#This Row],[SP Book Price]]/SnapshotTable[[#This Row],[SP Strike Price]], "")</f>
        <v/>
      </c>
      <c r="CE32" s="7" t="str">
        <f>IF(ISNUMBER(SnapshotTable[[#This Row],[SP ROO Term]]),SnapshotTable[[#This Row],[SP ROO Term]]*(365/SnapshotTable[[#This Row],[SP Term]]),"")</f>
        <v/>
      </c>
      <c r="CF32" s="236">
        <f>SnapshotTable[[#This Row],[LP Strike Price]] * SnapshotTable[[#This Row],[LP Qty]] * 100</f>
        <v>0</v>
      </c>
      <c r="CG32" s="31" t="e">
        <f>IF(ISNUMBER(SnapshotTable[[#This Row],[SP Premium]]), (SnapshotTable[[#This Row],[SP Qty]] * SnapshotTable[[#This Row],[SP Strike Price]]* 100) - SnapshotTable[[#This Row],[LP Protection]], 0)</f>
        <v>#VALUE!</v>
      </c>
      <c r="CH32" s="7" t="str">
        <f>IF(ISNUMBER(SnapshotTable[[#This Row],[SP Break Even]]),-1 * (SnapshotTable[[#This Row],[SP Break Even]] - SnapshotTable[[#This Row],[Last Price]]) / SnapshotTable[[#This Row],[Last Price]], "")</f>
        <v/>
      </c>
      <c r="CI32" s="31">
        <f>IF(AND(ISNUMBER((SnapshotTable[[#This Row],[SP Potential Spend]])), SnapshotTable[[#This Row],[SP Strike Price]] &gt; SnapshotTable[[#This Row],[Last Price]], SnapshotTable[[#This Row],[SP Is Filled]]), SnapshotTable[[#This Row],[SP Potential Spend]] -  SnapshotTable[[#This Row],[LP Max Value]], 0)</f>
        <v>0</v>
      </c>
      <c r="CJ32" s="244">
        <v>0.5</v>
      </c>
      <c r="CK32" s="31" t="str">
        <f>IF(ISNUMBER(SnapshotTable[[#This Row],[SP Potential Spend]]),IF(ISNUMBER(SnapshotTable[[#This Row],[SP POW]]), SnapshotTable[[#This Row],[SP POW]] * SnapshotTable[[#This Row],[SP Potential Spend]], SnapshotTable[[#This Row],[SP Potential Spend]]), "")</f>
        <v/>
      </c>
      <c r="CL32" s="164" t="e">
        <f>IF(NOT(SnapshotTable[[#This Row],[SP Is Filled]]),(SnapshotTable[[#This Row],[SP Qty]] * SnapshotTable[[#This Row],[SP Strike Price]] * 100) - SnapshotTable[[#This Row],[LP Max Value]],"")</f>
        <v>#VALUE!</v>
      </c>
      <c r="CM32" s="31" t="str">
        <f>IF(SnapshotTable[[#This Row],[SP Actual Spend]]&lt;&gt;0, ((SnapshotTable[[#This Row],[SP Strike Price]]-SnapshotTable[[#This Row],[Last Price]]) *(SnapshotTable[[#This Row],[SP Qty]]*100) - SnapshotTable[[#This Row],[SP Premium]]) * - 1, "")</f>
        <v/>
      </c>
      <c r="CN32" s="78"/>
      <c r="CO32" s="369"/>
      <c r="CP32" s="4" t="str">
        <f>IF(SnapshotTable[[#This Row],[SP Is Filled]], btc_max_buyback_amount(SnapshotTable[[#This Row],[SP Fill Date]],SnapshotTable[[#This Row],[SP Exp Date]], SnapshotTable[[#This Row],[SP Book Price]]),"")</f>
        <v/>
      </c>
      <c r="CQ32" s="78"/>
      <c r="CR3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 s="155" t="str">
        <f>IF(SnapshotTable[[#This Row],[SP Is Filled]], btc_next_cutoff_date(SnapshotTable[[#This Row],[SP Fill Date]],SnapshotTable[[#This Row],[SP Exp Date]]),"")</f>
        <v/>
      </c>
      <c r="CT32" s="235" t="str" cm="1">
        <f t="array" ref="CT32">IF(SnapshotTable[[#This Row],[SP Is Filled]], btc_should_buy_back(SnapshotTable[[#This Row],[SP Fill Date]], SnapshotTable[[#This Row],[SP Exp Date]], SnapshotTable[[#This Row],[SP Book Price]], SnapshotTable[[#This Row],[SP Current Ask]], MockToday, SnapshotTable[[#This Row],[SP Buyback Override]]),"")</f>
        <v/>
      </c>
      <c r="CU32" s="156"/>
      <c r="CV32" s="235"/>
      <c r="CW32" s="378" t="str">
        <f>IF(ISNUMBER( SnapshotTable[[#This Row],[SP Term]]), SnapshotTable[[#This Row],[SP Exp Date]] - MockToday,"")</f>
        <v/>
      </c>
      <c r="CX32" s="31" t="str">
        <f>IF(SnapshotTable[[#This Row],[SP Is Filled]],SnapshotTable[[#This Row],[SP Buyback Price to Use]] * 100 * SnapshotTable[[#This Row],[SP Qty]], "")</f>
        <v/>
      </c>
      <c r="CY32" s="4" t="str">
        <f>IF(ISNUMBER(SnapshotTable[[#This Row],[SP Strike Price]]), SnapshotTable[[#This Row],[SP Strike Price]] * (1 - SP_MaxLoss_StrikePct), "")</f>
        <v/>
      </c>
      <c r="CZ32" s="31" t="str">
        <f>IF(ISNUMBER(SnapshotTable[[#This Row],[SP Strike  Stop Per Share]]),SnapshotTable[[#This Row],[SP Premium]] - ((SnapshotTable[[#This Row],[SP Strike Price]]-SnapshotTable[[#This Row],[SP Strike  Stop Per Share]]) *(SnapshotTable[[#This Row],[SP Qty]] * 100)),"")</f>
        <v/>
      </c>
      <c r="DA32" s="4" t="str">
        <f>IF(AND(ISNUMBER(SnapshotTable[[#This Row],[SP Premium]]),SnapshotTable[[#This Row],[SP Premium]]&gt;0), SnapshotTable[[#This Row],[SP Book Price]] * (1 + SP_MaxLoss_OptionPct), "")</f>
        <v/>
      </c>
      <c r="DB32" s="31" t="str">
        <f>IF(ISNUMBER(SnapshotTable[[#This Row],[SP Option  Stop Contract]]),(SnapshotTable[[#This Row],[SP Option  Stop Contract]] *(SnapshotTable[[#This Row],[SP Qty]] * 100) - SnapshotTable[[#This Row],[SP Premium]]),"")</f>
        <v/>
      </c>
      <c r="DC32" s="4"/>
      <c r="DD32" s="4"/>
      <c r="DE32" s="4" t="str">
        <f>IF(AND(SnapshotTable[[#This Row],[SP Qty]]&gt;0, SnapshotTable[[#This Row],[SP Stop To Use]]&gt;0),SnapshotTable[[#This Row],[SP Premium]] - ( SnapshotTable[[#This Row],[SP Qty]] * SnapshotTable[[#This Row],[SP Stop To Use]] * 100), "")</f>
        <v/>
      </c>
      <c r="DF32" s="31" t="str">
        <f>IF(AND(SnapshotTable[[#This Row],[SP Qty]]&gt;0,SnapshotTable[[#This Row],[SP Current Ask]]&gt;0), SnapshotTable[[#This Row],[SP Qty]] * SnapshotTable[[#This Row],[SP Current Ask]] * -100, "")</f>
        <v/>
      </c>
      <c r="DG32" s="31" t="str">
        <f>IF(ISNUMBER((SnapshotTable[[#This Row],[SP Total Value]])), SnapshotTable[[#This Row],[SP Premium]] + SnapshotTable[[#This Row],[SP Total Value]], "")</f>
        <v/>
      </c>
      <c r="DH32" s="294" t="str">
        <f>IF(ISNUMBER((SnapshotTable[[#This Row],[SP Total Value]])), SnapshotTable[[#This Row],[SP Gain Loss]] / SnapshotTable[[#This Row],[SP Premium]], "")</f>
        <v/>
      </c>
      <c r="DI32" s="406"/>
      <c r="DJ32" s="138"/>
      <c r="DK32" s="148"/>
      <c r="DL32" s="13"/>
      <c r="DM32" s="13"/>
      <c r="DO32" s="31">
        <f>IF(SnapshotTable[[#This Row],[LC Symbol Count]]=1, SnapshotTable[[#This Row],[LC Qty]] * SnapshotTable[[#This Row],[LC Book Price]] * 100, 0)</f>
        <v>0</v>
      </c>
      <c r="DP32" s="163" t="str">
        <f>IF(AND(SnapshotTable[[#This Row],[LC Exp Date]]&gt;0, SnapshotTable[[#This Row],[LC Strike Price]]&gt;0,SnapshotTable[[#This Row],[LC Qty]]&gt;0,SnapshotTable[[#This Row],[LC Book Date]]&gt;0,SnapshotTable[[#This Row],[LC Book Price]]&gt;0,SnapshotTable[[#This Row],[LC Fill Date]]=0),"Y","")</f>
        <v/>
      </c>
      <c r="DQ32" s="386" t="str">
        <f>IF(SnapshotTable[[#This Row],[LC Premium]] &gt; 0,SnapshotTable[[#This Row],[LC Exp Date]]-MAX(SnapshotTable[[#This Row],[LC Book Date]], SnapshotTable[[#This Row],[LC Fill Date]]),"")</f>
        <v/>
      </c>
      <c r="DR32" s="386" t="str">
        <f>IF(ISNUMBER(SnapshotTable[[#This Row],[LC Term]]), SnapshotTable[[#This Row],[LC Exp Date]] - MockToday, "")</f>
        <v/>
      </c>
      <c r="DS32" s="234" t="str">
        <f>IF(SnapshotTable[[#This Row],[LC Premium]]&gt;0,SnapshotTable[[#This Row],[LC Strike Price]] + SnapshotTable[[#This Row],[LC Book Price]],"")</f>
        <v/>
      </c>
      <c r="DU32" s="9" t="str">
        <f>IF(AND(SnapshotTable[[#This Row],[LC Symbol Count]]&gt;0, SnapshotTable[[#This Row],[LC Contract Value]]&gt;0), SnapshotTable[[#This Row],[LC Contract Value]] * SnapshotTable[[#This Row],[LC Qty]] * 100, "")</f>
        <v/>
      </c>
      <c r="DV32" s="9" t="str">
        <f>IF(AND(ISNUMBER(SnapshotTable[[#This Row],[LC Total Value]]), SnapshotTable[[#This Row],[LC Not Filled]]&lt;&gt;"Y"), SnapshotTable[[#This Row],[LC Total Value]]-SnapshotTable[[#This Row],[LC Premium]],"")</f>
        <v/>
      </c>
      <c r="DW32" s="240" t="str">
        <f>IF(ISNUMBER(SnapshotTable[[#This Row],[LC Actual Gain Loss]]), SnapshotTable[[#This Row],[LC Actual Gain Loss]] / SnapshotTable[[#This Row],[LC Premium]],"")</f>
        <v/>
      </c>
      <c r="DX32" s="284" t="str">
        <f>IF(ISNUMBER(SnapshotTable[[#This Row],[LC Book Price]]),SnapshotTable[[#This Row],[LC Book Price]] * 1.5,"")</f>
        <v/>
      </c>
      <c r="DY32" s="265" t="str">
        <f>IF(SnapshotTable[[#This Row],[LC Premium]]&gt;0, SnapshotTable[[#This Row],[LC Next Target]] * SnapshotTable[[#This Row],[LC Qty]] * 100,"")</f>
        <v/>
      </c>
      <c r="DZ32" s="265" t="str">
        <f>IF(ISNUMBER(SnapshotTable[[#This Row],[LC Target Gross]]), SnapshotTable[[#This Row],[LC Target Gross]] - SnapshotTable[[#This Row],[LC Premium]], "")</f>
        <v/>
      </c>
      <c r="EA32" s="305" t="str">
        <f>IF(ISNUMBER(SnapshotTable[[#This Row],[LC Target Gain Loss]]), SnapshotTable[[#This Row],[LC Target Gain Loss]]/SnapshotTable[[#This Row],[LC Premium]], "")</f>
        <v/>
      </c>
      <c r="EB32" s="262"/>
      <c r="EC32" s="283" t="str">
        <f>IF(SnapshotTable[[#This Row],[LC Premium]]&gt;0, SnapshotTable[[#This Row],[LC Book Price]] * (1 - LC_StopLoss_Pct),"")</f>
        <v/>
      </c>
      <c r="ED32" s="284"/>
      <c r="EE32" s="283" t="str">
        <f>IF(ISNUMBER(SnapshotTable[[#This Row],[LC Contract Value]]),IF(ISNUMBER(SnapshotTable[[#This Row],[LC Stop Loss Override]]), SnapshotTable[[#This Row],[LC Stop Loss Override]],SnapshotTable[[#This Row],[LC Stop Loss Calc Target]]),"")</f>
        <v/>
      </c>
      <c r="EF32" s="31" t="str">
        <f>IF(ISNUMBER(SnapshotTable[[#This Row],[LC Stop  To Use]]), (SnapshotTable[[#This Row],[LC Stop  To Use]] * SnapshotTable[[#This Row],[LC Qty]] * 100),"")</f>
        <v/>
      </c>
      <c r="EG32" s="9" t="str">
        <f>IF(ISNUMBER(SnapshotTable[[#This Row],[LC Total Value]]),SnapshotTable[[#This Row],[LC Stop Loss Amount]] - SnapshotTable[[#This Row],[LC Premium]],"")</f>
        <v/>
      </c>
      <c r="EH32" s="9">
        <f>IF(ISNUMBER(SnapshotTable[[#This Row],[LC Premium]]), SnapshotTable[[#This Row],[LC Qty]] * 100 * SnapshotTable[[#This Row],[LC Strike Price]], "")</f>
        <v>0</v>
      </c>
      <c r="EI32" s="240" t="str">
        <f>IF(AND(ISNUMBER(SnapshotTable[[#This Row],[LC Total Value]]),SnapshotTable[[#This Row],[LC Total Value]]&gt;0),SnapshotTable[[#This Row],[LC Stop Gain Loss]]  / SnapshotTable[[#This Row],[LC Premium]],"")</f>
        <v/>
      </c>
      <c r="EJ32" s="35">
        <f>IF(ISNUMBER(SnapshotTable[[#This Row],[Equity Shares]]),TRUNC(SnapshotTable[[#This Row],[Equity Shares]] / 100),0) + SnapshotTable[[#This Row],[LC Qty]]</f>
        <v>0</v>
      </c>
      <c r="EK32" s="147"/>
      <c r="EL32" s="138" t="str">
        <f>IF(SnapshotTable[[#This Row],[SC Exp Date]]&lt;&gt;"",TRUNC(SnapshotTable[[#This Row],[Last Price]]),"")</f>
        <v/>
      </c>
      <c r="EM32" s="148"/>
      <c r="EN32" s="147"/>
      <c r="EO32" s="147"/>
      <c r="EP32" s="138"/>
      <c r="EQ32" s="419" t="b">
        <f>AND(ISNUMBER(SnapshotTable[[#This Row],[SC Exp Date]]), ISNUMBER(SnapshotTable[[#This Row],[SC Strike Price]]), ISNUMBER(SnapshotTable[[#This Row],[SC Qty]]), ISNUMBER(SnapshotTable[[#This Row],[SC Book Date]]), ISNUMBER(SnapshotTable[[#This Row],[SC Book Price]]))</f>
        <v>0</v>
      </c>
      <c r="ER32" s="419" t="b">
        <f>AND(SnapshotTable[[#This Row],[SC Is Booked]], NOT(ISBLANK(SnapshotTable[[#This Row],[SC Fill Date]])))</f>
        <v>0</v>
      </c>
      <c r="ES32" s="370"/>
      <c r="ET32" s="34" t="str">
        <f>IF(AND(ISNUMBER(SnapshotTable[[#This Row],[SC Exp Date]]), ISNUMBER(SnapshotTable[[#This Row],[SC Book Date]])), SnapshotTable[[#This Row],[SC Exp Date]] - MAX(SnapshotTable[[#This Row],[SC Book Date]], SnapshotTable[[#This Row],[SC Fill Date]]) + 1, "")</f>
        <v/>
      </c>
      <c r="EU32" s="34" t="str">
        <f>IF(ISNUMBER(SnapshotTable[[#This Row],[SC Term]]), SnapshotTable[[#This Row],[SC Exp Date]]- MockToday, "")</f>
        <v/>
      </c>
      <c r="EV32" s="31">
        <f>IF(SnapshotTable[[#This Row],[SC Is Booked]], SnapshotTable[[#This Row],[SC Qty]] * SnapshotTable[[#This Row],[SC Book Price]] * 100, 0)</f>
        <v>0</v>
      </c>
      <c r="EW32" s="4" t="str">
        <f>IF(AND(ISNUMBER(SnapshotTable[[#This Row],[Last Price]]), ISNUMBER( SnapshotTable[[#This Row],[SC Book Price]])), SnapshotTable[[#This Row],[Last Price]] - SnapshotTable[[#This Row],[SC Book Price]],"")</f>
        <v/>
      </c>
      <c r="EX32" s="234" t="str">
        <f>IF(SnapshotTable[[#This Row],[SC Is Booked]],IF(SnapshotTable[[#This Row],[SC Intrinsic Value]] &gt; 0, SnapshotTable[[#This Row],[SC Strike Price]], SnapshotTable[[#This Row],[Last Price]]), "")</f>
        <v/>
      </c>
      <c r="EY32" s="4">
        <f>IF(SnapshotTable[[#This Row],[SC Is Booked]], (MinimumPremiumRequired * SnapshotTable[[#This Row],[SC Basis]] * SnapshotTable[[#This Row],[SC Term]]), 0)</f>
        <v>0</v>
      </c>
      <c r="EZ32" s="283"/>
      <c r="FA32" s="218"/>
      <c r="FB32" s="370"/>
      <c r="FC32" s="4">
        <f>IF(SnapshotTable[[#This Row],[SC Is Filled]], btc_max_buyback_amount(SnapshotTable[[#This Row],[SC Fill Date]],SnapshotTable[[#This Row],[SC Exp Date]], SnapshotTable[[#This Row],[SC Book Price]]),0)</f>
        <v>0</v>
      </c>
      <c r="FD32" s="5"/>
      <c r="FE32" s="144" t="str">
        <f>IF(SnapshotTable[[#This Row],[SC Is Filled]], btc_next_cutoff_date(SnapshotTable[[#This Row],[SC Fill Date]],SnapshotTable[[#This Row],[SC Exp Date]]),"")</f>
        <v/>
      </c>
      <c r="FF32" s="4" t="str" cm="1">
        <f t="array" ref="FF32">IF(SnapshotTable[[#This Row],[SC Is Filled]], btc_should_buy_back(SnapshotTable[[#This Row],[SC Fill Date]], SnapshotTable[[#This Row],[SC Exp Date]], SnapshotTable[[#This Row],[SC Book Price]], SnapshotTable[[#This Row],[SC Current Ask]], MockToday, SnapshotTable[[#This Row],[SC Buyback Override]]),"")</f>
        <v/>
      </c>
      <c r="FG32" s="4">
        <f>IF(SnapshotTable[[#This Row],[SC Is Filled]], MAX(0,SnapshotTable[[#This Row],[Last Price]]  - SnapshotTable[[#This Row],[SC Strike Price]]), 0)</f>
        <v>0</v>
      </c>
      <c r="FH32" s="382">
        <f>IF(SnapshotTable[[#This Row],[SC Is Filled]], IF(ISNUMBER(SnapshotTable[[#This Row],[SC Current Ask]]), SnapshotTable[[#This Row],[SC Current Ask]], SnapshotTable[[#This Row],[SC Book Price]]) - SnapshotTable[[#This Row],[SC Intrinsic Value]], 0)</f>
        <v>0</v>
      </c>
      <c r="FI32" s="143"/>
      <c r="FJ32" s="32" t="str">
        <f>IF(SnapshotTable[[#This Row],[SC Is Filled]],100 * SnapshotTable[[#This Row],[SC Qty]] * IF(ISNUMBER(SnapshotTable[[#This Row],[SC Buyback Override]]), SnapshotTable[[#This Row],[SC Buyback Override]], SnapshotTable[[#This Row],[SC Current Ask]]), "")</f>
        <v/>
      </c>
      <c r="FK32" s="250" t="str">
        <f>IF(SnapshotTable[[#This Row],[SC Time Val]]&gt;0, SnapshotTable[[#This Row],[SC Time Val]] / SnapshotTable[[#This Row],[Last Price]],"")</f>
        <v/>
      </c>
      <c r="FL32" s="302" t="str">
        <f>IF(SnapshotTable[[#This Row],[SC Is Booked]], ((SnapshotTable[[#This Row],[Last Price]] -SnapshotTable[[#This Row],[SC Strike Price]]) / SnapshotTable[[#This Row],[Last Price]]) * -1, "")</f>
        <v/>
      </c>
      <c r="FM32" s="157" t="str">
        <f>IF(SnapshotTable[[#This Row],[SC Is Booked]],  (SnapshotTable[[#This Row],[SC Qty]] * 100 * SnapshotTable[[#This Row],[SC Strike Price]]) - SnapshotTable[[#This Row],[SC Current Ask]], "")</f>
        <v/>
      </c>
      <c r="FN3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 s="31" t="str">
        <f>IF(AND(ISNUMBER(SnapshotTable[[#This Row],[SC Exercise Gross]]), ISNUMBER(SnapshotTable[[#This Row],[Equity Basis Per Share]] )), SnapshotTable[[#This Row],[SC Exercise Gross]] - SnapshotTable[[#This Row],[Equity Basis Total]] +  SnapshotTable[[#This Row],[SC Premium]], "")</f>
        <v/>
      </c>
      <c r="FP32" s="5" t="str">
        <f>IF(ISNUMBER(SnapshotTable[[#This Row],[SC Exercise Gross]]), (SnapshotTable[[#This Row],[SC Exercise Gross]]) / (SnapshotTable[[#This Row],[SC Qty]] * 100), "")</f>
        <v/>
      </c>
      <c r="FQ32" s="27" t="str">
        <f>IF(SnapshotTable[[#This Row],[SC Is Booked]],SnapshotTable[[#This Row],[SC Time Val]] /SnapshotTable[[#This Row],[SC Basis]], "")</f>
        <v/>
      </c>
      <c r="FR32" s="27" t="str" cm="1">
        <f t="array" ref="FR32">IF(AND(ISNUMBER(SnapshotTable[[#This Row],[SC Term]]),ISNUMBER(SnapshotTable[[#This Row],[SC Simple ROO]])), EllmanAnnualize(SnapshotTable[[#This Row],[SC DTE]], SnapshotTable[[#This Row],[SC Simple ROO]] ),"")</f>
        <v/>
      </c>
      <c r="FS32" s="4" t="e">
        <f>IF(SnapshotTable[[#This Row],[SC Strike Price]] &gt; SnapshotTable[[#This Row],[Last Price]], SnapshotTable[[#This Row],[SC Strike Price]] - SnapshotTable[[#This Row],[Last Price]],0)</f>
        <v>#VALUE!</v>
      </c>
      <c r="FT32" s="27" t="e">
        <f>IF(AND(ISNUMBER(SnapshotTable[[#This Row],[SC Upside Potential]]), SnapshotTable[[#This Row],[SC Upside Potential]] &gt; 0),(SnapshotTable[[#This Row],[SC Upside Potential]]/ SnapshotTable[[#This Row],[ACB]]),"")</f>
        <v>#VALUE!</v>
      </c>
      <c r="FU32" s="333" t="str">
        <f>IF(SnapshotTable[[#This Row],[SC Intrinsic Value]] &gt; 0,SnapshotTable[[#This Row],[SC Intrinsic Value]],"")</f>
        <v/>
      </c>
      <c r="FV32" s="27" t="str">
        <f>IF(AND( ISNUMBER( SnapshotTable[[#This Row],[ACB]]),ISNUMBER(SnapshotTable[[#This Row],[SC Downside Protect]])),SnapshotTable[[#This Row],[SC Downside Protect]] / SnapshotTable[[#This Row],[ACB]],"")</f>
        <v/>
      </c>
      <c r="FW32" s="236" t="str">
        <f>IF(AND(ISNUMBER(SnapshotTable[[#This Row],[SC Simple ROO]]),SnapshotTable[[#This Row],[SC Simple ROO]] &gt; 0), SnapshotTable[[#This Row],[SC Premium]] + (SnapshotTable[[#This Row],[SC Qty]] * SnapshotTable[[#This Row],[SC Upside Potential]]), "")</f>
        <v/>
      </c>
      <c r="FX32" s="302" t="str" cm="1">
        <f t="array" ref="FX32">IF(ISNUMBER(SnapshotTable[[#This Row],[SC Max Dollars]]), annualize(SnapshotTable[[#This Row],[SC Term]],(SnapshotTable[[#This Row],[SC Max Dollars]]/SnapshotTable[[#This Row],[SC Basis]])),"")</f>
        <v/>
      </c>
      <c r="FY32" s="236" t="str">
        <f>IF(AND(SnapshotTable[[#This Row],[SC Qty]]&gt;0,SnapshotTable[[#This Row],[SC Current Ask]]&gt;0), SnapshotTable[[#This Row],[SC Qty]] * SnapshotTable[[#This Row],[SC Current Ask]] * -100, "")</f>
        <v/>
      </c>
      <c r="FZ32" s="31" t="str">
        <f>IF(ISNUMBER((SnapshotTable[[#This Row],[SC Current Value]])), SnapshotTable[[#This Row],[SC Premium]] + SnapshotTable[[#This Row],[SC Current Value]], "")</f>
        <v/>
      </c>
      <c r="GA32" s="294" t="str">
        <f>IFERROR( IF(ISNUMBER((SnapshotTable[[#This Row],[SC Current Value]])), SnapshotTable[[#This Row],[SC Gain Loss]] / SnapshotTable[[#This Row],[SC Premium]], ""), "")</f>
        <v/>
      </c>
      <c r="GB32" s="42">
        <f>SnapshotTable[[#This Row],[Equity Shares]] * SaleSharesToConsiderPercentage</f>
        <v>0</v>
      </c>
      <c r="GC32" s="40">
        <f>SnapshotTable[[#This Row],[Long Term Target]] * SellingPriceToConsiderBasedOnTargetPercentage</f>
        <v>162.83949999999999</v>
      </c>
      <c r="GD32" s="40">
        <f>SnapshotTable[[#This Row],[Last Price]] * (1+ SellingPriceToConsiderBasedOnTargetPercentage)</f>
        <v>340.99650000000003</v>
      </c>
      <c r="GE32" s="41"/>
      <c r="GF32" s="40"/>
      <c r="GG32" s="31">
        <f>SnapshotTable[[#This Row],[Booked Sale Shares]] * SnapshotTable[[#This Row],[Booked Sale Price]]</f>
        <v>0</v>
      </c>
      <c r="GH32" s="31" t="str">
        <f>IF(SnapshotTable[[#This Row],[Equity Basis Total]] &gt; 0, SnapshotTable[[#This Row],[Equity Basis Per Share]] * SnapshotTable[[#This Row],[Booked Sale Shares]], "")</f>
        <v/>
      </c>
      <c r="GI32" s="31">
        <f>IF(SnapshotTable[[#This Row],[Sale Proceeds]]&gt;0, SnapshotTable[[#This Row],[Sale Proceeds]] - SnapshotTable[[#This Row],[Sale Basis]], 0)</f>
        <v>0</v>
      </c>
      <c r="GJ32" s="27" t="str">
        <f>IF(SnapshotTable[[#This Row],[Sale G/L]]&gt;0, SnapshotTable[[#This Row],[Sale G/L]] / SnapshotTable[[#This Row],[Sale Basis]], IF(ISNUMBER(SnapshotTable[[#This Row],[SC Exercise P&amp;L (TAX)]]), SnapshotTable[[#This Row],[SC Exercise P&amp;L (TAX)]] / SnapshotTable[[#This Row],[SC Basis]], ""))</f>
        <v/>
      </c>
      <c r="GK32" s="27"/>
      <c r="GL32" s="43" t="str">
        <f>IF(AND(SnapshotTable[[#This Row],[LP Exp Date]]&gt;0,SnapshotTable[[#This Row],[LP Strike Price]]&gt;0), [1]!ToOptionSymbol(SnapshotTable[[#This Row],[Symbol]], SnapshotTable[[#This Row],[LP Strike Price]],SnapshotTable[[#This Row],[LP Exp Date]],1), "")</f>
        <v/>
      </c>
      <c r="GM32" s="30" t="str">
        <f>IF(LEN(SnapshotTable[[#This Row],[LP Symbol]])&gt;0, 1, "")</f>
        <v/>
      </c>
      <c r="GN32" s="43" t="str">
        <f>IF(AND(SnapshotTable[[#This Row],[SP Exp Date]]&gt;0,SnapshotTable[[#This Row],[SP Strike Price]]&gt;0), [1]!ToOptionSymbol(SnapshotTable[[#This Row],[Symbol]], SnapshotTable[[#This Row],[SP Strike Price]],SnapshotTable[[#This Row],[SP Exp Date]],1), "")</f>
        <v/>
      </c>
      <c r="GO32" s="30" t="str">
        <f>IF(LEN(SnapshotTable[[#This Row],[SP Symbol]])&gt;0, 1, "")</f>
        <v/>
      </c>
      <c r="GP32" s="43" t="str">
        <f>IF(AND(SnapshotTable[[#This Row],[LC Exp Date]]&gt;0,SnapshotTable[[#This Row],[LC Strike Price]]&gt;0), [1]!ToOptionSymbol(SnapshotTable[[#This Row],[Symbol]], SnapshotTable[[#This Row],[LC Strike Price]],SnapshotTable[[#This Row],[LC Exp Date]],0), "")</f>
        <v/>
      </c>
      <c r="GQ32" s="30" t="str">
        <f>IF(LEN(SnapshotTable[[#This Row],[LC Symbol]])&gt;0, 1, "")</f>
        <v/>
      </c>
      <c r="GR32" s="43" t="str">
        <f>IF(AND(SnapshotTable[[#This Row],[SC Exp Date]]&gt;0,SnapshotTable[[#This Row],[SC Strike Price]]&gt;0), [1]!ToOptionSymbol(SnapshotTable[[#This Row],[Symbol]], SnapshotTable[[#This Row],[SC Strike Price]],SnapshotTable[[#This Row],[SC Exp Date]],0), "")</f>
        <v/>
      </c>
      <c r="GS32" s="30" t="str">
        <f>IF(LEN(SnapshotTable[[#This Row],[SC Symbol]])&gt;0, 1, "")</f>
        <v/>
      </c>
      <c r="GT32" s="29" t="str">
        <f>IF(COUNT(SnapshotTable[[#This Row],[LP Symbol Count]],SnapshotTable[[#This Row],[SP Symbol Count]],SnapshotTable[[#This Row],[LC Symbol Count]],SnapshotTable[[#This Row],[SC Symbol Count]])&gt;0, "Y", "")</f>
        <v/>
      </c>
      <c r="GU3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 s="231" t="e">
        <f>MAX(SnapshotTable[[#This Row],[Equity Basis Total]],SnapshotTable[[#This Row],[Equity Value]]) + (SnapshotTable[[#This Row],[SP Potential Spend]]- SnapshotTable[[#This Row],[SP Premium]] + SnapshotTable[[#This Row],[LP Premium]])+ (SnapshotTable[[#This Row],[LC Premium]] - SnapshotTable[[#This Row],[SC Premium]])</f>
        <v>#VALUE!</v>
      </c>
      <c r="GW32" s="139" t="e">
        <f>IF(AND(SnapshotTable[[#This Row],[Exposure]] &lt;&gt; 0),SnapshotTable[[#This Row],[Exposure]] / SnapshotTable[[#Totals],[Exposure]], "")</f>
        <v>#VALUE!</v>
      </c>
      <c r="HK32" s="1"/>
      <c r="HL32" s="1"/>
      <c r="HM32" s="1"/>
      <c r="HN32" s="1"/>
      <c r="HO32" s="1"/>
      <c r="HP32" s="1"/>
    </row>
    <row r="33" spans="2:224" ht="12.75" hidden="1" customHeight="1" x14ac:dyDescent="0.25">
      <c r="B33" s="12" t="s">
        <v>938</v>
      </c>
      <c r="C33" s="422">
        <v>5.78</v>
      </c>
      <c r="D33" s="208" t="s">
        <v>578</v>
      </c>
      <c r="E33" s="39">
        <f>SnapshotTable[[#This Row],[Last Price]]*(1 -CrashDiscount)</f>
        <v>4.9130000000000003</v>
      </c>
      <c r="F33" s="26" t="s">
        <v>607</v>
      </c>
      <c r="G33" s="26" t="s">
        <v>606</v>
      </c>
      <c r="H33" s="149"/>
      <c r="I33" s="194">
        <v>44781.673611111109</v>
      </c>
      <c r="J33" s="195">
        <v>44781.673611111109</v>
      </c>
      <c r="K33" s="196"/>
      <c r="L33" s="326"/>
      <c r="M33" s="140"/>
      <c r="N33" s="140"/>
      <c r="O33" s="140"/>
      <c r="P33" s="22"/>
      <c r="Q33" s="25"/>
      <c r="R33" s="4" t="str">
        <f>IF(SnapshotTable[[#This Row],[Equity Basis Total]] &gt; 0, SnapshotTable[[#This Row],[Equity Basis Total]] / SnapshotTable[[#This Row],[Equity Shares]], "")</f>
        <v/>
      </c>
      <c r="S33" s="269">
        <f>SnapshotTable[[#This Row],[Last Price]] * SnapshotTable[[#This Row],[Equity Shares]]</f>
        <v>0</v>
      </c>
      <c r="T33" s="269">
        <f>SnapshotTable[[#This Row],[Equity Value]] - SnapshotTable[[#This Row],[Equity Basis Total]]</f>
        <v>0</v>
      </c>
      <c r="U33" s="270" t="str">
        <f>IF(SnapshotTable[[#This Row],[Equity Basis Total]] &gt; 0, SnapshotTable[[#This Row],[Equity G/L]] / SnapshotTable[[#This Row],[Equity Basis Total]], "")</f>
        <v/>
      </c>
      <c r="V33" s="268"/>
      <c r="W33" s="268"/>
      <c r="X33" s="4" t="str">
        <f>IF(AND(ISNUMBER(SnapshotTable[[#This Row],[Equity Basis Per Share]]),ISNUMBER(SnapshotTable[[#This Row],[Equity Target]])),SnapshotTable[[#This Row],[Equity Target]]-SnapshotTable[[#This Row],[Equity Basis Per Share]],"")</f>
        <v/>
      </c>
      <c r="Y33" s="4" t="str">
        <f>IF(AND(ISNUMBER(SnapshotTable[[#This Row],[Equity Basis Per Share]]),ISNUMBER(SnapshotTable[[#This Row],[Equity Stop Loss]])),SnapshotTable[[#This Row],[Equity Stop Loss]]-SnapshotTable[[#This Row],[Equity Basis Per Share]],"")</f>
        <v/>
      </c>
      <c r="Z33" s="275" t="str">
        <f>IFERROR( TEXT(SnapshotTable[[#This Row],[Equity Max Gain Per Share]] /ABS( SnapshotTable[[#This Row],[Equity Max Loss Per Share]]),"0.0 " ) &amp; " : 1", "")</f>
        <v/>
      </c>
      <c r="AA33" s="31" t="str">
        <f>IF(ISNUMBER(SnapshotTable[[#This Row],[Equity Max Gain Per Share]]),SnapshotTable[[#This Row],[Equity Max Gain Per Share]] * SnapshotTable[[#This Row],[Equity Shares]],"")</f>
        <v/>
      </c>
      <c r="AB33" s="31" t="str">
        <f>IF(ISNUMBER(SnapshotTable[[#This Row],[Equity Max Loss Per Share]]),SnapshotTable[[#This Row],[Equity Max Loss Per Share]] * SnapshotTable[[#This Row],[Equity Shares]],"")</f>
        <v/>
      </c>
      <c r="AC33" s="150"/>
      <c r="AD33" s="151"/>
      <c r="AE33" s="31">
        <f>(SnapshotTable[[#This Row],[Annual Dividend Per Share]] / 4) * SnapshotTable[[#This Row],[Equity Shares]]</f>
        <v>0</v>
      </c>
      <c r="AF33" s="31">
        <f>SnapshotTable[[#This Row],[Quarterly Div $]] * 4</f>
        <v>0</v>
      </c>
      <c r="AG33" s="7">
        <f>IF(SnapshotTable[[#This Row],[Annual Dividend Per Share]]&gt;0, SnapshotTable[[#This Row],[Annual Dividend Per Share]]  / SnapshotTable[[#This Row],[Last Price]], 0)</f>
        <v>0</v>
      </c>
      <c r="AH33" s="151"/>
      <c r="AI33" s="5"/>
      <c r="AJ33" s="138">
        <v>16.04</v>
      </c>
      <c r="AK33" s="152" t="str">
        <f>IF(ISNUMBER( SnapshotTable[[#This Row],[EBF Target]]),(SnapshotTable[[#This Row],[EBF Target]] - SnapshotTable[[#This Row],[Last Price]]) / SnapshotTable[[#This Row],[Last Price]], "")</f>
        <v/>
      </c>
      <c r="AL33" s="152" t="str">
        <f>IF(AND(SnapshotTable[[#This Row],[Equity Basis Total]] &gt; 0,ISNUMBER( SnapshotTable[[#This Row],[Long Term Target]])), SnapshotTable[[#This Row],[From Basis $]] / SnapshotTable[[#This Row],[Equity Basis Total]], "")</f>
        <v/>
      </c>
      <c r="AM33" s="9">
        <f>IF( AND(SnapshotTable[[#This Row],[Equity Shares]] &gt;0,ISNUMBER( SnapshotTable[[#This Row],[Long Term Target]])),(SnapshotTable[[#This Row],[Equity Shares]] * SnapshotTable[[#This Row],[Long Term Target]]) - SnapshotTable[[#This Row],[Equity Basis Total]],0)</f>
        <v>0</v>
      </c>
      <c r="AN33" s="9">
        <f>IF( AND(SnapshotTable[[#This Row],[Equity Shares]] &gt;0,ISNUMBER( SnapshotTable[[#This Row],[Long Term Target]])),(SnapshotTable[[#This Row],[Equity Shares]]*SnapshotTable[[#This Row],[Long Term Target]]) - SnapshotTable[[#This Row],[Equity Value]],0)</f>
        <v>0</v>
      </c>
      <c r="AO33" s="152">
        <f>IF(AND(ISNUMBER( SnapshotTable[[#This Row],[Long Term Target]]), ISNUMBER(SnapshotTable[[#This Row],[Last Price]])),(SnapshotTable[[#This Row],[Long Term Target]] - SnapshotTable[[#This Row],[Last Price]]) / SnapshotTable[[#This Row],[Last Price]], "")</f>
        <v>1.7750865051903111</v>
      </c>
      <c r="AP33" s="5">
        <v>8</v>
      </c>
      <c r="AQ33" s="38" t="s">
        <v>27</v>
      </c>
      <c r="AR33" s="5">
        <v>8</v>
      </c>
      <c r="AS33" s="38" t="s">
        <v>38</v>
      </c>
      <c r="AT33" s="146" t="s">
        <v>542</v>
      </c>
      <c r="AU33" s="187" t="str">
        <f>IF(OR(SnapshotTable[[#This Row],[LP No Fill]]="Y",SnapshotTable[[#This Row],[SP Is Filled]],SnapshotTable[[#This Row],[LC Not Filled]]="Y",SnapshotTable[[#This Row],[SC Is Filled]]),"Y","")</f>
        <v/>
      </c>
      <c r="AV33" s="219"/>
      <c r="AW33" s="225"/>
      <c r="AX33" s="220"/>
      <c r="AY33" s="219" t="str">
        <f>IF(SnapshotTable[[#This Row],[Implied Move]]&gt;0, SnapshotTable[[#This Row],[Last Price]]-SnapshotTable[[#This Row],[Implied Move]],"")</f>
        <v/>
      </c>
      <c r="AZ33" s="219" t="str">
        <f>IF(SnapshotTable[[#This Row],[Implied Move]]&gt;0, SnapshotTable[[#This Row],[Last Price]] + SnapshotTable[[#This Row],[Implied Move]],"")</f>
        <v/>
      </c>
      <c r="BA33" s="331"/>
      <c r="BB33" s="347"/>
      <c r="BC3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 s="351"/>
      <c r="BE33" s="5"/>
      <c r="BF33" s="14"/>
      <c r="BG33" s="13"/>
      <c r="BH33" s="13"/>
      <c r="BI33" s="5"/>
      <c r="BJ33" s="136">
        <f>IF(SnapshotTable[[#This Row],[LP Qty]] &gt; 0, SnapshotTable[[#This Row],[LP Qty]] * SnapshotTable[[#This Row],[LP Book Price]] * 100,0)</f>
        <v>0</v>
      </c>
      <c r="BK33" s="136">
        <f>IF(SnapshotTable[[#This Row],[LP Premium]] &gt; 0, SnapshotTable[[#This Row],[LP Qty]] * SnapshotTable[[#This Row],[LP Strike Price]] * 100,0)</f>
        <v>0</v>
      </c>
      <c r="BL33" s="154"/>
      <c r="BM33" s="385" t="str">
        <f>IF(SnapshotTable[[#This Row],[LP Premium]] &gt; 0,SnapshotTable[[#This Row],[LP Exp Date]]-MAX(SnapshotTable[[#This Row],[LP Book Date]], SnapshotTable[[#This Row],[LP Fill Date]]),"")</f>
        <v/>
      </c>
      <c r="BN33" s="385" t="str">
        <f>IF(ISNUMBER( SnapshotTable[[#This Row],[LP Term]]), SnapshotTable[[#This Row],[LP Exp Date]] - MockToday,"")</f>
        <v/>
      </c>
      <c r="BO33" s="163" t="str">
        <f>IF(AND(SnapshotTable[[#This Row],[LP Exp Date]]&gt;0, SnapshotTable[[#This Row],[LP Strike Price]]&gt;0,SnapshotTable[[#This Row],[LP Qty]]&gt;0,SnapshotTable[[#This Row],[LP Book Date]]&gt;0,SnapshotTable[[#This Row],[LP Book Price]]&gt;0,SnapshotTable[[#This Row],[LP Fill Date]]=0),"Y","")</f>
        <v/>
      </c>
      <c r="BP33" s="31" t="str">
        <f>IF(AND(SnapshotTable[[#This Row],[LP No Fill]]&lt;&gt;"Y",SnapshotTable[[#This Row],[LP Contract Value]]&gt;0, SnapshotTable[[#This Row],[LP Qty]]&gt;0), SnapshotTable[[#This Row],[LP Contract Value]]*SnapshotTable[[#This Row],[LP Qty]]*100,"")</f>
        <v/>
      </c>
      <c r="BQ33" s="13"/>
      <c r="BR33" s="5" t="str">
        <f>IF(SnapshotTable[[#This Row],[SP Exp Date]]&lt;&gt;"",TRUNC(SnapshotTable[[#This Row],[Last Price]]),"")</f>
        <v/>
      </c>
      <c r="BS33" s="36"/>
      <c r="BT33" s="147"/>
      <c r="BU33" s="13"/>
      <c r="BV33" s="5"/>
      <c r="BW33" s="419" t="b">
        <f>AND(ISNUMBER(SnapshotTable[[#This Row],[SP Exp Date]]), ISNUMBER(SnapshotTable[[#This Row],[SP Strike Price]]), ISNUMBER(SnapshotTable[[#This Row],[SP Qty]]), ISNUMBER(SnapshotTable[[#This Row],[SP Book Date]]), ISNUMBER(SnapshotTable[[#This Row],[SP Book Price]]))</f>
        <v>0</v>
      </c>
      <c r="BX33" s="419" t="b">
        <f>AND(SnapshotTable[[#This Row],[SP Is Booked]], NOT(ISBLANK(SnapshotTable[[#This Row],[SP Fill Date]])))</f>
        <v>0</v>
      </c>
      <c r="BY33" s="33">
        <f>IF(SnapshotTable[[#This Row],[SP Is Booked]], SnapshotTable[[#This Row],[SP Qty]] * SnapshotTable[[#This Row],[SP Book Price]] * 100, 0)</f>
        <v>0</v>
      </c>
      <c r="BZ33" s="369"/>
      <c r="CA33" s="368">
        <f>SnapshotTable[[#This Row],[LP Qty]]</f>
        <v>0</v>
      </c>
      <c r="CB33" s="4" t="str">
        <f>IF(SnapshotTable[[#This Row],[SP Is Booked]], SnapshotTable[[#This Row],[SP Strike Price]] - SnapshotTable[[#This Row],[SP Book Price]], "")</f>
        <v/>
      </c>
      <c r="CC33" s="19" t="str">
        <f>IF(SnapshotTable[[#This Row],[SP Is Booked]],SnapshotTable[[#This Row],[SP Exp Date]]-MAX(SnapshotTable[[#This Row],[SP Book Date]], SnapshotTable[[#This Row],[SP Fill Date]]),"")</f>
        <v/>
      </c>
      <c r="CD33" s="7" t="str">
        <f>IF(SnapshotTable[[#This Row],[SP Is Booked]], SnapshotTable[[#This Row],[SP Book Price]]/SnapshotTable[[#This Row],[SP Strike Price]], "")</f>
        <v/>
      </c>
      <c r="CE33" s="7" t="str">
        <f>IF(ISNUMBER(SnapshotTable[[#This Row],[SP ROO Term]]),SnapshotTable[[#This Row],[SP ROO Term]]*(365/SnapshotTable[[#This Row],[SP Term]]),"")</f>
        <v/>
      </c>
      <c r="CF33" s="236">
        <f>SnapshotTable[[#This Row],[LP Strike Price]] * SnapshotTable[[#This Row],[LP Qty]] * 100</f>
        <v>0</v>
      </c>
      <c r="CG33" s="31" t="e">
        <f>IF(ISNUMBER(SnapshotTable[[#This Row],[SP Premium]]), (SnapshotTable[[#This Row],[SP Qty]] * SnapshotTable[[#This Row],[SP Strike Price]]* 100) - SnapshotTable[[#This Row],[LP Protection]], 0)</f>
        <v>#VALUE!</v>
      </c>
      <c r="CH33" s="7" t="str">
        <f>IF(ISNUMBER(SnapshotTable[[#This Row],[SP Break Even]]),-1 * (SnapshotTable[[#This Row],[SP Break Even]] - SnapshotTable[[#This Row],[Last Price]]) / SnapshotTable[[#This Row],[Last Price]], "")</f>
        <v/>
      </c>
      <c r="CI33" s="31">
        <f>IF(AND(ISNUMBER((SnapshotTable[[#This Row],[SP Potential Spend]])), SnapshotTable[[#This Row],[SP Strike Price]] &gt; SnapshotTable[[#This Row],[Last Price]], SnapshotTable[[#This Row],[SP Is Filled]]), SnapshotTable[[#This Row],[SP Potential Spend]] -  SnapshotTable[[#This Row],[LP Max Value]], 0)</f>
        <v>0</v>
      </c>
      <c r="CJ33" s="244"/>
      <c r="CK33" s="31" t="str">
        <f>IF(ISNUMBER(SnapshotTable[[#This Row],[SP Potential Spend]]),IF(ISNUMBER(SnapshotTable[[#This Row],[SP POW]]), SnapshotTable[[#This Row],[SP POW]] * SnapshotTable[[#This Row],[SP Potential Spend]], SnapshotTable[[#This Row],[SP Potential Spend]]), "")</f>
        <v/>
      </c>
      <c r="CL33" s="164" t="e">
        <f>IF(NOT(SnapshotTable[[#This Row],[SP Is Filled]]),(SnapshotTable[[#This Row],[SP Qty]] * SnapshotTable[[#This Row],[SP Strike Price]] * 100) - SnapshotTable[[#This Row],[LP Max Value]],"")</f>
        <v>#VALUE!</v>
      </c>
      <c r="CM33" s="31" t="str">
        <f>IF(SnapshotTable[[#This Row],[SP Actual Spend]]&lt;&gt;0, ((SnapshotTable[[#This Row],[SP Strike Price]]-SnapshotTable[[#This Row],[Last Price]]) *(SnapshotTable[[#This Row],[SP Qty]]*100) - SnapshotTable[[#This Row],[SP Premium]]) * - 1, "")</f>
        <v/>
      </c>
      <c r="CN33" s="78"/>
      <c r="CO33" s="369"/>
      <c r="CP33" s="4" t="str">
        <f>IF(SnapshotTable[[#This Row],[SP Is Filled]], btc_max_buyback_amount(SnapshotTable[[#This Row],[SP Fill Date]],SnapshotTable[[#This Row],[SP Exp Date]], SnapshotTable[[#This Row],[SP Book Price]]),"")</f>
        <v/>
      </c>
      <c r="CQ33" s="78"/>
      <c r="CR3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 s="155" t="str">
        <f>IF(SnapshotTable[[#This Row],[SP Is Filled]], btc_next_cutoff_date(SnapshotTable[[#This Row],[SP Fill Date]],SnapshotTable[[#This Row],[SP Exp Date]]),"")</f>
        <v/>
      </c>
      <c r="CT33" s="235" t="str" cm="1">
        <f t="array" ref="CT33">IF(SnapshotTable[[#This Row],[SP Is Filled]], btc_should_buy_back(SnapshotTable[[#This Row],[SP Fill Date]], SnapshotTable[[#This Row],[SP Exp Date]], SnapshotTable[[#This Row],[SP Book Price]], SnapshotTable[[#This Row],[SP Current Ask]], MockToday, SnapshotTable[[#This Row],[SP Buyback Override]]),"")</f>
        <v/>
      </c>
      <c r="CU33" s="143"/>
      <c r="CV33" s="235"/>
      <c r="CW33" s="378" t="str">
        <f>IF(ISNUMBER( SnapshotTable[[#This Row],[SP Term]]), SnapshotTable[[#This Row],[SP Exp Date]] - MockToday,"")</f>
        <v/>
      </c>
      <c r="CX33" s="31" t="str">
        <f>IF(SnapshotTable[[#This Row],[SP Is Filled]],SnapshotTable[[#This Row],[SP Buyback Price to Use]] * 100 * SnapshotTable[[#This Row],[SP Qty]], "")</f>
        <v/>
      </c>
      <c r="CY33" s="4" t="str">
        <f>IF(ISNUMBER(SnapshotTable[[#This Row],[SP Strike Price]]), SnapshotTable[[#This Row],[SP Strike Price]] * (1 - SP_MaxLoss_StrikePct), "")</f>
        <v/>
      </c>
      <c r="CZ33" s="31" t="str">
        <f>IF(ISNUMBER(SnapshotTable[[#This Row],[SP Strike  Stop Per Share]]),SnapshotTable[[#This Row],[SP Premium]] - ((SnapshotTable[[#This Row],[SP Strike Price]]-SnapshotTable[[#This Row],[SP Strike  Stop Per Share]]) *(SnapshotTable[[#This Row],[SP Qty]] * 100)),"")</f>
        <v/>
      </c>
      <c r="DA33" s="4" t="str">
        <f>IF(AND(ISNUMBER(SnapshotTable[[#This Row],[SP Premium]]),SnapshotTable[[#This Row],[SP Premium]]&gt;0), SnapshotTable[[#This Row],[SP Book Price]] * (1 + SP_MaxLoss_OptionPct), "")</f>
        <v/>
      </c>
      <c r="DB33" s="31" t="str">
        <f>IF(ISNUMBER(SnapshotTable[[#This Row],[SP Option  Stop Contract]]),(SnapshotTable[[#This Row],[SP Option  Stop Contract]] *(SnapshotTable[[#This Row],[SP Qty]] * 100) - SnapshotTable[[#This Row],[SP Premium]]),"")</f>
        <v/>
      </c>
      <c r="DC33" s="4"/>
      <c r="DD33" s="4"/>
      <c r="DE33" s="4" t="str">
        <f>IF(AND(SnapshotTable[[#This Row],[SP Qty]]&gt;0, SnapshotTable[[#This Row],[SP Stop To Use]]&gt;0),SnapshotTable[[#This Row],[SP Premium]] - ( SnapshotTable[[#This Row],[SP Qty]] * SnapshotTable[[#This Row],[SP Stop To Use]] * 100), "")</f>
        <v/>
      </c>
      <c r="DF33" s="31" t="str">
        <f>IF(AND(SnapshotTable[[#This Row],[SP Qty]]&gt;0,SnapshotTable[[#This Row],[SP Current Ask]]&gt;0), SnapshotTable[[#This Row],[SP Qty]] * SnapshotTable[[#This Row],[SP Current Ask]] * -100, "")</f>
        <v/>
      </c>
      <c r="DG33" s="31" t="str">
        <f>IF(ISNUMBER((SnapshotTable[[#This Row],[SP Total Value]])), SnapshotTable[[#This Row],[SP Premium]] + SnapshotTable[[#This Row],[SP Total Value]], "")</f>
        <v/>
      </c>
      <c r="DH33" s="294" t="str">
        <f>IF(ISNUMBER((SnapshotTable[[#This Row],[SP Total Value]])), SnapshotTable[[#This Row],[SP Gain Loss]] / SnapshotTable[[#This Row],[SP Premium]], "")</f>
        <v/>
      </c>
      <c r="DI33" s="406"/>
      <c r="DJ33" s="138"/>
      <c r="DK33" s="148"/>
      <c r="DL33" s="13"/>
      <c r="DM33" s="13"/>
      <c r="DO33" s="31">
        <f>IF(SnapshotTable[[#This Row],[LC Symbol Count]]=1, SnapshotTable[[#This Row],[LC Qty]] * SnapshotTable[[#This Row],[LC Book Price]] * 100, 0)</f>
        <v>0</v>
      </c>
      <c r="DP33" s="163" t="str">
        <f>IF(AND(SnapshotTable[[#This Row],[LC Exp Date]]&gt;0, SnapshotTable[[#This Row],[LC Strike Price]]&gt;0,SnapshotTable[[#This Row],[LC Qty]]&gt;0,SnapshotTable[[#This Row],[LC Book Date]]&gt;0,SnapshotTable[[#This Row],[LC Book Price]]&gt;0,SnapshotTable[[#This Row],[LC Fill Date]]=0),"Y","")</f>
        <v/>
      </c>
      <c r="DQ33" s="386" t="str">
        <f>IF(SnapshotTable[[#This Row],[LC Premium]] &gt; 0,SnapshotTable[[#This Row],[LC Exp Date]]-MAX(SnapshotTable[[#This Row],[LC Book Date]], SnapshotTable[[#This Row],[LC Fill Date]]),"")</f>
        <v/>
      </c>
      <c r="DR33" s="386" t="str">
        <f>IF(ISNUMBER(SnapshotTable[[#This Row],[LC Term]]), SnapshotTable[[#This Row],[LC Exp Date]] - MockToday, "")</f>
        <v/>
      </c>
      <c r="DS33" s="234" t="str">
        <f>IF(SnapshotTable[[#This Row],[LC Premium]]&gt;0,SnapshotTable[[#This Row],[LC Strike Price]] + SnapshotTable[[#This Row],[LC Book Price]],"")</f>
        <v/>
      </c>
      <c r="DU33" s="9" t="str">
        <f>IF(AND(SnapshotTable[[#This Row],[LC Symbol Count]]&gt;0, SnapshotTable[[#This Row],[LC Contract Value]]&gt;0), SnapshotTable[[#This Row],[LC Contract Value]] * SnapshotTable[[#This Row],[LC Qty]] * 100, "")</f>
        <v/>
      </c>
      <c r="DV33" s="9" t="str">
        <f>IF(AND(ISNUMBER(SnapshotTable[[#This Row],[LC Total Value]]), SnapshotTable[[#This Row],[LC Not Filled]]&lt;&gt;"Y"), SnapshotTable[[#This Row],[LC Total Value]]-SnapshotTable[[#This Row],[LC Premium]],"")</f>
        <v/>
      </c>
      <c r="DW33" s="240" t="str">
        <f>IF(ISNUMBER(SnapshotTable[[#This Row],[LC Actual Gain Loss]]), SnapshotTable[[#This Row],[LC Actual Gain Loss]] / SnapshotTable[[#This Row],[LC Premium]],"")</f>
        <v/>
      </c>
      <c r="DX33" s="284" t="str">
        <f>IF(ISNUMBER(SnapshotTable[[#This Row],[LC Book Price]]),SnapshotTable[[#This Row],[LC Book Price]] * 1.5,"")</f>
        <v/>
      </c>
      <c r="DY33" s="265" t="str">
        <f>IF(SnapshotTable[[#This Row],[LC Premium]]&gt;0, SnapshotTable[[#This Row],[LC Next Target]] * SnapshotTable[[#This Row],[LC Qty]] * 100,"")</f>
        <v/>
      </c>
      <c r="DZ33" s="265" t="str">
        <f>IF(ISNUMBER(SnapshotTable[[#This Row],[LC Target Gross]]), SnapshotTable[[#This Row],[LC Target Gross]] - SnapshotTable[[#This Row],[LC Premium]], "")</f>
        <v/>
      </c>
      <c r="EA33" s="305" t="str">
        <f>IF(ISNUMBER(SnapshotTable[[#This Row],[LC Target Gain Loss]]), SnapshotTable[[#This Row],[LC Target Gain Loss]]/SnapshotTable[[#This Row],[LC Premium]], "")</f>
        <v/>
      </c>
      <c r="EB33" s="262"/>
      <c r="EC33" s="283" t="str">
        <f>IF(SnapshotTable[[#This Row],[LC Premium]]&gt;0, SnapshotTable[[#This Row],[LC Book Price]] * (1 - LC_StopLoss_Pct),"")</f>
        <v/>
      </c>
      <c r="ED33" s="284"/>
      <c r="EE33" s="283" t="str">
        <f>IF(ISNUMBER(SnapshotTable[[#This Row],[LC Contract Value]]),IF(ISNUMBER(SnapshotTable[[#This Row],[LC Stop Loss Override]]), SnapshotTable[[#This Row],[LC Stop Loss Override]],SnapshotTable[[#This Row],[LC Stop Loss Calc Target]]),"")</f>
        <v/>
      </c>
      <c r="EF33" s="31" t="str">
        <f>IF(ISNUMBER(SnapshotTable[[#This Row],[LC Stop  To Use]]), (SnapshotTable[[#This Row],[LC Stop  To Use]] * SnapshotTable[[#This Row],[LC Qty]] * 100),"")</f>
        <v/>
      </c>
      <c r="EG33" s="9" t="str">
        <f>IF(ISNUMBER(SnapshotTable[[#This Row],[LC Total Value]]),SnapshotTable[[#This Row],[LC Stop Loss Amount]] - SnapshotTable[[#This Row],[LC Premium]],"")</f>
        <v/>
      </c>
      <c r="EH33" s="9">
        <f>IF(ISNUMBER(SnapshotTable[[#This Row],[LC Premium]]), SnapshotTable[[#This Row],[LC Qty]] * 100 * SnapshotTable[[#This Row],[LC Strike Price]], "")</f>
        <v>0</v>
      </c>
      <c r="EI33" s="240" t="str">
        <f>IF(AND(ISNUMBER(SnapshotTable[[#This Row],[LC Total Value]]),SnapshotTable[[#This Row],[LC Total Value]]&gt;0),SnapshotTable[[#This Row],[LC Stop Gain Loss]]  / SnapshotTable[[#This Row],[LC Premium]],"")</f>
        <v/>
      </c>
      <c r="EJ33" s="35">
        <f>IF(ISNUMBER(SnapshotTable[[#This Row],[Equity Shares]]),TRUNC(SnapshotTable[[#This Row],[Equity Shares]] / 100),0) + SnapshotTable[[#This Row],[LC Qty]]</f>
        <v>0</v>
      </c>
      <c r="EK33" s="147"/>
      <c r="EL33" s="138" t="str">
        <f>IF(SnapshotTable[[#This Row],[SC Exp Date]]&lt;&gt;"",TRUNC(SnapshotTable[[#This Row],[Last Price]]),"")</f>
        <v/>
      </c>
      <c r="EM33" s="148"/>
      <c r="EN33" s="147"/>
      <c r="EO33" s="147"/>
      <c r="EP33" s="138"/>
      <c r="EQ33" s="419" t="b">
        <f>AND(ISNUMBER(SnapshotTable[[#This Row],[SC Exp Date]]), ISNUMBER(SnapshotTable[[#This Row],[SC Strike Price]]), ISNUMBER(SnapshotTable[[#This Row],[SC Qty]]), ISNUMBER(SnapshotTable[[#This Row],[SC Book Date]]), ISNUMBER(SnapshotTable[[#This Row],[SC Book Price]]))</f>
        <v>0</v>
      </c>
      <c r="ER33" s="419" t="b">
        <f>AND(SnapshotTable[[#This Row],[SC Is Booked]], NOT(ISBLANK(SnapshotTable[[#This Row],[SC Fill Date]])))</f>
        <v>0</v>
      </c>
      <c r="ES33" s="370"/>
      <c r="ET33" s="34" t="str">
        <f>IF(AND(ISNUMBER(SnapshotTable[[#This Row],[SC Exp Date]]), ISNUMBER(SnapshotTable[[#This Row],[SC Book Date]])), SnapshotTable[[#This Row],[SC Exp Date]] - MAX(SnapshotTable[[#This Row],[SC Book Date]], SnapshotTable[[#This Row],[SC Fill Date]]) + 1, "")</f>
        <v/>
      </c>
      <c r="EU33" s="34" t="str">
        <f>IF(ISNUMBER(SnapshotTable[[#This Row],[SC Term]]), SnapshotTable[[#This Row],[SC Exp Date]]- MockToday, "")</f>
        <v/>
      </c>
      <c r="EV33" s="31">
        <f>IF(SnapshotTable[[#This Row],[SC Is Booked]], SnapshotTable[[#This Row],[SC Qty]] * SnapshotTable[[#This Row],[SC Book Price]] * 100, 0)</f>
        <v>0</v>
      </c>
      <c r="EW33" s="4" t="str">
        <f>IF(AND(ISNUMBER(SnapshotTable[[#This Row],[Last Price]]), ISNUMBER( SnapshotTable[[#This Row],[SC Book Price]])), SnapshotTable[[#This Row],[Last Price]] - SnapshotTable[[#This Row],[SC Book Price]],"")</f>
        <v/>
      </c>
      <c r="EX33" s="234" t="str">
        <f>IF(SnapshotTable[[#This Row],[SC Is Booked]],IF(SnapshotTable[[#This Row],[SC Intrinsic Value]] &gt; 0, SnapshotTable[[#This Row],[SC Strike Price]], SnapshotTable[[#This Row],[Last Price]]), "")</f>
        <v/>
      </c>
      <c r="EY33" s="4">
        <f>IF(SnapshotTable[[#This Row],[SC Is Booked]], (MinimumPremiumRequired * SnapshotTable[[#This Row],[SC Basis]] * SnapshotTable[[#This Row],[SC Term]]), 0)</f>
        <v>0</v>
      </c>
      <c r="EZ33" s="283"/>
      <c r="FA33" s="218"/>
      <c r="FB33" s="370"/>
      <c r="FC33" s="4">
        <f>IF(SnapshotTable[[#This Row],[SC Is Filled]], btc_max_buyback_amount(SnapshotTable[[#This Row],[SC Fill Date]],SnapshotTable[[#This Row],[SC Exp Date]], SnapshotTable[[#This Row],[SC Book Price]]),0)</f>
        <v>0</v>
      </c>
      <c r="FD33" s="5"/>
      <c r="FE33" s="144" t="str">
        <f>IF(SnapshotTable[[#This Row],[SC Is Filled]], btc_next_cutoff_date(SnapshotTable[[#This Row],[SC Fill Date]],SnapshotTable[[#This Row],[SC Exp Date]]),"")</f>
        <v/>
      </c>
      <c r="FF33" s="4" t="str" cm="1">
        <f t="array" ref="FF33">IF(SnapshotTable[[#This Row],[SC Is Filled]], btc_should_buy_back(SnapshotTable[[#This Row],[SC Fill Date]], SnapshotTable[[#This Row],[SC Exp Date]], SnapshotTable[[#This Row],[SC Book Price]], SnapshotTable[[#This Row],[SC Current Ask]], MockToday, SnapshotTable[[#This Row],[SC Buyback Override]]),"")</f>
        <v/>
      </c>
      <c r="FG33" s="4">
        <f>IF(SnapshotTable[[#This Row],[SC Is Filled]], MAX(0,SnapshotTable[[#This Row],[Last Price]]  - SnapshotTable[[#This Row],[SC Strike Price]]), 0)</f>
        <v>0</v>
      </c>
      <c r="FH33" s="382">
        <f>IF(SnapshotTable[[#This Row],[SC Is Filled]], IF(ISNUMBER(SnapshotTable[[#This Row],[SC Current Ask]]), SnapshotTable[[#This Row],[SC Current Ask]], SnapshotTable[[#This Row],[SC Book Price]]) - SnapshotTable[[#This Row],[SC Intrinsic Value]], 0)</f>
        <v>0</v>
      </c>
      <c r="FI33" s="143"/>
      <c r="FJ33" s="32" t="str">
        <f>IF(SnapshotTable[[#This Row],[SC Is Filled]],100 * SnapshotTable[[#This Row],[SC Qty]] * IF(ISNUMBER(SnapshotTable[[#This Row],[SC Buyback Override]]), SnapshotTable[[#This Row],[SC Buyback Override]], SnapshotTable[[#This Row],[SC Current Ask]]), "")</f>
        <v/>
      </c>
      <c r="FK33" s="250" t="str">
        <f>IF(SnapshotTable[[#This Row],[SC Time Val]]&gt;0, SnapshotTable[[#This Row],[SC Time Val]] / SnapshotTable[[#This Row],[Last Price]],"")</f>
        <v/>
      </c>
      <c r="FL33" s="302" t="str">
        <f>IF(SnapshotTable[[#This Row],[SC Is Booked]], ((SnapshotTable[[#This Row],[Last Price]] -SnapshotTable[[#This Row],[SC Strike Price]]) / SnapshotTable[[#This Row],[Last Price]]) * -1, "")</f>
        <v/>
      </c>
      <c r="FM33" s="157" t="str">
        <f>IF(SnapshotTable[[#This Row],[SC Is Booked]],  (SnapshotTable[[#This Row],[SC Qty]] * 100 * SnapshotTable[[#This Row],[SC Strike Price]]) - SnapshotTable[[#This Row],[SC Current Ask]], "")</f>
        <v/>
      </c>
      <c r="FN33"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 s="157" t="str">
        <f>IF(AND(ISNUMBER(SnapshotTable[[#This Row],[SC Exercise Gross]]), ISNUMBER(SnapshotTable[[#This Row],[Equity Basis Per Share]] )), SnapshotTable[[#This Row],[SC Exercise Gross]] - SnapshotTable[[#This Row],[Equity Basis Total]] +  SnapshotTable[[#This Row],[SC Premium]], "")</f>
        <v/>
      </c>
      <c r="FP33" s="5" t="str">
        <f>IF(ISNUMBER(SnapshotTable[[#This Row],[SC Exercise Gross]]), (SnapshotTable[[#This Row],[SC Exercise Gross]]) / (SnapshotTable[[#This Row],[SC Qty]] * 100), "")</f>
        <v/>
      </c>
      <c r="FQ33" s="27" t="str">
        <f>IF(SnapshotTable[[#This Row],[SC Is Booked]],SnapshotTable[[#This Row],[SC Time Val]] /SnapshotTable[[#This Row],[SC Basis]], "")</f>
        <v/>
      </c>
      <c r="FR33" s="27" t="str" cm="1">
        <f t="array" ref="FR33">IF(AND(ISNUMBER(SnapshotTable[[#This Row],[SC Term]]),ISNUMBER(SnapshotTable[[#This Row],[SC Simple ROO]])), EllmanAnnualize(SnapshotTable[[#This Row],[SC DTE]], SnapshotTable[[#This Row],[SC Simple ROO]] ),"")</f>
        <v/>
      </c>
      <c r="FS33" s="4" t="e">
        <f>IF(SnapshotTable[[#This Row],[SC Strike Price]] &gt; SnapshotTable[[#This Row],[Last Price]], SnapshotTable[[#This Row],[SC Strike Price]] - SnapshotTable[[#This Row],[Last Price]],0)</f>
        <v>#VALUE!</v>
      </c>
      <c r="FT33" s="27" t="e">
        <f>IF(AND(ISNUMBER(SnapshotTable[[#This Row],[SC Upside Potential]]), SnapshotTable[[#This Row],[SC Upside Potential]] &gt; 0),(SnapshotTable[[#This Row],[SC Upside Potential]]/ SnapshotTable[[#This Row],[ACB]]),"")</f>
        <v>#VALUE!</v>
      </c>
      <c r="FU33" s="333" t="str">
        <f>IF(SnapshotTable[[#This Row],[SC Intrinsic Value]] &gt; 0,SnapshotTable[[#This Row],[SC Intrinsic Value]],"")</f>
        <v/>
      </c>
      <c r="FV33" s="27" t="str">
        <f>IF(AND( ISNUMBER( SnapshotTable[[#This Row],[ACB]]),ISNUMBER(SnapshotTable[[#This Row],[SC Downside Protect]])),SnapshotTable[[#This Row],[SC Downside Protect]] / SnapshotTable[[#This Row],[ACB]],"")</f>
        <v/>
      </c>
      <c r="FW33" s="236" t="str">
        <f>IF(AND(ISNUMBER(SnapshotTable[[#This Row],[SC Simple ROO]]),SnapshotTable[[#This Row],[SC Simple ROO]] &gt; 0), SnapshotTable[[#This Row],[SC Premium]] + (SnapshotTable[[#This Row],[SC Qty]] * SnapshotTable[[#This Row],[SC Upside Potential]]), "")</f>
        <v/>
      </c>
      <c r="FX33" s="302" t="str" cm="1">
        <f t="array" ref="FX33">IF(ISNUMBER(SnapshotTable[[#This Row],[SC Max Dollars]]), annualize(SnapshotTable[[#This Row],[SC Term]],(SnapshotTable[[#This Row],[SC Max Dollars]]/SnapshotTable[[#This Row],[SC Basis]])),"")</f>
        <v/>
      </c>
      <c r="FY33" s="236" t="str">
        <f>IF(AND(SnapshotTable[[#This Row],[SC Qty]]&gt;0,SnapshotTable[[#This Row],[SC Current Ask]]&gt;0), SnapshotTable[[#This Row],[SC Qty]] * SnapshotTable[[#This Row],[SC Current Ask]] * -100, "")</f>
        <v/>
      </c>
      <c r="FZ33" s="235" t="str">
        <f>IF(ISNUMBER((SnapshotTable[[#This Row],[SC Current Value]])), SnapshotTable[[#This Row],[SC Premium]] + SnapshotTable[[#This Row],[SC Current Value]], "")</f>
        <v/>
      </c>
      <c r="GA33" s="294" t="str">
        <f>IFERROR( IF(ISNUMBER((SnapshotTable[[#This Row],[SC Current Value]])), SnapshotTable[[#This Row],[SC Gain Loss]] / SnapshotTable[[#This Row],[SC Premium]], ""), "")</f>
        <v/>
      </c>
      <c r="GB33" s="322">
        <f>SnapshotTable[[#This Row],[Equity Shares]] * SaleSharesToConsiderPercentage</f>
        <v>0</v>
      </c>
      <c r="GC33" s="323">
        <f>SnapshotTable[[#This Row],[Long Term Target]] * SellingPriceToConsiderBasedOnTargetPercentage</f>
        <v>15.237999999999998</v>
      </c>
      <c r="GD33" s="323">
        <f>SnapshotTable[[#This Row],[Last Price]] * (1+ SellingPriceToConsiderBasedOnTargetPercentage)</f>
        <v>11.271000000000001</v>
      </c>
      <c r="GE33" s="324"/>
      <c r="GF33" s="323"/>
      <c r="GG33" s="31">
        <f>SnapshotTable[[#This Row],[Booked Sale Shares]] * SnapshotTable[[#This Row],[Booked Sale Price]]</f>
        <v>0</v>
      </c>
      <c r="GH33" s="31" t="str">
        <f>IF(SnapshotTable[[#This Row],[Equity Basis Total]] &gt; 0, SnapshotTable[[#This Row],[Equity Basis Per Share]] * SnapshotTable[[#This Row],[Booked Sale Shares]], "")</f>
        <v/>
      </c>
      <c r="GI33" s="31">
        <f>IF(SnapshotTable[[#This Row],[Sale Proceeds]]&gt;0, SnapshotTable[[#This Row],[Sale Proceeds]] - SnapshotTable[[#This Row],[Sale Basis]], 0)</f>
        <v>0</v>
      </c>
      <c r="GJ33" s="158" t="str">
        <f>IF(SnapshotTable[[#This Row],[Sale G/L]]&gt;0, SnapshotTable[[#This Row],[Sale G/L]] / SnapshotTable[[#This Row],[Sale Basis]], IF(ISNUMBER(SnapshotTable[[#This Row],[SC Exercise P&amp;L (TAX)]]), SnapshotTable[[#This Row],[SC Exercise P&amp;L (TAX)]] / SnapshotTable[[#This Row],[SC Basis]], ""))</f>
        <v/>
      </c>
      <c r="GK33" s="27"/>
      <c r="GL33" s="159" t="str">
        <f>IF(AND(SnapshotTable[[#This Row],[LP Exp Date]]&gt;0,SnapshotTable[[#This Row],[LP Strike Price]]&gt;0), [1]!ToOptionSymbol(SnapshotTable[[#This Row],[Symbol]], SnapshotTable[[#This Row],[LP Strike Price]],SnapshotTable[[#This Row],[LP Exp Date]],1), "")</f>
        <v/>
      </c>
      <c r="GM33" s="30" t="str">
        <f>IF(LEN(SnapshotTable[[#This Row],[LP Symbol]])&gt;0, 1, "")</f>
        <v/>
      </c>
      <c r="GN33" s="43" t="str">
        <f>IF(AND(SnapshotTable[[#This Row],[SP Exp Date]]&gt;0,SnapshotTable[[#This Row],[SP Strike Price]]&gt;0), [1]!ToOptionSymbol(SnapshotTable[[#This Row],[Symbol]], SnapshotTable[[#This Row],[SP Strike Price]],SnapshotTable[[#This Row],[SP Exp Date]],1), "")</f>
        <v/>
      </c>
      <c r="GO33" s="30" t="str">
        <f>IF(LEN(SnapshotTable[[#This Row],[SP Symbol]])&gt;0, 1, "")</f>
        <v/>
      </c>
      <c r="GP33" s="159" t="str">
        <f>IF(AND(SnapshotTable[[#This Row],[LC Exp Date]]&gt;0,SnapshotTable[[#This Row],[LC Strike Price]]&gt;0), [1]!ToOptionSymbol(SnapshotTable[[#This Row],[Symbol]], SnapshotTable[[#This Row],[LC Strike Price]],SnapshotTable[[#This Row],[LC Exp Date]],0), "")</f>
        <v/>
      </c>
      <c r="GQ33" s="160" t="str">
        <f>IF(LEN(SnapshotTable[[#This Row],[LC Symbol]])&gt;0, 1, "")</f>
        <v/>
      </c>
      <c r="GR33" s="159" t="str">
        <f>IF(AND(SnapshotTable[[#This Row],[SC Exp Date]]&gt;0,SnapshotTable[[#This Row],[SC Strike Price]]&gt;0), [1]!ToOptionSymbol(SnapshotTable[[#This Row],[Symbol]], SnapshotTable[[#This Row],[SC Strike Price]],SnapshotTable[[#This Row],[SC Exp Date]],0), "")</f>
        <v/>
      </c>
      <c r="GS33" s="160" t="str">
        <f>IF(LEN(SnapshotTable[[#This Row],[SC Symbol]])&gt;0, 1, "")</f>
        <v/>
      </c>
      <c r="GT33" s="161" t="str">
        <f>IF(COUNT(SnapshotTable[[#This Row],[LP Symbol Count]],SnapshotTable[[#This Row],[SP Symbol Count]],SnapshotTable[[#This Row],[LC Symbol Count]],SnapshotTable[[#This Row],[SC Symbol Count]])&gt;0, "Y", "")</f>
        <v/>
      </c>
      <c r="GU3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 s="231" t="e">
        <f>MAX(SnapshotTable[[#This Row],[Equity Basis Total]],SnapshotTable[[#This Row],[Equity Value]]) + (SnapshotTable[[#This Row],[SP Potential Spend]]- SnapshotTable[[#This Row],[SP Premium]] + SnapshotTable[[#This Row],[LP Premium]])+ (SnapshotTable[[#This Row],[LC Premium]] - SnapshotTable[[#This Row],[SC Premium]])</f>
        <v>#VALUE!</v>
      </c>
      <c r="GW33" s="139" t="e">
        <f>IF(AND(SnapshotTable[[#This Row],[Exposure]] &lt;&gt; 0),SnapshotTable[[#This Row],[Exposure]] / SnapshotTable[[#Totals],[Exposure]], "")</f>
        <v>#VALUE!</v>
      </c>
      <c r="HK33" s="1"/>
      <c r="HL33" s="1"/>
      <c r="HM33" s="1"/>
      <c r="HN33" s="1"/>
      <c r="HO33" s="1"/>
      <c r="HP33" s="1"/>
    </row>
    <row r="34" spans="2:224" s="47" customFormat="1" ht="12.75" hidden="1" customHeight="1" x14ac:dyDescent="0.25">
      <c r="B34" s="12" t="s">
        <v>139</v>
      </c>
      <c r="C34" s="422">
        <v>36.18</v>
      </c>
      <c r="D34" s="208"/>
      <c r="E34" s="39">
        <f>SnapshotTable[[#This Row],[Last Price]]*(1 -CrashDiscount)</f>
        <v>30.753</v>
      </c>
      <c r="F34" s="26" t="s">
        <v>975</v>
      </c>
      <c r="G34" s="26" t="s">
        <v>822</v>
      </c>
      <c r="H34" s="149"/>
      <c r="I34" s="194">
        <v>44776.708333333336</v>
      </c>
      <c r="J34" s="195">
        <v>44776.708333333336</v>
      </c>
      <c r="K34" s="196"/>
      <c r="L34" s="326"/>
      <c r="M34" s="140"/>
      <c r="N34" s="140"/>
      <c r="O34" s="140"/>
      <c r="P34" s="22"/>
      <c r="Q34" s="25"/>
      <c r="R34" s="4" t="str">
        <f>IF(SnapshotTable[[#This Row],[Equity Basis Total]] &gt; 0, SnapshotTable[[#This Row],[Equity Basis Total]] / SnapshotTable[[#This Row],[Equity Shares]], "")</f>
        <v/>
      </c>
      <c r="S34" s="269">
        <f>SnapshotTable[[#This Row],[Last Price]] * SnapshotTable[[#This Row],[Equity Shares]]</f>
        <v>0</v>
      </c>
      <c r="T34" s="269">
        <f>SnapshotTable[[#This Row],[Equity Value]] - SnapshotTable[[#This Row],[Equity Basis Total]]</f>
        <v>0</v>
      </c>
      <c r="U34" s="270" t="str">
        <f>IF(SnapshotTable[[#This Row],[Equity Basis Total]] &gt; 0, SnapshotTable[[#This Row],[Equity G/L]] / SnapshotTable[[#This Row],[Equity Basis Total]], "")</f>
        <v/>
      </c>
      <c r="V34" s="268">
        <v>39.93</v>
      </c>
      <c r="W34" s="268">
        <v>43.8</v>
      </c>
      <c r="X34" s="4" t="str">
        <f>IF(AND(ISNUMBER(SnapshotTable[[#This Row],[Equity Basis Per Share]]),ISNUMBER(SnapshotTable[[#This Row],[Equity Target]])),SnapshotTable[[#This Row],[Equity Target]]-SnapshotTable[[#This Row],[Equity Basis Per Share]],"")</f>
        <v/>
      </c>
      <c r="Y34" s="4" t="str">
        <f>IF(AND(ISNUMBER(SnapshotTable[[#This Row],[Equity Basis Per Share]]),ISNUMBER(SnapshotTable[[#This Row],[Equity Stop Loss]])),SnapshotTable[[#This Row],[Equity Stop Loss]]-SnapshotTable[[#This Row],[Equity Basis Per Share]],"")</f>
        <v/>
      </c>
      <c r="Z34" s="275" t="str">
        <f>IFERROR( TEXT(SnapshotTable[[#This Row],[Equity Max Gain Per Share]] /ABS( SnapshotTable[[#This Row],[Equity Max Loss Per Share]]),"0.0 " ) &amp; " : 1", "")</f>
        <v/>
      </c>
      <c r="AA34" s="31" t="str">
        <f>IF(ISNUMBER(SnapshotTable[[#This Row],[Equity Max Gain Per Share]]),SnapshotTable[[#This Row],[Equity Max Gain Per Share]] * SnapshotTable[[#This Row],[Equity Shares]],"")</f>
        <v/>
      </c>
      <c r="AB34" s="31" t="str">
        <f>IF(ISNUMBER(SnapshotTable[[#This Row],[Equity Max Loss Per Share]]),SnapshotTable[[#This Row],[Equity Max Loss Per Share]] * SnapshotTable[[#This Row],[Equity Shares]],"")</f>
        <v/>
      </c>
      <c r="AC34" s="150">
        <v>1</v>
      </c>
      <c r="AD34" s="151">
        <v>42877</v>
      </c>
      <c r="AE34" s="31">
        <f>(SnapshotTable[[#This Row],[Annual Dividend Per Share]] / 4) * SnapshotTable[[#This Row],[Equity Shares]]</f>
        <v>0</v>
      </c>
      <c r="AF34" s="31">
        <f>SnapshotTable[[#This Row],[Quarterly Div $]] * 4</f>
        <v>0</v>
      </c>
      <c r="AG34" s="7">
        <f>IF(SnapshotTable[[#This Row],[Annual Dividend Per Share]]&gt;0, SnapshotTable[[#This Row],[Annual Dividend Per Share]]  / SnapshotTable[[#This Row],[Last Price]], 0)</f>
        <v>2.7639579878385848E-2</v>
      </c>
      <c r="AH34" s="151">
        <v>42839</v>
      </c>
      <c r="AI34" s="5">
        <v>32.5</v>
      </c>
      <c r="AJ34" s="138">
        <v>56.04</v>
      </c>
      <c r="AK34" s="152">
        <f>IF(ISNUMBER( SnapshotTable[[#This Row],[EBF Target]]),(SnapshotTable[[#This Row],[EBF Target]] - SnapshotTable[[#This Row],[Last Price]]) / SnapshotTable[[#This Row],[Last Price]], "")</f>
        <v>-0.10171365395245992</v>
      </c>
      <c r="AL34" s="152" t="str">
        <f>IF(AND(SnapshotTable[[#This Row],[Equity Basis Total]] &gt; 0,ISNUMBER( SnapshotTable[[#This Row],[Long Term Target]])), SnapshotTable[[#This Row],[From Basis $]] / SnapshotTable[[#This Row],[Equity Basis Total]], "")</f>
        <v/>
      </c>
      <c r="AM34" s="9">
        <f>IF( AND(SnapshotTable[[#This Row],[Equity Shares]] &gt;0,ISNUMBER( SnapshotTable[[#This Row],[Long Term Target]])),(SnapshotTable[[#This Row],[Equity Shares]] * SnapshotTable[[#This Row],[Long Term Target]]) - SnapshotTable[[#This Row],[Equity Basis Total]],0)</f>
        <v>0</v>
      </c>
      <c r="AN34" s="9">
        <f>IF( AND(SnapshotTable[[#This Row],[Equity Shares]] &gt;0,ISNUMBER( SnapshotTable[[#This Row],[Long Term Target]])),(SnapshotTable[[#This Row],[Equity Shares]]*SnapshotTable[[#This Row],[Long Term Target]]) - SnapshotTable[[#This Row],[Equity Value]],0)</f>
        <v>0</v>
      </c>
      <c r="AO34" s="152">
        <f>IF(AND(ISNUMBER( SnapshotTable[[#This Row],[Long Term Target]]), ISNUMBER(SnapshotTable[[#This Row],[Last Price]])),(SnapshotTable[[#This Row],[Long Term Target]] - SnapshotTable[[#This Row],[Last Price]]) / SnapshotTable[[#This Row],[Last Price]], "")</f>
        <v>0.5489220563847429</v>
      </c>
      <c r="AP34" s="5">
        <v>32.5</v>
      </c>
      <c r="AQ34" s="38" t="s">
        <v>89</v>
      </c>
      <c r="AR34" s="5">
        <v>29.38</v>
      </c>
      <c r="AS34" s="38" t="s">
        <v>32</v>
      </c>
      <c r="AT34" s="146" t="s">
        <v>1132</v>
      </c>
      <c r="AU34" s="187" t="str">
        <f>IF(OR(SnapshotTable[[#This Row],[LP No Fill]]="Y",SnapshotTable[[#This Row],[SP Is Filled]],SnapshotTable[[#This Row],[LC Not Filled]]="Y",SnapshotTable[[#This Row],[SC Is Filled]]),"Y","")</f>
        <v/>
      </c>
      <c r="AV34" s="219"/>
      <c r="AW34" s="225"/>
      <c r="AX34" s="220"/>
      <c r="AY34" s="219" t="str">
        <f>IF(SnapshotTable[[#This Row],[Implied Move]]&gt;0, SnapshotTable[[#This Row],[Last Price]]-SnapshotTable[[#This Row],[Implied Move]],"")</f>
        <v/>
      </c>
      <c r="AZ34" s="219" t="str">
        <f>IF(SnapshotTable[[#This Row],[Implied Move]]&gt;0, SnapshotTable[[#This Row],[Last Price]] + SnapshotTable[[#This Row],[Implied Move]],"")</f>
        <v/>
      </c>
      <c r="BA34" s="331">
        <v>29.65</v>
      </c>
      <c r="BB34" s="347"/>
      <c r="BC3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 s="351"/>
      <c r="BE34" s="5"/>
      <c r="BF34" s="14"/>
      <c r="BG34" s="13"/>
      <c r="BH34" s="13"/>
      <c r="BI34" s="5"/>
      <c r="BJ34" s="136">
        <f>IF(SnapshotTable[[#This Row],[LP Qty]] &gt; 0, SnapshotTable[[#This Row],[LP Qty]] * SnapshotTable[[#This Row],[LP Book Price]] * 100,0)</f>
        <v>0</v>
      </c>
      <c r="BK34" s="136">
        <f>IF(SnapshotTable[[#This Row],[LP Premium]] &gt; 0, SnapshotTable[[#This Row],[LP Qty]] * SnapshotTable[[#This Row],[LP Strike Price]] * 100,0)</f>
        <v>0</v>
      </c>
      <c r="BL34" s="154"/>
      <c r="BM34" s="385" t="str">
        <f>IF(SnapshotTable[[#This Row],[LP Premium]] &gt; 0,SnapshotTable[[#This Row],[LP Exp Date]]-MAX(SnapshotTable[[#This Row],[LP Book Date]], SnapshotTable[[#This Row],[LP Fill Date]]),"")</f>
        <v/>
      </c>
      <c r="BN34" s="385" t="str">
        <f>IF(ISNUMBER( SnapshotTable[[#This Row],[LP Term]]), SnapshotTable[[#This Row],[LP Exp Date]] - MockToday,"")</f>
        <v/>
      </c>
      <c r="BO34" s="163" t="str">
        <f>IF(AND(SnapshotTable[[#This Row],[LP Exp Date]]&gt;0, SnapshotTable[[#This Row],[LP Strike Price]]&gt;0,SnapshotTable[[#This Row],[LP Qty]]&gt;0,SnapshotTable[[#This Row],[LP Book Date]]&gt;0,SnapshotTable[[#This Row],[LP Book Price]]&gt;0,SnapshotTable[[#This Row],[LP Fill Date]]=0),"Y","")</f>
        <v/>
      </c>
      <c r="BP34" s="31" t="str">
        <f>IF(AND(SnapshotTable[[#This Row],[LP No Fill]]&lt;&gt;"Y",SnapshotTable[[#This Row],[LP Contract Value]]&gt;0, SnapshotTable[[#This Row],[LP Qty]]&gt;0), SnapshotTable[[#This Row],[LP Contract Value]]*SnapshotTable[[#This Row],[LP Qty]]*100,"")</f>
        <v/>
      </c>
      <c r="BQ34" s="13"/>
      <c r="BR34" s="5" t="str">
        <f>IF(SnapshotTable[[#This Row],[SP Exp Date]]&lt;&gt;"",TRUNC(SnapshotTable[[#This Row],[Last Price]]),"")</f>
        <v/>
      </c>
      <c r="BS34" s="36"/>
      <c r="BT34" s="147"/>
      <c r="BU34" s="13"/>
      <c r="BV34" s="5"/>
      <c r="BW34" s="419" t="b">
        <f>AND(ISNUMBER(SnapshotTable[[#This Row],[SP Exp Date]]), ISNUMBER(SnapshotTable[[#This Row],[SP Strike Price]]), ISNUMBER(SnapshotTable[[#This Row],[SP Qty]]), ISNUMBER(SnapshotTable[[#This Row],[SP Book Date]]), ISNUMBER(SnapshotTable[[#This Row],[SP Book Price]]))</f>
        <v>0</v>
      </c>
      <c r="BX34" s="419" t="b">
        <f>AND(SnapshotTable[[#This Row],[SP Is Booked]], NOT(ISBLANK(SnapshotTable[[#This Row],[SP Fill Date]])))</f>
        <v>0</v>
      </c>
      <c r="BY34" s="33">
        <f>IF(SnapshotTable[[#This Row],[SP Is Booked]], SnapshotTable[[#This Row],[SP Qty]] * SnapshotTable[[#This Row],[SP Book Price]] * 100, 0)</f>
        <v>0</v>
      </c>
      <c r="BZ34" s="369"/>
      <c r="CA34" s="368">
        <f>SnapshotTable[[#This Row],[LP Qty]]</f>
        <v>0</v>
      </c>
      <c r="CB34" s="4" t="str">
        <f>IF(SnapshotTable[[#This Row],[SP Is Booked]], SnapshotTable[[#This Row],[SP Strike Price]] - SnapshotTable[[#This Row],[SP Book Price]], "")</f>
        <v/>
      </c>
      <c r="CC34" s="19" t="str">
        <f>IF(SnapshotTable[[#This Row],[SP Is Booked]],SnapshotTable[[#This Row],[SP Exp Date]]-MAX(SnapshotTable[[#This Row],[SP Book Date]], SnapshotTable[[#This Row],[SP Fill Date]]),"")</f>
        <v/>
      </c>
      <c r="CD34" s="7" t="str">
        <f>IF(SnapshotTable[[#This Row],[SP Is Booked]], SnapshotTable[[#This Row],[SP Book Price]]/SnapshotTable[[#This Row],[SP Strike Price]], "")</f>
        <v/>
      </c>
      <c r="CE34" s="7" t="str">
        <f>IF(ISNUMBER(SnapshotTable[[#This Row],[SP ROO Term]]),SnapshotTable[[#This Row],[SP ROO Term]]*(365/SnapshotTable[[#This Row],[SP Term]]),"")</f>
        <v/>
      </c>
      <c r="CF34" s="236">
        <f>SnapshotTable[[#This Row],[LP Strike Price]] * SnapshotTable[[#This Row],[LP Qty]] * 100</f>
        <v>0</v>
      </c>
      <c r="CG34" s="31" t="e">
        <f>IF(ISNUMBER(SnapshotTable[[#This Row],[SP Premium]]), (SnapshotTable[[#This Row],[SP Qty]] * SnapshotTable[[#This Row],[SP Strike Price]]* 100) - SnapshotTable[[#This Row],[LP Protection]], 0)</f>
        <v>#VALUE!</v>
      </c>
      <c r="CH34" s="7" t="str">
        <f>IF(ISNUMBER(SnapshotTable[[#This Row],[SP Break Even]]),-1 * (SnapshotTable[[#This Row],[SP Break Even]] - SnapshotTable[[#This Row],[Last Price]]) / SnapshotTable[[#This Row],[Last Price]], "")</f>
        <v/>
      </c>
      <c r="CI34" s="31">
        <f>IF(AND(ISNUMBER((SnapshotTable[[#This Row],[SP Potential Spend]])), SnapshotTable[[#This Row],[SP Strike Price]] &gt; SnapshotTable[[#This Row],[Last Price]], SnapshotTable[[#This Row],[SP Is Filled]]), SnapshotTable[[#This Row],[SP Potential Spend]] -  SnapshotTable[[#This Row],[LP Max Value]], 0)</f>
        <v>0</v>
      </c>
      <c r="CJ34" s="244"/>
      <c r="CK34" s="31" t="str">
        <f>IF(ISNUMBER(SnapshotTable[[#This Row],[SP Potential Spend]]),IF(ISNUMBER(SnapshotTable[[#This Row],[SP POW]]), SnapshotTable[[#This Row],[SP POW]] * SnapshotTable[[#This Row],[SP Potential Spend]], SnapshotTable[[#This Row],[SP Potential Spend]]), "")</f>
        <v/>
      </c>
      <c r="CL34" s="164" t="e">
        <f>IF(NOT(SnapshotTable[[#This Row],[SP Is Filled]]),(SnapshotTable[[#This Row],[SP Qty]] * SnapshotTable[[#This Row],[SP Strike Price]] * 100) - SnapshotTable[[#This Row],[LP Max Value]],"")</f>
        <v>#VALUE!</v>
      </c>
      <c r="CM34" s="31" t="str">
        <f>IF(SnapshotTable[[#This Row],[SP Actual Spend]]&lt;&gt;0, ((SnapshotTable[[#This Row],[SP Strike Price]]-SnapshotTable[[#This Row],[Last Price]]) *(SnapshotTable[[#This Row],[SP Qty]]*100) - SnapshotTable[[#This Row],[SP Premium]]) * - 1, "")</f>
        <v/>
      </c>
      <c r="CN34" s="78"/>
      <c r="CO34" s="369"/>
      <c r="CP34" s="4" t="str">
        <f>IF(SnapshotTable[[#This Row],[SP Is Filled]], btc_max_buyback_amount(SnapshotTable[[#This Row],[SP Fill Date]],SnapshotTable[[#This Row],[SP Exp Date]], SnapshotTable[[#This Row],[SP Book Price]]),"")</f>
        <v/>
      </c>
      <c r="CQ34" s="78"/>
      <c r="CR3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 s="155" t="str">
        <f>IF(SnapshotTable[[#This Row],[SP Is Filled]], btc_next_cutoff_date(SnapshotTable[[#This Row],[SP Fill Date]],SnapshotTable[[#This Row],[SP Exp Date]]),"")</f>
        <v/>
      </c>
      <c r="CT34" s="235" t="str" cm="1">
        <f t="array" ref="CT34">IF(SnapshotTable[[#This Row],[SP Is Filled]], btc_should_buy_back(SnapshotTable[[#This Row],[SP Fill Date]], SnapshotTable[[#This Row],[SP Exp Date]], SnapshotTable[[#This Row],[SP Book Price]], SnapshotTable[[#This Row],[SP Current Ask]], MockToday, SnapshotTable[[#This Row],[SP Buyback Override]]),"")</f>
        <v/>
      </c>
      <c r="CU34" s="143"/>
      <c r="CV34" s="235"/>
      <c r="CW34" s="378" t="str">
        <f>IF(ISNUMBER( SnapshotTable[[#This Row],[SP Term]]), SnapshotTable[[#This Row],[SP Exp Date]] - MockToday,"")</f>
        <v/>
      </c>
      <c r="CX34" s="31" t="str">
        <f>IF(SnapshotTable[[#This Row],[SP Is Filled]],SnapshotTable[[#This Row],[SP Buyback Price to Use]] * 100 * SnapshotTable[[#This Row],[SP Qty]], "")</f>
        <v/>
      </c>
      <c r="CY34" s="4" t="str">
        <f>IF(ISNUMBER(SnapshotTable[[#This Row],[SP Strike Price]]), SnapshotTable[[#This Row],[SP Strike Price]] * (1 - SP_MaxLoss_StrikePct), "")</f>
        <v/>
      </c>
      <c r="CZ34" s="31" t="str">
        <f>IF(ISNUMBER(SnapshotTable[[#This Row],[SP Strike  Stop Per Share]]),SnapshotTable[[#This Row],[SP Premium]] - ((SnapshotTable[[#This Row],[SP Strike Price]]-SnapshotTable[[#This Row],[SP Strike  Stop Per Share]]) *(SnapshotTable[[#This Row],[SP Qty]] * 100)),"")</f>
        <v/>
      </c>
      <c r="DA34" s="4" t="str">
        <f>IF(AND(ISNUMBER(SnapshotTable[[#This Row],[SP Premium]]),SnapshotTable[[#This Row],[SP Premium]]&gt;0), SnapshotTable[[#This Row],[SP Book Price]] * (1 + SP_MaxLoss_OptionPct), "")</f>
        <v/>
      </c>
      <c r="DB34" s="31" t="str">
        <f>IF(ISNUMBER(SnapshotTable[[#This Row],[SP Option  Stop Contract]]),(SnapshotTable[[#This Row],[SP Option  Stop Contract]] *(SnapshotTable[[#This Row],[SP Qty]] * 100) - SnapshotTable[[#This Row],[SP Premium]]),"")</f>
        <v/>
      </c>
      <c r="DC34" s="4"/>
      <c r="DD34" s="4"/>
      <c r="DE34" s="4" t="str">
        <f>IF(AND(SnapshotTable[[#This Row],[SP Qty]]&gt;0, SnapshotTable[[#This Row],[SP Stop To Use]]&gt;0),SnapshotTable[[#This Row],[SP Premium]] - ( SnapshotTable[[#This Row],[SP Qty]] * SnapshotTable[[#This Row],[SP Stop To Use]] * 100), "")</f>
        <v/>
      </c>
      <c r="DF34" s="31" t="str">
        <f>IF(AND(SnapshotTable[[#This Row],[SP Qty]]&gt;0,SnapshotTable[[#This Row],[SP Current Ask]]&gt;0), SnapshotTable[[#This Row],[SP Qty]] * SnapshotTable[[#This Row],[SP Current Ask]] * -100, "")</f>
        <v/>
      </c>
      <c r="DG34" s="31" t="str">
        <f>IF(ISNUMBER((SnapshotTable[[#This Row],[SP Total Value]])), SnapshotTable[[#This Row],[SP Premium]] + SnapshotTable[[#This Row],[SP Total Value]], "")</f>
        <v/>
      </c>
      <c r="DH34" s="294" t="str">
        <f>IF(ISNUMBER((SnapshotTable[[#This Row],[SP Total Value]])), SnapshotTable[[#This Row],[SP Gain Loss]] / SnapshotTable[[#This Row],[SP Premium]], "")</f>
        <v/>
      </c>
      <c r="DI34" s="406"/>
      <c r="DJ34" s="138"/>
      <c r="DK34" s="148"/>
      <c r="DL34" s="13"/>
      <c r="DM34" s="13"/>
      <c r="DN34" s="5"/>
      <c r="DO34" s="31">
        <f>IF(SnapshotTable[[#This Row],[LC Symbol Count]]=1, SnapshotTable[[#This Row],[LC Qty]] * SnapshotTable[[#This Row],[LC Book Price]] * 100, 0)</f>
        <v>0</v>
      </c>
      <c r="DP34" s="163" t="str">
        <f>IF(AND(SnapshotTable[[#This Row],[LC Exp Date]]&gt;0, SnapshotTable[[#This Row],[LC Strike Price]]&gt;0,SnapshotTable[[#This Row],[LC Qty]]&gt;0,SnapshotTable[[#This Row],[LC Book Date]]&gt;0,SnapshotTable[[#This Row],[LC Book Price]]&gt;0,SnapshotTable[[#This Row],[LC Fill Date]]=0),"Y","")</f>
        <v/>
      </c>
      <c r="DQ34" s="386" t="str">
        <f>IF(SnapshotTable[[#This Row],[LC Premium]] &gt; 0,SnapshotTable[[#This Row],[LC Exp Date]]-MAX(SnapshotTable[[#This Row],[LC Book Date]], SnapshotTable[[#This Row],[LC Fill Date]]),"")</f>
        <v/>
      </c>
      <c r="DR34" s="386" t="str">
        <f>IF(ISNUMBER(SnapshotTable[[#This Row],[LC Term]]), SnapshotTable[[#This Row],[LC Exp Date]] - MockToday, "")</f>
        <v/>
      </c>
      <c r="DS34" s="234" t="str">
        <f>IF(SnapshotTable[[#This Row],[LC Premium]]&gt;0,SnapshotTable[[#This Row],[LC Strike Price]] + SnapshotTable[[#This Row],[LC Book Price]],"")</f>
        <v/>
      </c>
      <c r="DT34" s="5"/>
      <c r="DU34" s="9" t="str">
        <f>IF(AND(SnapshotTable[[#This Row],[LC Symbol Count]]&gt;0, SnapshotTable[[#This Row],[LC Contract Value]]&gt;0), SnapshotTable[[#This Row],[LC Contract Value]] * SnapshotTable[[#This Row],[LC Qty]] * 100, "")</f>
        <v/>
      </c>
      <c r="DV34" s="9" t="str">
        <f>IF(AND(ISNUMBER(SnapshotTable[[#This Row],[LC Total Value]]), SnapshotTable[[#This Row],[LC Not Filled]]&lt;&gt;"Y"), SnapshotTable[[#This Row],[LC Total Value]]-SnapshotTable[[#This Row],[LC Premium]],"")</f>
        <v/>
      </c>
      <c r="DW34" s="240" t="str">
        <f>IF(ISNUMBER(SnapshotTable[[#This Row],[LC Actual Gain Loss]]), SnapshotTable[[#This Row],[LC Actual Gain Loss]] / SnapshotTable[[#This Row],[LC Premium]],"")</f>
        <v/>
      </c>
      <c r="DX34" s="284" t="str">
        <f>IF(ISNUMBER(SnapshotTable[[#This Row],[LC Book Price]]),SnapshotTable[[#This Row],[LC Book Price]] * 1.5,"")</f>
        <v/>
      </c>
      <c r="DY34" s="265" t="str">
        <f>IF(SnapshotTable[[#This Row],[LC Premium]]&gt;0, SnapshotTable[[#This Row],[LC Next Target]] * SnapshotTable[[#This Row],[LC Qty]] * 100,"")</f>
        <v/>
      </c>
      <c r="DZ34" s="265" t="str">
        <f>IF(ISNUMBER(SnapshotTable[[#This Row],[LC Target Gross]]), SnapshotTable[[#This Row],[LC Target Gross]] - SnapshotTable[[#This Row],[LC Premium]], "")</f>
        <v/>
      </c>
      <c r="EA34" s="305" t="str">
        <f>IF(ISNUMBER(SnapshotTable[[#This Row],[LC Target Gain Loss]]), SnapshotTable[[#This Row],[LC Target Gain Loss]]/SnapshotTable[[#This Row],[LC Premium]], "")</f>
        <v/>
      </c>
      <c r="EB34" s="262"/>
      <c r="EC34" s="283" t="str">
        <f>IF(SnapshotTable[[#This Row],[LC Premium]]&gt;0, SnapshotTable[[#This Row],[LC Book Price]] * (1 - LC_StopLoss_Pct),"")</f>
        <v/>
      </c>
      <c r="ED34" s="284"/>
      <c r="EE34" s="283" t="str">
        <f>IF(ISNUMBER(SnapshotTable[[#This Row],[LC Contract Value]]),IF(ISNUMBER(SnapshotTable[[#This Row],[LC Stop Loss Override]]), SnapshotTable[[#This Row],[LC Stop Loss Override]],SnapshotTable[[#This Row],[LC Stop Loss Calc Target]]),"")</f>
        <v/>
      </c>
      <c r="EF34" s="31" t="str">
        <f>IF(ISNUMBER(SnapshotTable[[#This Row],[LC Stop  To Use]]), (SnapshotTable[[#This Row],[LC Stop  To Use]] * SnapshotTable[[#This Row],[LC Qty]] * 100),"")</f>
        <v/>
      </c>
      <c r="EG34" s="9" t="str">
        <f>IF(ISNUMBER(SnapshotTable[[#This Row],[LC Total Value]]),SnapshotTable[[#This Row],[LC Stop Loss Amount]] - SnapshotTable[[#This Row],[LC Premium]],"")</f>
        <v/>
      </c>
      <c r="EH34" s="9">
        <f>IF(ISNUMBER(SnapshotTable[[#This Row],[LC Premium]]), SnapshotTable[[#This Row],[LC Qty]] * 100 * SnapshotTable[[#This Row],[LC Strike Price]], "")</f>
        <v>0</v>
      </c>
      <c r="EI34" s="240" t="str">
        <f>IF(AND(ISNUMBER(SnapshotTable[[#This Row],[LC Total Value]]),SnapshotTable[[#This Row],[LC Total Value]]&gt;0),SnapshotTable[[#This Row],[LC Stop Gain Loss]]  / SnapshotTable[[#This Row],[LC Premium]],"")</f>
        <v/>
      </c>
      <c r="EJ34" s="35">
        <f>IF(ISNUMBER(SnapshotTable[[#This Row],[Equity Shares]]),TRUNC(SnapshotTable[[#This Row],[Equity Shares]] / 100),0) + SnapshotTable[[#This Row],[LC Qty]]</f>
        <v>0</v>
      </c>
      <c r="EK34" s="147"/>
      <c r="EL34" s="138" t="str">
        <f>IF(SnapshotTable[[#This Row],[SC Exp Date]]&lt;&gt;"",TRUNC(SnapshotTable[[#This Row],[Last Price]]),"")</f>
        <v/>
      </c>
      <c r="EM34" s="148"/>
      <c r="EN34" s="147"/>
      <c r="EO34" s="147"/>
      <c r="EP34" s="138"/>
      <c r="EQ34" s="419" t="b">
        <f>AND(ISNUMBER(SnapshotTable[[#This Row],[SC Exp Date]]), ISNUMBER(SnapshotTable[[#This Row],[SC Strike Price]]), ISNUMBER(SnapshotTable[[#This Row],[SC Qty]]), ISNUMBER(SnapshotTable[[#This Row],[SC Book Date]]), ISNUMBER(SnapshotTable[[#This Row],[SC Book Price]]))</f>
        <v>0</v>
      </c>
      <c r="ER34" s="419" t="b">
        <f>AND(SnapshotTable[[#This Row],[SC Is Booked]], NOT(ISBLANK(SnapshotTable[[#This Row],[SC Fill Date]])))</f>
        <v>0</v>
      </c>
      <c r="ES34" s="370"/>
      <c r="ET34" s="34" t="str">
        <f>IF(AND(ISNUMBER(SnapshotTable[[#This Row],[SC Exp Date]]), ISNUMBER(SnapshotTable[[#This Row],[SC Book Date]])), SnapshotTable[[#This Row],[SC Exp Date]] - MAX(SnapshotTable[[#This Row],[SC Book Date]], SnapshotTable[[#This Row],[SC Fill Date]]) + 1, "")</f>
        <v/>
      </c>
      <c r="EU34" s="34" t="str">
        <f>IF(ISNUMBER(SnapshotTable[[#This Row],[SC Term]]), SnapshotTable[[#This Row],[SC Exp Date]]- MockToday, "")</f>
        <v/>
      </c>
      <c r="EV34" s="31">
        <f>IF(SnapshotTable[[#This Row],[SC Is Booked]], SnapshotTable[[#This Row],[SC Qty]] * SnapshotTable[[#This Row],[SC Book Price]] * 100, 0)</f>
        <v>0</v>
      </c>
      <c r="EW34" s="4" t="str">
        <f>IF(AND(ISNUMBER(SnapshotTable[[#This Row],[Last Price]]), ISNUMBER( SnapshotTable[[#This Row],[SC Book Price]])), SnapshotTable[[#This Row],[Last Price]] - SnapshotTable[[#This Row],[SC Book Price]],"")</f>
        <v/>
      </c>
      <c r="EX34" s="234" t="str">
        <f>IF(SnapshotTable[[#This Row],[SC Is Booked]],IF(SnapshotTable[[#This Row],[SC Intrinsic Value]] &gt; 0, SnapshotTable[[#This Row],[SC Strike Price]], SnapshotTable[[#This Row],[Last Price]]), "")</f>
        <v/>
      </c>
      <c r="EY34" s="4">
        <f>IF(SnapshotTable[[#This Row],[SC Is Booked]], (MinimumPremiumRequired * SnapshotTable[[#This Row],[SC Basis]] * SnapshotTable[[#This Row],[SC Term]]), 0)</f>
        <v>0</v>
      </c>
      <c r="EZ34" s="283"/>
      <c r="FA34" s="218"/>
      <c r="FB34" s="370"/>
      <c r="FC34" s="4">
        <f>IF(SnapshotTable[[#This Row],[SC Is Filled]], btc_max_buyback_amount(SnapshotTable[[#This Row],[SC Fill Date]],SnapshotTable[[#This Row],[SC Exp Date]], SnapshotTable[[#This Row],[SC Book Price]]),0)</f>
        <v>0</v>
      </c>
      <c r="FD34" s="5"/>
      <c r="FE34" s="144" t="str">
        <f>IF(SnapshotTable[[#This Row],[SC Is Filled]], btc_next_cutoff_date(SnapshotTable[[#This Row],[SC Fill Date]],SnapshotTable[[#This Row],[SC Exp Date]]),"")</f>
        <v/>
      </c>
      <c r="FF34" s="4" t="str" cm="1">
        <f t="array" ref="FF34">IF(SnapshotTable[[#This Row],[SC Is Filled]], btc_should_buy_back(SnapshotTable[[#This Row],[SC Fill Date]], SnapshotTable[[#This Row],[SC Exp Date]], SnapshotTable[[#This Row],[SC Book Price]], SnapshotTable[[#This Row],[SC Current Ask]], MockToday, SnapshotTable[[#This Row],[SC Buyback Override]]),"")</f>
        <v/>
      </c>
      <c r="FG34" s="4">
        <f>IF(SnapshotTable[[#This Row],[SC Is Filled]], MAX(0,SnapshotTable[[#This Row],[Last Price]]  - SnapshotTable[[#This Row],[SC Strike Price]]), 0)</f>
        <v>0</v>
      </c>
      <c r="FH34" s="382">
        <f>IF(SnapshotTable[[#This Row],[SC Is Filled]], IF(ISNUMBER(SnapshotTable[[#This Row],[SC Current Ask]]), SnapshotTable[[#This Row],[SC Current Ask]], SnapshotTable[[#This Row],[SC Book Price]]) - SnapshotTable[[#This Row],[SC Intrinsic Value]], 0)</f>
        <v>0</v>
      </c>
      <c r="FI34" s="143"/>
      <c r="FJ34" s="32" t="str">
        <f>IF(SnapshotTable[[#This Row],[SC Is Filled]],100 * SnapshotTable[[#This Row],[SC Qty]] * IF(ISNUMBER(SnapshotTable[[#This Row],[SC Buyback Override]]), SnapshotTable[[#This Row],[SC Buyback Override]], SnapshotTable[[#This Row],[SC Current Ask]]), "")</f>
        <v/>
      </c>
      <c r="FK34" s="250" t="str">
        <f>IF(SnapshotTable[[#This Row],[SC Time Val]]&gt;0, SnapshotTable[[#This Row],[SC Time Val]] / SnapshotTable[[#This Row],[Last Price]],"")</f>
        <v/>
      </c>
      <c r="FL34" s="302" t="str">
        <f>IF(SnapshotTable[[#This Row],[SC Is Booked]], ((SnapshotTable[[#This Row],[Last Price]] -SnapshotTable[[#This Row],[SC Strike Price]]) / SnapshotTable[[#This Row],[Last Price]]) * -1, "")</f>
        <v/>
      </c>
      <c r="FM34" s="157" t="str">
        <f>IF(SnapshotTable[[#This Row],[SC Is Booked]],  (SnapshotTable[[#This Row],[SC Qty]] * 100 * SnapshotTable[[#This Row],[SC Strike Price]]) - SnapshotTable[[#This Row],[SC Current Ask]], "")</f>
        <v/>
      </c>
      <c r="FN3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 s="31" t="str">
        <f>IF(AND(ISNUMBER(SnapshotTable[[#This Row],[SC Exercise Gross]]), ISNUMBER(SnapshotTable[[#This Row],[Equity Basis Per Share]] )), SnapshotTable[[#This Row],[SC Exercise Gross]] - SnapshotTable[[#This Row],[Equity Basis Total]] +  SnapshotTable[[#This Row],[SC Premium]], "")</f>
        <v/>
      </c>
      <c r="FP34" s="5" t="str">
        <f>IF(ISNUMBER(SnapshotTable[[#This Row],[SC Exercise Gross]]), (SnapshotTable[[#This Row],[SC Exercise Gross]]) / (SnapshotTable[[#This Row],[SC Qty]] * 100), "")</f>
        <v/>
      </c>
      <c r="FQ34" s="27" t="str">
        <f>IF(SnapshotTable[[#This Row],[SC Is Booked]],SnapshotTable[[#This Row],[SC Time Val]] /SnapshotTable[[#This Row],[SC Basis]], "")</f>
        <v/>
      </c>
      <c r="FR34" s="27" t="str" cm="1">
        <f t="array" ref="FR34">IF(AND(ISNUMBER(SnapshotTable[[#This Row],[SC Term]]),ISNUMBER(SnapshotTable[[#This Row],[SC Simple ROO]])), EllmanAnnualize(SnapshotTable[[#This Row],[SC DTE]], SnapshotTable[[#This Row],[SC Simple ROO]] ),"")</f>
        <v/>
      </c>
      <c r="FS34" s="4" t="e">
        <f>IF(SnapshotTable[[#This Row],[SC Strike Price]] &gt; SnapshotTable[[#This Row],[Last Price]], SnapshotTable[[#This Row],[SC Strike Price]] - SnapshotTable[[#This Row],[Last Price]],0)</f>
        <v>#VALUE!</v>
      </c>
      <c r="FT34" s="27" t="e">
        <f>IF(AND(ISNUMBER(SnapshotTable[[#This Row],[SC Upside Potential]]), SnapshotTable[[#This Row],[SC Upside Potential]] &gt; 0),(SnapshotTable[[#This Row],[SC Upside Potential]]/ SnapshotTable[[#This Row],[ACB]]),"")</f>
        <v>#VALUE!</v>
      </c>
      <c r="FU34" s="333" t="str">
        <f>IF(SnapshotTable[[#This Row],[SC Intrinsic Value]] &gt; 0,SnapshotTable[[#This Row],[SC Intrinsic Value]],"")</f>
        <v/>
      </c>
      <c r="FV34" s="27" t="str">
        <f>IF(AND( ISNUMBER( SnapshotTable[[#This Row],[ACB]]),ISNUMBER(SnapshotTable[[#This Row],[SC Downside Protect]])),SnapshotTable[[#This Row],[SC Downside Protect]] / SnapshotTable[[#This Row],[ACB]],"")</f>
        <v/>
      </c>
      <c r="FW34" s="236" t="str">
        <f>IF(AND(ISNUMBER(SnapshotTable[[#This Row],[SC Simple ROO]]),SnapshotTable[[#This Row],[SC Simple ROO]] &gt; 0), SnapshotTable[[#This Row],[SC Premium]] + (SnapshotTable[[#This Row],[SC Qty]] * SnapshotTable[[#This Row],[SC Upside Potential]]), "")</f>
        <v/>
      </c>
      <c r="FX34" s="302" t="str" cm="1">
        <f t="array" ref="FX34">IF(ISNUMBER(SnapshotTable[[#This Row],[SC Max Dollars]]), annualize(SnapshotTable[[#This Row],[SC Term]],(SnapshotTable[[#This Row],[SC Max Dollars]]/SnapshotTable[[#This Row],[SC Basis]])),"")</f>
        <v/>
      </c>
      <c r="FY34" s="236" t="str">
        <f>IF(AND(SnapshotTable[[#This Row],[SC Qty]]&gt;0,SnapshotTable[[#This Row],[SC Current Ask]]&gt;0), SnapshotTable[[#This Row],[SC Qty]] * SnapshotTable[[#This Row],[SC Current Ask]] * -100, "")</f>
        <v/>
      </c>
      <c r="FZ34" s="31" t="str">
        <f>IF(ISNUMBER((SnapshotTable[[#This Row],[SC Current Value]])), SnapshotTable[[#This Row],[SC Premium]] + SnapshotTable[[#This Row],[SC Current Value]], "")</f>
        <v/>
      </c>
      <c r="GA34" s="294" t="str">
        <f>IFERROR( IF(ISNUMBER((SnapshotTable[[#This Row],[SC Current Value]])), SnapshotTable[[#This Row],[SC Gain Loss]] / SnapshotTable[[#This Row],[SC Premium]], ""), "")</f>
        <v/>
      </c>
      <c r="GB34" s="42">
        <f>SnapshotTable[[#This Row],[Equity Shares]] * SaleSharesToConsiderPercentage</f>
        <v>0</v>
      </c>
      <c r="GC34" s="40">
        <f>SnapshotTable[[#This Row],[Long Term Target]] * SellingPriceToConsiderBasedOnTargetPercentage</f>
        <v>53.238</v>
      </c>
      <c r="GD34" s="40">
        <f>SnapshotTable[[#This Row],[Last Price]] * (1+ SellingPriceToConsiderBasedOnTargetPercentage)</f>
        <v>70.551000000000002</v>
      </c>
      <c r="GE34" s="41"/>
      <c r="GF34" s="40"/>
      <c r="GG34" s="31">
        <f>SnapshotTable[[#This Row],[Booked Sale Shares]] * SnapshotTable[[#This Row],[Booked Sale Price]]</f>
        <v>0</v>
      </c>
      <c r="GH34" s="31" t="str">
        <f>IF(SnapshotTable[[#This Row],[Equity Basis Total]] &gt; 0, SnapshotTable[[#This Row],[Equity Basis Per Share]] * SnapshotTable[[#This Row],[Booked Sale Shares]], "")</f>
        <v/>
      </c>
      <c r="GI34" s="31">
        <f>IF(SnapshotTable[[#This Row],[Sale Proceeds]]&gt;0, SnapshotTable[[#This Row],[Sale Proceeds]] - SnapshotTable[[#This Row],[Sale Basis]], 0)</f>
        <v>0</v>
      </c>
      <c r="GJ34" s="27" t="str">
        <f>IF(SnapshotTable[[#This Row],[Sale G/L]]&gt;0, SnapshotTable[[#This Row],[Sale G/L]] / SnapshotTable[[#This Row],[Sale Basis]], IF(ISNUMBER(SnapshotTable[[#This Row],[SC Exercise P&amp;L (TAX)]]), SnapshotTable[[#This Row],[SC Exercise P&amp;L (TAX)]] / SnapshotTable[[#This Row],[SC Basis]], ""))</f>
        <v/>
      </c>
      <c r="GK34" s="27" t="s">
        <v>635</v>
      </c>
      <c r="GL34" s="43" t="str">
        <f>IF(AND(SnapshotTable[[#This Row],[LP Exp Date]]&gt;0,SnapshotTable[[#This Row],[LP Strike Price]]&gt;0), [1]!ToOptionSymbol(SnapshotTable[[#This Row],[Symbol]], SnapshotTable[[#This Row],[LP Strike Price]],SnapshotTable[[#This Row],[LP Exp Date]],1), "")</f>
        <v/>
      </c>
      <c r="GM34" s="30" t="str">
        <f>IF(LEN(SnapshotTable[[#This Row],[LP Symbol]])&gt;0, 1, "")</f>
        <v/>
      </c>
      <c r="GN34" s="43" t="str">
        <f>IF(AND(SnapshotTable[[#This Row],[SP Exp Date]]&gt;0,SnapshotTable[[#This Row],[SP Strike Price]]&gt;0), [1]!ToOptionSymbol(SnapshotTable[[#This Row],[Symbol]], SnapshotTable[[#This Row],[SP Strike Price]],SnapshotTable[[#This Row],[SP Exp Date]],1), "")</f>
        <v/>
      </c>
      <c r="GO34" s="30" t="str">
        <f>IF(LEN(SnapshotTable[[#This Row],[SP Symbol]])&gt;0, 1, "")</f>
        <v/>
      </c>
      <c r="GP34" s="43" t="str">
        <f>IF(AND(SnapshotTable[[#This Row],[LC Exp Date]]&gt;0,SnapshotTable[[#This Row],[LC Strike Price]]&gt;0), [1]!ToOptionSymbol(SnapshotTable[[#This Row],[Symbol]], SnapshotTable[[#This Row],[LC Strike Price]],SnapshotTable[[#This Row],[LC Exp Date]],0), "")</f>
        <v/>
      </c>
      <c r="GQ34" s="30" t="str">
        <f>IF(LEN(SnapshotTable[[#This Row],[LC Symbol]])&gt;0, 1, "")</f>
        <v/>
      </c>
      <c r="GR34" s="43" t="str">
        <f>IF(AND(SnapshotTable[[#This Row],[SC Exp Date]]&gt;0,SnapshotTable[[#This Row],[SC Strike Price]]&gt;0), [1]!ToOptionSymbol(SnapshotTable[[#This Row],[Symbol]], SnapshotTable[[#This Row],[SC Strike Price]],SnapshotTable[[#This Row],[SC Exp Date]],0), "")</f>
        <v/>
      </c>
      <c r="GS34" s="30" t="str">
        <f>IF(LEN(SnapshotTable[[#This Row],[SC Symbol]])&gt;0, 1, "")</f>
        <v/>
      </c>
      <c r="GT34" s="29" t="str">
        <f>IF(COUNT(SnapshotTable[[#This Row],[LP Symbol Count]],SnapshotTable[[#This Row],[SP Symbol Count]],SnapshotTable[[#This Row],[LC Symbol Count]],SnapshotTable[[#This Row],[SC Symbol Count]])&gt;0, "Y", "")</f>
        <v/>
      </c>
      <c r="GU3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4" s="231" t="e">
        <f>MAX(SnapshotTable[[#This Row],[Equity Basis Total]],SnapshotTable[[#This Row],[Equity Value]]) + (SnapshotTable[[#This Row],[SP Potential Spend]]- SnapshotTable[[#This Row],[SP Premium]] + SnapshotTable[[#This Row],[LP Premium]])+ (SnapshotTable[[#This Row],[LC Premium]] - SnapshotTable[[#This Row],[SC Premium]])</f>
        <v>#VALUE!</v>
      </c>
      <c r="GW34" s="139" t="e">
        <f>IF(AND(SnapshotTable[[#This Row],[Exposure]] &lt;&gt; 0),SnapshotTable[[#This Row],[Exposure]] / SnapshotTable[[#Totals],[Exposure]], "")</f>
        <v>#VALUE!</v>
      </c>
      <c r="GY34" s="381"/>
      <c r="HE34" s="268"/>
      <c r="HF34" s="268"/>
      <c r="HG34" s="381"/>
      <c r="HH34" s="381"/>
      <c r="HI34" s="381"/>
      <c r="HJ34" s="381"/>
    </row>
    <row r="35" spans="2:224" s="47" customFormat="1" ht="12.75" hidden="1" customHeight="1" x14ac:dyDescent="0.25">
      <c r="B35" s="12" t="s">
        <v>246</v>
      </c>
      <c r="C35" s="422">
        <v>20.71</v>
      </c>
      <c r="D35" s="208"/>
      <c r="E35" s="39">
        <f>SnapshotTable[[#This Row],[Last Price]]*(1 -CrashDiscount)</f>
        <v>17.6035</v>
      </c>
      <c r="F35" s="26" t="s">
        <v>975</v>
      </c>
      <c r="G35" s="26" t="s">
        <v>822</v>
      </c>
      <c r="H35" s="149"/>
      <c r="I35" s="194">
        <v>44776.708333333336</v>
      </c>
      <c r="J35" s="195">
        <v>44776.708333333336</v>
      </c>
      <c r="K35" s="196"/>
      <c r="L35" s="326"/>
      <c r="M35" s="140"/>
      <c r="N35" s="140"/>
      <c r="O35" s="140"/>
      <c r="P35" s="22"/>
      <c r="Q35" s="25"/>
      <c r="R35" s="4"/>
      <c r="S35" s="269">
        <f>SnapshotTable[[#This Row],[Last Price]] * SnapshotTable[[#This Row],[Equity Shares]]</f>
        <v>0</v>
      </c>
      <c r="T35" s="269">
        <f>SnapshotTable[[#This Row],[Equity Value]] - SnapshotTable[[#This Row],[Equity Basis Total]]</f>
        <v>0</v>
      </c>
      <c r="U35" s="270" t="str">
        <f>IF(SnapshotTable[[#This Row],[Equity Basis Total]] &gt; 0, SnapshotTable[[#This Row],[Equity G/L]] / SnapshotTable[[#This Row],[Equity Basis Total]], "")</f>
        <v/>
      </c>
      <c r="V35" s="268"/>
      <c r="W35" s="268"/>
      <c r="X35" s="4" t="str">
        <f>IF(AND(ISNUMBER(SnapshotTable[[#This Row],[Equity Basis Per Share]]),ISNUMBER(SnapshotTable[[#This Row],[Equity Target]])),SnapshotTable[[#This Row],[Equity Target]]-SnapshotTable[[#This Row],[Equity Basis Per Share]],"")</f>
        <v/>
      </c>
      <c r="Y35" s="4" t="str">
        <f>IF(AND(ISNUMBER(SnapshotTable[[#This Row],[Equity Basis Per Share]]),ISNUMBER(SnapshotTable[[#This Row],[Equity Stop Loss]])),SnapshotTable[[#This Row],[Equity Stop Loss]]-SnapshotTable[[#This Row],[Equity Basis Per Share]],"")</f>
        <v/>
      </c>
      <c r="Z35" s="275" t="str">
        <f>IFERROR( TEXT(SnapshotTable[[#This Row],[Equity Max Gain Per Share]] /ABS( SnapshotTable[[#This Row],[Equity Max Loss Per Share]]),"0.0 " ) &amp; " : 1", "")</f>
        <v/>
      </c>
      <c r="AA35" s="31" t="str">
        <f>IF(ISNUMBER(SnapshotTable[[#This Row],[Equity Max Gain Per Share]]),SnapshotTable[[#This Row],[Equity Max Gain Per Share]] * SnapshotTable[[#This Row],[Equity Shares]],"")</f>
        <v/>
      </c>
      <c r="AB35" s="31" t="str">
        <f>IF(ISNUMBER(SnapshotTable[[#This Row],[Equity Max Loss Per Share]]),SnapshotTable[[#This Row],[Equity Max Loss Per Share]] * SnapshotTable[[#This Row],[Equity Shares]],"")</f>
        <v/>
      </c>
      <c r="AC35" s="150">
        <v>0.2</v>
      </c>
      <c r="AD35" s="151">
        <v>42452</v>
      </c>
      <c r="AE35" s="31">
        <f>(SnapshotTable[[#This Row],[Annual Dividend Per Share]] / 4) * SnapshotTable[[#This Row],[Equity Shares]]</f>
        <v>0</v>
      </c>
      <c r="AF35" s="31">
        <f>SnapshotTable[[#This Row],[Quarterly Div $]] * 4</f>
        <v>0</v>
      </c>
      <c r="AG35" s="7">
        <f>IF(SnapshotTable[[#This Row],[Annual Dividend Per Share]]&gt;0, SnapshotTable[[#This Row],[Annual Dividend Per Share]]  / SnapshotTable[[#This Row],[Last Price]], 0)</f>
        <v>9.6571704490584255E-3</v>
      </c>
      <c r="AH35" s="151">
        <v>42341</v>
      </c>
      <c r="AI35" s="5">
        <v>65</v>
      </c>
      <c r="AJ35" s="138">
        <v>19.61</v>
      </c>
      <c r="AK35" s="152">
        <f>IF(ISNUMBER( SnapshotTable[[#This Row],[EBF Target]]),(SnapshotTable[[#This Row],[EBF Target]] - SnapshotTable[[#This Row],[Last Price]]) / SnapshotTable[[#This Row],[Last Price]], "")</f>
        <v>2.1385803959439884</v>
      </c>
      <c r="AL35" s="152" t="str">
        <f>IF(AND(SnapshotTable[[#This Row],[Equity Basis Total]] &gt; 0,ISNUMBER( SnapshotTable[[#This Row],[Long Term Target]])), SnapshotTable[[#This Row],[From Basis $]] / SnapshotTable[[#This Row],[Equity Basis Total]], "")</f>
        <v/>
      </c>
      <c r="AM35" s="9">
        <f>IF( AND(SnapshotTable[[#This Row],[Equity Shares]] &gt;0,ISNUMBER( SnapshotTable[[#This Row],[Long Term Target]])),(SnapshotTable[[#This Row],[Equity Shares]] * SnapshotTable[[#This Row],[Long Term Target]]) - SnapshotTable[[#This Row],[Equity Basis Total]],0)</f>
        <v>0</v>
      </c>
      <c r="AN35" s="9">
        <f>IF( AND(SnapshotTable[[#This Row],[Equity Shares]] &gt;0,ISNUMBER( SnapshotTable[[#This Row],[Long Term Target]])),(SnapshotTable[[#This Row],[Equity Shares]]*SnapshotTable[[#This Row],[Long Term Target]]) - SnapshotTable[[#This Row],[Equity Value]],0)</f>
        <v>0</v>
      </c>
      <c r="AO35" s="152">
        <f>IF(AND(ISNUMBER( SnapshotTable[[#This Row],[Long Term Target]]), ISNUMBER(SnapshotTable[[#This Row],[Last Price]])),(SnapshotTable[[#This Row],[Long Term Target]] - SnapshotTable[[#This Row],[Last Price]]) / SnapshotTable[[#This Row],[Last Price]], "")</f>
        <v>-5.3114437469821411E-2</v>
      </c>
      <c r="AP35" s="5">
        <v>8</v>
      </c>
      <c r="AQ35" s="38" t="s">
        <v>27</v>
      </c>
      <c r="AR35" s="5">
        <v>8</v>
      </c>
      <c r="AS35" s="38" t="s">
        <v>38</v>
      </c>
      <c r="AT35" s="146" t="s">
        <v>542</v>
      </c>
      <c r="AU35" s="187" t="str">
        <f>IF(OR(SnapshotTable[[#This Row],[LP No Fill]]="Y",SnapshotTable[[#This Row],[SP Is Filled]],SnapshotTable[[#This Row],[LC Not Filled]]="Y",SnapshotTable[[#This Row],[SC Is Filled]]),"Y","")</f>
        <v/>
      </c>
      <c r="AV35" s="219"/>
      <c r="AW35" s="225"/>
      <c r="AX35" s="220"/>
      <c r="AY35" s="219" t="str">
        <f>IF(SnapshotTable[[#This Row],[Implied Move]]&gt;0, SnapshotTable[[#This Row],[Last Price]]-SnapshotTable[[#This Row],[Implied Move]],"")</f>
        <v/>
      </c>
      <c r="AZ35" s="219" t="str">
        <f>IF(SnapshotTable[[#This Row],[Implied Move]]&gt;0, SnapshotTable[[#This Row],[Last Price]] + SnapshotTable[[#This Row],[Implied Move]],"")</f>
        <v/>
      </c>
      <c r="BA35" s="331"/>
      <c r="BB35" s="347"/>
      <c r="BC3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 s="351"/>
      <c r="BE35" s="5"/>
      <c r="BF35" s="14"/>
      <c r="BG35" s="13"/>
      <c r="BH35" s="13"/>
      <c r="BI35" s="5"/>
      <c r="BJ35" s="136">
        <f>IF(SnapshotTable[[#This Row],[LP Qty]] &gt; 0, SnapshotTable[[#This Row],[LP Qty]] * SnapshotTable[[#This Row],[LP Book Price]] * 100,0)</f>
        <v>0</v>
      </c>
      <c r="BK35" s="136">
        <f>IF(SnapshotTable[[#This Row],[LP Premium]] &gt; 0, SnapshotTable[[#This Row],[LP Qty]] * SnapshotTable[[#This Row],[LP Strike Price]] * 100,0)</f>
        <v>0</v>
      </c>
      <c r="BL35" s="154"/>
      <c r="BM35" s="385" t="str">
        <f>IF(SnapshotTable[[#This Row],[LP Premium]] &gt; 0,SnapshotTable[[#This Row],[LP Exp Date]]-MAX(SnapshotTable[[#This Row],[LP Book Date]], SnapshotTable[[#This Row],[LP Fill Date]]),"")</f>
        <v/>
      </c>
      <c r="BN35" s="385" t="str">
        <f>IF(ISNUMBER( SnapshotTable[[#This Row],[LP Term]]), SnapshotTable[[#This Row],[LP Exp Date]] - MockToday,"")</f>
        <v/>
      </c>
      <c r="BO35" s="163" t="str">
        <f>IF(AND(SnapshotTable[[#This Row],[LP Exp Date]]&gt;0, SnapshotTable[[#This Row],[LP Strike Price]]&gt;0,SnapshotTable[[#This Row],[LP Qty]]&gt;0,SnapshotTable[[#This Row],[LP Book Date]]&gt;0,SnapshotTable[[#This Row],[LP Book Price]]&gt;0,SnapshotTable[[#This Row],[LP Fill Date]]=0),"Y","")</f>
        <v/>
      </c>
      <c r="BP35" s="31" t="str">
        <f>IF(AND(SnapshotTable[[#This Row],[LP No Fill]]&lt;&gt;"Y",SnapshotTable[[#This Row],[LP Contract Value]]&gt;0, SnapshotTable[[#This Row],[LP Qty]]&gt;0), SnapshotTable[[#This Row],[LP Contract Value]]*SnapshotTable[[#This Row],[LP Qty]]*100,"")</f>
        <v/>
      </c>
      <c r="BQ35" s="13"/>
      <c r="BR35" s="5" t="str">
        <f>IF(SnapshotTable[[#This Row],[SP Exp Date]]&lt;&gt;"",TRUNC(SnapshotTable[[#This Row],[Last Price]]),"")</f>
        <v/>
      </c>
      <c r="BS35" s="36"/>
      <c r="BT35" s="147"/>
      <c r="BU35" s="13"/>
      <c r="BV35" s="5"/>
      <c r="BW35" s="419" t="b">
        <f>AND(ISNUMBER(SnapshotTable[[#This Row],[SP Exp Date]]), ISNUMBER(SnapshotTable[[#This Row],[SP Strike Price]]), ISNUMBER(SnapshotTable[[#This Row],[SP Qty]]), ISNUMBER(SnapshotTable[[#This Row],[SP Book Date]]), ISNUMBER(SnapshotTable[[#This Row],[SP Book Price]]))</f>
        <v>0</v>
      </c>
      <c r="BX35" s="419" t="b">
        <f>AND(SnapshotTable[[#This Row],[SP Is Booked]], NOT(ISBLANK(SnapshotTable[[#This Row],[SP Fill Date]])))</f>
        <v>0</v>
      </c>
      <c r="BY35" s="33">
        <f>IF(SnapshotTable[[#This Row],[SP Is Booked]], SnapshotTable[[#This Row],[SP Qty]] * SnapshotTable[[#This Row],[SP Book Price]] * 100, 0)</f>
        <v>0</v>
      </c>
      <c r="BZ35" s="369"/>
      <c r="CA35" s="368">
        <f>SnapshotTable[[#This Row],[LP Qty]]</f>
        <v>0</v>
      </c>
      <c r="CB35" s="4" t="str">
        <f>IF(SnapshotTable[[#This Row],[SP Is Booked]], SnapshotTable[[#This Row],[SP Strike Price]] - SnapshotTable[[#This Row],[SP Book Price]], "")</f>
        <v/>
      </c>
      <c r="CC35" s="19" t="str">
        <f>IF(SnapshotTable[[#This Row],[SP Is Booked]],SnapshotTable[[#This Row],[SP Exp Date]]-MAX(SnapshotTable[[#This Row],[SP Book Date]], SnapshotTable[[#This Row],[SP Fill Date]]),"")</f>
        <v/>
      </c>
      <c r="CD35" s="7" t="str">
        <f>IF(SnapshotTable[[#This Row],[SP Is Booked]], SnapshotTable[[#This Row],[SP Book Price]]/SnapshotTable[[#This Row],[SP Strike Price]], "")</f>
        <v/>
      </c>
      <c r="CE35" s="7" t="str">
        <f>IF(ISNUMBER(SnapshotTable[[#This Row],[SP ROO Term]]),SnapshotTable[[#This Row],[SP ROO Term]]*(365/SnapshotTable[[#This Row],[SP Term]]),"")</f>
        <v/>
      </c>
      <c r="CF35" s="236">
        <f>SnapshotTable[[#This Row],[LP Strike Price]] * SnapshotTable[[#This Row],[LP Qty]] * 100</f>
        <v>0</v>
      </c>
      <c r="CG35" s="31" t="e">
        <f>IF(ISNUMBER(SnapshotTable[[#This Row],[SP Premium]]), (SnapshotTable[[#This Row],[SP Qty]] * SnapshotTable[[#This Row],[SP Strike Price]]* 100) - SnapshotTable[[#This Row],[LP Protection]], 0)</f>
        <v>#VALUE!</v>
      </c>
      <c r="CH35" s="7" t="str">
        <f>IF(ISNUMBER(SnapshotTable[[#This Row],[SP Break Even]]),-1 * (SnapshotTable[[#This Row],[SP Break Even]] - SnapshotTable[[#This Row],[Last Price]]) / SnapshotTable[[#This Row],[Last Price]], "")</f>
        <v/>
      </c>
      <c r="CI35" s="31">
        <f>IF(AND(ISNUMBER((SnapshotTable[[#This Row],[SP Potential Spend]])), SnapshotTable[[#This Row],[SP Strike Price]] &gt; SnapshotTable[[#This Row],[Last Price]], SnapshotTable[[#This Row],[SP Is Filled]]), SnapshotTable[[#This Row],[SP Potential Spend]] -  SnapshotTable[[#This Row],[LP Max Value]], 0)</f>
        <v>0</v>
      </c>
      <c r="CJ35" s="244"/>
      <c r="CK35" s="31" t="str">
        <f>IF(ISNUMBER(SnapshotTable[[#This Row],[SP Potential Spend]]),IF(ISNUMBER(SnapshotTable[[#This Row],[SP POW]]), SnapshotTable[[#This Row],[SP POW]] * SnapshotTable[[#This Row],[SP Potential Spend]], SnapshotTable[[#This Row],[SP Potential Spend]]), "")</f>
        <v/>
      </c>
      <c r="CL35" s="164" t="e">
        <f>IF(NOT(SnapshotTable[[#This Row],[SP Is Filled]]),(SnapshotTable[[#This Row],[SP Qty]] * SnapshotTable[[#This Row],[SP Strike Price]] * 100) - SnapshotTable[[#This Row],[LP Max Value]],"")</f>
        <v>#VALUE!</v>
      </c>
      <c r="CM35" s="31" t="str">
        <f>IF(SnapshotTable[[#This Row],[SP Actual Spend]]&lt;&gt;0, ((SnapshotTable[[#This Row],[SP Strike Price]]-SnapshotTable[[#This Row],[Last Price]]) *(SnapshotTable[[#This Row],[SP Qty]]*100) - SnapshotTable[[#This Row],[SP Premium]]) * - 1, "")</f>
        <v/>
      </c>
      <c r="CN35" s="78"/>
      <c r="CO35" s="369"/>
      <c r="CP35" s="4" t="str">
        <f>IF(SnapshotTable[[#This Row],[SP Is Filled]], btc_max_buyback_amount(SnapshotTable[[#This Row],[SP Fill Date]],SnapshotTable[[#This Row],[SP Exp Date]], SnapshotTable[[#This Row],[SP Book Price]]),"")</f>
        <v/>
      </c>
      <c r="CQ35" s="78"/>
      <c r="CR3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 s="155" t="str">
        <f>IF(SnapshotTable[[#This Row],[SP Is Filled]], btc_next_cutoff_date(SnapshotTable[[#This Row],[SP Fill Date]],SnapshotTable[[#This Row],[SP Exp Date]]),"")</f>
        <v/>
      </c>
      <c r="CT35" s="235" t="str" cm="1">
        <f t="array" ref="CT35">IF(SnapshotTable[[#This Row],[SP Is Filled]], btc_should_buy_back(SnapshotTable[[#This Row],[SP Fill Date]], SnapshotTable[[#This Row],[SP Exp Date]], SnapshotTable[[#This Row],[SP Book Price]], SnapshotTable[[#This Row],[SP Current Ask]], MockToday, SnapshotTable[[#This Row],[SP Buyback Override]]),"")</f>
        <v/>
      </c>
      <c r="CU35" s="143"/>
      <c r="CV35" s="235"/>
      <c r="CW35" s="378" t="str">
        <f>IF(ISNUMBER( SnapshotTable[[#This Row],[SP Term]]), SnapshotTable[[#This Row],[SP Exp Date]] - MockToday,"")</f>
        <v/>
      </c>
      <c r="CX35" s="31" t="str">
        <f>IF(SnapshotTable[[#This Row],[SP Is Filled]],SnapshotTable[[#This Row],[SP Buyback Price to Use]] * 100 * SnapshotTable[[#This Row],[SP Qty]], "")</f>
        <v/>
      </c>
      <c r="CY35" s="4" t="str">
        <f>IF(ISNUMBER(SnapshotTable[[#This Row],[SP Strike Price]]), SnapshotTable[[#This Row],[SP Strike Price]] * (1 - SP_MaxLoss_StrikePct), "")</f>
        <v/>
      </c>
      <c r="CZ35" s="31" t="str">
        <f>IF(ISNUMBER(SnapshotTable[[#This Row],[SP Strike  Stop Per Share]]),SnapshotTable[[#This Row],[SP Premium]] - ((SnapshotTable[[#This Row],[SP Strike Price]]-SnapshotTable[[#This Row],[SP Strike  Stop Per Share]]) *(SnapshotTable[[#This Row],[SP Qty]] * 100)),"")</f>
        <v/>
      </c>
      <c r="DA35" s="4" t="str">
        <f>IF(AND(ISNUMBER(SnapshotTable[[#This Row],[SP Premium]]),SnapshotTable[[#This Row],[SP Premium]]&gt;0), SnapshotTable[[#This Row],[SP Book Price]] * (1 + SP_MaxLoss_OptionPct), "")</f>
        <v/>
      </c>
      <c r="DB35" s="31" t="str">
        <f>IF(ISNUMBER(SnapshotTable[[#This Row],[SP Option  Stop Contract]]),(SnapshotTable[[#This Row],[SP Option  Stop Contract]] *(SnapshotTable[[#This Row],[SP Qty]] * 100) - SnapshotTable[[#This Row],[SP Premium]]),"")</f>
        <v/>
      </c>
      <c r="DC35" s="4"/>
      <c r="DD35" s="4"/>
      <c r="DE35" s="4" t="str">
        <f>IF(AND(SnapshotTable[[#This Row],[SP Qty]]&gt;0, SnapshotTable[[#This Row],[SP Stop To Use]]&gt;0),SnapshotTable[[#This Row],[SP Premium]] - ( SnapshotTable[[#This Row],[SP Qty]] * SnapshotTable[[#This Row],[SP Stop To Use]] * 100), "")</f>
        <v/>
      </c>
      <c r="DF35" s="31" t="str">
        <f>IF(AND(SnapshotTable[[#This Row],[SP Qty]]&gt;0,SnapshotTable[[#This Row],[SP Current Ask]]&gt;0), SnapshotTable[[#This Row],[SP Qty]] * SnapshotTable[[#This Row],[SP Current Ask]] * -100, "")</f>
        <v/>
      </c>
      <c r="DG35" s="31" t="str">
        <f>IF(ISNUMBER((SnapshotTable[[#This Row],[SP Total Value]])), SnapshotTable[[#This Row],[SP Premium]] + SnapshotTable[[#This Row],[SP Total Value]], "")</f>
        <v/>
      </c>
      <c r="DH35" s="294" t="str">
        <f>IF(ISNUMBER((SnapshotTable[[#This Row],[SP Total Value]])), SnapshotTable[[#This Row],[SP Gain Loss]] / SnapshotTable[[#This Row],[SP Premium]], "")</f>
        <v/>
      </c>
      <c r="DI35" s="406"/>
      <c r="DJ35" s="138"/>
      <c r="DK35" s="148"/>
      <c r="DL35" s="13"/>
      <c r="DM35" s="13"/>
      <c r="DN35" s="5"/>
      <c r="DO35" s="31">
        <f>IF(SnapshotTable[[#This Row],[LC Symbol Count]]=1, SnapshotTable[[#This Row],[LC Qty]] * SnapshotTable[[#This Row],[LC Book Price]] * 100, 0)</f>
        <v>0</v>
      </c>
      <c r="DP35" s="163" t="str">
        <f>IF(AND(SnapshotTable[[#This Row],[LC Exp Date]]&gt;0, SnapshotTable[[#This Row],[LC Strike Price]]&gt;0,SnapshotTable[[#This Row],[LC Qty]]&gt;0,SnapshotTable[[#This Row],[LC Book Date]]&gt;0,SnapshotTable[[#This Row],[LC Book Price]]&gt;0,SnapshotTable[[#This Row],[LC Fill Date]]=0),"Y","")</f>
        <v/>
      </c>
      <c r="DQ35" s="386" t="str">
        <f>IF(SnapshotTable[[#This Row],[LC Premium]] &gt; 0,SnapshotTable[[#This Row],[LC Exp Date]]-MAX(SnapshotTable[[#This Row],[LC Book Date]], SnapshotTable[[#This Row],[LC Fill Date]]),"")</f>
        <v/>
      </c>
      <c r="DR35" s="386" t="str">
        <f>IF(ISNUMBER(SnapshotTable[[#This Row],[LC Term]]), SnapshotTable[[#This Row],[LC Exp Date]] - MockToday, "")</f>
        <v/>
      </c>
      <c r="DS35" s="234" t="str">
        <f>IF(SnapshotTable[[#This Row],[LC Premium]]&gt;0,SnapshotTable[[#This Row],[LC Strike Price]] + SnapshotTable[[#This Row],[LC Book Price]],"")</f>
        <v/>
      </c>
      <c r="DT35" s="5"/>
      <c r="DU35" s="9" t="str">
        <f>IF(AND(SnapshotTable[[#This Row],[LC Symbol Count]]&gt;0, SnapshotTable[[#This Row],[LC Contract Value]]&gt;0), SnapshotTable[[#This Row],[LC Contract Value]] * SnapshotTable[[#This Row],[LC Qty]] * 100, "")</f>
        <v/>
      </c>
      <c r="DV35" s="9" t="str">
        <f>IF(AND(ISNUMBER(SnapshotTable[[#This Row],[LC Total Value]]), SnapshotTable[[#This Row],[LC Not Filled]]&lt;&gt;"Y"), SnapshotTable[[#This Row],[LC Total Value]]-SnapshotTable[[#This Row],[LC Premium]],"")</f>
        <v/>
      </c>
      <c r="DW35" s="240" t="str">
        <f>IF(ISNUMBER(SnapshotTable[[#This Row],[LC Actual Gain Loss]]), SnapshotTable[[#This Row],[LC Actual Gain Loss]] / SnapshotTable[[#This Row],[LC Premium]],"")</f>
        <v/>
      </c>
      <c r="DX35" s="284" t="str">
        <f>IF(ISNUMBER(SnapshotTable[[#This Row],[LC Book Price]]),SnapshotTable[[#This Row],[LC Book Price]] * 1.5,"")</f>
        <v/>
      </c>
      <c r="DY35" s="265" t="str">
        <f>IF(SnapshotTable[[#This Row],[LC Premium]]&gt;0, SnapshotTable[[#This Row],[LC Next Target]] * SnapshotTable[[#This Row],[LC Qty]] * 100,"")</f>
        <v/>
      </c>
      <c r="DZ35" s="265" t="str">
        <f>IF(ISNUMBER(SnapshotTable[[#This Row],[LC Target Gross]]), SnapshotTable[[#This Row],[LC Target Gross]] - SnapshotTable[[#This Row],[LC Premium]], "")</f>
        <v/>
      </c>
      <c r="EA35" s="305" t="str">
        <f>IF(ISNUMBER(SnapshotTable[[#This Row],[LC Target Gain Loss]]), SnapshotTable[[#This Row],[LC Target Gain Loss]]/SnapshotTable[[#This Row],[LC Premium]], "")</f>
        <v/>
      </c>
      <c r="EB35" s="262"/>
      <c r="EC35" s="283" t="str">
        <f>IF(SnapshotTable[[#This Row],[LC Premium]]&gt;0, SnapshotTable[[#This Row],[LC Book Price]] * (1 - LC_StopLoss_Pct),"")</f>
        <v/>
      </c>
      <c r="ED35" s="284"/>
      <c r="EE35" s="283" t="str">
        <f>IF(ISNUMBER(SnapshotTable[[#This Row],[LC Contract Value]]),IF(ISNUMBER(SnapshotTable[[#This Row],[LC Stop Loss Override]]), SnapshotTable[[#This Row],[LC Stop Loss Override]],SnapshotTable[[#This Row],[LC Stop Loss Calc Target]]),"")</f>
        <v/>
      </c>
      <c r="EF35" s="31" t="str">
        <f>IF(ISNUMBER(SnapshotTable[[#This Row],[LC Stop  To Use]]), (SnapshotTable[[#This Row],[LC Stop  To Use]] * SnapshotTable[[#This Row],[LC Qty]] * 100),"")</f>
        <v/>
      </c>
      <c r="EG35" s="9" t="str">
        <f>IF(ISNUMBER(SnapshotTable[[#This Row],[LC Total Value]]),SnapshotTable[[#This Row],[LC Stop Loss Amount]] - SnapshotTable[[#This Row],[LC Premium]],"")</f>
        <v/>
      </c>
      <c r="EH35" s="9">
        <f>IF(ISNUMBER(SnapshotTable[[#This Row],[LC Premium]]), SnapshotTable[[#This Row],[LC Qty]] * 100 * SnapshotTable[[#This Row],[LC Strike Price]], "")</f>
        <v>0</v>
      </c>
      <c r="EI35" s="240" t="str">
        <f>IF(AND(ISNUMBER(SnapshotTable[[#This Row],[LC Total Value]]),SnapshotTable[[#This Row],[LC Total Value]]&gt;0),SnapshotTable[[#This Row],[LC Stop Gain Loss]]  / SnapshotTable[[#This Row],[LC Premium]],"")</f>
        <v/>
      </c>
      <c r="EJ35" s="35">
        <f>IF(ISNUMBER(SnapshotTable[[#This Row],[Equity Shares]]),TRUNC(SnapshotTable[[#This Row],[Equity Shares]] / 100),0) + SnapshotTable[[#This Row],[LC Qty]]</f>
        <v>0</v>
      </c>
      <c r="EK35" s="147"/>
      <c r="EL35" s="138" t="str">
        <f>IF(SnapshotTable[[#This Row],[SC Exp Date]]&lt;&gt;"",TRUNC(SnapshotTable[[#This Row],[Last Price]]),"")</f>
        <v/>
      </c>
      <c r="EM35" s="148"/>
      <c r="EN35" s="147"/>
      <c r="EO35" s="147"/>
      <c r="EP35" s="138"/>
      <c r="EQ35" s="419" t="b">
        <f>AND(ISNUMBER(SnapshotTable[[#This Row],[SC Exp Date]]), ISNUMBER(SnapshotTable[[#This Row],[SC Strike Price]]), ISNUMBER(SnapshotTable[[#This Row],[SC Qty]]), ISNUMBER(SnapshotTable[[#This Row],[SC Book Date]]), ISNUMBER(SnapshotTable[[#This Row],[SC Book Price]]))</f>
        <v>0</v>
      </c>
      <c r="ER35" s="419" t="b">
        <f>AND(SnapshotTable[[#This Row],[SC Is Booked]], NOT(ISBLANK(SnapshotTable[[#This Row],[SC Fill Date]])))</f>
        <v>0</v>
      </c>
      <c r="ES35" s="370"/>
      <c r="ET35" s="34" t="str">
        <f>IF(AND(ISNUMBER(SnapshotTable[[#This Row],[SC Exp Date]]), ISNUMBER(SnapshotTable[[#This Row],[SC Book Date]])), SnapshotTable[[#This Row],[SC Exp Date]] - MAX(SnapshotTable[[#This Row],[SC Book Date]], SnapshotTable[[#This Row],[SC Fill Date]]) + 1, "")</f>
        <v/>
      </c>
      <c r="EU35" s="34" t="str">
        <f>IF(ISNUMBER(SnapshotTable[[#This Row],[SC Term]]), SnapshotTable[[#This Row],[SC Exp Date]]- MockToday, "")</f>
        <v/>
      </c>
      <c r="EV35" s="31">
        <f>IF(SnapshotTable[[#This Row],[SC Is Booked]], SnapshotTable[[#This Row],[SC Qty]] * SnapshotTable[[#This Row],[SC Book Price]] * 100, 0)</f>
        <v>0</v>
      </c>
      <c r="EW35" s="4" t="str">
        <f>IF(AND(ISNUMBER(SnapshotTable[[#This Row],[Last Price]]), ISNUMBER( SnapshotTable[[#This Row],[SC Book Price]])), SnapshotTable[[#This Row],[Last Price]] - SnapshotTable[[#This Row],[SC Book Price]],"")</f>
        <v/>
      </c>
      <c r="EX35" s="234" t="str">
        <f>IF(SnapshotTable[[#This Row],[SC Is Booked]],IF(SnapshotTable[[#This Row],[SC Intrinsic Value]] &gt; 0, SnapshotTable[[#This Row],[SC Strike Price]], SnapshotTable[[#This Row],[Last Price]]), "")</f>
        <v/>
      </c>
      <c r="EY35" s="4">
        <f>IF(SnapshotTable[[#This Row],[SC Is Booked]], (MinimumPremiumRequired * SnapshotTable[[#This Row],[SC Basis]] * SnapshotTable[[#This Row],[SC Term]]), 0)</f>
        <v>0</v>
      </c>
      <c r="EZ35" s="283"/>
      <c r="FA35" s="218"/>
      <c r="FB35" s="370"/>
      <c r="FC35" s="4">
        <f>IF(SnapshotTable[[#This Row],[SC Is Filled]], btc_max_buyback_amount(SnapshotTable[[#This Row],[SC Fill Date]],SnapshotTable[[#This Row],[SC Exp Date]], SnapshotTable[[#This Row],[SC Book Price]]),0)</f>
        <v>0</v>
      </c>
      <c r="FD35" s="5"/>
      <c r="FE35" s="144" t="str">
        <f>IF(SnapshotTable[[#This Row],[SC Is Filled]], btc_next_cutoff_date(SnapshotTable[[#This Row],[SC Fill Date]],SnapshotTable[[#This Row],[SC Exp Date]]),"")</f>
        <v/>
      </c>
      <c r="FF35" s="4" t="str" cm="1">
        <f t="array" ref="FF35">IF(SnapshotTable[[#This Row],[SC Is Filled]], btc_should_buy_back(SnapshotTable[[#This Row],[SC Fill Date]], SnapshotTable[[#This Row],[SC Exp Date]], SnapshotTable[[#This Row],[SC Book Price]], SnapshotTable[[#This Row],[SC Current Ask]], MockToday, SnapshotTable[[#This Row],[SC Buyback Override]]),"")</f>
        <v/>
      </c>
      <c r="FG35" s="4">
        <f>IF(SnapshotTable[[#This Row],[SC Is Filled]], MAX(0,SnapshotTable[[#This Row],[Last Price]]  - SnapshotTable[[#This Row],[SC Strike Price]]), 0)</f>
        <v>0</v>
      </c>
      <c r="FH35" s="382">
        <f>IF(SnapshotTable[[#This Row],[SC Is Filled]], IF(ISNUMBER(SnapshotTable[[#This Row],[SC Current Ask]]), SnapshotTable[[#This Row],[SC Current Ask]], SnapshotTable[[#This Row],[SC Book Price]]) - SnapshotTable[[#This Row],[SC Intrinsic Value]], 0)</f>
        <v>0</v>
      </c>
      <c r="FI35" s="143"/>
      <c r="FJ35" s="32" t="str">
        <f>IF(SnapshotTable[[#This Row],[SC Is Filled]],100 * SnapshotTable[[#This Row],[SC Qty]] * IF(ISNUMBER(SnapshotTable[[#This Row],[SC Buyback Override]]), SnapshotTable[[#This Row],[SC Buyback Override]], SnapshotTable[[#This Row],[SC Current Ask]]), "")</f>
        <v/>
      </c>
      <c r="FK35" s="250" t="str">
        <f>IF(SnapshotTable[[#This Row],[SC Time Val]]&gt;0, SnapshotTable[[#This Row],[SC Time Val]] / SnapshotTable[[#This Row],[Last Price]],"")</f>
        <v/>
      </c>
      <c r="FL35" s="302" t="str">
        <f>IF(SnapshotTable[[#This Row],[SC Is Booked]], ((SnapshotTable[[#This Row],[Last Price]] -SnapshotTable[[#This Row],[SC Strike Price]]) / SnapshotTable[[#This Row],[Last Price]]) * -1, "")</f>
        <v/>
      </c>
      <c r="FM35" s="157" t="str">
        <f>IF(SnapshotTable[[#This Row],[SC Is Booked]],  (SnapshotTable[[#This Row],[SC Qty]] * 100 * SnapshotTable[[#This Row],[SC Strike Price]]) - SnapshotTable[[#This Row],[SC Current Ask]], "")</f>
        <v/>
      </c>
      <c r="FN3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 s="31" t="str">
        <f>IF(AND(ISNUMBER(SnapshotTable[[#This Row],[SC Exercise Gross]]), ISNUMBER(SnapshotTable[[#This Row],[Equity Basis Per Share]] )), SnapshotTable[[#This Row],[SC Exercise Gross]] - SnapshotTable[[#This Row],[Equity Basis Total]] +  SnapshotTable[[#This Row],[SC Premium]], "")</f>
        <v/>
      </c>
      <c r="FP35" s="5" t="str">
        <f>IF(ISNUMBER(SnapshotTable[[#This Row],[SC Exercise Gross]]), (SnapshotTable[[#This Row],[SC Exercise Gross]]) / (SnapshotTable[[#This Row],[SC Qty]] * 100), "")</f>
        <v/>
      </c>
      <c r="FQ35" s="27" t="str">
        <f>IF(SnapshotTable[[#This Row],[SC Is Booked]],SnapshotTable[[#This Row],[SC Time Val]] /SnapshotTable[[#This Row],[SC Basis]], "")</f>
        <v/>
      </c>
      <c r="FR35" s="27" t="str" cm="1">
        <f t="array" ref="FR35">IF(AND(ISNUMBER(SnapshotTable[[#This Row],[SC Term]]),ISNUMBER(SnapshotTable[[#This Row],[SC Simple ROO]])), EllmanAnnualize(SnapshotTable[[#This Row],[SC DTE]], SnapshotTable[[#This Row],[SC Simple ROO]] ),"")</f>
        <v/>
      </c>
      <c r="FS35" s="4" t="e">
        <f>IF(SnapshotTable[[#This Row],[SC Strike Price]] &gt; SnapshotTable[[#This Row],[Last Price]], SnapshotTable[[#This Row],[SC Strike Price]] - SnapshotTable[[#This Row],[Last Price]],0)</f>
        <v>#VALUE!</v>
      </c>
      <c r="FT35" s="27" t="e">
        <f>IF(AND(ISNUMBER(SnapshotTable[[#This Row],[SC Upside Potential]]), SnapshotTable[[#This Row],[SC Upside Potential]] &gt; 0),(SnapshotTable[[#This Row],[SC Upside Potential]]/ SnapshotTable[[#This Row],[ACB]]),"")</f>
        <v>#VALUE!</v>
      </c>
      <c r="FU35" s="333" t="str">
        <f>IF(SnapshotTable[[#This Row],[SC Intrinsic Value]] &gt; 0,SnapshotTable[[#This Row],[SC Intrinsic Value]],"")</f>
        <v/>
      </c>
      <c r="FV35" s="27" t="str">
        <f>IF(AND( ISNUMBER( SnapshotTable[[#This Row],[ACB]]),ISNUMBER(SnapshotTable[[#This Row],[SC Downside Protect]])),SnapshotTable[[#This Row],[SC Downside Protect]] / SnapshotTable[[#This Row],[ACB]],"")</f>
        <v/>
      </c>
      <c r="FW35" s="236" t="str">
        <f>IF(AND(ISNUMBER(SnapshotTable[[#This Row],[SC Simple ROO]]),SnapshotTable[[#This Row],[SC Simple ROO]] &gt; 0), SnapshotTable[[#This Row],[SC Premium]] + (SnapshotTable[[#This Row],[SC Qty]] * SnapshotTable[[#This Row],[SC Upside Potential]]), "")</f>
        <v/>
      </c>
      <c r="FX35" s="302" t="str" cm="1">
        <f t="array" ref="FX35">IF(ISNUMBER(SnapshotTable[[#This Row],[SC Max Dollars]]), annualize(SnapshotTable[[#This Row],[SC Term]],(SnapshotTable[[#This Row],[SC Max Dollars]]/SnapshotTable[[#This Row],[SC Basis]])),"")</f>
        <v/>
      </c>
      <c r="FY35" s="236" t="str">
        <f>IF(AND(SnapshotTable[[#This Row],[SC Qty]]&gt;0,SnapshotTable[[#This Row],[SC Current Ask]]&gt;0), SnapshotTable[[#This Row],[SC Qty]] * SnapshotTable[[#This Row],[SC Current Ask]] * -100, "")</f>
        <v/>
      </c>
      <c r="FZ35" s="31" t="str">
        <f>IF(ISNUMBER((SnapshotTable[[#This Row],[SC Current Value]])), SnapshotTable[[#This Row],[SC Premium]] + SnapshotTable[[#This Row],[SC Current Value]], "")</f>
        <v/>
      </c>
      <c r="GA35" s="294" t="str">
        <f>IFERROR( IF(ISNUMBER((SnapshotTable[[#This Row],[SC Current Value]])), SnapshotTable[[#This Row],[SC Gain Loss]] / SnapshotTable[[#This Row],[SC Premium]], ""), "")</f>
        <v/>
      </c>
      <c r="GB35" s="42">
        <f>SnapshotTable[[#This Row],[Equity Shares]] * SaleSharesToConsiderPercentage</f>
        <v>0</v>
      </c>
      <c r="GC35" s="40">
        <f>SnapshotTable[[#This Row],[Long Term Target]] * SellingPriceToConsiderBasedOnTargetPercentage</f>
        <v>18.6295</v>
      </c>
      <c r="GD35" s="40">
        <f>SnapshotTable[[#This Row],[Last Price]] * (1+ SellingPriceToConsiderBasedOnTargetPercentage)</f>
        <v>40.384500000000003</v>
      </c>
      <c r="GE35" s="41"/>
      <c r="GF35" s="40"/>
      <c r="GG35" s="31">
        <f>SnapshotTable[[#This Row],[Booked Sale Shares]] * SnapshotTable[[#This Row],[Booked Sale Price]]</f>
        <v>0</v>
      </c>
      <c r="GH35" s="31" t="str">
        <f>IF(SnapshotTable[[#This Row],[Equity Basis Total]] &gt; 0, SnapshotTable[[#This Row],[Equity Basis Per Share]] * SnapshotTable[[#This Row],[Booked Sale Shares]], "")</f>
        <v/>
      </c>
      <c r="GI35" s="31">
        <f>IF(SnapshotTable[[#This Row],[Sale Proceeds]]&gt;0, SnapshotTable[[#This Row],[Sale Proceeds]] - SnapshotTable[[#This Row],[Sale Basis]], 0)</f>
        <v>0</v>
      </c>
      <c r="GJ35" s="27" t="str">
        <f>IF(SnapshotTable[[#This Row],[Sale G/L]]&gt;0, SnapshotTable[[#This Row],[Sale G/L]] / SnapshotTable[[#This Row],[Sale Basis]], IF(ISNUMBER(SnapshotTable[[#This Row],[SC Exercise P&amp;L (TAX)]]), SnapshotTable[[#This Row],[SC Exercise P&amp;L (TAX)]] / SnapshotTable[[#This Row],[SC Basis]], ""))</f>
        <v/>
      </c>
      <c r="GK35" s="27" t="s">
        <v>636</v>
      </c>
      <c r="GL35" s="43" t="str">
        <f>IF(AND(SnapshotTable[[#This Row],[LP Exp Date]]&gt;0,SnapshotTable[[#This Row],[LP Strike Price]]&gt;0), [1]!ToOptionSymbol(SnapshotTable[[#This Row],[Symbol]], SnapshotTable[[#This Row],[LP Strike Price]],SnapshotTable[[#This Row],[LP Exp Date]],1), "")</f>
        <v/>
      </c>
      <c r="GM35" s="30" t="str">
        <f>IF(LEN(SnapshotTable[[#This Row],[LP Symbol]])&gt;0, 1, "")</f>
        <v/>
      </c>
      <c r="GN35" s="43" t="str">
        <f>IF(AND(SnapshotTable[[#This Row],[SP Exp Date]]&gt;0,SnapshotTable[[#This Row],[SP Strike Price]]&gt;0), [1]!ToOptionSymbol(SnapshotTable[[#This Row],[Symbol]], SnapshotTable[[#This Row],[SP Strike Price]],SnapshotTable[[#This Row],[SP Exp Date]],1), "")</f>
        <v/>
      </c>
      <c r="GO35" s="30" t="str">
        <f>IF(LEN(SnapshotTable[[#This Row],[SP Symbol]])&gt;0, 1, "")</f>
        <v/>
      </c>
      <c r="GP35" s="43" t="str">
        <f>IF(AND(SnapshotTable[[#This Row],[LC Exp Date]]&gt;0,SnapshotTable[[#This Row],[LC Strike Price]]&gt;0), [1]!ToOptionSymbol(SnapshotTable[[#This Row],[Symbol]], SnapshotTable[[#This Row],[LC Strike Price]],SnapshotTable[[#This Row],[LC Exp Date]],0), "")</f>
        <v/>
      </c>
      <c r="GQ35" s="30" t="str">
        <f>IF(LEN(SnapshotTable[[#This Row],[LC Symbol]])&gt;0, 1, "")</f>
        <v/>
      </c>
      <c r="GR35" s="43" t="str">
        <f>IF(AND(SnapshotTable[[#This Row],[SC Exp Date]]&gt;0,SnapshotTable[[#This Row],[SC Strike Price]]&gt;0), [1]!ToOptionSymbol(SnapshotTable[[#This Row],[Symbol]], SnapshotTable[[#This Row],[SC Strike Price]],SnapshotTable[[#This Row],[SC Exp Date]],0), "")</f>
        <v/>
      </c>
      <c r="GS35" s="30" t="str">
        <f>IF(LEN(SnapshotTable[[#This Row],[SC Symbol]])&gt;0, 1, "")</f>
        <v/>
      </c>
      <c r="GT35" s="29" t="str">
        <f>IF(COUNT(SnapshotTable[[#This Row],[LP Symbol Count]],SnapshotTable[[#This Row],[SP Symbol Count]],SnapshotTable[[#This Row],[LC Symbol Count]],SnapshotTable[[#This Row],[SC Symbol Count]])&gt;0, "Y", "")</f>
        <v/>
      </c>
      <c r="GU3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 s="231" t="e">
        <f>MAX(SnapshotTable[[#This Row],[Equity Basis Total]],SnapshotTable[[#This Row],[Equity Value]]) + (SnapshotTable[[#This Row],[SP Potential Spend]]- SnapshotTable[[#This Row],[SP Premium]] + SnapshotTable[[#This Row],[LP Premium]])+ (SnapshotTable[[#This Row],[LC Premium]] - SnapshotTable[[#This Row],[SC Premium]])</f>
        <v>#VALUE!</v>
      </c>
      <c r="GW35" s="139" t="e">
        <f>IF(AND(SnapshotTable[[#This Row],[Exposure]] &lt;&gt; 0),SnapshotTable[[#This Row],[Exposure]] / SnapshotTable[[#Totals],[Exposure]], "")</f>
        <v>#VALUE!</v>
      </c>
      <c r="GY35" s="381"/>
      <c r="HE35" s="268"/>
      <c r="HF35" s="268"/>
      <c r="HG35" s="381"/>
      <c r="HH35" s="381"/>
      <c r="HI35" s="381"/>
      <c r="HJ35" s="381"/>
    </row>
    <row r="36" spans="2:224" s="47" customFormat="1" ht="12.75" hidden="1" customHeight="1" x14ac:dyDescent="0.25">
      <c r="B36" s="12" t="s">
        <v>69</v>
      </c>
      <c r="C36" s="422">
        <v>49.64</v>
      </c>
      <c r="D36" s="208"/>
      <c r="E36" s="39">
        <f>SnapshotTable[[#This Row],[Last Price]]*(1 -CrashDiscount)</f>
        <v>42.194000000000003</v>
      </c>
      <c r="F36" s="26" t="s">
        <v>68</v>
      </c>
      <c r="G36" s="26" t="s">
        <v>882</v>
      </c>
      <c r="H36" s="149"/>
      <c r="I36" s="194">
        <v>44767.673611111109</v>
      </c>
      <c r="J36" s="195">
        <v>44767.673611111109</v>
      </c>
      <c r="K36" s="196" t="s">
        <v>3</v>
      </c>
      <c r="L36" s="326"/>
      <c r="M36" s="140"/>
      <c r="N36" s="140"/>
      <c r="O36" s="140"/>
      <c r="P36" s="22"/>
      <c r="Q36" s="25"/>
      <c r="R36" s="4" t="str">
        <f>IF(SnapshotTable[[#This Row],[Equity Basis Total]] &gt; 0, SnapshotTable[[#This Row],[Equity Basis Total]] / SnapshotTable[[#This Row],[Equity Shares]], "")</f>
        <v/>
      </c>
      <c r="S36" s="269">
        <f>SnapshotTable[[#This Row],[Last Price]] * SnapshotTable[[#This Row],[Equity Shares]]</f>
        <v>0</v>
      </c>
      <c r="T36" s="269">
        <f>SnapshotTable[[#This Row],[Equity Value]] - SnapshotTable[[#This Row],[Equity Basis Total]]</f>
        <v>0</v>
      </c>
      <c r="U36" s="270" t="str">
        <f>IF(SnapshotTable[[#This Row],[Equity Basis Total]] &gt; 0, SnapshotTable[[#This Row],[Equity G/L]] / SnapshotTable[[#This Row],[Equity Basis Total]], "")</f>
        <v/>
      </c>
      <c r="V36" s="268"/>
      <c r="W36" s="268"/>
      <c r="X36" s="4" t="str">
        <f>IF(AND(ISNUMBER(SnapshotTable[[#This Row],[Equity Basis Per Share]]),ISNUMBER(SnapshotTable[[#This Row],[Equity Target]])),SnapshotTable[[#This Row],[Equity Target]]-SnapshotTable[[#This Row],[Equity Basis Per Share]],"")</f>
        <v/>
      </c>
      <c r="Y36" s="4" t="str">
        <f>IF(AND(ISNUMBER(SnapshotTable[[#This Row],[Equity Basis Per Share]]),ISNUMBER(SnapshotTable[[#This Row],[Equity Stop Loss]])),SnapshotTable[[#This Row],[Equity Stop Loss]]-SnapshotTable[[#This Row],[Equity Basis Per Share]],"")</f>
        <v/>
      </c>
      <c r="Z36" s="275" t="str">
        <f>IFERROR( TEXT(SnapshotTable[[#This Row],[Equity Max Gain Per Share]] /ABS( SnapshotTable[[#This Row],[Equity Max Loss Per Share]]),"0.0 " ) &amp; " : 1", "")</f>
        <v/>
      </c>
      <c r="AA36" s="31" t="str">
        <f>IF(ISNUMBER(SnapshotTable[[#This Row],[Equity Max Gain Per Share]]),SnapshotTable[[#This Row],[Equity Max Gain Per Share]] * SnapshotTable[[#This Row],[Equity Shares]],"")</f>
        <v/>
      </c>
      <c r="AB36" s="31" t="str">
        <f>IF(ISNUMBER(SnapshotTable[[#This Row],[Equity Max Loss Per Share]]),SnapshotTable[[#This Row],[Equity Max Loss Per Share]] * SnapshotTable[[#This Row],[Equity Shares]],"")</f>
        <v/>
      </c>
      <c r="AC36" s="150">
        <v>3.08</v>
      </c>
      <c r="AD36" s="151">
        <v>42475</v>
      </c>
      <c r="AE36" s="31">
        <f>(SnapshotTable[[#This Row],[Annual Dividend Per Share]] / 4) * SnapshotTable[[#This Row],[Equity Shares]]</f>
        <v>0</v>
      </c>
      <c r="AF36" s="31">
        <f>SnapshotTable[[#This Row],[Quarterly Div $]] * 4</f>
        <v>0</v>
      </c>
      <c r="AG36" s="7">
        <f>IF(SnapshotTable[[#This Row],[Annual Dividend Per Share]]&gt;0, SnapshotTable[[#This Row],[Annual Dividend Per Share]]  / SnapshotTable[[#This Row],[Last Price]], 0)</f>
        <v>6.2046736502820304E-2</v>
      </c>
      <c r="AH36" s="151">
        <v>42363</v>
      </c>
      <c r="AI36" s="5"/>
      <c r="AJ36" s="138">
        <v>192.38</v>
      </c>
      <c r="AK36" s="152" t="str">
        <f>IF(ISNUMBER( SnapshotTable[[#This Row],[EBF Target]]),(SnapshotTable[[#This Row],[EBF Target]] - SnapshotTable[[#This Row],[Last Price]]) / SnapshotTable[[#This Row],[Last Price]], "")</f>
        <v/>
      </c>
      <c r="AL36" s="152" t="str">
        <f>IF(AND(SnapshotTable[[#This Row],[Equity Basis Total]] &gt; 0,ISNUMBER( SnapshotTable[[#This Row],[Long Term Target]])), SnapshotTable[[#This Row],[From Basis $]] / SnapshotTable[[#This Row],[Equity Basis Total]], "")</f>
        <v/>
      </c>
      <c r="AM36" s="9">
        <f>IF( AND(SnapshotTable[[#This Row],[Equity Shares]] &gt;0,ISNUMBER( SnapshotTable[[#This Row],[Long Term Target]])),(SnapshotTable[[#This Row],[Equity Shares]] * SnapshotTable[[#This Row],[Long Term Target]]) - SnapshotTable[[#This Row],[Equity Basis Total]],0)</f>
        <v>0</v>
      </c>
      <c r="AN36" s="9">
        <f>IF( AND(SnapshotTable[[#This Row],[Equity Shares]] &gt;0,ISNUMBER( SnapshotTable[[#This Row],[Long Term Target]])),(SnapshotTable[[#This Row],[Equity Shares]]*SnapshotTable[[#This Row],[Long Term Target]]) - SnapshotTable[[#This Row],[Equity Value]],0)</f>
        <v>0</v>
      </c>
      <c r="AO36" s="152">
        <f>IF(AND(ISNUMBER( SnapshotTable[[#This Row],[Long Term Target]]), ISNUMBER(SnapshotTable[[#This Row],[Last Price]])),(SnapshotTable[[#This Row],[Long Term Target]] - SnapshotTable[[#This Row],[Last Price]]) / SnapshotTable[[#This Row],[Last Price]], "")</f>
        <v>2.8755036261079776</v>
      </c>
      <c r="AP36" s="5">
        <v>8</v>
      </c>
      <c r="AQ36" s="38" t="s">
        <v>27</v>
      </c>
      <c r="AR36" s="5">
        <v>8</v>
      </c>
      <c r="AS36" s="38" t="s">
        <v>38</v>
      </c>
      <c r="AT36" s="146" t="s">
        <v>542</v>
      </c>
      <c r="AU36" s="187" t="str">
        <f>IF(OR(SnapshotTable[[#This Row],[LP No Fill]]="Y",SnapshotTable[[#This Row],[SP Is Filled]],SnapshotTable[[#This Row],[LC Not Filled]]="Y",SnapshotTable[[#This Row],[SC Is Filled]]),"Y","")</f>
        <v/>
      </c>
      <c r="AV36" s="219"/>
      <c r="AW36" s="225"/>
      <c r="AX36" s="220"/>
      <c r="AY36" s="219" t="str">
        <f>IF(SnapshotTable[[#This Row],[Implied Move]]&gt;0, SnapshotTable[[#This Row],[Last Price]]-SnapshotTable[[#This Row],[Implied Move]],"")</f>
        <v/>
      </c>
      <c r="AZ36" s="219" t="str">
        <f>IF(SnapshotTable[[#This Row],[Implied Move]]&gt;0, SnapshotTable[[#This Row],[Last Price]] + SnapshotTable[[#This Row],[Implied Move]],"")</f>
        <v/>
      </c>
      <c r="BA36" s="331"/>
      <c r="BB36" s="347"/>
      <c r="BC3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 s="351"/>
      <c r="BE36" s="5"/>
      <c r="BF36" s="14"/>
      <c r="BG36" s="13"/>
      <c r="BH36" s="13"/>
      <c r="BI36" s="5"/>
      <c r="BJ36" s="136">
        <f>IF(SnapshotTable[[#This Row],[LP Qty]] &gt; 0, SnapshotTable[[#This Row],[LP Qty]] * SnapshotTable[[#This Row],[LP Book Price]] * 100,0)</f>
        <v>0</v>
      </c>
      <c r="BK36" s="136">
        <f>IF(SnapshotTable[[#This Row],[LP Premium]] &gt; 0, SnapshotTable[[#This Row],[LP Qty]] * SnapshotTable[[#This Row],[LP Strike Price]] * 100,0)</f>
        <v>0</v>
      </c>
      <c r="BL36" s="154"/>
      <c r="BM36" s="385" t="str">
        <f>IF(SnapshotTable[[#This Row],[LP Premium]] &gt; 0,SnapshotTable[[#This Row],[LP Exp Date]]-MAX(SnapshotTable[[#This Row],[LP Book Date]], SnapshotTable[[#This Row],[LP Fill Date]]),"")</f>
        <v/>
      </c>
      <c r="BN36" s="385" t="str">
        <f>IF(ISNUMBER( SnapshotTable[[#This Row],[LP Term]]), SnapshotTable[[#This Row],[LP Exp Date]] - MockToday,"")</f>
        <v/>
      </c>
      <c r="BO36" s="163" t="str">
        <f>IF(AND(SnapshotTable[[#This Row],[LP Exp Date]]&gt;0, SnapshotTable[[#This Row],[LP Strike Price]]&gt;0,SnapshotTable[[#This Row],[LP Qty]]&gt;0,SnapshotTable[[#This Row],[LP Book Date]]&gt;0,SnapshotTable[[#This Row],[LP Book Price]]&gt;0,SnapshotTable[[#This Row],[LP Fill Date]]=0),"Y","")</f>
        <v/>
      </c>
      <c r="BP36" s="31" t="str">
        <f>IF(AND(SnapshotTable[[#This Row],[LP No Fill]]&lt;&gt;"Y",SnapshotTable[[#This Row],[LP Contract Value]]&gt;0, SnapshotTable[[#This Row],[LP Qty]]&gt;0), SnapshotTable[[#This Row],[LP Contract Value]]*SnapshotTable[[#This Row],[LP Qty]]*100,"")</f>
        <v/>
      </c>
      <c r="BQ36" s="13"/>
      <c r="BR36" s="5" t="str">
        <f>IF(SnapshotTable[[#This Row],[SP Exp Date]]&lt;&gt;"",TRUNC(SnapshotTable[[#This Row],[Last Price]]),"")</f>
        <v/>
      </c>
      <c r="BS36" s="36"/>
      <c r="BT36" s="147"/>
      <c r="BU36" s="13"/>
      <c r="BV36" s="5"/>
      <c r="BW36" s="419" t="b">
        <f>AND(ISNUMBER(SnapshotTable[[#This Row],[SP Exp Date]]), ISNUMBER(SnapshotTable[[#This Row],[SP Strike Price]]), ISNUMBER(SnapshotTable[[#This Row],[SP Qty]]), ISNUMBER(SnapshotTable[[#This Row],[SP Book Date]]), ISNUMBER(SnapshotTable[[#This Row],[SP Book Price]]))</f>
        <v>0</v>
      </c>
      <c r="BX36" s="419" t="b">
        <f>AND(SnapshotTable[[#This Row],[SP Is Booked]], NOT(ISBLANK(SnapshotTable[[#This Row],[SP Fill Date]])))</f>
        <v>0</v>
      </c>
      <c r="BY36" s="33">
        <f>IF(SnapshotTable[[#This Row],[SP Is Booked]], SnapshotTable[[#This Row],[SP Qty]] * SnapshotTable[[#This Row],[SP Book Price]] * 100, 0)</f>
        <v>0</v>
      </c>
      <c r="BZ36" s="369"/>
      <c r="CA36" s="368">
        <f>SnapshotTable[[#This Row],[LP Qty]]</f>
        <v>0</v>
      </c>
      <c r="CB36" s="4" t="str">
        <f>IF(SnapshotTable[[#This Row],[SP Is Booked]], SnapshotTable[[#This Row],[SP Strike Price]] - SnapshotTable[[#This Row],[SP Book Price]], "")</f>
        <v/>
      </c>
      <c r="CC36" s="19" t="str">
        <f>IF(SnapshotTable[[#This Row],[SP Is Booked]],SnapshotTable[[#This Row],[SP Exp Date]]-MAX(SnapshotTable[[#This Row],[SP Book Date]], SnapshotTable[[#This Row],[SP Fill Date]]),"")</f>
        <v/>
      </c>
      <c r="CD36" s="7" t="str">
        <f>IF(SnapshotTable[[#This Row],[SP Is Booked]], SnapshotTable[[#This Row],[SP Book Price]]/SnapshotTable[[#This Row],[SP Strike Price]], "")</f>
        <v/>
      </c>
      <c r="CE36" s="7" t="str">
        <f>IF(ISNUMBER(SnapshotTable[[#This Row],[SP ROO Term]]),SnapshotTable[[#This Row],[SP ROO Term]]*(365/SnapshotTable[[#This Row],[SP Term]]),"")</f>
        <v/>
      </c>
      <c r="CF36" s="236">
        <f>SnapshotTable[[#This Row],[LP Strike Price]] * SnapshotTable[[#This Row],[LP Qty]] * 100</f>
        <v>0</v>
      </c>
      <c r="CG36" s="31" t="e">
        <f>IF(ISNUMBER(SnapshotTable[[#This Row],[SP Premium]]), (SnapshotTable[[#This Row],[SP Qty]] * SnapshotTable[[#This Row],[SP Strike Price]]* 100) - SnapshotTable[[#This Row],[LP Protection]], 0)</f>
        <v>#VALUE!</v>
      </c>
      <c r="CH36" s="7" t="str">
        <f>IF(ISNUMBER(SnapshotTable[[#This Row],[SP Break Even]]),-1 * (SnapshotTable[[#This Row],[SP Break Even]] - SnapshotTable[[#This Row],[Last Price]]) / SnapshotTable[[#This Row],[Last Price]], "")</f>
        <v/>
      </c>
      <c r="CI36" s="31">
        <f>IF(AND(ISNUMBER((SnapshotTable[[#This Row],[SP Potential Spend]])), SnapshotTable[[#This Row],[SP Strike Price]] &gt; SnapshotTable[[#This Row],[Last Price]], SnapshotTable[[#This Row],[SP Is Filled]]), SnapshotTable[[#This Row],[SP Potential Spend]] -  SnapshotTable[[#This Row],[LP Max Value]], 0)</f>
        <v>0</v>
      </c>
      <c r="CJ36" s="244"/>
      <c r="CK36" s="31" t="str">
        <f>IF(ISNUMBER(SnapshotTable[[#This Row],[SP Potential Spend]]),IF(ISNUMBER(SnapshotTable[[#This Row],[SP POW]]), SnapshotTable[[#This Row],[SP POW]] * SnapshotTable[[#This Row],[SP Potential Spend]], SnapshotTable[[#This Row],[SP Potential Spend]]), "")</f>
        <v/>
      </c>
      <c r="CL36" s="164" t="e">
        <f>IF(NOT(SnapshotTable[[#This Row],[SP Is Filled]]),(SnapshotTable[[#This Row],[SP Qty]] * SnapshotTable[[#This Row],[SP Strike Price]] * 100) - SnapshotTable[[#This Row],[LP Max Value]],"")</f>
        <v>#VALUE!</v>
      </c>
      <c r="CM36" s="31" t="str">
        <f>IF(SnapshotTable[[#This Row],[SP Actual Spend]]&lt;&gt;0, ((SnapshotTable[[#This Row],[SP Strike Price]]-SnapshotTable[[#This Row],[Last Price]]) *(SnapshotTable[[#This Row],[SP Qty]]*100) - SnapshotTable[[#This Row],[SP Premium]]) * - 1, "")</f>
        <v/>
      </c>
      <c r="CN36" s="78"/>
      <c r="CO36" s="369"/>
      <c r="CP36" s="4" t="str">
        <f>IF(SnapshotTable[[#This Row],[SP Is Filled]], btc_max_buyback_amount(SnapshotTable[[#This Row],[SP Fill Date]],SnapshotTable[[#This Row],[SP Exp Date]], SnapshotTable[[#This Row],[SP Book Price]]),"")</f>
        <v/>
      </c>
      <c r="CQ36" s="78"/>
      <c r="CR3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 s="155" t="str">
        <f>IF(SnapshotTable[[#This Row],[SP Is Filled]], btc_next_cutoff_date(SnapshotTable[[#This Row],[SP Fill Date]],SnapshotTable[[#This Row],[SP Exp Date]]),"")</f>
        <v/>
      </c>
      <c r="CT36" s="235" t="str" cm="1">
        <f t="array" ref="CT36">IF(SnapshotTable[[#This Row],[SP Is Filled]], btc_should_buy_back(SnapshotTable[[#This Row],[SP Fill Date]], SnapshotTable[[#This Row],[SP Exp Date]], SnapshotTable[[#This Row],[SP Book Price]], SnapshotTable[[#This Row],[SP Current Ask]], MockToday, SnapshotTable[[#This Row],[SP Buyback Override]]),"")</f>
        <v/>
      </c>
      <c r="CU36" s="143"/>
      <c r="CV36" s="235"/>
      <c r="CW36" s="378" t="str">
        <f>IF(ISNUMBER( SnapshotTable[[#This Row],[SP Term]]), SnapshotTable[[#This Row],[SP Exp Date]] - MockToday,"")</f>
        <v/>
      </c>
      <c r="CX36" s="31" t="str">
        <f>IF(SnapshotTable[[#This Row],[SP Is Filled]],SnapshotTable[[#This Row],[SP Buyback Price to Use]] * 100 * SnapshotTable[[#This Row],[SP Qty]], "")</f>
        <v/>
      </c>
      <c r="CY36" s="4" t="str">
        <f>IF(ISNUMBER(SnapshotTable[[#This Row],[SP Strike Price]]), SnapshotTable[[#This Row],[SP Strike Price]] * (1 - SP_MaxLoss_StrikePct), "")</f>
        <v/>
      </c>
      <c r="CZ36" s="31" t="str">
        <f>IF(ISNUMBER(SnapshotTable[[#This Row],[SP Strike  Stop Per Share]]),SnapshotTable[[#This Row],[SP Premium]] - ((SnapshotTable[[#This Row],[SP Strike Price]]-SnapshotTable[[#This Row],[SP Strike  Stop Per Share]]) *(SnapshotTable[[#This Row],[SP Qty]] * 100)),"")</f>
        <v/>
      </c>
      <c r="DA36" s="4" t="str">
        <f>IF(AND(ISNUMBER(SnapshotTable[[#This Row],[SP Premium]]),SnapshotTable[[#This Row],[SP Premium]]&gt;0), SnapshotTable[[#This Row],[SP Book Price]] * (1 + SP_MaxLoss_OptionPct), "")</f>
        <v/>
      </c>
      <c r="DB36" s="31" t="str">
        <f>IF(ISNUMBER(SnapshotTable[[#This Row],[SP Option  Stop Contract]]),(SnapshotTable[[#This Row],[SP Option  Stop Contract]] *(SnapshotTable[[#This Row],[SP Qty]] * 100) - SnapshotTable[[#This Row],[SP Premium]]),"")</f>
        <v/>
      </c>
      <c r="DC36" s="4"/>
      <c r="DD36" s="4"/>
      <c r="DE36" s="4" t="str">
        <f>IF(AND(SnapshotTable[[#This Row],[SP Qty]]&gt;0, SnapshotTable[[#This Row],[SP Stop To Use]]&gt;0),SnapshotTable[[#This Row],[SP Premium]] - ( SnapshotTable[[#This Row],[SP Qty]] * SnapshotTable[[#This Row],[SP Stop To Use]] * 100), "")</f>
        <v/>
      </c>
      <c r="DF36" s="31" t="str">
        <f>IF(AND(SnapshotTable[[#This Row],[SP Qty]]&gt;0,SnapshotTable[[#This Row],[SP Current Ask]]&gt;0), SnapshotTable[[#This Row],[SP Qty]] * SnapshotTable[[#This Row],[SP Current Ask]] * -100, "")</f>
        <v/>
      </c>
      <c r="DG36" s="31" t="str">
        <f>IF(ISNUMBER((SnapshotTable[[#This Row],[SP Total Value]])), SnapshotTable[[#This Row],[SP Premium]] + SnapshotTable[[#This Row],[SP Total Value]], "")</f>
        <v/>
      </c>
      <c r="DH36" s="294" t="str">
        <f>IF(ISNUMBER((SnapshotTable[[#This Row],[SP Total Value]])), SnapshotTable[[#This Row],[SP Gain Loss]] / SnapshotTable[[#This Row],[SP Premium]], "")</f>
        <v/>
      </c>
      <c r="DI36" s="406"/>
      <c r="DJ36" s="138"/>
      <c r="DK36" s="148"/>
      <c r="DL36" s="13"/>
      <c r="DM36" s="13"/>
      <c r="DN36" s="5"/>
      <c r="DO36" s="31">
        <f>IF(SnapshotTable[[#This Row],[LC Symbol Count]]=1, SnapshotTable[[#This Row],[LC Qty]] * SnapshotTable[[#This Row],[LC Book Price]] * 100, 0)</f>
        <v>0</v>
      </c>
      <c r="DP36" s="163" t="str">
        <f>IF(AND(SnapshotTable[[#This Row],[LC Exp Date]]&gt;0, SnapshotTable[[#This Row],[LC Strike Price]]&gt;0,SnapshotTable[[#This Row],[LC Qty]]&gt;0,SnapshotTable[[#This Row],[LC Book Date]]&gt;0,SnapshotTable[[#This Row],[LC Book Price]]&gt;0,SnapshotTable[[#This Row],[LC Fill Date]]=0),"Y","")</f>
        <v/>
      </c>
      <c r="DQ36" s="386" t="str">
        <f>IF(SnapshotTable[[#This Row],[LC Premium]] &gt; 0,SnapshotTable[[#This Row],[LC Exp Date]]-MAX(SnapshotTable[[#This Row],[LC Book Date]], SnapshotTable[[#This Row],[LC Fill Date]]),"")</f>
        <v/>
      </c>
      <c r="DR36" s="386" t="str">
        <f>IF(ISNUMBER(SnapshotTable[[#This Row],[LC Term]]), SnapshotTable[[#This Row],[LC Exp Date]] - MockToday, "")</f>
        <v/>
      </c>
      <c r="DS36" s="234" t="str">
        <f>IF(SnapshotTable[[#This Row],[LC Premium]]&gt;0,SnapshotTable[[#This Row],[LC Strike Price]] + SnapshotTable[[#This Row],[LC Book Price]],"")</f>
        <v/>
      </c>
      <c r="DT36" s="5"/>
      <c r="DU36" s="9" t="str">
        <f>IF(AND(SnapshotTable[[#This Row],[LC Symbol Count]]&gt;0, SnapshotTable[[#This Row],[LC Contract Value]]&gt;0), SnapshotTable[[#This Row],[LC Contract Value]] * SnapshotTable[[#This Row],[LC Qty]] * 100, "")</f>
        <v/>
      </c>
      <c r="DV36" s="9" t="str">
        <f>IF(AND(ISNUMBER(SnapshotTable[[#This Row],[LC Total Value]]), SnapshotTable[[#This Row],[LC Not Filled]]&lt;&gt;"Y"), SnapshotTable[[#This Row],[LC Total Value]]-SnapshotTable[[#This Row],[LC Premium]],"")</f>
        <v/>
      </c>
      <c r="DW36" s="240" t="str">
        <f>IF(ISNUMBER(SnapshotTable[[#This Row],[LC Actual Gain Loss]]), SnapshotTable[[#This Row],[LC Actual Gain Loss]] / SnapshotTable[[#This Row],[LC Premium]],"")</f>
        <v/>
      </c>
      <c r="DX36" s="284" t="str">
        <f>IF(ISNUMBER(SnapshotTable[[#This Row],[LC Book Price]]),SnapshotTable[[#This Row],[LC Book Price]] * 1.5,"")</f>
        <v/>
      </c>
      <c r="DY36" s="265" t="str">
        <f>IF(SnapshotTable[[#This Row],[LC Premium]]&gt;0, SnapshotTable[[#This Row],[LC Next Target]] * SnapshotTable[[#This Row],[LC Qty]] * 100,"")</f>
        <v/>
      </c>
      <c r="DZ36" s="265" t="str">
        <f>IF(ISNUMBER(SnapshotTable[[#This Row],[LC Target Gross]]), SnapshotTable[[#This Row],[LC Target Gross]] - SnapshotTable[[#This Row],[LC Premium]], "")</f>
        <v/>
      </c>
      <c r="EA36" s="305" t="str">
        <f>IF(ISNUMBER(SnapshotTable[[#This Row],[LC Target Gain Loss]]), SnapshotTable[[#This Row],[LC Target Gain Loss]]/SnapshotTable[[#This Row],[LC Premium]], "")</f>
        <v/>
      </c>
      <c r="EB36" s="262"/>
      <c r="EC36" s="283" t="str">
        <f>IF(SnapshotTable[[#This Row],[LC Premium]]&gt;0, SnapshotTable[[#This Row],[LC Book Price]] * (1 - LC_StopLoss_Pct),"")</f>
        <v/>
      </c>
      <c r="ED36" s="284"/>
      <c r="EE36" s="283" t="str">
        <f>IF(ISNUMBER(SnapshotTable[[#This Row],[LC Contract Value]]),IF(ISNUMBER(SnapshotTable[[#This Row],[LC Stop Loss Override]]), SnapshotTable[[#This Row],[LC Stop Loss Override]],SnapshotTable[[#This Row],[LC Stop Loss Calc Target]]),"")</f>
        <v/>
      </c>
      <c r="EF36" s="31" t="str">
        <f>IF(ISNUMBER(SnapshotTable[[#This Row],[LC Stop  To Use]]), (SnapshotTable[[#This Row],[LC Stop  To Use]] * SnapshotTable[[#This Row],[LC Qty]] * 100),"")</f>
        <v/>
      </c>
      <c r="EG36" s="9" t="str">
        <f>IF(ISNUMBER(SnapshotTable[[#This Row],[LC Total Value]]),SnapshotTable[[#This Row],[LC Stop Loss Amount]] - SnapshotTable[[#This Row],[LC Premium]],"")</f>
        <v/>
      </c>
      <c r="EH36" s="9">
        <f>IF(ISNUMBER(SnapshotTable[[#This Row],[LC Premium]]), SnapshotTable[[#This Row],[LC Qty]] * 100 * SnapshotTable[[#This Row],[LC Strike Price]], "")</f>
        <v>0</v>
      </c>
      <c r="EI36" s="240" t="str">
        <f>IF(AND(ISNUMBER(SnapshotTable[[#This Row],[LC Total Value]]),SnapshotTable[[#This Row],[LC Total Value]]&gt;0),SnapshotTable[[#This Row],[LC Stop Gain Loss]]  / SnapshotTable[[#This Row],[LC Premium]],"")</f>
        <v/>
      </c>
      <c r="EJ36" s="35">
        <f>IF(ISNUMBER(SnapshotTable[[#This Row],[Equity Shares]]),TRUNC(SnapshotTable[[#This Row],[Equity Shares]] / 100),0) + SnapshotTable[[#This Row],[LC Qty]]</f>
        <v>0</v>
      </c>
      <c r="EK36" s="147"/>
      <c r="EL36" s="138" t="str">
        <f>IF(SnapshotTable[[#This Row],[SC Exp Date]]&lt;&gt;"",TRUNC(SnapshotTable[[#This Row],[Last Price]]),"")</f>
        <v/>
      </c>
      <c r="EM36" s="148"/>
      <c r="EN36" s="147"/>
      <c r="EO36" s="147"/>
      <c r="EP36" s="138"/>
      <c r="EQ36" s="419" t="b">
        <f>AND(ISNUMBER(SnapshotTable[[#This Row],[SC Exp Date]]), ISNUMBER(SnapshotTable[[#This Row],[SC Strike Price]]), ISNUMBER(SnapshotTable[[#This Row],[SC Qty]]), ISNUMBER(SnapshotTable[[#This Row],[SC Book Date]]), ISNUMBER(SnapshotTable[[#This Row],[SC Book Price]]))</f>
        <v>0</v>
      </c>
      <c r="ER36" s="419" t="b">
        <f>AND(SnapshotTable[[#This Row],[SC Is Booked]], NOT(ISBLANK(SnapshotTable[[#This Row],[SC Fill Date]])))</f>
        <v>0</v>
      </c>
      <c r="ES36" s="370"/>
      <c r="ET36" s="34" t="str">
        <f>IF(AND(ISNUMBER(SnapshotTable[[#This Row],[SC Exp Date]]), ISNUMBER(SnapshotTable[[#This Row],[SC Book Date]])), SnapshotTable[[#This Row],[SC Exp Date]] - MAX(SnapshotTable[[#This Row],[SC Book Date]], SnapshotTable[[#This Row],[SC Fill Date]]) + 1, "")</f>
        <v/>
      </c>
      <c r="EU36" s="34" t="str">
        <f>IF(ISNUMBER(SnapshotTable[[#This Row],[SC Term]]), SnapshotTable[[#This Row],[SC Exp Date]]- MockToday, "")</f>
        <v/>
      </c>
      <c r="EV36" s="31">
        <f>IF(SnapshotTable[[#This Row],[SC Is Booked]], SnapshotTable[[#This Row],[SC Qty]] * SnapshotTable[[#This Row],[SC Book Price]] * 100, 0)</f>
        <v>0</v>
      </c>
      <c r="EW36" s="4" t="str">
        <f>IF(AND(ISNUMBER(SnapshotTable[[#This Row],[Last Price]]), ISNUMBER( SnapshotTable[[#This Row],[SC Book Price]])), SnapshotTable[[#This Row],[Last Price]] - SnapshotTable[[#This Row],[SC Book Price]],"")</f>
        <v/>
      </c>
      <c r="EX36" s="234" t="str">
        <f>IF(SnapshotTable[[#This Row],[SC Is Booked]],IF(SnapshotTable[[#This Row],[SC Intrinsic Value]] &gt; 0, SnapshotTable[[#This Row],[SC Strike Price]], SnapshotTable[[#This Row],[Last Price]]), "")</f>
        <v/>
      </c>
      <c r="EY36" s="4">
        <f>IF(SnapshotTable[[#This Row],[SC Is Booked]], (MinimumPremiumRequired * SnapshotTable[[#This Row],[SC Basis]] * SnapshotTable[[#This Row],[SC Term]]), 0)</f>
        <v>0</v>
      </c>
      <c r="EZ36" s="283"/>
      <c r="FA36" s="218"/>
      <c r="FB36" s="370"/>
      <c r="FC36" s="4">
        <f>IF(SnapshotTable[[#This Row],[SC Is Filled]], btc_max_buyback_amount(SnapshotTable[[#This Row],[SC Fill Date]],SnapshotTable[[#This Row],[SC Exp Date]], SnapshotTable[[#This Row],[SC Book Price]]),0)</f>
        <v>0</v>
      </c>
      <c r="FD36" s="5"/>
      <c r="FE36" s="144" t="str">
        <f>IF(SnapshotTable[[#This Row],[SC Is Filled]], btc_next_cutoff_date(SnapshotTable[[#This Row],[SC Fill Date]],SnapshotTable[[#This Row],[SC Exp Date]]),"")</f>
        <v/>
      </c>
      <c r="FF36" s="4" t="str" cm="1">
        <f t="array" ref="FF36">IF(SnapshotTable[[#This Row],[SC Is Filled]], btc_should_buy_back(SnapshotTable[[#This Row],[SC Fill Date]], SnapshotTable[[#This Row],[SC Exp Date]], SnapshotTable[[#This Row],[SC Book Price]], SnapshotTable[[#This Row],[SC Current Ask]], MockToday, SnapshotTable[[#This Row],[SC Buyback Override]]),"")</f>
        <v/>
      </c>
      <c r="FG36" s="4">
        <f>IF(SnapshotTable[[#This Row],[SC Is Filled]], MAX(0,SnapshotTable[[#This Row],[Last Price]]  - SnapshotTable[[#This Row],[SC Strike Price]]), 0)</f>
        <v>0</v>
      </c>
      <c r="FH36" s="382">
        <f>IF(SnapshotTable[[#This Row],[SC Is Filled]], IF(ISNUMBER(SnapshotTable[[#This Row],[SC Current Ask]]), SnapshotTable[[#This Row],[SC Current Ask]], SnapshotTable[[#This Row],[SC Book Price]]) - SnapshotTable[[#This Row],[SC Intrinsic Value]], 0)</f>
        <v>0</v>
      </c>
      <c r="FI36" s="143"/>
      <c r="FJ36" s="32" t="str">
        <f>IF(SnapshotTable[[#This Row],[SC Is Filled]],100 * SnapshotTable[[#This Row],[SC Qty]] * IF(ISNUMBER(SnapshotTable[[#This Row],[SC Buyback Override]]), SnapshotTable[[#This Row],[SC Buyback Override]], SnapshotTable[[#This Row],[SC Current Ask]]), "")</f>
        <v/>
      </c>
      <c r="FK36" s="250" t="str">
        <f>IF(SnapshotTable[[#This Row],[SC Time Val]]&gt;0, SnapshotTable[[#This Row],[SC Time Val]] / SnapshotTable[[#This Row],[Last Price]],"")</f>
        <v/>
      </c>
      <c r="FL36" s="302" t="str">
        <f>IF(SnapshotTable[[#This Row],[SC Is Booked]], ((SnapshotTable[[#This Row],[Last Price]] -SnapshotTable[[#This Row],[SC Strike Price]]) / SnapshotTable[[#This Row],[Last Price]]) * -1, "")</f>
        <v/>
      </c>
      <c r="FM36" s="157" t="str">
        <f>IF(SnapshotTable[[#This Row],[SC Is Booked]],  (SnapshotTable[[#This Row],[SC Qty]] * 100 * SnapshotTable[[#This Row],[SC Strike Price]]) - SnapshotTable[[#This Row],[SC Current Ask]], "")</f>
        <v/>
      </c>
      <c r="FN3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 s="31" t="str">
        <f>IF(AND(ISNUMBER(SnapshotTable[[#This Row],[SC Exercise Gross]]), ISNUMBER(SnapshotTable[[#This Row],[Equity Basis Per Share]] )), SnapshotTable[[#This Row],[SC Exercise Gross]] - SnapshotTable[[#This Row],[Equity Basis Total]] +  SnapshotTable[[#This Row],[SC Premium]], "")</f>
        <v/>
      </c>
      <c r="FP36" s="5" t="str">
        <f>IF(ISNUMBER(SnapshotTable[[#This Row],[SC Exercise Gross]]), (SnapshotTable[[#This Row],[SC Exercise Gross]]) / (SnapshotTable[[#This Row],[SC Qty]] * 100), "")</f>
        <v/>
      </c>
      <c r="FQ36" s="27" t="str">
        <f>IF(SnapshotTable[[#This Row],[SC Is Booked]],SnapshotTable[[#This Row],[SC Time Val]] /SnapshotTable[[#This Row],[SC Basis]], "")</f>
        <v/>
      </c>
      <c r="FR36" s="27" t="str" cm="1">
        <f t="array" ref="FR36">IF(AND(ISNUMBER(SnapshotTable[[#This Row],[SC Term]]),ISNUMBER(SnapshotTable[[#This Row],[SC Simple ROO]])), EllmanAnnualize(SnapshotTable[[#This Row],[SC DTE]], SnapshotTable[[#This Row],[SC Simple ROO]] ),"")</f>
        <v/>
      </c>
      <c r="FS36" s="4" t="e">
        <f>IF(SnapshotTable[[#This Row],[SC Strike Price]] &gt; SnapshotTable[[#This Row],[Last Price]], SnapshotTable[[#This Row],[SC Strike Price]] - SnapshotTable[[#This Row],[Last Price]],0)</f>
        <v>#VALUE!</v>
      </c>
      <c r="FT36" s="27" t="e">
        <f>IF(AND(ISNUMBER(SnapshotTable[[#This Row],[SC Upside Potential]]), SnapshotTable[[#This Row],[SC Upside Potential]] &gt; 0),(SnapshotTable[[#This Row],[SC Upside Potential]]/ SnapshotTable[[#This Row],[ACB]]),"")</f>
        <v>#VALUE!</v>
      </c>
      <c r="FU36" s="333" t="str">
        <f>IF(SnapshotTable[[#This Row],[SC Intrinsic Value]] &gt; 0,SnapshotTable[[#This Row],[SC Intrinsic Value]],"")</f>
        <v/>
      </c>
      <c r="FV36" s="27" t="str">
        <f>IF(AND( ISNUMBER( SnapshotTable[[#This Row],[ACB]]),ISNUMBER(SnapshotTable[[#This Row],[SC Downside Protect]])),SnapshotTable[[#This Row],[SC Downside Protect]] / SnapshotTable[[#This Row],[ACB]],"")</f>
        <v/>
      </c>
      <c r="FW36" s="236" t="str">
        <f>IF(AND(ISNUMBER(SnapshotTable[[#This Row],[SC Simple ROO]]),SnapshotTable[[#This Row],[SC Simple ROO]] &gt; 0), SnapshotTable[[#This Row],[SC Premium]] + (SnapshotTable[[#This Row],[SC Qty]] * SnapshotTable[[#This Row],[SC Upside Potential]]), "")</f>
        <v/>
      </c>
      <c r="FX36" s="302" t="str" cm="1">
        <f t="array" ref="FX36">IF(ISNUMBER(SnapshotTable[[#This Row],[SC Max Dollars]]), annualize(SnapshotTable[[#This Row],[SC Term]],(SnapshotTable[[#This Row],[SC Max Dollars]]/SnapshotTable[[#This Row],[SC Basis]])),"")</f>
        <v/>
      </c>
      <c r="FY36" s="236" t="str">
        <f>IF(AND(SnapshotTable[[#This Row],[SC Qty]]&gt;0,SnapshotTable[[#This Row],[SC Current Ask]]&gt;0), SnapshotTable[[#This Row],[SC Qty]] * SnapshotTable[[#This Row],[SC Current Ask]] * -100, "")</f>
        <v/>
      </c>
      <c r="FZ36" s="31" t="str">
        <f>IF(ISNUMBER((SnapshotTable[[#This Row],[SC Current Value]])), SnapshotTable[[#This Row],[SC Premium]] + SnapshotTable[[#This Row],[SC Current Value]], "")</f>
        <v/>
      </c>
      <c r="GA36" s="294" t="str">
        <f>IFERROR( IF(ISNUMBER((SnapshotTable[[#This Row],[SC Current Value]])), SnapshotTable[[#This Row],[SC Gain Loss]] / SnapshotTable[[#This Row],[SC Premium]], ""), "")</f>
        <v/>
      </c>
      <c r="GB36" s="42">
        <f>SnapshotTable[[#This Row],[Equity Shares]] * SaleSharesToConsiderPercentage</f>
        <v>0</v>
      </c>
      <c r="GC36" s="40">
        <f>SnapshotTable[[#This Row],[Long Term Target]] * SellingPriceToConsiderBasedOnTargetPercentage</f>
        <v>182.761</v>
      </c>
      <c r="GD36" s="40">
        <f>SnapshotTable[[#This Row],[Last Price]] * (1+ SellingPriceToConsiderBasedOnTargetPercentage)</f>
        <v>96.798000000000002</v>
      </c>
      <c r="GE36" s="41"/>
      <c r="GF36" s="40"/>
      <c r="GG36" s="31">
        <f>SnapshotTable[[#This Row],[Booked Sale Shares]] * SnapshotTable[[#This Row],[Booked Sale Price]]</f>
        <v>0</v>
      </c>
      <c r="GH36" s="31" t="str">
        <f>IF(SnapshotTable[[#This Row],[Equity Basis Total]] &gt; 0, SnapshotTable[[#This Row],[Equity Basis Per Share]] * SnapshotTable[[#This Row],[Booked Sale Shares]], "")</f>
        <v/>
      </c>
      <c r="GI36" s="31">
        <f>IF(SnapshotTable[[#This Row],[Sale Proceeds]]&gt;0, SnapshotTable[[#This Row],[Sale Proceeds]] - SnapshotTable[[#This Row],[Sale Basis]], 0)</f>
        <v>0</v>
      </c>
      <c r="GJ36" s="27" t="str">
        <f>IF(SnapshotTable[[#This Row],[Sale G/L]]&gt;0, SnapshotTable[[#This Row],[Sale G/L]] / SnapshotTable[[#This Row],[Sale Basis]], IF(ISNUMBER(SnapshotTable[[#This Row],[SC Exercise P&amp;L (TAX)]]), SnapshotTable[[#This Row],[SC Exercise P&amp;L (TAX)]] / SnapshotTable[[#This Row],[SC Basis]], ""))</f>
        <v/>
      </c>
      <c r="GK36" s="27" t="s">
        <v>637</v>
      </c>
      <c r="GL36" s="43" t="str">
        <f>IF(AND(SnapshotTable[[#This Row],[LP Exp Date]]&gt;0,SnapshotTable[[#This Row],[LP Strike Price]]&gt;0), [1]!ToOptionSymbol(SnapshotTable[[#This Row],[Symbol]], SnapshotTable[[#This Row],[LP Strike Price]],SnapshotTable[[#This Row],[LP Exp Date]],1), "")</f>
        <v/>
      </c>
      <c r="GM36" s="30" t="str">
        <f>IF(LEN(SnapshotTable[[#This Row],[LP Symbol]])&gt;0, 1, "")</f>
        <v/>
      </c>
      <c r="GN36" s="43" t="str">
        <f>IF(AND(SnapshotTable[[#This Row],[SP Exp Date]]&gt;0,SnapshotTable[[#This Row],[SP Strike Price]]&gt;0), [1]!ToOptionSymbol(SnapshotTable[[#This Row],[Symbol]], SnapshotTable[[#This Row],[SP Strike Price]],SnapshotTable[[#This Row],[SP Exp Date]],1), "")</f>
        <v/>
      </c>
      <c r="GO36" s="30" t="str">
        <f>IF(LEN(SnapshotTable[[#This Row],[SP Symbol]])&gt;0, 1, "")</f>
        <v/>
      </c>
      <c r="GP36" s="43" t="str">
        <f>IF(AND(SnapshotTable[[#This Row],[LC Exp Date]]&gt;0,SnapshotTable[[#This Row],[LC Strike Price]]&gt;0), [1]!ToOptionSymbol(SnapshotTable[[#This Row],[Symbol]], SnapshotTable[[#This Row],[LC Strike Price]],SnapshotTable[[#This Row],[LC Exp Date]],0), "")</f>
        <v/>
      </c>
      <c r="GQ36" s="30" t="str">
        <f>IF(LEN(SnapshotTable[[#This Row],[LC Symbol]])&gt;0, 1, "")</f>
        <v/>
      </c>
      <c r="GR36" s="43" t="str">
        <f>IF(AND(SnapshotTable[[#This Row],[SC Exp Date]]&gt;0,SnapshotTable[[#This Row],[SC Strike Price]]&gt;0), [1]!ToOptionSymbol(SnapshotTable[[#This Row],[Symbol]], SnapshotTable[[#This Row],[SC Strike Price]],SnapshotTable[[#This Row],[SC Exp Date]],0), "")</f>
        <v/>
      </c>
      <c r="GS36" s="30" t="str">
        <f>IF(LEN(SnapshotTable[[#This Row],[SC Symbol]])&gt;0, 1, "")</f>
        <v/>
      </c>
      <c r="GT36" s="29" t="str">
        <f>IF(COUNT(SnapshotTable[[#This Row],[LP Symbol Count]],SnapshotTable[[#This Row],[SP Symbol Count]],SnapshotTable[[#This Row],[LC Symbol Count]],SnapshotTable[[#This Row],[SC Symbol Count]])&gt;0, "Y", "")</f>
        <v/>
      </c>
      <c r="GU3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 s="231" t="e">
        <f>MAX(SnapshotTable[[#This Row],[Equity Basis Total]],SnapshotTable[[#This Row],[Equity Value]]) + (SnapshotTable[[#This Row],[SP Potential Spend]]- SnapshotTable[[#This Row],[SP Premium]] + SnapshotTable[[#This Row],[LP Premium]])+ (SnapshotTable[[#This Row],[LC Premium]] - SnapshotTable[[#This Row],[SC Premium]])</f>
        <v>#VALUE!</v>
      </c>
      <c r="GW36" s="139" t="e">
        <f>IF(AND(SnapshotTable[[#This Row],[Exposure]] &lt;&gt; 0),SnapshotTable[[#This Row],[Exposure]] / SnapshotTable[[#Totals],[Exposure]], "")</f>
        <v>#VALUE!</v>
      </c>
      <c r="GY36" s="381"/>
      <c r="HE36" s="268"/>
      <c r="HF36" s="268"/>
      <c r="HG36" s="381"/>
      <c r="HH36" s="381"/>
      <c r="HI36" s="381"/>
      <c r="HJ36" s="381"/>
    </row>
    <row r="37" spans="2:224" ht="12.75" hidden="1" customHeight="1" x14ac:dyDescent="0.25">
      <c r="B37" s="12" t="s">
        <v>1089</v>
      </c>
      <c r="C37" s="422">
        <v>76.03</v>
      </c>
      <c r="D37" s="208" t="s">
        <v>578</v>
      </c>
      <c r="E37" s="39">
        <f>SnapshotTable[[#This Row],[Last Price]]*(1 -CrashDiscount)</f>
        <v>64.625500000000002</v>
      </c>
      <c r="F37" s="26"/>
      <c r="G37" s="26"/>
      <c r="H37" s="149"/>
      <c r="I37" s="194" t="s">
        <v>2</v>
      </c>
      <c r="J37" s="195"/>
      <c r="K37" s="196"/>
      <c r="L37" s="326"/>
      <c r="M37" s="140"/>
      <c r="N37" s="140"/>
      <c r="O37" s="140"/>
      <c r="P37" s="22"/>
      <c r="Q37" s="25"/>
      <c r="R37" s="4" t="str">
        <f>IF(SnapshotTable[[#This Row],[Equity Basis Total]] &gt; 0, SnapshotTable[[#This Row],[Equity Basis Total]] / SnapshotTable[[#This Row],[Equity Shares]], "")</f>
        <v/>
      </c>
      <c r="S37" s="269">
        <f>SnapshotTable[[#This Row],[Last Price]] * SnapshotTable[[#This Row],[Equity Shares]]</f>
        <v>0</v>
      </c>
      <c r="T37" s="269">
        <f>SnapshotTable[[#This Row],[Equity Value]] - SnapshotTable[[#This Row],[Equity Basis Total]]</f>
        <v>0</v>
      </c>
      <c r="U37" s="270" t="str">
        <f>IF(SnapshotTable[[#This Row],[Equity Basis Total]] &gt; 0, SnapshotTable[[#This Row],[Equity G/L]] / SnapshotTable[[#This Row],[Equity Basis Total]], "")</f>
        <v/>
      </c>
      <c r="V37" s="268">
        <v>44.2</v>
      </c>
      <c r="W37" s="268">
        <v>38.72</v>
      </c>
      <c r="X37" s="4" t="str">
        <f>IF(AND(ISNUMBER(SnapshotTable[[#This Row],[Equity Basis Per Share]]),ISNUMBER(SnapshotTable[[#This Row],[Equity Target]])),SnapshotTable[[#This Row],[Equity Target]]-SnapshotTable[[#This Row],[Equity Basis Per Share]],"")</f>
        <v/>
      </c>
      <c r="Y37" s="4" t="str">
        <f>IF(AND(ISNUMBER(SnapshotTable[[#This Row],[Equity Basis Per Share]]),ISNUMBER(SnapshotTable[[#This Row],[Equity Stop Loss]])),SnapshotTable[[#This Row],[Equity Stop Loss]]-SnapshotTable[[#This Row],[Equity Basis Per Share]],"")</f>
        <v/>
      </c>
      <c r="Z37" s="275" t="str">
        <f>IFERROR( TEXT(SnapshotTable[[#This Row],[Equity Max Gain Per Share]] /ABS( SnapshotTable[[#This Row],[Equity Max Loss Per Share]]),"0.0 " ) &amp; " : 1", "")</f>
        <v/>
      </c>
      <c r="AA37" s="31" t="str">
        <f>IF(ISNUMBER(SnapshotTable[[#This Row],[Equity Max Gain Per Share]]),SnapshotTable[[#This Row],[Equity Max Gain Per Share]] * SnapshotTable[[#This Row],[Equity Shares]],"")</f>
        <v/>
      </c>
      <c r="AB37" s="31" t="str">
        <f>IF(ISNUMBER(SnapshotTable[[#This Row],[Equity Max Loss Per Share]]),SnapshotTable[[#This Row],[Equity Max Loss Per Share]] * SnapshotTable[[#This Row],[Equity Shares]],"")</f>
        <v/>
      </c>
      <c r="AC37" s="150"/>
      <c r="AD37" s="151"/>
      <c r="AE37" s="31">
        <f>(SnapshotTable[[#This Row],[Annual Dividend Per Share]] / 4) * SnapshotTable[[#This Row],[Equity Shares]]</f>
        <v>0</v>
      </c>
      <c r="AF37" s="31">
        <f>SnapshotTable[[#This Row],[Quarterly Div $]] * 4</f>
        <v>0</v>
      </c>
      <c r="AG37" s="7">
        <f>IF(SnapshotTable[[#This Row],[Annual Dividend Per Share]]&gt;0, SnapshotTable[[#This Row],[Annual Dividend Per Share]]  / SnapshotTable[[#This Row],[Last Price]], 0)</f>
        <v>0</v>
      </c>
      <c r="AH37" s="151"/>
      <c r="AI37" s="5"/>
      <c r="AJ37" s="138"/>
      <c r="AK37" s="152" t="str">
        <f>IF(ISNUMBER( SnapshotTable[[#This Row],[EBF Target]]),(SnapshotTable[[#This Row],[EBF Target]] - SnapshotTable[[#This Row],[Last Price]]) / SnapshotTable[[#This Row],[Last Price]], "")</f>
        <v/>
      </c>
      <c r="AL37" s="152" t="str">
        <f>IF(AND(SnapshotTable[[#This Row],[Equity Basis Total]] &gt; 0,ISNUMBER( SnapshotTable[[#This Row],[Long Term Target]])), SnapshotTable[[#This Row],[From Basis $]] / SnapshotTable[[#This Row],[Equity Basis Total]], "")</f>
        <v/>
      </c>
      <c r="AM37" s="9">
        <f>IF( AND(SnapshotTable[[#This Row],[Equity Shares]] &gt;0,ISNUMBER( SnapshotTable[[#This Row],[Long Term Target]])),(SnapshotTable[[#This Row],[Equity Shares]] * SnapshotTable[[#This Row],[Long Term Target]]) - SnapshotTable[[#This Row],[Equity Basis Total]],0)</f>
        <v>0</v>
      </c>
      <c r="AN37" s="9">
        <f>IF( AND(SnapshotTable[[#This Row],[Equity Shares]] &gt;0,ISNUMBER( SnapshotTable[[#This Row],[Long Term Target]])),(SnapshotTable[[#This Row],[Equity Shares]]*SnapshotTable[[#This Row],[Long Term Target]]) - SnapshotTable[[#This Row],[Equity Value]],0)</f>
        <v>0</v>
      </c>
      <c r="AO37" s="152" t="str">
        <f>IF(AND(ISNUMBER( SnapshotTable[[#This Row],[Long Term Target]]), ISNUMBER(SnapshotTable[[#This Row],[Last Price]])),(SnapshotTable[[#This Row],[Long Term Target]] - SnapshotTable[[#This Row],[Last Price]]) / SnapshotTable[[#This Row],[Last Price]], "")</f>
        <v/>
      </c>
      <c r="AP37" s="5">
        <v>44.2</v>
      </c>
      <c r="AQ37" s="38" t="s">
        <v>89</v>
      </c>
      <c r="AR37" s="5">
        <v>38.72</v>
      </c>
      <c r="AS37" s="38" t="s">
        <v>32</v>
      </c>
      <c r="AT37" s="146"/>
      <c r="AU37" s="187" t="str">
        <f>IF(OR(SnapshotTable[[#This Row],[LP No Fill]]="Y",SnapshotTable[[#This Row],[SP Is Filled]],SnapshotTable[[#This Row],[LC Not Filled]]="Y",SnapshotTable[[#This Row],[SC Is Filled]]),"Y","")</f>
        <v/>
      </c>
      <c r="AV37" s="219"/>
      <c r="AW37" s="225"/>
      <c r="AX37" s="220"/>
      <c r="AY37" s="219" t="str">
        <f>IF(SnapshotTable[[#This Row],[Implied Move]]&gt;0, SnapshotTable[[#This Row],[Last Price]]-SnapshotTable[[#This Row],[Implied Move]],"")</f>
        <v/>
      </c>
      <c r="AZ37" s="219" t="str">
        <f>IF(SnapshotTable[[#This Row],[Implied Move]]&gt;0, SnapshotTable[[#This Row],[Last Price]] + SnapshotTable[[#This Row],[Implied Move]],"")</f>
        <v/>
      </c>
      <c r="BA37" s="331">
        <v>40.549999999999997</v>
      </c>
      <c r="BB37" s="347"/>
      <c r="BC3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 s="351"/>
      <c r="BE37" s="138"/>
      <c r="BF37" s="166"/>
      <c r="BG37" s="167"/>
      <c r="BH37" s="167"/>
      <c r="BI37" s="221"/>
      <c r="BJ37" s="153">
        <f>IF(SnapshotTable[[#This Row],[LP Qty]] &gt; 0, SnapshotTable[[#This Row],[LP Qty]] * SnapshotTable[[#This Row],[LP Book Price]] * 100,0)</f>
        <v>0</v>
      </c>
      <c r="BK37" s="136">
        <f>IF(SnapshotTable[[#This Row],[LP Premium]] &gt; 0, SnapshotTable[[#This Row],[LP Qty]] * SnapshotTable[[#This Row],[LP Strike Price]] * 100,0)</f>
        <v>0</v>
      </c>
      <c r="BL37" s="154"/>
      <c r="BM37" s="385" t="str">
        <f>IF(SnapshotTable[[#This Row],[LP Premium]] &gt; 0,SnapshotTable[[#This Row],[LP Exp Date]]-MAX(SnapshotTable[[#This Row],[LP Book Date]], SnapshotTable[[#This Row],[LP Fill Date]]),"")</f>
        <v/>
      </c>
      <c r="BN37" s="385" t="str">
        <f>IF(ISNUMBER( SnapshotTable[[#This Row],[LP Term]]), SnapshotTable[[#This Row],[LP Exp Date]] - MockToday,"")</f>
        <v/>
      </c>
      <c r="BO37" s="163" t="str">
        <f>IF(AND(SnapshotTable[[#This Row],[LP Exp Date]]&gt;0, SnapshotTable[[#This Row],[LP Strike Price]]&gt;0,SnapshotTable[[#This Row],[LP Qty]]&gt;0,SnapshotTable[[#This Row],[LP Book Date]]&gt;0,SnapshotTable[[#This Row],[LP Book Price]]&gt;0,SnapshotTable[[#This Row],[LP Fill Date]]=0),"Y","")</f>
        <v/>
      </c>
      <c r="BP37" s="31" t="str">
        <f>IF(AND(SnapshotTable[[#This Row],[LP No Fill]]&lt;&gt;"Y",SnapshotTable[[#This Row],[LP Contract Value]]&gt;0, SnapshotTable[[#This Row],[LP Qty]]&gt;0), SnapshotTable[[#This Row],[LP Contract Value]]*SnapshotTable[[#This Row],[LP Qty]]*100,"")</f>
        <v/>
      </c>
      <c r="BQ37" s="13"/>
      <c r="BR37" s="5" t="str">
        <f>IF(SnapshotTable[[#This Row],[SP Exp Date]]&lt;&gt;"",TRUNC(SnapshotTable[[#This Row],[Last Price]]),"")</f>
        <v/>
      </c>
      <c r="BS37" s="36"/>
      <c r="BT37" s="147"/>
      <c r="BU37" s="13"/>
      <c r="BV37" s="5"/>
      <c r="BW37" s="419" t="b">
        <f>AND(ISNUMBER(SnapshotTable[[#This Row],[SP Exp Date]]), ISNUMBER(SnapshotTable[[#This Row],[SP Strike Price]]), ISNUMBER(SnapshotTable[[#This Row],[SP Qty]]), ISNUMBER(SnapshotTable[[#This Row],[SP Book Date]]), ISNUMBER(SnapshotTable[[#This Row],[SP Book Price]]))</f>
        <v>0</v>
      </c>
      <c r="BX37" s="419" t="b">
        <f>AND(SnapshotTable[[#This Row],[SP Is Booked]], NOT(ISBLANK(SnapshotTable[[#This Row],[SP Fill Date]])))</f>
        <v>0</v>
      </c>
      <c r="BY37" s="33">
        <f>IF(SnapshotTable[[#This Row],[SP Is Booked]], SnapshotTable[[#This Row],[SP Qty]] * SnapshotTable[[#This Row],[SP Book Price]] * 100, 0)</f>
        <v>0</v>
      </c>
      <c r="BZ37" s="369"/>
      <c r="CA37" s="368">
        <f>SnapshotTable[[#This Row],[LP Qty]]</f>
        <v>0</v>
      </c>
      <c r="CB37" s="4" t="str">
        <f>IF(SnapshotTable[[#This Row],[SP Is Booked]], SnapshotTable[[#This Row],[SP Strike Price]] - SnapshotTable[[#This Row],[SP Book Price]], "")</f>
        <v/>
      </c>
      <c r="CC37" s="19" t="str">
        <f>IF(SnapshotTable[[#This Row],[SP Is Booked]],SnapshotTable[[#This Row],[SP Exp Date]]-MAX(SnapshotTable[[#This Row],[SP Book Date]], SnapshotTable[[#This Row],[SP Fill Date]]),"")</f>
        <v/>
      </c>
      <c r="CD37" s="7" t="str">
        <f>IF(SnapshotTable[[#This Row],[SP Is Booked]], SnapshotTable[[#This Row],[SP Book Price]]/SnapshotTable[[#This Row],[SP Strike Price]], "")</f>
        <v/>
      </c>
      <c r="CE37" s="7" t="str">
        <f>IF(ISNUMBER(SnapshotTable[[#This Row],[SP ROO Term]]),SnapshotTable[[#This Row],[SP ROO Term]]*(365/SnapshotTable[[#This Row],[SP Term]]),"")</f>
        <v/>
      </c>
      <c r="CF37" s="236">
        <f>SnapshotTable[[#This Row],[LP Strike Price]] * SnapshotTable[[#This Row],[LP Qty]] * 100</f>
        <v>0</v>
      </c>
      <c r="CG37" s="31" t="e">
        <f>IF(ISNUMBER(SnapshotTable[[#This Row],[SP Premium]]), (SnapshotTable[[#This Row],[SP Qty]] * SnapshotTable[[#This Row],[SP Strike Price]]* 100) - SnapshotTable[[#This Row],[LP Protection]], 0)</f>
        <v>#VALUE!</v>
      </c>
      <c r="CH37" s="7" t="str">
        <f>IF(ISNUMBER(SnapshotTable[[#This Row],[SP Break Even]]),-1 * (SnapshotTable[[#This Row],[SP Break Even]] - SnapshotTable[[#This Row],[Last Price]]) / SnapshotTable[[#This Row],[Last Price]], "")</f>
        <v/>
      </c>
      <c r="CI37" s="31">
        <f>IF(AND(ISNUMBER((SnapshotTable[[#This Row],[SP Potential Spend]])), SnapshotTable[[#This Row],[SP Strike Price]] &gt; SnapshotTable[[#This Row],[Last Price]], SnapshotTable[[#This Row],[SP Is Filled]]), SnapshotTable[[#This Row],[SP Potential Spend]] -  SnapshotTable[[#This Row],[LP Max Value]], 0)</f>
        <v>0</v>
      </c>
      <c r="CJ37" s="244"/>
      <c r="CK37" s="31" t="str">
        <f>IF(ISNUMBER(SnapshotTable[[#This Row],[SP Potential Spend]]),IF(ISNUMBER(SnapshotTable[[#This Row],[SP POW]]), SnapshotTable[[#This Row],[SP POW]] * SnapshotTable[[#This Row],[SP Potential Spend]], SnapshotTable[[#This Row],[SP Potential Spend]]), "")</f>
        <v/>
      </c>
      <c r="CL37" s="164" t="e">
        <f>IF(NOT(SnapshotTable[[#This Row],[SP Is Filled]]),(SnapshotTable[[#This Row],[SP Qty]] * SnapshotTable[[#This Row],[SP Strike Price]] * 100) - SnapshotTable[[#This Row],[LP Max Value]],"")</f>
        <v>#VALUE!</v>
      </c>
      <c r="CM37" s="31" t="str">
        <f>IF(SnapshotTable[[#This Row],[SP Actual Spend]]&lt;&gt;0, ((SnapshotTable[[#This Row],[SP Strike Price]]-SnapshotTable[[#This Row],[Last Price]]) *(SnapshotTable[[#This Row],[SP Qty]]*100) - SnapshotTable[[#This Row],[SP Premium]]) * - 1, "")</f>
        <v/>
      </c>
      <c r="CN37" s="154"/>
      <c r="CO37" s="369"/>
      <c r="CP37" s="4" t="str">
        <f>IF(SnapshotTable[[#This Row],[SP Is Filled]], btc_max_buyback_amount(SnapshotTable[[#This Row],[SP Fill Date]],SnapshotTable[[#This Row],[SP Exp Date]], SnapshotTable[[#This Row],[SP Book Price]]),"")</f>
        <v/>
      </c>
      <c r="CQ37" s="78"/>
      <c r="CR3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 s="155" t="str">
        <f>IF(SnapshotTable[[#This Row],[SP Is Filled]], btc_next_cutoff_date(SnapshotTable[[#This Row],[SP Fill Date]],SnapshotTable[[#This Row],[SP Exp Date]]),"")</f>
        <v/>
      </c>
      <c r="CT37" s="235" t="str" cm="1">
        <f t="array" ref="CT37">IF(SnapshotTable[[#This Row],[SP Is Filled]], btc_should_buy_back(SnapshotTable[[#This Row],[SP Fill Date]], SnapshotTable[[#This Row],[SP Exp Date]], SnapshotTable[[#This Row],[SP Book Price]], SnapshotTable[[#This Row],[SP Current Ask]], MockToday, SnapshotTable[[#This Row],[SP Buyback Override]]),"")</f>
        <v/>
      </c>
      <c r="CU37" s="156"/>
      <c r="CV37" s="235"/>
      <c r="CW37" s="378" t="str">
        <f>IF(ISNUMBER( SnapshotTable[[#This Row],[SP Term]]), SnapshotTable[[#This Row],[SP Exp Date]] - MockToday,"")</f>
        <v/>
      </c>
      <c r="CX37" s="31" t="str">
        <f>IF(SnapshotTable[[#This Row],[SP Is Filled]],SnapshotTable[[#This Row],[SP Buyback Price to Use]] * 100 * SnapshotTable[[#This Row],[SP Qty]], "")</f>
        <v/>
      </c>
      <c r="CY37" s="4" t="str">
        <f>IF(ISNUMBER(SnapshotTable[[#This Row],[SP Strike Price]]), SnapshotTable[[#This Row],[SP Strike Price]] * (1 - SP_MaxLoss_StrikePct), "")</f>
        <v/>
      </c>
      <c r="CZ37" s="31" t="str">
        <f>IF(ISNUMBER(SnapshotTable[[#This Row],[SP Strike  Stop Per Share]]),SnapshotTable[[#This Row],[SP Premium]] - ((SnapshotTable[[#This Row],[SP Strike Price]]-SnapshotTable[[#This Row],[SP Strike  Stop Per Share]]) *(SnapshotTable[[#This Row],[SP Qty]] * 100)),"")</f>
        <v/>
      </c>
      <c r="DA37" s="4" t="str">
        <f>IF(AND(ISNUMBER(SnapshotTable[[#This Row],[SP Premium]]),SnapshotTable[[#This Row],[SP Premium]]&gt;0), SnapshotTable[[#This Row],[SP Book Price]] * (1 + SP_MaxLoss_OptionPct), "")</f>
        <v/>
      </c>
      <c r="DB37" s="31" t="str">
        <f>IF(ISNUMBER(SnapshotTable[[#This Row],[SP Option  Stop Contract]]),(SnapshotTable[[#This Row],[SP Option  Stop Contract]] *(SnapshotTable[[#This Row],[SP Qty]] * 100) - SnapshotTable[[#This Row],[SP Premium]]),"")</f>
        <v/>
      </c>
      <c r="DC37" s="4"/>
      <c r="DD37" s="4"/>
      <c r="DE37" s="4" t="str">
        <f>IF(AND(SnapshotTable[[#This Row],[SP Qty]]&gt;0, SnapshotTable[[#This Row],[SP Stop To Use]]&gt;0),SnapshotTable[[#This Row],[SP Premium]] - ( SnapshotTable[[#This Row],[SP Qty]] * SnapshotTable[[#This Row],[SP Stop To Use]] * 100), "")</f>
        <v/>
      </c>
      <c r="DF37" s="31" t="str">
        <f>IF(AND(SnapshotTable[[#This Row],[SP Qty]]&gt;0,SnapshotTable[[#This Row],[SP Current Ask]]&gt;0), SnapshotTable[[#This Row],[SP Qty]] * SnapshotTable[[#This Row],[SP Current Ask]] * -100, "")</f>
        <v/>
      </c>
      <c r="DG37" s="31" t="str">
        <f>IF(ISNUMBER((SnapshotTable[[#This Row],[SP Total Value]])), SnapshotTable[[#This Row],[SP Premium]] + SnapshotTable[[#This Row],[SP Total Value]], "")</f>
        <v/>
      </c>
      <c r="DH37" s="294" t="str">
        <f>IF(ISNUMBER((SnapshotTable[[#This Row],[SP Total Value]])), SnapshotTable[[#This Row],[SP Gain Loss]] / SnapshotTable[[#This Row],[SP Premium]], "")</f>
        <v/>
      </c>
      <c r="DI37" s="406"/>
      <c r="DJ37" s="138"/>
      <c r="DK37" s="148"/>
      <c r="DL37" s="147"/>
      <c r="DM37" s="147"/>
      <c r="DO37" s="31">
        <f>IF(SnapshotTable[[#This Row],[LC Symbol Count]]=1, SnapshotTable[[#This Row],[LC Qty]] * SnapshotTable[[#This Row],[LC Book Price]] * 100, 0)</f>
        <v>0</v>
      </c>
      <c r="DP37" s="289" t="str">
        <f>IF(AND(SnapshotTable[[#This Row],[LC Exp Date]]&gt;0, SnapshotTable[[#This Row],[LC Strike Price]]&gt;0,SnapshotTable[[#This Row],[LC Qty]]&gt;0,SnapshotTable[[#This Row],[LC Book Date]]&gt;0,SnapshotTable[[#This Row],[LC Book Price]]&gt;0,SnapshotTable[[#This Row],[LC Fill Date]]=0),"Y","")</f>
        <v/>
      </c>
      <c r="DQ37" s="386" t="str">
        <f>IF(SnapshotTable[[#This Row],[LC Premium]] &gt; 0,SnapshotTable[[#This Row],[LC Exp Date]]-MAX(SnapshotTable[[#This Row],[LC Book Date]], SnapshotTable[[#This Row],[LC Fill Date]]),"")</f>
        <v/>
      </c>
      <c r="DR37" s="386" t="str">
        <f>IF(ISNUMBER(SnapshotTable[[#This Row],[LC Term]]), SnapshotTable[[#This Row],[LC Exp Date]] - MockToday, "")</f>
        <v/>
      </c>
      <c r="DS37" s="234" t="str">
        <f>IF(SnapshotTable[[#This Row],[LC Premium]]&gt;0,SnapshotTable[[#This Row],[LC Strike Price]] + SnapshotTable[[#This Row],[LC Book Price]],"")</f>
        <v/>
      </c>
      <c r="DU37" s="9" t="str">
        <f>IF(AND(SnapshotTable[[#This Row],[LC Symbol Count]]&gt;0, SnapshotTable[[#This Row],[LC Contract Value]]&gt;0), SnapshotTable[[#This Row],[LC Contract Value]] * SnapshotTable[[#This Row],[LC Qty]] * 100, "")</f>
        <v/>
      </c>
      <c r="DV37" s="9" t="str">
        <f>IF(AND(ISNUMBER(SnapshotTable[[#This Row],[LC Total Value]]), SnapshotTable[[#This Row],[LC Not Filled]]&lt;&gt;"Y"), SnapshotTable[[#This Row],[LC Total Value]]-SnapshotTable[[#This Row],[LC Premium]],"")</f>
        <v/>
      </c>
      <c r="DW37" s="240" t="str">
        <f>IF(ISNUMBER(SnapshotTable[[#This Row],[LC Actual Gain Loss]]), SnapshotTable[[#This Row],[LC Actual Gain Loss]] / SnapshotTable[[#This Row],[LC Premium]],"")</f>
        <v/>
      </c>
      <c r="DX37" s="284" t="str">
        <f>IF(ISNUMBER(SnapshotTable[[#This Row],[LC Book Price]]),SnapshotTable[[#This Row],[LC Book Price]] * 1.5,"")</f>
        <v/>
      </c>
      <c r="DY37" s="265" t="str">
        <f>IF(SnapshotTable[[#This Row],[LC Premium]]&gt;0, SnapshotTable[[#This Row],[LC Next Target]] * SnapshotTable[[#This Row],[LC Qty]] * 100,"")</f>
        <v/>
      </c>
      <c r="DZ37" s="265" t="str">
        <f>IF(ISNUMBER(SnapshotTable[[#This Row],[LC Target Gross]]), SnapshotTable[[#This Row],[LC Target Gross]] - SnapshotTable[[#This Row],[LC Premium]], "")</f>
        <v/>
      </c>
      <c r="EA37" s="305" t="str">
        <f>IF(ISNUMBER(SnapshotTable[[#This Row],[LC Target Gain Loss]]), SnapshotTable[[#This Row],[LC Target Gain Loss]]/SnapshotTable[[#This Row],[LC Premium]], "")</f>
        <v/>
      </c>
      <c r="EB37" s="262"/>
      <c r="EC37" s="283" t="str">
        <f>IF(SnapshotTable[[#This Row],[LC Premium]]&gt;0, SnapshotTable[[#This Row],[LC Book Price]] * (1 - LC_StopLoss_Pct),"")</f>
        <v/>
      </c>
      <c r="ED37" s="284"/>
      <c r="EE37" s="283" t="str">
        <f>IF(ISNUMBER(SnapshotTable[[#This Row],[LC Contract Value]]),IF(ISNUMBER(SnapshotTable[[#This Row],[LC Stop Loss Override]]), SnapshotTable[[#This Row],[LC Stop Loss Override]],SnapshotTable[[#This Row],[LC Stop Loss Calc Target]]),"")</f>
        <v/>
      </c>
      <c r="EF37" s="31" t="str">
        <f>IF(ISNUMBER(SnapshotTable[[#This Row],[LC Stop  To Use]]), (SnapshotTable[[#This Row],[LC Stop  To Use]] * SnapshotTable[[#This Row],[LC Qty]] * 100),"")</f>
        <v/>
      </c>
      <c r="EG37" s="9" t="str">
        <f>IF(ISNUMBER(SnapshotTable[[#This Row],[LC Total Value]]),SnapshotTable[[#This Row],[LC Stop Loss Amount]] - SnapshotTable[[#This Row],[LC Premium]],"")</f>
        <v/>
      </c>
      <c r="EH37" s="9">
        <f>IF(ISNUMBER(SnapshotTable[[#This Row],[LC Premium]]), SnapshotTable[[#This Row],[LC Qty]] * 100 * SnapshotTable[[#This Row],[LC Strike Price]], "")</f>
        <v>0</v>
      </c>
      <c r="EI37" s="240" t="str">
        <f>IF(AND(ISNUMBER(SnapshotTable[[#This Row],[LC Total Value]]),SnapshotTable[[#This Row],[LC Total Value]]&gt;0),SnapshotTable[[#This Row],[LC Stop Gain Loss]]  / SnapshotTable[[#This Row],[LC Premium]],"")</f>
        <v/>
      </c>
      <c r="EJ37" s="35">
        <f>IF(ISNUMBER(SnapshotTable[[#This Row],[Equity Shares]]),TRUNC(SnapshotTable[[#This Row],[Equity Shares]] / 100),0) + SnapshotTable[[#This Row],[LC Qty]]</f>
        <v>0</v>
      </c>
      <c r="EK37" s="147"/>
      <c r="EL37" s="138" t="str">
        <f>IF(SnapshotTable[[#This Row],[SC Exp Date]]&lt;&gt;"",TRUNC(SnapshotTable[[#This Row],[Last Price]]),"")</f>
        <v/>
      </c>
      <c r="EM37" s="148"/>
      <c r="EN37" s="147"/>
      <c r="EO37" s="147"/>
      <c r="EP37" s="138"/>
      <c r="EQ37" s="419" t="b">
        <f>AND(ISNUMBER(SnapshotTable[[#This Row],[SC Exp Date]]), ISNUMBER(SnapshotTable[[#This Row],[SC Strike Price]]), ISNUMBER(SnapshotTable[[#This Row],[SC Qty]]), ISNUMBER(SnapshotTable[[#This Row],[SC Book Date]]), ISNUMBER(SnapshotTable[[#This Row],[SC Book Price]]))</f>
        <v>0</v>
      </c>
      <c r="ER37" s="419" t="b">
        <f>AND(SnapshotTable[[#This Row],[SC Is Booked]], NOT(ISBLANK(SnapshotTable[[#This Row],[SC Fill Date]])))</f>
        <v>0</v>
      </c>
      <c r="ES37" s="370"/>
      <c r="ET37" s="34" t="str">
        <f>IF(AND(ISNUMBER(SnapshotTable[[#This Row],[SC Exp Date]]), ISNUMBER(SnapshotTable[[#This Row],[SC Book Date]])), SnapshotTable[[#This Row],[SC Exp Date]] - MAX(SnapshotTable[[#This Row],[SC Book Date]], SnapshotTable[[#This Row],[SC Fill Date]]) + 1, "")</f>
        <v/>
      </c>
      <c r="EU37" s="34" t="str">
        <f>IF(ISNUMBER(SnapshotTable[[#This Row],[SC Term]]), SnapshotTable[[#This Row],[SC Exp Date]]- MockToday, "")</f>
        <v/>
      </c>
      <c r="EV37" s="31">
        <f>IF(SnapshotTable[[#This Row],[SC Is Booked]], SnapshotTable[[#This Row],[SC Qty]] * SnapshotTable[[#This Row],[SC Book Price]] * 100, 0)</f>
        <v>0</v>
      </c>
      <c r="EW37" s="4" t="str">
        <f>IF(AND(ISNUMBER(SnapshotTable[[#This Row],[Last Price]]), ISNUMBER( SnapshotTable[[#This Row],[SC Book Price]])), SnapshotTable[[#This Row],[Last Price]] - SnapshotTable[[#This Row],[SC Book Price]],"")</f>
        <v/>
      </c>
      <c r="EX37" s="234" t="str">
        <f>IF(SnapshotTable[[#This Row],[SC Is Booked]],IF(SnapshotTable[[#This Row],[SC Intrinsic Value]] &gt; 0, SnapshotTable[[#This Row],[SC Strike Price]], SnapshotTable[[#This Row],[Last Price]]), "")</f>
        <v/>
      </c>
      <c r="EY37" s="4">
        <f>IF(SnapshotTable[[#This Row],[SC Is Booked]], (MinimumPremiumRequired * SnapshotTable[[#This Row],[SC Basis]] * SnapshotTable[[#This Row],[SC Term]]), 0)</f>
        <v>0</v>
      </c>
      <c r="EZ37" s="283"/>
      <c r="FA37" s="218"/>
      <c r="FB37" s="370"/>
      <c r="FC37" s="4">
        <f>IF(SnapshotTable[[#This Row],[SC Is Filled]], btc_max_buyback_amount(SnapshotTable[[#This Row],[SC Fill Date]],SnapshotTable[[#This Row],[SC Exp Date]], SnapshotTable[[#This Row],[SC Book Price]]),0)</f>
        <v>0</v>
      </c>
      <c r="FD37" s="5"/>
      <c r="FE37" s="144" t="str">
        <f>IF(SnapshotTable[[#This Row],[SC Is Filled]], btc_next_cutoff_date(SnapshotTable[[#This Row],[SC Fill Date]],SnapshotTable[[#This Row],[SC Exp Date]]),"")</f>
        <v/>
      </c>
      <c r="FF37" s="4" t="str" cm="1">
        <f t="array" ref="FF37">IF(SnapshotTable[[#This Row],[SC Is Filled]], btc_should_buy_back(SnapshotTable[[#This Row],[SC Fill Date]], SnapshotTable[[#This Row],[SC Exp Date]], SnapshotTable[[#This Row],[SC Book Price]], SnapshotTable[[#This Row],[SC Current Ask]], MockToday, SnapshotTable[[#This Row],[SC Buyback Override]]),"")</f>
        <v/>
      </c>
      <c r="FG37" s="4">
        <f>IF(SnapshotTable[[#This Row],[SC Is Filled]], MAX(0,SnapshotTable[[#This Row],[Last Price]]  - SnapshotTable[[#This Row],[SC Strike Price]]), 0)</f>
        <v>0</v>
      </c>
      <c r="FH37" s="382">
        <f>IF(SnapshotTable[[#This Row],[SC Is Filled]], IF(ISNUMBER(SnapshotTable[[#This Row],[SC Current Ask]]), SnapshotTable[[#This Row],[SC Current Ask]], SnapshotTable[[#This Row],[SC Book Price]]) - SnapshotTable[[#This Row],[SC Intrinsic Value]], 0)</f>
        <v>0</v>
      </c>
      <c r="FI37" s="143"/>
      <c r="FJ37" s="32" t="str">
        <f>IF(SnapshotTable[[#This Row],[SC Is Filled]],100 * SnapshotTable[[#This Row],[SC Qty]] * IF(ISNUMBER(SnapshotTable[[#This Row],[SC Buyback Override]]), SnapshotTable[[#This Row],[SC Buyback Override]], SnapshotTable[[#This Row],[SC Current Ask]]), "")</f>
        <v/>
      </c>
      <c r="FK37" s="250" t="str">
        <f>IF(SnapshotTable[[#This Row],[SC Time Val]]&gt;0, SnapshotTable[[#This Row],[SC Time Val]] / SnapshotTable[[#This Row],[Last Price]],"")</f>
        <v/>
      </c>
      <c r="FL37" s="302" t="str">
        <f>IF(SnapshotTable[[#This Row],[SC Is Booked]], ((SnapshotTable[[#This Row],[Last Price]] -SnapshotTable[[#This Row],[SC Strike Price]]) / SnapshotTable[[#This Row],[Last Price]]) * -1, "")</f>
        <v/>
      </c>
      <c r="FM37" s="157" t="str">
        <f>IF(SnapshotTable[[#This Row],[SC Is Booked]],  (SnapshotTable[[#This Row],[SC Qty]] * 100 * SnapshotTable[[#This Row],[SC Strike Price]]) - SnapshotTable[[#This Row],[SC Current Ask]], "")</f>
        <v/>
      </c>
      <c r="FN37"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 s="157" t="str">
        <f>IF(AND(ISNUMBER(SnapshotTable[[#This Row],[SC Exercise Gross]]), ISNUMBER(SnapshotTable[[#This Row],[Equity Basis Per Share]] )), SnapshotTable[[#This Row],[SC Exercise Gross]] - SnapshotTable[[#This Row],[Equity Basis Total]] +  SnapshotTable[[#This Row],[SC Premium]], "")</f>
        <v/>
      </c>
      <c r="FP37" s="5" t="str">
        <f>IF(ISNUMBER(SnapshotTable[[#This Row],[SC Exercise Gross]]), (SnapshotTable[[#This Row],[SC Exercise Gross]]) / (SnapshotTable[[#This Row],[SC Qty]] * 100), "")</f>
        <v/>
      </c>
      <c r="FQ37" s="27" t="str">
        <f>IF(SnapshotTable[[#This Row],[SC Is Booked]],SnapshotTable[[#This Row],[SC Time Val]] /SnapshotTable[[#This Row],[SC Basis]], "")</f>
        <v/>
      </c>
      <c r="FR37" s="27" t="str" cm="1">
        <f t="array" ref="FR37">IF(AND(ISNUMBER(SnapshotTable[[#This Row],[SC Term]]),ISNUMBER(SnapshotTable[[#This Row],[SC Simple ROO]])), EllmanAnnualize(SnapshotTable[[#This Row],[SC DTE]], SnapshotTable[[#This Row],[SC Simple ROO]] ),"")</f>
        <v/>
      </c>
      <c r="FS37" s="4" t="e">
        <f>IF(SnapshotTable[[#This Row],[SC Strike Price]] &gt; SnapshotTable[[#This Row],[Last Price]], SnapshotTable[[#This Row],[SC Strike Price]] - SnapshotTable[[#This Row],[Last Price]],0)</f>
        <v>#VALUE!</v>
      </c>
      <c r="FT37" s="27" t="e">
        <f>IF(AND(ISNUMBER(SnapshotTable[[#This Row],[SC Upside Potential]]), SnapshotTable[[#This Row],[SC Upside Potential]] &gt; 0),(SnapshotTable[[#This Row],[SC Upside Potential]]/ SnapshotTable[[#This Row],[ACB]]),"")</f>
        <v>#VALUE!</v>
      </c>
      <c r="FU37" s="333" t="str">
        <f>IF(SnapshotTable[[#This Row],[SC Intrinsic Value]] &gt; 0,SnapshotTable[[#This Row],[SC Intrinsic Value]],"")</f>
        <v/>
      </c>
      <c r="FV37" s="27" t="str">
        <f>IF(AND( ISNUMBER( SnapshotTable[[#This Row],[ACB]]),ISNUMBER(SnapshotTable[[#This Row],[SC Downside Protect]])),SnapshotTable[[#This Row],[SC Downside Protect]] / SnapshotTable[[#This Row],[ACB]],"")</f>
        <v/>
      </c>
      <c r="FW37" s="236" t="str">
        <f>IF(AND(ISNUMBER(SnapshotTable[[#This Row],[SC Simple ROO]]),SnapshotTable[[#This Row],[SC Simple ROO]] &gt; 0), SnapshotTable[[#This Row],[SC Premium]] + (SnapshotTable[[#This Row],[SC Qty]] * SnapshotTable[[#This Row],[SC Upside Potential]]), "")</f>
        <v/>
      </c>
      <c r="FX37" s="302" t="str" cm="1">
        <f t="array" ref="FX37">IF(ISNUMBER(SnapshotTable[[#This Row],[SC Max Dollars]]), annualize(SnapshotTable[[#This Row],[SC Term]],(SnapshotTable[[#This Row],[SC Max Dollars]]/SnapshotTable[[#This Row],[SC Basis]])),"")</f>
        <v/>
      </c>
      <c r="FY37" s="236" t="str">
        <f>IF(AND(SnapshotTable[[#This Row],[SC Qty]]&gt;0,SnapshotTable[[#This Row],[SC Current Ask]]&gt;0), SnapshotTable[[#This Row],[SC Qty]] * SnapshotTable[[#This Row],[SC Current Ask]] * -100, "")</f>
        <v/>
      </c>
      <c r="FZ37" s="235" t="str">
        <f>IF(ISNUMBER((SnapshotTable[[#This Row],[SC Current Value]])), SnapshotTable[[#This Row],[SC Premium]] + SnapshotTable[[#This Row],[SC Current Value]], "")</f>
        <v/>
      </c>
      <c r="GA37" s="294" t="str">
        <f>IFERROR( IF(ISNUMBER((SnapshotTable[[#This Row],[SC Current Value]])), SnapshotTable[[#This Row],[SC Gain Loss]] / SnapshotTable[[#This Row],[SC Premium]], ""), "")</f>
        <v/>
      </c>
      <c r="GB37" s="42">
        <f>SnapshotTable[[#This Row],[Equity Shares]] * SaleSharesToConsiderPercentage</f>
        <v>0</v>
      </c>
      <c r="GC37" s="40">
        <f>SnapshotTable[[#This Row],[Long Term Target]] * SellingPriceToConsiderBasedOnTargetPercentage</f>
        <v>0</v>
      </c>
      <c r="GD37" s="40">
        <f>SnapshotTable[[#This Row],[Last Price]] * (1+ SellingPriceToConsiderBasedOnTargetPercentage)</f>
        <v>148.2585</v>
      </c>
      <c r="GE37" s="41"/>
      <c r="GF37" s="40"/>
      <c r="GG37" s="31">
        <f>SnapshotTable[[#This Row],[Booked Sale Shares]] * SnapshotTable[[#This Row],[Booked Sale Price]]</f>
        <v>0</v>
      </c>
      <c r="GH37" s="31" t="str">
        <f>IF(SnapshotTable[[#This Row],[Equity Basis Total]] &gt; 0, SnapshotTable[[#This Row],[Equity Basis Per Share]] * SnapshotTable[[#This Row],[Booked Sale Shares]], "")</f>
        <v/>
      </c>
      <c r="GI37" s="31">
        <f>IF(SnapshotTable[[#This Row],[Sale Proceeds]]&gt;0, SnapshotTable[[#This Row],[Sale Proceeds]] - SnapshotTable[[#This Row],[Sale Basis]], 0)</f>
        <v>0</v>
      </c>
      <c r="GJ37" s="158" t="str">
        <f>IF(SnapshotTable[[#This Row],[Sale G/L]]&gt;0, SnapshotTable[[#This Row],[Sale G/L]] / SnapshotTable[[#This Row],[Sale Basis]], IF(ISNUMBER(SnapshotTable[[#This Row],[SC Exercise P&amp;L (TAX)]]), SnapshotTable[[#This Row],[SC Exercise P&amp;L (TAX)]] / SnapshotTable[[#This Row],[SC Basis]], ""))</f>
        <v/>
      </c>
      <c r="GK37" s="27"/>
      <c r="GL37" s="159" t="str">
        <f>IF(AND(SnapshotTable[[#This Row],[LP Exp Date]]&gt;0,SnapshotTable[[#This Row],[LP Strike Price]]&gt;0), [1]!ToOptionSymbol(SnapshotTable[[#This Row],[Symbol]], SnapshotTable[[#This Row],[LP Strike Price]],SnapshotTable[[#This Row],[LP Exp Date]],1), "")</f>
        <v/>
      </c>
      <c r="GM37" s="30" t="str">
        <f>IF(LEN(SnapshotTable[[#This Row],[LP Symbol]])&gt;0, 1, "")</f>
        <v/>
      </c>
      <c r="GN37" s="43" t="str">
        <f>IF(AND(SnapshotTable[[#This Row],[SP Exp Date]]&gt;0,SnapshotTable[[#This Row],[SP Strike Price]]&gt;0), [1]!ToOptionSymbol(SnapshotTable[[#This Row],[Symbol]], SnapshotTable[[#This Row],[SP Strike Price]],SnapshotTable[[#This Row],[SP Exp Date]],1), "")</f>
        <v/>
      </c>
      <c r="GO37" s="30" t="str">
        <f>IF(LEN(SnapshotTable[[#This Row],[SP Symbol]])&gt;0, 1, "")</f>
        <v/>
      </c>
      <c r="GP37" s="159" t="str">
        <f>IF(AND(SnapshotTable[[#This Row],[LC Exp Date]]&gt;0,SnapshotTable[[#This Row],[LC Strike Price]]&gt;0), [1]!ToOptionSymbol(SnapshotTable[[#This Row],[Symbol]], SnapshotTable[[#This Row],[LC Strike Price]],SnapshotTable[[#This Row],[LC Exp Date]],0), "")</f>
        <v/>
      </c>
      <c r="GQ37" s="160" t="str">
        <f>IF(LEN(SnapshotTable[[#This Row],[LC Symbol]])&gt;0, 1, "")</f>
        <v/>
      </c>
      <c r="GR37" s="159" t="str">
        <f>IF(AND(SnapshotTable[[#This Row],[SC Exp Date]]&gt;0,SnapshotTable[[#This Row],[SC Strike Price]]&gt;0), [1]!ToOptionSymbol(SnapshotTable[[#This Row],[Symbol]], SnapshotTable[[#This Row],[SC Strike Price]],SnapshotTable[[#This Row],[SC Exp Date]],0), "")</f>
        <v/>
      </c>
      <c r="GS37" s="160" t="str">
        <f>IF(LEN(SnapshotTable[[#This Row],[SC Symbol]])&gt;0, 1, "")</f>
        <v/>
      </c>
      <c r="GT37" s="161" t="str">
        <f>IF(COUNT(SnapshotTable[[#This Row],[LP Symbol Count]],SnapshotTable[[#This Row],[SP Symbol Count]],SnapshotTable[[#This Row],[LC Symbol Count]],SnapshotTable[[#This Row],[SC Symbol Count]])&gt;0, "Y", "")</f>
        <v/>
      </c>
      <c r="GU3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 s="231" t="e">
        <f>MAX(SnapshotTable[[#This Row],[Equity Basis Total]],SnapshotTable[[#This Row],[Equity Value]]) + (SnapshotTable[[#This Row],[SP Potential Spend]]- SnapshotTable[[#This Row],[SP Premium]] + SnapshotTable[[#This Row],[LP Premium]])+ (SnapshotTable[[#This Row],[LC Premium]] - SnapshotTable[[#This Row],[SC Premium]])</f>
        <v>#VALUE!</v>
      </c>
      <c r="GW37" s="139" t="e">
        <f>IF(AND(SnapshotTable[[#This Row],[Exposure]] &lt;&gt; 0),SnapshotTable[[#This Row],[Exposure]] / SnapshotTable[[#Totals],[Exposure]], "")</f>
        <v>#VALUE!</v>
      </c>
      <c r="HE37" s="268"/>
      <c r="HF37" s="268"/>
      <c r="HK37" s="1"/>
      <c r="HL37" s="1"/>
      <c r="HM37" s="1"/>
      <c r="HN37" s="1"/>
      <c r="HO37" s="1"/>
      <c r="HP37" s="1"/>
    </row>
    <row r="38" spans="2:224" ht="12.75" hidden="1" customHeight="1" x14ac:dyDescent="0.25">
      <c r="B38" s="12" t="s">
        <v>1164</v>
      </c>
      <c r="C38" s="422">
        <v>283.39999999999998</v>
      </c>
      <c r="D38" s="208" t="s">
        <v>578</v>
      </c>
      <c r="E38" s="39">
        <f>SnapshotTable[[#This Row],[Last Price]]*(1 -CrashDiscount)</f>
        <v>240.89</v>
      </c>
      <c r="F38" s="26" t="s">
        <v>614</v>
      </c>
      <c r="G38" s="325" t="s">
        <v>9</v>
      </c>
      <c r="H38" s="149"/>
      <c r="I38" s="194"/>
      <c r="J38" s="195"/>
      <c r="K38" s="196"/>
      <c r="L38" s="326"/>
      <c r="M38" s="140"/>
      <c r="N38" s="140"/>
      <c r="O38" s="140"/>
      <c r="P38" s="22"/>
      <c r="Q38" s="25"/>
      <c r="R38" s="4" t="str">
        <f>IF(SnapshotTable[[#This Row],[Equity Basis Total]] &gt; 0, SnapshotTable[[#This Row],[Equity Basis Total]] / SnapshotTable[[#This Row],[Equity Shares]], "")</f>
        <v/>
      </c>
      <c r="S38" s="269">
        <f>SnapshotTable[[#This Row],[Last Price]] * SnapshotTable[[#This Row],[Equity Shares]]</f>
        <v>0</v>
      </c>
      <c r="T38" s="269">
        <f>SnapshotTable[[#This Row],[Equity Value]] - SnapshotTable[[#This Row],[Equity Basis Total]]</f>
        <v>0</v>
      </c>
      <c r="U38" s="270" t="str">
        <f>IF(SnapshotTable[[#This Row],[Equity Basis Total]] &gt; 0, SnapshotTable[[#This Row],[Equity G/L]] / SnapshotTable[[#This Row],[Equity Basis Total]], "")</f>
        <v/>
      </c>
      <c r="V38" s="268"/>
      <c r="W38" s="268"/>
      <c r="X38" s="4" t="str">
        <f>IF(AND(ISNUMBER(SnapshotTable[[#This Row],[Equity Basis Per Share]]),ISNUMBER(SnapshotTable[[#This Row],[Equity Target]])),SnapshotTable[[#This Row],[Equity Target]]-SnapshotTable[[#This Row],[Equity Basis Per Share]],"")</f>
        <v/>
      </c>
      <c r="Y38" s="4" t="str">
        <f>IF(AND(ISNUMBER(SnapshotTable[[#This Row],[Equity Basis Per Share]]),ISNUMBER(SnapshotTable[[#This Row],[Equity Stop Loss]])),SnapshotTable[[#This Row],[Equity Stop Loss]]-SnapshotTable[[#This Row],[Equity Basis Per Share]],"")</f>
        <v/>
      </c>
      <c r="Z38" s="275" t="str">
        <f>IFERROR( TEXT(SnapshotTable[[#This Row],[Equity Max Gain Per Share]] /ABS( SnapshotTable[[#This Row],[Equity Max Loss Per Share]]),"0.0 " ) &amp; " : 1", "")</f>
        <v/>
      </c>
      <c r="AA38" s="31" t="str">
        <f>IF(ISNUMBER(SnapshotTable[[#This Row],[Equity Max Gain Per Share]]),SnapshotTable[[#This Row],[Equity Max Gain Per Share]] * SnapshotTable[[#This Row],[Equity Shares]],"")</f>
        <v/>
      </c>
      <c r="AB38" s="31" t="str">
        <f>IF(ISNUMBER(SnapshotTable[[#This Row],[Equity Max Loss Per Share]]),SnapshotTable[[#This Row],[Equity Max Loss Per Share]] * SnapshotTable[[#This Row],[Equity Shares]],"")</f>
        <v/>
      </c>
      <c r="AC38" s="150"/>
      <c r="AD38" s="151"/>
      <c r="AE38" s="31">
        <f>(SnapshotTable[[#This Row],[Annual Dividend Per Share]] / 4) * SnapshotTable[[#This Row],[Equity Shares]]</f>
        <v>0</v>
      </c>
      <c r="AF38" s="31">
        <f>SnapshotTable[[#This Row],[Quarterly Div $]] * 4</f>
        <v>0</v>
      </c>
      <c r="AG38" s="7">
        <f>IF(SnapshotTable[[#This Row],[Annual Dividend Per Share]]&gt;0, SnapshotTable[[#This Row],[Annual Dividend Per Share]]  / SnapshotTable[[#This Row],[Last Price]], 0)</f>
        <v>0</v>
      </c>
      <c r="AH38" s="151"/>
      <c r="AI38" s="5"/>
      <c r="AJ38" s="138"/>
      <c r="AK38" s="152" t="str">
        <f>IF(ISNUMBER( SnapshotTable[[#This Row],[EBF Target]]),(SnapshotTable[[#This Row],[EBF Target]] - SnapshotTable[[#This Row],[Last Price]]) / SnapshotTable[[#This Row],[Last Price]], "")</f>
        <v/>
      </c>
      <c r="AL38" s="152" t="str">
        <f>IF(AND(SnapshotTable[[#This Row],[Equity Basis Total]] &gt; 0,ISNUMBER( SnapshotTable[[#This Row],[Long Term Target]])), SnapshotTable[[#This Row],[From Basis $]] / SnapshotTable[[#This Row],[Equity Basis Total]], "")</f>
        <v/>
      </c>
      <c r="AM38" s="9">
        <f>IF( AND(SnapshotTable[[#This Row],[Equity Shares]] &gt;0,ISNUMBER( SnapshotTable[[#This Row],[Long Term Target]])),(SnapshotTable[[#This Row],[Equity Shares]] * SnapshotTable[[#This Row],[Long Term Target]]) - SnapshotTable[[#This Row],[Equity Basis Total]],0)</f>
        <v>0</v>
      </c>
      <c r="AN38" s="9">
        <f>IF( AND(SnapshotTable[[#This Row],[Equity Shares]] &gt;0,ISNUMBER( SnapshotTable[[#This Row],[Long Term Target]])),(SnapshotTable[[#This Row],[Equity Shares]]*SnapshotTable[[#This Row],[Long Term Target]]) - SnapshotTable[[#This Row],[Equity Value]],0)</f>
        <v>0</v>
      </c>
      <c r="AO38" s="152" t="str">
        <f>IF(AND(ISNUMBER( SnapshotTable[[#This Row],[Long Term Target]]), ISNUMBER(SnapshotTable[[#This Row],[Last Price]])),(SnapshotTable[[#This Row],[Long Term Target]] - SnapshotTable[[#This Row],[Last Price]]) / SnapshotTable[[#This Row],[Last Price]], "")</f>
        <v/>
      </c>
      <c r="AP38" s="5"/>
      <c r="AQ38" s="38"/>
      <c r="AR38" s="5"/>
      <c r="AS38" s="38"/>
      <c r="AT38" s="146"/>
      <c r="AU38" s="187" t="str">
        <f>IF(OR(SnapshotTable[[#This Row],[LP No Fill]]="Y",SnapshotTable[[#This Row],[SP Is Filled]],SnapshotTable[[#This Row],[LC Not Filled]]="Y",SnapshotTable[[#This Row],[SC Is Filled]]),"Y","")</f>
        <v/>
      </c>
      <c r="AV38" s="219"/>
      <c r="AW38" s="225"/>
      <c r="AX38" s="220"/>
      <c r="AY38" s="219" t="str">
        <f>IF(SnapshotTable[[#This Row],[Implied Move]]&gt;0, SnapshotTable[[#This Row],[Last Price]]-SnapshotTable[[#This Row],[Implied Move]],"")</f>
        <v/>
      </c>
      <c r="AZ38" s="219" t="str">
        <f>IF(SnapshotTable[[#This Row],[Implied Move]]&gt;0, SnapshotTable[[#This Row],[Last Price]] + SnapshotTable[[#This Row],[Implied Move]],"")</f>
        <v/>
      </c>
      <c r="BA38" s="331">
        <v>118.56</v>
      </c>
      <c r="BB38" s="347"/>
      <c r="BC3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 s="351"/>
      <c r="BE38" s="5"/>
      <c r="BF38" s="14"/>
      <c r="BG38" s="13"/>
      <c r="BH38" s="13"/>
      <c r="BI38" s="5"/>
      <c r="BJ38" s="136">
        <f>IF(SnapshotTable[[#This Row],[LP Qty]] &gt; 0, SnapshotTable[[#This Row],[LP Qty]] * SnapshotTable[[#This Row],[LP Book Price]] * 100,0)</f>
        <v>0</v>
      </c>
      <c r="BK38" s="136">
        <f>IF(SnapshotTable[[#This Row],[LP Premium]] &gt; 0, SnapshotTable[[#This Row],[LP Qty]] * SnapshotTable[[#This Row],[LP Strike Price]] * 100,0)</f>
        <v>0</v>
      </c>
      <c r="BL38" s="154"/>
      <c r="BM38" s="385" t="str">
        <f>IF(SnapshotTable[[#This Row],[LP Premium]] &gt; 0,SnapshotTable[[#This Row],[LP Exp Date]]-MAX(SnapshotTable[[#This Row],[LP Book Date]], SnapshotTable[[#This Row],[LP Fill Date]]),"")</f>
        <v/>
      </c>
      <c r="BN38" s="385" t="str">
        <f>IF(ISNUMBER( SnapshotTable[[#This Row],[LP Term]]), SnapshotTable[[#This Row],[LP Exp Date]] - MockToday,"")</f>
        <v/>
      </c>
      <c r="BO38" s="163" t="str">
        <f>IF(AND(SnapshotTable[[#This Row],[LP Exp Date]]&gt;0, SnapshotTable[[#This Row],[LP Strike Price]]&gt;0,SnapshotTable[[#This Row],[LP Qty]]&gt;0,SnapshotTable[[#This Row],[LP Book Date]]&gt;0,SnapshotTable[[#This Row],[LP Book Price]]&gt;0,SnapshotTable[[#This Row],[LP Fill Date]]=0),"Y","")</f>
        <v/>
      </c>
      <c r="BP38" s="31" t="str">
        <f>IF(AND(SnapshotTable[[#This Row],[LP No Fill]]&lt;&gt;"Y",SnapshotTable[[#This Row],[LP Contract Value]]&gt;0, SnapshotTable[[#This Row],[LP Qty]]&gt;0), SnapshotTable[[#This Row],[LP Contract Value]]*SnapshotTable[[#This Row],[LP Qty]]*100,"")</f>
        <v/>
      </c>
      <c r="BQ38" s="13"/>
      <c r="BR38" s="5" t="str">
        <f>IF(SnapshotTable[[#This Row],[SP Exp Date]]&lt;&gt;"",TRUNC(SnapshotTable[[#This Row],[Last Price]]),"")</f>
        <v/>
      </c>
      <c r="BS38" s="36"/>
      <c r="BT38" s="147"/>
      <c r="BU38" s="13"/>
      <c r="BV38" s="5"/>
      <c r="BW38" s="419" t="b">
        <f>AND(ISNUMBER(SnapshotTable[[#This Row],[SP Exp Date]]), ISNUMBER(SnapshotTable[[#This Row],[SP Strike Price]]), ISNUMBER(SnapshotTable[[#This Row],[SP Qty]]), ISNUMBER(SnapshotTable[[#This Row],[SP Book Date]]), ISNUMBER(SnapshotTable[[#This Row],[SP Book Price]]))</f>
        <v>0</v>
      </c>
      <c r="BX38" s="419" t="b">
        <f>AND(SnapshotTable[[#This Row],[SP Is Booked]], NOT(ISBLANK(SnapshotTable[[#This Row],[SP Fill Date]])))</f>
        <v>0</v>
      </c>
      <c r="BY38" s="33">
        <f>IF(SnapshotTable[[#This Row],[SP Is Booked]], SnapshotTable[[#This Row],[SP Qty]] * SnapshotTable[[#This Row],[SP Book Price]] * 100, 0)</f>
        <v>0</v>
      </c>
      <c r="BZ38" s="369"/>
      <c r="CA38" s="368">
        <f>SnapshotTable[[#This Row],[LP Qty]]</f>
        <v>0</v>
      </c>
      <c r="CB38" s="4" t="str">
        <f>IF(SnapshotTable[[#This Row],[SP Is Booked]], SnapshotTable[[#This Row],[SP Strike Price]] - SnapshotTable[[#This Row],[SP Book Price]], "")</f>
        <v/>
      </c>
      <c r="CC38" s="19" t="str">
        <f>IF(SnapshotTable[[#This Row],[SP Is Booked]],SnapshotTable[[#This Row],[SP Exp Date]]-MAX(SnapshotTable[[#This Row],[SP Book Date]], SnapshotTable[[#This Row],[SP Fill Date]]),"")</f>
        <v/>
      </c>
      <c r="CD38" s="7" t="str">
        <f>IF(SnapshotTable[[#This Row],[SP Is Booked]], SnapshotTable[[#This Row],[SP Book Price]]/SnapshotTable[[#This Row],[SP Strike Price]], "")</f>
        <v/>
      </c>
      <c r="CE38" s="7" t="str">
        <f>IF(ISNUMBER(SnapshotTable[[#This Row],[SP ROO Term]]),SnapshotTable[[#This Row],[SP ROO Term]]*(365/SnapshotTable[[#This Row],[SP Term]]),"")</f>
        <v/>
      </c>
      <c r="CF38" s="236">
        <f>SnapshotTable[[#This Row],[LP Strike Price]] * SnapshotTable[[#This Row],[LP Qty]] * 100</f>
        <v>0</v>
      </c>
      <c r="CG38" s="31" t="e">
        <f>IF(ISNUMBER(SnapshotTable[[#This Row],[SP Premium]]), (SnapshotTable[[#This Row],[SP Qty]] * SnapshotTable[[#This Row],[SP Strike Price]]* 100) - SnapshotTable[[#This Row],[LP Protection]], 0)</f>
        <v>#VALUE!</v>
      </c>
      <c r="CH38" s="7" t="str">
        <f>IF(ISNUMBER(SnapshotTable[[#This Row],[SP Break Even]]),-1 * (SnapshotTable[[#This Row],[SP Break Even]] - SnapshotTable[[#This Row],[Last Price]]) / SnapshotTable[[#This Row],[Last Price]], "")</f>
        <v/>
      </c>
      <c r="CI38" s="31">
        <f>IF(AND(ISNUMBER((SnapshotTable[[#This Row],[SP Potential Spend]])), SnapshotTable[[#This Row],[SP Strike Price]] &gt; SnapshotTable[[#This Row],[Last Price]], SnapshotTable[[#This Row],[SP Is Filled]]), SnapshotTable[[#This Row],[SP Potential Spend]] -  SnapshotTable[[#This Row],[LP Max Value]], 0)</f>
        <v>0</v>
      </c>
      <c r="CJ38" s="244"/>
      <c r="CK38" s="31" t="str">
        <f>IF(ISNUMBER(SnapshotTable[[#This Row],[SP Potential Spend]]),IF(ISNUMBER(SnapshotTable[[#This Row],[SP POW]]), SnapshotTable[[#This Row],[SP POW]] * SnapshotTable[[#This Row],[SP Potential Spend]], SnapshotTable[[#This Row],[SP Potential Spend]]), "")</f>
        <v/>
      </c>
      <c r="CL38" s="164" t="e">
        <f>IF(NOT(SnapshotTable[[#This Row],[SP Is Filled]]),(SnapshotTable[[#This Row],[SP Qty]] * SnapshotTable[[#This Row],[SP Strike Price]] * 100) - SnapshotTable[[#This Row],[LP Max Value]],"")</f>
        <v>#VALUE!</v>
      </c>
      <c r="CM38" s="31" t="str">
        <f>IF(SnapshotTable[[#This Row],[SP Actual Spend]]&lt;&gt;0, ((SnapshotTable[[#This Row],[SP Strike Price]]-SnapshotTable[[#This Row],[Last Price]]) *(SnapshotTable[[#This Row],[SP Qty]]*100) - SnapshotTable[[#This Row],[SP Premium]]) * - 1, "")</f>
        <v/>
      </c>
      <c r="CN38" s="78"/>
      <c r="CO38" s="369"/>
      <c r="CP38" s="4" t="str">
        <f>IF(SnapshotTable[[#This Row],[SP Is Filled]], btc_max_buyback_amount(SnapshotTable[[#This Row],[SP Fill Date]],SnapshotTable[[#This Row],[SP Exp Date]], SnapshotTable[[#This Row],[SP Book Price]]),"")</f>
        <v/>
      </c>
      <c r="CQ38" s="78"/>
      <c r="CR3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 s="155" t="str">
        <f>IF(SnapshotTable[[#This Row],[SP Is Filled]], btc_next_cutoff_date(SnapshotTable[[#This Row],[SP Fill Date]],SnapshotTable[[#This Row],[SP Exp Date]]),"")</f>
        <v/>
      </c>
      <c r="CT38" s="235" t="str" cm="1">
        <f t="array" ref="CT38">IF(SnapshotTable[[#This Row],[SP Is Filled]], btc_should_buy_back(SnapshotTable[[#This Row],[SP Fill Date]], SnapshotTable[[#This Row],[SP Exp Date]], SnapshotTable[[#This Row],[SP Book Price]], SnapshotTable[[#This Row],[SP Current Ask]], MockToday, SnapshotTable[[#This Row],[SP Buyback Override]]),"")</f>
        <v/>
      </c>
      <c r="CU38" s="156"/>
      <c r="CV38" s="235"/>
      <c r="CW38" s="378" t="str">
        <f>IF(ISNUMBER( SnapshotTable[[#This Row],[SP Term]]), SnapshotTable[[#This Row],[SP Exp Date]] - MockToday,"")</f>
        <v/>
      </c>
      <c r="CX38" s="31" t="str">
        <f>IF(SnapshotTable[[#This Row],[SP Is Filled]],SnapshotTable[[#This Row],[SP Buyback Price to Use]] * 100 * SnapshotTable[[#This Row],[SP Qty]], "")</f>
        <v/>
      </c>
      <c r="CY38" s="4" t="str">
        <f>IF(ISNUMBER(SnapshotTable[[#This Row],[SP Strike Price]]), SnapshotTable[[#This Row],[SP Strike Price]] * (1 - SP_MaxLoss_StrikePct), "")</f>
        <v/>
      </c>
      <c r="CZ38" s="31" t="str">
        <f>IF(ISNUMBER(SnapshotTable[[#This Row],[SP Strike  Stop Per Share]]),SnapshotTable[[#This Row],[SP Premium]] - ((SnapshotTable[[#This Row],[SP Strike Price]]-SnapshotTable[[#This Row],[SP Strike  Stop Per Share]]) *(SnapshotTable[[#This Row],[SP Qty]] * 100)),"")</f>
        <v/>
      </c>
      <c r="DA38" s="4" t="str">
        <f>IF(AND(ISNUMBER(SnapshotTable[[#This Row],[SP Premium]]),SnapshotTable[[#This Row],[SP Premium]]&gt;0), SnapshotTable[[#This Row],[SP Book Price]] * (1 + SP_MaxLoss_OptionPct), "")</f>
        <v/>
      </c>
      <c r="DB38" s="31" t="str">
        <f>IF(ISNUMBER(SnapshotTable[[#This Row],[SP Option  Stop Contract]]),(SnapshotTable[[#This Row],[SP Option  Stop Contract]] *(SnapshotTable[[#This Row],[SP Qty]] * 100) - SnapshotTable[[#This Row],[SP Premium]]),"")</f>
        <v/>
      </c>
      <c r="DC38" s="4"/>
      <c r="DD38" s="4"/>
      <c r="DE38" s="4" t="str">
        <f>IF(AND(SnapshotTable[[#This Row],[SP Qty]]&gt;0, SnapshotTable[[#This Row],[SP Stop To Use]]&gt;0),SnapshotTable[[#This Row],[SP Premium]] - ( SnapshotTable[[#This Row],[SP Qty]] * SnapshotTable[[#This Row],[SP Stop To Use]] * 100), "")</f>
        <v/>
      </c>
      <c r="DF38" s="31" t="str">
        <f>IF(AND(SnapshotTable[[#This Row],[SP Qty]]&gt;0,SnapshotTable[[#This Row],[SP Current Ask]]&gt;0), SnapshotTable[[#This Row],[SP Qty]] * SnapshotTable[[#This Row],[SP Current Ask]] * -100, "")</f>
        <v/>
      </c>
      <c r="DG38" s="31" t="str">
        <f>IF(ISNUMBER((SnapshotTable[[#This Row],[SP Total Value]])), SnapshotTable[[#This Row],[SP Premium]] + SnapshotTable[[#This Row],[SP Total Value]], "")</f>
        <v/>
      </c>
      <c r="DH38" s="294" t="str">
        <f>IF(ISNUMBER((SnapshotTable[[#This Row],[SP Total Value]])), SnapshotTable[[#This Row],[SP Gain Loss]] / SnapshotTable[[#This Row],[SP Premium]], "")</f>
        <v/>
      </c>
      <c r="DI38" s="406"/>
      <c r="DJ38" s="138"/>
      <c r="DK38" s="148"/>
      <c r="DL38" s="13"/>
      <c r="DM38" s="13"/>
      <c r="DO38" s="31">
        <f>IF(SnapshotTable[[#This Row],[LC Symbol Count]]=1, SnapshotTable[[#This Row],[LC Qty]] * SnapshotTable[[#This Row],[LC Book Price]] * 100, 0)</f>
        <v>0</v>
      </c>
      <c r="DP38" s="163" t="str">
        <f>IF(AND(SnapshotTable[[#This Row],[LC Exp Date]]&gt;0, SnapshotTable[[#This Row],[LC Strike Price]]&gt;0,SnapshotTable[[#This Row],[LC Qty]]&gt;0,SnapshotTable[[#This Row],[LC Book Date]]&gt;0,SnapshotTable[[#This Row],[LC Book Price]]&gt;0,SnapshotTable[[#This Row],[LC Fill Date]]=0),"Y","")</f>
        <v/>
      </c>
      <c r="DQ38" s="386" t="str">
        <f>IF(SnapshotTable[[#This Row],[LC Premium]] &gt; 0,SnapshotTable[[#This Row],[LC Exp Date]]-MAX(SnapshotTable[[#This Row],[LC Book Date]], SnapshotTable[[#This Row],[LC Fill Date]]),"")</f>
        <v/>
      </c>
      <c r="DR38" s="386" t="str">
        <f>IF(ISNUMBER(SnapshotTable[[#This Row],[LC Term]]), SnapshotTable[[#This Row],[LC Exp Date]] - MockToday, "")</f>
        <v/>
      </c>
      <c r="DS38" s="234" t="str">
        <f>IF(SnapshotTable[[#This Row],[LC Premium]]&gt;0,SnapshotTable[[#This Row],[LC Strike Price]] + SnapshotTable[[#This Row],[LC Book Price]],"")</f>
        <v/>
      </c>
      <c r="DU38" s="9" t="str">
        <f>IF(AND(SnapshotTable[[#This Row],[LC Symbol Count]]&gt;0, SnapshotTable[[#This Row],[LC Contract Value]]&gt;0), SnapshotTable[[#This Row],[LC Contract Value]] * SnapshotTable[[#This Row],[LC Qty]] * 100, "")</f>
        <v/>
      </c>
      <c r="DV38" s="9" t="str">
        <f>IF(AND(ISNUMBER(SnapshotTable[[#This Row],[LC Total Value]]), SnapshotTable[[#This Row],[LC Not Filled]]&lt;&gt;"Y"), SnapshotTable[[#This Row],[LC Total Value]]-SnapshotTable[[#This Row],[LC Premium]],"")</f>
        <v/>
      </c>
      <c r="DW38" s="240" t="str">
        <f>IF(ISNUMBER(SnapshotTable[[#This Row],[LC Actual Gain Loss]]), SnapshotTable[[#This Row],[LC Actual Gain Loss]] / SnapshotTable[[#This Row],[LC Premium]],"")</f>
        <v/>
      </c>
      <c r="DX38" s="284" t="str">
        <f>IF(ISNUMBER(SnapshotTable[[#This Row],[LC Book Price]]),SnapshotTable[[#This Row],[LC Book Price]] * 1.5,"")</f>
        <v/>
      </c>
      <c r="DY38" s="265" t="str">
        <f>IF(SnapshotTable[[#This Row],[LC Premium]]&gt;0, SnapshotTable[[#This Row],[LC Next Target]] * SnapshotTable[[#This Row],[LC Qty]] * 100,"")</f>
        <v/>
      </c>
      <c r="DZ38" s="265" t="str">
        <f>IF(ISNUMBER(SnapshotTable[[#This Row],[LC Target Gross]]), SnapshotTable[[#This Row],[LC Target Gross]] - SnapshotTable[[#This Row],[LC Premium]], "")</f>
        <v/>
      </c>
      <c r="EA38" s="305" t="str">
        <f>IF(ISNUMBER(SnapshotTable[[#This Row],[LC Target Gain Loss]]), SnapshotTable[[#This Row],[LC Target Gain Loss]]/SnapshotTable[[#This Row],[LC Premium]], "")</f>
        <v/>
      </c>
      <c r="EB38" s="262"/>
      <c r="EC38" s="283" t="str">
        <f>IF(SnapshotTable[[#This Row],[LC Premium]]&gt;0, SnapshotTable[[#This Row],[LC Book Price]] * (1 - LC_StopLoss_Pct),"")</f>
        <v/>
      </c>
      <c r="ED38" s="284"/>
      <c r="EE38" s="283" t="str">
        <f>IF(ISNUMBER(SnapshotTable[[#This Row],[LC Contract Value]]),IF(ISNUMBER(SnapshotTable[[#This Row],[LC Stop Loss Override]]), SnapshotTable[[#This Row],[LC Stop Loss Override]],SnapshotTable[[#This Row],[LC Stop Loss Calc Target]]),"")</f>
        <v/>
      </c>
      <c r="EF38" s="31" t="str">
        <f>IF(ISNUMBER(SnapshotTable[[#This Row],[LC Stop  To Use]]), (SnapshotTable[[#This Row],[LC Stop  To Use]] * SnapshotTable[[#This Row],[LC Qty]] * 100),"")</f>
        <v/>
      </c>
      <c r="EG38" s="9" t="str">
        <f>IF(ISNUMBER(SnapshotTable[[#This Row],[LC Total Value]]),SnapshotTable[[#This Row],[LC Stop Loss Amount]] - SnapshotTable[[#This Row],[LC Premium]],"")</f>
        <v/>
      </c>
      <c r="EH38" s="9">
        <f>IF(ISNUMBER(SnapshotTable[[#This Row],[LC Premium]]), SnapshotTable[[#This Row],[LC Qty]] * 100 * SnapshotTable[[#This Row],[LC Strike Price]], "")</f>
        <v>0</v>
      </c>
      <c r="EI38" s="240" t="str">
        <f>IF(AND(ISNUMBER(SnapshotTable[[#This Row],[LC Total Value]]),SnapshotTable[[#This Row],[LC Total Value]]&gt;0),SnapshotTable[[#This Row],[LC Stop Gain Loss]]  / SnapshotTable[[#This Row],[LC Premium]],"")</f>
        <v/>
      </c>
      <c r="EJ38" s="35">
        <f>IF(ISNUMBER(SnapshotTable[[#This Row],[Equity Shares]]),TRUNC(SnapshotTable[[#This Row],[Equity Shares]] / 100),0) + SnapshotTable[[#This Row],[LC Qty]]</f>
        <v>0</v>
      </c>
      <c r="EK38" s="147"/>
      <c r="EL38" s="138" t="str">
        <f>IF(SnapshotTable[[#This Row],[SC Exp Date]]&lt;&gt;"",TRUNC(SnapshotTable[[#This Row],[Last Price]]),"")</f>
        <v/>
      </c>
      <c r="EM38" s="148"/>
      <c r="EN38" s="147"/>
      <c r="EO38" s="147"/>
      <c r="EP38" s="138"/>
      <c r="EQ38" s="419" t="b">
        <f>AND(ISNUMBER(SnapshotTable[[#This Row],[SC Exp Date]]), ISNUMBER(SnapshotTable[[#This Row],[SC Strike Price]]), ISNUMBER(SnapshotTable[[#This Row],[SC Qty]]), ISNUMBER(SnapshotTable[[#This Row],[SC Book Date]]), ISNUMBER(SnapshotTable[[#This Row],[SC Book Price]]))</f>
        <v>0</v>
      </c>
      <c r="ER38" s="419" t="b">
        <f>AND(SnapshotTable[[#This Row],[SC Is Booked]], NOT(ISBLANK(SnapshotTable[[#This Row],[SC Fill Date]])))</f>
        <v>0</v>
      </c>
      <c r="ES38" s="370"/>
      <c r="ET38" s="34" t="str">
        <f>IF(AND(ISNUMBER(SnapshotTable[[#This Row],[SC Exp Date]]), ISNUMBER(SnapshotTable[[#This Row],[SC Book Date]])), SnapshotTable[[#This Row],[SC Exp Date]] - MAX(SnapshotTable[[#This Row],[SC Book Date]], SnapshotTable[[#This Row],[SC Fill Date]]) + 1, "")</f>
        <v/>
      </c>
      <c r="EU38" s="34" t="str">
        <f>IF(ISNUMBER(SnapshotTable[[#This Row],[SC Term]]), SnapshotTable[[#This Row],[SC Exp Date]]- MockToday, "")</f>
        <v/>
      </c>
      <c r="EV38" s="31">
        <f>IF(SnapshotTable[[#This Row],[SC Is Booked]], SnapshotTable[[#This Row],[SC Qty]] * SnapshotTable[[#This Row],[SC Book Price]] * 100, 0)</f>
        <v>0</v>
      </c>
      <c r="EW38" s="4" t="str">
        <f>IF(AND(ISNUMBER(SnapshotTable[[#This Row],[Last Price]]), ISNUMBER( SnapshotTable[[#This Row],[SC Book Price]])), SnapshotTable[[#This Row],[Last Price]] - SnapshotTable[[#This Row],[SC Book Price]],"")</f>
        <v/>
      </c>
      <c r="EX38" s="234" t="str">
        <f>IF(SnapshotTable[[#This Row],[SC Is Booked]],IF(SnapshotTable[[#This Row],[SC Intrinsic Value]] &gt; 0, SnapshotTable[[#This Row],[SC Strike Price]], SnapshotTable[[#This Row],[Last Price]]), "")</f>
        <v/>
      </c>
      <c r="EY38" s="4">
        <f>IF(SnapshotTable[[#This Row],[SC Is Booked]], (MinimumPremiumRequired * SnapshotTable[[#This Row],[SC Basis]] * SnapshotTable[[#This Row],[SC Term]]), 0)</f>
        <v>0</v>
      </c>
      <c r="EZ38" s="283"/>
      <c r="FA38" s="218"/>
      <c r="FB38" s="370"/>
      <c r="FC38" s="4">
        <f>IF(SnapshotTable[[#This Row],[SC Is Filled]], btc_max_buyback_amount(SnapshotTable[[#This Row],[SC Fill Date]],SnapshotTable[[#This Row],[SC Exp Date]], SnapshotTable[[#This Row],[SC Book Price]]),0)</f>
        <v>0</v>
      </c>
      <c r="FD38" s="5"/>
      <c r="FE38" s="144" t="str">
        <f>IF(SnapshotTable[[#This Row],[SC Is Filled]], btc_next_cutoff_date(SnapshotTable[[#This Row],[SC Fill Date]],SnapshotTable[[#This Row],[SC Exp Date]]),"")</f>
        <v/>
      </c>
      <c r="FF38" s="4" t="str" cm="1">
        <f t="array" ref="FF38">IF(SnapshotTable[[#This Row],[SC Is Filled]], btc_should_buy_back(SnapshotTable[[#This Row],[SC Fill Date]], SnapshotTable[[#This Row],[SC Exp Date]], SnapshotTable[[#This Row],[SC Book Price]], SnapshotTable[[#This Row],[SC Current Ask]], MockToday, SnapshotTable[[#This Row],[SC Buyback Override]]),"")</f>
        <v/>
      </c>
      <c r="FG38" s="4">
        <f>IF(SnapshotTable[[#This Row],[SC Is Filled]], MAX(0,SnapshotTable[[#This Row],[Last Price]]  - SnapshotTable[[#This Row],[SC Strike Price]]), 0)</f>
        <v>0</v>
      </c>
      <c r="FH38" s="382">
        <f>IF(SnapshotTable[[#This Row],[SC Is Filled]], IF(ISNUMBER(SnapshotTable[[#This Row],[SC Current Ask]]), SnapshotTable[[#This Row],[SC Current Ask]], SnapshotTable[[#This Row],[SC Book Price]]) - SnapshotTable[[#This Row],[SC Intrinsic Value]], 0)</f>
        <v>0</v>
      </c>
      <c r="FI38" s="143"/>
      <c r="FJ38" s="32" t="str">
        <f>IF(SnapshotTable[[#This Row],[SC Is Filled]],100 * SnapshotTable[[#This Row],[SC Qty]] * IF(ISNUMBER(SnapshotTable[[#This Row],[SC Buyback Override]]), SnapshotTable[[#This Row],[SC Buyback Override]], SnapshotTable[[#This Row],[SC Current Ask]]), "")</f>
        <v/>
      </c>
      <c r="FK38" s="250" t="str">
        <f>IF(SnapshotTable[[#This Row],[SC Time Val]]&gt;0, SnapshotTable[[#This Row],[SC Time Val]] / SnapshotTable[[#This Row],[Last Price]],"")</f>
        <v/>
      </c>
      <c r="FL38" s="302" t="str">
        <f>IF(SnapshotTable[[#This Row],[SC Is Booked]], ((SnapshotTable[[#This Row],[Last Price]] -SnapshotTable[[#This Row],[SC Strike Price]]) / SnapshotTable[[#This Row],[Last Price]]) * -1, "")</f>
        <v/>
      </c>
      <c r="FM38" s="157" t="str">
        <f>IF(SnapshotTable[[#This Row],[SC Is Booked]],  (SnapshotTable[[#This Row],[SC Qty]] * 100 * SnapshotTable[[#This Row],[SC Strike Price]]) - SnapshotTable[[#This Row],[SC Current Ask]], "")</f>
        <v/>
      </c>
      <c r="FN3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 s="31" t="str">
        <f>IF(AND(ISNUMBER(SnapshotTable[[#This Row],[SC Exercise Gross]]), ISNUMBER(SnapshotTable[[#This Row],[Equity Basis Per Share]] )), SnapshotTable[[#This Row],[SC Exercise Gross]] - SnapshotTable[[#This Row],[Equity Basis Total]] +  SnapshotTable[[#This Row],[SC Premium]], "")</f>
        <v/>
      </c>
      <c r="FP38" s="5" t="str">
        <f>IF(ISNUMBER(SnapshotTable[[#This Row],[SC Exercise Gross]]), (SnapshotTable[[#This Row],[SC Exercise Gross]]) / (SnapshotTable[[#This Row],[SC Qty]] * 100), "")</f>
        <v/>
      </c>
      <c r="FQ38" s="27" t="str">
        <f>IF(SnapshotTable[[#This Row],[SC Is Booked]],SnapshotTable[[#This Row],[SC Time Val]] /SnapshotTable[[#This Row],[SC Basis]], "")</f>
        <v/>
      </c>
      <c r="FR38" s="27" t="str" cm="1">
        <f t="array" ref="FR38">IF(AND(ISNUMBER(SnapshotTable[[#This Row],[SC Term]]),ISNUMBER(SnapshotTable[[#This Row],[SC Simple ROO]])), EllmanAnnualize(SnapshotTable[[#This Row],[SC DTE]], SnapshotTable[[#This Row],[SC Simple ROO]] ),"")</f>
        <v/>
      </c>
      <c r="FS38" s="4" t="e">
        <f>IF(SnapshotTable[[#This Row],[SC Strike Price]] &gt; SnapshotTable[[#This Row],[Last Price]], SnapshotTable[[#This Row],[SC Strike Price]] - SnapshotTable[[#This Row],[Last Price]],0)</f>
        <v>#VALUE!</v>
      </c>
      <c r="FT38" s="27" t="e">
        <f>IF(AND(ISNUMBER(SnapshotTable[[#This Row],[SC Upside Potential]]), SnapshotTable[[#This Row],[SC Upside Potential]] &gt; 0),(SnapshotTable[[#This Row],[SC Upside Potential]]/ SnapshotTable[[#This Row],[ACB]]),"")</f>
        <v>#VALUE!</v>
      </c>
      <c r="FU38" s="333" t="str">
        <f>IF(SnapshotTable[[#This Row],[SC Intrinsic Value]] &gt; 0,SnapshotTable[[#This Row],[SC Intrinsic Value]],"")</f>
        <v/>
      </c>
      <c r="FV38" s="27" t="str">
        <f>IF(AND( ISNUMBER( SnapshotTable[[#This Row],[ACB]]),ISNUMBER(SnapshotTable[[#This Row],[SC Downside Protect]])),SnapshotTable[[#This Row],[SC Downside Protect]] / SnapshotTable[[#This Row],[ACB]],"")</f>
        <v/>
      </c>
      <c r="FW38" s="236" t="str">
        <f>IF(AND(ISNUMBER(SnapshotTable[[#This Row],[SC Simple ROO]]),SnapshotTable[[#This Row],[SC Simple ROO]] &gt; 0), SnapshotTable[[#This Row],[SC Premium]] + (SnapshotTable[[#This Row],[SC Qty]] * SnapshotTable[[#This Row],[SC Upside Potential]]), "")</f>
        <v/>
      </c>
      <c r="FX38" s="302" t="str" cm="1">
        <f t="array" ref="FX38">IF(ISNUMBER(SnapshotTable[[#This Row],[SC Max Dollars]]), annualize(SnapshotTable[[#This Row],[SC Term]],(SnapshotTable[[#This Row],[SC Max Dollars]]/SnapshotTable[[#This Row],[SC Basis]])),"")</f>
        <v/>
      </c>
      <c r="FY38" s="236" t="str">
        <f>IF(AND(SnapshotTable[[#This Row],[SC Qty]]&gt;0,SnapshotTable[[#This Row],[SC Current Ask]]&gt;0), SnapshotTable[[#This Row],[SC Qty]] * SnapshotTable[[#This Row],[SC Current Ask]] * -100, "")</f>
        <v/>
      </c>
      <c r="FZ38" s="31" t="str">
        <f>IF(ISNUMBER((SnapshotTable[[#This Row],[SC Current Value]])), SnapshotTable[[#This Row],[SC Premium]] + SnapshotTable[[#This Row],[SC Current Value]], "")</f>
        <v/>
      </c>
      <c r="GA38" s="294" t="str">
        <f>IFERROR( IF(ISNUMBER((SnapshotTable[[#This Row],[SC Current Value]])), SnapshotTable[[#This Row],[SC Gain Loss]] / SnapshotTable[[#This Row],[SC Premium]], ""), "")</f>
        <v/>
      </c>
      <c r="GB38" s="42">
        <f>SnapshotTable[[#This Row],[Equity Shares]] * SaleSharesToConsiderPercentage</f>
        <v>0</v>
      </c>
      <c r="GC38" s="40">
        <f>SnapshotTable[[#This Row],[Long Term Target]] * SellingPriceToConsiderBasedOnTargetPercentage</f>
        <v>0</v>
      </c>
      <c r="GD38" s="40">
        <f>SnapshotTable[[#This Row],[Last Price]] * (1+ SellingPriceToConsiderBasedOnTargetPercentage)</f>
        <v>552.63</v>
      </c>
      <c r="GE38" s="41"/>
      <c r="GF38" s="40"/>
      <c r="GG38" s="31">
        <f>SnapshotTable[[#This Row],[Booked Sale Shares]] * SnapshotTable[[#This Row],[Booked Sale Price]]</f>
        <v>0</v>
      </c>
      <c r="GH38" s="31" t="str">
        <f>IF(SnapshotTable[[#This Row],[Equity Basis Total]] &gt; 0, SnapshotTable[[#This Row],[Equity Basis Per Share]] * SnapshotTable[[#This Row],[Booked Sale Shares]], "")</f>
        <v/>
      </c>
      <c r="GI38" s="31">
        <f>IF(SnapshotTable[[#This Row],[Sale Proceeds]]&gt;0, SnapshotTable[[#This Row],[Sale Proceeds]] - SnapshotTable[[#This Row],[Sale Basis]], 0)</f>
        <v>0</v>
      </c>
      <c r="GJ38" s="27" t="str">
        <f>IF(SnapshotTable[[#This Row],[Sale G/L]]&gt;0, SnapshotTable[[#This Row],[Sale G/L]] / SnapshotTable[[#This Row],[Sale Basis]], IF(ISNUMBER(SnapshotTable[[#This Row],[SC Exercise P&amp;L (TAX)]]), SnapshotTable[[#This Row],[SC Exercise P&amp;L (TAX)]] / SnapshotTable[[#This Row],[SC Basis]], ""))</f>
        <v/>
      </c>
      <c r="GK38" s="27"/>
      <c r="GL38" s="43" t="str">
        <f>IF(AND(SnapshotTable[[#This Row],[LP Exp Date]]&gt;0,SnapshotTable[[#This Row],[LP Strike Price]]&gt;0), [1]!ToOptionSymbol(SnapshotTable[[#This Row],[Symbol]], SnapshotTable[[#This Row],[LP Strike Price]],SnapshotTable[[#This Row],[LP Exp Date]],1), "")</f>
        <v/>
      </c>
      <c r="GM38" s="30" t="str">
        <f>IF(LEN(SnapshotTable[[#This Row],[LP Symbol]])&gt;0, 1, "")</f>
        <v/>
      </c>
      <c r="GN38" s="43" t="str">
        <f>IF(AND(SnapshotTable[[#This Row],[SP Exp Date]]&gt;0,SnapshotTable[[#This Row],[SP Strike Price]]&gt;0), [1]!ToOptionSymbol(SnapshotTable[[#This Row],[Symbol]], SnapshotTable[[#This Row],[SP Strike Price]],SnapshotTable[[#This Row],[SP Exp Date]],1), "")</f>
        <v/>
      </c>
      <c r="GO38" s="30" t="str">
        <f>IF(LEN(SnapshotTable[[#This Row],[SP Symbol]])&gt;0, 1, "")</f>
        <v/>
      </c>
      <c r="GP38" s="43" t="str">
        <f>IF(AND(SnapshotTable[[#This Row],[LC Exp Date]]&gt;0,SnapshotTable[[#This Row],[LC Strike Price]]&gt;0), [1]!ToOptionSymbol(SnapshotTable[[#This Row],[Symbol]], SnapshotTable[[#This Row],[LC Strike Price]],SnapshotTable[[#This Row],[LC Exp Date]],0), "")</f>
        <v/>
      </c>
      <c r="GQ38" s="30" t="str">
        <f>IF(LEN(SnapshotTable[[#This Row],[LC Symbol]])&gt;0, 1, "")</f>
        <v/>
      </c>
      <c r="GR38" s="43" t="str">
        <f>IF(AND(SnapshotTable[[#This Row],[SC Exp Date]]&gt;0,SnapshotTable[[#This Row],[SC Strike Price]]&gt;0), [1]!ToOptionSymbol(SnapshotTable[[#This Row],[Symbol]], SnapshotTable[[#This Row],[SC Strike Price]],SnapshotTable[[#This Row],[SC Exp Date]],0), "")</f>
        <v/>
      </c>
      <c r="GS38" s="30" t="str">
        <f>IF(LEN(SnapshotTable[[#This Row],[SC Symbol]])&gt;0, 1, "")</f>
        <v/>
      </c>
      <c r="GT38" s="29" t="str">
        <f>IF(COUNT(SnapshotTable[[#This Row],[LP Symbol Count]],SnapshotTable[[#This Row],[SP Symbol Count]],SnapshotTable[[#This Row],[LC Symbol Count]],SnapshotTable[[#This Row],[SC Symbol Count]])&gt;0, "Y", "")</f>
        <v/>
      </c>
      <c r="GU3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 s="231" t="e">
        <f>MAX(SnapshotTable[[#This Row],[Equity Basis Total]],SnapshotTable[[#This Row],[Equity Value]]) + (SnapshotTable[[#This Row],[SP Potential Spend]]- SnapshotTable[[#This Row],[SP Premium]] + SnapshotTable[[#This Row],[LP Premium]])+ (SnapshotTable[[#This Row],[LC Premium]] - SnapshotTable[[#This Row],[SC Premium]])</f>
        <v>#VALUE!</v>
      </c>
      <c r="GW38" s="139" t="e">
        <f>IF(AND(SnapshotTable[[#This Row],[Exposure]] &lt;&gt; 0),SnapshotTable[[#This Row],[Exposure]] / SnapshotTable[[#Totals],[Exposure]], "")</f>
        <v>#VALUE!</v>
      </c>
      <c r="HE38" s="268"/>
      <c r="HF38" s="268"/>
      <c r="HK38" s="1"/>
      <c r="HL38" s="1"/>
      <c r="HM38" s="1"/>
      <c r="HN38" s="1"/>
      <c r="HO38" s="1"/>
      <c r="HP38" s="1"/>
    </row>
    <row r="39" spans="2:224" s="47" customFormat="1" ht="12.75" hidden="1" customHeight="1" x14ac:dyDescent="0.25">
      <c r="B39" s="12" t="s">
        <v>248</v>
      </c>
      <c r="C39" s="422">
        <v>25.22</v>
      </c>
      <c r="D39" s="208"/>
      <c r="E39" s="39">
        <f>SnapshotTable[[#This Row],[Last Price]]*(1 -CrashDiscount)</f>
        <v>21.436999999999998</v>
      </c>
      <c r="F39" s="26" t="s">
        <v>1042</v>
      </c>
      <c r="G39" s="26" t="s">
        <v>872</v>
      </c>
      <c r="H39" s="149"/>
      <c r="I39" s="194">
        <v>44775.28125</v>
      </c>
      <c r="J39" s="195">
        <v>44775.28125</v>
      </c>
      <c r="K39" s="196"/>
      <c r="L39" s="326"/>
      <c r="M39" s="140"/>
      <c r="N39" s="140"/>
      <c r="O39" s="140"/>
      <c r="P39" s="22"/>
      <c r="Q39" s="25"/>
      <c r="R39" s="4" t="str">
        <f>IF(SnapshotTable[[#This Row],[Equity Basis Total]] &gt; 0, SnapshotTable[[#This Row],[Equity Basis Total]] / SnapshotTable[[#This Row],[Equity Shares]], "")</f>
        <v/>
      </c>
      <c r="S39" s="269">
        <f>SnapshotTable[[#This Row],[Last Price]] * SnapshotTable[[#This Row],[Equity Shares]]</f>
        <v>0</v>
      </c>
      <c r="T39" s="269">
        <f>SnapshotTable[[#This Row],[Equity Value]] - SnapshotTable[[#This Row],[Equity Basis Total]]</f>
        <v>0</v>
      </c>
      <c r="U39" s="270" t="str">
        <f>IF(SnapshotTable[[#This Row],[Equity Basis Total]] &gt; 0, SnapshotTable[[#This Row],[Equity G/L]] / SnapshotTable[[#This Row],[Equity Basis Total]], "")</f>
        <v/>
      </c>
      <c r="V39" s="268"/>
      <c r="W39" s="268"/>
      <c r="X39" s="4" t="str">
        <f>IF(AND(ISNUMBER(SnapshotTable[[#This Row],[Equity Basis Per Share]]),ISNUMBER(SnapshotTable[[#This Row],[Equity Target]])),SnapshotTable[[#This Row],[Equity Target]]-SnapshotTable[[#This Row],[Equity Basis Per Share]],"")</f>
        <v/>
      </c>
      <c r="Y39" s="4" t="str">
        <f>IF(AND(ISNUMBER(SnapshotTable[[#This Row],[Equity Basis Per Share]]),ISNUMBER(SnapshotTable[[#This Row],[Equity Stop Loss]])),SnapshotTable[[#This Row],[Equity Stop Loss]]-SnapshotTable[[#This Row],[Equity Basis Per Share]],"")</f>
        <v/>
      </c>
      <c r="Z39" s="275" t="str">
        <f>IFERROR( TEXT(SnapshotTable[[#This Row],[Equity Max Gain Per Share]] /ABS( SnapshotTable[[#This Row],[Equity Max Loss Per Share]]),"0.0 " ) &amp; " : 1", "")</f>
        <v/>
      </c>
      <c r="AA39" s="31" t="str">
        <f>IF(ISNUMBER(SnapshotTable[[#This Row],[Equity Max Gain Per Share]]),SnapshotTable[[#This Row],[Equity Max Gain Per Share]] * SnapshotTable[[#This Row],[Equity Shares]],"")</f>
        <v/>
      </c>
      <c r="AB39" s="31" t="str">
        <f>IF(ISNUMBER(SnapshotTable[[#This Row],[Equity Max Loss Per Share]]),SnapshotTable[[#This Row],[Equity Max Loss Per Share]] * SnapshotTable[[#This Row],[Equity Shares]],"")</f>
        <v/>
      </c>
      <c r="AC39" s="150">
        <v>0.24</v>
      </c>
      <c r="AD39" s="151">
        <v>42972</v>
      </c>
      <c r="AE39" s="31">
        <f>(SnapshotTable[[#This Row],[Annual Dividend Per Share]] / 4) * SnapshotTable[[#This Row],[Equity Shares]]</f>
        <v>0</v>
      </c>
      <c r="AF39" s="31">
        <f>SnapshotTable[[#This Row],[Quarterly Div $]] * 4</f>
        <v>0</v>
      </c>
      <c r="AG39" s="7">
        <f>IF(SnapshotTable[[#This Row],[Annual Dividend Per Share]]&gt;0, SnapshotTable[[#This Row],[Annual Dividend Per Share]]  / SnapshotTable[[#This Row],[Last Price]], 0)</f>
        <v>9.5162569389373522E-3</v>
      </c>
      <c r="AH39" s="151">
        <v>43040</v>
      </c>
      <c r="AI39" s="5">
        <v>31</v>
      </c>
      <c r="AJ39" s="138">
        <v>36.33</v>
      </c>
      <c r="AK39" s="152">
        <f>IF(ISNUMBER( SnapshotTable[[#This Row],[EBF Target]]),(SnapshotTable[[#This Row],[EBF Target]] - SnapshotTable[[#This Row],[Last Price]]) / SnapshotTable[[#This Row],[Last Price]], "")</f>
        <v>0.22918318794607459</v>
      </c>
      <c r="AL39" s="152" t="str">
        <f>IF(AND(SnapshotTable[[#This Row],[Equity Basis Total]] &gt; 0,ISNUMBER( SnapshotTable[[#This Row],[Long Term Target]])), SnapshotTable[[#This Row],[From Basis $]] / SnapshotTable[[#This Row],[Equity Basis Total]], "")</f>
        <v/>
      </c>
      <c r="AM39" s="9">
        <f>IF( AND(SnapshotTable[[#This Row],[Equity Shares]] &gt;0,ISNUMBER( SnapshotTable[[#This Row],[Long Term Target]])),(SnapshotTable[[#This Row],[Equity Shares]] * SnapshotTable[[#This Row],[Long Term Target]]) - SnapshotTable[[#This Row],[Equity Basis Total]],0)</f>
        <v>0</v>
      </c>
      <c r="AN39" s="9">
        <f>IF( AND(SnapshotTable[[#This Row],[Equity Shares]] &gt;0,ISNUMBER( SnapshotTable[[#This Row],[Long Term Target]])),(SnapshotTable[[#This Row],[Equity Shares]]*SnapshotTable[[#This Row],[Long Term Target]]) - SnapshotTable[[#This Row],[Equity Value]],0)</f>
        <v>0</v>
      </c>
      <c r="AO39" s="152">
        <f>IF(AND(ISNUMBER( SnapshotTable[[#This Row],[Long Term Target]]), ISNUMBER(SnapshotTable[[#This Row],[Last Price]])),(SnapshotTable[[#This Row],[Long Term Target]] - SnapshotTable[[#This Row],[Last Price]]) / SnapshotTable[[#This Row],[Last Price]], "")</f>
        <v>0.44052339413164154</v>
      </c>
      <c r="AP39" s="5">
        <v>8</v>
      </c>
      <c r="AQ39" s="38" t="s">
        <v>27</v>
      </c>
      <c r="AR39" s="5">
        <v>8</v>
      </c>
      <c r="AS39" s="38" t="s">
        <v>38</v>
      </c>
      <c r="AT39" s="146" t="s">
        <v>542</v>
      </c>
      <c r="AU39" s="187" t="str">
        <f>IF(OR(SnapshotTable[[#This Row],[LP No Fill]]="Y",SnapshotTable[[#This Row],[SP Is Filled]],SnapshotTable[[#This Row],[LC Not Filled]]="Y",SnapshotTable[[#This Row],[SC Is Filled]]),"Y","")</f>
        <v/>
      </c>
      <c r="AV39" s="219"/>
      <c r="AW39" s="225"/>
      <c r="AX39" s="220"/>
      <c r="AY39" s="219" t="str">
        <f>IF(SnapshotTable[[#This Row],[Implied Move]]&gt;0, SnapshotTable[[#This Row],[Last Price]]-SnapshotTable[[#This Row],[Implied Move]],"")</f>
        <v/>
      </c>
      <c r="AZ39" s="219" t="str">
        <f>IF(SnapshotTable[[#This Row],[Implied Move]]&gt;0, SnapshotTable[[#This Row],[Last Price]] + SnapshotTable[[#This Row],[Implied Move]],"")</f>
        <v/>
      </c>
      <c r="BA39" s="331"/>
      <c r="BB39" s="347"/>
      <c r="BC3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 s="351"/>
      <c r="BE39" s="5"/>
      <c r="BF39" s="14"/>
      <c r="BG39" s="13"/>
      <c r="BH39" s="13"/>
      <c r="BI39" s="5"/>
      <c r="BJ39" s="136">
        <f>IF(SnapshotTable[[#This Row],[LP Qty]] &gt; 0, SnapshotTable[[#This Row],[LP Qty]] * SnapshotTable[[#This Row],[LP Book Price]] * 100,0)</f>
        <v>0</v>
      </c>
      <c r="BK39" s="136">
        <f>IF(SnapshotTable[[#This Row],[LP Premium]] &gt; 0, SnapshotTable[[#This Row],[LP Qty]] * SnapshotTable[[#This Row],[LP Strike Price]] * 100,0)</f>
        <v>0</v>
      </c>
      <c r="BL39" s="154"/>
      <c r="BM39" s="385" t="str">
        <f>IF(SnapshotTable[[#This Row],[LP Premium]] &gt; 0,SnapshotTable[[#This Row],[LP Exp Date]]-MAX(SnapshotTable[[#This Row],[LP Book Date]], SnapshotTable[[#This Row],[LP Fill Date]]),"")</f>
        <v/>
      </c>
      <c r="BN39" s="385" t="str">
        <f>IF(ISNUMBER( SnapshotTable[[#This Row],[LP Term]]), SnapshotTable[[#This Row],[LP Exp Date]] - MockToday,"")</f>
        <v/>
      </c>
      <c r="BO39" s="163" t="str">
        <f>IF(AND(SnapshotTable[[#This Row],[LP Exp Date]]&gt;0, SnapshotTable[[#This Row],[LP Strike Price]]&gt;0,SnapshotTable[[#This Row],[LP Qty]]&gt;0,SnapshotTable[[#This Row],[LP Book Date]]&gt;0,SnapshotTable[[#This Row],[LP Book Price]]&gt;0,SnapshotTable[[#This Row],[LP Fill Date]]=0),"Y","")</f>
        <v/>
      </c>
      <c r="BP39" s="31" t="str">
        <f>IF(AND(SnapshotTable[[#This Row],[LP No Fill]]&lt;&gt;"Y",SnapshotTable[[#This Row],[LP Contract Value]]&gt;0, SnapshotTable[[#This Row],[LP Qty]]&gt;0), SnapshotTable[[#This Row],[LP Contract Value]]*SnapshotTable[[#This Row],[LP Qty]]*100,"")</f>
        <v/>
      </c>
      <c r="BQ39" s="13"/>
      <c r="BR39" s="5" t="str">
        <f>IF(SnapshotTable[[#This Row],[SP Exp Date]]&lt;&gt;"",TRUNC(SnapshotTable[[#This Row],[Last Price]]),"")</f>
        <v/>
      </c>
      <c r="BS39" s="36"/>
      <c r="BT39" s="147"/>
      <c r="BU39" s="13"/>
      <c r="BV39" s="5"/>
      <c r="BW39" s="419" t="b">
        <f>AND(ISNUMBER(SnapshotTable[[#This Row],[SP Exp Date]]), ISNUMBER(SnapshotTable[[#This Row],[SP Strike Price]]), ISNUMBER(SnapshotTable[[#This Row],[SP Qty]]), ISNUMBER(SnapshotTable[[#This Row],[SP Book Date]]), ISNUMBER(SnapshotTable[[#This Row],[SP Book Price]]))</f>
        <v>0</v>
      </c>
      <c r="BX39" s="419" t="b">
        <f>AND(SnapshotTable[[#This Row],[SP Is Booked]], NOT(ISBLANK(SnapshotTable[[#This Row],[SP Fill Date]])))</f>
        <v>0</v>
      </c>
      <c r="BY39" s="33">
        <f>IF(SnapshotTable[[#This Row],[SP Is Booked]], SnapshotTable[[#This Row],[SP Qty]] * SnapshotTable[[#This Row],[SP Book Price]] * 100, 0)</f>
        <v>0</v>
      </c>
      <c r="BZ39" s="369"/>
      <c r="CA39" s="368">
        <f>SnapshotTable[[#This Row],[LP Qty]]</f>
        <v>0</v>
      </c>
      <c r="CB39" s="4" t="str">
        <f>IF(SnapshotTable[[#This Row],[SP Is Booked]], SnapshotTable[[#This Row],[SP Strike Price]] - SnapshotTable[[#This Row],[SP Book Price]], "")</f>
        <v/>
      </c>
      <c r="CC39" s="19" t="str">
        <f>IF(SnapshotTable[[#This Row],[SP Is Booked]],SnapshotTable[[#This Row],[SP Exp Date]]-MAX(SnapshotTable[[#This Row],[SP Book Date]], SnapshotTable[[#This Row],[SP Fill Date]]),"")</f>
        <v/>
      </c>
      <c r="CD39" s="7" t="str">
        <f>IF(SnapshotTable[[#This Row],[SP Is Booked]], SnapshotTable[[#This Row],[SP Book Price]]/SnapshotTable[[#This Row],[SP Strike Price]], "")</f>
        <v/>
      </c>
      <c r="CE39" s="7" t="str">
        <f>IF(ISNUMBER(SnapshotTable[[#This Row],[SP ROO Term]]),SnapshotTable[[#This Row],[SP ROO Term]]*(365/SnapshotTable[[#This Row],[SP Term]]),"")</f>
        <v/>
      </c>
      <c r="CF39" s="236">
        <f>SnapshotTable[[#This Row],[LP Strike Price]] * SnapshotTable[[#This Row],[LP Qty]] * 100</f>
        <v>0</v>
      </c>
      <c r="CG39" s="31" t="e">
        <f>IF(ISNUMBER(SnapshotTable[[#This Row],[SP Premium]]), (SnapshotTable[[#This Row],[SP Qty]] * SnapshotTable[[#This Row],[SP Strike Price]]* 100) - SnapshotTable[[#This Row],[LP Protection]], 0)</f>
        <v>#VALUE!</v>
      </c>
      <c r="CH39" s="7" t="str">
        <f>IF(ISNUMBER(SnapshotTable[[#This Row],[SP Break Even]]),-1 * (SnapshotTable[[#This Row],[SP Break Even]] - SnapshotTable[[#This Row],[Last Price]]) / SnapshotTable[[#This Row],[Last Price]], "")</f>
        <v/>
      </c>
      <c r="CI39" s="31">
        <f>IF(AND(ISNUMBER((SnapshotTable[[#This Row],[SP Potential Spend]])), SnapshotTable[[#This Row],[SP Strike Price]] &gt; SnapshotTable[[#This Row],[Last Price]], SnapshotTable[[#This Row],[SP Is Filled]]), SnapshotTable[[#This Row],[SP Potential Spend]] -  SnapshotTable[[#This Row],[LP Max Value]], 0)</f>
        <v>0</v>
      </c>
      <c r="CJ39" s="244"/>
      <c r="CK39" s="31" t="str">
        <f>IF(ISNUMBER(SnapshotTable[[#This Row],[SP Potential Spend]]),IF(ISNUMBER(SnapshotTable[[#This Row],[SP POW]]), SnapshotTable[[#This Row],[SP POW]] * SnapshotTable[[#This Row],[SP Potential Spend]], SnapshotTable[[#This Row],[SP Potential Spend]]), "")</f>
        <v/>
      </c>
      <c r="CL39" s="164" t="e">
        <f>IF(NOT(SnapshotTable[[#This Row],[SP Is Filled]]),(SnapshotTable[[#This Row],[SP Qty]] * SnapshotTable[[#This Row],[SP Strike Price]] * 100) - SnapshotTable[[#This Row],[LP Max Value]],"")</f>
        <v>#VALUE!</v>
      </c>
      <c r="CM39" s="31" t="str">
        <f>IF(SnapshotTable[[#This Row],[SP Actual Spend]]&lt;&gt;0, ((SnapshotTable[[#This Row],[SP Strike Price]]-SnapshotTable[[#This Row],[Last Price]]) *(SnapshotTable[[#This Row],[SP Qty]]*100) - SnapshotTable[[#This Row],[SP Premium]]) * - 1, "")</f>
        <v/>
      </c>
      <c r="CN39" s="78"/>
      <c r="CO39" s="369"/>
      <c r="CP39" s="4" t="str">
        <f>IF(SnapshotTable[[#This Row],[SP Is Filled]], btc_max_buyback_amount(SnapshotTable[[#This Row],[SP Fill Date]],SnapshotTable[[#This Row],[SP Exp Date]], SnapshotTable[[#This Row],[SP Book Price]]),"")</f>
        <v/>
      </c>
      <c r="CQ39" s="78"/>
      <c r="CR3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 s="155" t="str">
        <f>IF(SnapshotTable[[#This Row],[SP Is Filled]], btc_next_cutoff_date(SnapshotTable[[#This Row],[SP Fill Date]],SnapshotTable[[#This Row],[SP Exp Date]]),"")</f>
        <v/>
      </c>
      <c r="CT39" s="235" t="str" cm="1">
        <f t="array" ref="CT39">IF(SnapshotTable[[#This Row],[SP Is Filled]], btc_should_buy_back(SnapshotTable[[#This Row],[SP Fill Date]], SnapshotTable[[#This Row],[SP Exp Date]], SnapshotTable[[#This Row],[SP Book Price]], SnapshotTable[[#This Row],[SP Current Ask]], MockToday, SnapshotTable[[#This Row],[SP Buyback Override]]),"")</f>
        <v/>
      </c>
      <c r="CU39" s="143"/>
      <c r="CV39" s="235"/>
      <c r="CW39" s="378" t="str">
        <f>IF(ISNUMBER( SnapshotTable[[#This Row],[SP Term]]), SnapshotTable[[#This Row],[SP Exp Date]] - MockToday,"")</f>
        <v/>
      </c>
      <c r="CX39" s="31" t="str">
        <f>IF(SnapshotTable[[#This Row],[SP Is Filled]],SnapshotTable[[#This Row],[SP Buyback Price to Use]] * 100 * SnapshotTable[[#This Row],[SP Qty]], "")</f>
        <v/>
      </c>
      <c r="CY39" s="4" t="str">
        <f>IF(ISNUMBER(SnapshotTable[[#This Row],[SP Strike Price]]), SnapshotTable[[#This Row],[SP Strike Price]] * (1 - SP_MaxLoss_StrikePct), "")</f>
        <v/>
      </c>
      <c r="CZ39" s="31" t="str">
        <f>IF(ISNUMBER(SnapshotTable[[#This Row],[SP Strike  Stop Per Share]]),SnapshotTable[[#This Row],[SP Premium]] - ((SnapshotTable[[#This Row],[SP Strike Price]]-SnapshotTable[[#This Row],[SP Strike  Stop Per Share]]) *(SnapshotTable[[#This Row],[SP Qty]] * 100)),"")</f>
        <v/>
      </c>
      <c r="DA39" s="4" t="str">
        <f>IF(AND(ISNUMBER(SnapshotTable[[#This Row],[SP Premium]]),SnapshotTable[[#This Row],[SP Premium]]&gt;0), SnapshotTable[[#This Row],[SP Book Price]] * (1 + SP_MaxLoss_OptionPct), "")</f>
        <v/>
      </c>
      <c r="DB39" s="31" t="str">
        <f>IF(ISNUMBER(SnapshotTable[[#This Row],[SP Option  Stop Contract]]),(SnapshotTable[[#This Row],[SP Option  Stop Contract]] *(SnapshotTable[[#This Row],[SP Qty]] * 100) - SnapshotTable[[#This Row],[SP Premium]]),"")</f>
        <v/>
      </c>
      <c r="DC39" s="4"/>
      <c r="DD39" s="4"/>
      <c r="DE39" s="4" t="str">
        <f>IF(AND(SnapshotTable[[#This Row],[SP Qty]]&gt;0, SnapshotTable[[#This Row],[SP Stop To Use]]&gt;0),SnapshotTable[[#This Row],[SP Premium]] - ( SnapshotTable[[#This Row],[SP Qty]] * SnapshotTable[[#This Row],[SP Stop To Use]] * 100), "")</f>
        <v/>
      </c>
      <c r="DF39" s="31" t="str">
        <f>IF(AND(SnapshotTable[[#This Row],[SP Qty]]&gt;0,SnapshotTable[[#This Row],[SP Current Ask]]&gt;0), SnapshotTable[[#This Row],[SP Qty]] * SnapshotTable[[#This Row],[SP Current Ask]] * -100, "")</f>
        <v/>
      </c>
      <c r="DG39" s="31" t="str">
        <f>IF(ISNUMBER((SnapshotTable[[#This Row],[SP Total Value]])), SnapshotTable[[#This Row],[SP Premium]] + SnapshotTable[[#This Row],[SP Total Value]], "")</f>
        <v/>
      </c>
      <c r="DH39" s="294" t="str">
        <f>IF(ISNUMBER((SnapshotTable[[#This Row],[SP Total Value]])), SnapshotTable[[#This Row],[SP Gain Loss]] / SnapshotTable[[#This Row],[SP Premium]], "")</f>
        <v/>
      </c>
      <c r="DI39" s="406"/>
      <c r="DJ39" s="138"/>
      <c r="DK39" s="148"/>
      <c r="DL39" s="13"/>
      <c r="DM39" s="13"/>
      <c r="DN39" s="5"/>
      <c r="DO39" s="31">
        <f>IF(SnapshotTable[[#This Row],[LC Symbol Count]]=1, SnapshotTable[[#This Row],[LC Qty]] * SnapshotTable[[#This Row],[LC Book Price]] * 100, 0)</f>
        <v>0</v>
      </c>
      <c r="DP39" s="163" t="str">
        <f>IF(AND(SnapshotTable[[#This Row],[LC Exp Date]]&gt;0, SnapshotTable[[#This Row],[LC Strike Price]]&gt;0,SnapshotTable[[#This Row],[LC Qty]]&gt;0,SnapshotTable[[#This Row],[LC Book Date]]&gt;0,SnapshotTable[[#This Row],[LC Book Price]]&gt;0,SnapshotTable[[#This Row],[LC Fill Date]]=0),"Y","")</f>
        <v/>
      </c>
      <c r="DQ39" s="386" t="str">
        <f>IF(SnapshotTable[[#This Row],[LC Premium]] &gt; 0,SnapshotTable[[#This Row],[LC Exp Date]]-MAX(SnapshotTable[[#This Row],[LC Book Date]], SnapshotTable[[#This Row],[LC Fill Date]]),"")</f>
        <v/>
      </c>
      <c r="DR39" s="386" t="str">
        <f>IF(ISNUMBER(SnapshotTable[[#This Row],[LC Term]]), SnapshotTable[[#This Row],[LC Exp Date]] - MockToday, "")</f>
        <v/>
      </c>
      <c r="DS39" s="234" t="str">
        <f>IF(SnapshotTable[[#This Row],[LC Premium]]&gt;0,SnapshotTable[[#This Row],[LC Strike Price]] + SnapshotTable[[#This Row],[LC Book Price]],"")</f>
        <v/>
      </c>
      <c r="DT39" s="5"/>
      <c r="DU39" s="9" t="str">
        <f>IF(AND(SnapshotTable[[#This Row],[LC Symbol Count]]&gt;0, SnapshotTable[[#This Row],[LC Contract Value]]&gt;0), SnapshotTable[[#This Row],[LC Contract Value]] * SnapshotTable[[#This Row],[LC Qty]] * 100, "")</f>
        <v/>
      </c>
      <c r="DV39" s="9" t="str">
        <f>IF(AND(ISNUMBER(SnapshotTable[[#This Row],[LC Total Value]]), SnapshotTable[[#This Row],[LC Not Filled]]&lt;&gt;"Y"), SnapshotTable[[#This Row],[LC Total Value]]-SnapshotTable[[#This Row],[LC Premium]],"")</f>
        <v/>
      </c>
      <c r="DW39" s="240" t="str">
        <f>IF(ISNUMBER(SnapshotTable[[#This Row],[LC Actual Gain Loss]]), SnapshotTable[[#This Row],[LC Actual Gain Loss]] / SnapshotTable[[#This Row],[LC Premium]],"")</f>
        <v/>
      </c>
      <c r="DX39" s="284" t="str">
        <f>IF(ISNUMBER(SnapshotTable[[#This Row],[LC Book Price]]),SnapshotTable[[#This Row],[LC Book Price]] * 1.5,"")</f>
        <v/>
      </c>
      <c r="DY39" s="265" t="str">
        <f>IF(SnapshotTable[[#This Row],[LC Premium]]&gt;0, SnapshotTable[[#This Row],[LC Next Target]] * SnapshotTable[[#This Row],[LC Qty]] * 100,"")</f>
        <v/>
      </c>
      <c r="DZ39" s="265" t="str">
        <f>IF(ISNUMBER(SnapshotTable[[#This Row],[LC Target Gross]]), SnapshotTable[[#This Row],[LC Target Gross]] - SnapshotTable[[#This Row],[LC Premium]], "")</f>
        <v/>
      </c>
      <c r="EA39" s="305" t="str">
        <f>IF(ISNUMBER(SnapshotTable[[#This Row],[LC Target Gain Loss]]), SnapshotTable[[#This Row],[LC Target Gain Loss]]/SnapshotTable[[#This Row],[LC Premium]], "")</f>
        <v/>
      </c>
      <c r="EB39" s="262"/>
      <c r="EC39" s="283" t="str">
        <f>IF(SnapshotTable[[#This Row],[LC Premium]]&gt;0, SnapshotTable[[#This Row],[LC Book Price]] * (1 - LC_StopLoss_Pct),"")</f>
        <v/>
      </c>
      <c r="ED39" s="284"/>
      <c r="EE39" s="283" t="str">
        <f>IF(ISNUMBER(SnapshotTable[[#This Row],[LC Contract Value]]),IF(ISNUMBER(SnapshotTable[[#This Row],[LC Stop Loss Override]]), SnapshotTable[[#This Row],[LC Stop Loss Override]],SnapshotTable[[#This Row],[LC Stop Loss Calc Target]]),"")</f>
        <v/>
      </c>
      <c r="EF39" s="31" t="str">
        <f>IF(ISNUMBER(SnapshotTable[[#This Row],[LC Stop  To Use]]), (SnapshotTable[[#This Row],[LC Stop  To Use]] * SnapshotTable[[#This Row],[LC Qty]] * 100),"")</f>
        <v/>
      </c>
      <c r="EG39" s="9" t="str">
        <f>IF(ISNUMBER(SnapshotTable[[#This Row],[LC Total Value]]),SnapshotTable[[#This Row],[LC Stop Loss Amount]] - SnapshotTable[[#This Row],[LC Premium]],"")</f>
        <v/>
      </c>
      <c r="EH39" s="9">
        <f>IF(ISNUMBER(SnapshotTable[[#This Row],[LC Premium]]), SnapshotTable[[#This Row],[LC Qty]] * 100 * SnapshotTable[[#This Row],[LC Strike Price]], "")</f>
        <v>0</v>
      </c>
      <c r="EI39" s="240" t="str">
        <f>IF(AND(ISNUMBER(SnapshotTable[[#This Row],[LC Total Value]]),SnapshotTable[[#This Row],[LC Total Value]]&gt;0),SnapshotTable[[#This Row],[LC Stop Gain Loss]]  / SnapshotTable[[#This Row],[LC Premium]],"")</f>
        <v/>
      </c>
      <c r="EJ39" s="35">
        <f>IF(ISNUMBER(SnapshotTable[[#This Row],[Equity Shares]]),TRUNC(SnapshotTable[[#This Row],[Equity Shares]] / 100),0) + SnapshotTable[[#This Row],[LC Qty]]</f>
        <v>0</v>
      </c>
      <c r="EK39" s="147"/>
      <c r="EL39" s="138" t="str">
        <f>IF(SnapshotTable[[#This Row],[SC Exp Date]]&lt;&gt;"",TRUNC(SnapshotTable[[#This Row],[Last Price]]),"")</f>
        <v/>
      </c>
      <c r="EM39" s="148"/>
      <c r="EN39" s="147"/>
      <c r="EO39" s="147"/>
      <c r="EP39" s="138"/>
      <c r="EQ39" s="419" t="b">
        <f>AND(ISNUMBER(SnapshotTable[[#This Row],[SC Exp Date]]), ISNUMBER(SnapshotTable[[#This Row],[SC Strike Price]]), ISNUMBER(SnapshotTable[[#This Row],[SC Qty]]), ISNUMBER(SnapshotTable[[#This Row],[SC Book Date]]), ISNUMBER(SnapshotTable[[#This Row],[SC Book Price]]))</f>
        <v>0</v>
      </c>
      <c r="ER39" s="419" t="b">
        <f>AND(SnapshotTable[[#This Row],[SC Is Booked]], NOT(ISBLANK(SnapshotTable[[#This Row],[SC Fill Date]])))</f>
        <v>0</v>
      </c>
      <c r="ES39" s="370"/>
      <c r="ET39" s="34" t="str">
        <f>IF(AND(ISNUMBER(SnapshotTable[[#This Row],[SC Exp Date]]), ISNUMBER(SnapshotTable[[#This Row],[SC Book Date]])), SnapshotTable[[#This Row],[SC Exp Date]] - MAX(SnapshotTable[[#This Row],[SC Book Date]], SnapshotTable[[#This Row],[SC Fill Date]]) + 1, "")</f>
        <v/>
      </c>
      <c r="EU39" s="34" t="str">
        <f>IF(ISNUMBER(SnapshotTable[[#This Row],[SC Term]]), SnapshotTable[[#This Row],[SC Exp Date]]- MockToday, "")</f>
        <v/>
      </c>
      <c r="EV39" s="31">
        <f>IF(SnapshotTable[[#This Row],[SC Is Booked]], SnapshotTable[[#This Row],[SC Qty]] * SnapshotTable[[#This Row],[SC Book Price]] * 100, 0)</f>
        <v>0</v>
      </c>
      <c r="EW39" s="4" t="str">
        <f>IF(AND(ISNUMBER(SnapshotTable[[#This Row],[Last Price]]), ISNUMBER( SnapshotTable[[#This Row],[SC Book Price]])), SnapshotTable[[#This Row],[Last Price]] - SnapshotTable[[#This Row],[SC Book Price]],"")</f>
        <v/>
      </c>
      <c r="EX39" s="234" t="str">
        <f>IF(SnapshotTable[[#This Row],[SC Is Booked]],IF(SnapshotTable[[#This Row],[SC Intrinsic Value]] &gt; 0, SnapshotTable[[#This Row],[SC Strike Price]], SnapshotTable[[#This Row],[Last Price]]), "")</f>
        <v/>
      </c>
      <c r="EY39" s="4">
        <f>IF(SnapshotTable[[#This Row],[SC Is Booked]], (MinimumPremiumRequired * SnapshotTable[[#This Row],[SC Basis]] * SnapshotTable[[#This Row],[SC Term]]), 0)</f>
        <v>0</v>
      </c>
      <c r="EZ39" s="283"/>
      <c r="FA39" s="218"/>
      <c r="FB39" s="370"/>
      <c r="FC39" s="4">
        <f>IF(SnapshotTable[[#This Row],[SC Is Filled]], btc_max_buyback_amount(SnapshotTable[[#This Row],[SC Fill Date]],SnapshotTable[[#This Row],[SC Exp Date]], SnapshotTable[[#This Row],[SC Book Price]]),0)</f>
        <v>0</v>
      </c>
      <c r="FD39" s="5"/>
      <c r="FE39" s="144" t="str">
        <f>IF(SnapshotTable[[#This Row],[SC Is Filled]], btc_next_cutoff_date(SnapshotTable[[#This Row],[SC Fill Date]],SnapshotTable[[#This Row],[SC Exp Date]]),"")</f>
        <v/>
      </c>
      <c r="FF39" s="4" t="str" cm="1">
        <f t="array" ref="FF39">IF(SnapshotTable[[#This Row],[SC Is Filled]], btc_should_buy_back(SnapshotTable[[#This Row],[SC Fill Date]], SnapshotTable[[#This Row],[SC Exp Date]], SnapshotTable[[#This Row],[SC Book Price]], SnapshotTable[[#This Row],[SC Current Ask]], MockToday, SnapshotTable[[#This Row],[SC Buyback Override]]),"")</f>
        <v/>
      </c>
      <c r="FG39" s="4">
        <f>IF(SnapshotTable[[#This Row],[SC Is Filled]], MAX(0,SnapshotTable[[#This Row],[Last Price]]  - SnapshotTable[[#This Row],[SC Strike Price]]), 0)</f>
        <v>0</v>
      </c>
      <c r="FH39" s="382">
        <f>IF(SnapshotTable[[#This Row],[SC Is Filled]], IF(ISNUMBER(SnapshotTable[[#This Row],[SC Current Ask]]), SnapshotTable[[#This Row],[SC Current Ask]], SnapshotTable[[#This Row],[SC Book Price]]) - SnapshotTable[[#This Row],[SC Intrinsic Value]], 0)</f>
        <v>0</v>
      </c>
      <c r="FI39" s="143"/>
      <c r="FJ39" s="32" t="str">
        <f>IF(SnapshotTable[[#This Row],[SC Is Filled]],100 * SnapshotTable[[#This Row],[SC Qty]] * IF(ISNUMBER(SnapshotTable[[#This Row],[SC Buyback Override]]), SnapshotTable[[#This Row],[SC Buyback Override]], SnapshotTable[[#This Row],[SC Current Ask]]), "")</f>
        <v/>
      </c>
      <c r="FK39" s="250" t="str">
        <f>IF(SnapshotTable[[#This Row],[SC Time Val]]&gt;0, SnapshotTable[[#This Row],[SC Time Val]] / SnapshotTable[[#This Row],[Last Price]],"")</f>
        <v/>
      </c>
      <c r="FL39" s="302" t="str">
        <f>IF(SnapshotTable[[#This Row],[SC Is Booked]], ((SnapshotTable[[#This Row],[Last Price]] -SnapshotTable[[#This Row],[SC Strike Price]]) / SnapshotTable[[#This Row],[Last Price]]) * -1, "")</f>
        <v/>
      </c>
      <c r="FM39" s="157" t="str">
        <f>IF(SnapshotTable[[#This Row],[SC Is Booked]],  (SnapshotTable[[#This Row],[SC Qty]] * 100 * SnapshotTable[[#This Row],[SC Strike Price]]) - SnapshotTable[[#This Row],[SC Current Ask]], "")</f>
        <v/>
      </c>
      <c r="FN3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 s="31" t="str">
        <f>IF(AND(ISNUMBER(SnapshotTable[[#This Row],[SC Exercise Gross]]), ISNUMBER(SnapshotTable[[#This Row],[Equity Basis Per Share]] )), SnapshotTable[[#This Row],[SC Exercise Gross]] - SnapshotTable[[#This Row],[Equity Basis Total]] +  SnapshotTable[[#This Row],[SC Premium]], "")</f>
        <v/>
      </c>
      <c r="FP39" s="5" t="str">
        <f>IF(ISNUMBER(SnapshotTable[[#This Row],[SC Exercise Gross]]), (SnapshotTable[[#This Row],[SC Exercise Gross]]) / (SnapshotTable[[#This Row],[SC Qty]] * 100), "")</f>
        <v/>
      </c>
      <c r="FQ39" s="27" t="str">
        <f>IF(SnapshotTable[[#This Row],[SC Is Booked]],SnapshotTable[[#This Row],[SC Time Val]] /SnapshotTable[[#This Row],[SC Basis]], "")</f>
        <v/>
      </c>
      <c r="FR39" s="27" t="str" cm="1">
        <f t="array" ref="FR39">IF(AND(ISNUMBER(SnapshotTable[[#This Row],[SC Term]]),ISNUMBER(SnapshotTable[[#This Row],[SC Simple ROO]])), EllmanAnnualize(SnapshotTable[[#This Row],[SC DTE]], SnapshotTable[[#This Row],[SC Simple ROO]] ),"")</f>
        <v/>
      </c>
      <c r="FS39" s="4" t="e">
        <f>IF(SnapshotTable[[#This Row],[SC Strike Price]] &gt; SnapshotTable[[#This Row],[Last Price]], SnapshotTable[[#This Row],[SC Strike Price]] - SnapshotTable[[#This Row],[Last Price]],0)</f>
        <v>#VALUE!</v>
      </c>
      <c r="FT39" s="27" t="e">
        <f>IF(AND(ISNUMBER(SnapshotTable[[#This Row],[SC Upside Potential]]), SnapshotTable[[#This Row],[SC Upside Potential]] &gt; 0),(SnapshotTable[[#This Row],[SC Upside Potential]]/ SnapshotTable[[#This Row],[ACB]]),"")</f>
        <v>#VALUE!</v>
      </c>
      <c r="FU39" s="333" t="str">
        <f>IF(SnapshotTable[[#This Row],[SC Intrinsic Value]] &gt; 0,SnapshotTable[[#This Row],[SC Intrinsic Value]],"")</f>
        <v/>
      </c>
      <c r="FV39" s="27" t="str">
        <f>IF(AND( ISNUMBER( SnapshotTable[[#This Row],[ACB]]),ISNUMBER(SnapshotTable[[#This Row],[SC Downside Protect]])),SnapshotTable[[#This Row],[SC Downside Protect]] / SnapshotTable[[#This Row],[ACB]],"")</f>
        <v/>
      </c>
      <c r="FW39" s="236" t="str">
        <f>IF(AND(ISNUMBER(SnapshotTable[[#This Row],[SC Simple ROO]]),SnapshotTable[[#This Row],[SC Simple ROO]] &gt; 0), SnapshotTable[[#This Row],[SC Premium]] + (SnapshotTable[[#This Row],[SC Qty]] * SnapshotTable[[#This Row],[SC Upside Potential]]), "")</f>
        <v/>
      </c>
      <c r="FX39" s="302" t="str" cm="1">
        <f t="array" ref="FX39">IF(ISNUMBER(SnapshotTable[[#This Row],[SC Max Dollars]]), annualize(SnapshotTable[[#This Row],[SC Term]],(SnapshotTable[[#This Row],[SC Max Dollars]]/SnapshotTable[[#This Row],[SC Basis]])),"")</f>
        <v/>
      </c>
      <c r="FY39" s="236" t="str">
        <f>IF(AND(SnapshotTable[[#This Row],[SC Qty]]&gt;0,SnapshotTable[[#This Row],[SC Current Ask]]&gt;0), SnapshotTable[[#This Row],[SC Qty]] * SnapshotTable[[#This Row],[SC Current Ask]] * -100, "")</f>
        <v/>
      </c>
      <c r="FZ39" s="31" t="str">
        <f>IF(ISNUMBER((SnapshotTable[[#This Row],[SC Current Value]])), SnapshotTable[[#This Row],[SC Premium]] + SnapshotTable[[#This Row],[SC Current Value]], "")</f>
        <v/>
      </c>
      <c r="GA39" s="294" t="str">
        <f>IFERROR( IF(ISNUMBER((SnapshotTable[[#This Row],[SC Current Value]])), SnapshotTable[[#This Row],[SC Gain Loss]] / SnapshotTable[[#This Row],[SC Premium]], ""), "")</f>
        <v/>
      </c>
      <c r="GB39" s="42">
        <f>SnapshotTable[[#This Row],[Equity Shares]] * SaleSharesToConsiderPercentage</f>
        <v>0</v>
      </c>
      <c r="GC39" s="40">
        <f>SnapshotTable[[#This Row],[Long Term Target]] * SellingPriceToConsiderBasedOnTargetPercentage</f>
        <v>34.513499999999993</v>
      </c>
      <c r="GD39" s="40">
        <f>SnapshotTable[[#This Row],[Last Price]] * (1+ SellingPriceToConsiderBasedOnTargetPercentage)</f>
        <v>49.178999999999995</v>
      </c>
      <c r="GE39" s="41"/>
      <c r="GF39" s="40"/>
      <c r="GG39" s="31">
        <f>SnapshotTable[[#This Row],[Booked Sale Shares]] * SnapshotTable[[#This Row],[Booked Sale Price]]</f>
        <v>0</v>
      </c>
      <c r="GH39" s="31" t="str">
        <f>IF(SnapshotTable[[#This Row],[Equity Basis Total]] &gt; 0, SnapshotTable[[#This Row],[Equity Basis Per Share]] * SnapshotTable[[#This Row],[Booked Sale Shares]], "")</f>
        <v/>
      </c>
      <c r="GI39" s="31">
        <f>IF(SnapshotTable[[#This Row],[Sale Proceeds]]&gt;0, SnapshotTable[[#This Row],[Sale Proceeds]] - SnapshotTable[[#This Row],[Sale Basis]], 0)</f>
        <v>0</v>
      </c>
      <c r="GJ39" s="27" t="str">
        <f>IF(SnapshotTable[[#This Row],[Sale G/L]]&gt;0, SnapshotTable[[#This Row],[Sale G/L]] / SnapshotTable[[#This Row],[Sale Basis]], IF(ISNUMBER(SnapshotTable[[#This Row],[SC Exercise P&amp;L (TAX)]]), SnapshotTable[[#This Row],[SC Exercise P&amp;L (TAX)]] / SnapshotTable[[#This Row],[SC Basis]], ""))</f>
        <v/>
      </c>
      <c r="GK39" s="27" t="s">
        <v>638</v>
      </c>
      <c r="GL39" s="43" t="str">
        <f>IF(AND(SnapshotTable[[#This Row],[LP Exp Date]]&gt;0,SnapshotTable[[#This Row],[LP Strike Price]]&gt;0), [1]!ToOptionSymbol(SnapshotTable[[#This Row],[Symbol]], SnapshotTable[[#This Row],[LP Strike Price]],SnapshotTable[[#This Row],[LP Exp Date]],1), "")</f>
        <v/>
      </c>
      <c r="GM39" s="30" t="str">
        <f>IF(LEN(SnapshotTable[[#This Row],[LP Symbol]])&gt;0, 1, "")</f>
        <v/>
      </c>
      <c r="GN39" s="43" t="str">
        <f>IF(AND(SnapshotTable[[#This Row],[SP Exp Date]]&gt;0,SnapshotTable[[#This Row],[SP Strike Price]]&gt;0), [1]!ToOptionSymbol(SnapshotTable[[#This Row],[Symbol]], SnapshotTable[[#This Row],[SP Strike Price]],SnapshotTable[[#This Row],[SP Exp Date]],1), "")</f>
        <v/>
      </c>
      <c r="GO39" s="30" t="str">
        <f>IF(LEN(SnapshotTable[[#This Row],[SP Symbol]])&gt;0, 1, "")</f>
        <v/>
      </c>
      <c r="GP39" s="43" t="str">
        <f>IF(AND(SnapshotTable[[#This Row],[LC Exp Date]]&gt;0,SnapshotTable[[#This Row],[LC Strike Price]]&gt;0), [1]!ToOptionSymbol(SnapshotTable[[#This Row],[Symbol]], SnapshotTable[[#This Row],[LC Strike Price]],SnapshotTable[[#This Row],[LC Exp Date]],0), "")</f>
        <v/>
      </c>
      <c r="GQ39" s="30" t="str">
        <f>IF(LEN(SnapshotTable[[#This Row],[LC Symbol]])&gt;0, 1, "")</f>
        <v/>
      </c>
      <c r="GR39" s="43" t="str">
        <f>IF(AND(SnapshotTable[[#This Row],[SC Exp Date]]&gt;0,SnapshotTable[[#This Row],[SC Strike Price]]&gt;0), [1]!ToOptionSymbol(SnapshotTable[[#This Row],[Symbol]], SnapshotTable[[#This Row],[SC Strike Price]],SnapshotTable[[#This Row],[SC Exp Date]],0), "")</f>
        <v/>
      </c>
      <c r="GS39" s="30" t="str">
        <f>IF(LEN(SnapshotTable[[#This Row],[SC Symbol]])&gt;0, 1, "")</f>
        <v/>
      </c>
      <c r="GT39" s="29" t="str">
        <f>IF(COUNT(SnapshotTable[[#This Row],[LP Symbol Count]],SnapshotTable[[#This Row],[SP Symbol Count]],SnapshotTable[[#This Row],[LC Symbol Count]],SnapshotTable[[#This Row],[SC Symbol Count]])&gt;0, "Y", "")</f>
        <v/>
      </c>
      <c r="GU3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 s="231" t="e">
        <f>MAX(SnapshotTable[[#This Row],[Equity Basis Total]],SnapshotTable[[#This Row],[Equity Value]]) + (SnapshotTable[[#This Row],[SP Potential Spend]]- SnapshotTable[[#This Row],[SP Premium]] + SnapshotTable[[#This Row],[LP Premium]])+ (SnapshotTable[[#This Row],[LC Premium]] - SnapshotTable[[#This Row],[SC Premium]])</f>
        <v>#VALUE!</v>
      </c>
      <c r="GW39" s="139" t="e">
        <f>IF(AND(SnapshotTable[[#This Row],[Exposure]] &lt;&gt; 0),SnapshotTable[[#This Row],[Exposure]] / SnapshotTable[[#Totals],[Exposure]], "")</f>
        <v>#VALUE!</v>
      </c>
      <c r="GY39" s="381"/>
      <c r="HE39" s="268"/>
      <c r="HF39" s="268"/>
      <c r="HG39" s="381"/>
      <c r="HH39" s="381"/>
      <c r="HI39" s="381"/>
      <c r="HJ39" s="381"/>
    </row>
    <row r="40" spans="2:224" s="47" customFormat="1" ht="12.75" hidden="1" customHeight="1" x14ac:dyDescent="0.25">
      <c r="B40" s="12" t="s">
        <v>520</v>
      </c>
      <c r="C40" s="422">
        <v>88.7</v>
      </c>
      <c r="D40" s="208"/>
      <c r="E40" s="39">
        <f>SnapshotTable[[#This Row],[Last Price]]*(1 -CrashDiscount)</f>
        <v>75.394999999999996</v>
      </c>
      <c r="F40" s="26" t="s">
        <v>223</v>
      </c>
      <c r="G40" s="26" t="s">
        <v>49</v>
      </c>
      <c r="H40" s="149"/>
      <c r="I40" s="194">
        <v>44782.666666666664</v>
      </c>
      <c r="J40" s="195">
        <v>44782.666666666664</v>
      </c>
      <c r="K40" s="196"/>
      <c r="L40" s="326"/>
      <c r="M40" s="140"/>
      <c r="N40" s="140"/>
      <c r="O40" s="140"/>
      <c r="P40" s="22"/>
      <c r="Q40" s="25"/>
      <c r="R40" s="4" t="str">
        <f>IF(SnapshotTable[[#This Row],[Equity Basis Total]] &gt; 0, SnapshotTable[[#This Row],[Equity Basis Total]] / SnapshotTable[[#This Row],[Equity Shares]], "")</f>
        <v/>
      </c>
      <c r="S40" s="269">
        <f>SnapshotTable[[#This Row],[Last Price]] * SnapshotTable[[#This Row],[Equity Shares]]</f>
        <v>0</v>
      </c>
      <c r="T40" s="269">
        <f>SnapshotTable[[#This Row],[Equity Value]] - SnapshotTable[[#This Row],[Equity Basis Total]]</f>
        <v>0</v>
      </c>
      <c r="U40" s="270" t="str">
        <f>IF(SnapshotTable[[#This Row],[Equity Basis Total]] &gt; 0, SnapshotTable[[#This Row],[Equity G/L]] / SnapshotTable[[#This Row],[Equity Basis Total]], "")</f>
        <v/>
      </c>
      <c r="V40" s="268"/>
      <c r="W40" s="268"/>
      <c r="X40" s="4" t="str">
        <f>IF(AND(ISNUMBER(SnapshotTable[[#This Row],[Equity Basis Per Share]]),ISNUMBER(SnapshotTable[[#This Row],[Equity Target]])),SnapshotTable[[#This Row],[Equity Target]]-SnapshotTable[[#This Row],[Equity Basis Per Share]],"")</f>
        <v/>
      </c>
      <c r="Y40" s="4" t="str">
        <f>IF(AND(ISNUMBER(SnapshotTable[[#This Row],[Equity Basis Per Share]]),ISNUMBER(SnapshotTable[[#This Row],[Equity Stop Loss]])),SnapshotTable[[#This Row],[Equity Stop Loss]]-SnapshotTable[[#This Row],[Equity Basis Per Share]],"")</f>
        <v/>
      </c>
      <c r="Z40" s="275" t="str">
        <f>IFERROR( TEXT(SnapshotTable[[#This Row],[Equity Max Gain Per Share]] /ABS( SnapshotTable[[#This Row],[Equity Max Loss Per Share]]),"0.0 " ) &amp; " : 1", "")</f>
        <v/>
      </c>
      <c r="AA40" s="31" t="str">
        <f>IF(ISNUMBER(SnapshotTable[[#This Row],[Equity Max Gain Per Share]]),SnapshotTable[[#This Row],[Equity Max Gain Per Share]] * SnapshotTable[[#This Row],[Equity Shares]],"")</f>
        <v/>
      </c>
      <c r="AB40" s="31" t="str">
        <f>IF(ISNUMBER(SnapshotTable[[#This Row],[Equity Max Loss Per Share]]),SnapshotTable[[#This Row],[Equity Max Loss Per Share]] * SnapshotTable[[#This Row],[Equity Shares]],"")</f>
        <v/>
      </c>
      <c r="AC40" s="150"/>
      <c r="AD40" s="151"/>
      <c r="AE40" s="31">
        <f>(SnapshotTable[[#This Row],[Annual Dividend Per Share]] / 4) * SnapshotTable[[#This Row],[Equity Shares]]</f>
        <v>0</v>
      </c>
      <c r="AF40" s="31">
        <f>SnapshotTable[[#This Row],[Quarterly Div $]] * 4</f>
        <v>0</v>
      </c>
      <c r="AG40" s="7">
        <f>IF(SnapshotTable[[#This Row],[Annual Dividend Per Share]]&gt;0, SnapshotTable[[#This Row],[Annual Dividend Per Share]]  / SnapshotTable[[#This Row],[Last Price]], 0)</f>
        <v>0</v>
      </c>
      <c r="AH40" s="151"/>
      <c r="AI40" s="5"/>
      <c r="AJ40" s="138">
        <v>92.42</v>
      </c>
      <c r="AK40" s="152" t="str">
        <f>IF(ISNUMBER( SnapshotTable[[#This Row],[EBF Target]]),(SnapshotTable[[#This Row],[EBF Target]] - SnapshotTable[[#This Row],[Last Price]]) / SnapshotTable[[#This Row],[Last Price]], "")</f>
        <v/>
      </c>
      <c r="AL40" s="152" t="str">
        <f>IF(AND(SnapshotTable[[#This Row],[Equity Basis Total]] &gt; 0,ISNUMBER( SnapshotTable[[#This Row],[Long Term Target]])), SnapshotTable[[#This Row],[From Basis $]] / SnapshotTable[[#This Row],[Equity Basis Total]], "")</f>
        <v/>
      </c>
      <c r="AM40" s="9">
        <f>IF( AND(SnapshotTable[[#This Row],[Equity Shares]] &gt;0,ISNUMBER( SnapshotTable[[#This Row],[Long Term Target]])),(SnapshotTable[[#This Row],[Equity Shares]] * SnapshotTable[[#This Row],[Long Term Target]]) - SnapshotTable[[#This Row],[Equity Basis Total]],0)</f>
        <v>0</v>
      </c>
      <c r="AN40" s="9">
        <f>IF( AND(SnapshotTable[[#This Row],[Equity Shares]] &gt;0,ISNUMBER( SnapshotTable[[#This Row],[Long Term Target]])),(SnapshotTable[[#This Row],[Equity Shares]]*SnapshotTable[[#This Row],[Long Term Target]]) - SnapshotTable[[#This Row],[Equity Value]],0)</f>
        <v>0</v>
      </c>
      <c r="AO40" s="152">
        <f>IF(AND(ISNUMBER( SnapshotTable[[#This Row],[Long Term Target]]), ISNUMBER(SnapshotTable[[#This Row],[Last Price]])),(SnapshotTable[[#This Row],[Long Term Target]] - SnapshotTable[[#This Row],[Last Price]]) / SnapshotTable[[#This Row],[Last Price]], "")</f>
        <v>4.1939120631341587E-2</v>
      </c>
      <c r="AP40" s="5">
        <v>8</v>
      </c>
      <c r="AQ40" s="38" t="s">
        <v>27</v>
      </c>
      <c r="AR40" s="5">
        <v>8</v>
      </c>
      <c r="AS40" s="38" t="s">
        <v>38</v>
      </c>
      <c r="AT40" s="146" t="s">
        <v>542</v>
      </c>
      <c r="AU40" s="187" t="str">
        <f>IF(OR(SnapshotTable[[#This Row],[LP No Fill]]="Y",SnapshotTable[[#This Row],[SP Is Filled]],SnapshotTable[[#This Row],[LC Not Filled]]="Y",SnapshotTable[[#This Row],[SC Is Filled]]),"Y","")</f>
        <v/>
      </c>
      <c r="AV40" s="219"/>
      <c r="AW40" s="225"/>
      <c r="AX40" s="220"/>
      <c r="AY40" s="219" t="str">
        <f>IF(SnapshotTable[[#This Row],[Implied Move]]&gt;0, SnapshotTable[[#This Row],[Last Price]]-SnapshotTable[[#This Row],[Implied Move]],"")</f>
        <v/>
      </c>
      <c r="AZ40" s="219" t="str">
        <f>IF(SnapshotTable[[#This Row],[Implied Move]]&gt;0, SnapshotTable[[#This Row],[Last Price]] + SnapshotTable[[#This Row],[Implied Move]],"")</f>
        <v/>
      </c>
      <c r="BA40" s="331">
        <v>18</v>
      </c>
      <c r="BB40" s="347"/>
      <c r="BC4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 s="351"/>
      <c r="BE40" s="5"/>
      <c r="BF40" s="14"/>
      <c r="BG40" s="13"/>
      <c r="BH40" s="13"/>
      <c r="BI40" s="5"/>
      <c r="BJ40" s="136">
        <f>IF(SnapshotTable[[#This Row],[LP Qty]] &gt; 0, SnapshotTable[[#This Row],[LP Qty]] * SnapshotTable[[#This Row],[LP Book Price]] * 100,0)</f>
        <v>0</v>
      </c>
      <c r="BK40" s="136">
        <f>IF(SnapshotTable[[#This Row],[LP Premium]] &gt; 0, SnapshotTable[[#This Row],[LP Qty]] * SnapshotTable[[#This Row],[LP Strike Price]] * 100,0)</f>
        <v>0</v>
      </c>
      <c r="BL40" s="154"/>
      <c r="BM40" s="385" t="str">
        <f>IF(SnapshotTable[[#This Row],[LP Premium]] &gt; 0,SnapshotTable[[#This Row],[LP Exp Date]]-MAX(SnapshotTable[[#This Row],[LP Book Date]], SnapshotTable[[#This Row],[LP Fill Date]]),"")</f>
        <v/>
      </c>
      <c r="BN40" s="385" t="str">
        <f>IF(ISNUMBER( SnapshotTable[[#This Row],[LP Term]]), SnapshotTable[[#This Row],[LP Exp Date]] - MockToday,"")</f>
        <v/>
      </c>
      <c r="BO40" s="163" t="str">
        <f>IF(AND(SnapshotTable[[#This Row],[LP Exp Date]]&gt;0, SnapshotTable[[#This Row],[LP Strike Price]]&gt;0,SnapshotTable[[#This Row],[LP Qty]]&gt;0,SnapshotTable[[#This Row],[LP Book Date]]&gt;0,SnapshotTable[[#This Row],[LP Book Price]]&gt;0,SnapshotTable[[#This Row],[LP Fill Date]]=0),"Y","")</f>
        <v/>
      </c>
      <c r="BP40" s="31" t="str">
        <f>IF(AND(SnapshotTable[[#This Row],[LP No Fill]]&lt;&gt;"Y",SnapshotTable[[#This Row],[LP Contract Value]]&gt;0, SnapshotTable[[#This Row],[LP Qty]]&gt;0), SnapshotTable[[#This Row],[LP Contract Value]]*SnapshotTable[[#This Row],[LP Qty]]*100,"")</f>
        <v/>
      </c>
      <c r="BQ40" s="13"/>
      <c r="BR40" s="5" t="str">
        <f>IF(SnapshotTable[[#This Row],[SP Exp Date]]&lt;&gt;"",TRUNC(SnapshotTable[[#This Row],[Last Price]]),"")</f>
        <v/>
      </c>
      <c r="BS40" s="36"/>
      <c r="BT40" s="147"/>
      <c r="BU40" s="13"/>
      <c r="BV40" s="5"/>
      <c r="BW40" s="419" t="b">
        <f>AND(ISNUMBER(SnapshotTable[[#This Row],[SP Exp Date]]), ISNUMBER(SnapshotTable[[#This Row],[SP Strike Price]]), ISNUMBER(SnapshotTable[[#This Row],[SP Qty]]), ISNUMBER(SnapshotTable[[#This Row],[SP Book Date]]), ISNUMBER(SnapshotTable[[#This Row],[SP Book Price]]))</f>
        <v>0</v>
      </c>
      <c r="BX40" s="419" t="b">
        <f>AND(SnapshotTable[[#This Row],[SP Is Booked]], NOT(ISBLANK(SnapshotTable[[#This Row],[SP Fill Date]])))</f>
        <v>0</v>
      </c>
      <c r="BY40" s="33">
        <f>IF(SnapshotTable[[#This Row],[SP Is Booked]], SnapshotTable[[#This Row],[SP Qty]] * SnapshotTable[[#This Row],[SP Book Price]] * 100, 0)</f>
        <v>0</v>
      </c>
      <c r="BZ40" s="369"/>
      <c r="CA40" s="368">
        <f>SnapshotTable[[#This Row],[LP Qty]]</f>
        <v>0</v>
      </c>
      <c r="CB40" s="4" t="str">
        <f>IF(SnapshotTable[[#This Row],[SP Is Booked]], SnapshotTable[[#This Row],[SP Strike Price]] - SnapshotTable[[#This Row],[SP Book Price]], "")</f>
        <v/>
      </c>
      <c r="CC40" s="19" t="str">
        <f>IF(SnapshotTable[[#This Row],[SP Is Booked]],SnapshotTable[[#This Row],[SP Exp Date]]-MAX(SnapshotTable[[#This Row],[SP Book Date]], SnapshotTable[[#This Row],[SP Fill Date]]),"")</f>
        <v/>
      </c>
      <c r="CD40" s="7" t="str">
        <f>IF(SnapshotTable[[#This Row],[SP Is Booked]], SnapshotTable[[#This Row],[SP Book Price]]/SnapshotTable[[#This Row],[SP Strike Price]], "")</f>
        <v/>
      </c>
      <c r="CE40" s="7" t="str">
        <f>IF(ISNUMBER(SnapshotTable[[#This Row],[SP ROO Term]]),SnapshotTable[[#This Row],[SP ROO Term]]*(365/SnapshotTable[[#This Row],[SP Term]]),"")</f>
        <v/>
      </c>
      <c r="CF40" s="236">
        <f>SnapshotTable[[#This Row],[LP Strike Price]] * SnapshotTable[[#This Row],[LP Qty]] * 100</f>
        <v>0</v>
      </c>
      <c r="CG40" s="31" t="e">
        <f>IF(ISNUMBER(SnapshotTable[[#This Row],[SP Premium]]), (SnapshotTable[[#This Row],[SP Qty]] * SnapshotTable[[#This Row],[SP Strike Price]]* 100) - SnapshotTable[[#This Row],[LP Protection]], 0)</f>
        <v>#VALUE!</v>
      </c>
      <c r="CH40" s="7" t="str">
        <f>IF(ISNUMBER(SnapshotTable[[#This Row],[SP Break Even]]),-1 * (SnapshotTable[[#This Row],[SP Break Even]] - SnapshotTable[[#This Row],[Last Price]]) / SnapshotTable[[#This Row],[Last Price]], "")</f>
        <v/>
      </c>
      <c r="CI40" s="31">
        <f>IF(AND(ISNUMBER((SnapshotTable[[#This Row],[SP Potential Spend]])), SnapshotTable[[#This Row],[SP Strike Price]] &gt; SnapshotTable[[#This Row],[Last Price]], SnapshotTable[[#This Row],[SP Is Filled]]), SnapshotTable[[#This Row],[SP Potential Spend]] -  SnapshotTable[[#This Row],[LP Max Value]], 0)</f>
        <v>0</v>
      </c>
      <c r="CJ40" s="244"/>
      <c r="CK40" s="31" t="str">
        <f>IF(ISNUMBER(SnapshotTable[[#This Row],[SP Potential Spend]]),IF(ISNUMBER(SnapshotTable[[#This Row],[SP POW]]), SnapshotTable[[#This Row],[SP POW]] * SnapshotTable[[#This Row],[SP Potential Spend]], SnapshotTable[[#This Row],[SP Potential Spend]]), "")</f>
        <v/>
      </c>
      <c r="CL40" s="164" t="e">
        <f>IF(NOT(SnapshotTable[[#This Row],[SP Is Filled]]),(SnapshotTable[[#This Row],[SP Qty]] * SnapshotTable[[#This Row],[SP Strike Price]] * 100) - SnapshotTable[[#This Row],[LP Max Value]],"")</f>
        <v>#VALUE!</v>
      </c>
      <c r="CM40" s="31" t="str">
        <f>IF(SnapshotTable[[#This Row],[SP Actual Spend]]&lt;&gt;0, ((SnapshotTable[[#This Row],[SP Strike Price]]-SnapshotTable[[#This Row],[Last Price]]) *(SnapshotTable[[#This Row],[SP Qty]]*100) - SnapshotTable[[#This Row],[SP Premium]]) * - 1, "")</f>
        <v/>
      </c>
      <c r="CN40" s="78"/>
      <c r="CO40" s="369"/>
      <c r="CP40" s="4" t="str">
        <f>IF(SnapshotTable[[#This Row],[SP Is Filled]], btc_max_buyback_amount(SnapshotTable[[#This Row],[SP Fill Date]],SnapshotTable[[#This Row],[SP Exp Date]], SnapshotTable[[#This Row],[SP Book Price]]),"")</f>
        <v/>
      </c>
      <c r="CQ40" s="78"/>
      <c r="CR4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 s="155" t="str">
        <f>IF(SnapshotTable[[#This Row],[SP Is Filled]], btc_next_cutoff_date(SnapshotTable[[#This Row],[SP Fill Date]],SnapshotTable[[#This Row],[SP Exp Date]]),"")</f>
        <v/>
      </c>
      <c r="CT40" s="235" t="str" cm="1">
        <f t="array" ref="CT40">IF(SnapshotTable[[#This Row],[SP Is Filled]], btc_should_buy_back(SnapshotTable[[#This Row],[SP Fill Date]], SnapshotTable[[#This Row],[SP Exp Date]], SnapshotTable[[#This Row],[SP Book Price]], SnapshotTable[[#This Row],[SP Current Ask]], MockToday, SnapshotTable[[#This Row],[SP Buyback Override]]),"")</f>
        <v/>
      </c>
      <c r="CU40" s="143"/>
      <c r="CV40" s="235"/>
      <c r="CW40" s="378" t="str">
        <f>IF(ISNUMBER( SnapshotTable[[#This Row],[SP Term]]), SnapshotTable[[#This Row],[SP Exp Date]] - MockToday,"")</f>
        <v/>
      </c>
      <c r="CX40" s="31" t="str">
        <f>IF(SnapshotTable[[#This Row],[SP Is Filled]],SnapshotTable[[#This Row],[SP Buyback Price to Use]] * 100 * SnapshotTable[[#This Row],[SP Qty]], "")</f>
        <v/>
      </c>
      <c r="CY40" s="4" t="str">
        <f>IF(ISNUMBER(SnapshotTable[[#This Row],[SP Strike Price]]), SnapshotTable[[#This Row],[SP Strike Price]] * (1 - SP_MaxLoss_StrikePct), "")</f>
        <v/>
      </c>
      <c r="CZ40" s="31" t="str">
        <f>IF(ISNUMBER(SnapshotTable[[#This Row],[SP Strike  Stop Per Share]]),SnapshotTable[[#This Row],[SP Premium]] - ((SnapshotTable[[#This Row],[SP Strike Price]]-SnapshotTable[[#This Row],[SP Strike  Stop Per Share]]) *(SnapshotTable[[#This Row],[SP Qty]] * 100)),"")</f>
        <v/>
      </c>
      <c r="DA40" s="4" t="str">
        <f>IF(AND(ISNUMBER(SnapshotTable[[#This Row],[SP Premium]]),SnapshotTable[[#This Row],[SP Premium]]&gt;0), SnapshotTable[[#This Row],[SP Book Price]] * (1 + SP_MaxLoss_OptionPct), "")</f>
        <v/>
      </c>
      <c r="DB40" s="31" t="str">
        <f>IF(ISNUMBER(SnapshotTable[[#This Row],[SP Option  Stop Contract]]),(SnapshotTable[[#This Row],[SP Option  Stop Contract]] *(SnapshotTable[[#This Row],[SP Qty]] * 100) - SnapshotTable[[#This Row],[SP Premium]]),"")</f>
        <v/>
      </c>
      <c r="DC40" s="4"/>
      <c r="DD40" s="4"/>
      <c r="DE40" s="4" t="str">
        <f>IF(AND(SnapshotTable[[#This Row],[SP Qty]]&gt;0, SnapshotTable[[#This Row],[SP Stop To Use]]&gt;0),SnapshotTable[[#This Row],[SP Premium]] - ( SnapshotTable[[#This Row],[SP Qty]] * SnapshotTable[[#This Row],[SP Stop To Use]] * 100), "")</f>
        <v/>
      </c>
      <c r="DF40" s="31" t="str">
        <f>IF(AND(SnapshotTable[[#This Row],[SP Qty]]&gt;0,SnapshotTable[[#This Row],[SP Current Ask]]&gt;0), SnapshotTable[[#This Row],[SP Qty]] * SnapshotTable[[#This Row],[SP Current Ask]] * -100, "")</f>
        <v/>
      </c>
      <c r="DG40" s="31" t="str">
        <f>IF(ISNUMBER((SnapshotTable[[#This Row],[SP Total Value]])), SnapshotTable[[#This Row],[SP Premium]] + SnapshotTable[[#This Row],[SP Total Value]], "")</f>
        <v/>
      </c>
      <c r="DH40" s="294" t="str">
        <f>IF(ISNUMBER((SnapshotTable[[#This Row],[SP Total Value]])), SnapshotTable[[#This Row],[SP Gain Loss]] / SnapshotTable[[#This Row],[SP Premium]], "")</f>
        <v/>
      </c>
      <c r="DI40" s="406"/>
      <c r="DJ40" s="138"/>
      <c r="DK40" s="148"/>
      <c r="DL40" s="13"/>
      <c r="DM40" s="13"/>
      <c r="DN40" s="5"/>
      <c r="DO40" s="31">
        <f>IF(SnapshotTable[[#This Row],[LC Symbol Count]]=1, SnapshotTable[[#This Row],[LC Qty]] * SnapshotTable[[#This Row],[LC Book Price]] * 100, 0)</f>
        <v>0</v>
      </c>
      <c r="DP40" s="163" t="str">
        <f>IF(AND(SnapshotTable[[#This Row],[LC Exp Date]]&gt;0, SnapshotTable[[#This Row],[LC Strike Price]]&gt;0,SnapshotTable[[#This Row],[LC Qty]]&gt;0,SnapshotTable[[#This Row],[LC Book Date]]&gt;0,SnapshotTable[[#This Row],[LC Book Price]]&gt;0,SnapshotTable[[#This Row],[LC Fill Date]]=0),"Y","")</f>
        <v/>
      </c>
      <c r="DQ40" s="386" t="str">
        <f>IF(SnapshotTable[[#This Row],[LC Premium]] &gt; 0,SnapshotTable[[#This Row],[LC Exp Date]]-MAX(SnapshotTable[[#This Row],[LC Book Date]], SnapshotTable[[#This Row],[LC Fill Date]]),"")</f>
        <v/>
      </c>
      <c r="DR40" s="386" t="str">
        <f>IF(ISNUMBER(SnapshotTable[[#This Row],[LC Term]]), SnapshotTable[[#This Row],[LC Exp Date]] - MockToday, "")</f>
        <v/>
      </c>
      <c r="DS40" s="234" t="str">
        <f>IF(SnapshotTable[[#This Row],[LC Premium]]&gt;0,SnapshotTable[[#This Row],[LC Strike Price]] + SnapshotTable[[#This Row],[LC Book Price]],"")</f>
        <v/>
      </c>
      <c r="DT40" s="5"/>
      <c r="DU40" s="9" t="str">
        <f>IF(AND(SnapshotTable[[#This Row],[LC Symbol Count]]&gt;0, SnapshotTable[[#This Row],[LC Contract Value]]&gt;0), SnapshotTable[[#This Row],[LC Contract Value]] * SnapshotTable[[#This Row],[LC Qty]] * 100, "")</f>
        <v/>
      </c>
      <c r="DV40" s="9" t="str">
        <f>IF(AND(ISNUMBER(SnapshotTable[[#This Row],[LC Total Value]]), SnapshotTable[[#This Row],[LC Not Filled]]&lt;&gt;"Y"), SnapshotTable[[#This Row],[LC Total Value]]-SnapshotTable[[#This Row],[LC Premium]],"")</f>
        <v/>
      </c>
      <c r="DW40" s="240" t="str">
        <f>IF(ISNUMBER(SnapshotTable[[#This Row],[LC Actual Gain Loss]]), SnapshotTable[[#This Row],[LC Actual Gain Loss]] / SnapshotTable[[#This Row],[LC Premium]],"")</f>
        <v/>
      </c>
      <c r="DX40" s="284" t="str">
        <f>IF(ISNUMBER(SnapshotTable[[#This Row],[LC Book Price]]),SnapshotTable[[#This Row],[LC Book Price]] * 1.5,"")</f>
        <v/>
      </c>
      <c r="DY40" s="265" t="str">
        <f>IF(SnapshotTable[[#This Row],[LC Premium]]&gt;0, SnapshotTable[[#This Row],[LC Next Target]] * SnapshotTable[[#This Row],[LC Qty]] * 100,"")</f>
        <v/>
      </c>
      <c r="DZ40" s="265" t="str">
        <f>IF(ISNUMBER(SnapshotTable[[#This Row],[LC Target Gross]]), SnapshotTable[[#This Row],[LC Target Gross]] - SnapshotTable[[#This Row],[LC Premium]], "")</f>
        <v/>
      </c>
      <c r="EA40" s="305" t="str">
        <f>IF(ISNUMBER(SnapshotTable[[#This Row],[LC Target Gain Loss]]), SnapshotTable[[#This Row],[LC Target Gain Loss]]/SnapshotTable[[#This Row],[LC Premium]], "")</f>
        <v/>
      </c>
      <c r="EB40" s="262"/>
      <c r="EC40" s="283" t="str">
        <f>IF(SnapshotTable[[#This Row],[LC Premium]]&gt;0, SnapshotTable[[#This Row],[LC Book Price]] * (1 - LC_StopLoss_Pct),"")</f>
        <v/>
      </c>
      <c r="ED40" s="284"/>
      <c r="EE40" s="283" t="str">
        <f>IF(ISNUMBER(SnapshotTable[[#This Row],[LC Contract Value]]),IF(ISNUMBER(SnapshotTable[[#This Row],[LC Stop Loss Override]]), SnapshotTable[[#This Row],[LC Stop Loss Override]],SnapshotTable[[#This Row],[LC Stop Loss Calc Target]]),"")</f>
        <v/>
      </c>
      <c r="EF40" s="31" t="str">
        <f>IF(ISNUMBER(SnapshotTable[[#This Row],[LC Stop  To Use]]), (SnapshotTable[[#This Row],[LC Stop  To Use]] * SnapshotTable[[#This Row],[LC Qty]] * 100),"")</f>
        <v/>
      </c>
      <c r="EG40" s="9" t="str">
        <f>IF(ISNUMBER(SnapshotTable[[#This Row],[LC Total Value]]),SnapshotTable[[#This Row],[LC Stop Loss Amount]] - SnapshotTable[[#This Row],[LC Premium]],"")</f>
        <v/>
      </c>
      <c r="EH40" s="9">
        <f>IF(ISNUMBER(SnapshotTable[[#This Row],[LC Premium]]), SnapshotTable[[#This Row],[LC Qty]] * 100 * SnapshotTable[[#This Row],[LC Strike Price]], "")</f>
        <v>0</v>
      </c>
      <c r="EI40" s="240" t="str">
        <f>IF(AND(ISNUMBER(SnapshotTable[[#This Row],[LC Total Value]]),SnapshotTable[[#This Row],[LC Total Value]]&gt;0),SnapshotTable[[#This Row],[LC Stop Gain Loss]]  / SnapshotTable[[#This Row],[LC Premium]],"")</f>
        <v/>
      </c>
      <c r="EJ40" s="35">
        <f>IF(ISNUMBER(SnapshotTable[[#This Row],[Equity Shares]]),TRUNC(SnapshotTable[[#This Row],[Equity Shares]] / 100),0) + SnapshotTable[[#This Row],[LC Qty]]</f>
        <v>0</v>
      </c>
      <c r="EK40" s="147"/>
      <c r="EL40" s="138" t="str">
        <f>IF(SnapshotTable[[#This Row],[SC Exp Date]]&lt;&gt;"",TRUNC(SnapshotTable[[#This Row],[Last Price]]),"")</f>
        <v/>
      </c>
      <c r="EM40" s="148"/>
      <c r="EN40" s="147"/>
      <c r="EO40" s="147"/>
      <c r="EP40" s="138"/>
      <c r="EQ40" s="419" t="b">
        <f>AND(ISNUMBER(SnapshotTable[[#This Row],[SC Exp Date]]), ISNUMBER(SnapshotTable[[#This Row],[SC Strike Price]]), ISNUMBER(SnapshotTable[[#This Row],[SC Qty]]), ISNUMBER(SnapshotTable[[#This Row],[SC Book Date]]), ISNUMBER(SnapshotTable[[#This Row],[SC Book Price]]))</f>
        <v>0</v>
      </c>
      <c r="ER40" s="419" t="b">
        <f>AND(SnapshotTable[[#This Row],[SC Is Booked]], NOT(ISBLANK(SnapshotTable[[#This Row],[SC Fill Date]])))</f>
        <v>0</v>
      </c>
      <c r="ES40" s="370"/>
      <c r="ET40" s="34" t="str">
        <f>IF(AND(ISNUMBER(SnapshotTable[[#This Row],[SC Exp Date]]), ISNUMBER(SnapshotTable[[#This Row],[SC Book Date]])), SnapshotTable[[#This Row],[SC Exp Date]] - MAX(SnapshotTable[[#This Row],[SC Book Date]], SnapshotTable[[#This Row],[SC Fill Date]]) + 1, "")</f>
        <v/>
      </c>
      <c r="EU40" s="34" t="str">
        <f>IF(ISNUMBER(SnapshotTable[[#This Row],[SC Term]]), SnapshotTable[[#This Row],[SC Exp Date]]- MockToday, "")</f>
        <v/>
      </c>
      <c r="EV40" s="31">
        <f>IF(SnapshotTable[[#This Row],[SC Is Booked]], SnapshotTable[[#This Row],[SC Qty]] * SnapshotTable[[#This Row],[SC Book Price]] * 100, 0)</f>
        <v>0</v>
      </c>
      <c r="EW40" s="4" t="str">
        <f>IF(AND(ISNUMBER(SnapshotTable[[#This Row],[Last Price]]), ISNUMBER( SnapshotTable[[#This Row],[SC Book Price]])), SnapshotTable[[#This Row],[Last Price]] - SnapshotTable[[#This Row],[SC Book Price]],"")</f>
        <v/>
      </c>
      <c r="EX40" s="234" t="str">
        <f>IF(SnapshotTable[[#This Row],[SC Is Booked]],IF(SnapshotTable[[#This Row],[SC Intrinsic Value]] &gt; 0, SnapshotTable[[#This Row],[SC Strike Price]], SnapshotTable[[#This Row],[Last Price]]), "")</f>
        <v/>
      </c>
      <c r="EY40" s="4">
        <f>IF(SnapshotTable[[#This Row],[SC Is Booked]], (MinimumPremiumRequired * SnapshotTable[[#This Row],[SC Basis]] * SnapshotTable[[#This Row],[SC Term]]), 0)</f>
        <v>0</v>
      </c>
      <c r="EZ40" s="283"/>
      <c r="FA40" s="218"/>
      <c r="FB40" s="370"/>
      <c r="FC40" s="4">
        <f>IF(SnapshotTable[[#This Row],[SC Is Filled]], btc_max_buyback_amount(SnapshotTable[[#This Row],[SC Fill Date]],SnapshotTable[[#This Row],[SC Exp Date]], SnapshotTable[[#This Row],[SC Book Price]]),0)</f>
        <v>0</v>
      </c>
      <c r="FD40" s="5"/>
      <c r="FE40" s="144" t="str">
        <f>IF(SnapshotTable[[#This Row],[SC Is Filled]], btc_next_cutoff_date(SnapshotTable[[#This Row],[SC Fill Date]],SnapshotTable[[#This Row],[SC Exp Date]]),"")</f>
        <v/>
      </c>
      <c r="FF40" s="4" t="str" cm="1">
        <f t="array" ref="FF40">IF(SnapshotTable[[#This Row],[SC Is Filled]], btc_should_buy_back(SnapshotTable[[#This Row],[SC Fill Date]], SnapshotTable[[#This Row],[SC Exp Date]], SnapshotTable[[#This Row],[SC Book Price]], SnapshotTable[[#This Row],[SC Current Ask]], MockToday, SnapshotTable[[#This Row],[SC Buyback Override]]),"")</f>
        <v/>
      </c>
      <c r="FG40" s="4">
        <f>IF(SnapshotTable[[#This Row],[SC Is Filled]], MAX(0,SnapshotTable[[#This Row],[Last Price]]  - SnapshotTable[[#This Row],[SC Strike Price]]), 0)</f>
        <v>0</v>
      </c>
      <c r="FH40" s="382">
        <f>IF(SnapshotTable[[#This Row],[SC Is Filled]], IF(ISNUMBER(SnapshotTable[[#This Row],[SC Current Ask]]), SnapshotTable[[#This Row],[SC Current Ask]], SnapshotTable[[#This Row],[SC Book Price]]) - SnapshotTable[[#This Row],[SC Intrinsic Value]], 0)</f>
        <v>0</v>
      </c>
      <c r="FI40" s="143"/>
      <c r="FJ40" s="32" t="str">
        <f>IF(SnapshotTable[[#This Row],[SC Is Filled]],100 * SnapshotTable[[#This Row],[SC Qty]] * IF(ISNUMBER(SnapshotTable[[#This Row],[SC Buyback Override]]), SnapshotTable[[#This Row],[SC Buyback Override]], SnapshotTable[[#This Row],[SC Current Ask]]), "")</f>
        <v/>
      </c>
      <c r="FK40" s="250" t="str">
        <f>IF(SnapshotTable[[#This Row],[SC Time Val]]&gt;0, SnapshotTable[[#This Row],[SC Time Val]] / SnapshotTable[[#This Row],[Last Price]],"")</f>
        <v/>
      </c>
      <c r="FL40" s="302" t="str">
        <f>IF(SnapshotTable[[#This Row],[SC Is Booked]], ((SnapshotTable[[#This Row],[Last Price]] -SnapshotTable[[#This Row],[SC Strike Price]]) / SnapshotTable[[#This Row],[Last Price]]) * -1, "")</f>
        <v/>
      </c>
      <c r="FM40" s="157" t="str">
        <f>IF(SnapshotTable[[#This Row],[SC Is Booked]],  (SnapshotTable[[#This Row],[SC Qty]] * 100 * SnapshotTable[[#This Row],[SC Strike Price]]) - SnapshotTable[[#This Row],[SC Current Ask]], "")</f>
        <v/>
      </c>
      <c r="FN4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 s="31" t="str">
        <f>IF(AND(ISNUMBER(SnapshotTable[[#This Row],[SC Exercise Gross]]), ISNUMBER(SnapshotTable[[#This Row],[Equity Basis Per Share]] )), SnapshotTable[[#This Row],[SC Exercise Gross]] - SnapshotTable[[#This Row],[Equity Basis Total]] +  SnapshotTable[[#This Row],[SC Premium]], "")</f>
        <v/>
      </c>
      <c r="FP40" s="5" t="str">
        <f>IF(ISNUMBER(SnapshotTable[[#This Row],[SC Exercise Gross]]), (SnapshotTable[[#This Row],[SC Exercise Gross]]) / (SnapshotTable[[#This Row],[SC Qty]] * 100), "")</f>
        <v/>
      </c>
      <c r="FQ40" s="27" t="str">
        <f>IF(SnapshotTable[[#This Row],[SC Is Booked]],SnapshotTable[[#This Row],[SC Time Val]] /SnapshotTable[[#This Row],[SC Basis]], "")</f>
        <v/>
      </c>
      <c r="FR40" s="27" t="str" cm="1">
        <f t="array" ref="FR40">IF(AND(ISNUMBER(SnapshotTable[[#This Row],[SC Term]]),ISNUMBER(SnapshotTable[[#This Row],[SC Simple ROO]])), EllmanAnnualize(SnapshotTable[[#This Row],[SC DTE]], SnapshotTable[[#This Row],[SC Simple ROO]] ),"")</f>
        <v/>
      </c>
      <c r="FS40" s="4" t="e">
        <f>IF(SnapshotTable[[#This Row],[SC Strike Price]] &gt; SnapshotTable[[#This Row],[Last Price]], SnapshotTable[[#This Row],[SC Strike Price]] - SnapshotTable[[#This Row],[Last Price]],0)</f>
        <v>#VALUE!</v>
      </c>
      <c r="FT40" s="27" t="e">
        <f>IF(AND(ISNUMBER(SnapshotTable[[#This Row],[SC Upside Potential]]), SnapshotTable[[#This Row],[SC Upside Potential]] &gt; 0),(SnapshotTable[[#This Row],[SC Upside Potential]]/ SnapshotTable[[#This Row],[ACB]]),"")</f>
        <v>#VALUE!</v>
      </c>
      <c r="FU40" s="333" t="str">
        <f>IF(SnapshotTable[[#This Row],[SC Intrinsic Value]] &gt; 0,SnapshotTable[[#This Row],[SC Intrinsic Value]],"")</f>
        <v/>
      </c>
      <c r="FV40" s="27" t="str">
        <f>IF(AND( ISNUMBER( SnapshotTable[[#This Row],[ACB]]),ISNUMBER(SnapshotTable[[#This Row],[SC Downside Protect]])),SnapshotTable[[#This Row],[SC Downside Protect]] / SnapshotTable[[#This Row],[ACB]],"")</f>
        <v/>
      </c>
      <c r="FW40" s="236" t="str">
        <f>IF(AND(ISNUMBER(SnapshotTable[[#This Row],[SC Simple ROO]]),SnapshotTable[[#This Row],[SC Simple ROO]] &gt; 0), SnapshotTable[[#This Row],[SC Premium]] + (SnapshotTable[[#This Row],[SC Qty]] * SnapshotTable[[#This Row],[SC Upside Potential]]), "")</f>
        <v/>
      </c>
      <c r="FX40" s="302" t="str" cm="1">
        <f t="array" ref="FX40">IF(ISNUMBER(SnapshotTable[[#This Row],[SC Max Dollars]]), annualize(SnapshotTable[[#This Row],[SC Term]],(SnapshotTable[[#This Row],[SC Max Dollars]]/SnapshotTable[[#This Row],[SC Basis]])),"")</f>
        <v/>
      </c>
      <c r="FY40" s="236" t="str">
        <f>IF(AND(SnapshotTable[[#This Row],[SC Qty]]&gt;0,SnapshotTable[[#This Row],[SC Current Ask]]&gt;0), SnapshotTable[[#This Row],[SC Qty]] * SnapshotTable[[#This Row],[SC Current Ask]] * -100, "")</f>
        <v/>
      </c>
      <c r="FZ40" s="31" t="str">
        <f>IF(ISNUMBER((SnapshotTable[[#This Row],[SC Current Value]])), SnapshotTable[[#This Row],[SC Premium]] + SnapshotTable[[#This Row],[SC Current Value]], "")</f>
        <v/>
      </c>
      <c r="GA40" s="294" t="str">
        <f>IFERROR( IF(ISNUMBER((SnapshotTable[[#This Row],[SC Current Value]])), SnapshotTable[[#This Row],[SC Gain Loss]] / SnapshotTable[[#This Row],[SC Premium]], ""), "")</f>
        <v/>
      </c>
      <c r="GB40" s="42">
        <f>SnapshotTable[[#This Row],[Equity Shares]] * SaleSharesToConsiderPercentage</f>
        <v>0</v>
      </c>
      <c r="GC40" s="40">
        <f>SnapshotTable[[#This Row],[Long Term Target]] * SellingPriceToConsiderBasedOnTargetPercentage</f>
        <v>87.798999999999992</v>
      </c>
      <c r="GD40" s="40">
        <f>SnapshotTable[[#This Row],[Last Price]] * (1+ SellingPriceToConsiderBasedOnTargetPercentage)</f>
        <v>172.965</v>
      </c>
      <c r="GE40" s="41"/>
      <c r="GF40" s="40"/>
      <c r="GG40" s="31">
        <f>SnapshotTable[[#This Row],[Booked Sale Shares]] * SnapshotTable[[#This Row],[Booked Sale Price]]</f>
        <v>0</v>
      </c>
      <c r="GH40" s="31" t="str">
        <f>IF(SnapshotTable[[#This Row],[Equity Basis Total]] &gt; 0, SnapshotTable[[#This Row],[Equity Basis Per Share]] * SnapshotTable[[#This Row],[Booked Sale Shares]], "")</f>
        <v/>
      </c>
      <c r="GI40" s="31">
        <f>IF(SnapshotTable[[#This Row],[Sale Proceeds]]&gt;0, SnapshotTable[[#This Row],[Sale Proceeds]] - SnapshotTable[[#This Row],[Sale Basis]], 0)</f>
        <v>0</v>
      </c>
      <c r="GJ40" s="27" t="str">
        <f>IF(SnapshotTable[[#This Row],[Sale G/L]]&gt;0, SnapshotTable[[#This Row],[Sale G/L]] / SnapshotTable[[#This Row],[Sale Basis]], IF(ISNUMBER(SnapshotTable[[#This Row],[SC Exercise P&amp;L (TAX)]]), SnapshotTable[[#This Row],[SC Exercise P&amp;L (TAX)]] / SnapshotTable[[#This Row],[SC Basis]], ""))</f>
        <v/>
      </c>
      <c r="GK40" s="27" t="s">
        <v>639</v>
      </c>
      <c r="GL40" s="43" t="str">
        <f>IF(AND(SnapshotTable[[#This Row],[LP Exp Date]]&gt;0,SnapshotTable[[#This Row],[LP Strike Price]]&gt;0), [1]!ToOptionSymbol(SnapshotTable[[#This Row],[Symbol]], SnapshotTable[[#This Row],[LP Strike Price]],SnapshotTable[[#This Row],[LP Exp Date]],1), "")</f>
        <v/>
      </c>
      <c r="GM40" s="30" t="str">
        <f>IF(LEN(SnapshotTable[[#This Row],[LP Symbol]])&gt;0, 1, "")</f>
        <v/>
      </c>
      <c r="GN40" s="43" t="str">
        <f>IF(AND(SnapshotTable[[#This Row],[SP Exp Date]]&gt;0,SnapshotTable[[#This Row],[SP Strike Price]]&gt;0), [1]!ToOptionSymbol(SnapshotTable[[#This Row],[Symbol]], SnapshotTable[[#This Row],[SP Strike Price]],SnapshotTable[[#This Row],[SP Exp Date]],1), "")</f>
        <v/>
      </c>
      <c r="GO40" s="30" t="str">
        <f>IF(LEN(SnapshotTable[[#This Row],[SP Symbol]])&gt;0, 1, "")</f>
        <v/>
      </c>
      <c r="GP40" s="43" t="str">
        <f>IF(AND(SnapshotTable[[#This Row],[LC Exp Date]]&gt;0,SnapshotTable[[#This Row],[LC Strike Price]]&gt;0), [1]!ToOptionSymbol(SnapshotTable[[#This Row],[Symbol]], SnapshotTable[[#This Row],[LC Strike Price]],SnapshotTable[[#This Row],[LC Exp Date]],0), "")</f>
        <v/>
      </c>
      <c r="GQ40" s="30" t="str">
        <f>IF(LEN(SnapshotTable[[#This Row],[LC Symbol]])&gt;0, 1, "")</f>
        <v/>
      </c>
      <c r="GR40" s="43" t="str">
        <f>IF(AND(SnapshotTable[[#This Row],[SC Exp Date]]&gt;0,SnapshotTable[[#This Row],[SC Strike Price]]&gt;0), [1]!ToOptionSymbol(SnapshotTable[[#This Row],[Symbol]], SnapshotTable[[#This Row],[SC Strike Price]],SnapshotTable[[#This Row],[SC Exp Date]],0), "")</f>
        <v/>
      </c>
      <c r="GS40" s="30" t="str">
        <f>IF(LEN(SnapshotTable[[#This Row],[SC Symbol]])&gt;0, 1, "")</f>
        <v/>
      </c>
      <c r="GT40" s="29" t="str">
        <f>IF(COUNT(SnapshotTable[[#This Row],[LP Symbol Count]],SnapshotTable[[#This Row],[SP Symbol Count]],SnapshotTable[[#This Row],[LC Symbol Count]],SnapshotTable[[#This Row],[SC Symbol Count]])&gt;0, "Y", "")</f>
        <v/>
      </c>
      <c r="GU4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 s="231" t="e">
        <f>MAX(SnapshotTable[[#This Row],[Equity Basis Total]],SnapshotTable[[#This Row],[Equity Value]]) + (SnapshotTable[[#This Row],[SP Potential Spend]]- SnapshotTable[[#This Row],[SP Premium]] + SnapshotTable[[#This Row],[LP Premium]])+ (SnapshotTable[[#This Row],[LC Premium]] - SnapshotTable[[#This Row],[SC Premium]])</f>
        <v>#VALUE!</v>
      </c>
      <c r="GW40" s="139" t="e">
        <f>IF(AND(SnapshotTable[[#This Row],[Exposure]] &lt;&gt; 0),SnapshotTable[[#This Row],[Exposure]] / SnapshotTable[[#Totals],[Exposure]], "")</f>
        <v>#VALUE!</v>
      </c>
      <c r="GY40" s="381"/>
      <c r="HE40" s="268"/>
      <c r="HF40" s="268"/>
      <c r="HG40" s="381"/>
      <c r="HH40" s="381"/>
      <c r="HI40" s="381"/>
      <c r="HJ40" s="381"/>
    </row>
    <row r="41" spans="2:224" s="47" customFormat="1" ht="12.75" hidden="1" customHeight="1" x14ac:dyDescent="0.25">
      <c r="B41" s="12" t="s">
        <v>1204</v>
      </c>
      <c r="C41" s="422">
        <v>61.95</v>
      </c>
      <c r="D41" s="208"/>
      <c r="E41" s="39">
        <f>SnapshotTable[[#This Row],[Last Price]]*(1 -CrashDiscount)</f>
        <v>52.657499999999999</v>
      </c>
      <c r="F41" s="26" t="s">
        <v>210</v>
      </c>
      <c r="G41" s="325" t="s">
        <v>9</v>
      </c>
      <c r="H41" s="149"/>
      <c r="I41" s="194"/>
      <c r="J41" s="195"/>
      <c r="K41" s="196"/>
      <c r="L41" s="326"/>
      <c r="M41" s="140"/>
      <c r="N41" s="140"/>
      <c r="O41" s="140"/>
      <c r="P41" s="22"/>
      <c r="Q41" s="25"/>
      <c r="R41" s="4" t="str">
        <f>IF(SnapshotTable[[#This Row],[Equity Basis Total]] &gt; 0, SnapshotTable[[#This Row],[Equity Basis Total]] / SnapshotTable[[#This Row],[Equity Shares]], "")</f>
        <v/>
      </c>
      <c r="S41" s="269">
        <f>SnapshotTable[[#This Row],[Last Price]] * SnapshotTable[[#This Row],[Equity Shares]]</f>
        <v>0</v>
      </c>
      <c r="T41" s="269">
        <f>SnapshotTable[[#This Row],[Equity Value]] - SnapshotTable[[#This Row],[Equity Basis Total]]</f>
        <v>0</v>
      </c>
      <c r="U41" s="270" t="str">
        <f>IF(SnapshotTable[[#This Row],[Equity Basis Total]] &gt; 0, SnapshotTable[[#This Row],[Equity G/L]] / SnapshotTable[[#This Row],[Equity Basis Total]], "")</f>
        <v/>
      </c>
      <c r="V41" s="268"/>
      <c r="W41" s="268"/>
      <c r="X41" s="4" t="str">
        <f>IF(AND(ISNUMBER(SnapshotTable[[#This Row],[Equity Basis Per Share]]),ISNUMBER(SnapshotTable[[#This Row],[Equity Target]])),SnapshotTable[[#This Row],[Equity Target]]-SnapshotTable[[#This Row],[Equity Basis Per Share]],"")</f>
        <v/>
      </c>
      <c r="Y41" s="4" t="str">
        <f>IF(AND(ISNUMBER(SnapshotTable[[#This Row],[Equity Basis Per Share]]),ISNUMBER(SnapshotTable[[#This Row],[Equity Stop Loss]])),SnapshotTable[[#This Row],[Equity Stop Loss]]-SnapshotTable[[#This Row],[Equity Basis Per Share]],"")</f>
        <v/>
      </c>
      <c r="Z41" s="275" t="str">
        <f>IFERROR( TEXT(SnapshotTable[[#This Row],[Equity Max Gain Per Share]] /ABS( SnapshotTable[[#This Row],[Equity Max Loss Per Share]]),"0.0 " ) &amp; " : 1", "")</f>
        <v/>
      </c>
      <c r="AA41" s="31" t="str">
        <f>IF(ISNUMBER(SnapshotTable[[#This Row],[Equity Max Gain Per Share]]),SnapshotTable[[#This Row],[Equity Max Gain Per Share]] * SnapshotTable[[#This Row],[Equity Shares]],"")</f>
        <v/>
      </c>
      <c r="AB41" s="31" t="str">
        <f>IF(ISNUMBER(SnapshotTable[[#This Row],[Equity Max Loss Per Share]]),SnapshotTable[[#This Row],[Equity Max Loss Per Share]] * SnapshotTable[[#This Row],[Equity Shares]],"")</f>
        <v/>
      </c>
      <c r="AC41" s="150"/>
      <c r="AD41" s="151"/>
      <c r="AE41" s="31">
        <f>(SnapshotTable[[#This Row],[Annual Dividend Per Share]] / 4) * SnapshotTable[[#This Row],[Equity Shares]]</f>
        <v>0</v>
      </c>
      <c r="AF41" s="31">
        <f>SnapshotTable[[#This Row],[Quarterly Div $]] * 4</f>
        <v>0</v>
      </c>
      <c r="AG41" s="7">
        <f>IF(SnapshotTable[[#This Row],[Annual Dividend Per Share]]&gt;0, SnapshotTable[[#This Row],[Annual Dividend Per Share]]  / SnapshotTable[[#This Row],[Last Price]], 0)</f>
        <v>0</v>
      </c>
      <c r="AH41" s="151"/>
      <c r="AI41" s="5"/>
      <c r="AJ41" s="138"/>
      <c r="AK41" s="152" t="str">
        <f>IF(ISNUMBER( SnapshotTable[[#This Row],[EBF Target]]),(SnapshotTable[[#This Row],[EBF Target]] - SnapshotTable[[#This Row],[Last Price]]) / SnapshotTable[[#This Row],[Last Price]], "")</f>
        <v/>
      </c>
      <c r="AL41" s="152" t="str">
        <f>IF(AND(SnapshotTable[[#This Row],[Equity Basis Total]] &gt; 0,ISNUMBER( SnapshotTable[[#This Row],[Long Term Target]])), SnapshotTable[[#This Row],[From Basis $]] / SnapshotTable[[#This Row],[Equity Basis Total]], "")</f>
        <v/>
      </c>
      <c r="AM41" s="9">
        <f>IF( AND(SnapshotTable[[#This Row],[Equity Shares]] &gt;0,ISNUMBER( SnapshotTable[[#This Row],[Long Term Target]])),(SnapshotTable[[#This Row],[Equity Shares]] * SnapshotTable[[#This Row],[Long Term Target]]) - SnapshotTable[[#This Row],[Equity Basis Total]],0)</f>
        <v>0</v>
      </c>
      <c r="AN41" s="9">
        <f>IF( AND(SnapshotTable[[#This Row],[Equity Shares]] &gt;0,ISNUMBER( SnapshotTable[[#This Row],[Long Term Target]])),(SnapshotTable[[#This Row],[Equity Shares]]*SnapshotTable[[#This Row],[Long Term Target]]) - SnapshotTable[[#This Row],[Equity Value]],0)</f>
        <v>0</v>
      </c>
      <c r="AO41" s="152" t="str">
        <f>IF(AND(ISNUMBER( SnapshotTable[[#This Row],[Long Term Target]]), ISNUMBER(SnapshotTable[[#This Row],[Last Price]])),(SnapshotTable[[#This Row],[Long Term Target]] - SnapshotTable[[#This Row],[Last Price]]) / SnapshotTable[[#This Row],[Last Price]], "")</f>
        <v/>
      </c>
      <c r="AP41" s="5">
        <v>17.5</v>
      </c>
      <c r="AQ41" s="38" t="s">
        <v>38</v>
      </c>
      <c r="AR41" s="5">
        <v>17.5</v>
      </c>
      <c r="AS41" s="38" t="s">
        <v>26</v>
      </c>
      <c r="AT41" s="146" t="s">
        <v>538</v>
      </c>
      <c r="AU41" s="187" t="str">
        <f>IF(OR(SnapshotTable[[#This Row],[LP No Fill]]="Y",SnapshotTable[[#This Row],[SP Is Filled]],SnapshotTable[[#This Row],[LC Not Filled]]="Y",SnapshotTable[[#This Row],[SC Is Filled]]),"Y","")</f>
        <v/>
      </c>
      <c r="AV41" s="219"/>
      <c r="AW41" s="225"/>
      <c r="AX41" s="220"/>
      <c r="AY41" s="219" t="str">
        <f>IF(SnapshotTable[[#This Row],[Implied Move]]&gt;0, SnapshotTable[[#This Row],[Last Price]]-SnapshotTable[[#This Row],[Implied Move]],"")</f>
        <v/>
      </c>
      <c r="AZ41" s="219" t="str">
        <f>IF(SnapshotTable[[#This Row],[Implied Move]]&gt;0, SnapshotTable[[#This Row],[Last Price]] + SnapshotTable[[#This Row],[Implied Move]],"")</f>
        <v/>
      </c>
      <c r="BA41" s="331">
        <v>16.45</v>
      </c>
      <c r="BB41" s="347"/>
      <c r="BC4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 s="351"/>
      <c r="BE41" s="5"/>
      <c r="BF41" s="14"/>
      <c r="BG41" s="13"/>
      <c r="BH41" s="13"/>
      <c r="BI41" s="5"/>
      <c r="BJ41" s="136">
        <f>IF(SnapshotTable[[#This Row],[LP Qty]] &gt; 0, SnapshotTable[[#This Row],[LP Qty]] * SnapshotTable[[#This Row],[LP Book Price]] * 100,0)</f>
        <v>0</v>
      </c>
      <c r="BK41" s="136">
        <f>IF(SnapshotTable[[#This Row],[LP Premium]] &gt; 0, SnapshotTable[[#This Row],[LP Qty]] * SnapshotTable[[#This Row],[LP Strike Price]] * 100,0)</f>
        <v>0</v>
      </c>
      <c r="BL41" s="154"/>
      <c r="BM41" s="385" t="str">
        <f>IF(SnapshotTable[[#This Row],[LP Premium]] &gt; 0,SnapshotTable[[#This Row],[LP Exp Date]]-MAX(SnapshotTable[[#This Row],[LP Book Date]], SnapshotTable[[#This Row],[LP Fill Date]]),"")</f>
        <v/>
      </c>
      <c r="BN41" s="385" t="str">
        <f>IF(ISNUMBER( SnapshotTable[[#This Row],[LP Term]]), SnapshotTable[[#This Row],[LP Exp Date]] - MockToday,"")</f>
        <v/>
      </c>
      <c r="BO41" s="163" t="str">
        <f>IF(AND(SnapshotTable[[#This Row],[LP Exp Date]]&gt;0, SnapshotTable[[#This Row],[LP Strike Price]]&gt;0,SnapshotTable[[#This Row],[LP Qty]]&gt;0,SnapshotTable[[#This Row],[LP Book Date]]&gt;0,SnapshotTable[[#This Row],[LP Book Price]]&gt;0,SnapshotTable[[#This Row],[LP Fill Date]]=0),"Y","")</f>
        <v/>
      </c>
      <c r="BP41" s="31" t="str">
        <f>IF(AND(SnapshotTable[[#This Row],[LP No Fill]]&lt;&gt;"Y",SnapshotTable[[#This Row],[LP Contract Value]]&gt;0, SnapshotTable[[#This Row],[LP Qty]]&gt;0), SnapshotTable[[#This Row],[LP Contract Value]]*SnapshotTable[[#This Row],[LP Qty]]*100,"")</f>
        <v/>
      </c>
      <c r="BQ41" s="13"/>
      <c r="BR41" s="5" t="str">
        <f>IF(SnapshotTable[[#This Row],[SP Exp Date]]&lt;&gt;"",TRUNC(SnapshotTable[[#This Row],[Last Price]]),"")</f>
        <v/>
      </c>
      <c r="BS41" s="36"/>
      <c r="BT41" s="147"/>
      <c r="BU41" s="13"/>
      <c r="BV41" s="5"/>
      <c r="BW41" s="419" t="b">
        <f>AND(ISNUMBER(SnapshotTable[[#This Row],[SP Exp Date]]), ISNUMBER(SnapshotTable[[#This Row],[SP Strike Price]]), ISNUMBER(SnapshotTable[[#This Row],[SP Qty]]), ISNUMBER(SnapshotTable[[#This Row],[SP Book Date]]), ISNUMBER(SnapshotTable[[#This Row],[SP Book Price]]))</f>
        <v>0</v>
      </c>
      <c r="BX41" s="419" t="b">
        <f>AND(SnapshotTable[[#This Row],[SP Is Booked]], NOT(ISBLANK(SnapshotTable[[#This Row],[SP Fill Date]])))</f>
        <v>0</v>
      </c>
      <c r="BY41" s="33">
        <f>IF(SnapshotTable[[#This Row],[SP Is Booked]], SnapshotTable[[#This Row],[SP Qty]] * SnapshotTable[[#This Row],[SP Book Price]] * 100, 0)</f>
        <v>0</v>
      </c>
      <c r="BZ41" s="369"/>
      <c r="CA41" s="368">
        <f>SnapshotTable[[#This Row],[LP Qty]]</f>
        <v>0</v>
      </c>
      <c r="CB41" s="4" t="str">
        <f>IF(SnapshotTable[[#This Row],[SP Is Booked]], SnapshotTable[[#This Row],[SP Strike Price]] - SnapshotTable[[#This Row],[SP Book Price]], "")</f>
        <v/>
      </c>
      <c r="CC41" s="19" t="str">
        <f>IF(SnapshotTable[[#This Row],[SP Is Booked]],SnapshotTable[[#This Row],[SP Exp Date]]-MAX(SnapshotTable[[#This Row],[SP Book Date]], SnapshotTable[[#This Row],[SP Fill Date]]),"")</f>
        <v/>
      </c>
      <c r="CD41" s="7" t="str">
        <f>IF(SnapshotTable[[#This Row],[SP Is Booked]], SnapshotTable[[#This Row],[SP Book Price]]/SnapshotTable[[#This Row],[SP Strike Price]], "")</f>
        <v/>
      </c>
      <c r="CE41" s="7" t="str">
        <f>IF(ISNUMBER(SnapshotTable[[#This Row],[SP ROO Term]]),SnapshotTable[[#This Row],[SP ROO Term]]*(365/SnapshotTable[[#This Row],[SP Term]]),"")</f>
        <v/>
      </c>
      <c r="CF41" s="236">
        <f>SnapshotTable[[#This Row],[LP Strike Price]] * SnapshotTable[[#This Row],[LP Qty]] * 100</f>
        <v>0</v>
      </c>
      <c r="CG41" s="31" t="e">
        <f>IF(ISNUMBER(SnapshotTable[[#This Row],[SP Premium]]), (SnapshotTable[[#This Row],[SP Qty]] * SnapshotTable[[#This Row],[SP Strike Price]]* 100) - SnapshotTable[[#This Row],[LP Protection]], 0)</f>
        <v>#VALUE!</v>
      </c>
      <c r="CH41" s="7" t="str">
        <f>IF(ISNUMBER(SnapshotTable[[#This Row],[SP Break Even]]),-1 * (SnapshotTable[[#This Row],[SP Break Even]] - SnapshotTable[[#This Row],[Last Price]]) / SnapshotTable[[#This Row],[Last Price]], "")</f>
        <v/>
      </c>
      <c r="CI41" s="31">
        <f>IF(AND(ISNUMBER((SnapshotTable[[#This Row],[SP Potential Spend]])), SnapshotTable[[#This Row],[SP Strike Price]] &gt; SnapshotTable[[#This Row],[Last Price]], SnapshotTable[[#This Row],[SP Is Filled]]), SnapshotTable[[#This Row],[SP Potential Spend]] -  SnapshotTable[[#This Row],[LP Max Value]], 0)</f>
        <v>0</v>
      </c>
      <c r="CJ41" s="244">
        <v>0.01</v>
      </c>
      <c r="CK41" s="31" t="str">
        <f>IF(ISNUMBER(SnapshotTable[[#This Row],[SP Potential Spend]]),IF(ISNUMBER(SnapshotTable[[#This Row],[SP POW]]), SnapshotTable[[#This Row],[SP POW]] * SnapshotTable[[#This Row],[SP Potential Spend]], SnapshotTable[[#This Row],[SP Potential Spend]]), "")</f>
        <v/>
      </c>
      <c r="CL41" s="164" t="e">
        <f>IF(NOT(SnapshotTable[[#This Row],[SP Is Filled]]),(SnapshotTable[[#This Row],[SP Qty]] * SnapshotTable[[#This Row],[SP Strike Price]] * 100) - SnapshotTable[[#This Row],[LP Max Value]],"")</f>
        <v>#VALUE!</v>
      </c>
      <c r="CM41" s="31" t="str">
        <f>IF(SnapshotTable[[#This Row],[SP Actual Spend]]&lt;&gt;0, ((SnapshotTable[[#This Row],[SP Strike Price]]-SnapshotTable[[#This Row],[Last Price]]) *(SnapshotTable[[#This Row],[SP Qty]]*100) - SnapshotTable[[#This Row],[SP Premium]]) * - 1, "")</f>
        <v/>
      </c>
      <c r="CN41" s="78"/>
      <c r="CO41" s="369"/>
      <c r="CP41" s="4" t="str">
        <f>IF(SnapshotTable[[#This Row],[SP Is Filled]], btc_max_buyback_amount(SnapshotTable[[#This Row],[SP Fill Date]],SnapshotTable[[#This Row],[SP Exp Date]], SnapshotTable[[#This Row],[SP Book Price]]),"")</f>
        <v/>
      </c>
      <c r="CQ41" s="78"/>
      <c r="CR4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 s="155" t="str">
        <f>IF(SnapshotTable[[#This Row],[SP Is Filled]], btc_next_cutoff_date(SnapshotTable[[#This Row],[SP Fill Date]],SnapshotTable[[#This Row],[SP Exp Date]]),"")</f>
        <v/>
      </c>
      <c r="CT41" s="235" t="str" cm="1">
        <f t="array" ref="CT41">IF(SnapshotTable[[#This Row],[SP Is Filled]], btc_should_buy_back(SnapshotTable[[#This Row],[SP Fill Date]], SnapshotTable[[#This Row],[SP Exp Date]], SnapshotTable[[#This Row],[SP Book Price]], SnapshotTable[[#This Row],[SP Current Ask]], MockToday, SnapshotTable[[#This Row],[SP Buyback Override]]),"")</f>
        <v/>
      </c>
      <c r="CU41" s="143"/>
      <c r="CV41" s="235"/>
      <c r="CW41" s="378" t="str">
        <f>IF(ISNUMBER( SnapshotTable[[#This Row],[SP Term]]), SnapshotTable[[#This Row],[SP Exp Date]] - MockToday,"")</f>
        <v/>
      </c>
      <c r="CX41" s="31" t="str">
        <f>IF(SnapshotTable[[#This Row],[SP Is Filled]],SnapshotTable[[#This Row],[SP Buyback Price to Use]] * 100 * SnapshotTable[[#This Row],[SP Qty]], "")</f>
        <v/>
      </c>
      <c r="CY41" s="4" t="str">
        <f>IF(ISNUMBER(SnapshotTable[[#This Row],[SP Strike Price]]), SnapshotTable[[#This Row],[SP Strike Price]] * (1 - SP_MaxLoss_StrikePct), "")</f>
        <v/>
      </c>
      <c r="CZ41" s="31" t="str">
        <f>IF(ISNUMBER(SnapshotTable[[#This Row],[SP Strike  Stop Per Share]]),SnapshotTable[[#This Row],[SP Premium]] - ((SnapshotTable[[#This Row],[SP Strike Price]]-SnapshotTable[[#This Row],[SP Strike  Stop Per Share]]) *(SnapshotTable[[#This Row],[SP Qty]] * 100)),"")</f>
        <v/>
      </c>
      <c r="DA41" s="4" t="str">
        <f>IF(AND(ISNUMBER(SnapshotTable[[#This Row],[SP Premium]]),SnapshotTable[[#This Row],[SP Premium]]&gt;0), SnapshotTable[[#This Row],[SP Book Price]] * (1 + SP_MaxLoss_OptionPct), "")</f>
        <v/>
      </c>
      <c r="DB41" s="31" t="str">
        <f>IF(ISNUMBER(SnapshotTable[[#This Row],[SP Option  Stop Contract]]),(SnapshotTable[[#This Row],[SP Option  Stop Contract]] *(SnapshotTable[[#This Row],[SP Qty]] * 100) - SnapshotTable[[#This Row],[SP Premium]]),"")</f>
        <v/>
      </c>
      <c r="DC41" s="4"/>
      <c r="DD41" s="4"/>
      <c r="DE41" s="4" t="str">
        <f>IF(AND(SnapshotTable[[#This Row],[SP Qty]]&gt;0, SnapshotTable[[#This Row],[SP Stop To Use]]&gt;0),SnapshotTable[[#This Row],[SP Premium]] - ( SnapshotTable[[#This Row],[SP Qty]] * SnapshotTable[[#This Row],[SP Stop To Use]] * 100), "")</f>
        <v/>
      </c>
      <c r="DF41" s="31" t="str">
        <f>IF(AND(SnapshotTable[[#This Row],[SP Qty]]&gt;0,SnapshotTable[[#This Row],[SP Current Ask]]&gt;0), SnapshotTable[[#This Row],[SP Qty]] * SnapshotTable[[#This Row],[SP Current Ask]] * -100, "")</f>
        <v/>
      </c>
      <c r="DG41" s="31" t="str">
        <f>IF(ISNUMBER((SnapshotTable[[#This Row],[SP Total Value]])), SnapshotTable[[#This Row],[SP Premium]] + SnapshotTable[[#This Row],[SP Total Value]], "")</f>
        <v/>
      </c>
      <c r="DH41" s="294" t="str">
        <f>IF(ISNUMBER((SnapshotTable[[#This Row],[SP Total Value]])), SnapshotTable[[#This Row],[SP Gain Loss]] / SnapshotTable[[#This Row],[SP Premium]], "")</f>
        <v/>
      </c>
      <c r="DI41" s="406"/>
      <c r="DJ41" s="138"/>
      <c r="DK41" s="148"/>
      <c r="DL41" s="13"/>
      <c r="DM41" s="13"/>
      <c r="DN41" s="5"/>
      <c r="DO41" s="31">
        <f>IF(SnapshotTable[[#This Row],[LC Symbol Count]]=1, SnapshotTable[[#This Row],[LC Qty]] * SnapshotTable[[#This Row],[LC Book Price]] * 100, 0)</f>
        <v>0</v>
      </c>
      <c r="DP41" s="163" t="str">
        <f>IF(AND(SnapshotTable[[#This Row],[LC Exp Date]]&gt;0, SnapshotTable[[#This Row],[LC Strike Price]]&gt;0,SnapshotTable[[#This Row],[LC Qty]]&gt;0,SnapshotTable[[#This Row],[LC Book Date]]&gt;0,SnapshotTable[[#This Row],[LC Book Price]]&gt;0,SnapshotTable[[#This Row],[LC Fill Date]]=0),"Y","")</f>
        <v/>
      </c>
      <c r="DQ41" s="386" t="str">
        <f>IF(SnapshotTable[[#This Row],[LC Premium]] &gt; 0,SnapshotTable[[#This Row],[LC Exp Date]]-MAX(SnapshotTable[[#This Row],[LC Book Date]], SnapshotTable[[#This Row],[LC Fill Date]]),"")</f>
        <v/>
      </c>
      <c r="DR41" s="386" t="str">
        <f>IF(ISNUMBER(SnapshotTable[[#This Row],[LC Term]]), SnapshotTable[[#This Row],[LC Exp Date]] - MockToday, "")</f>
        <v/>
      </c>
      <c r="DS41" s="234" t="str">
        <f>IF(SnapshotTable[[#This Row],[LC Premium]]&gt;0,SnapshotTable[[#This Row],[LC Strike Price]] + SnapshotTable[[#This Row],[LC Book Price]],"")</f>
        <v/>
      </c>
      <c r="DT41" s="5"/>
      <c r="DU41" s="9" t="str">
        <f>IF(AND(SnapshotTable[[#This Row],[LC Symbol Count]]&gt;0, SnapshotTable[[#This Row],[LC Contract Value]]&gt;0), SnapshotTable[[#This Row],[LC Contract Value]] * SnapshotTable[[#This Row],[LC Qty]] * 100, "")</f>
        <v/>
      </c>
      <c r="DV41" s="9" t="str">
        <f>IF(AND(ISNUMBER(SnapshotTable[[#This Row],[LC Total Value]]), SnapshotTable[[#This Row],[LC Not Filled]]&lt;&gt;"Y"), SnapshotTable[[#This Row],[LC Total Value]]-SnapshotTable[[#This Row],[LC Premium]],"")</f>
        <v/>
      </c>
      <c r="DW41" s="240" t="str">
        <f>IF(ISNUMBER(SnapshotTable[[#This Row],[LC Actual Gain Loss]]), SnapshotTable[[#This Row],[LC Actual Gain Loss]] / SnapshotTable[[#This Row],[LC Premium]],"")</f>
        <v/>
      </c>
      <c r="DX41" s="284" t="str">
        <f>IF(ISNUMBER(SnapshotTable[[#This Row],[LC Book Price]]),SnapshotTable[[#This Row],[LC Book Price]] * 1.5,"")</f>
        <v/>
      </c>
      <c r="DY41" s="265" t="str">
        <f>IF(SnapshotTable[[#This Row],[LC Premium]]&gt;0, SnapshotTable[[#This Row],[LC Next Target]] * SnapshotTable[[#This Row],[LC Qty]] * 100,"")</f>
        <v/>
      </c>
      <c r="DZ41" s="265" t="str">
        <f>IF(ISNUMBER(SnapshotTable[[#This Row],[LC Target Gross]]), SnapshotTable[[#This Row],[LC Target Gross]] - SnapshotTable[[#This Row],[LC Premium]], "")</f>
        <v/>
      </c>
      <c r="EA41" s="305" t="str">
        <f>IF(ISNUMBER(SnapshotTable[[#This Row],[LC Target Gain Loss]]), SnapshotTable[[#This Row],[LC Target Gain Loss]]/SnapshotTable[[#This Row],[LC Premium]], "")</f>
        <v/>
      </c>
      <c r="EB41" s="262"/>
      <c r="EC41" s="283" t="str">
        <f>IF(SnapshotTable[[#This Row],[LC Premium]]&gt;0, SnapshotTable[[#This Row],[LC Book Price]] * (1 - LC_StopLoss_Pct),"")</f>
        <v/>
      </c>
      <c r="ED41" s="284"/>
      <c r="EE41" s="283" t="str">
        <f>IF(ISNUMBER(SnapshotTable[[#This Row],[LC Contract Value]]),IF(ISNUMBER(SnapshotTable[[#This Row],[LC Stop Loss Override]]), SnapshotTable[[#This Row],[LC Stop Loss Override]],SnapshotTable[[#This Row],[LC Stop Loss Calc Target]]),"")</f>
        <v/>
      </c>
      <c r="EF41" s="31" t="str">
        <f>IF(ISNUMBER(SnapshotTable[[#This Row],[LC Stop  To Use]]), (SnapshotTable[[#This Row],[LC Stop  To Use]] * SnapshotTable[[#This Row],[LC Qty]] * 100),"")</f>
        <v/>
      </c>
      <c r="EG41" s="9" t="str">
        <f>IF(ISNUMBER(SnapshotTable[[#This Row],[LC Total Value]]),SnapshotTable[[#This Row],[LC Stop Loss Amount]] - SnapshotTable[[#This Row],[LC Premium]],"")</f>
        <v/>
      </c>
      <c r="EH41" s="9">
        <f>IF(ISNUMBER(SnapshotTable[[#This Row],[LC Premium]]), SnapshotTable[[#This Row],[LC Qty]] * 100 * SnapshotTable[[#This Row],[LC Strike Price]], "")</f>
        <v>0</v>
      </c>
      <c r="EI41" s="240" t="str">
        <f>IF(AND(ISNUMBER(SnapshotTable[[#This Row],[LC Total Value]]),SnapshotTable[[#This Row],[LC Total Value]]&gt;0),SnapshotTable[[#This Row],[LC Stop Gain Loss]]  / SnapshotTable[[#This Row],[LC Premium]],"")</f>
        <v/>
      </c>
      <c r="EJ41" s="35">
        <f>IF(ISNUMBER(SnapshotTable[[#This Row],[Equity Shares]]),TRUNC(SnapshotTable[[#This Row],[Equity Shares]] / 100),0) + SnapshotTable[[#This Row],[LC Qty]]</f>
        <v>0</v>
      </c>
      <c r="EK41" s="147"/>
      <c r="EL41" s="138" t="str">
        <f>IF(SnapshotTable[[#This Row],[SC Exp Date]]&lt;&gt;"",TRUNC(SnapshotTable[[#This Row],[Last Price]]),"")</f>
        <v/>
      </c>
      <c r="EM41" s="148"/>
      <c r="EN41" s="147"/>
      <c r="EO41" s="147"/>
      <c r="EP41" s="138"/>
      <c r="EQ41" s="419" t="b">
        <f>AND(ISNUMBER(SnapshotTable[[#This Row],[SC Exp Date]]), ISNUMBER(SnapshotTable[[#This Row],[SC Strike Price]]), ISNUMBER(SnapshotTable[[#This Row],[SC Qty]]), ISNUMBER(SnapshotTable[[#This Row],[SC Book Date]]), ISNUMBER(SnapshotTable[[#This Row],[SC Book Price]]))</f>
        <v>0</v>
      </c>
      <c r="ER41" s="419" t="b">
        <f>AND(SnapshotTable[[#This Row],[SC Is Booked]], NOT(ISBLANK(SnapshotTable[[#This Row],[SC Fill Date]])))</f>
        <v>0</v>
      </c>
      <c r="ES41" s="370"/>
      <c r="ET41" s="34" t="str">
        <f>IF(AND(ISNUMBER(SnapshotTable[[#This Row],[SC Exp Date]]), ISNUMBER(SnapshotTable[[#This Row],[SC Book Date]])), SnapshotTable[[#This Row],[SC Exp Date]] - MAX(SnapshotTable[[#This Row],[SC Book Date]], SnapshotTable[[#This Row],[SC Fill Date]]) + 1, "")</f>
        <v/>
      </c>
      <c r="EU41" s="34" t="str">
        <f>IF(ISNUMBER(SnapshotTable[[#This Row],[SC Term]]), SnapshotTable[[#This Row],[SC Exp Date]]- MockToday, "")</f>
        <v/>
      </c>
      <c r="EV41" s="31">
        <f>IF(SnapshotTable[[#This Row],[SC Is Booked]], SnapshotTable[[#This Row],[SC Qty]] * SnapshotTable[[#This Row],[SC Book Price]] * 100, 0)</f>
        <v>0</v>
      </c>
      <c r="EW41" s="4" t="str">
        <f>IF(AND(ISNUMBER(SnapshotTable[[#This Row],[Last Price]]), ISNUMBER( SnapshotTable[[#This Row],[SC Book Price]])), SnapshotTable[[#This Row],[Last Price]] - SnapshotTable[[#This Row],[SC Book Price]],"")</f>
        <v/>
      </c>
      <c r="EX41" s="234" t="str">
        <f>IF(SnapshotTable[[#This Row],[SC Is Booked]],IF(SnapshotTable[[#This Row],[SC Intrinsic Value]] &gt; 0, SnapshotTable[[#This Row],[SC Strike Price]], SnapshotTable[[#This Row],[Last Price]]), "")</f>
        <v/>
      </c>
      <c r="EY41" s="4">
        <f>IF(SnapshotTable[[#This Row],[SC Is Booked]], (MinimumPremiumRequired * SnapshotTable[[#This Row],[SC Basis]] * SnapshotTable[[#This Row],[SC Term]]), 0)</f>
        <v>0</v>
      </c>
      <c r="EZ41" s="283"/>
      <c r="FA41" s="218"/>
      <c r="FB41" s="370"/>
      <c r="FC41" s="4">
        <f>IF(SnapshotTable[[#This Row],[SC Is Filled]], btc_max_buyback_amount(SnapshotTable[[#This Row],[SC Fill Date]],SnapshotTable[[#This Row],[SC Exp Date]], SnapshotTable[[#This Row],[SC Book Price]]),0)</f>
        <v>0</v>
      </c>
      <c r="FD41" s="5"/>
      <c r="FE41" s="144" t="str">
        <f>IF(SnapshotTable[[#This Row],[SC Is Filled]], btc_next_cutoff_date(SnapshotTable[[#This Row],[SC Fill Date]],SnapshotTable[[#This Row],[SC Exp Date]]),"")</f>
        <v/>
      </c>
      <c r="FF41" s="4" t="str" cm="1">
        <f t="array" ref="FF41">IF(SnapshotTable[[#This Row],[SC Is Filled]], btc_should_buy_back(SnapshotTable[[#This Row],[SC Fill Date]], SnapshotTable[[#This Row],[SC Exp Date]], SnapshotTable[[#This Row],[SC Book Price]], SnapshotTable[[#This Row],[SC Current Ask]], MockToday, SnapshotTable[[#This Row],[SC Buyback Override]]),"")</f>
        <v/>
      </c>
      <c r="FG41" s="4">
        <f>IF(SnapshotTable[[#This Row],[SC Is Filled]], MAX(0,SnapshotTable[[#This Row],[Last Price]]  - SnapshotTable[[#This Row],[SC Strike Price]]), 0)</f>
        <v>0</v>
      </c>
      <c r="FH41" s="382">
        <f>IF(SnapshotTable[[#This Row],[SC Is Filled]], IF(ISNUMBER(SnapshotTable[[#This Row],[SC Current Ask]]), SnapshotTable[[#This Row],[SC Current Ask]], SnapshotTable[[#This Row],[SC Book Price]]) - SnapshotTable[[#This Row],[SC Intrinsic Value]], 0)</f>
        <v>0</v>
      </c>
      <c r="FI41" s="143"/>
      <c r="FJ41" s="32" t="str">
        <f>IF(SnapshotTable[[#This Row],[SC Is Filled]],100 * SnapshotTable[[#This Row],[SC Qty]] * IF(ISNUMBER(SnapshotTable[[#This Row],[SC Buyback Override]]), SnapshotTable[[#This Row],[SC Buyback Override]], SnapshotTable[[#This Row],[SC Current Ask]]), "")</f>
        <v/>
      </c>
      <c r="FK41" s="250" t="str">
        <f>IF(SnapshotTable[[#This Row],[SC Time Val]]&gt;0, SnapshotTable[[#This Row],[SC Time Val]] / SnapshotTable[[#This Row],[Last Price]],"")</f>
        <v/>
      </c>
      <c r="FL41" s="302" t="str">
        <f>IF(SnapshotTable[[#This Row],[SC Is Booked]], ((SnapshotTable[[#This Row],[Last Price]] -SnapshotTable[[#This Row],[SC Strike Price]]) / SnapshotTable[[#This Row],[Last Price]]) * -1, "")</f>
        <v/>
      </c>
      <c r="FM41" s="157" t="str">
        <f>IF(SnapshotTable[[#This Row],[SC Is Booked]],  (SnapshotTable[[#This Row],[SC Qty]] * 100 * SnapshotTable[[#This Row],[SC Strike Price]]) - SnapshotTable[[#This Row],[SC Current Ask]], "")</f>
        <v/>
      </c>
      <c r="FN4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 s="31" t="str">
        <f>IF(AND(ISNUMBER(SnapshotTable[[#This Row],[SC Exercise Gross]]), ISNUMBER(SnapshotTable[[#This Row],[Equity Basis Per Share]] )), SnapshotTable[[#This Row],[SC Exercise Gross]] - SnapshotTable[[#This Row],[Equity Basis Total]] +  SnapshotTable[[#This Row],[SC Premium]], "")</f>
        <v/>
      </c>
      <c r="FP41" s="5" t="str">
        <f>IF(ISNUMBER(SnapshotTable[[#This Row],[SC Exercise Gross]]), (SnapshotTable[[#This Row],[SC Exercise Gross]]) / (SnapshotTable[[#This Row],[SC Qty]] * 100), "")</f>
        <v/>
      </c>
      <c r="FQ41" s="27" t="str">
        <f>IF(SnapshotTable[[#This Row],[SC Is Booked]],SnapshotTable[[#This Row],[SC Time Val]] /SnapshotTable[[#This Row],[SC Basis]], "")</f>
        <v/>
      </c>
      <c r="FR41" s="27" t="str" cm="1">
        <f t="array" ref="FR41">IF(AND(ISNUMBER(SnapshotTable[[#This Row],[SC Term]]),ISNUMBER(SnapshotTable[[#This Row],[SC Simple ROO]])), EllmanAnnualize(SnapshotTable[[#This Row],[SC DTE]], SnapshotTable[[#This Row],[SC Simple ROO]] ),"")</f>
        <v/>
      </c>
      <c r="FS41" s="4" t="e">
        <f>IF(SnapshotTable[[#This Row],[SC Strike Price]] &gt; SnapshotTable[[#This Row],[Last Price]], SnapshotTable[[#This Row],[SC Strike Price]] - SnapshotTable[[#This Row],[Last Price]],0)</f>
        <v>#VALUE!</v>
      </c>
      <c r="FT41" s="27" t="e">
        <f>IF(AND(ISNUMBER(SnapshotTable[[#This Row],[SC Upside Potential]]), SnapshotTable[[#This Row],[SC Upside Potential]] &gt; 0),(SnapshotTable[[#This Row],[SC Upside Potential]]/ SnapshotTable[[#This Row],[ACB]]),"")</f>
        <v>#VALUE!</v>
      </c>
      <c r="FU41" s="333" t="str">
        <f>IF(SnapshotTable[[#This Row],[SC Intrinsic Value]] &gt; 0,SnapshotTable[[#This Row],[SC Intrinsic Value]],"")</f>
        <v/>
      </c>
      <c r="FV41" s="27" t="str">
        <f>IF(AND( ISNUMBER( SnapshotTable[[#This Row],[ACB]]),ISNUMBER(SnapshotTable[[#This Row],[SC Downside Protect]])),SnapshotTable[[#This Row],[SC Downside Protect]] / SnapshotTable[[#This Row],[ACB]],"")</f>
        <v/>
      </c>
      <c r="FW41" s="236" t="str">
        <f>IF(AND(ISNUMBER(SnapshotTable[[#This Row],[SC Simple ROO]]),SnapshotTable[[#This Row],[SC Simple ROO]] &gt; 0), SnapshotTable[[#This Row],[SC Premium]] + (SnapshotTable[[#This Row],[SC Qty]] * SnapshotTable[[#This Row],[SC Upside Potential]]), "")</f>
        <v/>
      </c>
      <c r="FX41" s="302" t="str" cm="1">
        <f t="array" ref="FX41">IF(ISNUMBER(SnapshotTable[[#This Row],[SC Max Dollars]]), annualize(SnapshotTable[[#This Row],[SC Term]],(SnapshotTable[[#This Row],[SC Max Dollars]]/SnapshotTable[[#This Row],[SC Basis]])),"")</f>
        <v/>
      </c>
      <c r="FY41" s="236" t="str">
        <f>IF(AND(SnapshotTable[[#This Row],[SC Qty]]&gt;0,SnapshotTable[[#This Row],[SC Current Ask]]&gt;0), SnapshotTable[[#This Row],[SC Qty]] * SnapshotTable[[#This Row],[SC Current Ask]] * -100, "")</f>
        <v/>
      </c>
      <c r="FZ41" s="31" t="str">
        <f>IF(ISNUMBER((SnapshotTable[[#This Row],[SC Current Value]])), SnapshotTable[[#This Row],[SC Premium]] + SnapshotTable[[#This Row],[SC Current Value]], "")</f>
        <v/>
      </c>
      <c r="GA41" s="294" t="str">
        <f>IFERROR( IF(ISNUMBER((SnapshotTable[[#This Row],[SC Current Value]])), SnapshotTable[[#This Row],[SC Gain Loss]] / SnapshotTable[[#This Row],[SC Premium]], ""), "")</f>
        <v/>
      </c>
      <c r="GB41" s="42">
        <f>SnapshotTable[[#This Row],[Equity Shares]] * SaleSharesToConsiderPercentage</f>
        <v>0</v>
      </c>
      <c r="GC41" s="40">
        <f>SnapshotTable[[#This Row],[Long Term Target]] * SellingPriceToConsiderBasedOnTargetPercentage</f>
        <v>0</v>
      </c>
      <c r="GD41" s="40">
        <f>SnapshotTable[[#This Row],[Last Price]] * (1+ SellingPriceToConsiderBasedOnTargetPercentage)</f>
        <v>120.80250000000001</v>
      </c>
      <c r="GE41" s="41"/>
      <c r="GF41" s="40"/>
      <c r="GG41" s="31">
        <f>SnapshotTable[[#This Row],[Booked Sale Shares]] * SnapshotTable[[#This Row],[Booked Sale Price]]</f>
        <v>0</v>
      </c>
      <c r="GH41" s="31" t="str">
        <f>IF(SnapshotTable[[#This Row],[Equity Basis Total]] &gt; 0, SnapshotTable[[#This Row],[Equity Basis Per Share]] * SnapshotTable[[#This Row],[Booked Sale Shares]], "")</f>
        <v/>
      </c>
      <c r="GI41" s="31">
        <f>IF(SnapshotTable[[#This Row],[Sale Proceeds]]&gt;0, SnapshotTable[[#This Row],[Sale Proceeds]] - SnapshotTable[[#This Row],[Sale Basis]], 0)</f>
        <v>0</v>
      </c>
      <c r="GJ41" s="27" t="str">
        <f>IF(SnapshotTable[[#This Row],[Sale G/L]]&gt;0, SnapshotTable[[#This Row],[Sale G/L]] / SnapshotTable[[#This Row],[Sale Basis]], IF(ISNUMBER(SnapshotTable[[#This Row],[SC Exercise P&amp;L (TAX)]]), SnapshotTable[[#This Row],[SC Exercise P&amp;L (TAX)]] / SnapshotTable[[#This Row],[SC Basis]], ""))</f>
        <v/>
      </c>
      <c r="GK41" s="27"/>
      <c r="GL41" s="43" t="str">
        <f>IF(AND(SnapshotTable[[#This Row],[LP Exp Date]]&gt;0,SnapshotTable[[#This Row],[LP Strike Price]]&gt;0), [1]!ToOptionSymbol(SnapshotTable[[#This Row],[Symbol]], SnapshotTable[[#This Row],[LP Strike Price]],SnapshotTable[[#This Row],[LP Exp Date]],1), "")</f>
        <v/>
      </c>
      <c r="GM41" s="30" t="str">
        <f>IF(LEN(SnapshotTable[[#This Row],[LP Symbol]])&gt;0, 1, "")</f>
        <v/>
      </c>
      <c r="GN41" s="43" t="str">
        <f>IF(AND(SnapshotTable[[#This Row],[SP Exp Date]]&gt;0,SnapshotTable[[#This Row],[SP Strike Price]]&gt;0), [1]!ToOptionSymbol(SnapshotTable[[#This Row],[Symbol]], SnapshotTable[[#This Row],[SP Strike Price]],SnapshotTable[[#This Row],[SP Exp Date]],1), "")</f>
        <v/>
      </c>
      <c r="GO41" s="30" t="str">
        <f>IF(LEN(SnapshotTable[[#This Row],[SP Symbol]])&gt;0, 1, "")</f>
        <v/>
      </c>
      <c r="GP41" s="43" t="str">
        <f>IF(AND(SnapshotTable[[#This Row],[LC Exp Date]]&gt;0,SnapshotTable[[#This Row],[LC Strike Price]]&gt;0), [1]!ToOptionSymbol(SnapshotTable[[#This Row],[Symbol]], SnapshotTable[[#This Row],[LC Strike Price]],SnapshotTable[[#This Row],[LC Exp Date]],0), "")</f>
        <v/>
      </c>
      <c r="GQ41" s="30" t="str">
        <f>IF(LEN(SnapshotTable[[#This Row],[LC Symbol]])&gt;0, 1, "")</f>
        <v/>
      </c>
      <c r="GR41" s="43" t="str">
        <f>IF(AND(SnapshotTable[[#This Row],[SC Exp Date]]&gt;0,SnapshotTable[[#This Row],[SC Strike Price]]&gt;0), [1]!ToOptionSymbol(SnapshotTable[[#This Row],[Symbol]], SnapshotTable[[#This Row],[SC Strike Price]],SnapshotTable[[#This Row],[SC Exp Date]],0), "")</f>
        <v/>
      </c>
      <c r="GS41" s="30" t="str">
        <f>IF(LEN(SnapshotTable[[#This Row],[SC Symbol]])&gt;0, 1, "")</f>
        <v/>
      </c>
      <c r="GT41" s="29" t="str">
        <f>IF(COUNT(SnapshotTable[[#This Row],[LP Symbol Count]],SnapshotTable[[#This Row],[SP Symbol Count]],SnapshotTable[[#This Row],[LC Symbol Count]],SnapshotTable[[#This Row],[SC Symbol Count]])&gt;0, "Y", "")</f>
        <v/>
      </c>
      <c r="GU4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 s="231" t="e">
        <f>MAX(SnapshotTable[[#This Row],[Equity Basis Total]],SnapshotTable[[#This Row],[Equity Value]]) + (SnapshotTable[[#This Row],[SP Potential Spend]]- SnapshotTable[[#This Row],[SP Premium]] + SnapshotTable[[#This Row],[LP Premium]])+ (SnapshotTable[[#This Row],[LC Premium]] - SnapshotTable[[#This Row],[SC Premium]])</f>
        <v>#VALUE!</v>
      </c>
      <c r="GW41" s="139" t="e">
        <f>IF(AND(SnapshotTable[[#This Row],[Exposure]] &lt;&gt; 0),SnapshotTable[[#This Row],[Exposure]] / SnapshotTable[[#Totals],[Exposure]], "")</f>
        <v>#VALUE!</v>
      </c>
      <c r="GY41" s="381"/>
      <c r="HE41" s="268"/>
      <c r="HF41" s="268"/>
      <c r="HG41" s="381"/>
      <c r="HH41" s="381"/>
      <c r="HI41" s="381"/>
      <c r="HJ41" s="381"/>
    </row>
    <row r="42" spans="2:224" s="47" customFormat="1" ht="12.75" hidden="1" customHeight="1" x14ac:dyDescent="0.25">
      <c r="B42" s="12" t="s">
        <v>100</v>
      </c>
      <c r="C42" s="422">
        <v>84.19</v>
      </c>
      <c r="D42" s="208" t="s">
        <v>587</v>
      </c>
      <c r="E42" s="39">
        <f>SnapshotTable[[#This Row],[Last Price]]*(1 -CrashDiscount)</f>
        <v>71.561499999999995</v>
      </c>
      <c r="F42" s="26" t="s">
        <v>1043</v>
      </c>
      <c r="G42" s="26" t="s">
        <v>606</v>
      </c>
      <c r="H42" s="149"/>
      <c r="I42" s="194">
        <v>44767.3125</v>
      </c>
      <c r="J42" s="195">
        <v>44767.3125</v>
      </c>
      <c r="K42" s="196"/>
      <c r="L42" s="326"/>
      <c r="M42" s="140"/>
      <c r="N42" s="140"/>
      <c r="O42" s="140"/>
      <c r="P42" s="22"/>
      <c r="Q42" s="25"/>
      <c r="R42" s="4" t="str">
        <f>IF(SnapshotTable[[#This Row],[Equity Basis Total]] &gt; 0, SnapshotTable[[#This Row],[Equity Basis Total]] / SnapshotTable[[#This Row],[Equity Shares]], "")</f>
        <v/>
      </c>
      <c r="S42" s="269">
        <f>SnapshotTable[[#This Row],[Last Price]] * SnapshotTable[[#This Row],[Equity Shares]]</f>
        <v>0</v>
      </c>
      <c r="T42" s="269">
        <f>SnapshotTable[[#This Row],[Equity Value]] - SnapshotTable[[#This Row],[Equity Basis Total]]</f>
        <v>0</v>
      </c>
      <c r="U42" s="270" t="str">
        <f>IF(SnapshotTable[[#This Row],[Equity Basis Total]] &gt; 0, SnapshotTable[[#This Row],[Equity G/L]] / SnapshotTable[[#This Row],[Equity Basis Total]], "")</f>
        <v/>
      </c>
      <c r="V42" s="268"/>
      <c r="W42" s="268"/>
      <c r="X42" s="4" t="str">
        <f>IF(AND(ISNUMBER(SnapshotTable[[#This Row],[Equity Basis Per Share]]),ISNUMBER(SnapshotTable[[#This Row],[Equity Target]])),SnapshotTable[[#This Row],[Equity Target]]-SnapshotTable[[#This Row],[Equity Basis Per Share]],"")</f>
        <v/>
      </c>
      <c r="Y42" s="4" t="str">
        <f>IF(AND(ISNUMBER(SnapshotTable[[#This Row],[Equity Basis Per Share]]),ISNUMBER(SnapshotTable[[#This Row],[Equity Stop Loss]])),SnapshotTable[[#This Row],[Equity Stop Loss]]-SnapshotTable[[#This Row],[Equity Basis Per Share]],"")</f>
        <v/>
      </c>
      <c r="Z42" s="275" t="str">
        <f>IFERROR( TEXT(SnapshotTable[[#This Row],[Equity Max Gain Per Share]] /ABS( SnapshotTable[[#This Row],[Equity Max Loss Per Share]]),"0.0 " ) &amp; " : 1", "")</f>
        <v/>
      </c>
      <c r="AA42" s="31" t="str">
        <f>IF(ISNUMBER(SnapshotTable[[#This Row],[Equity Max Gain Per Share]]),SnapshotTable[[#This Row],[Equity Max Gain Per Share]] * SnapshotTable[[#This Row],[Equity Shares]],"")</f>
        <v/>
      </c>
      <c r="AB42" s="31" t="str">
        <f>IF(ISNUMBER(SnapshotTable[[#This Row],[Equity Max Loss Per Share]]),SnapshotTable[[#This Row],[Equity Max Loss Per Share]] * SnapshotTable[[#This Row],[Equity Shares]],"")</f>
        <v/>
      </c>
      <c r="AC42" s="150">
        <v>1.44</v>
      </c>
      <c r="AD42" s="151">
        <v>43957</v>
      </c>
      <c r="AE42" s="31">
        <f>(SnapshotTable[[#This Row],[Annual Dividend Per Share]] / 4) * SnapshotTable[[#This Row],[Equity Shares]]</f>
        <v>0</v>
      </c>
      <c r="AF42" s="31">
        <f>SnapshotTable[[#This Row],[Quarterly Div $]] * 4</f>
        <v>0</v>
      </c>
      <c r="AG42" s="7">
        <f>IF(SnapshotTable[[#This Row],[Annual Dividend Per Share]]&gt;0, SnapshotTable[[#This Row],[Annual Dividend Per Share]]  / SnapshotTable[[#This Row],[Last Price]], 0)</f>
        <v>1.7104169141228174E-2</v>
      </c>
      <c r="AH42" s="151">
        <v>43935</v>
      </c>
      <c r="AI42" s="5"/>
      <c r="AJ42" s="138">
        <v>111.48</v>
      </c>
      <c r="AK42" s="152" t="str">
        <f>IF(ISNUMBER( SnapshotTable[[#This Row],[EBF Target]]),(SnapshotTable[[#This Row],[EBF Target]] - SnapshotTable[[#This Row],[Last Price]]) / SnapshotTable[[#This Row],[Last Price]], "")</f>
        <v/>
      </c>
      <c r="AL42" s="152" t="str">
        <f>IF(AND(SnapshotTable[[#This Row],[Equity Basis Total]] &gt; 0,ISNUMBER( SnapshotTable[[#This Row],[Long Term Target]])), SnapshotTable[[#This Row],[From Basis $]] / SnapshotTable[[#This Row],[Equity Basis Total]], "")</f>
        <v/>
      </c>
      <c r="AM42" s="9">
        <f>IF( AND(SnapshotTable[[#This Row],[Equity Shares]] &gt;0,ISNUMBER( SnapshotTable[[#This Row],[Long Term Target]])),(SnapshotTable[[#This Row],[Equity Shares]] * SnapshotTable[[#This Row],[Long Term Target]]) - SnapshotTable[[#This Row],[Equity Basis Total]],0)</f>
        <v>0</v>
      </c>
      <c r="AN42" s="9">
        <f>IF( AND(SnapshotTable[[#This Row],[Equity Shares]] &gt;0,ISNUMBER( SnapshotTable[[#This Row],[Long Term Target]])),(SnapshotTable[[#This Row],[Equity Shares]]*SnapshotTable[[#This Row],[Long Term Target]]) - SnapshotTable[[#This Row],[Equity Value]],0)</f>
        <v>0</v>
      </c>
      <c r="AO42" s="152">
        <f>IF(AND(ISNUMBER( SnapshotTable[[#This Row],[Long Term Target]]), ISNUMBER(SnapshotTable[[#This Row],[Last Price]])),(SnapshotTable[[#This Row],[Long Term Target]] - SnapshotTable[[#This Row],[Last Price]]) / SnapshotTable[[#This Row],[Last Price]], "")</f>
        <v>0.32414776101674792</v>
      </c>
      <c r="AP42" s="5">
        <v>8</v>
      </c>
      <c r="AQ42" s="38" t="s">
        <v>27</v>
      </c>
      <c r="AR42" s="5">
        <v>8</v>
      </c>
      <c r="AS42" s="38" t="s">
        <v>38</v>
      </c>
      <c r="AT42" s="146" t="s">
        <v>542</v>
      </c>
      <c r="AU42" s="187" t="str">
        <f>IF(OR(SnapshotTable[[#This Row],[LP No Fill]]="Y",SnapshotTable[[#This Row],[SP Is Filled]],SnapshotTable[[#This Row],[LC Not Filled]]="Y",SnapshotTable[[#This Row],[SC Is Filled]]),"Y","")</f>
        <v/>
      </c>
      <c r="AV42" s="219"/>
      <c r="AW42" s="225"/>
      <c r="AX42" s="220"/>
      <c r="AY42" s="219"/>
      <c r="AZ42" s="219"/>
      <c r="BA42" s="331"/>
      <c r="BB42" s="347"/>
      <c r="BC4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 s="351"/>
      <c r="BE42" s="5"/>
      <c r="BF42" s="14"/>
      <c r="BG42" s="13"/>
      <c r="BH42" s="13"/>
      <c r="BI42" s="5"/>
      <c r="BJ42" s="136">
        <f>IF(SnapshotTable[[#This Row],[LP Qty]] &gt; 0, SnapshotTable[[#This Row],[LP Qty]] * SnapshotTable[[#This Row],[LP Book Price]] * 100,0)</f>
        <v>0</v>
      </c>
      <c r="BK42" s="136">
        <f>IF(SnapshotTable[[#This Row],[LP Premium]] &gt; 0, SnapshotTable[[#This Row],[LP Qty]] * SnapshotTable[[#This Row],[LP Strike Price]] * 100,0)</f>
        <v>0</v>
      </c>
      <c r="BL42" s="154"/>
      <c r="BM42" s="385" t="str">
        <f>IF(SnapshotTable[[#This Row],[LP Premium]] &gt; 0,SnapshotTable[[#This Row],[LP Exp Date]]-MAX(SnapshotTable[[#This Row],[LP Book Date]], SnapshotTable[[#This Row],[LP Fill Date]]),"")</f>
        <v/>
      </c>
      <c r="BN42" s="385" t="str">
        <f>IF(ISNUMBER( SnapshotTable[[#This Row],[LP Term]]), SnapshotTable[[#This Row],[LP Exp Date]] - MockToday,"")</f>
        <v/>
      </c>
      <c r="BO42" s="163" t="str">
        <f>IF(AND(SnapshotTable[[#This Row],[LP Exp Date]]&gt;0, SnapshotTable[[#This Row],[LP Strike Price]]&gt;0,SnapshotTable[[#This Row],[LP Qty]]&gt;0,SnapshotTable[[#This Row],[LP Book Date]]&gt;0,SnapshotTable[[#This Row],[LP Book Price]]&gt;0,SnapshotTable[[#This Row],[LP Fill Date]]=0),"Y","")</f>
        <v/>
      </c>
      <c r="BP42" s="31" t="str">
        <f>IF(AND(SnapshotTable[[#This Row],[LP No Fill]]&lt;&gt;"Y",SnapshotTable[[#This Row],[LP Contract Value]]&gt;0, SnapshotTable[[#This Row],[LP Qty]]&gt;0), SnapshotTable[[#This Row],[LP Contract Value]]*SnapshotTable[[#This Row],[LP Qty]]*100,"")</f>
        <v/>
      </c>
      <c r="BQ42" s="13"/>
      <c r="BR42" s="5" t="str">
        <f>IF(SnapshotTable[[#This Row],[SP Exp Date]]&lt;&gt;"",TRUNC(SnapshotTable[[#This Row],[Last Price]]),"")</f>
        <v/>
      </c>
      <c r="BS42" s="36"/>
      <c r="BT42" s="147"/>
      <c r="BU42" s="13"/>
      <c r="BV42" s="5"/>
      <c r="BW42" s="419" t="b">
        <f>AND(ISNUMBER(SnapshotTable[[#This Row],[SP Exp Date]]), ISNUMBER(SnapshotTable[[#This Row],[SP Strike Price]]), ISNUMBER(SnapshotTable[[#This Row],[SP Qty]]), ISNUMBER(SnapshotTable[[#This Row],[SP Book Date]]), ISNUMBER(SnapshotTable[[#This Row],[SP Book Price]]))</f>
        <v>0</v>
      </c>
      <c r="BX42" s="419" t="b">
        <f>AND(SnapshotTable[[#This Row],[SP Is Booked]], NOT(ISBLANK(SnapshotTable[[#This Row],[SP Fill Date]])))</f>
        <v>0</v>
      </c>
      <c r="BY42" s="33">
        <f>IF(SnapshotTable[[#This Row],[SP Is Booked]], SnapshotTable[[#This Row],[SP Qty]] * SnapshotTable[[#This Row],[SP Book Price]] * 100, 0)</f>
        <v>0</v>
      </c>
      <c r="BZ42" s="369"/>
      <c r="CA42" s="368">
        <f>SnapshotTable[[#This Row],[LP Qty]]</f>
        <v>0</v>
      </c>
      <c r="CB42" s="4" t="str">
        <f>IF(SnapshotTable[[#This Row],[SP Is Booked]], SnapshotTable[[#This Row],[SP Strike Price]] - SnapshotTable[[#This Row],[SP Book Price]], "")</f>
        <v/>
      </c>
      <c r="CC42" s="19" t="str">
        <f>IF(SnapshotTable[[#This Row],[SP Is Booked]],SnapshotTable[[#This Row],[SP Exp Date]]-MAX(SnapshotTable[[#This Row],[SP Book Date]], SnapshotTable[[#This Row],[SP Fill Date]]),"")</f>
        <v/>
      </c>
      <c r="CD42" s="7" t="str">
        <f>IF(SnapshotTable[[#This Row],[SP Is Booked]], SnapshotTable[[#This Row],[SP Book Price]]/SnapshotTable[[#This Row],[SP Strike Price]], "")</f>
        <v/>
      </c>
      <c r="CE42" s="7" t="str">
        <f>IF(ISNUMBER(SnapshotTable[[#This Row],[SP ROO Term]]),SnapshotTable[[#This Row],[SP ROO Term]]*(365/SnapshotTable[[#This Row],[SP Term]]),"")</f>
        <v/>
      </c>
      <c r="CF42" s="236">
        <f>SnapshotTable[[#This Row],[LP Strike Price]] * SnapshotTable[[#This Row],[LP Qty]] * 100</f>
        <v>0</v>
      </c>
      <c r="CG42" s="31" t="e">
        <f>IF(ISNUMBER(SnapshotTable[[#This Row],[SP Premium]]), (SnapshotTable[[#This Row],[SP Qty]] * SnapshotTable[[#This Row],[SP Strike Price]]* 100) - SnapshotTable[[#This Row],[LP Protection]], 0)</f>
        <v>#VALUE!</v>
      </c>
      <c r="CH42" s="7" t="str">
        <f>IF(ISNUMBER(SnapshotTable[[#This Row],[SP Break Even]]),-1 * (SnapshotTable[[#This Row],[SP Break Even]] - SnapshotTable[[#This Row],[Last Price]]) / SnapshotTable[[#This Row],[Last Price]], "")</f>
        <v/>
      </c>
      <c r="CI42" s="31">
        <f>IF(AND(ISNUMBER((SnapshotTable[[#This Row],[SP Potential Spend]])), SnapshotTable[[#This Row],[SP Strike Price]] &gt; SnapshotTable[[#This Row],[Last Price]], SnapshotTable[[#This Row],[SP Is Filled]]), SnapshotTable[[#This Row],[SP Potential Spend]] -  SnapshotTable[[#This Row],[LP Max Value]], 0)</f>
        <v>0</v>
      </c>
      <c r="CJ42" s="244"/>
      <c r="CK42" s="31" t="str">
        <f>IF(ISNUMBER(SnapshotTable[[#This Row],[SP Potential Spend]]),IF(ISNUMBER(SnapshotTable[[#This Row],[SP POW]]), SnapshotTable[[#This Row],[SP POW]] * SnapshotTable[[#This Row],[SP Potential Spend]], SnapshotTable[[#This Row],[SP Potential Spend]]), "")</f>
        <v/>
      </c>
      <c r="CL42" s="164" t="e">
        <f>IF(NOT(SnapshotTable[[#This Row],[SP Is Filled]]),(SnapshotTable[[#This Row],[SP Qty]] * SnapshotTable[[#This Row],[SP Strike Price]] * 100) - SnapshotTable[[#This Row],[LP Max Value]],"")</f>
        <v>#VALUE!</v>
      </c>
      <c r="CM42" s="31" t="str">
        <f>IF(SnapshotTable[[#This Row],[SP Actual Spend]]&lt;&gt;0, ((SnapshotTable[[#This Row],[SP Strike Price]]-SnapshotTable[[#This Row],[Last Price]]) *(SnapshotTable[[#This Row],[SP Qty]]*100) - SnapshotTable[[#This Row],[SP Premium]]) * - 1, "")</f>
        <v/>
      </c>
      <c r="CN42" s="78"/>
      <c r="CO42" s="369"/>
      <c r="CP42" s="4" t="str">
        <f>IF(SnapshotTable[[#This Row],[SP Is Filled]], btc_max_buyback_amount(SnapshotTable[[#This Row],[SP Fill Date]],SnapshotTable[[#This Row],[SP Exp Date]], SnapshotTable[[#This Row],[SP Book Price]]),"")</f>
        <v/>
      </c>
      <c r="CQ42" s="78"/>
      <c r="CR4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 s="155" t="str">
        <f>IF(SnapshotTable[[#This Row],[SP Is Filled]], btc_next_cutoff_date(SnapshotTable[[#This Row],[SP Fill Date]],SnapshotTable[[#This Row],[SP Exp Date]]),"")</f>
        <v/>
      </c>
      <c r="CT42" s="235" t="str" cm="1">
        <f t="array" ref="CT42">IF(SnapshotTable[[#This Row],[SP Is Filled]], btc_should_buy_back(SnapshotTable[[#This Row],[SP Fill Date]], SnapshotTable[[#This Row],[SP Exp Date]], SnapshotTable[[#This Row],[SP Book Price]], SnapshotTable[[#This Row],[SP Current Ask]], MockToday, SnapshotTable[[#This Row],[SP Buyback Override]]),"")</f>
        <v/>
      </c>
      <c r="CU42" s="143"/>
      <c r="CV42" s="235"/>
      <c r="CW42" s="378" t="str">
        <f>IF(ISNUMBER( SnapshotTable[[#This Row],[SP Term]]), SnapshotTable[[#This Row],[SP Exp Date]] - MockToday,"")</f>
        <v/>
      </c>
      <c r="CX42" s="31" t="str">
        <f>IF(SnapshotTable[[#This Row],[SP Is Filled]],SnapshotTable[[#This Row],[SP Buyback Price to Use]] * 100 * SnapshotTable[[#This Row],[SP Qty]], "")</f>
        <v/>
      </c>
      <c r="CY42" s="4" t="str">
        <f>IF(ISNUMBER(SnapshotTable[[#This Row],[SP Strike Price]]), SnapshotTable[[#This Row],[SP Strike Price]] * (1 - SP_MaxLoss_StrikePct), "")</f>
        <v/>
      </c>
      <c r="CZ42" s="31" t="str">
        <f>IF(ISNUMBER(SnapshotTable[[#This Row],[SP Strike  Stop Per Share]]),SnapshotTable[[#This Row],[SP Premium]] - ((SnapshotTable[[#This Row],[SP Strike Price]]-SnapshotTable[[#This Row],[SP Strike  Stop Per Share]]) *(SnapshotTable[[#This Row],[SP Qty]] * 100)),"")</f>
        <v/>
      </c>
      <c r="DA42" s="4" t="str">
        <f>IF(AND(ISNUMBER(SnapshotTable[[#This Row],[SP Premium]]),SnapshotTable[[#This Row],[SP Premium]]&gt;0), SnapshotTable[[#This Row],[SP Book Price]] * (1 + SP_MaxLoss_OptionPct), "")</f>
        <v/>
      </c>
      <c r="DB42" s="31" t="str">
        <f>IF(ISNUMBER(SnapshotTable[[#This Row],[SP Option  Stop Contract]]),(SnapshotTable[[#This Row],[SP Option  Stop Contract]] *(SnapshotTable[[#This Row],[SP Qty]] * 100) - SnapshotTable[[#This Row],[SP Premium]]),"")</f>
        <v/>
      </c>
      <c r="DC42" s="4"/>
      <c r="DD42" s="4"/>
      <c r="DE42" s="4" t="str">
        <f>IF(AND(SnapshotTable[[#This Row],[SP Qty]]&gt;0, SnapshotTable[[#This Row],[SP Stop To Use]]&gt;0),SnapshotTable[[#This Row],[SP Premium]] - ( SnapshotTable[[#This Row],[SP Qty]] * SnapshotTable[[#This Row],[SP Stop To Use]] * 100), "")</f>
        <v/>
      </c>
      <c r="DF42" s="31" t="str">
        <f>IF(AND(SnapshotTable[[#This Row],[SP Qty]]&gt;0,SnapshotTable[[#This Row],[SP Current Ask]]&gt;0), SnapshotTable[[#This Row],[SP Qty]] * SnapshotTable[[#This Row],[SP Current Ask]] * -100, "")</f>
        <v/>
      </c>
      <c r="DG42" s="31" t="str">
        <f>IF(ISNUMBER((SnapshotTable[[#This Row],[SP Total Value]])), SnapshotTable[[#This Row],[SP Premium]] + SnapshotTable[[#This Row],[SP Total Value]], "")</f>
        <v/>
      </c>
      <c r="DH42" s="294" t="str">
        <f>IF(ISNUMBER((SnapshotTable[[#This Row],[SP Total Value]])), SnapshotTable[[#This Row],[SP Gain Loss]] / SnapshotTable[[#This Row],[SP Premium]], "")</f>
        <v/>
      </c>
      <c r="DI42" s="406"/>
      <c r="DJ42" s="138"/>
      <c r="DK42" s="148"/>
      <c r="DL42" s="13"/>
      <c r="DM42" s="13"/>
      <c r="DN42" s="5"/>
      <c r="DO42" s="31">
        <f>IF(SnapshotTable[[#This Row],[LC Symbol Count]]=1, SnapshotTable[[#This Row],[LC Qty]] * SnapshotTable[[#This Row],[LC Book Price]] * 100, 0)</f>
        <v>0</v>
      </c>
      <c r="DP42" s="163" t="str">
        <f>IF(AND(SnapshotTable[[#This Row],[LC Exp Date]]&gt;0, SnapshotTable[[#This Row],[LC Strike Price]]&gt;0,SnapshotTable[[#This Row],[LC Qty]]&gt;0,SnapshotTable[[#This Row],[LC Book Date]]&gt;0,SnapshotTable[[#This Row],[LC Book Price]]&gt;0,SnapshotTable[[#This Row],[LC Fill Date]]=0),"Y","")</f>
        <v/>
      </c>
      <c r="DQ42" s="386" t="str">
        <f>IF(SnapshotTable[[#This Row],[LC Premium]] &gt; 0,SnapshotTable[[#This Row],[LC Exp Date]]-MAX(SnapshotTable[[#This Row],[LC Book Date]], SnapshotTable[[#This Row],[LC Fill Date]]),"")</f>
        <v/>
      </c>
      <c r="DR42" s="386" t="str">
        <f>IF(ISNUMBER(SnapshotTable[[#This Row],[LC Term]]), SnapshotTable[[#This Row],[LC Exp Date]] - MockToday, "")</f>
        <v/>
      </c>
      <c r="DS42" s="234" t="str">
        <f>IF(SnapshotTable[[#This Row],[LC Premium]]&gt;0,SnapshotTable[[#This Row],[LC Strike Price]] + SnapshotTable[[#This Row],[LC Book Price]],"")</f>
        <v/>
      </c>
      <c r="DT42" s="5"/>
      <c r="DU42" s="9" t="str">
        <f>IF(AND(SnapshotTable[[#This Row],[LC Symbol Count]]&gt;0, SnapshotTable[[#This Row],[LC Contract Value]]&gt;0), SnapshotTable[[#This Row],[LC Contract Value]] * SnapshotTable[[#This Row],[LC Qty]] * 100, "")</f>
        <v/>
      </c>
      <c r="DV42" s="9" t="str">
        <f>IF(AND(ISNUMBER(SnapshotTable[[#This Row],[LC Total Value]]), SnapshotTable[[#This Row],[LC Not Filled]]&lt;&gt;"Y"), SnapshotTable[[#This Row],[LC Total Value]]-SnapshotTable[[#This Row],[LC Premium]],"")</f>
        <v/>
      </c>
      <c r="DW42" s="240" t="str">
        <f>IF(ISNUMBER(SnapshotTable[[#This Row],[LC Actual Gain Loss]]), SnapshotTable[[#This Row],[LC Actual Gain Loss]] / SnapshotTable[[#This Row],[LC Premium]],"")</f>
        <v/>
      </c>
      <c r="DX42" s="284" t="str">
        <f>IF(ISNUMBER(SnapshotTable[[#This Row],[LC Book Price]]),SnapshotTable[[#This Row],[LC Book Price]] * 1.5,"")</f>
        <v/>
      </c>
      <c r="DY42" s="265" t="str">
        <f>IF(SnapshotTable[[#This Row],[LC Premium]]&gt;0, SnapshotTable[[#This Row],[LC Next Target]] * SnapshotTable[[#This Row],[LC Qty]] * 100,"")</f>
        <v/>
      </c>
      <c r="DZ42" s="265" t="str">
        <f>IF(ISNUMBER(SnapshotTable[[#This Row],[LC Target Gross]]), SnapshotTable[[#This Row],[LC Target Gross]] - SnapshotTable[[#This Row],[LC Premium]], "")</f>
        <v/>
      </c>
      <c r="EA42" s="305" t="str">
        <f>IF(ISNUMBER(SnapshotTable[[#This Row],[LC Target Gain Loss]]), SnapshotTable[[#This Row],[LC Target Gain Loss]]/SnapshotTable[[#This Row],[LC Premium]], "")</f>
        <v/>
      </c>
      <c r="EB42" s="262"/>
      <c r="EC42" s="283" t="str">
        <f>IF(SnapshotTable[[#This Row],[LC Premium]]&gt;0, SnapshotTable[[#This Row],[LC Book Price]] * (1 - LC_StopLoss_Pct),"")</f>
        <v/>
      </c>
      <c r="ED42" s="284"/>
      <c r="EE42" s="283" t="str">
        <f>IF(ISNUMBER(SnapshotTable[[#This Row],[LC Contract Value]]),IF(ISNUMBER(SnapshotTable[[#This Row],[LC Stop Loss Override]]), SnapshotTable[[#This Row],[LC Stop Loss Override]],SnapshotTable[[#This Row],[LC Stop Loss Calc Target]]),"")</f>
        <v/>
      </c>
      <c r="EF42" s="31" t="str">
        <f>IF(ISNUMBER(SnapshotTable[[#This Row],[LC Stop  To Use]]), (SnapshotTable[[#This Row],[LC Stop  To Use]] * SnapshotTable[[#This Row],[LC Qty]] * 100),"")</f>
        <v/>
      </c>
      <c r="EG42" s="9" t="str">
        <f>IF(ISNUMBER(SnapshotTable[[#This Row],[LC Total Value]]),SnapshotTable[[#This Row],[LC Stop Loss Amount]] - SnapshotTable[[#This Row],[LC Premium]],"")</f>
        <v/>
      </c>
      <c r="EH42" s="9">
        <f>IF(ISNUMBER(SnapshotTable[[#This Row],[LC Premium]]), SnapshotTable[[#This Row],[LC Qty]] * 100 * SnapshotTable[[#This Row],[LC Strike Price]], "")</f>
        <v>0</v>
      </c>
      <c r="EI42" s="240" t="str">
        <f>IF(AND(ISNUMBER(SnapshotTable[[#This Row],[LC Total Value]]),SnapshotTable[[#This Row],[LC Total Value]]&gt;0),SnapshotTable[[#This Row],[LC Stop Gain Loss]]  / SnapshotTable[[#This Row],[LC Premium]],"")</f>
        <v/>
      </c>
      <c r="EJ42" s="35">
        <f>IF(ISNUMBER(SnapshotTable[[#This Row],[Equity Shares]]),TRUNC(SnapshotTable[[#This Row],[Equity Shares]] / 100),0) + SnapshotTable[[#This Row],[LC Qty]]</f>
        <v>0</v>
      </c>
      <c r="EK42" s="147"/>
      <c r="EL42" s="138" t="str">
        <f>IF(SnapshotTable[[#This Row],[SC Exp Date]]&lt;&gt;"",TRUNC(SnapshotTable[[#This Row],[Last Price]]),"")</f>
        <v/>
      </c>
      <c r="EM42" s="148"/>
      <c r="EN42" s="147"/>
      <c r="EO42" s="147"/>
      <c r="EP42" s="138"/>
      <c r="EQ42" s="419" t="b">
        <f>AND(ISNUMBER(SnapshotTable[[#This Row],[SC Exp Date]]), ISNUMBER(SnapshotTable[[#This Row],[SC Strike Price]]), ISNUMBER(SnapshotTable[[#This Row],[SC Qty]]), ISNUMBER(SnapshotTable[[#This Row],[SC Book Date]]), ISNUMBER(SnapshotTable[[#This Row],[SC Book Price]]))</f>
        <v>0</v>
      </c>
      <c r="ER42" s="419" t="b">
        <f>AND(SnapshotTable[[#This Row],[SC Is Booked]], NOT(ISBLANK(SnapshotTable[[#This Row],[SC Fill Date]])))</f>
        <v>0</v>
      </c>
      <c r="ES42" s="370"/>
      <c r="ET42" s="34" t="str">
        <f>IF(AND(ISNUMBER(SnapshotTable[[#This Row],[SC Exp Date]]), ISNUMBER(SnapshotTable[[#This Row],[SC Book Date]])), SnapshotTable[[#This Row],[SC Exp Date]] - MAX(SnapshotTable[[#This Row],[SC Book Date]], SnapshotTable[[#This Row],[SC Fill Date]]) + 1, "")</f>
        <v/>
      </c>
      <c r="EU42" s="34" t="str">
        <f>IF(ISNUMBER(SnapshotTable[[#This Row],[SC Term]]), SnapshotTable[[#This Row],[SC Exp Date]]- MockToday, "")</f>
        <v/>
      </c>
      <c r="EV42" s="31">
        <f>IF(SnapshotTable[[#This Row],[SC Is Booked]], SnapshotTable[[#This Row],[SC Qty]] * SnapshotTable[[#This Row],[SC Book Price]] * 100, 0)</f>
        <v>0</v>
      </c>
      <c r="EW42" s="4" t="str">
        <f>IF(AND(ISNUMBER(SnapshotTable[[#This Row],[Last Price]]), ISNUMBER( SnapshotTable[[#This Row],[SC Book Price]])), SnapshotTable[[#This Row],[Last Price]] - SnapshotTable[[#This Row],[SC Book Price]],"")</f>
        <v/>
      </c>
      <c r="EX42" s="234" t="str">
        <f>IF(SnapshotTable[[#This Row],[SC Is Booked]],IF(SnapshotTable[[#This Row],[SC Intrinsic Value]] &gt; 0, SnapshotTable[[#This Row],[SC Strike Price]], SnapshotTable[[#This Row],[Last Price]]), "")</f>
        <v/>
      </c>
      <c r="EY42" s="4">
        <f>IF(SnapshotTable[[#This Row],[SC Is Booked]], (MinimumPremiumRequired * SnapshotTable[[#This Row],[SC Basis]] * SnapshotTable[[#This Row],[SC Term]]), 0)</f>
        <v>0</v>
      </c>
      <c r="EZ42" s="283"/>
      <c r="FA42" s="218"/>
      <c r="FB42" s="370"/>
      <c r="FC42" s="4">
        <f>IF(SnapshotTable[[#This Row],[SC Is Filled]], btc_max_buyback_amount(SnapshotTable[[#This Row],[SC Fill Date]],SnapshotTable[[#This Row],[SC Exp Date]], SnapshotTable[[#This Row],[SC Book Price]]),0)</f>
        <v>0</v>
      </c>
      <c r="FD42" s="5"/>
      <c r="FE42" s="144" t="str">
        <f>IF(SnapshotTable[[#This Row],[SC Is Filled]], btc_next_cutoff_date(SnapshotTable[[#This Row],[SC Fill Date]],SnapshotTable[[#This Row],[SC Exp Date]]),"")</f>
        <v/>
      </c>
      <c r="FF42" s="4" t="str" cm="1">
        <f t="array" ref="FF42">IF(SnapshotTable[[#This Row],[SC Is Filled]], btc_should_buy_back(SnapshotTable[[#This Row],[SC Fill Date]], SnapshotTable[[#This Row],[SC Exp Date]], SnapshotTable[[#This Row],[SC Book Price]], SnapshotTable[[#This Row],[SC Current Ask]], MockToday, SnapshotTable[[#This Row],[SC Buyback Override]]),"")</f>
        <v/>
      </c>
      <c r="FG42" s="4">
        <f>IF(SnapshotTable[[#This Row],[SC Is Filled]], MAX(0,SnapshotTable[[#This Row],[Last Price]]  - SnapshotTable[[#This Row],[SC Strike Price]]), 0)</f>
        <v>0</v>
      </c>
      <c r="FH42" s="382">
        <f>IF(SnapshotTable[[#This Row],[SC Is Filled]], IF(ISNUMBER(SnapshotTable[[#This Row],[SC Current Ask]]), SnapshotTable[[#This Row],[SC Current Ask]], SnapshotTable[[#This Row],[SC Book Price]]) - SnapshotTable[[#This Row],[SC Intrinsic Value]], 0)</f>
        <v>0</v>
      </c>
      <c r="FI42" s="143"/>
      <c r="FJ42" s="32" t="str">
        <f>IF(SnapshotTable[[#This Row],[SC Is Filled]],100 * SnapshotTable[[#This Row],[SC Qty]] * IF(ISNUMBER(SnapshotTable[[#This Row],[SC Buyback Override]]), SnapshotTable[[#This Row],[SC Buyback Override]], SnapshotTable[[#This Row],[SC Current Ask]]), "")</f>
        <v/>
      </c>
      <c r="FK42" s="250" t="str">
        <f>IF(SnapshotTable[[#This Row],[SC Time Val]]&gt;0, SnapshotTable[[#This Row],[SC Time Val]] / SnapshotTable[[#This Row],[Last Price]],"")</f>
        <v/>
      </c>
      <c r="FL42" s="302" t="str">
        <f>IF(SnapshotTable[[#This Row],[SC Is Booked]], ((SnapshotTable[[#This Row],[Last Price]] -SnapshotTable[[#This Row],[SC Strike Price]]) / SnapshotTable[[#This Row],[Last Price]]) * -1, "")</f>
        <v/>
      </c>
      <c r="FM42" s="157" t="str">
        <f>IF(SnapshotTable[[#This Row],[SC Is Booked]],  (SnapshotTable[[#This Row],[SC Qty]] * 100 * SnapshotTable[[#This Row],[SC Strike Price]]) - SnapshotTable[[#This Row],[SC Current Ask]], "")</f>
        <v/>
      </c>
      <c r="FN4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 s="31" t="str">
        <f>IF(AND(ISNUMBER(SnapshotTable[[#This Row],[SC Exercise Gross]]), ISNUMBER(SnapshotTable[[#This Row],[Equity Basis Per Share]] )), SnapshotTable[[#This Row],[SC Exercise Gross]] - SnapshotTable[[#This Row],[Equity Basis Total]] +  SnapshotTable[[#This Row],[SC Premium]], "")</f>
        <v/>
      </c>
      <c r="FP42" s="5" t="str">
        <f>IF(ISNUMBER(SnapshotTable[[#This Row],[SC Exercise Gross]]), (SnapshotTable[[#This Row],[SC Exercise Gross]]) / (SnapshotTable[[#This Row],[SC Qty]] * 100), "")</f>
        <v/>
      </c>
      <c r="FQ42" s="27" t="str">
        <f>IF(SnapshotTable[[#This Row],[SC Is Booked]],SnapshotTable[[#This Row],[SC Time Val]] /SnapshotTable[[#This Row],[SC Basis]], "")</f>
        <v/>
      </c>
      <c r="FR42" s="27" t="str" cm="1">
        <f t="array" ref="FR42">IF(AND(ISNUMBER(SnapshotTable[[#This Row],[SC Term]]),ISNUMBER(SnapshotTable[[#This Row],[SC Simple ROO]])), EllmanAnnualize(SnapshotTable[[#This Row],[SC DTE]], SnapshotTable[[#This Row],[SC Simple ROO]] ),"")</f>
        <v/>
      </c>
      <c r="FS42" s="4" t="e">
        <f>IF(SnapshotTable[[#This Row],[SC Strike Price]] &gt; SnapshotTable[[#This Row],[Last Price]], SnapshotTable[[#This Row],[SC Strike Price]] - SnapshotTable[[#This Row],[Last Price]],0)</f>
        <v>#VALUE!</v>
      </c>
      <c r="FT42" s="27" t="e">
        <f>IF(AND(ISNUMBER(SnapshotTable[[#This Row],[SC Upside Potential]]), SnapshotTable[[#This Row],[SC Upside Potential]] &gt; 0),(SnapshotTable[[#This Row],[SC Upside Potential]]/ SnapshotTable[[#This Row],[ACB]]),"")</f>
        <v>#VALUE!</v>
      </c>
      <c r="FU42" s="333" t="str">
        <f>IF(SnapshotTable[[#This Row],[SC Intrinsic Value]] &gt; 0,SnapshotTable[[#This Row],[SC Intrinsic Value]],"")</f>
        <v/>
      </c>
      <c r="FV42" s="27" t="str">
        <f>IF(AND( ISNUMBER( SnapshotTable[[#This Row],[ACB]]),ISNUMBER(SnapshotTable[[#This Row],[SC Downside Protect]])),SnapshotTable[[#This Row],[SC Downside Protect]] / SnapshotTable[[#This Row],[ACB]],"")</f>
        <v/>
      </c>
      <c r="FW42" s="236" t="str">
        <f>IF(AND(ISNUMBER(SnapshotTable[[#This Row],[SC Simple ROO]]),SnapshotTable[[#This Row],[SC Simple ROO]] &gt; 0), SnapshotTable[[#This Row],[SC Premium]] + (SnapshotTable[[#This Row],[SC Qty]] * SnapshotTable[[#This Row],[SC Upside Potential]]), "")</f>
        <v/>
      </c>
      <c r="FX42" s="302" t="str" cm="1">
        <f t="array" ref="FX42">IF(ISNUMBER(SnapshotTable[[#This Row],[SC Max Dollars]]), annualize(SnapshotTable[[#This Row],[SC Term]],(SnapshotTable[[#This Row],[SC Max Dollars]]/SnapshotTable[[#This Row],[SC Basis]])),"")</f>
        <v/>
      </c>
      <c r="FY42" s="236" t="str">
        <f>IF(AND(SnapshotTable[[#This Row],[SC Qty]]&gt;0,SnapshotTable[[#This Row],[SC Current Ask]]&gt;0), SnapshotTable[[#This Row],[SC Qty]] * SnapshotTable[[#This Row],[SC Current Ask]] * -100, "")</f>
        <v/>
      </c>
      <c r="FZ42" s="31" t="str">
        <f>IF(ISNUMBER((SnapshotTable[[#This Row],[SC Current Value]])), SnapshotTable[[#This Row],[SC Premium]] + SnapshotTable[[#This Row],[SC Current Value]], "")</f>
        <v/>
      </c>
      <c r="GA42" s="294" t="str">
        <f>IFERROR( IF(ISNUMBER((SnapshotTable[[#This Row],[SC Current Value]])), SnapshotTable[[#This Row],[SC Gain Loss]] / SnapshotTable[[#This Row],[SC Premium]], ""), "")</f>
        <v/>
      </c>
      <c r="GB42" s="42">
        <f>SnapshotTable[[#This Row],[Equity Shares]] * SaleSharesToConsiderPercentage</f>
        <v>0</v>
      </c>
      <c r="GC42" s="40">
        <f>SnapshotTable[[#This Row],[Long Term Target]] * SellingPriceToConsiderBasedOnTargetPercentage</f>
        <v>105.90600000000001</v>
      </c>
      <c r="GD42" s="40">
        <f>SnapshotTable[[#This Row],[Last Price]] * (1+ SellingPriceToConsiderBasedOnTargetPercentage)</f>
        <v>164.1705</v>
      </c>
      <c r="GE42" s="41"/>
      <c r="GF42" s="40"/>
      <c r="GG42" s="31">
        <f>SnapshotTable[[#This Row],[Booked Sale Shares]] * SnapshotTable[[#This Row],[Booked Sale Price]]</f>
        <v>0</v>
      </c>
      <c r="GH42" s="31" t="str">
        <f>IF(SnapshotTable[[#This Row],[Equity Basis Total]] &gt; 0, SnapshotTable[[#This Row],[Equity Basis Per Share]] * SnapshotTable[[#This Row],[Booked Sale Shares]], "")</f>
        <v/>
      </c>
      <c r="GI42" s="31">
        <f>IF(SnapshotTable[[#This Row],[Sale Proceeds]]&gt;0, SnapshotTable[[#This Row],[Sale Proceeds]] - SnapshotTable[[#This Row],[Sale Basis]], 0)</f>
        <v>0</v>
      </c>
      <c r="GJ42" s="27" t="str">
        <f>IF(SnapshotTable[[#This Row],[Sale G/L]]&gt;0, SnapshotTable[[#This Row],[Sale G/L]] / SnapshotTable[[#This Row],[Sale Basis]], IF(ISNUMBER(SnapshotTable[[#This Row],[SC Exercise P&amp;L (TAX)]]), SnapshotTable[[#This Row],[SC Exercise P&amp;L (TAX)]] / SnapshotTable[[#This Row],[SC Basis]], ""))</f>
        <v/>
      </c>
      <c r="GK42" s="27" t="s">
        <v>731</v>
      </c>
      <c r="GL42" s="43" t="str">
        <f>IF(AND(SnapshotTable[[#This Row],[LP Exp Date]]&gt;0,SnapshotTable[[#This Row],[LP Strike Price]]&gt;0), [1]!ToOptionSymbol(SnapshotTable[[#This Row],[Symbol]], SnapshotTable[[#This Row],[LP Strike Price]],SnapshotTable[[#This Row],[LP Exp Date]],1), "")</f>
        <v/>
      </c>
      <c r="GM42" s="30" t="str">
        <f>IF(LEN(SnapshotTable[[#This Row],[LP Symbol]])&gt;0, 1, "")</f>
        <v/>
      </c>
      <c r="GN42" s="43" t="str">
        <f>IF(AND(SnapshotTable[[#This Row],[SP Exp Date]]&gt;0,SnapshotTable[[#This Row],[SP Strike Price]]&gt;0), [1]!ToOptionSymbol(SnapshotTable[[#This Row],[Symbol]], SnapshotTable[[#This Row],[SP Strike Price]],SnapshotTable[[#This Row],[SP Exp Date]],1), "")</f>
        <v/>
      </c>
      <c r="GO42" s="30" t="str">
        <f>IF(LEN(SnapshotTable[[#This Row],[SP Symbol]])&gt;0, 1, "")</f>
        <v/>
      </c>
      <c r="GP42" s="43" t="str">
        <f>IF(AND(SnapshotTable[[#This Row],[LC Exp Date]]&gt;0,SnapshotTable[[#This Row],[LC Strike Price]]&gt;0), [1]!ToOptionSymbol(SnapshotTable[[#This Row],[Symbol]], SnapshotTable[[#This Row],[LC Strike Price]],SnapshotTable[[#This Row],[LC Exp Date]],0), "")</f>
        <v/>
      </c>
      <c r="GQ42" s="30" t="str">
        <f>IF(LEN(SnapshotTable[[#This Row],[LC Symbol]])&gt;0, 1, "")</f>
        <v/>
      </c>
      <c r="GR42" s="43" t="str">
        <f>IF(AND(SnapshotTable[[#This Row],[SC Exp Date]]&gt;0,SnapshotTable[[#This Row],[SC Strike Price]]&gt;0), [1]!ToOptionSymbol(SnapshotTable[[#This Row],[Symbol]], SnapshotTable[[#This Row],[SC Strike Price]],SnapshotTable[[#This Row],[SC Exp Date]],0), "")</f>
        <v/>
      </c>
      <c r="GS42" s="30" t="str">
        <f>IF(LEN(SnapshotTable[[#This Row],[SC Symbol]])&gt;0, 1, "")</f>
        <v/>
      </c>
      <c r="GT42" s="29" t="str">
        <f>IF(COUNT(SnapshotTable[[#This Row],[LP Symbol Count]],SnapshotTable[[#This Row],[SP Symbol Count]],SnapshotTable[[#This Row],[LC Symbol Count]],SnapshotTable[[#This Row],[SC Symbol Count]])&gt;0, "Y", "")</f>
        <v/>
      </c>
      <c r="GU4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 s="231" t="e">
        <f>MAX(SnapshotTable[[#This Row],[Equity Basis Total]],SnapshotTable[[#This Row],[Equity Value]]) + (SnapshotTable[[#This Row],[SP Potential Spend]]- SnapshotTable[[#This Row],[SP Premium]] + SnapshotTable[[#This Row],[LP Premium]])+ (SnapshotTable[[#This Row],[LC Premium]] - SnapshotTable[[#This Row],[SC Premium]])</f>
        <v>#VALUE!</v>
      </c>
      <c r="GW42" s="139" t="e">
        <f>IF(AND(SnapshotTable[[#This Row],[Exposure]] &lt;&gt; 0),SnapshotTable[[#This Row],[Exposure]] / SnapshotTable[[#Totals],[Exposure]], "")</f>
        <v>#VALUE!</v>
      </c>
      <c r="GY42" s="381"/>
      <c r="HE42" s="268"/>
      <c r="HF42" s="268"/>
      <c r="HG42" s="381"/>
      <c r="HH42" s="381"/>
      <c r="HI42" s="381"/>
      <c r="HJ42" s="381"/>
    </row>
    <row r="43" spans="2:224" s="47" customFormat="1" ht="12.75" hidden="1" customHeight="1" x14ac:dyDescent="0.25">
      <c r="B43" s="12" t="s">
        <v>231</v>
      </c>
      <c r="C43" s="422">
        <v>163</v>
      </c>
      <c r="D43" s="208" t="s">
        <v>850</v>
      </c>
      <c r="E43" s="39">
        <f>SnapshotTable[[#This Row],[Last Price]]*(1 -CrashDiscount)</f>
        <v>138.54999999999998</v>
      </c>
      <c r="F43" s="26" t="s">
        <v>230</v>
      </c>
      <c r="G43" s="26" t="s">
        <v>9</v>
      </c>
      <c r="H43" s="149"/>
      <c r="I43" s="194">
        <v>44803.670138888891</v>
      </c>
      <c r="J43" s="195">
        <v>44803.670138888891</v>
      </c>
      <c r="K43" s="196"/>
      <c r="L43" s="326"/>
      <c r="M43" s="140">
        <v>2</v>
      </c>
      <c r="N43" s="140"/>
      <c r="O43" s="140"/>
      <c r="P43" s="22"/>
      <c r="Q43" s="25"/>
      <c r="R43" s="4" t="str">
        <f>IF(SnapshotTable[[#This Row],[Equity Basis Total]] &gt; 0, SnapshotTable[[#This Row],[Equity Basis Total]] / SnapshotTable[[#This Row],[Equity Shares]], "")</f>
        <v/>
      </c>
      <c r="S43" s="269">
        <f>SnapshotTable[[#This Row],[Last Price]] * SnapshotTable[[#This Row],[Equity Shares]]</f>
        <v>0</v>
      </c>
      <c r="T43" s="269">
        <f>SnapshotTable[[#This Row],[Equity Value]] - SnapshotTable[[#This Row],[Equity Basis Total]]</f>
        <v>0</v>
      </c>
      <c r="U43" s="270" t="str">
        <f>IF(SnapshotTable[[#This Row],[Equity Basis Total]] &gt; 0, SnapshotTable[[#This Row],[Equity G/L]] / SnapshotTable[[#This Row],[Equity Basis Total]], "")</f>
        <v/>
      </c>
      <c r="V43" s="268">
        <v>275</v>
      </c>
      <c r="W43" s="268">
        <v>195</v>
      </c>
      <c r="X43" s="4" t="str">
        <f>IF(AND(ISNUMBER(SnapshotTable[[#This Row],[Equity Basis Per Share]]),ISNUMBER(SnapshotTable[[#This Row],[Equity Target]])),SnapshotTable[[#This Row],[Equity Target]]-SnapshotTable[[#This Row],[Equity Basis Per Share]],"")</f>
        <v/>
      </c>
      <c r="Y43" s="4" t="str">
        <f>IF(AND(ISNUMBER(SnapshotTable[[#This Row],[Equity Basis Per Share]]),ISNUMBER(SnapshotTable[[#This Row],[Equity Stop Loss]])),SnapshotTable[[#This Row],[Equity Stop Loss]]-SnapshotTable[[#This Row],[Equity Basis Per Share]],"")</f>
        <v/>
      </c>
      <c r="Z43" s="275" t="str">
        <f>IFERROR( TEXT(SnapshotTable[[#This Row],[Equity Max Gain Per Share]] /ABS( SnapshotTable[[#This Row],[Equity Max Loss Per Share]]),"0.0 " ) &amp; " : 1", "")</f>
        <v/>
      </c>
      <c r="AA43" s="31" t="str">
        <f>IF(ISNUMBER(SnapshotTable[[#This Row],[Equity Max Gain Per Share]]),SnapshotTable[[#This Row],[Equity Max Gain Per Share]] * SnapshotTable[[#This Row],[Equity Shares]],"")</f>
        <v/>
      </c>
      <c r="AB43" s="31" t="str">
        <f>IF(ISNUMBER(SnapshotTable[[#This Row],[Equity Max Loss Per Share]]),SnapshotTable[[#This Row],[Equity Max Loss Per Share]] * SnapshotTable[[#This Row],[Equity Shares]],"")</f>
        <v/>
      </c>
      <c r="AC43" s="150"/>
      <c r="AD43" s="151"/>
      <c r="AE43" s="31">
        <f>(SnapshotTable[[#This Row],[Annual Dividend Per Share]] / 4) * SnapshotTable[[#This Row],[Equity Shares]]</f>
        <v>0</v>
      </c>
      <c r="AF43" s="31">
        <f>SnapshotTable[[#This Row],[Quarterly Div $]] * 4</f>
        <v>0</v>
      </c>
      <c r="AG43" s="7">
        <f>IF(SnapshotTable[[#This Row],[Annual Dividend Per Share]]&gt;0, SnapshotTable[[#This Row],[Annual Dividend Per Share]]  / SnapshotTable[[#This Row],[Last Price]], 0)</f>
        <v>0</v>
      </c>
      <c r="AH43" s="151"/>
      <c r="AI43" s="5"/>
      <c r="AJ43" s="138">
        <v>277.33999999999997</v>
      </c>
      <c r="AK43" s="152" t="str">
        <f>IF(ISNUMBER( SnapshotTable[[#This Row],[EBF Target]]),(SnapshotTable[[#This Row],[EBF Target]] - SnapshotTable[[#This Row],[Last Price]]) / SnapshotTable[[#This Row],[Last Price]], "")</f>
        <v/>
      </c>
      <c r="AL43" s="152" t="str">
        <f>IF(AND(SnapshotTable[[#This Row],[Equity Basis Total]] &gt; 0,ISNUMBER( SnapshotTable[[#This Row],[Long Term Target]])), SnapshotTable[[#This Row],[From Basis $]] / SnapshotTable[[#This Row],[Equity Basis Total]], "")</f>
        <v/>
      </c>
      <c r="AM43" s="9">
        <f>IF( AND(SnapshotTable[[#This Row],[Equity Shares]] &gt;0,ISNUMBER( SnapshotTable[[#This Row],[Long Term Target]])),(SnapshotTable[[#This Row],[Equity Shares]] * SnapshotTable[[#This Row],[Long Term Target]]) - SnapshotTable[[#This Row],[Equity Basis Total]],0)</f>
        <v>0</v>
      </c>
      <c r="AN43" s="9">
        <f>IF( AND(SnapshotTable[[#This Row],[Equity Shares]] &gt;0,ISNUMBER( SnapshotTable[[#This Row],[Long Term Target]])),(SnapshotTable[[#This Row],[Equity Shares]]*SnapshotTable[[#This Row],[Long Term Target]]) - SnapshotTable[[#This Row],[Equity Value]],0)</f>
        <v>0</v>
      </c>
      <c r="AO43" s="152">
        <f>IF(AND(ISNUMBER( SnapshotTable[[#This Row],[Long Term Target]]), ISNUMBER(SnapshotTable[[#This Row],[Last Price]])),(SnapshotTable[[#This Row],[Long Term Target]] - SnapshotTable[[#This Row],[Last Price]]) / SnapshotTable[[#This Row],[Last Price]], "")</f>
        <v>0.70147239263803662</v>
      </c>
      <c r="AP43" s="5">
        <v>220</v>
      </c>
      <c r="AQ43" s="38" t="s">
        <v>27</v>
      </c>
      <c r="AR43" s="5">
        <v>220</v>
      </c>
      <c r="AS43" s="38" t="s">
        <v>38</v>
      </c>
      <c r="AT43" s="146" t="s">
        <v>542</v>
      </c>
      <c r="AU43" s="187" t="str">
        <f>IF(OR(SnapshotTable[[#This Row],[LP No Fill]]="Y",SnapshotTable[[#This Row],[SP Is Filled]],SnapshotTable[[#This Row],[LC Not Filled]]="Y",SnapshotTable[[#This Row],[SC Is Filled]]),"Y","")</f>
        <v/>
      </c>
      <c r="AV43" s="219"/>
      <c r="AW43" s="225"/>
      <c r="AX43" s="220"/>
      <c r="AY43" s="219" t="str">
        <f>IF(SnapshotTable[[#This Row],[Implied Move]]&gt;0, SnapshotTable[[#This Row],[Last Price]]-SnapshotTable[[#This Row],[Implied Move]],"")</f>
        <v/>
      </c>
      <c r="AZ43" s="219" t="str">
        <f>IF(SnapshotTable[[#This Row],[Implied Move]]&gt;0, SnapshotTable[[#This Row],[Last Price]] + SnapshotTable[[#This Row],[Implied Move]],"")</f>
        <v/>
      </c>
      <c r="BA43" s="331">
        <v>149.38</v>
      </c>
      <c r="BB43" s="347"/>
      <c r="BC4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 s="351"/>
      <c r="BE43" s="5"/>
      <c r="BF43" s="14"/>
      <c r="BG43" s="13"/>
      <c r="BH43" s="13"/>
      <c r="BI43" s="5"/>
      <c r="BJ43" s="136">
        <f>IF(SnapshotTable[[#This Row],[LP Qty]] &gt; 0, SnapshotTable[[#This Row],[LP Qty]] * SnapshotTable[[#This Row],[LP Book Price]] * 100,0)</f>
        <v>0</v>
      </c>
      <c r="BK43" s="136">
        <f>IF(SnapshotTable[[#This Row],[LP Premium]] &gt; 0, SnapshotTable[[#This Row],[LP Qty]] * SnapshotTable[[#This Row],[LP Strike Price]] * 100,0)</f>
        <v>0</v>
      </c>
      <c r="BL43" s="154"/>
      <c r="BM43" s="385" t="str">
        <f>IF(SnapshotTable[[#This Row],[LP Premium]] &gt; 0,SnapshotTable[[#This Row],[LP Exp Date]]-MAX(SnapshotTable[[#This Row],[LP Book Date]], SnapshotTable[[#This Row],[LP Fill Date]]),"")</f>
        <v/>
      </c>
      <c r="BN43" s="385" t="str">
        <f>IF(ISNUMBER( SnapshotTable[[#This Row],[LP Term]]), SnapshotTable[[#This Row],[LP Exp Date]] - MockToday,"")</f>
        <v/>
      </c>
      <c r="BO43" s="163" t="str">
        <f>IF(AND(SnapshotTable[[#This Row],[LP Exp Date]]&gt;0, SnapshotTable[[#This Row],[LP Strike Price]]&gt;0,SnapshotTable[[#This Row],[LP Qty]]&gt;0,SnapshotTable[[#This Row],[LP Book Date]]&gt;0,SnapshotTable[[#This Row],[LP Book Price]]&gt;0,SnapshotTable[[#This Row],[LP Fill Date]]=0),"Y","")</f>
        <v/>
      </c>
      <c r="BP43" s="31" t="str">
        <f>IF(AND(SnapshotTable[[#This Row],[LP No Fill]]&lt;&gt;"Y",SnapshotTable[[#This Row],[LP Contract Value]]&gt;0, SnapshotTable[[#This Row],[LP Qty]]&gt;0), SnapshotTable[[#This Row],[LP Contract Value]]*SnapshotTable[[#This Row],[LP Qty]]*100,"")</f>
        <v/>
      </c>
      <c r="BQ43" s="13"/>
      <c r="BR43" s="5" t="str">
        <f>IF(SnapshotTable[[#This Row],[SP Exp Date]]&lt;&gt;"",TRUNC(SnapshotTable[[#This Row],[Last Price]]),"")</f>
        <v/>
      </c>
      <c r="BS43" s="36"/>
      <c r="BT43" s="147"/>
      <c r="BU43" s="13"/>
      <c r="BV43" s="5"/>
      <c r="BW43" s="419" t="b">
        <f>AND(ISNUMBER(SnapshotTable[[#This Row],[SP Exp Date]]), ISNUMBER(SnapshotTable[[#This Row],[SP Strike Price]]), ISNUMBER(SnapshotTable[[#This Row],[SP Qty]]), ISNUMBER(SnapshotTable[[#This Row],[SP Book Date]]), ISNUMBER(SnapshotTable[[#This Row],[SP Book Price]]))</f>
        <v>0</v>
      </c>
      <c r="BX43" s="419" t="b">
        <f>AND(SnapshotTable[[#This Row],[SP Is Booked]], NOT(ISBLANK(SnapshotTable[[#This Row],[SP Fill Date]])))</f>
        <v>0</v>
      </c>
      <c r="BY43" s="33">
        <f>IF(SnapshotTable[[#This Row],[SP Is Booked]], SnapshotTable[[#This Row],[SP Qty]] * SnapshotTable[[#This Row],[SP Book Price]] * 100, 0)</f>
        <v>0</v>
      </c>
      <c r="BZ43" s="369"/>
      <c r="CA43" s="368">
        <f>SnapshotTable[[#This Row],[LP Qty]]</f>
        <v>0</v>
      </c>
      <c r="CB43" s="4" t="str">
        <f>IF(SnapshotTable[[#This Row],[SP Is Booked]], SnapshotTable[[#This Row],[SP Strike Price]] - SnapshotTable[[#This Row],[SP Book Price]], "")</f>
        <v/>
      </c>
      <c r="CC43" s="19" t="str">
        <f>IF(SnapshotTable[[#This Row],[SP Is Booked]],SnapshotTable[[#This Row],[SP Exp Date]]-MAX(SnapshotTable[[#This Row],[SP Book Date]], SnapshotTable[[#This Row],[SP Fill Date]]),"")</f>
        <v/>
      </c>
      <c r="CD43" s="7" t="str">
        <f>IF(SnapshotTable[[#This Row],[SP Is Booked]], SnapshotTable[[#This Row],[SP Book Price]]/SnapshotTable[[#This Row],[SP Strike Price]], "")</f>
        <v/>
      </c>
      <c r="CE43" s="7" t="str">
        <f>IF(ISNUMBER(SnapshotTable[[#This Row],[SP ROO Term]]),SnapshotTable[[#This Row],[SP ROO Term]]*(365/SnapshotTable[[#This Row],[SP Term]]),"")</f>
        <v/>
      </c>
      <c r="CF43" s="236">
        <f>SnapshotTable[[#This Row],[LP Strike Price]] * SnapshotTable[[#This Row],[LP Qty]] * 100</f>
        <v>0</v>
      </c>
      <c r="CG43" s="31" t="e">
        <f>IF(ISNUMBER(SnapshotTable[[#This Row],[SP Premium]]), (SnapshotTable[[#This Row],[SP Qty]] * SnapshotTable[[#This Row],[SP Strike Price]]* 100) - SnapshotTable[[#This Row],[LP Protection]], 0)</f>
        <v>#VALUE!</v>
      </c>
      <c r="CH43" s="7" t="str">
        <f>IF(ISNUMBER(SnapshotTable[[#This Row],[SP Break Even]]),-1 * (SnapshotTable[[#This Row],[SP Break Even]] - SnapshotTable[[#This Row],[Last Price]]) / SnapshotTable[[#This Row],[Last Price]], "")</f>
        <v/>
      </c>
      <c r="CI43" s="31">
        <f>IF(AND(ISNUMBER((SnapshotTable[[#This Row],[SP Potential Spend]])), SnapshotTable[[#This Row],[SP Strike Price]] &gt; SnapshotTable[[#This Row],[Last Price]], SnapshotTable[[#This Row],[SP Is Filled]]), SnapshotTable[[#This Row],[SP Potential Spend]] -  SnapshotTable[[#This Row],[LP Max Value]], 0)</f>
        <v>0</v>
      </c>
      <c r="CJ43" s="244">
        <v>0.75</v>
      </c>
      <c r="CK43" s="31" t="str">
        <f>IF(ISNUMBER(SnapshotTable[[#This Row],[SP Potential Spend]]),IF(ISNUMBER(SnapshotTable[[#This Row],[SP POW]]), SnapshotTable[[#This Row],[SP POW]] * SnapshotTable[[#This Row],[SP Potential Spend]], SnapshotTable[[#This Row],[SP Potential Spend]]), "")</f>
        <v/>
      </c>
      <c r="CL43" s="164" t="e">
        <f>IF(NOT(SnapshotTable[[#This Row],[SP Is Filled]]),(SnapshotTable[[#This Row],[SP Qty]] * SnapshotTable[[#This Row],[SP Strike Price]] * 100) - SnapshotTable[[#This Row],[LP Max Value]],"")</f>
        <v>#VALUE!</v>
      </c>
      <c r="CM43" s="31" t="str">
        <f>IF(SnapshotTable[[#This Row],[SP Actual Spend]]&lt;&gt;0, ((SnapshotTable[[#This Row],[SP Strike Price]]-SnapshotTable[[#This Row],[Last Price]]) *(SnapshotTable[[#This Row],[SP Qty]]*100) - SnapshotTable[[#This Row],[SP Premium]]) * - 1, "")</f>
        <v/>
      </c>
      <c r="CN43" s="218"/>
      <c r="CO43" s="369"/>
      <c r="CP43" s="4" t="str">
        <f>IF(SnapshotTable[[#This Row],[SP Is Filled]], btc_max_buyback_amount(SnapshotTable[[#This Row],[SP Fill Date]],SnapshotTable[[#This Row],[SP Exp Date]], SnapshotTable[[#This Row],[SP Book Price]]),"")</f>
        <v/>
      </c>
      <c r="CQ43" s="78"/>
      <c r="CR4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 s="155" t="str">
        <f>IF(SnapshotTable[[#This Row],[SP Is Filled]], btc_next_cutoff_date(SnapshotTable[[#This Row],[SP Fill Date]],SnapshotTable[[#This Row],[SP Exp Date]]),"")</f>
        <v/>
      </c>
      <c r="CT43" s="235" t="str" cm="1">
        <f t="array" ref="CT43">IF(SnapshotTable[[#This Row],[SP Is Filled]], btc_should_buy_back(SnapshotTable[[#This Row],[SP Fill Date]], SnapshotTable[[#This Row],[SP Exp Date]], SnapshotTable[[#This Row],[SP Book Price]], SnapshotTable[[#This Row],[SP Current Ask]], MockToday, SnapshotTable[[#This Row],[SP Buyback Override]]),"")</f>
        <v/>
      </c>
      <c r="CU43" s="143"/>
      <c r="CV43" s="235"/>
      <c r="CW43" s="378" t="str">
        <f>IF(ISNUMBER( SnapshotTable[[#This Row],[SP Term]]), SnapshotTable[[#This Row],[SP Exp Date]] - MockToday,"")</f>
        <v/>
      </c>
      <c r="CX43" s="31" t="str">
        <f>IF(SnapshotTable[[#This Row],[SP Is Filled]],SnapshotTable[[#This Row],[SP Buyback Price to Use]] * 100 * SnapshotTable[[#This Row],[SP Qty]], "")</f>
        <v/>
      </c>
      <c r="CY43" s="4" t="str">
        <f>IF(ISNUMBER(SnapshotTable[[#This Row],[SP Strike Price]]), SnapshotTable[[#This Row],[SP Strike Price]] * (1 - SP_MaxLoss_StrikePct), "")</f>
        <v/>
      </c>
      <c r="CZ43" s="31" t="str">
        <f>IF(ISNUMBER(SnapshotTable[[#This Row],[SP Strike  Stop Per Share]]),SnapshotTable[[#This Row],[SP Premium]] - ((SnapshotTable[[#This Row],[SP Strike Price]]-SnapshotTable[[#This Row],[SP Strike  Stop Per Share]]) *(SnapshotTable[[#This Row],[SP Qty]] * 100)),"")</f>
        <v/>
      </c>
      <c r="DA43" s="4" t="str">
        <f>IF(AND(ISNUMBER(SnapshotTable[[#This Row],[SP Premium]]),SnapshotTable[[#This Row],[SP Premium]]&gt;0), SnapshotTable[[#This Row],[SP Book Price]] * (1 + SP_MaxLoss_OptionPct), "")</f>
        <v/>
      </c>
      <c r="DB43" s="31" t="str">
        <f>IF(ISNUMBER(SnapshotTable[[#This Row],[SP Option  Stop Contract]]),(SnapshotTable[[#This Row],[SP Option  Stop Contract]] *(SnapshotTable[[#This Row],[SP Qty]] * 100) - SnapshotTable[[#This Row],[SP Premium]]),"")</f>
        <v/>
      </c>
      <c r="DC43" s="4"/>
      <c r="DD43" s="4"/>
      <c r="DE43" s="4" t="str">
        <f>IF(AND(SnapshotTable[[#This Row],[SP Qty]]&gt;0, SnapshotTable[[#This Row],[SP Stop To Use]]&gt;0),SnapshotTable[[#This Row],[SP Premium]] - ( SnapshotTable[[#This Row],[SP Qty]] * SnapshotTable[[#This Row],[SP Stop To Use]] * 100), "")</f>
        <v/>
      </c>
      <c r="DF43" s="31" t="str">
        <f>IF(AND(SnapshotTable[[#This Row],[SP Qty]]&gt;0,SnapshotTable[[#This Row],[SP Current Ask]]&gt;0), SnapshotTable[[#This Row],[SP Qty]] * SnapshotTable[[#This Row],[SP Current Ask]] * -100, "")</f>
        <v/>
      </c>
      <c r="DG43" s="31" t="str">
        <f>IF(ISNUMBER((SnapshotTable[[#This Row],[SP Total Value]])), SnapshotTable[[#This Row],[SP Premium]] + SnapshotTable[[#This Row],[SP Total Value]], "")</f>
        <v/>
      </c>
      <c r="DH43" s="294" t="str">
        <f>IF(ISNUMBER((SnapshotTable[[#This Row],[SP Total Value]])), SnapshotTable[[#This Row],[SP Gain Loss]] / SnapshotTable[[#This Row],[SP Premium]], "")</f>
        <v/>
      </c>
      <c r="DI43" s="406"/>
      <c r="DJ43" s="138"/>
      <c r="DK43" s="148"/>
      <c r="DL43" s="13"/>
      <c r="DM43" s="13"/>
      <c r="DN43" s="5"/>
      <c r="DO43" s="31">
        <f>IF(SnapshotTable[[#This Row],[LC Symbol Count]]=1, SnapshotTable[[#This Row],[LC Qty]] * SnapshotTable[[#This Row],[LC Book Price]] * 100, 0)</f>
        <v>0</v>
      </c>
      <c r="DP43" s="163" t="str">
        <f>IF(AND(SnapshotTable[[#This Row],[LC Exp Date]]&gt;0, SnapshotTable[[#This Row],[LC Strike Price]]&gt;0,SnapshotTable[[#This Row],[LC Qty]]&gt;0,SnapshotTable[[#This Row],[LC Book Date]]&gt;0,SnapshotTable[[#This Row],[LC Book Price]]&gt;0,SnapshotTable[[#This Row],[LC Fill Date]]=0),"Y","")</f>
        <v/>
      </c>
      <c r="DQ43" s="386" t="str">
        <f>IF(SnapshotTable[[#This Row],[LC Premium]] &gt; 0,SnapshotTable[[#This Row],[LC Exp Date]]-MAX(SnapshotTable[[#This Row],[LC Book Date]], SnapshotTable[[#This Row],[LC Fill Date]]),"")</f>
        <v/>
      </c>
      <c r="DR43" s="386" t="str">
        <f>IF(ISNUMBER(SnapshotTable[[#This Row],[LC Term]]), SnapshotTable[[#This Row],[LC Exp Date]] - MockToday, "")</f>
        <v/>
      </c>
      <c r="DS43" s="234" t="str">
        <f>IF(SnapshotTable[[#This Row],[LC Premium]]&gt;0,SnapshotTable[[#This Row],[LC Strike Price]] + SnapshotTable[[#This Row],[LC Book Price]],"")</f>
        <v/>
      </c>
      <c r="DT43" s="5"/>
      <c r="DU43" s="9" t="str">
        <f>IF(AND(SnapshotTable[[#This Row],[LC Symbol Count]]&gt;0, SnapshotTable[[#This Row],[LC Contract Value]]&gt;0), SnapshotTable[[#This Row],[LC Contract Value]] * SnapshotTable[[#This Row],[LC Qty]] * 100, "")</f>
        <v/>
      </c>
      <c r="DV43" s="9" t="str">
        <f>IF(AND(ISNUMBER(SnapshotTable[[#This Row],[LC Total Value]]), SnapshotTable[[#This Row],[LC Not Filled]]&lt;&gt;"Y"), SnapshotTable[[#This Row],[LC Total Value]]-SnapshotTable[[#This Row],[LC Premium]],"")</f>
        <v/>
      </c>
      <c r="DW43" s="240" t="str">
        <f>IF(ISNUMBER(SnapshotTable[[#This Row],[LC Actual Gain Loss]]), SnapshotTable[[#This Row],[LC Actual Gain Loss]] / SnapshotTable[[#This Row],[LC Premium]],"")</f>
        <v/>
      </c>
      <c r="DX43" s="284" t="str">
        <f>IF(ISNUMBER(SnapshotTable[[#This Row],[LC Book Price]]),SnapshotTable[[#This Row],[LC Book Price]] * 1.5,"")</f>
        <v/>
      </c>
      <c r="DY43" s="265" t="str">
        <f>IF(SnapshotTable[[#This Row],[LC Premium]]&gt;0, SnapshotTable[[#This Row],[LC Next Target]] * SnapshotTable[[#This Row],[LC Qty]] * 100,"")</f>
        <v/>
      </c>
      <c r="DZ43" s="265" t="str">
        <f>IF(ISNUMBER(SnapshotTable[[#This Row],[LC Target Gross]]), SnapshotTable[[#This Row],[LC Target Gross]] - SnapshotTable[[#This Row],[LC Premium]], "")</f>
        <v/>
      </c>
      <c r="EA43" s="305" t="str">
        <f>IF(ISNUMBER(SnapshotTable[[#This Row],[LC Target Gain Loss]]), SnapshotTable[[#This Row],[LC Target Gain Loss]]/SnapshotTable[[#This Row],[LC Premium]], "")</f>
        <v/>
      </c>
      <c r="EB43" s="262"/>
      <c r="EC43" s="283" t="str">
        <f>IF(SnapshotTable[[#This Row],[LC Premium]]&gt;0, SnapshotTable[[#This Row],[LC Book Price]] * (1 - LC_StopLoss_Pct),"")</f>
        <v/>
      </c>
      <c r="ED43" s="284"/>
      <c r="EE43" s="283" t="str">
        <f>IF(ISNUMBER(SnapshotTable[[#This Row],[LC Contract Value]]),IF(ISNUMBER(SnapshotTable[[#This Row],[LC Stop Loss Override]]), SnapshotTable[[#This Row],[LC Stop Loss Override]],SnapshotTable[[#This Row],[LC Stop Loss Calc Target]]),"")</f>
        <v/>
      </c>
      <c r="EF43" s="31" t="str">
        <f>IF(ISNUMBER(SnapshotTable[[#This Row],[LC Stop  To Use]]), (SnapshotTable[[#This Row],[LC Stop  To Use]] * SnapshotTable[[#This Row],[LC Qty]] * 100),"")</f>
        <v/>
      </c>
      <c r="EG43" s="9" t="str">
        <f>IF(ISNUMBER(SnapshotTable[[#This Row],[LC Total Value]]),SnapshotTable[[#This Row],[LC Stop Loss Amount]] - SnapshotTable[[#This Row],[LC Premium]],"")</f>
        <v/>
      </c>
      <c r="EH43" s="9">
        <f>IF(ISNUMBER(SnapshotTable[[#This Row],[LC Premium]]), SnapshotTable[[#This Row],[LC Qty]] * 100 * SnapshotTable[[#This Row],[LC Strike Price]], "")</f>
        <v>0</v>
      </c>
      <c r="EI43" s="240" t="str">
        <f>IF(AND(ISNUMBER(SnapshotTable[[#This Row],[LC Total Value]]),SnapshotTable[[#This Row],[LC Total Value]]&gt;0),SnapshotTable[[#This Row],[LC Stop Gain Loss]]  / SnapshotTable[[#This Row],[LC Premium]],"")</f>
        <v/>
      </c>
      <c r="EJ43" s="35">
        <f>IF(ISNUMBER(SnapshotTable[[#This Row],[Equity Shares]]),TRUNC(SnapshotTable[[#This Row],[Equity Shares]] / 100),0) + SnapshotTable[[#This Row],[LC Qty]]</f>
        <v>0</v>
      </c>
      <c r="EK43" s="147"/>
      <c r="EL43" s="138" t="str">
        <f>IF(SnapshotTable[[#This Row],[SC Exp Date]]&lt;&gt;"",TRUNC(SnapshotTable[[#This Row],[Last Price]]),"")</f>
        <v/>
      </c>
      <c r="EM43" s="148"/>
      <c r="EN43" s="147"/>
      <c r="EO43" s="147"/>
      <c r="EP43" s="138"/>
      <c r="EQ43" s="419" t="b">
        <f>AND(ISNUMBER(SnapshotTable[[#This Row],[SC Exp Date]]), ISNUMBER(SnapshotTable[[#This Row],[SC Strike Price]]), ISNUMBER(SnapshotTable[[#This Row],[SC Qty]]), ISNUMBER(SnapshotTable[[#This Row],[SC Book Date]]), ISNUMBER(SnapshotTable[[#This Row],[SC Book Price]]))</f>
        <v>0</v>
      </c>
      <c r="ER43" s="419" t="b">
        <f>AND(SnapshotTable[[#This Row],[SC Is Booked]], NOT(ISBLANK(SnapshotTable[[#This Row],[SC Fill Date]])))</f>
        <v>0</v>
      </c>
      <c r="ES43" s="370"/>
      <c r="ET43" s="34" t="str">
        <f>IF(AND(ISNUMBER(SnapshotTable[[#This Row],[SC Exp Date]]), ISNUMBER(SnapshotTable[[#This Row],[SC Book Date]])), SnapshotTable[[#This Row],[SC Exp Date]] - MAX(SnapshotTable[[#This Row],[SC Book Date]], SnapshotTable[[#This Row],[SC Fill Date]]) + 1, "")</f>
        <v/>
      </c>
      <c r="EU43" s="34" t="str">
        <f>IF(ISNUMBER(SnapshotTable[[#This Row],[SC Term]]), SnapshotTable[[#This Row],[SC Exp Date]]- MockToday, "")</f>
        <v/>
      </c>
      <c r="EV43" s="31">
        <f>IF(SnapshotTable[[#This Row],[SC Is Booked]], SnapshotTable[[#This Row],[SC Qty]] * SnapshotTable[[#This Row],[SC Book Price]] * 100, 0)</f>
        <v>0</v>
      </c>
      <c r="EW43" s="4" t="str">
        <f>IF(AND(ISNUMBER(SnapshotTable[[#This Row],[Last Price]]), ISNUMBER( SnapshotTable[[#This Row],[SC Book Price]])), SnapshotTable[[#This Row],[Last Price]] - SnapshotTable[[#This Row],[SC Book Price]],"")</f>
        <v/>
      </c>
      <c r="EX43" s="234" t="str">
        <f>IF(SnapshotTable[[#This Row],[SC Is Booked]],IF(SnapshotTable[[#This Row],[SC Intrinsic Value]] &gt; 0, SnapshotTable[[#This Row],[SC Strike Price]], SnapshotTable[[#This Row],[Last Price]]), "")</f>
        <v/>
      </c>
      <c r="EY43" s="4">
        <f>IF(SnapshotTable[[#This Row],[SC Is Booked]], (MinimumPremiumRequired * SnapshotTable[[#This Row],[SC Basis]] * SnapshotTable[[#This Row],[SC Term]]), 0)</f>
        <v>0</v>
      </c>
      <c r="EZ43" s="283"/>
      <c r="FA43" s="218"/>
      <c r="FB43" s="370"/>
      <c r="FC43" s="4">
        <f>IF(SnapshotTable[[#This Row],[SC Is Filled]], btc_max_buyback_amount(SnapshotTable[[#This Row],[SC Fill Date]],SnapshotTable[[#This Row],[SC Exp Date]], SnapshotTable[[#This Row],[SC Book Price]]),0)</f>
        <v>0</v>
      </c>
      <c r="FD43" s="5"/>
      <c r="FE43" s="144" t="str">
        <f>IF(SnapshotTable[[#This Row],[SC Is Filled]], btc_next_cutoff_date(SnapshotTable[[#This Row],[SC Fill Date]],SnapshotTable[[#This Row],[SC Exp Date]]),"")</f>
        <v/>
      </c>
      <c r="FF43" s="4" t="str" cm="1">
        <f t="array" ref="FF43">IF(SnapshotTable[[#This Row],[SC Is Filled]], btc_should_buy_back(SnapshotTable[[#This Row],[SC Fill Date]], SnapshotTable[[#This Row],[SC Exp Date]], SnapshotTable[[#This Row],[SC Book Price]], SnapshotTable[[#This Row],[SC Current Ask]], MockToday, SnapshotTable[[#This Row],[SC Buyback Override]]),"")</f>
        <v/>
      </c>
      <c r="FG43" s="4">
        <f>IF(SnapshotTable[[#This Row],[SC Is Filled]], MAX(0,SnapshotTable[[#This Row],[Last Price]]  - SnapshotTable[[#This Row],[SC Strike Price]]), 0)</f>
        <v>0</v>
      </c>
      <c r="FH43" s="382">
        <f>IF(SnapshotTable[[#This Row],[SC Is Filled]], IF(ISNUMBER(SnapshotTable[[#This Row],[SC Current Ask]]), SnapshotTable[[#This Row],[SC Current Ask]], SnapshotTable[[#This Row],[SC Book Price]]) - SnapshotTable[[#This Row],[SC Intrinsic Value]], 0)</f>
        <v>0</v>
      </c>
      <c r="FI43" s="143"/>
      <c r="FJ43" s="32" t="str">
        <f>IF(SnapshotTable[[#This Row],[SC Is Filled]],100 * SnapshotTable[[#This Row],[SC Qty]] * IF(ISNUMBER(SnapshotTable[[#This Row],[SC Buyback Override]]), SnapshotTable[[#This Row],[SC Buyback Override]], SnapshotTable[[#This Row],[SC Current Ask]]), "")</f>
        <v/>
      </c>
      <c r="FK43" s="250" t="str">
        <f>IF(SnapshotTable[[#This Row],[SC Time Val]]&gt;0, SnapshotTable[[#This Row],[SC Time Val]] / SnapshotTable[[#This Row],[Last Price]],"")</f>
        <v/>
      </c>
      <c r="FL43" s="302" t="str">
        <f>IF(SnapshotTable[[#This Row],[SC Is Booked]], ((SnapshotTable[[#This Row],[Last Price]] -SnapshotTable[[#This Row],[SC Strike Price]]) / SnapshotTable[[#This Row],[Last Price]]) * -1, "")</f>
        <v/>
      </c>
      <c r="FM43" s="157" t="str">
        <f>IF(SnapshotTable[[#This Row],[SC Is Booked]],  (SnapshotTable[[#This Row],[SC Qty]] * 100 * SnapshotTable[[#This Row],[SC Strike Price]]) - SnapshotTable[[#This Row],[SC Current Ask]], "")</f>
        <v/>
      </c>
      <c r="FN4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 s="31" t="str">
        <f>IF(AND(ISNUMBER(SnapshotTable[[#This Row],[SC Exercise Gross]]), ISNUMBER(SnapshotTable[[#This Row],[Equity Basis Per Share]] )), SnapshotTable[[#This Row],[SC Exercise Gross]] - SnapshotTable[[#This Row],[Equity Basis Total]] +  SnapshotTable[[#This Row],[SC Premium]], "")</f>
        <v/>
      </c>
      <c r="FP43" s="5" t="str">
        <f>IF(ISNUMBER(SnapshotTable[[#This Row],[SC Exercise Gross]]), (SnapshotTable[[#This Row],[SC Exercise Gross]]) / (SnapshotTable[[#This Row],[SC Qty]] * 100), "")</f>
        <v/>
      </c>
      <c r="FQ43" s="27" t="str">
        <f>IF(SnapshotTable[[#This Row],[SC Is Booked]],SnapshotTable[[#This Row],[SC Time Val]] /SnapshotTable[[#This Row],[SC Basis]], "")</f>
        <v/>
      </c>
      <c r="FR43" s="27" t="str" cm="1">
        <f t="array" ref="FR43">IF(AND(ISNUMBER(SnapshotTable[[#This Row],[SC Term]]),ISNUMBER(SnapshotTable[[#This Row],[SC Simple ROO]])), EllmanAnnualize(SnapshotTable[[#This Row],[SC DTE]], SnapshotTable[[#This Row],[SC Simple ROO]] ),"")</f>
        <v/>
      </c>
      <c r="FS43" s="4" t="e">
        <f>IF(SnapshotTable[[#This Row],[SC Strike Price]] &gt; SnapshotTable[[#This Row],[Last Price]], SnapshotTable[[#This Row],[SC Strike Price]] - SnapshotTable[[#This Row],[Last Price]],0)</f>
        <v>#VALUE!</v>
      </c>
      <c r="FT43" s="27" t="e">
        <f>IF(AND(ISNUMBER(SnapshotTable[[#This Row],[SC Upside Potential]]), SnapshotTable[[#This Row],[SC Upside Potential]] &gt; 0),(SnapshotTable[[#This Row],[SC Upside Potential]]/ SnapshotTable[[#This Row],[ACB]]),"")</f>
        <v>#VALUE!</v>
      </c>
      <c r="FU43" s="333" t="str">
        <f>IF(SnapshotTable[[#This Row],[SC Intrinsic Value]] &gt; 0,SnapshotTable[[#This Row],[SC Intrinsic Value]],"")</f>
        <v/>
      </c>
      <c r="FV43" s="27" t="str">
        <f>IF(AND( ISNUMBER( SnapshotTable[[#This Row],[ACB]]),ISNUMBER(SnapshotTable[[#This Row],[SC Downside Protect]])),SnapshotTable[[#This Row],[SC Downside Protect]] / SnapshotTable[[#This Row],[ACB]],"")</f>
        <v/>
      </c>
      <c r="FW43" s="236" t="str">
        <f>IF(AND(ISNUMBER(SnapshotTable[[#This Row],[SC Simple ROO]]),SnapshotTable[[#This Row],[SC Simple ROO]] &gt; 0), SnapshotTable[[#This Row],[SC Premium]] + (SnapshotTable[[#This Row],[SC Qty]] * SnapshotTable[[#This Row],[SC Upside Potential]]), "")</f>
        <v/>
      </c>
      <c r="FX43" s="302" t="str" cm="1">
        <f t="array" ref="FX43">IF(ISNUMBER(SnapshotTable[[#This Row],[SC Max Dollars]]), annualize(SnapshotTable[[#This Row],[SC Term]],(SnapshotTable[[#This Row],[SC Max Dollars]]/SnapshotTable[[#This Row],[SC Basis]])),"")</f>
        <v/>
      </c>
      <c r="FY43" s="236" t="str">
        <f>IF(AND(SnapshotTable[[#This Row],[SC Qty]]&gt;0,SnapshotTable[[#This Row],[SC Current Ask]]&gt;0), SnapshotTable[[#This Row],[SC Qty]] * SnapshotTable[[#This Row],[SC Current Ask]] * -100, "")</f>
        <v/>
      </c>
      <c r="FZ43" s="31" t="str">
        <f>IF(ISNUMBER((SnapshotTable[[#This Row],[SC Current Value]])), SnapshotTable[[#This Row],[SC Premium]] + SnapshotTable[[#This Row],[SC Current Value]], "")</f>
        <v/>
      </c>
      <c r="GA43" s="294" t="str">
        <f>IFERROR( IF(ISNUMBER((SnapshotTable[[#This Row],[SC Current Value]])), SnapshotTable[[#This Row],[SC Gain Loss]] / SnapshotTable[[#This Row],[SC Premium]], ""), "")</f>
        <v/>
      </c>
      <c r="GB43" s="42">
        <f>SnapshotTable[[#This Row],[Equity Shares]] * SaleSharesToConsiderPercentage</f>
        <v>0</v>
      </c>
      <c r="GC43" s="40">
        <f>SnapshotTable[[#This Row],[Long Term Target]] * SellingPriceToConsiderBasedOnTargetPercentage</f>
        <v>263.47299999999996</v>
      </c>
      <c r="GD43" s="40">
        <f>SnapshotTable[[#This Row],[Last Price]] * (1+ SellingPriceToConsiderBasedOnTargetPercentage)</f>
        <v>317.84999999999997</v>
      </c>
      <c r="GE43" s="41"/>
      <c r="GF43" s="40"/>
      <c r="GG43" s="31">
        <f>SnapshotTable[[#This Row],[Booked Sale Shares]] * SnapshotTable[[#This Row],[Booked Sale Price]]</f>
        <v>0</v>
      </c>
      <c r="GH43" s="31" t="str">
        <f>IF(SnapshotTable[[#This Row],[Equity Basis Total]] &gt; 0, SnapshotTable[[#This Row],[Equity Basis Per Share]] * SnapshotTable[[#This Row],[Booked Sale Shares]], "")</f>
        <v/>
      </c>
      <c r="GI43" s="31">
        <f>IF(SnapshotTable[[#This Row],[Sale Proceeds]]&gt;0, SnapshotTable[[#This Row],[Sale Proceeds]] - SnapshotTable[[#This Row],[Sale Basis]], 0)</f>
        <v>0</v>
      </c>
      <c r="GJ43" s="27" t="str">
        <f>IF(SnapshotTable[[#This Row],[Sale G/L]]&gt;0, SnapshotTable[[#This Row],[Sale G/L]] / SnapshotTable[[#This Row],[Sale Basis]], IF(ISNUMBER(SnapshotTable[[#This Row],[SC Exercise P&amp;L (TAX)]]), SnapshotTable[[#This Row],[SC Exercise P&amp;L (TAX)]] / SnapshotTable[[#This Row],[SC Basis]], ""))</f>
        <v/>
      </c>
      <c r="GK43" s="27" t="s">
        <v>739</v>
      </c>
      <c r="GL43" s="43" t="str">
        <f>IF(AND(SnapshotTable[[#This Row],[LP Exp Date]]&gt;0,SnapshotTable[[#This Row],[LP Strike Price]]&gt;0), [1]!ToOptionSymbol(SnapshotTable[[#This Row],[Symbol]], SnapshotTable[[#This Row],[LP Strike Price]],SnapshotTable[[#This Row],[LP Exp Date]],1), "")</f>
        <v/>
      </c>
      <c r="GM43" s="30" t="str">
        <f>IF(LEN(SnapshotTable[[#This Row],[LP Symbol]])&gt;0, 1, "")</f>
        <v/>
      </c>
      <c r="GN43" s="43" t="str">
        <f>IF(AND(SnapshotTable[[#This Row],[SP Exp Date]]&gt;0,SnapshotTable[[#This Row],[SP Strike Price]]&gt;0), [1]!ToOptionSymbol(SnapshotTable[[#This Row],[Symbol]], SnapshotTable[[#This Row],[SP Strike Price]],SnapshotTable[[#This Row],[SP Exp Date]],1), "")</f>
        <v/>
      </c>
      <c r="GO43" s="30" t="str">
        <f>IF(LEN(SnapshotTable[[#This Row],[SP Symbol]])&gt;0, 1, "")</f>
        <v/>
      </c>
      <c r="GP43" s="43" t="str">
        <f>IF(AND(SnapshotTable[[#This Row],[LC Exp Date]]&gt;0,SnapshotTable[[#This Row],[LC Strike Price]]&gt;0), [1]!ToOptionSymbol(SnapshotTable[[#This Row],[Symbol]], SnapshotTable[[#This Row],[LC Strike Price]],SnapshotTable[[#This Row],[LC Exp Date]],0), "")</f>
        <v/>
      </c>
      <c r="GQ43" s="30" t="str">
        <f>IF(LEN(SnapshotTable[[#This Row],[LC Symbol]])&gt;0, 1, "")</f>
        <v/>
      </c>
      <c r="GR43" s="43" t="str">
        <f>IF(AND(SnapshotTable[[#This Row],[SC Exp Date]]&gt;0,SnapshotTable[[#This Row],[SC Strike Price]]&gt;0), [1]!ToOptionSymbol(SnapshotTable[[#This Row],[Symbol]], SnapshotTable[[#This Row],[SC Strike Price]],SnapshotTable[[#This Row],[SC Exp Date]],0), "")</f>
        <v/>
      </c>
      <c r="GS43" s="30" t="str">
        <f>IF(LEN(SnapshotTable[[#This Row],[SC Symbol]])&gt;0, 1, "")</f>
        <v/>
      </c>
      <c r="GT43" s="29" t="str">
        <f>IF(COUNT(SnapshotTable[[#This Row],[LP Symbol Count]],SnapshotTable[[#This Row],[SP Symbol Count]],SnapshotTable[[#This Row],[LC Symbol Count]],SnapshotTable[[#This Row],[SC Symbol Count]])&gt;0, "Y", "")</f>
        <v/>
      </c>
      <c r="GU4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 s="231" t="e">
        <f>MAX(SnapshotTable[[#This Row],[Equity Basis Total]],SnapshotTable[[#This Row],[Equity Value]]) + (SnapshotTable[[#This Row],[SP Potential Spend]]- SnapshotTable[[#This Row],[SP Premium]] + SnapshotTable[[#This Row],[LP Premium]])+ (SnapshotTable[[#This Row],[LC Premium]] - SnapshotTable[[#This Row],[SC Premium]])</f>
        <v>#VALUE!</v>
      </c>
      <c r="GW43" s="139" t="e">
        <f>IF(AND(SnapshotTable[[#This Row],[Exposure]] &lt;&gt; 0),SnapshotTable[[#This Row],[Exposure]] / SnapshotTable[[#Totals],[Exposure]], "")</f>
        <v>#VALUE!</v>
      </c>
      <c r="GY43" s="381"/>
      <c r="HE43" s="268"/>
      <c r="HF43" s="268"/>
      <c r="HG43" s="381"/>
      <c r="HH43" s="381"/>
      <c r="HI43" s="381"/>
      <c r="HJ43" s="381"/>
    </row>
    <row r="44" spans="2:224" s="47" customFormat="1" ht="12.75" hidden="1" customHeight="1" x14ac:dyDescent="0.25">
      <c r="B44" s="12" t="s">
        <v>207</v>
      </c>
      <c r="C44" s="422">
        <v>348.74</v>
      </c>
      <c r="D44" s="208"/>
      <c r="E44" s="39">
        <f>SnapshotTable[[#This Row],[Last Price]]*(1 -CrashDiscount)</f>
        <v>296.42899999999997</v>
      </c>
      <c r="F44" s="26" t="s">
        <v>183</v>
      </c>
      <c r="G44" s="26" t="s">
        <v>4</v>
      </c>
      <c r="H44" s="149"/>
      <c r="I44" s="194">
        <v>44764.291666666664</v>
      </c>
      <c r="J44" s="195">
        <v>44764.291666666664</v>
      </c>
      <c r="K44" s="196"/>
      <c r="L44" s="326"/>
      <c r="M44" s="140"/>
      <c r="N44" s="140"/>
      <c r="O44" s="140"/>
      <c r="P44" s="22"/>
      <c r="Q44" s="25"/>
      <c r="R44" s="4" t="str">
        <f>IF(SnapshotTable[[#This Row],[Equity Basis Total]] &gt; 0, SnapshotTable[[#This Row],[Equity Basis Total]] / SnapshotTable[[#This Row],[Equity Shares]], "")</f>
        <v/>
      </c>
      <c r="S44" s="269">
        <f>SnapshotTable[[#This Row],[Last Price]] * SnapshotTable[[#This Row],[Equity Shares]]</f>
        <v>0</v>
      </c>
      <c r="T44" s="269">
        <f>SnapshotTable[[#This Row],[Equity Value]] - SnapshotTable[[#This Row],[Equity Basis Total]]</f>
        <v>0</v>
      </c>
      <c r="U44" s="270" t="str">
        <f>IF(SnapshotTable[[#This Row],[Equity Basis Total]] &gt; 0, SnapshotTable[[#This Row],[Equity G/L]] / SnapshotTable[[#This Row],[Equity Basis Total]], "")</f>
        <v/>
      </c>
      <c r="V44" s="268"/>
      <c r="W44" s="268"/>
      <c r="X44" s="4" t="str">
        <f>IF(AND(ISNUMBER(SnapshotTable[[#This Row],[Equity Basis Per Share]]),ISNUMBER(SnapshotTable[[#This Row],[Equity Target]])),SnapshotTable[[#This Row],[Equity Target]]-SnapshotTable[[#This Row],[Equity Basis Per Share]],"")</f>
        <v/>
      </c>
      <c r="Y44" s="4" t="str">
        <f>IF(AND(ISNUMBER(SnapshotTable[[#This Row],[Equity Basis Per Share]]),ISNUMBER(SnapshotTable[[#This Row],[Equity Stop Loss]])),SnapshotTable[[#This Row],[Equity Stop Loss]]-SnapshotTable[[#This Row],[Equity Basis Per Share]],"")</f>
        <v/>
      </c>
      <c r="Z44" s="275" t="str">
        <f>IFERROR( TEXT(SnapshotTable[[#This Row],[Equity Max Gain Per Share]] /ABS( SnapshotTable[[#This Row],[Equity Max Loss Per Share]]),"0.0 " ) &amp; " : 1", "")</f>
        <v/>
      </c>
      <c r="AA44" s="31" t="str">
        <f>IF(ISNUMBER(SnapshotTable[[#This Row],[Equity Max Gain Per Share]]),SnapshotTable[[#This Row],[Equity Max Gain Per Share]] * SnapshotTable[[#This Row],[Equity Shares]],"")</f>
        <v/>
      </c>
      <c r="AB44" s="31" t="str">
        <f>IF(ISNUMBER(SnapshotTable[[#This Row],[Equity Max Loss Per Share]]),SnapshotTable[[#This Row],[Equity Max Loss Per Share]] * SnapshotTable[[#This Row],[Equity Shares]],"")</f>
        <v/>
      </c>
      <c r="AC44" s="150">
        <v>1.1599999999999999</v>
      </c>
      <c r="AD44" s="151">
        <v>42500</v>
      </c>
      <c r="AE44" s="31">
        <f>(SnapshotTable[[#This Row],[Annual Dividend Per Share]] / 4) * SnapshotTable[[#This Row],[Equity Shares]]</f>
        <v>0</v>
      </c>
      <c r="AF44" s="31">
        <f>SnapshotTable[[#This Row],[Quarterly Div $]] * 4</f>
        <v>0</v>
      </c>
      <c r="AG44" s="7">
        <f>IF(SnapshotTable[[#This Row],[Annual Dividend Per Share]]&gt;0, SnapshotTable[[#This Row],[Annual Dividend Per Share]]  / SnapshotTable[[#This Row],[Last Price]], 0)</f>
        <v>3.3262602511899978E-3</v>
      </c>
      <c r="AH44" s="151">
        <v>42373</v>
      </c>
      <c r="AI44" s="5"/>
      <c r="AJ44" s="138">
        <v>130.32</v>
      </c>
      <c r="AK44" s="152" t="str">
        <f>IF(ISNUMBER( SnapshotTable[[#This Row],[EBF Target]]),(SnapshotTable[[#This Row],[EBF Target]] - SnapshotTable[[#This Row],[Last Price]]) / SnapshotTable[[#This Row],[Last Price]], "")</f>
        <v/>
      </c>
      <c r="AL44" s="152" t="str">
        <f>IF(AND(SnapshotTable[[#This Row],[Equity Basis Total]] &gt; 0,ISNUMBER( SnapshotTable[[#This Row],[Long Term Target]])), SnapshotTable[[#This Row],[From Basis $]] / SnapshotTable[[#This Row],[Equity Basis Total]], "")</f>
        <v/>
      </c>
      <c r="AM44" s="9">
        <f>IF( AND(SnapshotTable[[#This Row],[Equity Shares]] &gt;0,ISNUMBER( SnapshotTable[[#This Row],[Long Term Target]])),(SnapshotTable[[#This Row],[Equity Shares]] * SnapshotTable[[#This Row],[Long Term Target]]) - SnapshotTable[[#This Row],[Equity Basis Total]],0)</f>
        <v>0</v>
      </c>
      <c r="AN44" s="9">
        <f>IF( AND(SnapshotTable[[#This Row],[Equity Shares]] &gt;0,ISNUMBER( SnapshotTable[[#This Row],[Long Term Target]])),(SnapshotTable[[#This Row],[Equity Shares]]*SnapshotTable[[#This Row],[Long Term Target]]) - SnapshotTable[[#This Row],[Equity Value]],0)</f>
        <v>0</v>
      </c>
      <c r="AO44" s="152">
        <f>IF(AND(ISNUMBER( SnapshotTable[[#This Row],[Long Term Target]]), ISNUMBER(SnapshotTable[[#This Row],[Last Price]])),(SnapshotTable[[#This Row],[Long Term Target]] - SnapshotTable[[#This Row],[Last Price]]) / SnapshotTable[[#This Row],[Last Price]], "")</f>
        <v>-0.62631186557320639</v>
      </c>
      <c r="AP44" s="5">
        <v>8</v>
      </c>
      <c r="AQ44" s="38" t="s">
        <v>27</v>
      </c>
      <c r="AR44" s="5">
        <v>8</v>
      </c>
      <c r="AS44" s="38" t="s">
        <v>38</v>
      </c>
      <c r="AT44" s="146" t="s">
        <v>542</v>
      </c>
      <c r="AU44" s="187" t="str">
        <f>IF(OR(SnapshotTable[[#This Row],[LP No Fill]]="Y",SnapshotTable[[#This Row],[SP Is Filled]],SnapshotTable[[#This Row],[LC Not Filled]]="Y",SnapshotTable[[#This Row],[SC Is Filled]]),"Y","")</f>
        <v/>
      </c>
      <c r="AV44" s="219"/>
      <c r="AW44" s="225"/>
      <c r="AX44" s="220"/>
      <c r="AY44" s="219" t="str">
        <f>IF(SnapshotTable[[#This Row],[Implied Move]]&gt;0, SnapshotTable[[#This Row],[Last Price]]-SnapshotTable[[#This Row],[Implied Move]],"")</f>
        <v/>
      </c>
      <c r="AZ44" s="219" t="str">
        <f>IF(SnapshotTable[[#This Row],[Implied Move]]&gt;0, SnapshotTable[[#This Row],[Last Price]] + SnapshotTable[[#This Row],[Implied Move]],"")</f>
        <v/>
      </c>
      <c r="BA44" s="331"/>
      <c r="BB44" s="347"/>
      <c r="BC4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 s="351"/>
      <c r="BE44" s="5"/>
      <c r="BF44" s="14"/>
      <c r="BG44" s="13"/>
      <c r="BH44" s="13"/>
      <c r="BI44" s="5"/>
      <c r="BJ44" s="136">
        <f>IF(SnapshotTable[[#This Row],[LP Qty]] &gt; 0, SnapshotTable[[#This Row],[LP Qty]] * SnapshotTable[[#This Row],[LP Book Price]] * 100,0)</f>
        <v>0</v>
      </c>
      <c r="BK44" s="136">
        <f>IF(SnapshotTable[[#This Row],[LP Premium]] &gt; 0, SnapshotTable[[#This Row],[LP Qty]] * SnapshotTable[[#This Row],[LP Strike Price]] * 100,0)</f>
        <v>0</v>
      </c>
      <c r="BL44" s="154"/>
      <c r="BM44" s="385" t="str">
        <f>IF(SnapshotTable[[#This Row],[LP Premium]] &gt; 0,SnapshotTable[[#This Row],[LP Exp Date]]-MAX(SnapshotTable[[#This Row],[LP Book Date]], SnapshotTable[[#This Row],[LP Fill Date]]),"")</f>
        <v/>
      </c>
      <c r="BN44" s="385" t="str">
        <f>IF(ISNUMBER( SnapshotTable[[#This Row],[LP Term]]), SnapshotTable[[#This Row],[LP Exp Date]] - MockToday,"")</f>
        <v/>
      </c>
      <c r="BO44" s="163" t="str">
        <f>IF(AND(SnapshotTable[[#This Row],[LP Exp Date]]&gt;0, SnapshotTable[[#This Row],[LP Strike Price]]&gt;0,SnapshotTable[[#This Row],[LP Qty]]&gt;0,SnapshotTable[[#This Row],[LP Book Date]]&gt;0,SnapshotTable[[#This Row],[LP Book Price]]&gt;0,SnapshotTable[[#This Row],[LP Fill Date]]=0),"Y","")</f>
        <v/>
      </c>
      <c r="BP44" s="31" t="str">
        <f>IF(AND(SnapshotTable[[#This Row],[LP No Fill]]&lt;&gt;"Y",SnapshotTable[[#This Row],[LP Contract Value]]&gt;0, SnapshotTable[[#This Row],[LP Qty]]&gt;0), SnapshotTable[[#This Row],[LP Contract Value]]*SnapshotTable[[#This Row],[LP Qty]]*100,"")</f>
        <v/>
      </c>
      <c r="BQ44" s="13"/>
      <c r="BR44" s="5" t="str">
        <f>IF(SnapshotTable[[#This Row],[SP Exp Date]]&lt;&gt;"",TRUNC(SnapshotTable[[#This Row],[Last Price]]),"")</f>
        <v/>
      </c>
      <c r="BS44" s="36"/>
      <c r="BT44" s="147"/>
      <c r="BU44" s="13"/>
      <c r="BV44" s="5"/>
      <c r="BW44" s="419" t="b">
        <f>AND(ISNUMBER(SnapshotTable[[#This Row],[SP Exp Date]]), ISNUMBER(SnapshotTable[[#This Row],[SP Strike Price]]), ISNUMBER(SnapshotTable[[#This Row],[SP Qty]]), ISNUMBER(SnapshotTable[[#This Row],[SP Book Date]]), ISNUMBER(SnapshotTable[[#This Row],[SP Book Price]]))</f>
        <v>0</v>
      </c>
      <c r="BX44" s="419" t="b">
        <f>AND(SnapshotTable[[#This Row],[SP Is Booked]], NOT(ISBLANK(SnapshotTable[[#This Row],[SP Fill Date]])))</f>
        <v>0</v>
      </c>
      <c r="BY44" s="33">
        <f>IF(SnapshotTable[[#This Row],[SP Is Booked]], SnapshotTable[[#This Row],[SP Qty]] * SnapshotTable[[#This Row],[SP Book Price]] * 100, 0)</f>
        <v>0</v>
      </c>
      <c r="BZ44" s="369"/>
      <c r="CA44" s="368">
        <f>SnapshotTable[[#This Row],[LP Qty]]</f>
        <v>0</v>
      </c>
      <c r="CB44" s="4" t="str">
        <f>IF(SnapshotTable[[#This Row],[SP Is Booked]], SnapshotTable[[#This Row],[SP Strike Price]] - SnapshotTable[[#This Row],[SP Book Price]], "")</f>
        <v/>
      </c>
      <c r="CC44" s="19" t="str">
        <f>IF(SnapshotTable[[#This Row],[SP Is Booked]],SnapshotTable[[#This Row],[SP Exp Date]]-MAX(SnapshotTable[[#This Row],[SP Book Date]], SnapshotTable[[#This Row],[SP Fill Date]]),"")</f>
        <v/>
      </c>
      <c r="CD44" s="7" t="str">
        <f>IF(SnapshotTable[[#This Row],[SP Is Booked]], SnapshotTable[[#This Row],[SP Book Price]]/SnapshotTable[[#This Row],[SP Strike Price]], "")</f>
        <v/>
      </c>
      <c r="CE44" s="7" t="str">
        <f>IF(ISNUMBER(SnapshotTable[[#This Row],[SP ROO Term]]),SnapshotTable[[#This Row],[SP ROO Term]]*(365/SnapshotTable[[#This Row],[SP Term]]),"")</f>
        <v/>
      </c>
      <c r="CF44" s="236">
        <f>SnapshotTable[[#This Row],[LP Strike Price]] * SnapshotTable[[#This Row],[LP Qty]] * 100</f>
        <v>0</v>
      </c>
      <c r="CG44" s="31" t="e">
        <f>IF(ISNUMBER(SnapshotTable[[#This Row],[SP Premium]]), (SnapshotTable[[#This Row],[SP Qty]] * SnapshotTable[[#This Row],[SP Strike Price]]* 100) - SnapshotTable[[#This Row],[LP Protection]], 0)</f>
        <v>#VALUE!</v>
      </c>
      <c r="CH44" s="7" t="str">
        <f>IF(ISNUMBER(SnapshotTable[[#This Row],[SP Break Even]]),-1 * (SnapshotTable[[#This Row],[SP Break Even]] - SnapshotTable[[#This Row],[Last Price]]) / SnapshotTable[[#This Row],[Last Price]], "")</f>
        <v/>
      </c>
      <c r="CI44" s="31">
        <f>IF(AND(ISNUMBER((SnapshotTable[[#This Row],[SP Potential Spend]])), SnapshotTable[[#This Row],[SP Strike Price]] &gt; SnapshotTable[[#This Row],[Last Price]], SnapshotTable[[#This Row],[SP Is Filled]]), SnapshotTable[[#This Row],[SP Potential Spend]] -  SnapshotTable[[#This Row],[LP Max Value]], 0)</f>
        <v>0</v>
      </c>
      <c r="CJ44" s="244"/>
      <c r="CK44" s="31" t="str">
        <f>IF(ISNUMBER(SnapshotTable[[#This Row],[SP Potential Spend]]),IF(ISNUMBER(SnapshotTable[[#This Row],[SP POW]]), SnapshotTable[[#This Row],[SP POW]] * SnapshotTable[[#This Row],[SP Potential Spend]], SnapshotTable[[#This Row],[SP Potential Spend]]), "")</f>
        <v/>
      </c>
      <c r="CL44" s="164" t="e">
        <f>IF(NOT(SnapshotTable[[#This Row],[SP Is Filled]]),(SnapshotTable[[#This Row],[SP Qty]] * SnapshotTable[[#This Row],[SP Strike Price]] * 100) - SnapshotTable[[#This Row],[LP Max Value]],"")</f>
        <v>#VALUE!</v>
      </c>
      <c r="CM44" s="31" t="str">
        <f>IF(SnapshotTable[[#This Row],[SP Actual Spend]]&lt;&gt;0, ((SnapshotTable[[#This Row],[SP Strike Price]]-SnapshotTable[[#This Row],[Last Price]]) *(SnapshotTable[[#This Row],[SP Qty]]*100) - SnapshotTable[[#This Row],[SP Premium]]) * - 1, "")</f>
        <v/>
      </c>
      <c r="CN44" s="78"/>
      <c r="CO44" s="369"/>
      <c r="CP44" s="4" t="str">
        <f>IF(SnapshotTable[[#This Row],[SP Is Filled]], btc_max_buyback_amount(SnapshotTable[[#This Row],[SP Fill Date]],SnapshotTable[[#This Row],[SP Exp Date]], SnapshotTable[[#This Row],[SP Book Price]]),"")</f>
        <v/>
      </c>
      <c r="CQ44" s="78"/>
      <c r="CR4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 s="155" t="str">
        <f>IF(SnapshotTable[[#This Row],[SP Is Filled]], btc_next_cutoff_date(SnapshotTable[[#This Row],[SP Fill Date]],SnapshotTable[[#This Row],[SP Exp Date]]),"")</f>
        <v/>
      </c>
      <c r="CT44" s="235" t="str" cm="1">
        <f t="array" ref="CT44">IF(SnapshotTable[[#This Row],[SP Is Filled]], btc_should_buy_back(SnapshotTable[[#This Row],[SP Fill Date]], SnapshotTable[[#This Row],[SP Exp Date]], SnapshotTable[[#This Row],[SP Book Price]], SnapshotTable[[#This Row],[SP Current Ask]], MockToday, SnapshotTable[[#This Row],[SP Buyback Override]]),"")</f>
        <v/>
      </c>
      <c r="CU44" s="143"/>
      <c r="CV44" s="235"/>
      <c r="CW44" s="378" t="str">
        <f>IF(ISNUMBER( SnapshotTable[[#This Row],[SP Term]]), SnapshotTable[[#This Row],[SP Exp Date]] - MockToday,"")</f>
        <v/>
      </c>
      <c r="CX44" s="31" t="str">
        <f>IF(SnapshotTable[[#This Row],[SP Is Filled]],SnapshotTable[[#This Row],[SP Buyback Price to Use]] * 100 * SnapshotTable[[#This Row],[SP Qty]], "")</f>
        <v/>
      </c>
      <c r="CY44" s="4" t="str">
        <f>IF(ISNUMBER(SnapshotTable[[#This Row],[SP Strike Price]]), SnapshotTable[[#This Row],[SP Strike Price]] * (1 - SP_MaxLoss_StrikePct), "")</f>
        <v/>
      </c>
      <c r="CZ44" s="31" t="str">
        <f>IF(ISNUMBER(SnapshotTable[[#This Row],[SP Strike  Stop Per Share]]),SnapshotTable[[#This Row],[SP Premium]] - ((SnapshotTable[[#This Row],[SP Strike Price]]-SnapshotTable[[#This Row],[SP Strike  Stop Per Share]]) *(SnapshotTable[[#This Row],[SP Qty]] * 100)),"")</f>
        <v/>
      </c>
      <c r="DA44" s="4" t="str">
        <f>IF(AND(ISNUMBER(SnapshotTable[[#This Row],[SP Premium]]),SnapshotTable[[#This Row],[SP Premium]]&gt;0), SnapshotTable[[#This Row],[SP Book Price]] * (1 + SP_MaxLoss_OptionPct), "")</f>
        <v/>
      </c>
      <c r="DB44" s="31" t="str">
        <f>IF(ISNUMBER(SnapshotTable[[#This Row],[SP Option  Stop Contract]]),(SnapshotTable[[#This Row],[SP Option  Stop Contract]] *(SnapshotTable[[#This Row],[SP Qty]] * 100) - SnapshotTable[[#This Row],[SP Premium]]),"")</f>
        <v/>
      </c>
      <c r="DC44" s="4"/>
      <c r="DD44" s="4"/>
      <c r="DE44" s="4" t="str">
        <f>IF(AND(SnapshotTable[[#This Row],[SP Qty]]&gt;0, SnapshotTable[[#This Row],[SP Stop To Use]]&gt;0),SnapshotTable[[#This Row],[SP Premium]] - ( SnapshotTable[[#This Row],[SP Qty]] * SnapshotTable[[#This Row],[SP Stop To Use]] * 100), "")</f>
        <v/>
      </c>
      <c r="DF44" s="31" t="str">
        <f>IF(AND(SnapshotTable[[#This Row],[SP Qty]]&gt;0,SnapshotTable[[#This Row],[SP Current Ask]]&gt;0), SnapshotTable[[#This Row],[SP Qty]] * SnapshotTable[[#This Row],[SP Current Ask]] * -100, "")</f>
        <v/>
      </c>
      <c r="DG44" s="31" t="str">
        <f>IF(ISNUMBER((SnapshotTable[[#This Row],[SP Total Value]])), SnapshotTable[[#This Row],[SP Premium]] + SnapshotTable[[#This Row],[SP Total Value]], "")</f>
        <v/>
      </c>
      <c r="DH44" s="294" t="str">
        <f>IF(ISNUMBER((SnapshotTable[[#This Row],[SP Total Value]])), SnapshotTable[[#This Row],[SP Gain Loss]] / SnapshotTable[[#This Row],[SP Premium]], "")</f>
        <v/>
      </c>
      <c r="DI44" s="406"/>
      <c r="DJ44" s="138"/>
      <c r="DK44" s="148"/>
      <c r="DL44" s="13"/>
      <c r="DM44" s="13"/>
      <c r="DN44" s="5"/>
      <c r="DO44" s="31">
        <f>IF(SnapshotTable[[#This Row],[LC Symbol Count]]=1, SnapshotTable[[#This Row],[LC Qty]] * SnapshotTable[[#This Row],[LC Book Price]] * 100, 0)</f>
        <v>0</v>
      </c>
      <c r="DP44" s="163" t="str">
        <f>IF(AND(SnapshotTable[[#This Row],[LC Exp Date]]&gt;0, SnapshotTable[[#This Row],[LC Strike Price]]&gt;0,SnapshotTable[[#This Row],[LC Qty]]&gt;0,SnapshotTable[[#This Row],[LC Book Date]]&gt;0,SnapshotTable[[#This Row],[LC Book Price]]&gt;0,SnapshotTable[[#This Row],[LC Fill Date]]=0),"Y","")</f>
        <v/>
      </c>
      <c r="DQ44" s="386" t="str">
        <f>IF(SnapshotTable[[#This Row],[LC Premium]] &gt; 0,SnapshotTable[[#This Row],[LC Exp Date]]-MAX(SnapshotTable[[#This Row],[LC Book Date]], SnapshotTable[[#This Row],[LC Fill Date]]),"")</f>
        <v/>
      </c>
      <c r="DR44" s="386" t="str">
        <f>IF(ISNUMBER(SnapshotTable[[#This Row],[LC Term]]), SnapshotTable[[#This Row],[LC Exp Date]] - MockToday, "")</f>
        <v/>
      </c>
      <c r="DS44" s="234" t="str">
        <f>IF(SnapshotTable[[#This Row],[LC Premium]]&gt;0,SnapshotTable[[#This Row],[LC Strike Price]] + SnapshotTable[[#This Row],[LC Book Price]],"")</f>
        <v/>
      </c>
      <c r="DT44" s="5"/>
      <c r="DU44" s="9" t="str">
        <f>IF(AND(SnapshotTable[[#This Row],[LC Symbol Count]]&gt;0, SnapshotTable[[#This Row],[LC Contract Value]]&gt;0), SnapshotTable[[#This Row],[LC Contract Value]] * SnapshotTable[[#This Row],[LC Qty]] * 100, "")</f>
        <v/>
      </c>
      <c r="DV44" s="9" t="str">
        <f>IF(AND(ISNUMBER(SnapshotTable[[#This Row],[LC Total Value]]), SnapshotTable[[#This Row],[LC Not Filled]]&lt;&gt;"Y"), SnapshotTable[[#This Row],[LC Total Value]]-SnapshotTable[[#This Row],[LC Premium]],"")</f>
        <v/>
      </c>
      <c r="DW44" s="240" t="str">
        <f>IF(ISNUMBER(SnapshotTable[[#This Row],[LC Actual Gain Loss]]), SnapshotTable[[#This Row],[LC Actual Gain Loss]] / SnapshotTable[[#This Row],[LC Premium]],"")</f>
        <v/>
      </c>
      <c r="DX44" s="284" t="str">
        <f>IF(ISNUMBER(SnapshotTable[[#This Row],[LC Book Price]]),SnapshotTable[[#This Row],[LC Book Price]] * 1.5,"")</f>
        <v/>
      </c>
      <c r="DY44" s="265" t="str">
        <f>IF(SnapshotTable[[#This Row],[LC Premium]]&gt;0, SnapshotTable[[#This Row],[LC Next Target]] * SnapshotTable[[#This Row],[LC Qty]] * 100,"")</f>
        <v/>
      </c>
      <c r="DZ44" s="265" t="str">
        <f>IF(ISNUMBER(SnapshotTable[[#This Row],[LC Target Gross]]), SnapshotTable[[#This Row],[LC Target Gross]] - SnapshotTable[[#This Row],[LC Premium]], "")</f>
        <v/>
      </c>
      <c r="EA44" s="305" t="str">
        <f>IF(ISNUMBER(SnapshotTable[[#This Row],[LC Target Gain Loss]]), SnapshotTable[[#This Row],[LC Target Gain Loss]]/SnapshotTable[[#This Row],[LC Premium]], "")</f>
        <v/>
      </c>
      <c r="EB44" s="262"/>
      <c r="EC44" s="283" t="str">
        <f>IF(SnapshotTable[[#This Row],[LC Premium]]&gt;0, SnapshotTable[[#This Row],[LC Book Price]] * (1 - LC_StopLoss_Pct),"")</f>
        <v/>
      </c>
      <c r="ED44" s="284"/>
      <c r="EE44" s="283" t="str">
        <f>IF(ISNUMBER(SnapshotTable[[#This Row],[LC Contract Value]]),IF(ISNUMBER(SnapshotTable[[#This Row],[LC Stop Loss Override]]), SnapshotTable[[#This Row],[LC Stop Loss Override]],SnapshotTable[[#This Row],[LC Stop Loss Calc Target]]),"")</f>
        <v/>
      </c>
      <c r="EF44" s="31" t="str">
        <f>IF(ISNUMBER(SnapshotTable[[#This Row],[LC Stop  To Use]]), (SnapshotTable[[#This Row],[LC Stop  To Use]] * SnapshotTable[[#This Row],[LC Qty]] * 100),"")</f>
        <v/>
      </c>
      <c r="EG44" s="9" t="str">
        <f>IF(ISNUMBER(SnapshotTable[[#This Row],[LC Total Value]]),SnapshotTable[[#This Row],[LC Stop Loss Amount]] - SnapshotTable[[#This Row],[LC Premium]],"")</f>
        <v/>
      </c>
      <c r="EH44" s="9">
        <f>IF(ISNUMBER(SnapshotTable[[#This Row],[LC Premium]]), SnapshotTable[[#This Row],[LC Qty]] * 100 * SnapshotTable[[#This Row],[LC Strike Price]], "")</f>
        <v>0</v>
      </c>
      <c r="EI44" s="240" t="str">
        <f>IF(AND(ISNUMBER(SnapshotTable[[#This Row],[LC Total Value]]),SnapshotTable[[#This Row],[LC Total Value]]&gt;0),SnapshotTable[[#This Row],[LC Stop Gain Loss]]  / SnapshotTable[[#This Row],[LC Premium]],"")</f>
        <v/>
      </c>
      <c r="EJ44" s="35">
        <f>IF(ISNUMBER(SnapshotTable[[#This Row],[Equity Shares]]),TRUNC(SnapshotTable[[#This Row],[Equity Shares]] / 100),0) + SnapshotTable[[#This Row],[LC Qty]]</f>
        <v>0</v>
      </c>
      <c r="EK44" s="147"/>
      <c r="EL44" s="138" t="str">
        <f>IF(SnapshotTable[[#This Row],[SC Exp Date]]&lt;&gt;"",TRUNC(SnapshotTable[[#This Row],[Last Price]]),"")</f>
        <v/>
      </c>
      <c r="EM44" s="148"/>
      <c r="EN44" s="147"/>
      <c r="EO44" s="147"/>
      <c r="EP44" s="138"/>
      <c r="EQ44" s="419" t="b">
        <f>AND(ISNUMBER(SnapshotTable[[#This Row],[SC Exp Date]]), ISNUMBER(SnapshotTable[[#This Row],[SC Strike Price]]), ISNUMBER(SnapshotTable[[#This Row],[SC Qty]]), ISNUMBER(SnapshotTable[[#This Row],[SC Book Date]]), ISNUMBER(SnapshotTable[[#This Row],[SC Book Price]]))</f>
        <v>0</v>
      </c>
      <c r="ER44" s="419" t="b">
        <f>AND(SnapshotTable[[#This Row],[SC Is Booked]], NOT(ISBLANK(SnapshotTable[[#This Row],[SC Fill Date]])))</f>
        <v>0</v>
      </c>
      <c r="ES44" s="370"/>
      <c r="ET44" s="34" t="str">
        <f>IF(AND(ISNUMBER(SnapshotTable[[#This Row],[SC Exp Date]]), ISNUMBER(SnapshotTable[[#This Row],[SC Book Date]])), SnapshotTable[[#This Row],[SC Exp Date]] - MAX(SnapshotTable[[#This Row],[SC Book Date]], SnapshotTable[[#This Row],[SC Fill Date]]) + 1, "")</f>
        <v/>
      </c>
      <c r="EU44" s="34" t="str">
        <f>IF(ISNUMBER(SnapshotTable[[#This Row],[SC Term]]), SnapshotTable[[#This Row],[SC Exp Date]]- MockToday, "")</f>
        <v/>
      </c>
      <c r="EV44" s="31">
        <f>IF(SnapshotTable[[#This Row],[SC Is Booked]], SnapshotTable[[#This Row],[SC Qty]] * SnapshotTable[[#This Row],[SC Book Price]] * 100, 0)</f>
        <v>0</v>
      </c>
      <c r="EW44" s="4" t="str">
        <f>IF(AND(ISNUMBER(SnapshotTable[[#This Row],[Last Price]]), ISNUMBER( SnapshotTable[[#This Row],[SC Book Price]])), SnapshotTable[[#This Row],[Last Price]] - SnapshotTable[[#This Row],[SC Book Price]],"")</f>
        <v/>
      </c>
      <c r="EX44" s="234" t="str">
        <f>IF(SnapshotTable[[#This Row],[SC Is Booked]],IF(SnapshotTable[[#This Row],[SC Intrinsic Value]] &gt; 0, SnapshotTable[[#This Row],[SC Strike Price]], SnapshotTable[[#This Row],[Last Price]]), "")</f>
        <v/>
      </c>
      <c r="EY44" s="4">
        <f>IF(SnapshotTable[[#This Row],[SC Is Booked]], (MinimumPremiumRequired * SnapshotTable[[#This Row],[SC Basis]] * SnapshotTable[[#This Row],[SC Term]]), 0)</f>
        <v>0</v>
      </c>
      <c r="EZ44" s="283"/>
      <c r="FA44" s="218"/>
      <c r="FB44" s="370"/>
      <c r="FC44" s="4">
        <f>IF(SnapshotTable[[#This Row],[SC Is Filled]], btc_max_buyback_amount(SnapshotTable[[#This Row],[SC Fill Date]],SnapshotTable[[#This Row],[SC Exp Date]], SnapshotTable[[#This Row],[SC Book Price]]),0)</f>
        <v>0</v>
      </c>
      <c r="FD44" s="5"/>
      <c r="FE44" s="144" t="str">
        <f>IF(SnapshotTable[[#This Row],[SC Is Filled]], btc_next_cutoff_date(SnapshotTable[[#This Row],[SC Fill Date]],SnapshotTable[[#This Row],[SC Exp Date]]),"")</f>
        <v/>
      </c>
      <c r="FF44" s="4" t="str" cm="1">
        <f t="array" ref="FF44">IF(SnapshotTable[[#This Row],[SC Is Filled]], btc_should_buy_back(SnapshotTable[[#This Row],[SC Fill Date]], SnapshotTable[[#This Row],[SC Exp Date]], SnapshotTable[[#This Row],[SC Book Price]], SnapshotTable[[#This Row],[SC Current Ask]], MockToday, SnapshotTable[[#This Row],[SC Buyback Override]]),"")</f>
        <v/>
      </c>
      <c r="FG44" s="4">
        <f>IF(SnapshotTable[[#This Row],[SC Is Filled]], MAX(0,SnapshotTable[[#This Row],[Last Price]]  - SnapshotTable[[#This Row],[SC Strike Price]]), 0)</f>
        <v>0</v>
      </c>
      <c r="FH44" s="382">
        <f>IF(SnapshotTable[[#This Row],[SC Is Filled]], IF(ISNUMBER(SnapshotTable[[#This Row],[SC Current Ask]]), SnapshotTable[[#This Row],[SC Current Ask]], SnapshotTable[[#This Row],[SC Book Price]]) - SnapshotTable[[#This Row],[SC Intrinsic Value]], 0)</f>
        <v>0</v>
      </c>
      <c r="FI44" s="143"/>
      <c r="FJ44" s="32" t="str">
        <f>IF(SnapshotTable[[#This Row],[SC Is Filled]],100 * SnapshotTable[[#This Row],[SC Qty]] * IF(ISNUMBER(SnapshotTable[[#This Row],[SC Buyback Override]]), SnapshotTable[[#This Row],[SC Buyback Override]], SnapshotTable[[#This Row],[SC Current Ask]]), "")</f>
        <v/>
      </c>
      <c r="FK44" s="250" t="str">
        <f>IF(SnapshotTable[[#This Row],[SC Time Val]]&gt;0, SnapshotTable[[#This Row],[SC Time Val]] / SnapshotTable[[#This Row],[Last Price]],"")</f>
        <v/>
      </c>
      <c r="FL44" s="302" t="str">
        <f>IF(SnapshotTable[[#This Row],[SC Is Booked]], ((SnapshotTable[[#This Row],[Last Price]] -SnapshotTable[[#This Row],[SC Strike Price]]) / SnapshotTable[[#This Row],[Last Price]]) * -1, "")</f>
        <v/>
      </c>
      <c r="FM44" s="157" t="str">
        <f>IF(SnapshotTable[[#This Row],[SC Is Booked]],  (SnapshotTable[[#This Row],[SC Qty]] * 100 * SnapshotTable[[#This Row],[SC Strike Price]]) - SnapshotTable[[#This Row],[SC Current Ask]], "")</f>
        <v/>
      </c>
      <c r="FN4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 s="31" t="str">
        <f>IF(AND(ISNUMBER(SnapshotTable[[#This Row],[SC Exercise Gross]]), ISNUMBER(SnapshotTable[[#This Row],[Equity Basis Per Share]] )), SnapshotTable[[#This Row],[SC Exercise Gross]] - SnapshotTable[[#This Row],[Equity Basis Total]] +  SnapshotTable[[#This Row],[SC Premium]], "")</f>
        <v/>
      </c>
      <c r="FP44" s="5" t="str">
        <f>IF(ISNUMBER(SnapshotTable[[#This Row],[SC Exercise Gross]]), (SnapshotTable[[#This Row],[SC Exercise Gross]]) / (SnapshotTable[[#This Row],[SC Qty]] * 100), "")</f>
        <v/>
      </c>
      <c r="FQ44" s="27" t="str">
        <f>IF(SnapshotTable[[#This Row],[SC Is Booked]],SnapshotTable[[#This Row],[SC Time Val]] /SnapshotTable[[#This Row],[SC Basis]], "")</f>
        <v/>
      </c>
      <c r="FR44" s="27" t="str" cm="1">
        <f t="array" ref="FR44">IF(AND(ISNUMBER(SnapshotTable[[#This Row],[SC Term]]),ISNUMBER(SnapshotTable[[#This Row],[SC Simple ROO]])), EllmanAnnualize(SnapshotTable[[#This Row],[SC DTE]], SnapshotTable[[#This Row],[SC Simple ROO]] ),"")</f>
        <v/>
      </c>
      <c r="FS44" s="4" t="e">
        <f>IF(SnapshotTable[[#This Row],[SC Strike Price]] &gt; SnapshotTable[[#This Row],[Last Price]], SnapshotTable[[#This Row],[SC Strike Price]] - SnapshotTable[[#This Row],[Last Price]],0)</f>
        <v>#VALUE!</v>
      </c>
      <c r="FT44" s="27" t="e">
        <f>IF(AND(ISNUMBER(SnapshotTable[[#This Row],[SC Upside Potential]]), SnapshotTable[[#This Row],[SC Upside Potential]] &gt; 0),(SnapshotTable[[#This Row],[SC Upside Potential]]/ SnapshotTable[[#This Row],[ACB]]),"")</f>
        <v>#VALUE!</v>
      </c>
      <c r="FU44" s="333" t="str">
        <f>IF(SnapshotTable[[#This Row],[SC Intrinsic Value]] &gt; 0,SnapshotTable[[#This Row],[SC Intrinsic Value]],"")</f>
        <v/>
      </c>
      <c r="FV44" s="27" t="str">
        <f>IF(AND( ISNUMBER( SnapshotTable[[#This Row],[ACB]]),ISNUMBER(SnapshotTable[[#This Row],[SC Downside Protect]])),SnapshotTable[[#This Row],[SC Downside Protect]] / SnapshotTable[[#This Row],[ACB]],"")</f>
        <v/>
      </c>
      <c r="FW44" s="236" t="str">
        <f>IF(AND(ISNUMBER(SnapshotTable[[#This Row],[SC Simple ROO]]),SnapshotTable[[#This Row],[SC Simple ROO]] &gt; 0), SnapshotTable[[#This Row],[SC Premium]] + (SnapshotTable[[#This Row],[SC Qty]] * SnapshotTable[[#This Row],[SC Upside Potential]]), "")</f>
        <v/>
      </c>
      <c r="FX44" s="302" t="str" cm="1">
        <f t="array" ref="FX44">IF(ISNUMBER(SnapshotTable[[#This Row],[SC Max Dollars]]), annualize(SnapshotTable[[#This Row],[SC Term]],(SnapshotTable[[#This Row],[SC Max Dollars]]/SnapshotTable[[#This Row],[SC Basis]])),"")</f>
        <v/>
      </c>
      <c r="FY44" s="236" t="str">
        <f>IF(AND(SnapshotTable[[#This Row],[SC Qty]]&gt;0,SnapshotTable[[#This Row],[SC Current Ask]]&gt;0), SnapshotTable[[#This Row],[SC Qty]] * SnapshotTable[[#This Row],[SC Current Ask]] * -100, "")</f>
        <v/>
      </c>
      <c r="FZ44" s="31" t="str">
        <f>IF(ISNUMBER((SnapshotTable[[#This Row],[SC Current Value]])), SnapshotTable[[#This Row],[SC Premium]] + SnapshotTable[[#This Row],[SC Current Value]], "")</f>
        <v/>
      </c>
      <c r="GA44" s="294" t="str">
        <f>IFERROR( IF(ISNUMBER((SnapshotTable[[#This Row],[SC Current Value]])), SnapshotTable[[#This Row],[SC Gain Loss]] / SnapshotTable[[#This Row],[SC Premium]], ""), "")</f>
        <v/>
      </c>
      <c r="GB44" s="42">
        <f>SnapshotTable[[#This Row],[Equity Shares]] * SaleSharesToConsiderPercentage</f>
        <v>0</v>
      </c>
      <c r="GC44" s="40">
        <f>SnapshotTable[[#This Row],[Long Term Target]] * SellingPriceToConsiderBasedOnTargetPercentage</f>
        <v>123.80399999999999</v>
      </c>
      <c r="GD44" s="40">
        <f>SnapshotTable[[#This Row],[Last Price]] * (1+ SellingPriceToConsiderBasedOnTargetPercentage)</f>
        <v>680.04300000000001</v>
      </c>
      <c r="GE44" s="41">
        <v>200</v>
      </c>
      <c r="GF44" s="40">
        <v>83.58</v>
      </c>
      <c r="GG44" s="31">
        <f>SnapshotTable[[#This Row],[Booked Sale Shares]] * SnapshotTable[[#This Row],[Booked Sale Price]]</f>
        <v>16716</v>
      </c>
      <c r="GH44" s="31" t="str">
        <f>IF(SnapshotTable[[#This Row],[Equity Basis Total]] &gt; 0, SnapshotTable[[#This Row],[Equity Basis Per Share]] * SnapshotTable[[#This Row],[Booked Sale Shares]], "")</f>
        <v/>
      </c>
      <c r="GI44" s="31" t="e">
        <f>IF(SnapshotTable[[#This Row],[Sale Proceeds]]&gt;0, SnapshotTable[[#This Row],[Sale Proceeds]] - SnapshotTable[[#This Row],[Sale Basis]], 0)</f>
        <v>#VALUE!</v>
      </c>
      <c r="GJ44" s="27" t="e">
        <f>IF(SnapshotTable[[#This Row],[Sale G/L]]&gt;0, SnapshotTable[[#This Row],[Sale G/L]] / SnapshotTable[[#This Row],[Sale Basis]], IF(ISNUMBER(SnapshotTable[[#This Row],[SC Exercise P&amp;L (TAX)]]), SnapshotTable[[#This Row],[SC Exercise P&amp;L (TAX)]] / SnapshotTable[[#This Row],[SC Basis]], ""))</f>
        <v>#VALUE!</v>
      </c>
      <c r="GK44" s="27" t="s">
        <v>641</v>
      </c>
      <c r="GL44" s="43" t="str">
        <f>IF(AND(SnapshotTable[[#This Row],[LP Exp Date]]&gt;0,SnapshotTable[[#This Row],[LP Strike Price]]&gt;0), [1]!ToOptionSymbol(SnapshotTable[[#This Row],[Symbol]], SnapshotTable[[#This Row],[LP Strike Price]],SnapshotTable[[#This Row],[LP Exp Date]],1), "")</f>
        <v/>
      </c>
      <c r="GM44" s="30" t="str">
        <f>IF(LEN(SnapshotTable[[#This Row],[LP Symbol]])&gt;0, 1, "")</f>
        <v/>
      </c>
      <c r="GN44" s="43" t="str">
        <f>IF(AND(SnapshotTable[[#This Row],[SP Exp Date]]&gt;0,SnapshotTable[[#This Row],[SP Strike Price]]&gt;0), [1]!ToOptionSymbol(SnapshotTable[[#This Row],[Symbol]], SnapshotTable[[#This Row],[SP Strike Price]],SnapshotTable[[#This Row],[SP Exp Date]],1), "")</f>
        <v/>
      </c>
      <c r="GO44" s="30" t="str">
        <f>IF(LEN(SnapshotTable[[#This Row],[SP Symbol]])&gt;0, 1, "")</f>
        <v/>
      </c>
      <c r="GP44" s="43" t="str">
        <f>IF(AND(SnapshotTable[[#This Row],[LC Exp Date]]&gt;0,SnapshotTable[[#This Row],[LC Strike Price]]&gt;0), [1]!ToOptionSymbol(SnapshotTable[[#This Row],[Symbol]], SnapshotTable[[#This Row],[LC Strike Price]],SnapshotTable[[#This Row],[LC Exp Date]],0), "")</f>
        <v/>
      </c>
      <c r="GQ44" s="30" t="str">
        <f>IF(LEN(SnapshotTable[[#This Row],[LC Symbol]])&gt;0, 1, "")</f>
        <v/>
      </c>
      <c r="GR44" s="43" t="str">
        <f>IF(AND(SnapshotTable[[#This Row],[SC Exp Date]]&gt;0,SnapshotTable[[#This Row],[SC Strike Price]]&gt;0), [1]!ToOptionSymbol(SnapshotTable[[#This Row],[Symbol]], SnapshotTable[[#This Row],[SC Strike Price]],SnapshotTable[[#This Row],[SC Exp Date]],0), "")</f>
        <v/>
      </c>
      <c r="GS44" s="30" t="str">
        <f>IF(LEN(SnapshotTable[[#This Row],[SC Symbol]])&gt;0, 1, "")</f>
        <v/>
      </c>
      <c r="GT44" s="29" t="str">
        <f>IF(COUNT(SnapshotTable[[#This Row],[LP Symbol Count]],SnapshotTable[[#This Row],[SP Symbol Count]],SnapshotTable[[#This Row],[LC Symbol Count]],SnapshotTable[[#This Row],[SC Symbol Count]])&gt;0, "Y", "")</f>
        <v/>
      </c>
      <c r="GU4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 s="231" t="e">
        <f>MAX(SnapshotTable[[#This Row],[Equity Basis Total]],SnapshotTable[[#This Row],[Equity Value]]) + (SnapshotTable[[#This Row],[SP Potential Spend]]- SnapshotTable[[#This Row],[SP Premium]] + SnapshotTable[[#This Row],[LP Premium]])+ (SnapshotTable[[#This Row],[LC Premium]] - SnapshotTable[[#This Row],[SC Premium]])</f>
        <v>#VALUE!</v>
      </c>
      <c r="GW44" s="139" t="e">
        <f>IF(AND(SnapshotTable[[#This Row],[Exposure]] &lt;&gt; 0),SnapshotTable[[#This Row],[Exposure]] / SnapshotTable[[#Totals],[Exposure]], "")</f>
        <v>#VALUE!</v>
      </c>
      <c r="GY44" s="381"/>
      <c r="HE44" s="268"/>
      <c r="HF44" s="268"/>
      <c r="HG44" s="381"/>
      <c r="HH44" s="381"/>
      <c r="HI44" s="381"/>
      <c r="HJ44" s="381"/>
    </row>
    <row r="45" spans="2:224" s="47" customFormat="1" ht="12.75" hidden="1" customHeight="1" x14ac:dyDescent="0.25">
      <c r="B45" s="12" t="s">
        <v>947</v>
      </c>
      <c r="C45" s="422">
        <v>32.799999999999997</v>
      </c>
      <c r="D45" s="208" t="s">
        <v>578</v>
      </c>
      <c r="E45" s="39">
        <f>SnapshotTable[[#This Row],[Last Price]]*(1 -CrashDiscount)</f>
        <v>27.879999999999995</v>
      </c>
      <c r="F45" s="26" t="s">
        <v>948</v>
      </c>
      <c r="G45" s="26" t="s">
        <v>41</v>
      </c>
      <c r="H45" s="149"/>
      <c r="I45" s="194">
        <v>44767.677083333336</v>
      </c>
      <c r="J45" s="195">
        <v>44767.677083333336</v>
      </c>
      <c r="K45" s="196"/>
      <c r="L45" s="326"/>
      <c r="M45" s="140"/>
      <c r="N45" s="140"/>
      <c r="O45" s="140"/>
      <c r="P45" s="22"/>
      <c r="Q45" s="25"/>
      <c r="R45" s="4" t="str">
        <f>IF(SnapshotTable[[#This Row],[Equity Basis Total]] &gt; 0, SnapshotTable[[#This Row],[Equity Basis Total]] / SnapshotTable[[#This Row],[Equity Shares]], "")</f>
        <v/>
      </c>
      <c r="S45" s="269">
        <f>SnapshotTable[[#This Row],[Last Price]] * SnapshotTable[[#This Row],[Equity Shares]]</f>
        <v>0</v>
      </c>
      <c r="T45" s="269">
        <f>SnapshotTable[[#This Row],[Equity Value]] - SnapshotTable[[#This Row],[Equity Basis Total]]</f>
        <v>0</v>
      </c>
      <c r="U45" s="270" t="str">
        <f>IF(SnapshotTable[[#This Row],[Equity Basis Total]] &gt; 0, SnapshotTable[[#This Row],[Equity G/L]] / SnapshotTable[[#This Row],[Equity Basis Total]], "")</f>
        <v/>
      </c>
      <c r="V45" s="268"/>
      <c r="W45" s="268"/>
      <c r="X45" s="4" t="str">
        <f>IF(AND(ISNUMBER(SnapshotTable[[#This Row],[Equity Basis Per Share]]),ISNUMBER(SnapshotTable[[#This Row],[Equity Target]])),SnapshotTable[[#This Row],[Equity Target]]-SnapshotTable[[#This Row],[Equity Basis Per Share]],"")</f>
        <v/>
      </c>
      <c r="Y45" s="4" t="str">
        <f>IF(AND(ISNUMBER(SnapshotTable[[#This Row],[Equity Basis Per Share]]),ISNUMBER(SnapshotTable[[#This Row],[Equity Stop Loss]])),SnapshotTable[[#This Row],[Equity Stop Loss]]-SnapshotTable[[#This Row],[Equity Basis Per Share]],"")</f>
        <v/>
      </c>
      <c r="Z45" s="275" t="str">
        <f>IFERROR( TEXT(SnapshotTable[[#This Row],[Equity Max Gain Per Share]] /ABS( SnapshotTable[[#This Row],[Equity Max Loss Per Share]]),"0.0 " ) &amp; " : 1", "")</f>
        <v/>
      </c>
      <c r="AA45" s="31" t="str">
        <f>IF(ISNUMBER(SnapshotTable[[#This Row],[Equity Max Gain Per Share]]),SnapshotTable[[#This Row],[Equity Max Gain Per Share]] * SnapshotTable[[#This Row],[Equity Shares]],"")</f>
        <v/>
      </c>
      <c r="AB45" s="31" t="str">
        <f>IF(ISNUMBER(SnapshotTable[[#This Row],[Equity Max Loss Per Share]]),SnapshotTable[[#This Row],[Equity Max Loss Per Share]] * SnapshotTable[[#This Row],[Equity Shares]],"")</f>
        <v/>
      </c>
      <c r="AC45" s="150"/>
      <c r="AD45" s="151"/>
      <c r="AE45" s="31">
        <f>(SnapshotTable[[#This Row],[Annual Dividend Per Share]] / 4) * SnapshotTable[[#This Row],[Equity Shares]]</f>
        <v>0</v>
      </c>
      <c r="AF45" s="31">
        <f>SnapshotTable[[#This Row],[Quarterly Div $]] * 4</f>
        <v>0</v>
      </c>
      <c r="AG45" s="7">
        <f>IF(SnapshotTable[[#This Row],[Annual Dividend Per Share]]&gt;0, SnapshotTable[[#This Row],[Annual Dividend Per Share]]  / SnapshotTable[[#This Row],[Last Price]], 0)</f>
        <v>0</v>
      </c>
      <c r="AH45" s="151"/>
      <c r="AI45" s="5"/>
      <c r="AJ45" s="138">
        <v>32.75</v>
      </c>
      <c r="AK45" s="152" t="str">
        <f>IF(ISNUMBER( SnapshotTable[[#This Row],[EBF Target]]),(SnapshotTable[[#This Row],[EBF Target]] - SnapshotTable[[#This Row],[Last Price]]) / SnapshotTable[[#This Row],[Last Price]], "")</f>
        <v/>
      </c>
      <c r="AL45" s="152" t="str">
        <f>IF(AND(SnapshotTable[[#This Row],[Equity Basis Total]] &gt; 0,ISNUMBER( SnapshotTable[[#This Row],[Long Term Target]])), SnapshotTable[[#This Row],[From Basis $]] / SnapshotTable[[#This Row],[Equity Basis Total]], "")</f>
        <v/>
      </c>
      <c r="AM45" s="9">
        <f>IF( AND(SnapshotTable[[#This Row],[Equity Shares]] &gt;0,ISNUMBER( SnapshotTable[[#This Row],[Long Term Target]])),(SnapshotTable[[#This Row],[Equity Shares]] * SnapshotTable[[#This Row],[Long Term Target]]) - SnapshotTable[[#This Row],[Equity Basis Total]],0)</f>
        <v>0</v>
      </c>
      <c r="AN45" s="9">
        <f>IF( AND(SnapshotTable[[#This Row],[Equity Shares]] &gt;0,ISNUMBER( SnapshotTable[[#This Row],[Long Term Target]])),(SnapshotTable[[#This Row],[Equity Shares]]*SnapshotTable[[#This Row],[Long Term Target]]) - SnapshotTable[[#This Row],[Equity Value]],0)</f>
        <v>0</v>
      </c>
      <c r="AO45" s="152">
        <f>IF(AND(ISNUMBER( SnapshotTable[[#This Row],[Long Term Target]]), ISNUMBER(SnapshotTable[[#This Row],[Last Price]])),(SnapshotTable[[#This Row],[Long Term Target]] - SnapshotTable[[#This Row],[Last Price]]) / SnapshotTable[[#This Row],[Last Price]], "")</f>
        <v>-1.5243902439023526E-3</v>
      </c>
      <c r="AP45" s="5">
        <v>8</v>
      </c>
      <c r="AQ45" s="38" t="s">
        <v>27</v>
      </c>
      <c r="AR45" s="5">
        <v>8</v>
      </c>
      <c r="AS45" s="38" t="s">
        <v>38</v>
      </c>
      <c r="AT45" s="146" t="s">
        <v>542</v>
      </c>
      <c r="AU45" s="187" t="str">
        <f>IF(OR(SnapshotTable[[#This Row],[LP No Fill]]="Y",SnapshotTable[[#This Row],[SP Is Filled]],SnapshotTable[[#This Row],[LC Not Filled]]="Y",SnapshotTable[[#This Row],[SC Is Filled]]),"Y","")</f>
        <v/>
      </c>
      <c r="AV45" s="219"/>
      <c r="AW45" s="225"/>
      <c r="AX45" s="220"/>
      <c r="AY45" s="219" t="str">
        <f>IF(SnapshotTable[[#This Row],[Implied Move]]&gt;0, SnapshotTable[[#This Row],[Last Price]]-SnapshotTable[[#This Row],[Implied Move]],"")</f>
        <v/>
      </c>
      <c r="AZ45" s="219" t="str">
        <f>IF(SnapshotTable[[#This Row],[Implied Move]]&gt;0, SnapshotTable[[#This Row],[Last Price]] + SnapshotTable[[#This Row],[Implied Move]],"")</f>
        <v/>
      </c>
      <c r="BA45" s="331"/>
      <c r="BB45" s="347"/>
      <c r="BC4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 s="351"/>
      <c r="BE45" s="174"/>
      <c r="BF45" s="175"/>
      <c r="BG45" s="176"/>
      <c r="BH45" s="176"/>
      <c r="BI45" s="5"/>
      <c r="BJ45" s="153">
        <f>IF(SnapshotTable[[#This Row],[LP Qty]] &gt; 0, SnapshotTable[[#This Row],[LP Qty]] * SnapshotTable[[#This Row],[LP Book Price]] * 100,0)</f>
        <v>0</v>
      </c>
      <c r="BK45" s="136">
        <f>IF(SnapshotTable[[#This Row],[LP Premium]] &gt; 0, SnapshotTable[[#This Row],[LP Qty]] * SnapshotTable[[#This Row],[LP Strike Price]] * 100,0)</f>
        <v>0</v>
      </c>
      <c r="BL45" s="154"/>
      <c r="BM45" s="385" t="str">
        <f>IF(SnapshotTable[[#This Row],[LP Premium]] &gt; 0,SnapshotTable[[#This Row],[LP Exp Date]]-MAX(SnapshotTable[[#This Row],[LP Book Date]], SnapshotTable[[#This Row],[LP Fill Date]]),"")</f>
        <v/>
      </c>
      <c r="BN45" s="385" t="str">
        <f>IF(ISNUMBER( SnapshotTable[[#This Row],[LP Term]]), SnapshotTable[[#This Row],[LP Exp Date]] - MockToday,"")</f>
        <v/>
      </c>
      <c r="BO45" s="163" t="str">
        <f>IF(AND(SnapshotTable[[#This Row],[LP Exp Date]]&gt;0, SnapshotTable[[#This Row],[LP Strike Price]]&gt;0,SnapshotTable[[#This Row],[LP Qty]]&gt;0,SnapshotTable[[#This Row],[LP Book Date]]&gt;0,SnapshotTable[[#This Row],[LP Book Price]]&gt;0,SnapshotTable[[#This Row],[LP Fill Date]]=0),"Y","")</f>
        <v/>
      </c>
      <c r="BP45" s="31" t="str">
        <f>IF(AND(SnapshotTable[[#This Row],[LP No Fill]]&lt;&gt;"Y",SnapshotTable[[#This Row],[LP Contract Value]]&gt;0, SnapshotTable[[#This Row],[LP Qty]]&gt;0), SnapshotTable[[#This Row],[LP Contract Value]]*SnapshotTable[[#This Row],[LP Qty]]*100,"")</f>
        <v/>
      </c>
      <c r="BQ45" s="13"/>
      <c r="BR45" s="5" t="str">
        <f>IF(SnapshotTable[[#This Row],[SP Exp Date]]&lt;&gt;"",TRUNC(SnapshotTable[[#This Row],[Last Price]]),"")</f>
        <v/>
      </c>
      <c r="BS45" s="36"/>
      <c r="BT45" s="147"/>
      <c r="BU45" s="13"/>
      <c r="BV45" s="5"/>
      <c r="BW45" s="419" t="b">
        <f>AND(ISNUMBER(SnapshotTable[[#This Row],[SP Exp Date]]), ISNUMBER(SnapshotTable[[#This Row],[SP Strike Price]]), ISNUMBER(SnapshotTable[[#This Row],[SP Qty]]), ISNUMBER(SnapshotTable[[#This Row],[SP Book Date]]), ISNUMBER(SnapshotTable[[#This Row],[SP Book Price]]))</f>
        <v>0</v>
      </c>
      <c r="BX45" s="419" t="b">
        <f>AND(SnapshotTable[[#This Row],[SP Is Booked]], NOT(ISBLANK(SnapshotTable[[#This Row],[SP Fill Date]])))</f>
        <v>0</v>
      </c>
      <c r="BY45" s="33">
        <f>IF(SnapshotTable[[#This Row],[SP Is Booked]], SnapshotTable[[#This Row],[SP Qty]] * SnapshotTable[[#This Row],[SP Book Price]] * 100, 0)</f>
        <v>0</v>
      </c>
      <c r="BZ45" s="369"/>
      <c r="CA45" s="368">
        <f>SnapshotTable[[#This Row],[LP Qty]]</f>
        <v>0</v>
      </c>
      <c r="CB45" s="4" t="str">
        <f>IF(SnapshotTable[[#This Row],[SP Is Booked]], SnapshotTable[[#This Row],[SP Strike Price]] - SnapshotTable[[#This Row],[SP Book Price]], "")</f>
        <v/>
      </c>
      <c r="CC45" s="19" t="str">
        <f>IF(SnapshotTable[[#This Row],[SP Is Booked]],SnapshotTable[[#This Row],[SP Exp Date]]-MAX(SnapshotTable[[#This Row],[SP Book Date]], SnapshotTable[[#This Row],[SP Fill Date]]),"")</f>
        <v/>
      </c>
      <c r="CD45" s="7" t="str">
        <f>IF(SnapshotTable[[#This Row],[SP Is Booked]], SnapshotTable[[#This Row],[SP Book Price]]/SnapshotTable[[#This Row],[SP Strike Price]], "")</f>
        <v/>
      </c>
      <c r="CE45" s="7" t="str">
        <f>IF(ISNUMBER(SnapshotTable[[#This Row],[SP ROO Term]]),SnapshotTable[[#This Row],[SP ROO Term]]*(365/SnapshotTable[[#This Row],[SP Term]]),"")</f>
        <v/>
      </c>
      <c r="CF45" s="236">
        <f>SnapshotTable[[#This Row],[LP Strike Price]] * SnapshotTable[[#This Row],[LP Qty]] * 100</f>
        <v>0</v>
      </c>
      <c r="CG45" s="31" t="e">
        <f>IF(ISNUMBER(SnapshotTable[[#This Row],[SP Premium]]), (SnapshotTable[[#This Row],[SP Qty]] * SnapshotTable[[#This Row],[SP Strike Price]]* 100) - SnapshotTable[[#This Row],[LP Protection]], 0)</f>
        <v>#VALUE!</v>
      </c>
      <c r="CH45" s="7" t="str">
        <f>IF(ISNUMBER(SnapshotTable[[#This Row],[SP Break Even]]),-1 * (SnapshotTable[[#This Row],[SP Break Even]] - SnapshotTable[[#This Row],[Last Price]]) / SnapshotTable[[#This Row],[Last Price]], "")</f>
        <v/>
      </c>
      <c r="CI45" s="31">
        <f>IF(AND(ISNUMBER((SnapshotTable[[#This Row],[SP Potential Spend]])), SnapshotTable[[#This Row],[SP Strike Price]] &gt; SnapshotTable[[#This Row],[Last Price]], SnapshotTable[[#This Row],[SP Is Filled]]), SnapshotTable[[#This Row],[SP Potential Spend]] -  SnapshotTable[[#This Row],[LP Max Value]], 0)</f>
        <v>0</v>
      </c>
      <c r="CJ45" s="244"/>
      <c r="CK45" s="31" t="str">
        <f>IF(ISNUMBER(SnapshotTable[[#This Row],[SP Potential Spend]]),IF(ISNUMBER(SnapshotTable[[#This Row],[SP POW]]), SnapshotTable[[#This Row],[SP POW]] * SnapshotTable[[#This Row],[SP Potential Spend]], SnapshotTable[[#This Row],[SP Potential Spend]]), "")</f>
        <v/>
      </c>
      <c r="CL45" s="164" t="e">
        <f>IF(NOT(SnapshotTable[[#This Row],[SP Is Filled]]),(SnapshotTable[[#This Row],[SP Qty]] * SnapshotTable[[#This Row],[SP Strike Price]] * 100) - SnapshotTable[[#This Row],[LP Max Value]],"")</f>
        <v>#VALUE!</v>
      </c>
      <c r="CM45" s="31" t="str">
        <f>IF(SnapshotTable[[#This Row],[SP Actual Spend]]&lt;&gt;0, ((SnapshotTable[[#This Row],[SP Strike Price]]-SnapshotTable[[#This Row],[Last Price]]) *(SnapshotTable[[#This Row],[SP Qty]]*100) - SnapshotTable[[#This Row],[SP Premium]]) * - 1, "")</f>
        <v/>
      </c>
      <c r="CN45" s="154"/>
      <c r="CO45" s="369"/>
      <c r="CP45" s="4" t="str">
        <f>IF(SnapshotTable[[#This Row],[SP Is Filled]], btc_max_buyback_amount(SnapshotTable[[#This Row],[SP Fill Date]],SnapshotTable[[#This Row],[SP Exp Date]], SnapshotTable[[#This Row],[SP Book Price]]),"")</f>
        <v/>
      </c>
      <c r="CQ45" s="78"/>
      <c r="CR4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 s="155" t="str">
        <f>IF(SnapshotTable[[#This Row],[SP Is Filled]], btc_next_cutoff_date(SnapshotTable[[#This Row],[SP Fill Date]],SnapshotTable[[#This Row],[SP Exp Date]]),"")</f>
        <v/>
      </c>
      <c r="CT45" s="235" t="str" cm="1">
        <f t="array" ref="CT45">IF(SnapshotTable[[#This Row],[SP Is Filled]], btc_should_buy_back(SnapshotTable[[#This Row],[SP Fill Date]], SnapshotTable[[#This Row],[SP Exp Date]], SnapshotTable[[#This Row],[SP Book Price]], SnapshotTable[[#This Row],[SP Current Ask]], MockToday, SnapshotTable[[#This Row],[SP Buyback Override]]),"")</f>
        <v/>
      </c>
      <c r="CU45" s="156"/>
      <c r="CV45" s="235"/>
      <c r="CW45" s="378" t="str">
        <f>IF(ISNUMBER( SnapshotTable[[#This Row],[SP Term]]), SnapshotTable[[#This Row],[SP Exp Date]] - MockToday,"")</f>
        <v/>
      </c>
      <c r="CX45" s="31" t="str">
        <f>IF(SnapshotTable[[#This Row],[SP Is Filled]],SnapshotTable[[#This Row],[SP Buyback Price to Use]] * 100 * SnapshotTable[[#This Row],[SP Qty]], "")</f>
        <v/>
      </c>
      <c r="CY45" s="4" t="str">
        <f>IF(ISNUMBER(SnapshotTable[[#This Row],[SP Strike Price]]), SnapshotTable[[#This Row],[SP Strike Price]] * (1 - SP_MaxLoss_StrikePct), "")</f>
        <v/>
      </c>
      <c r="CZ45" s="31" t="str">
        <f>IF(ISNUMBER(SnapshotTable[[#This Row],[SP Strike  Stop Per Share]]),SnapshotTable[[#This Row],[SP Premium]] - ((SnapshotTable[[#This Row],[SP Strike Price]]-SnapshotTable[[#This Row],[SP Strike  Stop Per Share]]) *(SnapshotTable[[#This Row],[SP Qty]] * 100)),"")</f>
        <v/>
      </c>
      <c r="DA45" s="4" t="str">
        <f>IF(AND(ISNUMBER(SnapshotTable[[#This Row],[SP Premium]]),SnapshotTable[[#This Row],[SP Premium]]&gt;0), SnapshotTable[[#This Row],[SP Book Price]] * (1 + SP_MaxLoss_OptionPct), "")</f>
        <v/>
      </c>
      <c r="DB45" s="31" t="str">
        <f>IF(ISNUMBER(SnapshotTable[[#This Row],[SP Option  Stop Contract]]),(SnapshotTable[[#This Row],[SP Option  Stop Contract]] *(SnapshotTable[[#This Row],[SP Qty]] * 100) - SnapshotTable[[#This Row],[SP Premium]]),"")</f>
        <v/>
      </c>
      <c r="DC45" s="4"/>
      <c r="DD45" s="4"/>
      <c r="DE45" s="4" t="str">
        <f>IF(AND(SnapshotTable[[#This Row],[SP Qty]]&gt;0, SnapshotTable[[#This Row],[SP Stop To Use]]&gt;0),SnapshotTable[[#This Row],[SP Premium]] - ( SnapshotTable[[#This Row],[SP Qty]] * SnapshotTable[[#This Row],[SP Stop To Use]] * 100), "")</f>
        <v/>
      </c>
      <c r="DF45" s="31" t="str">
        <f>IF(AND(SnapshotTable[[#This Row],[SP Qty]]&gt;0,SnapshotTable[[#This Row],[SP Current Ask]]&gt;0), SnapshotTable[[#This Row],[SP Qty]] * SnapshotTable[[#This Row],[SP Current Ask]] * -100, "")</f>
        <v/>
      </c>
      <c r="DG45" s="31" t="str">
        <f>IF(ISNUMBER((SnapshotTable[[#This Row],[SP Total Value]])), SnapshotTable[[#This Row],[SP Premium]] + SnapshotTable[[#This Row],[SP Total Value]], "")</f>
        <v/>
      </c>
      <c r="DH45" s="294" t="str">
        <f>IF(ISNUMBER((SnapshotTable[[#This Row],[SP Total Value]])), SnapshotTable[[#This Row],[SP Gain Loss]] / SnapshotTable[[#This Row],[SP Premium]], "")</f>
        <v/>
      </c>
      <c r="DI45" s="406"/>
      <c r="DJ45" s="138"/>
      <c r="DK45" s="148"/>
      <c r="DL45" s="13"/>
      <c r="DM45" s="13"/>
      <c r="DN45" s="5"/>
      <c r="DO45" s="31">
        <f>IF(SnapshotTable[[#This Row],[LC Symbol Count]]=1, SnapshotTable[[#This Row],[LC Qty]] * SnapshotTable[[#This Row],[LC Book Price]] * 100, 0)</f>
        <v>0</v>
      </c>
      <c r="DP45" s="163" t="str">
        <f>IF(AND(SnapshotTable[[#This Row],[LC Exp Date]]&gt;0, SnapshotTable[[#This Row],[LC Strike Price]]&gt;0,SnapshotTable[[#This Row],[LC Qty]]&gt;0,SnapshotTable[[#This Row],[LC Book Date]]&gt;0,SnapshotTable[[#This Row],[LC Book Price]]&gt;0,SnapshotTable[[#This Row],[LC Fill Date]]=0),"Y","")</f>
        <v/>
      </c>
      <c r="DQ45" s="386" t="str">
        <f>IF(SnapshotTable[[#This Row],[LC Premium]] &gt; 0,SnapshotTable[[#This Row],[LC Exp Date]]-MAX(SnapshotTable[[#This Row],[LC Book Date]], SnapshotTable[[#This Row],[LC Fill Date]]),"")</f>
        <v/>
      </c>
      <c r="DR45" s="386" t="str">
        <f>IF(ISNUMBER(SnapshotTable[[#This Row],[LC Term]]), SnapshotTable[[#This Row],[LC Exp Date]] - MockToday, "")</f>
        <v/>
      </c>
      <c r="DS45" s="234" t="str">
        <f>IF(SnapshotTable[[#This Row],[LC Premium]]&gt;0,SnapshotTable[[#This Row],[LC Strike Price]] + SnapshotTable[[#This Row],[LC Book Price]],"")</f>
        <v/>
      </c>
      <c r="DT45" s="5"/>
      <c r="DU45" s="9" t="str">
        <f>IF(AND(SnapshotTable[[#This Row],[LC Symbol Count]]&gt;0, SnapshotTable[[#This Row],[LC Contract Value]]&gt;0), SnapshotTable[[#This Row],[LC Contract Value]] * SnapshotTable[[#This Row],[LC Qty]] * 100, "")</f>
        <v/>
      </c>
      <c r="DV45" s="9" t="str">
        <f>IF(AND(ISNUMBER(SnapshotTable[[#This Row],[LC Total Value]]), SnapshotTable[[#This Row],[LC Not Filled]]&lt;&gt;"Y"), SnapshotTable[[#This Row],[LC Total Value]]-SnapshotTable[[#This Row],[LC Premium]],"")</f>
        <v/>
      </c>
      <c r="DW45" s="240" t="str">
        <f>IF(ISNUMBER(SnapshotTable[[#This Row],[LC Actual Gain Loss]]), SnapshotTable[[#This Row],[LC Actual Gain Loss]] / SnapshotTable[[#This Row],[LC Premium]],"")</f>
        <v/>
      </c>
      <c r="DX45" s="284" t="str">
        <f>IF(ISNUMBER(SnapshotTable[[#This Row],[LC Book Price]]),SnapshotTable[[#This Row],[LC Book Price]] * 1.5,"")</f>
        <v/>
      </c>
      <c r="DY45" s="265" t="str">
        <f>IF(SnapshotTable[[#This Row],[LC Premium]]&gt;0, SnapshotTable[[#This Row],[LC Next Target]] * SnapshotTable[[#This Row],[LC Qty]] * 100,"")</f>
        <v/>
      </c>
      <c r="DZ45" s="265" t="str">
        <f>IF(ISNUMBER(SnapshotTable[[#This Row],[LC Target Gross]]), SnapshotTable[[#This Row],[LC Target Gross]] - SnapshotTable[[#This Row],[LC Premium]], "")</f>
        <v/>
      </c>
      <c r="EA45" s="305" t="str">
        <f>IF(ISNUMBER(SnapshotTable[[#This Row],[LC Target Gain Loss]]), SnapshotTable[[#This Row],[LC Target Gain Loss]]/SnapshotTable[[#This Row],[LC Premium]], "")</f>
        <v/>
      </c>
      <c r="EB45" s="262"/>
      <c r="EC45" s="283" t="str">
        <f>IF(SnapshotTable[[#This Row],[LC Premium]]&gt;0, SnapshotTable[[#This Row],[LC Book Price]] * (1 - LC_StopLoss_Pct),"")</f>
        <v/>
      </c>
      <c r="ED45" s="284"/>
      <c r="EE45" s="283" t="str">
        <f>IF(ISNUMBER(SnapshotTable[[#This Row],[LC Contract Value]]),IF(ISNUMBER(SnapshotTable[[#This Row],[LC Stop Loss Override]]), SnapshotTable[[#This Row],[LC Stop Loss Override]],SnapshotTable[[#This Row],[LC Stop Loss Calc Target]]),"")</f>
        <v/>
      </c>
      <c r="EF45" s="31" t="str">
        <f>IF(ISNUMBER(SnapshotTable[[#This Row],[LC Stop  To Use]]), (SnapshotTable[[#This Row],[LC Stop  To Use]] * SnapshotTable[[#This Row],[LC Qty]] * 100),"")</f>
        <v/>
      </c>
      <c r="EG45" s="9" t="str">
        <f>IF(ISNUMBER(SnapshotTable[[#This Row],[LC Total Value]]),SnapshotTable[[#This Row],[LC Stop Loss Amount]] - SnapshotTable[[#This Row],[LC Premium]],"")</f>
        <v/>
      </c>
      <c r="EH45" s="9">
        <f>IF(ISNUMBER(SnapshotTable[[#This Row],[LC Premium]]), SnapshotTable[[#This Row],[LC Qty]] * 100 * SnapshotTable[[#This Row],[LC Strike Price]], "")</f>
        <v>0</v>
      </c>
      <c r="EI45" s="240" t="str">
        <f>IF(AND(ISNUMBER(SnapshotTable[[#This Row],[LC Total Value]]),SnapshotTable[[#This Row],[LC Total Value]]&gt;0),SnapshotTable[[#This Row],[LC Stop Gain Loss]]  / SnapshotTable[[#This Row],[LC Premium]],"")</f>
        <v/>
      </c>
      <c r="EJ45" s="35">
        <f>IF(ISNUMBER(SnapshotTable[[#This Row],[Equity Shares]]),TRUNC(SnapshotTable[[#This Row],[Equity Shares]] / 100),0) + SnapshotTable[[#This Row],[LC Qty]]</f>
        <v>0</v>
      </c>
      <c r="EK45" s="147"/>
      <c r="EL45" s="138" t="str">
        <f>IF(SnapshotTable[[#This Row],[SC Exp Date]]&lt;&gt;"",TRUNC(SnapshotTable[[#This Row],[Last Price]]),"")</f>
        <v/>
      </c>
      <c r="EM45" s="148"/>
      <c r="EN45" s="147"/>
      <c r="EO45" s="147"/>
      <c r="EP45" s="138"/>
      <c r="EQ45" s="419" t="b">
        <f>AND(ISNUMBER(SnapshotTable[[#This Row],[SC Exp Date]]), ISNUMBER(SnapshotTable[[#This Row],[SC Strike Price]]), ISNUMBER(SnapshotTable[[#This Row],[SC Qty]]), ISNUMBER(SnapshotTable[[#This Row],[SC Book Date]]), ISNUMBER(SnapshotTable[[#This Row],[SC Book Price]]))</f>
        <v>0</v>
      </c>
      <c r="ER45" s="419" t="b">
        <f>AND(SnapshotTable[[#This Row],[SC Is Booked]], NOT(ISBLANK(SnapshotTable[[#This Row],[SC Fill Date]])))</f>
        <v>0</v>
      </c>
      <c r="ES45" s="370"/>
      <c r="ET45" s="34" t="str">
        <f>IF(AND(ISNUMBER(SnapshotTable[[#This Row],[SC Exp Date]]), ISNUMBER(SnapshotTable[[#This Row],[SC Book Date]])), SnapshotTable[[#This Row],[SC Exp Date]] - MAX(SnapshotTable[[#This Row],[SC Book Date]], SnapshotTable[[#This Row],[SC Fill Date]]) + 1, "")</f>
        <v/>
      </c>
      <c r="EU45" s="34" t="str">
        <f>IF(ISNUMBER(SnapshotTable[[#This Row],[SC Term]]), SnapshotTable[[#This Row],[SC Exp Date]]- MockToday, "")</f>
        <v/>
      </c>
      <c r="EV45" s="31">
        <f>IF(SnapshotTable[[#This Row],[SC Is Booked]], SnapshotTable[[#This Row],[SC Qty]] * SnapshotTable[[#This Row],[SC Book Price]] * 100, 0)</f>
        <v>0</v>
      </c>
      <c r="EW45" s="4" t="str">
        <f>IF(AND(ISNUMBER(SnapshotTable[[#This Row],[Last Price]]), ISNUMBER( SnapshotTable[[#This Row],[SC Book Price]])), SnapshotTable[[#This Row],[Last Price]] - SnapshotTable[[#This Row],[SC Book Price]],"")</f>
        <v/>
      </c>
      <c r="EX45" s="234" t="str">
        <f>IF(SnapshotTable[[#This Row],[SC Is Booked]],IF(SnapshotTable[[#This Row],[SC Intrinsic Value]] &gt; 0, SnapshotTable[[#This Row],[SC Strike Price]], SnapshotTable[[#This Row],[Last Price]]), "")</f>
        <v/>
      </c>
      <c r="EY45" s="4">
        <f>IF(SnapshotTable[[#This Row],[SC Is Booked]], (MinimumPremiumRequired * SnapshotTable[[#This Row],[SC Basis]] * SnapshotTable[[#This Row],[SC Term]]), 0)</f>
        <v>0</v>
      </c>
      <c r="EZ45" s="283"/>
      <c r="FA45" s="218"/>
      <c r="FB45" s="370"/>
      <c r="FC45" s="4">
        <f>IF(SnapshotTable[[#This Row],[SC Is Filled]], btc_max_buyback_amount(SnapshotTable[[#This Row],[SC Fill Date]],SnapshotTable[[#This Row],[SC Exp Date]], SnapshotTable[[#This Row],[SC Book Price]]),0)</f>
        <v>0</v>
      </c>
      <c r="FD45" s="5"/>
      <c r="FE45" s="144" t="str">
        <f>IF(SnapshotTable[[#This Row],[SC Is Filled]], btc_next_cutoff_date(SnapshotTable[[#This Row],[SC Fill Date]],SnapshotTable[[#This Row],[SC Exp Date]]),"")</f>
        <v/>
      </c>
      <c r="FF45" s="4" t="str" cm="1">
        <f t="array" ref="FF45">IF(SnapshotTable[[#This Row],[SC Is Filled]], btc_should_buy_back(SnapshotTable[[#This Row],[SC Fill Date]], SnapshotTable[[#This Row],[SC Exp Date]], SnapshotTable[[#This Row],[SC Book Price]], SnapshotTable[[#This Row],[SC Current Ask]], MockToday, SnapshotTable[[#This Row],[SC Buyback Override]]),"")</f>
        <v/>
      </c>
      <c r="FG45" s="4">
        <f>IF(SnapshotTable[[#This Row],[SC Is Filled]], MAX(0,SnapshotTable[[#This Row],[Last Price]]  - SnapshotTable[[#This Row],[SC Strike Price]]), 0)</f>
        <v>0</v>
      </c>
      <c r="FH45" s="382">
        <f>IF(SnapshotTable[[#This Row],[SC Is Filled]], IF(ISNUMBER(SnapshotTable[[#This Row],[SC Current Ask]]), SnapshotTable[[#This Row],[SC Current Ask]], SnapshotTable[[#This Row],[SC Book Price]]) - SnapshotTable[[#This Row],[SC Intrinsic Value]], 0)</f>
        <v>0</v>
      </c>
      <c r="FI45" s="143"/>
      <c r="FJ45" s="32" t="str">
        <f>IF(SnapshotTable[[#This Row],[SC Is Filled]],100 * SnapshotTable[[#This Row],[SC Qty]] * IF(ISNUMBER(SnapshotTable[[#This Row],[SC Buyback Override]]), SnapshotTable[[#This Row],[SC Buyback Override]], SnapshotTable[[#This Row],[SC Current Ask]]), "")</f>
        <v/>
      </c>
      <c r="FK45" s="250" t="str">
        <f>IF(SnapshotTable[[#This Row],[SC Time Val]]&gt;0, SnapshotTable[[#This Row],[SC Time Val]] / SnapshotTable[[#This Row],[Last Price]],"")</f>
        <v/>
      </c>
      <c r="FL45" s="302" t="str">
        <f>IF(SnapshotTable[[#This Row],[SC Is Booked]], ((SnapshotTable[[#This Row],[Last Price]] -SnapshotTable[[#This Row],[SC Strike Price]]) / SnapshotTable[[#This Row],[Last Price]]) * -1, "")</f>
        <v/>
      </c>
      <c r="FM45" s="157" t="str">
        <f>IF(SnapshotTable[[#This Row],[SC Is Booked]],  (SnapshotTable[[#This Row],[SC Qty]] * 100 * SnapshotTable[[#This Row],[SC Strike Price]]) - SnapshotTable[[#This Row],[SC Current Ask]], "")</f>
        <v/>
      </c>
      <c r="FN45"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 s="157" t="str">
        <f>IF(AND(ISNUMBER(SnapshotTable[[#This Row],[SC Exercise Gross]]), ISNUMBER(SnapshotTable[[#This Row],[Equity Basis Per Share]] )), SnapshotTable[[#This Row],[SC Exercise Gross]] - SnapshotTable[[#This Row],[Equity Basis Total]] +  SnapshotTable[[#This Row],[SC Premium]], "")</f>
        <v/>
      </c>
      <c r="FP45" s="5" t="str">
        <f>IF(ISNUMBER(SnapshotTable[[#This Row],[SC Exercise Gross]]), (SnapshotTable[[#This Row],[SC Exercise Gross]]) / (SnapshotTable[[#This Row],[SC Qty]] * 100), "")</f>
        <v/>
      </c>
      <c r="FQ45" s="27" t="str">
        <f>IF(SnapshotTable[[#This Row],[SC Is Booked]],SnapshotTable[[#This Row],[SC Time Val]] /SnapshotTable[[#This Row],[SC Basis]], "")</f>
        <v/>
      </c>
      <c r="FR45" s="27" t="str" cm="1">
        <f t="array" ref="FR45">IF(AND(ISNUMBER(SnapshotTable[[#This Row],[SC Term]]),ISNUMBER(SnapshotTable[[#This Row],[SC Simple ROO]])), EllmanAnnualize(SnapshotTable[[#This Row],[SC DTE]], SnapshotTable[[#This Row],[SC Simple ROO]] ),"")</f>
        <v/>
      </c>
      <c r="FS45" s="4" t="e">
        <f>IF(SnapshotTable[[#This Row],[SC Strike Price]] &gt; SnapshotTable[[#This Row],[Last Price]], SnapshotTable[[#This Row],[SC Strike Price]] - SnapshotTable[[#This Row],[Last Price]],0)</f>
        <v>#VALUE!</v>
      </c>
      <c r="FT45" s="27" t="e">
        <f>IF(AND(ISNUMBER(SnapshotTable[[#This Row],[SC Upside Potential]]), SnapshotTable[[#This Row],[SC Upside Potential]] &gt; 0),(SnapshotTable[[#This Row],[SC Upside Potential]]/ SnapshotTable[[#This Row],[ACB]]),"")</f>
        <v>#VALUE!</v>
      </c>
      <c r="FU45" s="333" t="str">
        <f>IF(SnapshotTable[[#This Row],[SC Intrinsic Value]] &gt; 0,SnapshotTable[[#This Row],[SC Intrinsic Value]],"")</f>
        <v/>
      </c>
      <c r="FV45" s="27" t="str">
        <f>IF(AND( ISNUMBER( SnapshotTable[[#This Row],[ACB]]),ISNUMBER(SnapshotTable[[#This Row],[SC Downside Protect]])),SnapshotTable[[#This Row],[SC Downside Protect]] / SnapshotTable[[#This Row],[ACB]],"")</f>
        <v/>
      </c>
      <c r="FW45" s="236" t="str">
        <f>IF(AND(ISNUMBER(SnapshotTable[[#This Row],[SC Simple ROO]]),SnapshotTable[[#This Row],[SC Simple ROO]] &gt; 0), SnapshotTable[[#This Row],[SC Premium]] + (SnapshotTable[[#This Row],[SC Qty]] * SnapshotTable[[#This Row],[SC Upside Potential]]), "")</f>
        <v/>
      </c>
      <c r="FX45" s="302" t="str" cm="1">
        <f t="array" ref="FX45">IF(ISNUMBER(SnapshotTable[[#This Row],[SC Max Dollars]]), annualize(SnapshotTable[[#This Row],[SC Term]],(SnapshotTable[[#This Row],[SC Max Dollars]]/SnapshotTable[[#This Row],[SC Basis]])),"")</f>
        <v/>
      </c>
      <c r="FY45" s="236" t="str">
        <f>IF(AND(SnapshotTable[[#This Row],[SC Qty]]&gt;0,SnapshotTable[[#This Row],[SC Current Ask]]&gt;0), SnapshotTable[[#This Row],[SC Qty]] * SnapshotTable[[#This Row],[SC Current Ask]] * -100, "")</f>
        <v/>
      </c>
      <c r="FZ45" s="31" t="str">
        <f>IF(ISNUMBER((SnapshotTable[[#This Row],[SC Current Value]])), SnapshotTable[[#This Row],[SC Premium]] + SnapshotTable[[#This Row],[SC Current Value]], "")</f>
        <v/>
      </c>
      <c r="GA45" s="294" t="str">
        <f>IFERROR( IF(ISNUMBER((SnapshotTable[[#This Row],[SC Current Value]])), SnapshotTable[[#This Row],[SC Gain Loss]] / SnapshotTable[[#This Row],[SC Premium]], ""), "")</f>
        <v/>
      </c>
      <c r="GB45" s="177">
        <f>SnapshotTable[[#This Row],[Equity Shares]] * SaleSharesToConsiderPercentage</f>
        <v>0</v>
      </c>
      <c r="GC45" s="178">
        <f>SnapshotTable[[#This Row],[Long Term Target]] * SellingPriceToConsiderBasedOnTargetPercentage</f>
        <v>31.112499999999997</v>
      </c>
      <c r="GD45" s="178">
        <f>SnapshotTable[[#This Row],[Last Price]] * (1+ SellingPriceToConsiderBasedOnTargetPercentage)</f>
        <v>63.959999999999994</v>
      </c>
      <c r="GE45" s="179"/>
      <c r="GF45" s="178"/>
      <c r="GG45" s="31">
        <f>SnapshotTable[[#This Row],[Booked Sale Shares]] * SnapshotTable[[#This Row],[Booked Sale Price]]</f>
        <v>0</v>
      </c>
      <c r="GH45" s="31" t="str">
        <f>IF(SnapshotTable[[#This Row],[Equity Basis Total]] &gt; 0, SnapshotTable[[#This Row],[Equity Basis Per Share]] * SnapshotTable[[#This Row],[Booked Sale Shares]], "")</f>
        <v/>
      </c>
      <c r="GI45" s="31">
        <f>IF(SnapshotTable[[#This Row],[Sale Proceeds]]&gt;0, SnapshotTable[[#This Row],[Sale Proceeds]] - SnapshotTable[[#This Row],[Sale Basis]], 0)</f>
        <v>0</v>
      </c>
      <c r="GJ45" s="158" t="str">
        <f>IF(SnapshotTable[[#This Row],[Sale G/L]]&gt;0, SnapshotTable[[#This Row],[Sale G/L]] / SnapshotTable[[#This Row],[Sale Basis]], IF(ISNUMBER(SnapshotTable[[#This Row],[SC Exercise P&amp;L (TAX)]]), SnapshotTable[[#This Row],[SC Exercise P&amp;L (TAX)]] / SnapshotTable[[#This Row],[SC Basis]], ""))</f>
        <v/>
      </c>
      <c r="GK45" s="158"/>
      <c r="GL45" s="159" t="str">
        <f>IF(AND(SnapshotTable[[#This Row],[LP Exp Date]]&gt;0,SnapshotTable[[#This Row],[LP Strike Price]]&gt;0), [1]!ToOptionSymbol(SnapshotTable[[#This Row],[Symbol]], SnapshotTable[[#This Row],[LP Strike Price]],SnapshotTable[[#This Row],[LP Exp Date]],1), "")</f>
        <v/>
      </c>
      <c r="GM45" s="30" t="str">
        <f>IF(LEN(SnapshotTable[[#This Row],[LP Symbol]])&gt;0, 1, "")</f>
        <v/>
      </c>
      <c r="GN45" s="43" t="str">
        <f>IF(AND(SnapshotTable[[#This Row],[SP Exp Date]]&gt;0,SnapshotTable[[#This Row],[SP Strike Price]]&gt;0), [1]!ToOptionSymbol(SnapshotTable[[#This Row],[Symbol]], SnapshotTable[[#This Row],[SP Strike Price]],SnapshotTable[[#This Row],[SP Exp Date]],1), "")</f>
        <v/>
      </c>
      <c r="GO45" s="30" t="str">
        <f>IF(LEN(SnapshotTable[[#This Row],[SP Symbol]])&gt;0, 1, "")</f>
        <v/>
      </c>
      <c r="GP45" s="159" t="str">
        <f>IF(AND(SnapshotTable[[#This Row],[LC Exp Date]]&gt;0,SnapshotTable[[#This Row],[LC Strike Price]]&gt;0), [1]!ToOptionSymbol(SnapshotTable[[#This Row],[Symbol]], SnapshotTable[[#This Row],[LC Strike Price]],SnapshotTable[[#This Row],[LC Exp Date]],0), "")</f>
        <v/>
      </c>
      <c r="GQ45" s="160" t="str">
        <f>IF(LEN(SnapshotTable[[#This Row],[LC Symbol]])&gt;0, 1, "")</f>
        <v/>
      </c>
      <c r="GR45" s="159" t="str">
        <f>IF(AND(SnapshotTable[[#This Row],[SC Exp Date]]&gt;0,SnapshotTable[[#This Row],[SC Strike Price]]&gt;0), [1]!ToOptionSymbol(SnapshotTable[[#This Row],[Symbol]], SnapshotTable[[#This Row],[SC Strike Price]],SnapshotTable[[#This Row],[SC Exp Date]],0), "")</f>
        <v/>
      </c>
      <c r="GS45" s="160" t="str">
        <f>IF(LEN(SnapshotTable[[#This Row],[SC Symbol]])&gt;0, 1, "")</f>
        <v/>
      </c>
      <c r="GT45" s="161" t="str">
        <f>IF(COUNT(SnapshotTable[[#This Row],[LP Symbol Count]],SnapshotTable[[#This Row],[SP Symbol Count]],SnapshotTable[[#This Row],[LC Symbol Count]],SnapshotTable[[#This Row],[SC Symbol Count]])&gt;0, "Y", "")</f>
        <v/>
      </c>
      <c r="GU4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 s="231" t="e">
        <f>MAX(SnapshotTable[[#This Row],[Equity Basis Total]],SnapshotTable[[#This Row],[Equity Value]]) + (SnapshotTable[[#This Row],[SP Potential Spend]]- SnapshotTable[[#This Row],[SP Premium]] + SnapshotTable[[#This Row],[LP Premium]])+ (SnapshotTable[[#This Row],[LC Premium]] - SnapshotTable[[#This Row],[SC Premium]])</f>
        <v>#VALUE!</v>
      </c>
      <c r="GW45" s="139" t="e">
        <f>IF(AND(SnapshotTable[[#This Row],[Exposure]] &lt;&gt; 0),SnapshotTable[[#This Row],[Exposure]] / SnapshotTable[[#Totals],[Exposure]], "")</f>
        <v>#VALUE!</v>
      </c>
      <c r="GY45" s="381"/>
      <c r="HE45" s="268"/>
      <c r="HF45" s="268"/>
      <c r="HG45" s="381"/>
      <c r="HH45" s="381"/>
      <c r="HI45" s="381"/>
      <c r="HJ45" s="381"/>
    </row>
    <row r="46" spans="2:224" s="47" customFormat="1" ht="12.75" hidden="1" customHeight="1" x14ac:dyDescent="0.25">
      <c r="B46" s="12" t="s">
        <v>1237</v>
      </c>
      <c r="C46" s="422">
        <v>23.06</v>
      </c>
      <c r="D46" s="208"/>
      <c r="E46" s="39">
        <f>SnapshotTable[[#This Row],[Last Price]]*(1 -CrashDiscount)</f>
        <v>19.600999999999999</v>
      </c>
      <c r="F46" s="325" t="s">
        <v>1039</v>
      </c>
      <c r="G46" s="325" t="s">
        <v>822</v>
      </c>
      <c r="H46" s="149"/>
      <c r="I46" s="194"/>
      <c r="J46" s="195"/>
      <c r="K46" s="196"/>
      <c r="L46" s="326"/>
      <c r="M46" s="140"/>
      <c r="N46" s="140"/>
      <c r="O46" s="140"/>
      <c r="P46" s="22"/>
      <c r="Q46" s="354"/>
      <c r="R46" s="4" t="str">
        <f>IF(SnapshotTable[[#This Row],[Equity Basis Total]] &gt; 0, SnapshotTable[[#This Row],[Equity Basis Total]] / SnapshotTable[[#This Row],[Equity Shares]], "")</f>
        <v/>
      </c>
      <c r="S46" s="269">
        <f>SnapshotTable[[#This Row],[Last Price]] * SnapshotTable[[#This Row],[Equity Shares]]</f>
        <v>0</v>
      </c>
      <c r="T46" s="269">
        <f>SnapshotTable[[#This Row],[Equity Value]] - SnapshotTable[[#This Row],[Equity Basis Total]]</f>
        <v>0</v>
      </c>
      <c r="U46" s="270" t="str">
        <f>IF(SnapshotTable[[#This Row],[Equity Basis Total]] &gt; 0, SnapshotTable[[#This Row],[Equity G/L]] / SnapshotTable[[#This Row],[Equity Basis Total]], "")</f>
        <v/>
      </c>
      <c r="V46" s="268"/>
      <c r="W46" s="268"/>
      <c r="X46" s="4" t="str">
        <f>IF(AND(ISNUMBER(SnapshotTable[[#This Row],[Equity Basis Per Share]]),ISNUMBER(SnapshotTable[[#This Row],[Equity Target]])),SnapshotTable[[#This Row],[Equity Target]]-SnapshotTable[[#This Row],[Equity Basis Per Share]],"")</f>
        <v/>
      </c>
      <c r="Y46" s="4" t="str">
        <f>IF(AND(ISNUMBER(SnapshotTable[[#This Row],[Equity Basis Per Share]]),ISNUMBER(SnapshotTable[[#This Row],[Equity Stop Loss]])),SnapshotTable[[#This Row],[Equity Stop Loss]]-SnapshotTable[[#This Row],[Equity Basis Per Share]],"")</f>
        <v/>
      </c>
      <c r="Z46" s="275" t="str">
        <f>IFERROR( TEXT(SnapshotTable[[#This Row],[Equity Max Gain Per Share]] /ABS( SnapshotTable[[#This Row],[Equity Max Loss Per Share]]),"0.0 " ) &amp; " : 1", "")</f>
        <v/>
      </c>
      <c r="AA46" s="31" t="str">
        <f>IF(ISNUMBER(SnapshotTable[[#This Row],[Equity Max Gain Per Share]]),SnapshotTable[[#This Row],[Equity Max Gain Per Share]] * SnapshotTable[[#This Row],[Equity Shares]],"")</f>
        <v/>
      </c>
      <c r="AB46" s="31" t="str">
        <f>IF(ISNUMBER(SnapshotTable[[#This Row],[Equity Max Loss Per Share]]),SnapshotTable[[#This Row],[Equity Max Loss Per Share]] * SnapshotTable[[#This Row],[Equity Shares]],"")</f>
        <v/>
      </c>
      <c r="AC46" s="150"/>
      <c r="AD46" s="151"/>
      <c r="AE46" s="31">
        <f>(SnapshotTable[[#This Row],[Annual Dividend Per Share]] / 4) * SnapshotTable[[#This Row],[Equity Shares]]</f>
        <v>0</v>
      </c>
      <c r="AF46" s="31">
        <f>SnapshotTable[[#This Row],[Quarterly Div $]] * 4</f>
        <v>0</v>
      </c>
      <c r="AG46" s="7">
        <f>IF(SnapshotTable[[#This Row],[Annual Dividend Per Share]]&gt;0, SnapshotTable[[#This Row],[Annual Dividend Per Share]]  / SnapshotTable[[#This Row],[Last Price]], 0)</f>
        <v>0</v>
      </c>
      <c r="AH46" s="151"/>
      <c r="AI46" s="5"/>
      <c r="AJ46" s="138"/>
      <c r="AK46" s="152" t="str">
        <f>IF(ISNUMBER( SnapshotTable[[#This Row],[EBF Target]]),(SnapshotTable[[#This Row],[EBF Target]] - SnapshotTable[[#This Row],[Last Price]]) / SnapshotTable[[#This Row],[Last Price]], "")</f>
        <v/>
      </c>
      <c r="AL46" s="152" t="str">
        <f>IF(AND(SnapshotTable[[#This Row],[Equity Basis Total]] &gt; 0,ISNUMBER( SnapshotTable[[#This Row],[Long Term Target]])), SnapshotTable[[#This Row],[From Basis $]] / SnapshotTable[[#This Row],[Equity Basis Total]], "")</f>
        <v/>
      </c>
      <c r="AM46" s="9">
        <f>IF( AND(SnapshotTable[[#This Row],[Equity Shares]] &gt;0,ISNUMBER( SnapshotTable[[#This Row],[Long Term Target]])),(SnapshotTable[[#This Row],[Equity Shares]] * SnapshotTable[[#This Row],[Long Term Target]]) - SnapshotTable[[#This Row],[Equity Basis Total]],0)</f>
        <v>0</v>
      </c>
      <c r="AN46" s="9">
        <f>IF( AND(SnapshotTable[[#This Row],[Equity Shares]] &gt;0,ISNUMBER( SnapshotTable[[#This Row],[Long Term Target]])),(SnapshotTable[[#This Row],[Equity Shares]]*SnapshotTable[[#This Row],[Long Term Target]]) - SnapshotTable[[#This Row],[Equity Value]],0)</f>
        <v>0</v>
      </c>
      <c r="AO46" s="152" t="str">
        <f>IF(AND(ISNUMBER( SnapshotTable[[#This Row],[Long Term Target]]), ISNUMBER(SnapshotTable[[#This Row],[Last Price]])),(SnapshotTable[[#This Row],[Long Term Target]] - SnapshotTable[[#This Row],[Last Price]]) / SnapshotTable[[#This Row],[Last Price]], "")</f>
        <v/>
      </c>
      <c r="AP46" s="5"/>
      <c r="AQ46" s="38"/>
      <c r="AR46" s="5"/>
      <c r="AS46" s="38"/>
      <c r="AT46" s="146"/>
      <c r="AU46" s="187" t="str">
        <f>IF(OR(SnapshotTable[[#This Row],[LP No Fill]]="Y",SnapshotTable[[#This Row],[SP Is Filled]],SnapshotTable[[#This Row],[LC Not Filled]]="Y",SnapshotTable[[#This Row],[SC Is Filled]]),"Y","")</f>
        <v/>
      </c>
      <c r="AV46" s="219"/>
      <c r="AW46" s="225"/>
      <c r="AX46" s="220"/>
      <c r="AY46" s="219" t="str">
        <f>IF(SnapshotTable[[#This Row],[Implied Move]]&gt;0, SnapshotTable[[#This Row],[Last Price]]-SnapshotTable[[#This Row],[Implied Move]],"")</f>
        <v/>
      </c>
      <c r="AZ46" s="219" t="str">
        <f>IF(SnapshotTable[[#This Row],[Implied Move]]&gt;0, SnapshotTable[[#This Row],[Last Price]] + SnapshotTable[[#This Row],[Implied Move]],"")</f>
        <v/>
      </c>
      <c r="BA46" s="331">
        <v>17.13</v>
      </c>
      <c r="BB46" s="347"/>
      <c r="BC4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 s="351"/>
      <c r="BE46" s="5"/>
      <c r="BF46" s="14"/>
      <c r="BG46" s="13"/>
      <c r="BH46" s="13"/>
      <c r="BI46" s="5"/>
      <c r="BJ46" s="136">
        <f>IF(SnapshotTable[[#This Row],[LP Qty]] &gt; 0, SnapshotTable[[#This Row],[LP Qty]] * SnapshotTable[[#This Row],[LP Book Price]] * 100,0)</f>
        <v>0</v>
      </c>
      <c r="BK46" s="136">
        <f>IF(SnapshotTable[[#This Row],[LP Premium]] &gt; 0, SnapshotTable[[#This Row],[LP Qty]] * SnapshotTable[[#This Row],[LP Strike Price]] * 100,0)</f>
        <v>0</v>
      </c>
      <c r="BL46" s="154"/>
      <c r="BM46" s="385" t="str">
        <f>IF(SnapshotTable[[#This Row],[LP Premium]] &gt; 0,SnapshotTable[[#This Row],[LP Exp Date]]-MAX(SnapshotTable[[#This Row],[LP Book Date]], SnapshotTable[[#This Row],[LP Fill Date]]),"")</f>
        <v/>
      </c>
      <c r="BN46" s="385" t="str">
        <f>IF(ISNUMBER( SnapshotTable[[#This Row],[LP Term]]), SnapshotTable[[#This Row],[LP Exp Date]] - MockToday,"")</f>
        <v/>
      </c>
      <c r="BO46" s="163" t="str">
        <f>IF(AND(SnapshotTable[[#This Row],[LP Exp Date]]&gt;0, SnapshotTable[[#This Row],[LP Strike Price]]&gt;0,SnapshotTable[[#This Row],[LP Qty]]&gt;0,SnapshotTable[[#This Row],[LP Book Date]]&gt;0,SnapshotTable[[#This Row],[LP Book Price]]&gt;0,SnapshotTable[[#This Row],[LP Fill Date]]=0),"Y","")</f>
        <v/>
      </c>
      <c r="BP46" s="31" t="str">
        <f>IF(AND(SnapshotTable[[#This Row],[LP No Fill]]&lt;&gt;"Y",SnapshotTable[[#This Row],[LP Contract Value]]&gt;0, SnapshotTable[[#This Row],[LP Qty]]&gt;0), SnapshotTable[[#This Row],[LP Contract Value]]*SnapshotTable[[#This Row],[LP Qty]]*100,"")</f>
        <v/>
      </c>
      <c r="BQ46" s="13"/>
      <c r="BR46" s="5" t="str">
        <f>IF(SnapshotTable[[#This Row],[SP Exp Date]]&lt;&gt;"",TRUNC(SnapshotTable[[#This Row],[Last Price]]),"")</f>
        <v/>
      </c>
      <c r="BS46" s="36"/>
      <c r="BT46" s="147"/>
      <c r="BU46" s="13"/>
      <c r="BV46" s="5"/>
      <c r="BW46" s="419" t="b">
        <f>AND(ISNUMBER(SnapshotTable[[#This Row],[SP Exp Date]]), ISNUMBER(SnapshotTable[[#This Row],[SP Strike Price]]), ISNUMBER(SnapshotTable[[#This Row],[SP Qty]]), ISNUMBER(SnapshotTable[[#This Row],[SP Book Date]]), ISNUMBER(SnapshotTable[[#This Row],[SP Book Price]]))</f>
        <v>0</v>
      </c>
      <c r="BX46" s="419" t="b">
        <f>AND(SnapshotTable[[#This Row],[SP Is Booked]], NOT(ISBLANK(SnapshotTable[[#This Row],[SP Fill Date]])))</f>
        <v>0</v>
      </c>
      <c r="BY46" s="33">
        <f>IF(SnapshotTable[[#This Row],[SP Is Booked]], SnapshotTable[[#This Row],[SP Qty]] * SnapshotTable[[#This Row],[SP Book Price]] * 100, 0)</f>
        <v>0</v>
      </c>
      <c r="BZ46" s="369"/>
      <c r="CA46" s="368">
        <f>SnapshotTable[[#This Row],[LP Qty]]</f>
        <v>0</v>
      </c>
      <c r="CB46" s="4" t="str">
        <f>IF(SnapshotTable[[#This Row],[SP Is Booked]], SnapshotTable[[#This Row],[SP Strike Price]] - SnapshotTable[[#This Row],[SP Book Price]], "")</f>
        <v/>
      </c>
      <c r="CC46" s="19" t="str">
        <f>IF(SnapshotTable[[#This Row],[SP Is Booked]],SnapshotTable[[#This Row],[SP Exp Date]]-MAX(SnapshotTable[[#This Row],[SP Book Date]], SnapshotTable[[#This Row],[SP Fill Date]]),"")</f>
        <v/>
      </c>
      <c r="CD46" s="7" t="str">
        <f>IF(SnapshotTable[[#This Row],[SP Is Booked]], SnapshotTable[[#This Row],[SP Book Price]]/SnapshotTable[[#This Row],[SP Strike Price]], "")</f>
        <v/>
      </c>
      <c r="CE46" s="7" t="str">
        <f>IF(ISNUMBER(SnapshotTable[[#This Row],[SP ROO Term]]),SnapshotTable[[#This Row],[SP ROO Term]]*(365/SnapshotTable[[#This Row],[SP Term]]),"")</f>
        <v/>
      </c>
      <c r="CF46" s="236">
        <f>SnapshotTable[[#This Row],[LP Strike Price]] * SnapshotTable[[#This Row],[LP Qty]] * 100</f>
        <v>0</v>
      </c>
      <c r="CG46" s="31" t="e">
        <f>IF(ISNUMBER(SnapshotTable[[#This Row],[SP Premium]]), (SnapshotTable[[#This Row],[SP Qty]] * SnapshotTable[[#This Row],[SP Strike Price]]* 100) - SnapshotTable[[#This Row],[LP Protection]], 0)</f>
        <v>#VALUE!</v>
      </c>
      <c r="CH46" s="7" t="str">
        <f>IF(ISNUMBER(SnapshotTable[[#This Row],[SP Break Even]]),-1 * (SnapshotTable[[#This Row],[SP Break Even]] - SnapshotTable[[#This Row],[Last Price]]) / SnapshotTable[[#This Row],[Last Price]], "")</f>
        <v/>
      </c>
      <c r="CI46" s="31">
        <f>IF(AND(ISNUMBER((SnapshotTable[[#This Row],[SP Potential Spend]])), SnapshotTable[[#This Row],[SP Strike Price]] &gt; SnapshotTable[[#This Row],[Last Price]], SnapshotTable[[#This Row],[SP Is Filled]]), SnapshotTable[[#This Row],[SP Potential Spend]] -  SnapshotTable[[#This Row],[LP Max Value]], 0)</f>
        <v>0</v>
      </c>
      <c r="CJ46" s="244"/>
      <c r="CK46" s="31" t="str">
        <f>IF(ISNUMBER(SnapshotTable[[#This Row],[SP Potential Spend]]),IF(ISNUMBER(SnapshotTable[[#This Row],[SP POW]]), SnapshotTable[[#This Row],[SP POW]] * SnapshotTable[[#This Row],[SP Potential Spend]], SnapshotTable[[#This Row],[SP Potential Spend]]), "")</f>
        <v/>
      </c>
      <c r="CL46" s="164" t="e">
        <f>IF(NOT(SnapshotTable[[#This Row],[SP Is Filled]]),(SnapshotTable[[#This Row],[SP Qty]] * SnapshotTable[[#This Row],[SP Strike Price]] * 100) - SnapshotTable[[#This Row],[LP Max Value]],"")</f>
        <v>#VALUE!</v>
      </c>
      <c r="CM46" s="31" t="str">
        <f>IF(SnapshotTable[[#This Row],[SP Actual Spend]]&lt;&gt;0, ((SnapshotTable[[#This Row],[SP Strike Price]]-SnapshotTable[[#This Row],[Last Price]]) *(SnapshotTable[[#This Row],[SP Qty]]*100) - SnapshotTable[[#This Row],[SP Premium]]) * - 1, "")</f>
        <v/>
      </c>
      <c r="CN46" s="78"/>
      <c r="CO46" s="369"/>
      <c r="CP46" s="4" t="str">
        <f>IF(SnapshotTable[[#This Row],[SP Is Filled]], btc_max_buyback_amount(SnapshotTable[[#This Row],[SP Fill Date]],SnapshotTable[[#This Row],[SP Exp Date]], SnapshotTable[[#This Row],[SP Book Price]]),"")</f>
        <v/>
      </c>
      <c r="CQ46" s="78"/>
      <c r="CR4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 s="155" t="str">
        <f>IF(SnapshotTable[[#This Row],[SP Is Filled]], btc_next_cutoff_date(SnapshotTable[[#This Row],[SP Fill Date]],SnapshotTable[[#This Row],[SP Exp Date]]),"")</f>
        <v/>
      </c>
      <c r="CT46" s="235" t="str" cm="1">
        <f t="array" ref="CT46">IF(SnapshotTable[[#This Row],[SP Is Filled]], btc_should_buy_back(SnapshotTable[[#This Row],[SP Fill Date]], SnapshotTable[[#This Row],[SP Exp Date]], SnapshotTable[[#This Row],[SP Book Price]], SnapshotTable[[#This Row],[SP Current Ask]], MockToday, SnapshotTable[[#This Row],[SP Buyback Override]]),"")</f>
        <v/>
      </c>
      <c r="CU46" s="143"/>
      <c r="CV46" s="235"/>
      <c r="CW46" s="378" t="str">
        <f>IF(ISNUMBER( SnapshotTable[[#This Row],[SP Term]]), SnapshotTable[[#This Row],[SP Exp Date]] - MockToday,"")</f>
        <v/>
      </c>
      <c r="CX46" s="31" t="str">
        <f>IF(SnapshotTable[[#This Row],[SP Is Filled]],SnapshotTable[[#This Row],[SP Buyback Price to Use]] * 100 * SnapshotTable[[#This Row],[SP Qty]], "")</f>
        <v/>
      </c>
      <c r="CY46" s="4" t="str">
        <f>IF(ISNUMBER(SnapshotTable[[#This Row],[SP Strike Price]]), SnapshotTable[[#This Row],[SP Strike Price]] * (1 - SP_MaxLoss_StrikePct), "")</f>
        <v/>
      </c>
      <c r="CZ46" s="31" t="str">
        <f>IF(ISNUMBER(SnapshotTable[[#This Row],[SP Strike  Stop Per Share]]),SnapshotTable[[#This Row],[SP Premium]] - ((SnapshotTable[[#This Row],[SP Strike Price]]-SnapshotTable[[#This Row],[SP Strike  Stop Per Share]]) *(SnapshotTable[[#This Row],[SP Qty]] * 100)),"")</f>
        <v/>
      </c>
      <c r="DA46" s="4" t="str">
        <f>IF(AND(ISNUMBER(SnapshotTable[[#This Row],[SP Premium]]),SnapshotTable[[#This Row],[SP Premium]]&gt;0), SnapshotTable[[#This Row],[SP Book Price]] * (1 + SP_MaxLoss_OptionPct), "")</f>
        <v/>
      </c>
      <c r="DB46" s="31" t="str">
        <f>IF(ISNUMBER(SnapshotTable[[#This Row],[SP Option  Stop Contract]]),(SnapshotTable[[#This Row],[SP Option  Stop Contract]] *(SnapshotTable[[#This Row],[SP Qty]] * 100) - SnapshotTable[[#This Row],[SP Premium]]),"")</f>
        <v/>
      </c>
      <c r="DC46" s="4"/>
      <c r="DD46" s="4"/>
      <c r="DE46" s="4" t="str">
        <f>IF(AND(SnapshotTable[[#This Row],[SP Qty]]&gt;0, SnapshotTable[[#This Row],[SP Stop To Use]]&gt;0),SnapshotTable[[#This Row],[SP Premium]] - ( SnapshotTable[[#This Row],[SP Qty]] * SnapshotTable[[#This Row],[SP Stop To Use]] * 100), "")</f>
        <v/>
      </c>
      <c r="DF46" s="31" t="str">
        <f>IF(AND(SnapshotTable[[#This Row],[SP Qty]]&gt;0,SnapshotTable[[#This Row],[SP Current Ask]]&gt;0), SnapshotTable[[#This Row],[SP Qty]] * SnapshotTable[[#This Row],[SP Current Ask]] * -100, "")</f>
        <v/>
      </c>
      <c r="DG46" s="31" t="str">
        <f>IF(ISNUMBER((SnapshotTable[[#This Row],[SP Total Value]])), SnapshotTable[[#This Row],[SP Premium]] + SnapshotTable[[#This Row],[SP Total Value]], "")</f>
        <v/>
      </c>
      <c r="DH46" s="294" t="str">
        <f>IF(ISNUMBER((SnapshotTable[[#This Row],[SP Total Value]])), SnapshotTable[[#This Row],[SP Gain Loss]] / SnapshotTable[[#This Row],[SP Premium]], "")</f>
        <v/>
      </c>
      <c r="DI46" s="406"/>
      <c r="DJ46" s="138"/>
      <c r="DK46" s="148"/>
      <c r="DL46" s="13"/>
      <c r="DM46" s="13"/>
      <c r="DN46" s="5"/>
      <c r="DO46" s="31">
        <f>IF(SnapshotTable[[#This Row],[LC Symbol Count]]=1, SnapshotTable[[#This Row],[LC Qty]] * SnapshotTable[[#This Row],[LC Book Price]] * 100, 0)</f>
        <v>0</v>
      </c>
      <c r="DP46" s="163" t="str">
        <f>IF(AND(SnapshotTable[[#This Row],[LC Exp Date]]&gt;0, SnapshotTable[[#This Row],[LC Strike Price]]&gt;0,SnapshotTable[[#This Row],[LC Qty]]&gt;0,SnapshotTable[[#This Row],[LC Book Date]]&gt;0,SnapshotTable[[#This Row],[LC Book Price]]&gt;0,SnapshotTable[[#This Row],[LC Fill Date]]=0),"Y","")</f>
        <v/>
      </c>
      <c r="DQ46" s="386" t="str">
        <f>IF(SnapshotTable[[#This Row],[LC Premium]] &gt; 0,SnapshotTable[[#This Row],[LC Exp Date]]-MAX(SnapshotTable[[#This Row],[LC Book Date]], SnapshotTable[[#This Row],[LC Fill Date]]),"")</f>
        <v/>
      </c>
      <c r="DR46" s="386" t="str">
        <f>IF(ISNUMBER(SnapshotTable[[#This Row],[LC Term]]), SnapshotTable[[#This Row],[LC Exp Date]] - MockToday, "")</f>
        <v/>
      </c>
      <c r="DS46" s="234" t="str">
        <f>IF(SnapshotTable[[#This Row],[LC Premium]]&gt;0,SnapshotTable[[#This Row],[LC Strike Price]] + SnapshotTable[[#This Row],[LC Book Price]],"")</f>
        <v/>
      </c>
      <c r="DT46" s="5"/>
      <c r="DU46" s="9" t="str">
        <f>IF(AND(SnapshotTable[[#This Row],[LC Symbol Count]]&gt;0, SnapshotTable[[#This Row],[LC Contract Value]]&gt;0), SnapshotTable[[#This Row],[LC Contract Value]] * SnapshotTable[[#This Row],[LC Qty]] * 100, "")</f>
        <v/>
      </c>
      <c r="DV46" s="9" t="str">
        <f>IF(AND(ISNUMBER(SnapshotTable[[#This Row],[LC Total Value]]), SnapshotTable[[#This Row],[LC Not Filled]]&lt;&gt;"Y"), SnapshotTable[[#This Row],[LC Total Value]]-SnapshotTable[[#This Row],[LC Premium]],"")</f>
        <v/>
      </c>
      <c r="DW46" s="240" t="str">
        <f>IF(ISNUMBER(SnapshotTable[[#This Row],[LC Actual Gain Loss]]), SnapshotTable[[#This Row],[LC Actual Gain Loss]] / SnapshotTable[[#This Row],[LC Premium]],"")</f>
        <v/>
      </c>
      <c r="DX46" s="284" t="str">
        <f>IF(ISNUMBER(SnapshotTable[[#This Row],[LC Book Price]]),SnapshotTable[[#This Row],[LC Book Price]] * 1.5,"")</f>
        <v/>
      </c>
      <c r="DY46" s="265" t="str">
        <f>IF(SnapshotTable[[#This Row],[LC Premium]]&gt;0, SnapshotTable[[#This Row],[LC Next Target]] * SnapshotTable[[#This Row],[LC Qty]] * 100,"")</f>
        <v/>
      </c>
      <c r="DZ46" s="265" t="str">
        <f>IF(ISNUMBER(SnapshotTable[[#This Row],[LC Target Gross]]), SnapshotTable[[#This Row],[LC Target Gross]] - SnapshotTable[[#This Row],[LC Premium]], "")</f>
        <v/>
      </c>
      <c r="EA46" s="305" t="str">
        <f>IF(ISNUMBER(SnapshotTable[[#This Row],[LC Target Gain Loss]]), SnapshotTable[[#This Row],[LC Target Gain Loss]]/SnapshotTable[[#This Row],[LC Premium]], "")</f>
        <v/>
      </c>
      <c r="EB46" s="262"/>
      <c r="EC46" s="283" t="str">
        <f>IF(SnapshotTable[[#This Row],[LC Premium]]&gt;0, SnapshotTable[[#This Row],[LC Book Price]] * (1 - LC_StopLoss_Pct),"")</f>
        <v/>
      </c>
      <c r="ED46" s="284"/>
      <c r="EE46" s="283" t="str">
        <f>IF(ISNUMBER(SnapshotTable[[#This Row],[LC Contract Value]]),IF(ISNUMBER(SnapshotTable[[#This Row],[LC Stop Loss Override]]), SnapshotTable[[#This Row],[LC Stop Loss Override]],SnapshotTable[[#This Row],[LC Stop Loss Calc Target]]),"")</f>
        <v/>
      </c>
      <c r="EF46" s="31" t="str">
        <f>IF(ISNUMBER(SnapshotTable[[#This Row],[LC Stop  To Use]]), (SnapshotTable[[#This Row],[LC Stop  To Use]] * SnapshotTable[[#This Row],[LC Qty]] * 100),"")</f>
        <v/>
      </c>
      <c r="EG46" s="9" t="str">
        <f>IF(ISNUMBER(SnapshotTable[[#This Row],[LC Total Value]]),SnapshotTable[[#This Row],[LC Stop Loss Amount]] - SnapshotTable[[#This Row],[LC Premium]],"")</f>
        <v/>
      </c>
      <c r="EH46" s="9">
        <f>IF(ISNUMBER(SnapshotTable[[#This Row],[LC Premium]]), SnapshotTable[[#This Row],[LC Qty]] * 100 * SnapshotTable[[#This Row],[LC Strike Price]], "")</f>
        <v>0</v>
      </c>
      <c r="EI46" s="240" t="str">
        <f>IF(AND(ISNUMBER(SnapshotTable[[#This Row],[LC Total Value]]),SnapshotTable[[#This Row],[LC Total Value]]&gt;0),SnapshotTable[[#This Row],[LC Stop Gain Loss]]  / SnapshotTable[[#This Row],[LC Premium]],"")</f>
        <v/>
      </c>
      <c r="EJ46" s="35">
        <f>IF(ISNUMBER(SnapshotTable[[#This Row],[Equity Shares]]),TRUNC(SnapshotTable[[#This Row],[Equity Shares]] / 100),0) + SnapshotTable[[#This Row],[LC Qty]]</f>
        <v>0</v>
      </c>
      <c r="EK46" s="147"/>
      <c r="EL46" s="138" t="str">
        <f>IF(SnapshotTable[[#This Row],[SC Exp Date]]&lt;&gt;"",TRUNC(SnapshotTable[[#This Row],[Last Price]]),"")</f>
        <v/>
      </c>
      <c r="EM46" s="148"/>
      <c r="EN46" s="147"/>
      <c r="EO46" s="147"/>
      <c r="EP46" s="138"/>
      <c r="EQ46" s="419" t="b">
        <f>AND(ISNUMBER(SnapshotTable[[#This Row],[SC Exp Date]]), ISNUMBER(SnapshotTable[[#This Row],[SC Strike Price]]), ISNUMBER(SnapshotTable[[#This Row],[SC Qty]]), ISNUMBER(SnapshotTable[[#This Row],[SC Book Date]]), ISNUMBER(SnapshotTable[[#This Row],[SC Book Price]]))</f>
        <v>0</v>
      </c>
      <c r="ER46" s="419" t="b">
        <f>AND(SnapshotTable[[#This Row],[SC Is Booked]], NOT(ISBLANK(SnapshotTable[[#This Row],[SC Fill Date]])))</f>
        <v>0</v>
      </c>
      <c r="ES46" s="370"/>
      <c r="ET46" s="34" t="str">
        <f>IF(AND(ISNUMBER(SnapshotTable[[#This Row],[SC Exp Date]]), ISNUMBER(SnapshotTable[[#This Row],[SC Book Date]])), SnapshotTable[[#This Row],[SC Exp Date]] - MAX(SnapshotTable[[#This Row],[SC Book Date]], SnapshotTable[[#This Row],[SC Fill Date]]) + 1, "")</f>
        <v/>
      </c>
      <c r="EU46" s="34" t="str">
        <f>IF(ISNUMBER(SnapshotTable[[#This Row],[SC Term]]), SnapshotTable[[#This Row],[SC Exp Date]]- MockToday, "")</f>
        <v/>
      </c>
      <c r="EV46" s="31">
        <f>IF(SnapshotTable[[#This Row],[SC Is Booked]], SnapshotTable[[#This Row],[SC Qty]] * SnapshotTable[[#This Row],[SC Book Price]] * 100, 0)</f>
        <v>0</v>
      </c>
      <c r="EW46" s="4" t="str">
        <f>IF(AND(ISNUMBER(SnapshotTable[[#This Row],[Last Price]]), ISNUMBER( SnapshotTable[[#This Row],[SC Book Price]])), SnapshotTable[[#This Row],[Last Price]] - SnapshotTable[[#This Row],[SC Book Price]],"")</f>
        <v/>
      </c>
      <c r="EX46" s="234" t="str">
        <f>IF(SnapshotTable[[#This Row],[SC Is Booked]],IF(SnapshotTable[[#This Row],[SC Intrinsic Value]] &gt; 0, SnapshotTable[[#This Row],[SC Strike Price]], SnapshotTable[[#This Row],[Last Price]]), "")</f>
        <v/>
      </c>
      <c r="EY46" s="4">
        <f>IF(SnapshotTable[[#This Row],[SC Is Booked]], (MinimumPremiumRequired * SnapshotTable[[#This Row],[SC Basis]] * SnapshotTable[[#This Row],[SC Term]]), 0)</f>
        <v>0</v>
      </c>
      <c r="EZ46" s="283"/>
      <c r="FA46" s="218"/>
      <c r="FB46" s="370"/>
      <c r="FC46" s="4">
        <f>IF(SnapshotTable[[#This Row],[SC Is Filled]], btc_max_buyback_amount(SnapshotTable[[#This Row],[SC Fill Date]],SnapshotTable[[#This Row],[SC Exp Date]], SnapshotTable[[#This Row],[SC Book Price]]),0)</f>
        <v>0</v>
      </c>
      <c r="FD46" s="5"/>
      <c r="FE46" s="144" t="str">
        <f>IF(SnapshotTable[[#This Row],[SC Is Filled]], btc_next_cutoff_date(SnapshotTable[[#This Row],[SC Fill Date]],SnapshotTable[[#This Row],[SC Exp Date]]),"")</f>
        <v/>
      </c>
      <c r="FF46" s="4" t="str" cm="1">
        <f t="array" ref="FF46">IF(SnapshotTable[[#This Row],[SC Is Filled]], btc_should_buy_back(SnapshotTable[[#This Row],[SC Fill Date]], SnapshotTable[[#This Row],[SC Exp Date]], SnapshotTable[[#This Row],[SC Book Price]], SnapshotTable[[#This Row],[SC Current Ask]], MockToday, SnapshotTable[[#This Row],[SC Buyback Override]]),"")</f>
        <v/>
      </c>
      <c r="FG46" s="4">
        <f>IF(SnapshotTable[[#This Row],[SC Is Filled]], MAX(0,SnapshotTable[[#This Row],[Last Price]]  - SnapshotTable[[#This Row],[SC Strike Price]]), 0)</f>
        <v>0</v>
      </c>
      <c r="FH46" s="382">
        <f>IF(SnapshotTable[[#This Row],[SC Is Filled]], IF(ISNUMBER(SnapshotTable[[#This Row],[SC Current Ask]]), SnapshotTable[[#This Row],[SC Current Ask]], SnapshotTable[[#This Row],[SC Book Price]]) - SnapshotTable[[#This Row],[SC Intrinsic Value]], 0)</f>
        <v>0</v>
      </c>
      <c r="FI46" s="143"/>
      <c r="FJ46" s="32" t="str">
        <f>IF(SnapshotTable[[#This Row],[SC Is Filled]],100 * SnapshotTable[[#This Row],[SC Qty]] * IF(ISNUMBER(SnapshotTable[[#This Row],[SC Buyback Override]]), SnapshotTable[[#This Row],[SC Buyback Override]], SnapshotTable[[#This Row],[SC Current Ask]]), "")</f>
        <v/>
      </c>
      <c r="FK46" s="250" t="str">
        <f>IF(SnapshotTable[[#This Row],[SC Time Val]]&gt;0, SnapshotTable[[#This Row],[SC Time Val]] / SnapshotTable[[#This Row],[Last Price]],"")</f>
        <v/>
      </c>
      <c r="FL46" s="302" t="str">
        <f>IF(SnapshotTable[[#This Row],[SC Is Booked]], ((SnapshotTable[[#This Row],[Last Price]] -SnapshotTable[[#This Row],[SC Strike Price]]) / SnapshotTable[[#This Row],[Last Price]]) * -1, "")</f>
        <v/>
      </c>
      <c r="FM46" s="157" t="str">
        <f>IF(SnapshotTable[[#This Row],[SC Is Booked]],  (SnapshotTable[[#This Row],[SC Qty]] * 100 * SnapshotTable[[#This Row],[SC Strike Price]]) - SnapshotTable[[#This Row],[SC Current Ask]], "")</f>
        <v/>
      </c>
      <c r="FN4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 s="31" t="str">
        <f>IF(AND(ISNUMBER(SnapshotTable[[#This Row],[SC Exercise Gross]]), ISNUMBER(SnapshotTable[[#This Row],[Equity Basis Per Share]] )), SnapshotTable[[#This Row],[SC Exercise Gross]] - SnapshotTable[[#This Row],[Equity Basis Total]] +  SnapshotTable[[#This Row],[SC Premium]], "")</f>
        <v/>
      </c>
      <c r="FP46" s="5" t="str">
        <f>IF(ISNUMBER(SnapshotTable[[#This Row],[SC Exercise Gross]]), (SnapshotTable[[#This Row],[SC Exercise Gross]]) / (SnapshotTable[[#This Row],[SC Qty]] * 100), "")</f>
        <v/>
      </c>
      <c r="FQ46" s="27" t="str">
        <f>IF(SnapshotTable[[#This Row],[SC Is Booked]],SnapshotTable[[#This Row],[SC Time Val]] /SnapshotTable[[#This Row],[SC Basis]], "")</f>
        <v/>
      </c>
      <c r="FR46" s="27" t="str" cm="1">
        <f t="array" ref="FR46">IF(AND(ISNUMBER(SnapshotTable[[#This Row],[SC Term]]),ISNUMBER(SnapshotTable[[#This Row],[SC Simple ROO]])), EllmanAnnualize(SnapshotTable[[#This Row],[SC DTE]], SnapshotTable[[#This Row],[SC Simple ROO]] ),"")</f>
        <v/>
      </c>
      <c r="FS46" s="4" t="e">
        <f>IF(SnapshotTable[[#This Row],[SC Strike Price]] &gt; SnapshotTable[[#This Row],[Last Price]], SnapshotTable[[#This Row],[SC Strike Price]] - SnapshotTable[[#This Row],[Last Price]],0)</f>
        <v>#VALUE!</v>
      </c>
      <c r="FT46" s="27" t="e">
        <f>IF(AND(ISNUMBER(SnapshotTable[[#This Row],[SC Upside Potential]]), SnapshotTable[[#This Row],[SC Upside Potential]] &gt; 0),(SnapshotTable[[#This Row],[SC Upside Potential]]/ SnapshotTable[[#This Row],[ACB]]),"")</f>
        <v>#VALUE!</v>
      </c>
      <c r="FU46" s="333" t="str">
        <f>IF(SnapshotTable[[#This Row],[SC Intrinsic Value]] &gt; 0,SnapshotTable[[#This Row],[SC Intrinsic Value]],"")</f>
        <v/>
      </c>
      <c r="FV46" s="27" t="str">
        <f>IF(AND( ISNUMBER( SnapshotTable[[#This Row],[ACB]]),ISNUMBER(SnapshotTable[[#This Row],[SC Downside Protect]])),SnapshotTable[[#This Row],[SC Downside Protect]] / SnapshotTable[[#This Row],[ACB]],"")</f>
        <v/>
      </c>
      <c r="FW46" s="236" t="str">
        <f>IF(AND(ISNUMBER(SnapshotTable[[#This Row],[SC Simple ROO]]),SnapshotTable[[#This Row],[SC Simple ROO]] &gt; 0), SnapshotTable[[#This Row],[SC Premium]] + (SnapshotTable[[#This Row],[SC Qty]] * SnapshotTable[[#This Row],[SC Upside Potential]]), "")</f>
        <v/>
      </c>
      <c r="FX46" s="302" t="str" cm="1">
        <f t="array" ref="FX46">IF(ISNUMBER(SnapshotTable[[#This Row],[SC Max Dollars]]), annualize(SnapshotTable[[#This Row],[SC Term]],(SnapshotTable[[#This Row],[SC Max Dollars]]/SnapshotTable[[#This Row],[SC Basis]])),"")</f>
        <v/>
      </c>
      <c r="FY46" s="236" t="str">
        <f>IF(AND(SnapshotTable[[#This Row],[SC Qty]]&gt;0,SnapshotTable[[#This Row],[SC Current Ask]]&gt;0), SnapshotTable[[#This Row],[SC Qty]] * SnapshotTable[[#This Row],[SC Current Ask]] * -100, "")</f>
        <v/>
      </c>
      <c r="FZ46" s="31" t="str">
        <f>IF(ISNUMBER((SnapshotTable[[#This Row],[SC Current Value]])), SnapshotTable[[#This Row],[SC Premium]] + SnapshotTable[[#This Row],[SC Current Value]], "")</f>
        <v/>
      </c>
      <c r="GA46" s="294" t="str">
        <f>IFERROR( IF(ISNUMBER((SnapshotTable[[#This Row],[SC Current Value]])), SnapshotTable[[#This Row],[SC Gain Loss]] / SnapshotTable[[#This Row],[SC Premium]], ""), "")</f>
        <v/>
      </c>
      <c r="GB46" s="42">
        <f>SnapshotTable[[#This Row],[Equity Shares]] * SaleSharesToConsiderPercentage</f>
        <v>0</v>
      </c>
      <c r="GC46" s="40">
        <f>SnapshotTable[[#This Row],[Long Term Target]] * SellingPriceToConsiderBasedOnTargetPercentage</f>
        <v>0</v>
      </c>
      <c r="GD46" s="40">
        <f>SnapshotTable[[#This Row],[Last Price]] * (1+ SellingPriceToConsiderBasedOnTargetPercentage)</f>
        <v>44.966999999999999</v>
      </c>
      <c r="GE46" s="41"/>
      <c r="GF46" s="40"/>
      <c r="GG46" s="31">
        <f>SnapshotTable[[#This Row],[Booked Sale Shares]] * SnapshotTable[[#This Row],[Booked Sale Price]]</f>
        <v>0</v>
      </c>
      <c r="GH46" s="31" t="str">
        <f>IF(SnapshotTable[[#This Row],[Equity Basis Total]] &gt; 0, SnapshotTable[[#This Row],[Equity Basis Per Share]] * SnapshotTable[[#This Row],[Booked Sale Shares]], "")</f>
        <v/>
      </c>
      <c r="GI46" s="31">
        <f>IF(SnapshotTable[[#This Row],[Sale Proceeds]]&gt;0, SnapshotTable[[#This Row],[Sale Proceeds]] - SnapshotTable[[#This Row],[Sale Basis]], 0)</f>
        <v>0</v>
      </c>
      <c r="GJ46" s="27" t="str">
        <f>IF(SnapshotTable[[#This Row],[Sale G/L]]&gt;0, SnapshotTable[[#This Row],[Sale G/L]] / SnapshotTable[[#This Row],[Sale Basis]], IF(ISNUMBER(SnapshotTable[[#This Row],[SC Exercise P&amp;L (TAX)]]), SnapshotTable[[#This Row],[SC Exercise P&amp;L (TAX)]] / SnapshotTable[[#This Row],[SC Basis]], ""))</f>
        <v/>
      </c>
      <c r="GK46" s="27"/>
      <c r="GL46" s="43" t="str">
        <f>IF(AND(SnapshotTable[[#This Row],[LP Exp Date]]&gt;0,SnapshotTable[[#This Row],[LP Strike Price]]&gt;0), [1]!ToOptionSymbol(SnapshotTable[[#This Row],[Symbol]], SnapshotTable[[#This Row],[LP Strike Price]],SnapshotTable[[#This Row],[LP Exp Date]],1), "")</f>
        <v/>
      </c>
      <c r="GM46" s="30" t="str">
        <f>IF(LEN(SnapshotTable[[#This Row],[LP Symbol]])&gt;0, 1, "")</f>
        <v/>
      </c>
      <c r="GN46" s="43" t="str">
        <f>IF(AND(SnapshotTable[[#This Row],[SP Exp Date]]&gt;0,SnapshotTable[[#This Row],[SP Strike Price]]&gt;0), [1]!ToOptionSymbol(SnapshotTable[[#This Row],[Symbol]], SnapshotTable[[#This Row],[SP Strike Price]],SnapshotTable[[#This Row],[SP Exp Date]],1), "")</f>
        <v/>
      </c>
      <c r="GO46" s="30" t="str">
        <f>IF(LEN(SnapshotTable[[#This Row],[SP Symbol]])&gt;0, 1, "")</f>
        <v/>
      </c>
      <c r="GP46" s="43" t="str">
        <f>IF(AND(SnapshotTable[[#This Row],[LC Exp Date]]&gt;0,SnapshotTable[[#This Row],[LC Strike Price]]&gt;0), [1]!ToOptionSymbol(SnapshotTable[[#This Row],[Symbol]], SnapshotTable[[#This Row],[LC Strike Price]],SnapshotTable[[#This Row],[LC Exp Date]],0), "")</f>
        <v/>
      </c>
      <c r="GQ46" s="30" t="str">
        <f>IF(LEN(SnapshotTable[[#This Row],[LC Symbol]])&gt;0, 1, "")</f>
        <v/>
      </c>
      <c r="GR46" s="43" t="str">
        <f>IF(AND(SnapshotTable[[#This Row],[SC Exp Date]]&gt;0,SnapshotTable[[#This Row],[SC Strike Price]]&gt;0), [1]!ToOptionSymbol(SnapshotTable[[#This Row],[Symbol]], SnapshotTable[[#This Row],[SC Strike Price]],SnapshotTable[[#This Row],[SC Exp Date]],0), "")</f>
        <v/>
      </c>
      <c r="GS46" s="30" t="str">
        <f>IF(LEN(SnapshotTable[[#This Row],[SC Symbol]])&gt;0, 1, "")</f>
        <v/>
      </c>
      <c r="GT46" s="29" t="str">
        <f>IF(COUNT(SnapshotTable[[#This Row],[LP Symbol Count]],SnapshotTable[[#This Row],[SP Symbol Count]],SnapshotTable[[#This Row],[LC Symbol Count]],SnapshotTable[[#This Row],[SC Symbol Count]])&gt;0, "Y", "")</f>
        <v/>
      </c>
      <c r="GU4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 s="231" t="e">
        <f>MAX(SnapshotTable[[#This Row],[Equity Basis Total]],SnapshotTable[[#This Row],[Equity Value]]) + (SnapshotTable[[#This Row],[SP Potential Spend]]- SnapshotTable[[#This Row],[SP Premium]] + SnapshotTable[[#This Row],[LP Premium]])+ (SnapshotTable[[#This Row],[LC Premium]] - SnapshotTable[[#This Row],[SC Premium]])</f>
        <v>#VALUE!</v>
      </c>
      <c r="GW46" s="139" t="e">
        <f>IF(AND(SnapshotTable[[#This Row],[Exposure]] &lt;&gt; 0),SnapshotTable[[#This Row],[Exposure]] / SnapshotTable[[#Totals],[Exposure]], "")</f>
        <v>#VALUE!</v>
      </c>
      <c r="GY46" s="381"/>
      <c r="HE46" s="268"/>
      <c r="HF46" s="268"/>
      <c r="HG46" s="381"/>
      <c r="HH46" s="381"/>
      <c r="HI46" s="381"/>
      <c r="HJ46" s="381"/>
    </row>
    <row r="47" spans="2:224" s="47" customFormat="1" ht="12.75" hidden="1" customHeight="1" x14ac:dyDescent="0.25">
      <c r="B47" s="12" t="s">
        <v>1067</v>
      </c>
      <c r="C47" s="422">
        <v>95.87</v>
      </c>
      <c r="D47" s="208" t="s">
        <v>850</v>
      </c>
      <c r="E47" s="39">
        <f>SnapshotTable[[#This Row],[Last Price]]*(1 -CrashDiscount)</f>
        <v>81.489500000000007</v>
      </c>
      <c r="F47" s="26" t="s">
        <v>945</v>
      </c>
      <c r="G47" s="26" t="s">
        <v>606</v>
      </c>
      <c r="H47" s="149"/>
      <c r="I47" s="194">
        <v>44965.670138888891</v>
      </c>
      <c r="J47" s="195">
        <v>44965.670138888891</v>
      </c>
      <c r="K47" s="196" t="s">
        <v>3</v>
      </c>
      <c r="L47" s="326"/>
      <c r="M47" s="140">
        <v>2</v>
      </c>
      <c r="N47" s="140" t="b">
        <v>1</v>
      </c>
      <c r="O47" s="140"/>
      <c r="P47" s="22"/>
      <c r="Q47" s="25"/>
      <c r="R47" s="4" t="str">
        <f>IF(SnapshotTable[[#This Row],[Equity Basis Total]] &gt; 0, SnapshotTable[[#This Row],[Equity Basis Total]] / SnapshotTable[[#This Row],[Equity Shares]], "")</f>
        <v/>
      </c>
      <c r="S47" s="269">
        <f>SnapshotTable[[#This Row],[Last Price]] * SnapshotTable[[#This Row],[Equity Shares]]</f>
        <v>0</v>
      </c>
      <c r="T47" s="269">
        <f>SnapshotTable[[#This Row],[Equity Value]] - SnapshotTable[[#This Row],[Equity Basis Total]]</f>
        <v>0</v>
      </c>
      <c r="U47" s="270" t="str">
        <f>IF(SnapshotTable[[#This Row],[Equity Basis Total]] &gt; 0, SnapshotTable[[#This Row],[Equity G/L]] / SnapshotTable[[#This Row],[Equity Basis Total]], "")</f>
        <v/>
      </c>
      <c r="V47" s="268">
        <v>210</v>
      </c>
      <c r="W47" s="268">
        <v>134.9</v>
      </c>
      <c r="X47" s="4" t="str">
        <f>IF(AND(ISNUMBER(SnapshotTable[[#This Row],[Equity Basis Per Share]]),ISNUMBER(SnapshotTable[[#This Row],[Equity Target]])),SnapshotTable[[#This Row],[Equity Target]]-SnapshotTable[[#This Row],[Equity Basis Per Share]],"")</f>
        <v/>
      </c>
      <c r="Y47" s="4" t="str">
        <f>IF(AND(ISNUMBER(SnapshotTable[[#This Row],[Equity Basis Per Share]]),ISNUMBER(SnapshotTable[[#This Row],[Equity Stop Loss]])),SnapshotTable[[#This Row],[Equity Stop Loss]]-SnapshotTable[[#This Row],[Equity Basis Per Share]],"")</f>
        <v/>
      </c>
      <c r="Z47" s="275" t="str">
        <f>IFERROR( TEXT(SnapshotTable[[#This Row],[Equity Max Gain Per Share]] /ABS( SnapshotTable[[#This Row],[Equity Max Loss Per Share]]),"0.0 " ) &amp; " : 1", "")</f>
        <v/>
      </c>
      <c r="AA47" s="31" t="str">
        <f>IF(ISNUMBER(SnapshotTable[[#This Row],[Equity Max Gain Per Share]]),SnapshotTable[[#This Row],[Equity Max Gain Per Share]] * SnapshotTable[[#This Row],[Equity Shares]],"")</f>
        <v/>
      </c>
      <c r="AB47" s="31" t="str">
        <f>IF(ISNUMBER(SnapshotTable[[#This Row],[Equity Max Loss Per Share]]),SnapshotTable[[#This Row],[Equity Max Loss Per Share]] * SnapshotTable[[#This Row],[Equity Shares]],"")</f>
        <v/>
      </c>
      <c r="AC47" s="150"/>
      <c r="AD47" s="151"/>
      <c r="AE47" s="31">
        <f>(SnapshotTable[[#This Row],[Annual Dividend Per Share]] / 4) * SnapshotTable[[#This Row],[Equity Shares]]</f>
        <v>0</v>
      </c>
      <c r="AF47" s="31">
        <f>SnapshotTable[[#This Row],[Quarterly Div $]] * 4</f>
        <v>0</v>
      </c>
      <c r="AG47" s="7">
        <f>IF(SnapshotTable[[#This Row],[Annual Dividend Per Share]]&gt;0, SnapshotTable[[#This Row],[Annual Dividend Per Share]]  / SnapshotTable[[#This Row],[Last Price]], 0)</f>
        <v>0</v>
      </c>
      <c r="AH47" s="151"/>
      <c r="AI47" s="5"/>
      <c r="AJ47" s="138">
        <v>126.29</v>
      </c>
      <c r="AK47" s="152" t="str">
        <f>IF(ISNUMBER( SnapshotTable[[#This Row],[EBF Target]]),(SnapshotTable[[#This Row],[EBF Target]] - SnapshotTable[[#This Row],[Last Price]]) / SnapshotTable[[#This Row],[Last Price]], "")</f>
        <v/>
      </c>
      <c r="AL47" s="152" t="str">
        <f>IF(AND(SnapshotTable[[#This Row],[Equity Basis Total]] &gt; 0,ISNUMBER( SnapshotTable[[#This Row],[Long Term Target]])), SnapshotTable[[#This Row],[From Basis $]] / SnapshotTable[[#This Row],[Equity Basis Total]], "")</f>
        <v/>
      </c>
      <c r="AM47" s="9">
        <f>IF( AND(SnapshotTable[[#This Row],[Equity Shares]] &gt;0,ISNUMBER( SnapshotTable[[#This Row],[Long Term Target]])),(SnapshotTable[[#This Row],[Equity Shares]] * SnapshotTable[[#This Row],[Long Term Target]]) - SnapshotTable[[#This Row],[Equity Basis Total]],0)</f>
        <v>0</v>
      </c>
      <c r="AN47" s="9">
        <f>IF( AND(SnapshotTable[[#This Row],[Equity Shares]] &gt;0,ISNUMBER( SnapshotTable[[#This Row],[Long Term Target]])),(SnapshotTable[[#This Row],[Equity Shares]]*SnapshotTable[[#This Row],[Long Term Target]]) - SnapshotTable[[#This Row],[Equity Value]],0)</f>
        <v>0</v>
      </c>
      <c r="AO47" s="152">
        <f>IF(AND(ISNUMBER( SnapshotTable[[#This Row],[Long Term Target]]), ISNUMBER(SnapshotTable[[#This Row],[Last Price]])),(SnapshotTable[[#This Row],[Long Term Target]] - SnapshotTable[[#This Row],[Last Price]]) / SnapshotTable[[#This Row],[Last Price]], "")</f>
        <v>0.31730468342547202</v>
      </c>
      <c r="AP47" s="5">
        <v>95</v>
      </c>
      <c r="AQ47" s="38" t="s">
        <v>27</v>
      </c>
      <c r="AR47" s="5">
        <v>95</v>
      </c>
      <c r="AS47" s="38" t="s">
        <v>38</v>
      </c>
      <c r="AT47" s="146" t="s">
        <v>542</v>
      </c>
      <c r="AU47" s="187" t="str">
        <f>IF(OR(SnapshotTable[[#This Row],[LP No Fill]]="Y",SnapshotTable[[#This Row],[SP Is Filled]],SnapshotTable[[#This Row],[LC Not Filled]]="Y",SnapshotTable[[#This Row],[SC Is Filled]]),"Y","")</f>
        <v/>
      </c>
      <c r="AV47" s="219"/>
      <c r="AW47" s="225"/>
      <c r="AX47" s="220"/>
      <c r="AY47" s="219" t="str">
        <f>IF(SnapshotTable[[#This Row],[Implied Move]]&gt;0, SnapshotTable[[#This Row],[Last Price]]-SnapshotTable[[#This Row],[Implied Move]],"")</f>
        <v/>
      </c>
      <c r="AZ47" s="219" t="str">
        <f>IF(SnapshotTable[[#This Row],[Implied Move]]&gt;0, SnapshotTable[[#This Row],[Last Price]] + SnapshotTable[[#This Row],[Implied Move]],"")</f>
        <v/>
      </c>
      <c r="BA47" s="331">
        <v>91.56</v>
      </c>
      <c r="BB47" s="347" t="s">
        <v>1072</v>
      </c>
      <c r="BC4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 s="351"/>
      <c r="BE47" s="5"/>
      <c r="BF47" s="14"/>
      <c r="BG47" s="13"/>
      <c r="BH47" s="13"/>
      <c r="BI47" s="5"/>
      <c r="BJ47" s="136">
        <f>IF(SnapshotTable[[#This Row],[LP Qty]] &gt; 0, SnapshotTable[[#This Row],[LP Qty]] * SnapshotTable[[#This Row],[LP Book Price]] * 100,0)</f>
        <v>0</v>
      </c>
      <c r="BK47" s="136">
        <f>IF(SnapshotTable[[#This Row],[LP Premium]] &gt; 0, SnapshotTable[[#This Row],[LP Qty]] * SnapshotTable[[#This Row],[LP Strike Price]] * 100,0)</f>
        <v>0</v>
      </c>
      <c r="BL47" s="154"/>
      <c r="BM47" s="385" t="str">
        <f>IF(SnapshotTable[[#This Row],[LP Premium]] &gt; 0,SnapshotTable[[#This Row],[LP Exp Date]]-MAX(SnapshotTable[[#This Row],[LP Book Date]], SnapshotTable[[#This Row],[LP Fill Date]]),"")</f>
        <v/>
      </c>
      <c r="BN47" s="385" t="str">
        <f>IF(ISNUMBER( SnapshotTable[[#This Row],[LP Term]]), SnapshotTable[[#This Row],[LP Exp Date]] - MockToday,"")</f>
        <v/>
      </c>
      <c r="BO47" s="163" t="str">
        <f>IF(AND(SnapshotTable[[#This Row],[LP Exp Date]]&gt;0, SnapshotTable[[#This Row],[LP Strike Price]]&gt;0,SnapshotTable[[#This Row],[LP Qty]]&gt;0,SnapshotTable[[#This Row],[LP Book Date]]&gt;0,SnapshotTable[[#This Row],[LP Book Price]]&gt;0,SnapshotTable[[#This Row],[LP Fill Date]]=0),"Y","")</f>
        <v/>
      </c>
      <c r="BP47" s="31" t="str">
        <f>IF(AND(SnapshotTable[[#This Row],[LP No Fill]]&lt;&gt;"Y",SnapshotTable[[#This Row],[LP Contract Value]]&gt;0, SnapshotTable[[#This Row],[LP Qty]]&gt;0), SnapshotTable[[#This Row],[LP Contract Value]]*SnapshotTable[[#This Row],[LP Qty]]*100,"")</f>
        <v/>
      </c>
      <c r="BQ47" s="13"/>
      <c r="BR47" s="5" t="str">
        <f>IF(SnapshotTable[[#This Row],[SP Exp Date]]&lt;&gt;"",TRUNC(SnapshotTable[[#This Row],[Last Price]]),"")</f>
        <v/>
      </c>
      <c r="BS47" s="36"/>
      <c r="BT47" s="147"/>
      <c r="BU47" s="13"/>
      <c r="BV47" s="5"/>
      <c r="BW47" s="419" t="b">
        <f>AND(ISNUMBER(SnapshotTable[[#This Row],[SP Exp Date]]), ISNUMBER(SnapshotTable[[#This Row],[SP Strike Price]]), ISNUMBER(SnapshotTable[[#This Row],[SP Qty]]), ISNUMBER(SnapshotTable[[#This Row],[SP Book Date]]), ISNUMBER(SnapshotTable[[#This Row],[SP Book Price]]))</f>
        <v>0</v>
      </c>
      <c r="BX47" s="419" t="b">
        <f>AND(SnapshotTable[[#This Row],[SP Is Booked]], NOT(ISBLANK(SnapshotTable[[#This Row],[SP Fill Date]])))</f>
        <v>0</v>
      </c>
      <c r="BY47" s="33">
        <f>IF(SnapshotTable[[#This Row],[SP Is Booked]], SnapshotTable[[#This Row],[SP Qty]] * SnapshotTable[[#This Row],[SP Book Price]] * 100, 0)</f>
        <v>0</v>
      </c>
      <c r="BZ47" s="369"/>
      <c r="CA47" s="368">
        <f>SnapshotTable[[#This Row],[LP Qty]]</f>
        <v>0</v>
      </c>
      <c r="CB47" s="4" t="str">
        <f>IF(SnapshotTable[[#This Row],[SP Is Booked]], SnapshotTable[[#This Row],[SP Strike Price]] - SnapshotTable[[#This Row],[SP Book Price]], "")</f>
        <v/>
      </c>
      <c r="CC47" s="19" t="str">
        <f>IF(SnapshotTable[[#This Row],[SP Is Booked]],SnapshotTable[[#This Row],[SP Exp Date]]-MAX(SnapshotTable[[#This Row],[SP Book Date]], SnapshotTable[[#This Row],[SP Fill Date]]),"")</f>
        <v/>
      </c>
      <c r="CD47" s="7" t="str">
        <f>IF(SnapshotTable[[#This Row],[SP Is Booked]], SnapshotTable[[#This Row],[SP Book Price]]/SnapshotTable[[#This Row],[SP Strike Price]], "")</f>
        <v/>
      </c>
      <c r="CE47" s="7" t="str">
        <f>IF(ISNUMBER(SnapshotTable[[#This Row],[SP ROO Term]]),SnapshotTable[[#This Row],[SP ROO Term]]*(365/SnapshotTable[[#This Row],[SP Term]]),"")</f>
        <v/>
      </c>
      <c r="CF47" s="236">
        <f>SnapshotTable[[#This Row],[LP Strike Price]] * SnapshotTable[[#This Row],[LP Qty]] * 100</f>
        <v>0</v>
      </c>
      <c r="CG47" s="31" t="e">
        <f>IF(ISNUMBER(SnapshotTable[[#This Row],[SP Premium]]), (SnapshotTable[[#This Row],[SP Qty]] * SnapshotTable[[#This Row],[SP Strike Price]]* 100) - SnapshotTable[[#This Row],[LP Protection]], 0)</f>
        <v>#VALUE!</v>
      </c>
      <c r="CH47" s="7" t="str">
        <f>IF(ISNUMBER(SnapshotTable[[#This Row],[SP Break Even]]),-1 * (SnapshotTable[[#This Row],[SP Break Even]] - SnapshotTable[[#This Row],[Last Price]]) / SnapshotTable[[#This Row],[Last Price]], "")</f>
        <v/>
      </c>
      <c r="CI47" s="31">
        <f>IF(AND(ISNUMBER((SnapshotTable[[#This Row],[SP Potential Spend]])), SnapshotTable[[#This Row],[SP Strike Price]] &gt; SnapshotTable[[#This Row],[Last Price]], SnapshotTable[[#This Row],[SP Is Filled]]), SnapshotTable[[#This Row],[SP Potential Spend]] -  SnapshotTable[[#This Row],[LP Max Value]], 0)</f>
        <v>0</v>
      </c>
      <c r="CJ47" s="244"/>
      <c r="CK47" s="31" t="str">
        <f>IF(ISNUMBER(SnapshotTable[[#This Row],[SP Potential Spend]]),IF(ISNUMBER(SnapshotTable[[#This Row],[SP POW]]), SnapshotTable[[#This Row],[SP POW]] * SnapshotTable[[#This Row],[SP Potential Spend]], SnapshotTable[[#This Row],[SP Potential Spend]]), "")</f>
        <v/>
      </c>
      <c r="CL47" s="164" t="e">
        <f>IF(NOT(SnapshotTable[[#This Row],[SP Is Filled]]),(SnapshotTable[[#This Row],[SP Qty]] * SnapshotTable[[#This Row],[SP Strike Price]] * 100) - SnapshotTable[[#This Row],[LP Max Value]],"")</f>
        <v>#VALUE!</v>
      </c>
      <c r="CM47" s="31" t="str">
        <f>IF(SnapshotTable[[#This Row],[SP Actual Spend]]&lt;&gt;0, ((SnapshotTable[[#This Row],[SP Strike Price]]-SnapshotTable[[#This Row],[Last Price]]) *(SnapshotTable[[#This Row],[SP Qty]]*100) - SnapshotTable[[#This Row],[SP Premium]]) * - 1, "")</f>
        <v/>
      </c>
      <c r="CN47" s="78"/>
      <c r="CO47" s="369"/>
      <c r="CP47" s="4" t="str">
        <f>IF(SnapshotTable[[#This Row],[SP Is Filled]], btc_max_buyback_amount(SnapshotTable[[#This Row],[SP Fill Date]],SnapshotTable[[#This Row],[SP Exp Date]], SnapshotTable[[#This Row],[SP Book Price]]),"")</f>
        <v/>
      </c>
      <c r="CQ47" s="78"/>
      <c r="CR4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 s="155" t="str">
        <f>IF(SnapshotTable[[#This Row],[SP Is Filled]], btc_next_cutoff_date(SnapshotTable[[#This Row],[SP Fill Date]],SnapshotTable[[#This Row],[SP Exp Date]]),"")</f>
        <v/>
      </c>
      <c r="CT47" s="235" t="str" cm="1">
        <f t="array" ref="CT47">IF(SnapshotTable[[#This Row],[SP Is Filled]], btc_should_buy_back(SnapshotTable[[#This Row],[SP Fill Date]], SnapshotTable[[#This Row],[SP Exp Date]], SnapshotTable[[#This Row],[SP Book Price]], SnapshotTable[[#This Row],[SP Current Ask]], MockToday, SnapshotTable[[#This Row],[SP Buyback Override]]),"")</f>
        <v/>
      </c>
      <c r="CU47" s="143"/>
      <c r="CV47" s="235"/>
      <c r="CW47" s="378" t="str">
        <f>IF(ISNUMBER( SnapshotTable[[#This Row],[SP Term]]), SnapshotTable[[#This Row],[SP Exp Date]] - MockToday,"")</f>
        <v/>
      </c>
      <c r="CX47" s="31" t="str">
        <f>IF(SnapshotTable[[#This Row],[SP Is Filled]],SnapshotTable[[#This Row],[SP Buyback Price to Use]] * 100 * SnapshotTable[[#This Row],[SP Qty]], "")</f>
        <v/>
      </c>
      <c r="CY47" s="4" t="str">
        <f>IF(ISNUMBER(SnapshotTable[[#This Row],[SP Strike Price]]), SnapshotTable[[#This Row],[SP Strike Price]] * (1 - SP_MaxLoss_StrikePct), "")</f>
        <v/>
      </c>
      <c r="CZ47" s="31" t="str">
        <f>IF(ISNUMBER(SnapshotTable[[#This Row],[SP Strike  Stop Per Share]]),SnapshotTable[[#This Row],[SP Premium]] - ((SnapshotTable[[#This Row],[SP Strike Price]]-SnapshotTable[[#This Row],[SP Strike  Stop Per Share]]) *(SnapshotTable[[#This Row],[SP Qty]] * 100)),"")</f>
        <v/>
      </c>
      <c r="DA47" s="4" t="str">
        <f>IF(AND(ISNUMBER(SnapshotTable[[#This Row],[SP Premium]]),SnapshotTable[[#This Row],[SP Premium]]&gt;0), SnapshotTable[[#This Row],[SP Book Price]] * (1 + SP_MaxLoss_OptionPct), "")</f>
        <v/>
      </c>
      <c r="DB47" s="31" t="str">
        <f>IF(ISNUMBER(SnapshotTable[[#This Row],[SP Option  Stop Contract]]),(SnapshotTable[[#This Row],[SP Option  Stop Contract]] *(SnapshotTable[[#This Row],[SP Qty]] * 100) - SnapshotTable[[#This Row],[SP Premium]]),"")</f>
        <v/>
      </c>
      <c r="DC47" s="4"/>
      <c r="DD47" s="4"/>
      <c r="DE47" s="4" t="str">
        <f>IF(AND(SnapshotTable[[#This Row],[SP Qty]]&gt;0, SnapshotTable[[#This Row],[SP Stop To Use]]&gt;0),SnapshotTable[[#This Row],[SP Premium]] - ( SnapshotTable[[#This Row],[SP Qty]] * SnapshotTable[[#This Row],[SP Stop To Use]] * 100), "")</f>
        <v/>
      </c>
      <c r="DF47" s="31" t="str">
        <f>IF(AND(SnapshotTable[[#This Row],[SP Qty]]&gt;0,SnapshotTable[[#This Row],[SP Current Ask]]&gt;0), SnapshotTable[[#This Row],[SP Qty]] * SnapshotTable[[#This Row],[SP Current Ask]] * -100, "")</f>
        <v/>
      </c>
      <c r="DG47" s="31" t="str">
        <f>IF(ISNUMBER((SnapshotTable[[#This Row],[SP Total Value]])), SnapshotTable[[#This Row],[SP Premium]] + SnapshotTable[[#This Row],[SP Total Value]], "")</f>
        <v/>
      </c>
      <c r="DH47" s="294" t="str">
        <f>IF(ISNUMBER((SnapshotTable[[#This Row],[SP Total Value]])), SnapshotTable[[#This Row],[SP Gain Loss]] / SnapshotTable[[#This Row],[SP Premium]], "")</f>
        <v/>
      </c>
      <c r="DI47" s="406"/>
      <c r="DJ47" s="138"/>
      <c r="DK47" s="148"/>
      <c r="DL47" s="13"/>
      <c r="DM47" s="13"/>
      <c r="DN47" s="5"/>
      <c r="DO47" s="31">
        <f>IF(SnapshotTable[[#This Row],[LC Symbol Count]]=1, SnapshotTable[[#This Row],[LC Qty]] * SnapshotTable[[#This Row],[LC Book Price]] * 100, 0)</f>
        <v>0</v>
      </c>
      <c r="DP47" s="163" t="str">
        <f>IF(AND(SnapshotTable[[#This Row],[LC Exp Date]]&gt;0, SnapshotTable[[#This Row],[LC Strike Price]]&gt;0,SnapshotTable[[#This Row],[LC Qty]]&gt;0,SnapshotTable[[#This Row],[LC Book Date]]&gt;0,SnapshotTable[[#This Row],[LC Book Price]]&gt;0,SnapshotTable[[#This Row],[LC Fill Date]]=0),"Y","")</f>
        <v/>
      </c>
      <c r="DQ47" s="386" t="str">
        <f>IF(SnapshotTable[[#This Row],[LC Premium]] &gt; 0,SnapshotTable[[#This Row],[LC Exp Date]]-MAX(SnapshotTable[[#This Row],[LC Book Date]], SnapshotTable[[#This Row],[LC Fill Date]]),"")</f>
        <v/>
      </c>
      <c r="DR47" s="386" t="str">
        <f>IF(ISNUMBER(SnapshotTable[[#This Row],[LC Term]]), SnapshotTable[[#This Row],[LC Exp Date]] - MockToday, "")</f>
        <v/>
      </c>
      <c r="DS47" s="234" t="str">
        <f>IF(SnapshotTable[[#This Row],[LC Premium]]&gt;0,SnapshotTable[[#This Row],[LC Strike Price]] + SnapshotTable[[#This Row],[LC Book Price]],"")</f>
        <v/>
      </c>
      <c r="DT47" s="5"/>
      <c r="DU47" s="9" t="str">
        <f>IF(AND(SnapshotTable[[#This Row],[LC Symbol Count]]&gt;0, SnapshotTable[[#This Row],[LC Contract Value]]&gt;0), SnapshotTable[[#This Row],[LC Contract Value]] * SnapshotTable[[#This Row],[LC Qty]] * 100, "")</f>
        <v/>
      </c>
      <c r="DV47" s="9" t="str">
        <f>IF(AND(ISNUMBER(SnapshotTable[[#This Row],[LC Total Value]]), SnapshotTable[[#This Row],[LC Not Filled]]&lt;&gt;"Y"), SnapshotTable[[#This Row],[LC Total Value]]-SnapshotTable[[#This Row],[LC Premium]],"")</f>
        <v/>
      </c>
      <c r="DW47" s="240" t="str">
        <f>IF(ISNUMBER(SnapshotTable[[#This Row],[LC Actual Gain Loss]]), SnapshotTable[[#This Row],[LC Actual Gain Loss]] / SnapshotTable[[#This Row],[LC Premium]],"")</f>
        <v/>
      </c>
      <c r="DX47" s="284" t="str">
        <f>IF(ISNUMBER(SnapshotTable[[#This Row],[LC Book Price]]),SnapshotTable[[#This Row],[LC Book Price]] * 1.5,"")</f>
        <v/>
      </c>
      <c r="DY47" s="265" t="str">
        <f>IF(SnapshotTable[[#This Row],[LC Premium]]&gt;0, SnapshotTable[[#This Row],[LC Next Target]] * SnapshotTable[[#This Row],[LC Qty]] * 100,"")</f>
        <v/>
      </c>
      <c r="DZ47" s="265" t="str">
        <f>IF(ISNUMBER(SnapshotTable[[#This Row],[LC Target Gross]]), SnapshotTable[[#This Row],[LC Target Gross]] - SnapshotTable[[#This Row],[LC Premium]], "")</f>
        <v/>
      </c>
      <c r="EA47" s="305" t="str">
        <f>IF(ISNUMBER(SnapshotTable[[#This Row],[LC Target Gain Loss]]), SnapshotTable[[#This Row],[LC Target Gain Loss]]/SnapshotTable[[#This Row],[LC Premium]], "")</f>
        <v/>
      </c>
      <c r="EB47" s="262"/>
      <c r="EC47" s="283" t="str">
        <f>IF(SnapshotTable[[#This Row],[LC Premium]]&gt;0, SnapshotTable[[#This Row],[LC Book Price]] * (1 - LC_StopLoss_Pct),"")</f>
        <v/>
      </c>
      <c r="ED47" s="284"/>
      <c r="EE47" s="283" t="str">
        <f>IF(ISNUMBER(SnapshotTable[[#This Row],[LC Contract Value]]),IF(ISNUMBER(SnapshotTable[[#This Row],[LC Stop Loss Override]]), SnapshotTable[[#This Row],[LC Stop Loss Override]],SnapshotTable[[#This Row],[LC Stop Loss Calc Target]]),"")</f>
        <v/>
      </c>
      <c r="EF47" s="31" t="str">
        <f>IF(ISNUMBER(SnapshotTable[[#This Row],[LC Stop  To Use]]), (SnapshotTable[[#This Row],[LC Stop  To Use]] * SnapshotTable[[#This Row],[LC Qty]] * 100),"")</f>
        <v/>
      </c>
      <c r="EG47" s="9" t="str">
        <f>IF(ISNUMBER(SnapshotTable[[#This Row],[LC Total Value]]),SnapshotTable[[#This Row],[LC Stop Loss Amount]] - SnapshotTable[[#This Row],[LC Premium]],"")</f>
        <v/>
      </c>
      <c r="EH47" s="9">
        <f>IF(ISNUMBER(SnapshotTable[[#This Row],[LC Premium]]), SnapshotTable[[#This Row],[LC Qty]] * 100 * SnapshotTable[[#This Row],[LC Strike Price]], "")</f>
        <v>0</v>
      </c>
      <c r="EI47" s="240" t="str">
        <f>IF(AND(ISNUMBER(SnapshotTable[[#This Row],[LC Total Value]]),SnapshotTable[[#This Row],[LC Total Value]]&gt;0),SnapshotTable[[#This Row],[LC Stop Gain Loss]]  / SnapshotTable[[#This Row],[LC Premium]],"")</f>
        <v/>
      </c>
      <c r="EJ47" s="35">
        <f>IF(ISNUMBER(SnapshotTable[[#This Row],[Equity Shares]]),TRUNC(SnapshotTable[[#This Row],[Equity Shares]] / 100),0) + SnapshotTable[[#This Row],[LC Qty]]</f>
        <v>0</v>
      </c>
      <c r="EK47" s="147"/>
      <c r="EL47" s="138" t="str">
        <f>IF(SnapshotTable[[#This Row],[SC Exp Date]]&lt;&gt;"",TRUNC(SnapshotTable[[#This Row],[Last Price]]),"")</f>
        <v/>
      </c>
      <c r="EM47" s="148"/>
      <c r="EN47" s="147"/>
      <c r="EO47" s="147"/>
      <c r="EP47" s="138"/>
      <c r="EQ47" s="419" t="b">
        <f>AND(ISNUMBER(SnapshotTable[[#This Row],[SC Exp Date]]), ISNUMBER(SnapshotTable[[#This Row],[SC Strike Price]]), ISNUMBER(SnapshotTable[[#This Row],[SC Qty]]), ISNUMBER(SnapshotTable[[#This Row],[SC Book Date]]), ISNUMBER(SnapshotTable[[#This Row],[SC Book Price]]))</f>
        <v>0</v>
      </c>
      <c r="ER47" s="419" t="b">
        <f>AND(SnapshotTable[[#This Row],[SC Is Booked]], NOT(ISBLANK(SnapshotTable[[#This Row],[SC Fill Date]])))</f>
        <v>0</v>
      </c>
      <c r="ES47" s="370"/>
      <c r="ET47" s="34" t="str">
        <f>IF(AND(ISNUMBER(SnapshotTable[[#This Row],[SC Exp Date]]), ISNUMBER(SnapshotTable[[#This Row],[SC Book Date]])), SnapshotTable[[#This Row],[SC Exp Date]] - MAX(SnapshotTable[[#This Row],[SC Book Date]], SnapshotTable[[#This Row],[SC Fill Date]]) + 1, "")</f>
        <v/>
      </c>
      <c r="EU47" s="34" t="str">
        <f>IF(ISNUMBER(SnapshotTable[[#This Row],[SC Term]]), SnapshotTable[[#This Row],[SC Exp Date]]- MockToday, "")</f>
        <v/>
      </c>
      <c r="EV47" s="31">
        <f>IF(SnapshotTable[[#This Row],[SC Is Booked]], SnapshotTable[[#This Row],[SC Qty]] * SnapshotTable[[#This Row],[SC Book Price]] * 100, 0)</f>
        <v>0</v>
      </c>
      <c r="EW47" s="4" t="str">
        <f>IF(AND(ISNUMBER(SnapshotTable[[#This Row],[Last Price]]), ISNUMBER( SnapshotTable[[#This Row],[SC Book Price]])), SnapshotTable[[#This Row],[Last Price]] - SnapshotTable[[#This Row],[SC Book Price]],"")</f>
        <v/>
      </c>
      <c r="EX47" s="234" t="str">
        <f>IF(SnapshotTable[[#This Row],[SC Is Booked]],IF(SnapshotTable[[#This Row],[SC Intrinsic Value]] &gt; 0, SnapshotTable[[#This Row],[SC Strike Price]], SnapshotTable[[#This Row],[Last Price]]), "")</f>
        <v/>
      </c>
      <c r="EY47" s="4">
        <f>IF(SnapshotTable[[#This Row],[SC Is Booked]], (MinimumPremiumRequired * SnapshotTable[[#This Row],[SC Basis]] * SnapshotTable[[#This Row],[SC Term]]), 0)</f>
        <v>0</v>
      </c>
      <c r="EZ47" s="283"/>
      <c r="FA47" s="218"/>
      <c r="FB47" s="370"/>
      <c r="FC47" s="4">
        <f>IF(SnapshotTable[[#This Row],[SC Is Filled]], btc_max_buyback_amount(SnapshotTable[[#This Row],[SC Fill Date]],SnapshotTable[[#This Row],[SC Exp Date]], SnapshotTable[[#This Row],[SC Book Price]]),0)</f>
        <v>0</v>
      </c>
      <c r="FD47" s="5"/>
      <c r="FE47" s="144" t="str">
        <f>IF(SnapshotTable[[#This Row],[SC Is Filled]], btc_next_cutoff_date(SnapshotTable[[#This Row],[SC Fill Date]],SnapshotTable[[#This Row],[SC Exp Date]]),"")</f>
        <v/>
      </c>
      <c r="FF47" s="4" t="str" cm="1">
        <f t="array" ref="FF47">IF(SnapshotTable[[#This Row],[SC Is Filled]], btc_should_buy_back(SnapshotTable[[#This Row],[SC Fill Date]], SnapshotTable[[#This Row],[SC Exp Date]], SnapshotTable[[#This Row],[SC Book Price]], SnapshotTable[[#This Row],[SC Current Ask]], MockToday, SnapshotTable[[#This Row],[SC Buyback Override]]),"")</f>
        <v/>
      </c>
      <c r="FG47" s="4">
        <f>IF(SnapshotTable[[#This Row],[SC Is Filled]], MAX(0,SnapshotTable[[#This Row],[Last Price]]  - SnapshotTable[[#This Row],[SC Strike Price]]), 0)</f>
        <v>0</v>
      </c>
      <c r="FH47" s="382">
        <f>IF(SnapshotTable[[#This Row],[SC Is Filled]], IF(ISNUMBER(SnapshotTable[[#This Row],[SC Current Ask]]), SnapshotTable[[#This Row],[SC Current Ask]], SnapshotTable[[#This Row],[SC Book Price]]) - SnapshotTable[[#This Row],[SC Intrinsic Value]], 0)</f>
        <v>0</v>
      </c>
      <c r="FI47" s="143"/>
      <c r="FJ47" s="32" t="str">
        <f>IF(SnapshotTable[[#This Row],[SC Is Filled]],100 * SnapshotTable[[#This Row],[SC Qty]] * IF(ISNUMBER(SnapshotTable[[#This Row],[SC Buyback Override]]), SnapshotTable[[#This Row],[SC Buyback Override]], SnapshotTable[[#This Row],[SC Current Ask]]), "")</f>
        <v/>
      </c>
      <c r="FK47" s="250" t="str">
        <f>IF(SnapshotTable[[#This Row],[SC Time Val]]&gt;0, SnapshotTable[[#This Row],[SC Time Val]] / SnapshotTable[[#This Row],[Last Price]],"")</f>
        <v/>
      </c>
      <c r="FL47" s="302" t="str">
        <f>IF(SnapshotTable[[#This Row],[SC Is Booked]], ((SnapshotTable[[#This Row],[Last Price]] -SnapshotTable[[#This Row],[SC Strike Price]]) / SnapshotTable[[#This Row],[Last Price]]) * -1, "")</f>
        <v/>
      </c>
      <c r="FM47" s="157" t="str">
        <f>IF(SnapshotTable[[#This Row],[SC Is Booked]],  (SnapshotTable[[#This Row],[SC Qty]] * 100 * SnapshotTable[[#This Row],[SC Strike Price]]) - SnapshotTable[[#This Row],[SC Current Ask]], "")</f>
        <v/>
      </c>
      <c r="FN4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 s="31" t="str">
        <f>IF(AND(ISNUMBER(SnapshotTable[[#This Row],[SC Exercise Gross]]), ISNUMBER(SnapshotTable[[#This Row],[Equity Basis Per Share]] )), SnapshotTable[[#This Row],[SC Exercise Gross]] - SnapshotTable[[#This Row],[Equity Basis Total]] +  SnapshotTable[[#This Row],[SC Premium]], "")</f>
        <v/>
      </c>
      <c r="FP47" s="5" t="str">
        <f>IF(ISNUMBER(SnapshotTable[[#This Row],[SC Exercise Gross]]), (SnapshotTable[[#This Row],[SC Exercise Gross]]) / (SnapshotTable[[#This Row],[SC Qty]] * 100), "")</f>
        <v/>
      </c>
      <c r="FQ47" s="27" t="str">
        <f>IF(SnapshotTable[[#This Row],[SC Is Booked]],SnapshotTable[[#This Row],[SC Time Val]] /SnapshotTable[[#This Row],[SC Basis]], "")</f>
        <v/>
      </c>
      <c r="FR47" s="27" t="str" cm="1">
        <f t="array" ref="FR47">IF(AND(ISNUMBER(SnapshotTable[[#This Row],[SC Term]]),ISNUMBER(SnapshotTable[[#This Row],[SC Simple ROO]])), EllmanAnnualize(SnapshotTable[[#This Row],[SC DTE]], SnapshotTable[[#This Row],[SC Simple ROO]] ),"")</f>
        <v/>
      </c>
      <c r="FS47" s="4" t="e">
        <f>IF(SnapshotTable[[#This Row],[SC Strike Price]] &gt; SnapshotTable[[#This Row],[Last Price]], SnapshotTable[[#This Row],[SC Strike Price]] - SnapshotTable[[#This Row],[Last Price]],0)</f>
        <v>#VALUE!</v>
      </c>
      <c r="FT47" s="27" t="e">
        <f>IF(AND(ISNUMBER(SnapshotTable[[#This Row],[SC Upside Potential]]), SnapshotTable[[#This Row],[SC Upside Potential]] &gt; 0),(SnapshotTable[[#This Row],[SC Upside Potential]]/ SnapshotTable[[#This Row],[ACB]]),"")</f>
        <v>#VALUE!</v>
      </c>
      <c r="FU47" s="333" t="str">
        <f>IF(SnapshotTable[[#This Row],[SC Intrinsic Value]] &gt; 0,SnapshotTable[[#This Row],[SC Intrinsic Value]],"")</f>
        <v/>
      </c>
      <c r="FV47" s="27" t="str">
        <f>IF(AND( ISNUMBER( SnapshotTable[[#This Row],[ACB]]),ISNUMBER(SnapshotTable[[#This Row],[SC Downside Protect]])),SnapshotTable[[#This Row],[SC Downside Protect]] / SnapshotTable[[#This Row],[ACB]],"")</f>
        <v/>
      </c>
      <c r="FW47" s="236" t="str">
        <f>IF(AND(ISNUMBER(SnapshotTable[[#This Row],[SC Simple ROO]]),SnapshotTable[[#This Row],[SC Simple ROO]] &gt; 0), SnapshotTable[[#This Row],[SC Premium]] + (SnapshotTable[[#This Row],[SC Qty]] * SnapshotTable[[#This Row],[SC Upside Potential]]), "")</f>
        <v/>
      </c>
      <c r="FX47" s="302" t="str" cm="1">
        <f t="array" ref="FX47">IF(ISNUMBER(SnapshotTable[[#This Row],[SC Max Dollars]]), annualize(SnapshotTable[[#This Row],[SC Term]],(SnapshotTable[[#This Row],[SC Max Dollars]]/SnapshotTable[[#This Row],[SC Basis]])),"")</f>
        <v/>
      </c>
      <c r="FY47" s="236" t="str">
        <f>IF(AND(SnapshotTable[[#This Row],[SC Qty]]&gt;0,SnapshotTable[[#This Row],[SC Current Ask]]&gt;0), SnapshotTable[[#This Row],[SC Qty]] * SnapshotTable[[#This Row],[SC Current Ask]] * -100, "")</f>
        <v/>
      </c>
      <c r="FZ47" s="31" t="str">
        <f>IF(ISNUMBER((SnapshotTable[[#This Row],[SC Current Value]])), SnapshotTable[[#This Row],[SC Premium]] + SnapshotTable[[#This Row],[SC Current Value]], "")</f>
        <v/>
      </c>
      <c r="GA47" s="294" t="str">
        <f>IFERROR( IF(ISNUMBER((SnapshotTable[[#This Row],[SC Current Value]])), SnapshotTable[[#This Row],[SC Gain Loss]] / SnapshotTable[[#This Row],[SC Premium]], ""), "")</f>
        <v/>
      </c>
      <c r="GB47" s="42">
        <f>SnapshotTable[[#This Row],[Equity Shares]] * SaleSharesToConsiderPercentage</f>
        <v>0</v>
      </c>
      <c r="GC47" s="40">
        <f>SnapshotTable[[#This Row],[Long Term Target]] * SellingPriceToConsiderBasedOnTargetPercentage</f>
        <v>119.9755</v>
      </c>
      <c r="GD47" s="40">
        <f>SnapshotTable[[#This Row],[Last Price]] * (1+ SellingPriceToConsiderBasedOnTargetPercentage)</f>
        <v>186.94650000000001</v>
      </c>
      <c r="GE47" s="41"/>
      <c r="GF47" s="40"/>
      <c r="GG47" s="31">
        <f>SnapshotTable[[#This Row],[Booked Sale Shares]] * SnapshotTable[[#This Row],[Booked Sale Price]]</f>
        <v>0</v>
      </c>
      <c r="GH47" s="31" t="str">
        <f>IF(SnapshotTable[[#This Row],[Equity Basis Total]] &gt; 0, SnapshotTable[[#This Row],[Equity Basis Per Share]] * SnapshotTable[[#This Row],[Booked Sale Shares]], "")</f>
        <v/>
      </c>
      <c r="GI47" s="31">
        <f>IF(SnapshotTable[[#This Row],[Sale Proceeds]]&gt;0, SnapshotTable[[#This Row],[Sale Proceeds]] - SnapshotTable[[#This Row],[Sale Basis]], 0)</f>
        <v>0</v>
      </c>
      <c r="GJ47" s="27" t="str">
        <f>IF(SnapshotTable[[#This Row],[Sale G/L]]&gt;0, SnapshotTable[[#This Row],[Sale G/L]] / SnapshotTable[[#This Row],[Sale Basis]], IF(ISNUMBER(SnapshotTable[[#This Row],[SC Exercise P&amp;L (TAX)]]), SnapshotTable[[#This Row],[SC Exercise P&amp;L (TAX)]] / SnapshotTable[[#This Row],[SC Basis]], ""))</f>
        <v/>
      </c>
      <c r="GK47" s="27" t="s">
        <v>1060</v>
      </c>
      <c r="GL47" s="43" t="str">
        <f>IF(AND(SnapshotTable[[#This Row],[LP Exp Date]]&gt;0,SnapshotTable[[#This Row],[LP Strike Price]]&gt;0), [1]!ToOptionSymbol(SnapshotTable[[#This Row],[Symbol]], SnapshotTable[[#This Row],[LP Strike Price]],SnapshotTable[[#This Row],[LP Exp Date]],1), "")</f>
        <v/>
      </c>
      <c r="GM47" s="30" t="str">
        <f>IF(LEN(SnapshotTable[[#This Row],[LP Symbol]])&gt;0, 1, "")</f>
        <v/>
      </c>
      <c r="GN47" s="43" t="str">
        <f>IF(AND(SnapshotTable[[#This Row],[SP Exp Date]]&gt;0,SnapshotTable[[#This Row],[SP Strike Price]]&gt;0), [1]!ToOptionSymbol(SnapshotTable[[#This Row],[Symbol]], SnapshotTable[[#This Row],[SP Strike Price]],SnapshotTable[[#This Row],[SP Exp Date]],1), "")</f>
        <v/>
      </c>
      <c r="GO47" s="30" t="str">
        <f>IF(LEN(SnapshotTable[[#This Row],[SP Symbol]])&gt;0, 1, "")</f>
        <v/>
      </c>
      <c r="GP47" s="43" t="str">
        <f>IF(AND(SnapshotTable[[#This Row],[LC Exp Date]]&gt;0,SnapshotTable[[#This Row],[LC Strike Price]]&gt;0), [1]!ToOptionSymbol(SnapshotTable[[#This Row],[Symbol]], SnapshotTable[[#This Row],[LC Strike Price]],SnapshotTable[[#This Row],[LC Exp Date]],0), "")</f>
        <v/>
      </c>
      <c r="GQ47" s="30" t="str">
        <f>IF(LEN(SnapshotTable[[#This Row],[LC Symbol]])&gt;0, 1, "")</f>
        <v/>
      </c>
      <c r="GR47" s="43" t="str">
        <f>IF(AND(SnapshotTable[[#This Row],[SC Exp Date]]&gt;0,SnapshotTable[[#This Row],[SC Strike Price]]&gt;0), [1]!ToOptionSymbol(SnapshotTable[[#This Row],[Symbol]], SnapshotTable[[#This Row],[SC Strike Price]],SnapshotTable[[#This Row],[SC Exp Date]],0), "")</f>
        <v/>
      </c>
      <c r="GS47" s="30" t="str">
        <f>IF(LEN(SnapshotTable[[#This Row],[SC Symbol]])&gt;0, 1, "")</f>
        <v/>
      </c>
      <c r="GT47" s="29" t="str">
        <f>IF(COUNT(SnapshotTable[[#This Row],[LP Symbol Count]],SnapshotTable[[#This Row],[SP Symbol Count]],SnapshotTable[[#This Row],[LC Symbol Count]],SnapshotTable[[#This Row],[SC Symbol Count]])&gt;0, "Y", "")</f>
        <v/>
      </c>
      <c r="GU4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7" s="231" t="e">
        <f>MAX(SnapshotTable[[#This Row],[Equity Basis Total]],SnapshotTable[[#This Row],[Equity Value]]) + (SnapshotTable[[#This Row],[SP Potential Spend]]- SnapshotTable[[#This Row],[SP Premium]] + SnapshotTable[[#This Row],[LP Premium]])+ (SnapshotTable[[#This Row],[LC Premium]] - SnapshotTable[[#This Row],[SC Premium]])</f>
        <v>#VALUE!</v>
      </c>
      <c r="GW47" s="139" t="e">
        <f>IF(AND(SnapshotTable[[#This Row],[Exposure]] &lt;&gt; 0),SnapshotTable[[#This Row],[Exposure]] / SnapshotTable[[#Totals],[Exposure]], "")</f>
        <v>#VALUE!</v>
      </c>
      <c r="GY47" s="381"/>
      <c r="HE47" s="268"/>
      <c r="HF47" s="268"/>
      <c r="HG47" s="381"/>
      <c r="HH47" s="381"/>
      <c r="HI47" s="381"/>
      <c r="HJ47" s="381"/>
    </row>
    <row r="48" spans="2:224" s="47" customFormat="1" ht="12.75" hidden="1" customHeight="1" x14ac:dyDescent="0.25">
      <c r="B48" s="12" t="s">
        <v>218</v>
      </c>
      <c r="C48" s="422">
        <v>116.56</v>
      </c>
      <c r="D48" s="208"/>
      <c r="E48" s="39">
        <f>SnapshotTable[[#This Row],[Last Price]]*(1 -CrashDiscount)</f>
        <v>99.075999999999993</v>
      </c>
      <c r="F48" s="26" t="s">
        <v>904</v>
      </c>
      <c r="G48" s="26" t="s">
        <v>610</v>
      </c>
      <c r="H48" s="149"/>
      <c r="I48" s="194">
        <v>44798.291666666664</v>
      </c>
      <c r="J48" s="195">
        <v>44798.291666666664</v>
      </c>
      <c r="K48" s="196"/>
      <c r="L48" s="326"/>
      <c r="M48" s="140"/>
      <c r="N48" s="140"/>
      <c r="O48" s="140">
        <v>1</v>
      </c>
      <c r="P48" s="22"/>
      <c r="Q48" s="25"/>
      <c r="R48" s="4" t="str">
        <f>IF(SnapshotTable[[#This Row],[Equity Basis Total]] &gt; 0, SnapshotTable[[#This Row],[Equity Basis Total]] / SnapshotTable[[#This Row],[Equity Shares]], "")</f>
        <v/>
      </c>
      <c r="S48" s="269">
        <f>SnapshotTable[[#This Row],[Last Price]] * SnapshotTable[[#This Row],[Equity Shares]]</f>
        <v>0</v>
      </c>
      <c r="T48" s="269">
        <f>SnapshotTable[[#This Row],[Equity Value]] - SnapshotTable[[#This Row],[Equity Basis Total]]</f>
        <v>0</v>
      </c>
      <c r="U48" s="270" t="str">
        <f>IF(SnapshotTable[[#This Row],[Equity Basis Total]] &gt; 0, SnapshotTable[[#This Row],[Equity G/L]] / SnapshotTable[[#This Row],[Equity Basis Total]], "")</f>
        <v/>
      </c>
      <c r="V48" s="268">
        <v>150</v>
      </c>
      <c r="W48" s="268">
        <v>128</v>
      </c>
      <c r="X48" s="4" t="str">
        <f>IF(AND(ISNUMBER(SnapshotTable[[#This Row],[Equity Basis Per Share]]),ISNUMBER(SnapshotTable[[#This Row],[Equity Target]])),SnapshotTable[[#This Row],[Equity Target]]-SnapshotTable[[#This Row],[Equity Basis Per Share]],"")</f>
        <v/>
      </c>
      <c r="Y48" s="4" t="str">
        <f>IF(AND(ISNUMBER(SnapshotTable[[#This Row],[Equity Basis Per Share]]),ISNUMBER(SnapshotTable[[#This Row],[Equity Stop Loss]])),SnapshotTable[[#This Row],[Equity Stop Loss]]-SnapshotTable[[#This Row],[Equity Basis Per Share]],"")</f>
        <v/>
      </c>
      <c r="Z48" s="275" t="str">
        <f>IFERROR( TEXT(SnapshotTable[[#This Row],[Equity Max Gain Per Share]] /ABS( SnapshotTable[[#This Row],[Equity Max Loss Per Share]]),"0.0 " ) &amp; " : 1", "")</f>
        <v/>
      </c>
      <c r="AA48" s="31" t="str">
        <f>IF(ISNUMBER(SnapshotTable[[#This Row],[Equity Max Gain Per Share]]),SnapshotTable[[#This Row],[Equity Max Gain Per Share]] * SnapshotTable[[#This Row],[Equity Shares]],"")</f>
        <v/>
      </c>
      <c r="AB48" s="31" t="str">
        <f>IF(ISNUMBER(SnapshotTable[[#This Row],[Equity Max Loss Per Share]]),SnapshotTable[[#This Row],[Equity Max Loss Per Share]] * SnapshotTable[[#This Row],[Equity Shares]],"")</f>
        <v/>
      </c>
      <c r="AC48" s="150"/>
      <c r="AD48" s="151"/>
      <c r="AE48" s="31">
        <f>(SnapshotTable[[#This Row],[Annual Dividend Per Share]] / 4) * SnapshotTable[[#This Row],[Equity Shares]]</f>
        <v>0</v>
      </c>
      <c r="AF48" s="31">
        <f>SnapshotTable[[#This Row],[Quarterly Div $]] * 4</f>
        <v>0</v>
      </c>
      <c r="AG48" s="7">
        <f>IF(SnapshotTable[[#This Row],[Annual Dividend Per Share]]&gt;0, SnapshotTable[[#This Row],[Annual Dividend Per Share]]  / SnapshotTable[[#This Row],[Last Price]], 0)</f>
        <v>0</v>
      </c>
      <c r="AH48" s="151"/>
      <c r="AI48" s="5"/>
      <c r="AJ48" s="138">
        <v>321.43</v>
      </c>
      <c r="AK48" s="152" t="str">
        <f>IF(ISNUMBER( SnapshotTable[[#This Row],[EBF Target]]),(SnapshotTable[[#This Row],[EBF Target]] - SnapshotTable[[#This Row],[Last Price]]) / SnapshotTable[[#This Row],[Last Price]], "")</f>
        <v/>
      </c>
      <c r="AL48" s="152" t="str">
        <f>IF(AND(SnapshotTable[[#This Row],[Equity Basis Total]] &gt; 0,ISNUMBER( SnapshotTable[[#This Row],[Long Term Target]])), SnapshotTable[[#This Row],[From Basis $]] / SnapshotTable[[#This Row],[Equity Basis Total]], "")</f>
        <v/>
      </c>
      <c r="AM48" s="9">
        <f>IF( AND(SnapshotTable[[#This Row],[Equity Shares]] &gt;0,ISNUMBER( SnapshotTable[[#This Row],[Long Term Target]])),(SnapshotTable[[#This Row],[Equity Shares]] * SnapshotTable[[#This Row],[Long Term Target]]) - SnapshotTable[[#This Row],[Equity Basis Total]],0)</f>
        <v>0</v>
      </c>
      <c r="AN48" s="9">
        <f>IF( AND(SnapshotTable[[#This Row],[Equity Shares]] &gt;0,ISNUMBER( SnapshotTable[[#This Row],[Long Term Target]])),(SnapshotTable[[#This Row],[Equity Shares]]*SnapshotTable[[#This Row],[Long Term Target]]) - SnapshotTable[[#This Row],[Equity Value]],0)</f>
        <v>0</v>
      </c>
      <c r="AO48" s="152">
        <f>IF(AND(ISNUMBER( SnapshotTable[[#This Row],[Long Term Target]]), ISNUMBER(SnapshotTable[[#This Row],[Last Price]])),(SnapshotTable[[#This Row],[Long Term Target]] - SnapshotTable[[#This Row],[Last Price]]) / SnapshotTable[[#This Row],[Last Price]], "")</f>
        <v>1.7576355525051475</v>
      </c>
      <c r="AP48" s="5">
        <v>180</v>
      </c>
      <c r="AQ48" s="38" t="s">
        <v>27</v>
      </c>
      <c r="AR48" s="5"/>
      <c r="AS48" s="38" t="s">
        <v>38</v>
      </c>
      <c r="AT48" s="146"/>
      <c r="AU48" s="187" t="str">
        <f>IF(OR(SnapshotTable[[#This Row],[LP No Fill]]="Y",SnapshotTable[[#This Row],[SP Is Filled]],SnapshotTable[[#This Row],[LC Not Filled]]="Y",SnapshotTable[[#This Row],[SC Is Filled]]),"Y","")</f>
        <v/>
      </c>
      <c r="AV48" s="219"/>
      <c r="AW48" s="225"/>
      <c r="AX48" s="220"/>
      <c r="AY48" s="219" t="str">
        <f>IF(SnapshotTable[[#This Row],[Implied Move]]&gt;0, SnapshotTable[[#This Row],[Last Price]]-SnapshotTable[[#This Row],[Implied Move]],"")</f>
        <v/>
      </c>
      <c r="AZ48" s="219" t="str">
        <f>IF(SnapshotTable[[#This Row],[Implied Move]]&gt;0, SnapshotTable[[#This Row],[Last Price]] + SnapshotTable[[#This Row],[Implied Move]],"")</f>
        <v/>
      </c>
      <c r="BA48" s="331">
        <v>124.8</v>
      </c>
      <c r="BB48" s="404"/>
      <c r="BC4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8" s="351"/>
      <c r="BE48" s="5"/>
      <c r="BF48" s="14"/>
      <c r="BG48" s="13"/>
      <c r="BH48" s="13"/>
      <c r="BI48" s="5"/>
      <c r="BJ48" s="136">
        <f>IF(SnapshotTable[[#This Row],[LP Qty]] &gt; 0, SnapshotTable[[#This Row],[LP Qty]] * SnapshotTable[[#This Row],[LP Book Price]] * 100,0)</f>
        <v>0</v>
      </c>
      <c r="BK48" s="136">
        <f>IF(SnapshotTable[[#This Row],[LP Premium]] &gt; 0, SnapshotTable[[#This Row],[LP Qty]] * SnapshotTable[[#This Row],[LP Strike Price]] * 100,0)</f>
        <v>0</v>
      </c>
      <c r="BL48" s="154"/>
      <c r="BM48" s="385" t="str">
        <f>IF(SnapshotTable[[#This Row],[LP Premium]] &gt; 0,SnapshotTable[[#This Row],[LP Exp Date]]-MAX(SnapshotTable[[#This Row],[LP Book Date]], SnapshotTable[[#This Row],[LP Fill Date]]),"")</f>
        <v/>
      </c>
      <c r="BN48" s="385" t="str">
        <f>IF(ISNUMBER( SnapshotTable[[#This Row],[LP Term]]), SnapshotTable[[#This Row],[LP Exp Date]] - MockToday,"")</f>
        <v/>
      </c>
      <c r="BO48" s="163" t="str">
        <f>IF(AND(SnapshotTable[[#This Row],[LP Exp Date]]&gt;0, SnapshotTable[[#This Row],[LP Strike Price]]&gt;0,SnapshotTable[[#This Row],[LP Qty]]&gt;0,SnapshotTable[[#This Row],[LP Book Date]]&gt;0,SnapshotTable[[#This Row],[LP Book Price]]&gt;0,SnapshotTable[[#This Row],[LP Fill Date]]=0),"Y","")</f>
        <v/>
      </c>
      <c r="BP48" s="31" t="str">
        <f>IF(AND(SnapshotTable[[#This Row],[LP No Fill]]&lt;&gt;"Y",SnapshotTable[[#This Row],[LP Contract Value]]&gt;0, SnapshotTable[[#This Row],[LP Qty]]&gt;0), SnapshotTable[[#This Row],[LP Contract Value]]*SnapshotTable[[#This Row],[LP Qty]]*100,"")</f>
        <v/>
      </c>
      <c r="BQ48" s="13"/>
      <c r="BR48" s="5" t="str">
        <f>IF(SnapshotTable[[#This Row],[SP Exp Date]]&lt;&gt;"",TRUNC(SnapshotTable[[#This Row],[Last Price]]),"")</f>
        <v/>
      </c>
      <c r="BS48" s="36"/>
      <c r="BT48" s="147"/>
      <c r="BU48" s="13"/>
      <c r="BV48" s="5"/>
      <c r="BW48" s="419" t="b">
        <f>AND(ISNUMBER(SnapshotTable[[#This Row],[SP Exp Date]]), ISNUMBER(SnapshotTable[[#This Row],[SP Strike Price]]), ISNUMBER(SnapshotTable[[#This Row],[SP Qty]]), ISNUMBER(SnapshotTable[[#This Row],[SP Book Date]]), ISNUMBER(SnapshotTable[[#This Row],[SP Book Price]]))</f>
        <v>0</v>
      </c>
      <c r="BX48" s="419" t="b">
        <f>AND(SnapshotTable[[#This Row],[SP Is Booked]], NOT(ISBLANK(SnapshotTable[[#This Row],[SP Fill Date]])))</f>
        <v>0</v>
      </c>
      <c r="BY48" s="33">
        <f>IF(SnapshotTable[[#This Row],[SP Is Booked]], SnapshotTable[[#This Row],[SP Qty]] * SnapshotTable[[#This Row],[SP Book Price]] * 100, 0)</f>
        <v>0</v>
      </c>
      <c r="BZ48" s="369"/>
      <c r="CA48" s="368">
        <f>SnapshotTable[[#This Row],[LP Qty]]</f>
        <v>0</v>
      </c>
      <c r="CB48" s="4" t="str">
        <f>IF(SnapshotTable[[#This Row],[SP Is Booked]], SnapshotTable[[#This Row],[SP Strike Price]] - SnapshotTable[[#This Row],[SP Book Price]], "")</f>
        <v/>
      </c>
      <c r="CC48" s="19" t="str">
        <f>IF(SnapshotTable[[#This Row],[SP Is Booked]],SnapshotTable[[#This Row],[SP Exp Date]]-MAX(SnapshotTable[[#This Row],[SP Book Date]], SnapshotTable[[#This Row],[SP Fill Date]]),"")</f>
        <v/>
      </c>
      <c r="CD48" s="7" t="str">
        <f>IF(SnapshotTable[[#This Row],[SP Is Booked]], SnapshotTable[[#This Row],[SP Book Price]]/SnapshotTable[[#This Row],[SP Strike Price]], "")</f>
        <v/>
      </c>
      <c r="CE48" s="7" t="str">
        <f>IF(ISNUMBER(SnapshotTable[[#This Row],[SP ROO Term]]),SnapshotTable[[#This Row],[SP ROO Term]]*(365/SnapshotTable[[#This Row],[SP Term]]),"")</f>
        <v/>
      </c>
      <c r="CF48" s="236">
        <f>SnapshotTable[[#This Row],[LP Strike Price]] * SnapshotTable[[#This Row],[LP Qty]] * 100</f>
        <v>0</v>
      </c>
      <c r="CG48" s="31" t="e">
        <f>IF(ISNUMBER(SnapshotTable[[#This Row],[SP Premium]]), (SnapshotTable[[#This Row],[SP Qty]] * SnapshotTable[[#This Row],[SP Strike Price]]* 100) - SnapshotTable[[#This Row],[LP Protection]], 0)</f>
        <v>#VALUE!</v>
      </c>
      <c r="CH48" s="7" t="str">
        <f>IF(ISNUMBER(SnapshotTable[[#This Row],[SP Break Even]]),-1 * (SnapshotTable[[#This Row],[SP Break Even]] - SnapshotTable[[#This Row],[Last Price]]) / SnapshotTable[[#This Row],[Last Price]], "")</f>
        <v/>
      </c>
      <c r="CI48" s="31">
        <f>IF(AND(ISNUMBER((SnapshotTable[[#This Row],[SP Potential Spend]])), SnapshotTable[[#This Row],[SP Strike Price]] &gt; SnapshotTable[[#This Row],[Last Price]], SnapshotTable[[#This Row],[SP Is Filled]]), SnapshotTable[[#This Row],[SP Potential Spend]] -  SnapshotTable[[#This Row],[LP Max Value]], 0)</f>
        <v>0</v>
      </c>
      <c r="CJ48" s="244">
        <v>0.5</v>
      </c>
      <c r="CK48" s="31" t="str">
        <f>IF(ISNUMBER(SnapshotTable[[#This Row],[SP Potential Spend]]),IF(ISNUMBER(SnapshotTable[[#This Row],[SP POW]]), SnapshotTable[[#This Row],[SP POW]] * SnapshotTable[[#This Row],[SP Potential Spend]], SnapshotTable[[#This Row],[SP Potential Spend]]), "")</f>
        <v/>
      </c>
      <c r="CL48" s="164" t="e">
        <f>IF(NOT(SnapshotTable[[#This Row],[SP Is Filled]]),(SnapshotTable[[#This Row],[SP Qty]] * SnapshotTable[[#This Row],[SP Strike Price]] * 100) - SnapshotTable[[#This Row],[LP Max Value]],"")</f>
        <v>#VALUE!</v>
      </c>
      <c r="CM48" s="31" t="str">
        <f>IF(SnapshotTable[[#This Row],[SP Actual Spend]]&lt;&gt;0, ((SnapshotTable[[#This Row],[SP Strike Price]]-SnapshotTable[[#This Row],[Last Price]]) *(SnapshotTable[[#This Row],[SP Qty]]*100) - SnapshotTable[[#This Row],[SP Premium]]) * - 1, "")</f>
        <v/>
      </c>
      <c r="CN48" s="78"/>
      <c r="CO48" s="369"/>
      <c r="CP48" s="4" t="str">
        <f>IF(SnapshotTable[[#This Row],[SP Is Filled]], btc_max_buyback_amount(SnapshotTable[[#This Row],[SP Fill Date]],SnapshotTable[[#This Row],[SP Exp Date]], SnapshotTable[[#This Row],[SP Book Price]]),"")</f>
        <v/>
      </c>
      <c r="CQ48" s="78"/>
      <c r="CR4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8" s="155" t="str">
        <f>IF(SnapshotTable[[#This Row],[SP Is Filled]], btc_next_cutoff_date(SnapshotTable[[#This Row],[SP Fill Date]],SnapshotTable[[#This Row],[SP Exp Date]]),"")</f>
        <v/>
      </c>
      <c r="CT48" s="235" t="str" cm="1">
        <f t="array" ref="CT48">IF(SnapshotTable[[#This Row],[SP Is Filled]], btc_should_buy_back(SnapshotTable[[#This Row],[SP Fill Date]], SnapshotTable[[#This Row],[SP Exp Date]], SnapshotTable[[#This Row],[SP Book Price]], SnapshotTable[[#This Row],[SP Current Ask]], MockToday, SnapshotTable[[#This Row],[SP Buyback Override]]),"")</f>
        <v/>
      </c>
      <c r="CU48" s="143"/>
      <c r="CV48" s="235"/>
      <c r="CW48" s="378" t="str">
        <f>IF(ISNUMBER( SnapshotTable[[#This Row],[SP Term]]), SnapshotTable[[#This Row],[SP Exp Date]] - MockToday,"")</f>
        <v/>
      </c>
      <c r="CX48" s="31" t="str">
        <f>IF(SnapshotTable[[#This Row],[SP Is Filled]],SnapshotTable[[#This Row],[SP Buyback Price to Use]] * 100 * SnapshotTable[[#This Row],[SP Qty]], "")</f>
        <v/>
      </c>
      <c r="CY48" s="4" t="str">
        <f>IF(ISNUMBER(SnapshotTable[[#This Row],[SP Strike Price]]), SnapshotTable[[#This Row],[SP Strike Price]] * (1 - SP_MaxLoss_StrikePct), "")</f>
        <v/>
      </c>
      <c r="CZ48" s="31" t="str">
        <f>IF(ISNUMBER(SnapshotTable[[#This Row],[SP Strike  Stop Per Share]]),SnapshotTable[[#This Row],[SP Premium]] - ((SnapshotTable[[#This Row],[SP Strike Price]]-SnapshotTable[[#This Row],[SP Strike  Stop Per Share]]) *(SnapshotTable[[#This Row],[SP Qty]] * 100)),"")</f>
        <v/>
      </c>
      <c r="DA48" s="4" t="str">
        <f>IF(AND(ISNUMBER(SnapshotTable[[#This Row],[SP Premium]]),SnapshotTable[[#This Row],[SP Premium]]&gt;0), SnapshotTable[[#This Row],[SP Book Price]] * (1 + SP_MaxLoss_OptionPct), "")</f>
        <v/>
      </c>
      <c r="DB48" s="31" t="str">
        <f>IF(ISNUMBER(SnapshotTable[[#This Row],[SP Option  Stop Contract]]),(SnapshotTable[[#This Row],[SP Option  Stop Contract]] *(SnapshotTable[[#This Row],[SP Qty]] * 100) - SnapshotTable[[#This Row],[SP Premium]]),"")</f>
        <v/>
      </c>
      <c r="DC48" s="4"/>
      <c r="DD48" s="4"/>
      <c r="DE48" s="4" t="str">
        <f>IF(AND(SnapshotTable[[#This Row],[SP Qty]]&gt;0, SnapshotTable[[#This Row],[SP Stop To Use]]&gt;0),SnapshotTable[[#This Row],[SP Premium]] - ( SnapshotTable[[#This Row],[SP Qty]] * SnapshotTable[[#This Row],[SP Stop To Use]] * 100), "")</f>
        <v/>
      </c>
      <c r="DF48" s="31" t="str">
        <f>IF(AND(SnapshotTable[[#This Row],[SP Qty]]&gt;0,SnapshotTable[[#This Row],[SP Current Ask]]&gt;0), SnapshotTable[[#This Row],[SP Qty]] * SnapshotTable[[#This Row],[SP Current Ask]] * -100, "")</f>
        <v/>
      </c>
      <c r="DG48" s="31" t="str">
        <f>IF(ISNUMBER((SnapshotTable[[#This Row],[SP Total Value]])), SnapshotTable[[#This Row],[SP Premium]] + SnapshotTable[[#This Row],[SP Total Value]], "")</f>
        <v/>
      </c>
      <c r="DH48" s="294" t="str">
        <f>IF(ISNUMBER((SnapshotTable[[#This Row],[SP Total Value]])), SnapshotTable[[#This Row],[SP Gain Loss]] / SnapshotTable[[#This Row],[SP Premium]], "")</f>
        <v/>
      </c>
      <c r="DI48" s="406"/>
      <c r="DJ48" s="138"/>
      <c r="DK48" s="148"/>
      <c r="DL48" s="13"/>
      <c r="DM48" s="13"/>
      <c r="DN48" s="5"/>
      <c r="DO48" s="31">
        <f>IF(SnapshotTable[[#This Row],[LC Symbol Count]]=1, SnapshotTable[[#This Row],[LC Qty]] * SnapshotTable[[#This Row],[LC Book Price]] * 100, 0)</f>
        <v>0</v>
      </c>
      <c r="DP48" s="163" t="str">
        <f>IF(AND(SnapshotTable[[#This Row],[LC Exp Date]]&gt;0, SnapshotTable[[#This Row],[LC Strike Price]]&gt;0,SnapshotTable[[#This Row],[LC Qty]]&gt;0,SnapshotTable[[#This Row],[LC Book Date]]&gt;0,SnapshotTable[[#This Row],[LC Book Price]]&gt;0,SnapshotTable[[#This Row],[LC Fill Date]]=0),"Y","")</f>
        <v/>
      </c>
      <c r="DQ48" s="386" t="str">
        <f>IF(SnapshotTable[[#This Row],[LC Premium]] &gt; 0,SnapshotTable[[#This Row],[LC Exp Date]]-MAX(SnapshotTable[[#This Row],[LC Book Date]], SnapshotTable[[#This Row],[LC Fill Date]]),"")</f>
        <v/>
      </c>
      <c r="DR48" s="386" t="str">
        <f>IF(ISNUMBER(SnapshotTable[[#This Row],[LC Term]]), SnapshotTable[[#This Row],[LC Exp Date]] - MockToday, "")</f>
        <v/>
      </c>
      <c r="DS48" s="234" t="str">
        <f>IF(SnapshotTable[[#This Row],[LC Premium]]&gt;0,SnapshotTable[[#This Row],[LC Strike Price]] + SnapshotTable[[#This Row],[LC Book Price]],"")</f>
        <v/>
      </c>
      <c r="DT48" s="5"/>
      <c r="DU48" s="9" t="str">
        <f>IF(AND(SnapshotTable[[#This Row],[LC Symbol Count]]&gt;0, SnapshotTable[[#This Row],[LC Contract Value]]&gt;0), SnapshotTable[[#This Row],[LC Contract Value]] * SnapshotTable[[#This Row],[LC Qty]] * 100, "")</f>
        <v/>
      </c>
      <c r="DV48" s="9" t="str">
        <f>IF(AND(ISNUMBER(SnapshotTable[[#This Row],[LC Total Value]]), SnapshotTable[[#This Row],[LC Not Filled]]&lt;&gt;"Y"), SnapshotTable[[#This Row],[LC Total Value]]-SnapshotTable[[#This Row],[LC Premium]],"")</f>
        <v/>
      </c>
      <c r="DW48" s="240" t="str">
        <f>IF(ISNUMBER(SnapshotTable[[#This Row],[LC Actual Gain Loss]]), SnapshotTable[[#This Row],[LC Actual Gain Loss]] / SnapshotTable[[#This Row],[LC Premium]],"")</f>
        <v/>
      </c>
      <c r="DX48" s="284" t="str">
        <f>IF(ISNUMBER(SnapshotTable[[#This Row],[LC Book Price]]),SnapshotTable[[#This Row],[LC Book Price]] * 1.5,"")</f>
        <v/>
      </c>
      <c r="DY48" s="265" t="str">
        <f>IF(SnapshotTable[[#This Row],[LC Premium]]&gt;0, SnapshotTable[[#This Row],[LC Next Target]] * SnapshotTable[[#This Row],[LC Qty]] * 100,"")</f>
        <v/>
      </c>
      <c r="DZ48" s="265" t="str">
        <f>IF(ISNUMBER(SnapshotTable[[#This Row],[LC Target Gross]]), SnapshotTable[[#This Row],[LC Target Gross]] - SnapshotTable[[#This Row],[LC Premium]], "")</f>
        <v/>
      </c>
      <c r="EA48" s="305" t="str">
        <f>IF(ISNUMBER(SnapshotTable[[#This Row],[LC Target Gain Loss]]), SnapshotTable[[#This Row],[LC Target Gain Loss]]/SnapshotTable[[#This Row],[LC Premium]], "")</f>
        <v/>
      </c>
      <c r="EB48" s="262"/>
      <c r="EC48" s="283" t="str">
        <f>IF(SnapshotTable[[#This Row],[LC Premium]]&gt;0, SnapshotTable[[#This Row],[LC Book Price]] * (1 - LC_StopLoss_Pct),"")</f>
        <v/>
      </c>
      <c r="ED48" s="284"/>
      <c r="EE48" s="283" t="str">
        <f>IF(ISNUMBER(SnapshotTable[[#This Row],[LC Contract Value]]),IF(ISNUMBER(SnapshotTable[[#This Row],[LC Stop Loss Override]]), SnapshotTable[[#This Row],[LC Stop Loss Override]],SnapshotTable[[#This Row],[LC Stop Loss Calc Target]]),"")</f>
        <v/>
      </c>
      <c r="EF48" s="31" t="str">
        <f>IF(ISNUMBER(SnapshotTable[[#This Row],[LC Stop  To Use]]), (SnapshotTable[[#This Row],[LC Stop  To Use]] * SnapshotTable[[#This Row],[LC Qty]] * 100),"")</f>
        <v/>
      </c>
      <c r="EG48" s="9" t="str">
        <f>IF(ISNUMBER(SnapshotTable[[#This Row],[LC Total Value]]),SnapshotTable[[#This Row],[LC Stop Loss Amount]] - SnapshotTable[[#This Row],[LC Premium]],"")</f>
        <v/>
      </c>
      <c r="EH48" s="9">
        <f>IF(ISNUMBER(SnapshotTable[[#This Row],[LC Premium]]), SnapshotTable[[#This Row],[LC Qty]] * 100 * SnapshotTable[[#This Row],[LC Strike Price]], "")</f>
        <v>0</v>
      </c>
      <c r="EI48" s="240" t="str">
        <f>IF(AND(ISNUMBER(SnapshotTable[[#This Row],[LC Total Value]]),SnapshotTable[[#This Row],[LC Total Value]]&gt;0),SnapshotTable[[#This Row],[LC Stop Gain Loss]]  / SnapshotTable[[#This Row],[LC Premium]],"")</f>
        <v/>
      </c>
      <c r="EJ48" s="35">
        <f>IF(ISNUMBER(SnapshotTable[[#This Row],[Equity Shares]]),TRUNC(SnapshotTable[[#This Row],[Equity Shares]] / 100),0) + SnapshotTable[[#This Row],[LC Qty]]</f>
        <v>0</v>
      </c>
      <c r="EK48" s="147"/>
      <c r="EL48" s="138" t="str">
        <f>IF(SnapshotTable[[#This Row],[SC Exp Date]]&lt;&gt;"",TRUNC(SnapshotTable[[#This Row],[Last Price]]),"")</f>
        <v/>
      </c>
      <c r="EM48" s="148"/>
      <c r="EN48" s="147"/>
      <c r="EO48" s="147"/>
      <c r="EP48" s="138"/>
      <c r="EQ48" s="419" t="b">
        <f>AND(ISNUMBER(SnapshotTable[[#This Row],[SC Exp Date]]), ISNUMBER(SnapshotTable[[#This Row],[SC Strike Price]]), ISNUMBER(SnapshotTable[[#This Row],[SC Qty]]), ISNUMBER(SnapshotTable[[#This Row],[SC Book Date]]), ISNUMBER(SnapshotTable[[#This Row],[SC Book Price]]))</f>
        <v>0</v>
      </c>
      <c r="ER48" s="419" t="b">
        <f>AND(SnapshotTable[[#This Row],[SC Is Booked]], NOT(ISBLANK(SnapshotTable[[#This Row],[SC Fill Date]])))</f>
        <v>0</v>
      </c>
      <c r="ES48" s="370"/>
      <c r="ET48" s="34" t="str">
        <f>IF(AND(ISNUMBER(SnapshotTable[[#This Row],[SC Exp Date]]), ISNUMBER(SnapshotTable[[#This Row],[SC Book Date]])), SnapshotTable[[#This Row],[SC Exp Date]] - MAX(SnapshotTable[[#This Row],[SC Book Date]], SnapshotTable[[#This Row],[SC Fill Date]]) + 1, "")</f>
        <v/>
      </c>
      <c r="EU48" s="34" t="str">
        <f>IF(ISNUMBER(SnapshotTable[[#This Row],[SC Term]]), SnapshotTable[[#This Row],[SC Exp Date]]- MockToday, "")</f>
        <v/>
      </c>
      <c r="EV48" s="31">
        <f>IF(SnapshotTable[[#This Row],[SC Is Booked]], SnapshotTable[[#This Row],[SC Qty]] * SnapshotTable[[#This Row],[SC Book Price]] * 100, 0)</f>
        <v>0</v>
      </c>
      <c r="EW48" s="4" t="str">
        <f>IF(AND(ISNUMBER(SnapshotTable[[#This Row],[Last Price]]), ISNUMBER( SnapshotTable[[#This Row],[SC Book Price]])), SnapshotTable[[#This Row],[Last Price]] - SnapshotTable[[#This Row],[SC Book Price]],"")</f>
        <v/>
      </c>
      <c r="EX48" s="234" t="str">
        <f>IF(SnapshotTable[[#This Row],[SC Is Booked]],IF(SnapshotTable[[#This Row],[SC Intrinsic Value]] &gt; 0, SnapshotTable[[#This Row],[SC Strike Price]], SnapshotTable[[#This Row],[Last Price]]), "")</f>
        <v/>
      </c>
      <c r="EY48" s="4">
        <f>IF(SnapshotTable[[#This Row],[SC Is Booked]], (MinimumPremiumRequired * SnapshotTable[[#This Row],[SC Basis]] * SnapshotTable[[#This Row],[SC Term]]), 0)</f>
        <v>0</v>
      </c>
      <c r="EZ48" s="283"/>
      <c r="FA48" s="423"/>
      <c r="FB48" s="370">
        <v>0.55000000000000004</v>
      </c>
      <c r="FC48" s="4">
        <f>IF(SnapshotTable[[#This Row],[SC Is Filled]], btc_max_buyback_amount(SnapshotTable[[#This Row],[SC Fill Date]],SnapshotTable[[#This Row],[SC Exp Date]], SnapshotTable[[#This Row],[SC Book Price]]),0)</f>
        <v>0</v>
      </c>
      <c r="FD48" s="5"/>
      <c r="FE48" s="144" t="str">
        <f>IF(SnapshotTable[[#This Row],[SC Is Filled]], btc_next_cutoff_date(SnapshotTable[[#This Row],[SC Fill Date]],SnapshotTable[[#This Row],[SC Exp Date]]),"")</f>
        <v/>
      </c>
      <c r="FF48" s="4" t="str" cm="1">
        <f t="array" ref="FF48">IF(SnapshotTable[[#This Row],[SC Is Filled]], btc_should_buy_back(SnapshotTable[[#This Row],[SC Fill Date]], SnapshotTable[[#This Row],[SC Exp Date]], SnapshotTable[[#This Row],[SC Book Price]], SnapshotTable[[#This Row],[SC Current Ask]], MockToday, SnapshotTable[[#This Row],[SC Buyback Override]]),"")</f>
        <v/>
      </c>
      <c r="FG48" s="4">
        <f>IF(SnapshotTable[[#This Row],[SC Is Filled]], MAX(0,SnapshotTable[[#This Row],[Last Price]]  - SnapshotTable[[#This Row],[SC Strike Price]]), 0)</f>
        <v>0</v>
      </c>
      <c r="FH48" s="382">
        <f>IF(SnapshotTable[[#This Row],[SC Is Filled]], IF(ISNUMBER(SnapshotTable[[#This Row],[SC Current Ask]]), SnapshotTable[[#This Row],[SC Current Ask]], SnapshotTable[[#This Row],[SC Book Price]]) - SnapshotTable[[#This Row],[SC Intrinsic Value]], 0)</f>
        <v>0</v>
      </c>
      <c r="FI48" s="143"/>
      <c r="FJ48" s="32" t="str">
        <f>IF(SnapshotTable[[#This Row],[SC Is Filled]],100 * SnapshotTable[[#This Row],[SC Qty]] * IF(ISNUMBER(SnapshotTable[[#This Row],[SC Buyback Override]]), SnapshotTable[[#This Row],[SC Buyback Override]], SnapshotTable[[#This Row],[SC Current Ask]]), "")</f>
        <v/>
      </c>
      <c r="FK48" s="250" t="str">
        <f>IF(SnapshotTable[[#This Row],[SC Time Val]]&gt;0, SnapshotTable[[#This Row],[SC Time Val]] / SnapshotTable[[#This Row],[Last Price]],"")</f>
        <v/>
      </c>
      <c r="FL48" s="302" t="str">
        <f>IF(SnapshotTable[[#This Row],[SC Is Booked]], ((SnapshotTable[[#This Row],[Last Price]] -SnapshotTable[[#This Row],[SC Strike Price]]) / SnapshotTable[[#This Row],[Last Price]]) * -1, "")</f>
        <v/>
      </c>
      <c r="FM48" s="157" t="str">
        <f>IF(SnapshotTable[[#This Row],[SC Is Booked]],  (SnapshotTable[[#This Row],[SC Qty]] * 100 * SnapshotTable[[#This Row],[SC Strike Price]]) - SnapshotTable[[#This Row],[SC Current Ask]], "")</f>
        <v/>
      </c>
      <c r="FN4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8" s="31" t="str">
        <f>IF(AND(ISNUMBER(SnapshotTable[[#This Row],[SC Exercise Gross]]), ISNUMBER(SnapshotTable[[#This Row],[Equity Basis Per Share]] )), SnapshotTable[[#This Row],[SC Exercise Gross]] - SnapshotTable[[#This Row],[Equity Basis Total]] +  SnapshotTable[[#This Row],[SC Premium]], "")</f>
        <v/>
      </c>
      <c r="FP48" s="5" t="str">
        <f>IF(ISNUMBER(SnapshotTable[[#This Row],[SC Exercise Gross]]), (SnapshotTable[[#This Row],[SC Exercise Gross]]) / (SnapshotTable[[#This Row],[SC Qty]] * 100), "")</f>
        <v/>
      </c>
      <c r="FQ48" s="27" t="str">
        <f>IF(SnapshotTable[[#This Row],[SC Is Booked]],SnapshotTable[[#This Row],[SC Time Val]] /SnapshotTable[[#This Row],[SC Basis]], "")</f>
        <v/>
      </c>
      <c r="FR48" s="27" t="str" cm="1">
        <f t="array" ref="FR48">IF(AND(ISNUMBER(SnapshotTable[[#This Row],[SC Term]]),ISNUMBER(SnapshotTable[[#This Row],[SC Simple ROO]])), EllmanAnnualize(SnapshotTable[[#This Row],[SC DTE]], SnapshotTable[[#This Row],[SC Simple ROO]] ),"")</f>
        <v/>
      </c>
      <c r="FS48" s="4" t="e">
        <f>IF(SnapshotTable[[#This Row],[SC Strike Price]] &gt; SnapshotTable[[#This Row],[Last Price]], SnapshotTable[[#This Row],[SC Strike Price]] - SnapshotTable[[#This Row],[Last Price]],0)</f>
        <v>#VALUE!</v>
      </c>
      <c r="FT48" s="27" t="e">
        <f>IF(AND(ISNUMBER(SnapshotTable[[#This Row],[SC Upside Potential]]), SnapshotTable[[#This Row],[SC Upside Potential]] &gt; 0),(SnapshotTable[[#This Row],[SC Upside Potential]]/ SnapshotTable[[#This Row],[ACB]]),"")</f>
        <v>#VALUE!</v>
      </c>
      <c r="FU48" s="333" t="str">
        <f>IF(SnapshotTable[[#This Row],[SC Intrinsic Value]] &gt; 0,SnapshotTable[[#This Row],[SC Intrinsic Value]],"")</f>
        <v/>
      </c>
      <c r="FV48" s="27" t="str">
        <f>IF(AND( ISNUMBER( SnapshotTable[[#This Row],[ACB]]),ISNUMBER(SnapshotTable[[#This Row],[SC Downside Protect]])),SnapshotTable[[#This Row],[SC Downside Protect]] / SnapshotTable[[#This Row],[ACB]],"")</f>
        <v/>
      </c>
      <c r="FW48" s="236" t="str">
        <f>IF(AND(ISNUMBER(SnapshotTable[[#This Row],[SC Simple ROO]]),SnapshotTable[[#This Row],[SC Simple ROO]] &gt; 0), SnapshotTable[[#This Row],[SC Premium]] + (SnapshotTable[[#This Row],[SC Qty]] * SnapshotTable[[#This Row],[SC Upside Potential]]), "")</f>
        <v/>
      </c>
      <c r="FX48" s="302" t="str" cm="1">
        <f t="array" ref="FX48">IF(ISNUMBER(SnapshotTable[[#This Row],[SC Max Dollars]]), annualize(SnapshotTable[[#This Row],[SC Term]],(SnapshotTable[[#This Row],[SC Max Dollars]]/SnapshotTable[[#This Row],[SC Basis]])),"")</f>
        <v/>
      </c>
      <c r="FY48" s="236" t="str">
        <f>IF(AND(SnapshotTable[[#This Row],[SC Qty]]&gt;0,SnapshotTable[[#This Row],[SC Current Ask]]&gt;0), SnapshotTable[[#This Row],[SC Qty]] * SnapshotTable[[#This Row],[SC Current Ask]] * -100, "")</f>
        <v/>
      </c>
      <c r="FZ48" s="31" t="str">
        <f>IF(ISNUMBER((SnapshotTable[[#This Row],[SC Current Value]])), SnapshotTable[[#This Row],[SC Premium]] + SnapshotTable[[#This Row],[SC Current Value]], "")</f>
        <v/>
      </c>
      <c r="GA48" s="294" t="str">
        <f>IFERROR( IF(ISNUMBER((SnapshotTable[[#This Row],[SC Current Value]])), SnapshotTable[[#This Row],[SC Gain Loss]] / SnapshotTable[[#This Row],[SC Premium]], ""), "")</f>
        <v/>
      </c>
      <c r="GB48" s="42">
        <f>SnapshotTable[[#This Row],[Equity Shares]] * SaleSharesToConsiderPercentage</f>
        <v>0</v>
      </c>
      <c r="GC48" s="40">
        <f>SnapshotTable[[#This Row],[Long Term Target]] * SellingPriceToConsiderBasedOnTargetPercentage</f>
        <v>305.35849999999999</v>
      </c>
      <c r="GD48" s="40">
        <f>SnapshotTable[[#This Row],[Last Price]] * (1+ SellingPriceToConsiderBasedOnTargetPercentage)</f>
        <v>227.292</v>
      </c>
      <c r="GE48" s="41"/>
      <c r="GF48" s="40"/>
      <c r="GG48" s="31">
        <f>SnapshotTable[[#This Row],[Booked Sale Shares]] * SnapshotTable[[#This Row],[Booked Sale Price]]</f>
        <v>0</v>
      </c>
      <c r="GH48" s="31" t="str">
        <f>IF(SnapshotTable[[#This Row],[Equity Basis Total]] &gt; 0, SnapshotTable[[#This Row],[Equity Basis Per Share]] * SnapshotTable[[#This Row],[Booked Sale Shares]], "")</f>
        <v/>
      </c>
      <c r="GI48" s="31">
        <f>IF(SnapshotTable[[#This Row],[Sale Proceeds]]&gt;0, SnapshotTable[[#This Row],[Sale Proceeds]] - SnapshotTable[[#This Row],[Sale Basis]], 0)</f>
        <v>0</v>
      </c>
      <c r="GJ48" s="27" t="str">
        <f>IF(SnapshotTable[[#This Row],[Sale G/L]]&gt;0, SnapshotTable[[#This Row],[Sale G/L]] / SnapshotTable[[#This Row],[Sale Basis]], IF(ISNUMBER(SnapshotTable[[#This Row],[SC Exercise P&amp;L (TAX)]]), SnapshotTable[[#This Row],[SC Exercise P&amp;L (TAX)]] / SnapshotTable[[#This Row],[SC Basis]], ""))</f>
        <v/>
      </c>
      <c r="GK48" s="27" t="s">
        <v>642</v>
      </c>
      <c r="GL48" s="43" t="str">
        <f>IF(AND(SnapshotTable[[#This Row],[LP Exp Date]]&gt;0,SnapshotTable[[#This Row],[LP Strike Price]]&gt;0), [1]!ToOptionSymbol(SnapshotTable[[#This Row],[Symbol]], SnapshotTable[[#This Row],[LP Strike Price]],SnapshotTable[[#This Row],[LP Exp Date]],1), "")</f>
        <v/>
      </c>
      <c r="GM48" s="30" t="str">
        <f>IF(LEN(SnapshotTable[[#This Row],[LP Symbol]])&gt;0, 1, "")</f>
        <v/>
      </c>
      <c r="GN48" s="43" t="str">
        <f>IF(AND(SnapshotTable[[#This Row],[SP Exp Date]]&gt;0,SnapshotTable[[#This Row],[SP Strike Price]]&gt;0), [1]!ToOptionSymbol(SnapshotTable[[#This Row],[Symbol]], SnapshotTable[[#This Row],[SP Strike Price]],SnapshotTable[[#This Row],[SP Exp Date]],1), "")</f>
        <v/>
      </c>
      <c r="GO48" s="30" t="str">
        <f>IF(LEN(SnapshotTable[[#This Row],[SP Symbol]])&gt;0, 1, "")</f>
        <v/>
      </c>
      <c r="GP48" s="43" t="str">
        <f>IF(AND(SnapshotTable[[#This Row],[LC Exp Date]]&gt;0,SnapshotTable[[#This Row],[LC Strike Price]]&gt;0), [1]!ToOptionSymbol(SnapshotTable[[#This Row],[Symbol]], SnapshotTable[[#This Row],[LC Strike Price]],SnapshotTable[[#This Row],[LC Exp Date]],0), "")</f>
        <v/>
      </c>
      <c r="GQ48" s="30" t="str">
        <f>IF(LEN(SnapshotTable[[#This Row],[LC Symbol]])&gt;0, 1, "")</f>
        <v/>
      </c>
      <c r="GR48" s="43" t="str">
        <f>IF(AND(SnapshotTable[[#This Row],[SC Exp Date]]&gt;0,SnapshotTable[[#This Row],[SC Strike Price]]&gt;0), [1]!ToOptionSymbol(SnapshotTable[[#This Row],[Symbol]], SnapshotTable[[#This Row],[SC Strike Price]],SnapshotTable[[#This Row],[SC Exp Date]],0), "")</f>
        <v/>
      </c>
      <c r="GS48" s="30" t="str">
        <f>IF(LEN(SnapshotTable[[#This Row],[SC Symbol]])&gt;0, 1, "")</f>
        <v/>
      </c>
      <c r="GT48" s="29" t="str">
        <f>IF(COUNT(SnapshotTable[[#This Row],[LP Symbol Count]],SnapshotTable[[#This Row],[SP Symbol Count]],SnapshotTable[[#This Row],[LC Symbol Count]],SnapshotTable[[#This Row],[SC Symbol Count]])&gt;0, "Y", "")</f>
        <v/>
      </c>
      <c r="GU4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8" s="231" t="e">
        <f>MAX(SnapshotTable[[#This Row],[Equity Basis Total]],SnapshotTable[[#This Row],[Equity Value]]) + (SnapshotTable[[#This Row],[SP Potential Spend]]- SnapshotTable[[#This Row],[SP Premium]] + SnapshotTable[[#This Row],[LP Premium]])+ (SnapshotTable[[#This Row],[LC Premium]] - SnapshotTable[[#This Row],[SC Premium]])</f>
        <v>#VALUE!</v>
      </c>
      <c r="GW48" s="139" t="e">
        <f>IF(AND(SnapshotTable[[#This Row],[Exposure]] &lt;&gt; 0),SnapshotTable[[#This Row],[Exposure]] / SnapshotTable[[#Totals],[Exposure]], "")</f>
        <v>#VALUE!</v>
      </c>
      <c r="GY48" s="381"/>
      <c r="HE48" s="268"/>
      <c r="HF48" s="268"/>
      <c r="HG48" s="381"/>
      <c r="HH48" s="381"/>
      <c r="HI48" s="381"/>
      <c r="HJ48" s="381"/>
    </row>
    <row r="49" spans="2:224" s="47" customFormat="1" ht="12.75" hidden="1" customHeight="1" x14ac:dyDescent="0.25">
      <c r="B49" s="12" t="s">
        <v>102</v>
      </c>
      <c r="C49" s="422">
        <v>61.62</v>
      </c>
      <c r="D49" s="208"/>
      <c r="E49" s="39">
        <f>SnapshotTable[[#This Row],[Last Price]]*(1 -CrashDiscount)</f>
        <v>52.376999999999995</v>
      </c>
      <c r="F49" s="26" t="s">
        <v>942</v>
      </c>
      <c r="G49" s="26" t="s">
        <v>4</v>
      </c>
      <c r="H49" s="149"/>
      <c r="I49" s="194">
        <v>44760.28125</v>
      </c>
      <c r="J49" s="195">
        <v>44760.28125</v>
      </c>
      <c r="K49" s="196"/>
      <c r="L49" s="326"/>
      <c r="M49" s="140"/>
      <c r="N49" s="140"/>
      <c r="O49" s="140">
        <v>1</v>
      </c>
      <c r="P49" s="22"/>
      <c r="Q49" s="25"/>
      <c r="R49" s="4" t="str">
        <f>IF(SnapshotTable[[#This Row],[Equity Basis Total]] &gt; 0, SnapshotTable[[#This Row],[Equity Basis Total]] / SnapshotTable[[#This Row],[Equity Shares]], "")</f>
        <v/>
      </c>
      <c r="S49" s="269">
        <f>SnapshotTable[[#This Row],[Last Price]] * SnapshotTable[[#This Row],[Equity Shares]]</f>
        <v>0</v>
      </c>
      <c r="T49" s="269">
        <f>SnapshotTable[[#This Row],[Equity Value]] - SnapshotTable[[#This Row],[Equity Basis Total]]</f>
        <v>0</v>
      </c>
      <c r="U49" s="270" t="str">
        <f>IF(SnapshotTable[[#This Row],[Equity Basis Total]] &gt; 0, SnapshotTable[[#This Row],[Equity G/L]] / SnapshotTable[[#This Row],[Equity Basis Total]], "")</f>
        <v/>
      </c>
      <c r="V49" s="268"/>
      <c r="W49" s="268"/>
      <c r="X49" s="4" t="str">
        <f>IF(AND(ISNUMBER(SnapshotTable[[#This Row],[Equity Basis Per Share]]),ISNUMBER(SnapshotTable[[#This Row],[Equity Target]])),SnapshotTable[[#This Row],[Equity Target]]-SnapshotTable[[#This Row],[Equity Basis Per Share]],"")</f>
        <v/>
      </c>
      <c r="Y49" s="4" t="str">
        <f>IF(AND(ISNUMBER(SnapshotTable[[#This Row],[Equity Basis Per Share]]),ISNUMBER(SnapshotTable[[#This Row],[Equity Stop Loss]])),SnapshotTable[[#This Row],[Equity Stop Loss]]-SnapshotTable[[#This Row],[Equity Basis Per Share]],"")</f>
        <v/>
      </c>
      <c r="Z49" s="275" t="str">
        <f>IFERROR( TEXT(SnapshotTable[[#This Row],[Equity Max Gain Per Share]] /ABS( SnapshotTable[[#This Row],[Equity Max Loss Per Share]]),"0.0 " ) &amp; " : 1", "")</f>
        <v/>
      </c>
      <c r="AA49" s="31" t="str">
        <f>IF(ISNUMBER(SnapshotTable[[#This Row],[Equity Max Gain Per Share]]),SnapshotTable[[#This Row],[Equity Max Gain Per Share]] * SnapshotTable[[#This Row],[Equity Shares]],"")</f>
        <v/>
      </c>
      <c r="AB49" s="31" t="str">
        <f>IF(ISNUMBER(SnapshotTable[[#This Row],[Equity Max Loss Per Share]]),SnapshotTable[[#This Row],[Equity Max Loss Per Share]] * SnapshotTable[[#This Row],[Equity Shares]],"")</f>
        <v/>
      </c>
      <c r="AC49" s="150">
        <v>0.3</v>
      </c>
      <c r="AD49" s="151">
        <v>42825</v>
      </c>
      <c r="AE49" s="31">
        <f>(SnapshotTable[[#This Row],[Annual Dividend Per Share]] / 4) * SnapshotTable[[#This Row],[Equity Shares]]</f>
        <v>0</v>
      </c>
      <c r="AF49" s="31">
        <f>SnapshotTable[[#This Row],[Quarterly Div $]] * 4</f>
        <v>0</v>
      </c>
      <c r="AG49" s="7">
        <f>IF(SnapshotTable[[#This Row],[Annual Dividend Per Share]]&gt;0, SnapshotTable[[#This Row],[Annual Dividend Per Share]]  / SnapshotTable[[#This Row],[Last Price]], 0)</f>
        <v>4.8685491723466411E-3</v>
      </c>
      <c r="AH49" s="151">
        <v>42794</v>
      </c>
      <c r="AI49" s="5">
        <v>33</v>
      </c>
      <c r="AJ49" s="138">
        <v>36.07</v>
      </c>
      <c r="AK49" s="152">
        <f>IF(ISNUMBER( SnapshotTable[[#This Row],[EBF Target]]),(SnapshotTable[[#This Row],[EBF Target]] - SnapshotTable[[#This Row],[Last Price]]) / SnapshotTable[[#This Row],[Last Price]], "")</f>
        <v>-0.46445959104186951</v>
      </c>
      <c r="AL49" s="152" t="str">
        <f>IF(AND(SnapshotTable[[#This Row],[Equity Basis Total]] &gt; 0,ISNUMBER( SnapshotTable[[#This Row],[Long Term Target]])), SnapshotTable[[#This Row],[From Basis $]] / SnapshotTable[[#This Row],[Equity Basis Total]], "")</f>
        <v/>
      </c>
      <c r="AM49" s="9">
        <f>IF( AND(SnapshotTable[[#This Row],[Equity Shares]] &gt;0,ISNUMBER( SnapshotTable[[#This Row],[Long Term Target]])),(SnapshotTable[[#This Row],[Equity Shares]] * SnapshotTable[[#This Row],[Long Term Target]]) - SnapshotTable[[#This Row],[Equity Basis Total]],0)</f>
        <v>0</v>
      </c>
      <c r="AN49" s="9">
        <f>IF( AND(SnapshotTable[[#This Row],[Equity Shares]] &gt;0,ISNUMBER( SnapshotTable[[#This Row],[Long Term Target]])),(SnapshotTable[[#This Row],[Equity Shares]]*SnapshotTable[[#This Row],[Long Term Target]]) - SnapshotTable[[#This Row],[Equity Value]],0)</f>
        <v>0</v>
      </c>
      <c r="AO49" s="152">
        <f>IF(AND(ISNUMBER( SnapshotTable[[#This Row],[Long Term Target]]), ISNUMBER(SnapshotTable[[#This Row],[Last Price]])),(SnapshotTable[[#This Row],[Long Term Target]] - SnapshotTable[[#This Row],[Last Price]]) / SnapshotTable[[#This Row],[Last Price]], "")</f>
        <v>-0.41463810451152222</v>
      </c>
      <c r="AP49" s="5">
        <v>29.5</v>
      </c>
      <c r="AQ49" s="38" t="s">
        <v>38</v>
      </c>
      <c r="AR49" s="5"/>
      <c r="AS49" s="38" t="s">
        <v>26</v>
      </c>
      <c r="AT49" s="146"/>
      <c r="AU49" s="187" t="str">
        <f>IF(OR(SnapshotTable[[#This Row],[LP No Fill]]="Y",SnapshotTable[[#This Row],[SP Is Filled]],SnapshotTable[[#This Row],[LC Not Filled]]="Y",SnapshotTable[[#This Row],[SC Is Filled]]),"Y","")</f>
        <v/>
      </c>
      <c r="AV49" s="219"/>
      <c r="AW49" s="225"/>
      <c r="AX49" s="220"/>
      <c r="AY49" s="219" t="str">
        <f>IF(SnapshotTable[[#This Row],[Implied Move]]&gt;0, SnapshotTable[[#This Row],[Last Price]]-SnapshotTable[[#This Row],[Implied Move]],"")</f>
        <v/>
      </c>
      <c r="AZ49" s="219" t="str">
        <f>IF(SnapshotTable[[#This Row],[Implied Move]]&gt;0, SnapshotTable[[#This Row],[Last Price]] + SnapshotTable[[#This Row],[Implied Move]],"")</f>
        <v/>
      </c>
      <c r="BA49" s="331">
        <v>29.5</v>
      </c>
      <c r="BB49" s="347"/>
      <c r="BC4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9" s="351"/>
      <c r="BE49" s="5"/>
      <c r="BF49" s="14"/>
      <c r="BG49" s="13"/>
      <c r="BH49" s="13"/>
      <c r="BI49" s="5"/>
      <c r="BJ49" s="136">
        <f>IF(SnapshotTable[[#This Row],[LP Qty]] &gt; 0, SnapshotTable[[#This Row],[LP Qty]] * SnapshotTable[[#This Row],[LP Book Price]] * 100,0)</f>
        <v>0</v>
      </c>
      <c r="BK49" s="136">
        <f>IF(SnapshotTable[[#This Row],[LP Premium]] &gt; 0, SnapshotTable[[#This Row],[LP Qty]] * SnapshotTable[[#This Row],[LP Strike Price]] * 100,0)</f>
        <v>0</v>
      </c>
      <c r="BL49" s="154"/>
      <c r="BM49" s="385" t="str">
        <f>IF(SnapshotTable[[#This Row],[LP Premium]] &gt; 0,SnapshotTable[[#This Row],[LP Exp Date]]-MAX(SnapshotTable[[#This Row],[LP Book Date]], SnapshotTable[[#This Row],[LP Fill Date]]),"")</f>
        <v/>
      </c>
      <c r="BN49" s="385" t="str">
        <f>IF(ISNUMBER( SnapshotTable[[#This Row],[LP Term]]), SnapshotTable[[#This Row],[LP Exp Date]] - MockToday,"")</f>
        <v/>
      </c>
      <c r="BO49" s="163" t="str">
        <f>IF(AND(SnapshotTable[[#This Row],[LP Exp Date]]&gt;0, SnapshotTable[[#This Row],[LP Strike Price]]&gt;0,SnapshotTable[[#This Row],[LP Qty]]&gt;0,SnapshotTable[[#This Row],[LP Book Date]]&gt;0,SnapshotTable[[#This Row],[LP Book Price]]&gt;0,SnapshotTable[[#This Row],[LP Fill Date]]=0),"Y","")</f>
        <v/>
      </c>
      <c r="BP49" s="31" t="str">
        <f>IF(AND(SnapshotTable[[#This Row],[LP No Fill]]&lt;&gt;"Y",SnapshotTable[[#This Row],[LP Contract Value]]&gt;0, SnapshotTable[[#This Row],[LP Qty]]&gt;0), SnapshotTable[[#This Row],[LP Contract Value]]*SnapshotTable[[#This Row],[LP Qty]]*100,"")</f>
        <v/>
      </c>
      <c r="BQ49" s="13"/>
      <c r="BR49" s="5" t="str">
        <f>IF(SnapshotTable[[#This Row],[SP Exp Date]]&lt;&gt;"",TRUNC(SnapshotTable[[#This Row],[Last Price]]),"")</f>
        <v/>
      </c>
      <c r="BS49" s="36"/>
      <c r="BT49" s="147"/>
      <c r="BU49" s="13"/>
      <c r="BV49" s="5"/>
      <c r="BW49" s="419" t="b">
        <f>AND(ISNUMBER(SnapshotTable[[#This Row],[SP Exp Date]]), ISNUMBER(SnapshotTable[[#This Row],[SP Strike Price]]), ISNUMBER(SnapshotTable[[#This Row],[SP Qty]]), ISNUMBER(SnapshotTable[[#This Row],[SP Book Date]]), ISNUMBER(SnapshotTable[[#This Row],[SP Book Price]]))</f>
        <v>0</v>
      </c>
      <c r="BX49" s="419" t="b">
        <f>AND(SnapshotTable[[#This Row],[SP Is Booked]], NOT(ISBLANK(SnapshotTable[[#This Row],[SP Fill Date]])))</f>
        <v>0</v>
      </c>
      <c r="BY49" s="33">
        <f>IF(SnapshotTable[[#This Row],[SP Is Booked]], SnapshotTable[[#This Row],[SP Qty]] * SnapshotTable[[#This Row],[SP Book Price]] * 100, 0)</f>
        <v>0</v>
      </c>
      <c r="BZ49" s="369"/>
      <c r="CA49" s="368">
        <f>SnapshotTable[[#This Row],[LP Qty]]</f>
        <v>0</v>
      </c>
      <c r="CB49" s="4" t="str">
        <f>IF(SnapshotTable[[#This Row],[SP Is Booked]], SnapshotTable[[#This Row],[SP Strike Price]] - SnapshotTable[[#This Row],[SP Book Price]], "")</f>
        <v/>
      </c>
      <c r="CC49" s="19" t="str">
        <f>IF(SnapshotTable[[#This Row],[SP Is Booked]],SnapshotTable[[#This Row],[SP Exp Date]]-MAX(SnapshotTable[[#This Row],[SP Book Date]], SnapshotTable[[#This Row],[SP Fill Date]]),"")</f>
        <v/>
      </c>
      <c r="CD49" s="7" t="str">
        <f>IF(SnapshotTable[[#This Row],[SP Is Booked]], SnapshotTable[[#This Row],[SP Book Price]]/SnapshotTable[[#This Row],[SP Strike Price]], "")</f>
        <v/>
      </c>
      <c r="CE49" s="7" t="str">
        <f>IF(ISNUMBER(SnapshotTable[[#This Row],[SP ROO Term]]),SnapshotTable[[#This Row],[SP ROO Term]]*(365/SnapshotTable[[#This Row],[SP Term]]),"")</f>
        <v/>
      </c>
      <c r="CF49" s="236">
        <f>SnapshotTable[[#This Row],[LP Strike Price]] * SnapshotTable[[#This Row],[LP Qty]] * 100</f>
        <v>0</v>
      </c>
      <c r="CG49" s="31" t="e">
        <f>IF(ISNUMBER(SnapshotTable[[#This Row],[SP Premium]]), (SnapshotTable[[#This Row],[SP Qty]] * SnapshotTable[[#This Row],[SP Strike Price]]* 100) - SnapshotTable[[#This Row],[LP Protection]], 0)</f>
        <v>#VALUE!</v>
      </c>
      <c r="CH49" s="7" t="str">
        <f>IF(ISNUMBER(SnapshotTable[[#This Row],[SP Break Even]]),-1 * (SnapshotTable[[#This Row],[SP Break Even]] - SnapshotTable[[#This Row],[Last Price]]) / SnapshotTable[[#This Row],[Last Price]], "")</f>
        <v/>
      </c>
      <c r="CI49" s="31">
        <f>IF(AND(ISNUMBER((SnapshotTable[[#This Row],[SP Potential Spend]])), SnapshotTable[[#This Row],[SP Strike Price]] &gt; SnapshotTable[[#This Row],[Last Price]], SnapshotTable[[#This Row],[SP Is Filled]]), SnapshotTable[[#This Row],[SP Potential Spend]] -  SnapshotTable[[#This Row],[LP Max Value]], 0)</f>
        <v>0</v>
      </c>
      <c r="CJ49" s="244"/>
      <c r="CK49" s="31" t="str">
        <f>IF(ISNUMBER(SnapshotTable[[#This Row],[SP Potential Spend]]),IF(ISNUMBER(SnapshotTable[[#This Row],[SP POW]]), SnapshotTable[[#This Row],[SP POW]] * SnapshotTable[[#This Row],[SP Potential Spend]], SnapshotTable[[#This Row],[SP Potential Spend]]), "")</f>
        <v/>
      </c>
      <c r="CL49" s="164" t="e">
        <f>IF(NOT(SnapshotTable[[#This Row],[SP Is Filled]]),(SnapshotTable[[#This Row],[SP Qty]] * SnapshotTable[[#This Row],[SP Strike Price]] * 100) - SnapshotTable[[#This Row],[LP Max Value]],"")</f>
        <v>#VALUE!</v>
      </c>
      <c r="CM49" s="31" t="str">
        <f>IF(SnapshotTable[[#This Row],[SP Actual Spend]]&lt;&gt;0, ((SnapshotTable[[#This Row],[SP Strike Price]]-SnapshotTable[[#This Row],[Last Price]]) *(SnapshotTable[[#This Row],[SP Qty]]*100) - SnapshotTable[[#This Row],[SP Premium]]) * - 1, "")</f>
        <v/>
      </c>
      <c r="CN49" s="78"/>
      <c r="CO49" s="369"/>
      <c r="CP49" s="4" t="str">
        <f>IF(SnapshotTable[[#This Row],[SP Is Filled]], btc_max_buyback_amount(SnapshotTable[[#This Row],[SP Fill Date]],SnapshotTable[[#This Row],[SP Exp Date]], SnapshotTable[[#This Row],[SP Book Price]]),"")</f>
        <v/>
      </c>
      <c r="CQ49" s="78"/>
      <c r="CR4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9" s="155" t="str">
        <f>IF(SnapshotTable[[#This Row],[SP Is Filled]], btc_next_cutoff_date(SnapshotTable[[#This Row],[SP Fill Date]],SnapshotTable[[#This Row],[SP Exp Date]]),"")</f>
        <v/>
      </c>
      <c r="CT49" s="235" t="str" cm="1">
        <f t="array" ref="CT49">IF(SnapshotTable[[#This Row],[SP Is Filled]], btc_should_buy_back(SnapshotTable[[#This Row],[SP Fill Date]], SnapshotTable[[#This Row],[SP Exp Date]], SnapshotTable[[#This Row],[SP Book Price]], SnapshotTable[[#This Row],[SP Current Ask]], MockToday, SnapshotTable[[#This Row],[SP Buyback Override]]),"")</f>
        <v/>
      </c>
      <c r="CU49" s="143">
        <v>44883</v>
      </c>
      <c r="CV49" s="235"/>
      <c r="CW49" s="378" t="str">
        <f>IF(ISNUMBER( SnapshotTable[[#This Row],[SP Term]]), SnapshotTable[[#This Row],[SP Exp Date]] - MockToday,"")</f>
        <v/>
      </c>
      <c r="CX49" s="31" t="str">
        <f>IF(SnapshotTable[[#This Row],[SP Is Filled]],SnapshotTable[[#This Row],[SP Buyback Price to Use]] * 100 * SnapshotTable[[#This Row],[SP Qty]], "")</f>
        <v/>
      </c>
      <c r="CY49" s="4" t="str">
        <f>IF(ISNUMBER(SnapshotTable[[#This Row],[SP Strike Price]]), SnapshotTable[[#This Row],[SP Strike Price]] * (1 - SP_MaxLoss_StrikePct), "")</f>
        <v/>
      </c>
      <c r="CZ49" s="31" t="str">
        <f>IF(ISNUMBER(SnapshotTable[[#This Row],[SP Strike  Stop Per Share]]),SnapshotTable[[#This Row],[SP Premium]] - ((SnapshotTable[[#This Row],[SP Strike Price]]-SnapshotTable[[#This Row],[SP Strike  Stop Per Share]]) *(SnapshotTable[[#This Row],[SP Qty]] * 100)),"")</f>
        <v/>
      </c>
      <c r="DA49" s="4" t="str">
        <f>IF(AND(ISNUMBER(SnapshotTable[[#This Row],[SP Premium]]),SnapshotTable[[#This Row],[SP Premium]]&gt;0), SnapshotTable[[#This Row],[SP Book Price]] * (1 + SP_MaxLoss_OptionPct), "")</f>
        <v/>
      </c>
      <c r="DB49" s="31" t="str">
        <f>IF(ISNUMBER(SnapshotTable[[#This Row],[SP Option  Stop Contract]]),(SnapshotTable[[#This Row],[SP Option  Stop Contract]] *(SnapshotTable[[#This Row],[SP Qty]] * 100) - SnapshotTable[[#This Row],[SP Premium]]),"")</f>
        <v/>
      </c>
      <c r="DC49" s="4"/>
      <c r="DD49" s="4"/>
      <c r="DE49" s="4" t="str">
        <f>IF(AND(SnapshotTable[[#This Row],[SP Qty]]&gt;0, SnapshotTable[[#This Row],[SP Stop To Use]]&gt;0),SnapshotTable[[#This Row],[SP Premium]] - ( SnapshotTable[[#This Row],[SP Qty]] * SnapshotTable[[#This Row],[SP Stop To Use]] * 100), "")</f>
        <v/>
      </c>
      <c r="DF49" s="31" t="str">
        <f>IF(AND(SnapshotTable[[#This Row],[SP Qty]]&gt;0,SnapshotTable[[#This Row],[SP Current Ask]]&gt;0), SnapshotTable[[#This Row],[SP Qty]] * SnapshotTable[[#This Row],[SP Current Ask]] * -100, "")</f>
        <v/>
      </c>
      <c r="DG49" s="31" t="str">
        <f>IF(ISNUMBER((SnapshotTable[[#This Row],[SP Total Value]])), SnapshotTable[[#This Row],[SP Premium]] + SnapshotTable[[#This Row],[SP Total Value]], "")</f>
        <v/>
      </c>
      <c r="DH49" s="294" t="str">
        <f>IF(ISNUMBER((SnapshotTable[[#This Row],[SP Total Value]])), SnapshotTable[[#This Row],[SP Gain Loss]] / SnapshotTable[[#This Row],[SP Premium]], "")</f>
        <v/>
      </c>
      <c r="DI49" s="406"/>
      <c r="DJ49" s="138"/>
      <c r="DK49" s="148"/>
      <c r="DL49" s="13"/>
      <c r="DM49" s="13"/>
      <c r="DN49" s="5"/>
      <c r="DO49" s="31">
        <f>IF(SnapshotTable[[#This Row],[LC Symbol Count]]=1, SnapshotTable[[#This Row],[LC Qty]] * SnapshotTable[[#This Row],[LC Book Price]] * 100, 0)</f>
        <v>0</v>
      </c>
      <c r="DP49" s="163" t="str">
        <f>IF(AND(SnapshotTable[[#This Row],[LC Exp Date]]&gt;0, SnapshotTable[[#This Row],[LC Strike Price]]&gt;0,SnapshotTable[[#This Row],[LC Qty]]&gt;0,SnapshotTable[[#This Row],[LC Book Date]]&gt;0,SnapshotTable[[#This Row],[LC Book Price]]&gt;0,SnapshotTable[[#This Row],[LC Fill Date]]=0),"Y","")</f>
        <v/>
      </c>
      <c r="DQ49" s="386" t="str">
        <f>IF(SnapshotTable[[#This Row],[LC Premium]] &gt; 0,SnapshotTable[[#This Row],[LC Exp Date]]-MAX(SnapshotTable[[#This Row],[LC Book Date]], SnapshotTable[[#This Row],[LC Fill Date]]),"")</f>
        <v/>
      </c>
      <c r="DR49" s="386" t="str">
        <f>IF(ISNUMBER(SnapshotTable[[#This Row],[LC Term]]), SnapshotTable[[#This Row],[LC Exp Date]] - MockToday, "")</f>
        <v/>
      </c>
      <c r="DS49" s="234" t="str">
        <f>IF(SnapshotTable[[#This Row],[LC Premium]]&gt;0,SnapshotTable[[#This Row],[LC Strike Price]] + SnapshotTable[[#This Row],[LC Book Price]],"")</f>
        <v/>
      </c>
      <c r="DT49" s="5"/>
      <c r="DU49" s="9" t="str">
        <f>IF(AND(SnapshotTable[[#This Row],[LC Symbol Count]]&gt;0, SnapshotTable[[#This Row],[LC Contract Value]]&gt;0), SnapshotTable[[#This Row],[LC Contract Value]] * SnapshotTable[[#This Row],[LC Qty]] * 100, "")</f>
        <v/>
      </c>
      <c r="DV49" s="9" t="str">
        <f>IF(AND(ISNUMBER(SnapshotTable[[#This Row],[LC Total Value]]), SnapshotTable[[#This Row],[LC Not Filled]]&lt;&gt;"Y"), SnapshotTable[[#This Row],[LC Total Value]]-SnapshotTable[[#This Row],[LC Premium]],"")</f>
        <v/>
      </c>
      <c r="DW49" s="240" t="str">
        <f>IF(ISNUMBER(SnapshotTable[[#This Row],[LC Actual Gain Loss]]), SnapshotTable[[#This Row],[LC Actual Gain Loss]] / SnapshotTable[[#This Row],[LC Premium]],"")</f>
        <v/>
      </c>
      <c r="DX49" s="284" t="str">
        <f>IF(ISNUMBER(SnapshotTable[[#This Row],[LC Book Price]]),SnapshotTable[[#This Row],[LC Book Price]] * 1.5,"")</f>
        <v/>
      </c>
      <c r="DY49" s="265" t="str">
        <f>IF(SnapshotTable[[#This Row],[LC Premium]]&gt;0, SnapshotTable[[#This Row],[LC Next Target]] * SnapshotTable[[#This Row],[LC Qty]] * 100,"")</f>
        <v/>
      </c>
      <c r="DZ49" s="265" t="str">
        <f>IF(ISNUMBER(SnapshotTable[[#This Row],[LC Target Gross]]), SnapshotTable[[#This Row],[LC Target Gross]] - SnapshotTable[[#This Row],[LC Premium]], "")</f>
        <v/>
      </c>
      <c r="EA49" s="305" t="str">
        <f>IF(ISNUMBER(SnapshotTable[[#This Row],[LC Target Gain Loss]]), SnapshotTable[[#This Row],[LC Target Gain Loss]]/SnapshotTable[[#This Row],[LC Premium]], "")</f>
        <v/>
      </c>
      <c r="EB49" s="262"/>
      <c r="EC49" s="283" t="str">
        <f>IF(SnapshotTable[[#This Row],[LC Premium]]&gt;0, SnapshotTable[[#This Row],[LC Book Price]] * (1 - LC_StopLoss_Pct),"")</f>
        <v/>
      </c>
      <c r="ED49" s="284"/>
      <c r="EE49" s="283" t="str">
        <f>IF(ISNUMBER(SnapshotTable[[#This Row],[LC Contract Value]]),IF(ISNUMBER(SnapshotTable[[#This Row],[LC Stop Loss Override]]), SnapshotTable[[#This Row],[LC Stop Loss Override]],SnapshotTable[[#This Row],[LC Stop Loss Calc Target]]),"")</f>
        <v/>
      </c>
      <c r="EF49" s="31" t="str">
        <f>IF(ISNUMBER(SnapshotTable[[#This Row],[LC Stop  To Use]]), (SnapshotTable[[#This Row],[LC Stop  To Use]] * SnapshotTable[[#This Row],[LC Qty]] * 100),"")</f>
        <v/>
      </c>
      <c r="EG49" s="9" t="str">
        <f>IF(ISNUMBER(SnapshotTable[[#This Row],[LC Total Value]]),SnapshotTable[[#This Row],[LC Stop Loss Amount]] - SnapshotTable[[#This Row],[LC Premium]],"")</f>
        <v/>
      </c>
      <c r="EH49" s="9">
        <f>IF(ISNUMBER(SnapshotTable[[#This Row],[LC Premium]]), SnapshotTable[[#This Row],[LC Qty]] * 100 * SnapshotTable[[#This Row],[LC Strike Price]], "")</f>
        <v>0</v>
      </c>
      <c r="EI49" s="240" t="str">
        <f>IF(AND(ISNUMBER(SnapshotTable[[#This Row],[LC Total Value]]),SnapshotTable[[#This Row],[LC Total Value]]&gt;0),SnapshotTable[[#This Row],[LC Stop Gain Loss]]  / SnapshotTable[[#This Row],[LC Premium]],"")</f>
        <v/>
      </c>
      <c r="EJ49" s="35">
        <f>IF(ISNUMBER(SnapshotTable[[#This Row],[Equity Shares]]),TRUNC(SnapshotTable[[#This Row],[Equity Shares]] / 100),0) + SnapshotTable[[#This Row],[LC Qty]]</f>
        <v>0</v>
      </c>
      <c r="EK49" s="147"/>
      <c r="EL49" s="138" t="str">
        <f>IF(SnapshotTable[[#This Row],[SC Exp Date]]&lt;&gt;"",TRUNC(SnapshotTable[[#This Row],[Last Price]]),"")</f>
        <v/>
      </c>
      <c r="EM49" s="148"/>
      <c r="EN49" s="147"/>
      <c r="EO49" s="147"/>
      <c r="EP49" s="138"/>
      <c r="EQ49" s="419" t="b">
        <f>AND(ISNUMBER(SnapshotTable[[#This Row],[SC Exp Date]]), ISNUMBER(SnapshotTable[[#This Row],[SC Strike Price]]), ISNUMBER(SnapshotTable[[#This Row],[SC Qty]]), ISNUMBER(SnapshotTable[[#This Row],[SC Book Date]]), ISNUMBER(SnapshotTable[[#This Row],[SC Book Price]]))</f>
        <v>0</v>
      </c>
      <c r="ER49" s="419" t="b">
        <f>AND(SnapshotTable[[#This Row],[SC Is Booked]], NOT(ISBLANK(SnapshotTable[[#This Row],[SC Fill Date]])))</f>
        <v>0</v>
      </c>
      <c r="ES49" s="370"/>
      <c r="ET49" s="34" t="str">
        <f>IF(AND(ISNUMBER(SnapshotTable[[#This Row],[SC Exp Date]]), ISNUMBER(SnapshotTable[[#This Row],[SC Book Date]])), SnapshotTable[[#This Row],[SC Exp Date]] - MAX(SnapshotTable[[#This Row],[SC Book Date]], SnapshotTable[[#This Row],[SC Fill Date]]) + 1, "")</f>
        <v/>
      </c>
      <c r="EU49" s="34" t="str">
        <f>IF(ISNUMBER(SnapshotTable[[#This Row],[SC Term]]), SnapshotTable[[#This Row],[SC Exp Date]]- MockToday, "")</f>
        <v/>
      </c>
      <c r="EV49" s="31">
        <f>IF(SnapshotTable[[#This Row],[SC Is Booked]], SnapshotTable[[#This Row],[SC Qty]] * SnapshotTable[[#This Row],[SC Book Price]] * 100, 0)</f>
        <v>0</v>
      </c>
      <c r="EW49" s="4" t="str">
        <f>IF(AND(ISNUMBER(SnapshotTable[[#This Row],[Last Price]]), ISNUMBER( SnapshotTable[[#This Row],[SC Book Price]])), SnapshotTable[[#This Row],[Last Price]] - SnapshotTable[[#This Row],[SC Book Price]],"")</f>
        <v/>
      </c>
      <c r="EX49" s="234" t="str">
        <f>IF(SnapshotTable[[#This Row],[SC Is Booked]],IF(SnapshotTable[[#This Row],[SC Intrinsic Value]] &gt; 0, SnapshotTable[[#This Row],[SC Strike Price]], SnapshotTable[[#This Row],[Last Price]]), "")</f>
        <v/>
      </c>
      <c r="EY49" s="4">
        <f>IF(SnapshotTable[[#This Row],[SC Is Booked]], (MinimumPremiumRequired * SnapshotTable[[#This Row],[SC Basis]] * SnapshotTable[[#This Row],[SC Term]]), 0)</f>
        <v>0</v>
      </c>
      <c r="EZ49" s="283"/>
      <c r="FA49" s="218"/>
      <c r="FB49" s="370"/>
      <c r="FC49" s="4">
        <f>IF(SnapshotTable[[#This Row],[SC Is Filled]], btc_max_buyback_amount(SnapshotTable[[#This Row],[SC Fill Date]],SnapshotTable[[#This Row],[SC Exp Date]], SnapshotTable[[#This Row],[SC Book Price]]),0)</f>
        <v>0</v>
      </c>
      <c r="FD49" s="5"/>
      <c r="FE49" s="144" t="str">
        <f>IF(SnapshotTable[[#This Row],[SC Is Filled]], btc_next_cutoff_date(SnapshotTable[[#This Row],[SC Fill Date]],SnapshotTable[[#This Row],[SC Exp Date]]),"")</f>
        <v/>
      </c>
      <c r="FF49" s="4" t="str" cm="1">
        <f t="array" ref="FF49">IF(SnapshotTable[[#This Row],[SC Is Filled]], btc_should_buy_back(SnapshotTable[[#This Row],[SC Fill Date]], SnapshotTable[[#This Row],[SC Exp Date]], SnapshotTable[[#This Row],[SC Book Price]], SnapshotTable[[#This Row],[SC Current Ask]], MockToday, SnapshotTable[[#This Row],[SC Buyback Override]]),"")</f>
        <v/>
      </c>
      <c r="FG49" s="4">
        <f>IF(SnapshotTable[[#This Row],[SC Is Filled]], MAX(0,SnapshotTable[[#This Row],[Last Price]]  - SnapshotTable[[#This Row],[SC Strike Price]]), 0)</f>
        <v>0</v>
      </c>
      <c r="FH49" s="382">
        <f>IF(SnapshotTable[[#This Row],[SC Is Filled]], IF(ISNUMBER(SnapshotTable[[#This Row],[SC Current Ask]]), SnapshotTable[[#This Row],[SC Current Ask]], SnapshotTable[[#This Row],[SC Book Price]]) - SnapshotTable[[#This Row],[SC Intrinsic Value]], 0)</f>
        <v>0</v>
      </c>
      <c r="FI49" s="143"/>
      <c r="FJ49" s="32" t="str">
        <f>IF(SnapshotTable[[#This Row],[SC Is Filled]],100 * SnapshotTable[[#This Row],[SC Qty]] * IF(ISNUMBER(SnapshotTable[[#This Row],[SC Buyback Override]]), SnapshotTable[[#This Row],[SC Buyback Override]], SnapshotTable[[#This Row],[SC Current Ask]]), "")</f>
        <v/>
      </c>
      <c r="FK49" s="250" t="str">
        <f>IF(SnapshotTable[[#This Row],[SC Time Val]]&gt;0, SnapshotTable[[#This Row],[SC Time Val]] / SnapshotTable[[#This Row],[Last Price]],"")</f>
        <v/>
      </c>
      <c r="FL49" s="302" t="str">
        <f>IF(SnapshotTable[[#This Row],[SC Is Booked]], ((SnapshotTable[[#This Row],[Last Price]] -SnapshotTable[[#This Row],[SC Strike Price]]) / SnapshotTable[[#This Row],[Last Price]]) * -1, "")</f>
        <v/>
      </c>
      <c r="FM49" s="157" t="str">
        <f>IF(SnapshotTable[[#This Row],[SC Is Booked]],  (SnapshotTable[[#This Row],[SC Qty]] * 100 * SnapshotTable[[#This Row],[SC Strike Price]]) - SnapshotTable[[#This Row],[SC Current Ask]], "")</f>
        <v/>
      </c>
      <c r="FN4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9" s="31" t="str">
        <f>IF(AND(ISNUMBER(SnapshotTable[[#This Row],[SC Exercise Gross]]), ISNUMBER(SnapshotTable[[#This Row],[Equity Basis Per Share]] )), SnapshotTable[[#This Row],[SC Exercise Gross]] - SnapshotTable[[#This Row],[Equity Basis Total]] +  SnapshotTable[[#This Row],[SC Premium]], "")</f>
        <v/>
      </c>
      <c r="FP49" s="5" t="str">
        <f>IF(ISNUMBER(SnapshotTable[[#This Row],[SC Exercise Gross]]), (SnapshotTable[[#This Row],[SC Exercise Gross]]) / (SnapshotTable[[#This Row],[SC Qty]] * 100), "")</f>
        <v/>
      </c>
      <c r="FQ49" s="27" t="str">
        <f>IF(SnapshotTable[[#This Row],[SC Is Booked]],SnapshotTable[[#This Row],[SC Time Val]] /SnapshotTable[[#This Row],[SC Basis]], "")</f>
        <v/>
      </c>
      <c r="FR49" s="27" t="str" cm="1">
        <f t="array" ref="FR49">IF(AND(ISNUMBER(SnapshotTable[[#This Row],[SC Term]]),ISNUMBER(SnapshotTable[[#This Row],[SC Simple ROO]])), EllmanAnnualize(SnapshotTable[[#This Row],[SC DTE]], SnapshotTable[[#This Row],[SC Simple ROO]] ),"")</f>
        <v/>
      </c>
      <c r="FS49" s="4" t="e">
        <f>IF(SnapshotTable[[#This Row],[SC Strike Price]] &gt; SnapshotTable[[#This Row],[Last Price]], SnapshotTable[[#This Row],[SC Strike Price]] - SnapshotTable[[#This Row],[Last Price]],0)</f>
        <v>#VALUE!</v>
      </c>
      <c r="FT49" s="27" t="e">
        <f>IF(AND(ISNUMBER(SnapshotTable[[#This Row],[SC Upside Potential]]), SnapshotTable[[#This Row],[SC Upside Potential]] &gt; 0),(SnapshotTable[[#This Row],[SC Upside Potential]]/ SnapshotTable[[#This Row],[ACB]]),"")</f>
        <v>#VALUE!</v>
      </c>
      <c r="FU49" s="333" t="str">
        <f>IF(SnapshotTable[[#This Row],[SC Intrinsic Value]] &gt; 0,SnapshotTable[[#This Row],[SC Intrinsic Value]],"")</f>
        <v/>
      </c>
      <c r="FV49" s="27" t="str">
        <f>IF(AND( ISNUMBER( SnapshotTable[[#This Row],[ACB]]),ISNUMBER(SnapshotTable[[#This Row],[SC Downside Protect]])),SnapshotTable[[#This Row],[SC Downside Protect]] / SnapshotTable[[#This Row],[ACB]],"")</f>
        <v/>
      </c>
      <c r="FW49" s="236" t="str">
        <f>IF(AND(ISNUMBER(SnapshotTable[[#This Row],[SC Simple ROO]]),SnapshotTable[[#This Row],[SC Simple ROO]] &gt; 0), SnapshotTable[[#This Row],[SC Premium]] + (SnapshotTable[[#This Row],[SC Qty]] * SnapshotTable[[#This Row],[SC Upside Potential]]), "")</f>
        <v/>
      </c>
      <c r="FX49" s="302" t="str" cm="1">
        <f t="array" ref="FX49">IF(ISNUMBER(SnapshotTable[[#This Row],[SC Max Dollars]]), annualize(SnapshotTable[[#This Row],[SC Term]],(SnapshotTable[[#This Row],[SC Max Dollars]]/SnapshotTable[[#This Row],[SC Basis]])),"")</f>
        <v/>
      </c>
      <c r="FY49" s="236" t="str">
        <f>IF(AND(SnapshotTable[[#This Row],[SC Qty]]&gt;0,SnapshotTable[[#This Row],[SC Current Ask]]&gt;0), SnapshotTable[[#This Row],[SC Qty]] * SnapshotTable[[#This Row],[SC Current Ask]] * -100, "")</f>
        <v/>
      </c>
      <c r="FZ49" s="31" t="str">
        <f>IF(ISNUMBER((SnapshotTable[[#This Row],[SC Current Value]])), SnapshotTable[[#This Row],[SC Premium]] + SnapshotTable[[#This Row],[SC Current Value]], "")</f>
        <v/>
      </c>
      <c r="GA49" s="294" t="str">
        <f>IFERROR( IF(ISNUMBER((SnapshotTable[[#This Row],[SC Current Value]])), SnapshotTable[[#This Row],[SC Gain Loss]] / SnapshotTable[[#This Row],[SC Premium]], ""), "")</f>
        <v/>
      </c>
      <c r="GB49" s="42">
        <f>SnapshotTable[[#This Row],[Equity Shares]] * SaleSharesToConsiderPercentage</f>
        <v>0</v>
      </c>
      <c r="GC49" s="40">
        <f>SnapshotTable[[#This Row],[Long Term Target]] * SellingPriceToConsiderBasedOnTargetPercentage</f>
        <v>34.266500000000001</v>
      </c>
      <c r="GD49" s="40">
        <f>SnapshotTable[[#This Row],[Last Price]] * (1+ SellingPriceToConsiderBasedOnTargetPercentage)</f>
        <v>120.15899999999999</v>
      </c>
      <c r="GE49" s="41"/>
      <c r="GF49" s="40">
        <v>17.68</v>
      </c>
      <c r="GG49" s="31">
        <f>SnapshotTable[[#This Row],[Booked Sale Shares]] * SnapshotTable[[#This Row],[Booked Sale Price]]</f>
        <v>0</v>
      </c>
      <c r="GH49" s="31" t="str">
        <f>IF(SnapshotTable[[#This Row],[Equity Basis Total]] &gt; 0, SnapshotTable[[#This Row],[Equity Basis Per Share]] * SnapshotTable[[#This Row],[Booked Sale Shares]], "")</f>
        <v/>
      </c>
      <c r="GI49" s="31">
        <f>IF(SnapshotTable[[#This Row],[Sale Proceeds]]&gt;0, SnapshotTable[[#This Row],[Sale Proceeds]] - SnapshotTable[[#This Row],[Sale Basis]], 0)</f>
        <v>0</v>
      </c>
      <c r="GJ49" s="27" t="str">
        <f>IF(SnapshotTable[[#This Row],[Sale G/L]]&gt;0, SnapshotTable[[#This Row],[Sale G/L]] / SnapshotTable[[#This Row],[Sale Basis]], IF(ISNUMBER(SnapshotTable[[#This Row],[SC Exercise P&amp;L (TAX)]]), SnapshotTable[[#This Row],[SC Exercise P&amp;L (TAX)]] / SnapshotTable[[#This Row],[SC Basis]], ""))</f>
        <v/>
      </c>
      <c r="GK49" s="27" t="s">
        <v>643</v>
      </c>
      <c r="GL49" s="43" t="str">
        <f>IF(AND(SnapshotTable[[#This Row],[LP Exp Date]]&gt;0,SnapshotTable[[#This Row],[LP Strike Price]]&gt;0), [1]!ToOptionSymbol(SnapshotTable[[#This Row],[Symbol]], SnapshotTable[[#This Row],[LP Strike Price]],SnapshotTable[[#This Row],[LP Exp Date]],1), "")</f>
        <v/>
      </c>
      <c r="GM49" s="30" t="str">
        <f>IF(LEN(SnapshotTable[[#This Row],[LP Symbol]])&gt;0, 1, "")</f>
        <v/>
      </c>
      <c r="GN49" s="43" t="str">
        <f>IF(AND(SnapshotTable[[#This Row],[SP Exp Date]]&gt;0,SnapshotTable[[#This Row],[SP Strike Price]]&gt;0), [1]!ToOptionSymbol(SnapshotTable[[#This Row],[Symbol]], SnapshotTable[[#This Row],[SP Strike Price]],SnapshotTable[[#This Row],[SP Exp Date]],1), "")</f>
        <v/>
      </c>
      <c r="GO49" s="30" t="str">
        <f>IF(LEN(SnapshotTable[[#This Row],[SP Symbol]])&gt;0, 1, "")</f>
        <v/>
      </c>
      <c r="GP49" s="43" t="str">
        <f>IF(AND(SnapshotTable[[#This Row],[LC Exp Date]]&gt;0,SnapshotTable[[#This Row],[LC Strike Price]]&gt;0), [1]!ToOptionSymbol(SnapshotTable[[#This Row],[Symbol]], SnapshotTable[[#This Row],[LC Strike Price]],SnapshotTable[[#This Row],[LC Exp Date]],0), "")</f>
        <v/>
      </c>
      <c r="GQ49" s="30" t="str">
        <f>IF(LEN(SnapshotTable[[#This Row],[LC Symbol]])&gt;0, 1, "")</f>
        <v/>
      </c>
      <c r="GR49" s="43" t="str">
        <f>IF(AND(SnapshotTable[[#This Row],[SC Exp Date]]&gt;0,SnapshotTable[[#This Row],[SC Strike Price]]&gt;0), [1]!ToOptionSymbol(SnapshotTable[[#This Row],[Symbol]], SnapshotTable[[#This Row],[SC Strike Price]],SnapshotTable[[#This Row],[SC Exp Date]],0), "")</f>
        <v/>
      </c>
      <c r="GS49" s="30" t="str">
        <f>IF(LEN(SnapshotTable[[#This Row],[SC Symbol]])&gt;0, 1, "")</f>
        <v/>
      </c>
      <c r="GT49" s="29" t="str">
        <f>IF(COUNT(SnapshotTable[[#This Row],[LP Symbol Count]],SnapshotTable[[#This Row],[SP Symbol Count]],SnapshotTable[[#This Row],[LC Symbol Count]],SnapshotTable[[#This Row],[SC Symbol Count]])&gt;0, "Y", "")</f>
        <v/>
      </c>
      <c r="GU4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9" s="231" t="e">
        <f>MAX(SnapshotTable[[#This Row],[Equity Basis Total]],SnapshotTable[[#This Row],[Equity Value]]) + (SnapshotTable[[#This Row],[SP Potential Spend]]- SnapshotTable[[#This Row],[SP Premium]] + SnapshotTable[[#This Row],[LP Premium]])+ (SnapshotTable[[#This Row],[LC Premium]] - SnapshotTable[[#This Row],[SC Premium]])</f>
        <v>#VALUE!</v>
      </c>
      <c r="GW49" s="139" t="e">
        <f>IF(AND(SnapshotTable[[#This Row],[Exposure]] &lt;&gt; 0),SnapshotTable[[#This Row],[Exposure]] / SnapshotTable[[#Totals],[Exposure]], "")</f>
        <v>#VALUE!</v>
      </c>
      <c r="GY49" s="381"/>
      <c r="HE49" s="268"/>
      <c r="HF49" s="268"/>
      <c r="HG49" s="381"/>
      <c r="HH49" s="381"/>
      <c r="HI49" s="381"/>
      <c r="HJ49" s="381"/>
    </row>
    <row r="50" spans="2:224" ht="12.75" hidden="1" customHeight="1" x14ac:dyDescent="0.25">
      <c r="B50" s="12" t="s">
        <v>1208</v>
      </c>
      <c r="C50" s="422">
        <v>8.9499999999999993</v>
      </c>
      <c r="D50" s="208"/>
      <c r="E50" s="39">
        <f>SnapshotTable[[#This Row],[Last Price]]*(1 -CrashDiscount)</f>
        <v>7.607499999999999</v>
      </c>
      <c r="F50" s="325" t="s">
        <v>840</v>
      </c>
      <c r="G50" s="325" t="s">
        <v>9</v>
      </c>
      <c r="H50" s="149"/>
      <c r="I50" s="194"/>
      <c r="J50" s="195"/>
      <c r="K50" s="196"/>
      <c r="L50" s="326"/>
      <c r="M50" s="140"/>
      <c r="N50" s="140"/>
      <c r="O50" s="140"/>
      <c r="P50" s="22"/>
      <c r="Q50" s="25"/>
      <c r="R50" s="4" t="str">
        <f>IF(SnapshotTable[[#This Row],[Equity Basis Total]] &gt; 0, SnapshotTable[[#This Row],[Equity Basis Total]] / SnapshotTable[[#This Row],[Equity Shares]], "")</f>
        <v/>
      </c>
      <c r="S50" s="269">
        <f>SnapshotTable[[#This Row],[Last Price]] * SnapshotTable[[#This Row],[Equity Shares]]</f>
        <v>0</v>
      </c>
      <c r="T50" s="269">
        <f>SnapshotTable[[#This Row],[Equity Value]] - SnapshotTable[[#This Row],[Equity Basis Total]]</f>
        <v>0</v>
      </c>
      <c r="U50" s="270" t="str">
        <f>IF(SnapshotTable[[#This Row],[Equity Basis Total]] &gt; 0, SnapshotTable[[#This Row],[Equity G/L]] / SnapshotTable[[#This Row],[Equity Basis Total]], "")</f>
        <v/>
      </c>
      <c r="V50" s="268"/>
      <c r="W50" s="268"/>
      <c r="X50" s="4" t="str">
        <f>IF(AND(ISNUMBER(SnapshotTable[[#This Row],[Equity Basis Per Share]]),ISNUMBER(SnapshotTable[[#This Row],[Equity Target]])),SnapshotTable[[#This Row],[Equity Target]]-SnapshotTable[[#This Row],[Equity Basis Per Share]],"")</f>
        <v/>
      </c>
      <c r="Y50" s="4" t="str">
        <f>IF(AND(ISNUMBER(SnapshotTable[[#This Row],[Equity Basis Per Share]]),ISNUMBER(SnapshotTable[[#This Row],[Equity Stop Loss]])),SnapshotTable[[#This Row],[Equity Stop Loss]]-SnapshotTable[[#This Row],[Equity Basis Per Share]],"")</f>
        <v/>
      </c>
      <c r="Z50" s="275" t="str">
        <f>IFERROR( TEXT(SnapshotTable[[#This Row],[Equity Max Gain Per Share]] /ABS( SnapshotTable[[#This Row],[Equity Max Loss Per Share]]),"0.0 " ) &amp; " : 1", "")</f>
        <v/>
      </c>
      <c r="AA50" s="31" t="str">
        <f>IF(ISNUMBER(SnapshotTable[[#This Row],[Equity Max Gain Per Share]]),SnapshotTable[[#This Row],[Equity Max Gain Per Share]] * SnapshotTable[[#This Row],[Equity Shares]],"")</f>
        <v/>
      </c>
      <c r="AB50" s="31" t="str">
        <f>IF(ISNUMBER(SnapshotTable[[#This Row],[Equity Max Loss Per Share]]),SnapshotTable[[#This Row],[Equity Max Loss Per Share]] * SnapshotTable[[#This Row],[Equity Shares]],"")</f>
        <v/>
      </c>
      <c r="AC50" s="150"/>
      <c r="AD50" s="151"/>
      <c r="AE50" s="31">
        <f>(SnapshotTable[[#This Row],[Annual Dividend Per Share]] / 4) * SnapshotTable[[#This Row],[Equity Shares]]</f>
        <v>0</v>
      </c>
      <c r="AF50" s="31">
        <f>SnapshotTable[[#This Row],[Quarterly Div $]] * 4</f>
        <v>0</v>
      </c>
      <c r="AG50" s="7">
        <f>IF(SnapshotTable[[#This Row],[Annual Dividend Per Share]]&gt;0, SnapshotTable[[#This Row],[Annual Dividend Per Share]]  / SnapshotTable[[#This Row],[Last Price]], 0)</f>
        <v>0</v>
      </c>
      <c r="AH50" s="151"/>
      <c r="AI50" s="5"/>
      <c r="AJ50" s="138">
        <v>4.75</v>
      </c>
      <c r="AK50" s="152" t="str">
        <f>IF(ISNUMBER( SnapshotTable[[#This Row],[EBF Target]]),(SnapshotTable[[#This Row],[EBF Target]] - SnapshotTable[[#This Row],[Last Price]]) / SnapshotTable[[#This Row],[Last Price]], "")</f>
        <v/>
      </c>
      <c r="AL50" s="152" t="str">
        <f>IF(AND(SnapshotTable[[#This Row],[Equity Basis Total]] &gt; 0,ISNUMBER( SnapshotTable[[#This Row],[Long Term Target]])), SnapshotTable[[#This Row],[From Basis $]] / SnapshotTable[[#This Row],[Equity Basis Total]], "")</f>
        <v/>
      </c>
      <c r="AM50" s="9">
        <f>IF( AND(SnapshotTable[[#This Row],[Equity Shares]] &gt;0,ISNUMBER( SnapshotTable[[#This Row],[Long Term Target]])),(SnapshotTable[[#This Row],[Equity Shares]] * SnapshotTable[[#This Row],[Long Term Target]]) - SnapshotTable[[#This Row],[Equity Basis Total]],0)</f>
        <v>0</v>
      </c>
      <c r="AN50" s="9">
        <f>IF( AND(SnapshotTable[[#This Row],[Equity Shares]] &gt;0,ISNUMBER( SnapshotTable[[#This Row],[Long Term Target]])),(SnapshotTable[[#This Row],[Equity Shares]]*SnapshotTable[[#This Row],[Long Term Target]]) - SnapshotTable[[#This Row],[Equity Value]],0)</f>
        <v>0</v>
      </c>
      <c r="AO50" s="152">
        <f>IF(AND(ISNUMBER( SnapshotTable[[#This Row],[Long Term Target]]), ISNUMBER(SnapshotTable[[#This Row],[Last Price]])),(SnapshotTable[[#This Row],[Long Term Target]] - SnapshotTable[[#This Row],[Last Price]]) / SnapshotTable[[#This Row],[Last Price]], "")</f>
        <v>-0.46927374301675973</v>
      </c>
      <c r="AP50" s="5">
        <v>4</v>
      </c>
      <c r="AQ50" s="38" t="s">
        <v>1082</v>
      </c>
      <c r="AR50" s="5">
        <v>2</v>
      </c>
      <c r="AS50" s="38" t="s">
        <v>1083</v>
      </c>
      <c r="AT50" s="146" t="s">
        <v>1185</v>
      </c>
      <c r="AU50" s="187" t="str">
        <f>IF(OR(SnapshotTable[[#This Row],[LP No Fill]]="Y",SnapshotTable[[#This Row],[SP Is Filled]],SnapshotTable[[#This Row],[LC Not Filled]]="Y",SnapshotTable[[#This Row],[SC Is Filled]]),"Y","")</f>
        <v/>
      </c>
      <c r="AV50" s="219"/>
      <c r="AW50" s="225"/>
      <c r="AX50" s="220"/>
      <c r="AY50" s="219" t="str">
        <f>IF(SnapshotTable[[#This Row],[Implied Move]]&gt;0, SnapshotTable[[#This Row],[Last Price]]-SnapshotTable[[#This Row],[Implied Move]],"")</f>
        <v/>
      </c>
      <c r="AZ50" s="219" t="str">
        <f>IF(SnapshotTable[[#This Row],[Implied Move]]&gt;0, SnapshotTable[[#This Row],[Last Price]] + SnapshotTable[[#This Row],[Implied Move]],"")</f>
        <v/>
      </c>
      <c r="BA50" s="331">
        <v>0.61</v>
      </c>
      <c r="BB50" s="347" t="s">
        <v>1165</v>
      </c>
      <c r="BC5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0" s="351"/>
      <c r="BE50" s="5"/>
      <c r="BF50" s="14"/>
      <c r="BG50" s="13"/>
      <c r="BH50" s="13"/>
      <c r="BI50" s="5"/>
      <c r="BJ50" s="136">
        <f>IF(SnapshotTable[[#This Row],[LP Qty]] &gt; 0, SnapshotTable[[#This Row],[LP Qty]] * SnapshotTable[[#This Row],[LP Book Price]] * 100,0)</f>
        <v>0</v>
      </c>
      <c r="BK50" s="136">
        <f>IF(SnapshotTable[[#This Row],[LP Premium]] &gt; 0, SnapshotTable[[#This Row],[LP Qty]] * SnapshotTable[[#This Row],[LP Strike Price]] * 100,0)</f>
        <v>0</v>
      </c>
      <c r="BL50" s="154"/>
      <c r="BM50" s="385" t="str">
        <f>IF(SnapshotTable[[#This Row],[LP Premium]] &gt; 0,SnapshotTable[[#This Row],[LP Exp Date]]-MAX(SnapshotTable[[#This Row],[LP Book Date]], SnapshotTable[[#This Row],[LP Fill Date]]),"")</f>
        <v/>
      </c>
      <c r="BN50" s="385" t="str">
        <f>IF(ISNUMBER( SnapshotTable[[#This Row],[LP Term]]), SnapshotTable[[#This Row],[LP Exp Date]] - MockToday,"")</f>
        <v/>
      </c>
      <c r="BO50" s="163" t="str">
        <f>IF(AND(SnapshotTable[[#This Row],[LP Exp Date]]&gt;0, SnapshotTable[[#This Row],[LP Strike Price]]&gt;0,SnapshotTable[[#This Row],[LP Qty]]&gt;0,SnapshotTable[[#This Row],[LP Book Date]]&gt;0,SnapshotTable[[#This Row],[LP Book Price]]&gt;0,SnapshotTable[[#This Row],[LP Fill Date]]=0),"Y","")</f>
        <v/>
      </c>
      <c r="BP50" s="31" t="str">
        <f>IF(AND(SnapshotTable[[#This Row],[LP No Fill]]&lt;&gt;"Y",SnapshotTable[[#This Row],[LP Contract Value]]&gt;0, SnapshotTable[[#This Row],[LP Qty]]&gt;0), SnapshotTable[[#This Row],[LP Contract Value]]*SnapshotTable[[#This Row],[LP Qty]]*100,"")</f>
        <v/>
      </c>
      <c r="BQ50" s="13"/>
      <c r="BR50" s="5" t="str">
        <f>IF(SnapshotTable[[#This Row],[SP Exp Date]]&lt;&gt;"",TRUNC(SnapshotTable[[#This Row],[Last Price]]),"")</f>
        <v/>
      </c>
      <c r="BS50" s="36"/>
      <c r="BT50" s="147"/>
      <c r="BU50" s="13"/>
      <c r="BV50" s="5"/>
      <c r="BW50" s="419" t="b">
        <f>AND(ISNUMBER(SnapshotTable[[#This Row],[SP Exp Date]]), ISNUMBER(SnapshotTable[[#This Row],[SP Strike Price]]), ISNUMBER(SnapshotTable[[#This Row],[SP Qty]]), ISNUMBER(SnapshotTable[[#This Row],[SP Book Date]]), ISNUMBER(SnapshotTable[[#This Row],[SP Book Price]]))</f>
        <v>0</v>
      </c>
      <c r="BX50" s="419" t="b">
        <f>AND(SnapshotTable[[#This Row],[SP Is Booked]], NOT(ISBLANK(SnapshotTable[[#This Row],[SP Fill Date]])))</f>
        <v>0</v>
      </c>
      <c r="BY50" s="33">
        <f>IF(SnapshotTable[[#This Row],[SP Is Booked]], SnapshotTable[[#This Row],[SP Qty]] * SnapshotTable[[#This Row],[SP Book Price]] * 100, 0)</f>
        <v>0</v>
      </c>
      <c r="BZ50" s="369"/>
      <c r="CA50" s="368">
        <f>SnapshotTable[[#This Row],[LP Qty]]</f>
        <v>0</v>
      </c>
      <c r="CB50" s="4" t="str">
        <f>IF(SnapshotTable[[#This Row],[SP Is Booked]], SnapshotTable[[#This Row],[SP Strike Price]] - SnapshotTable[[#This Row],[SP Book Price]], "")</f>
        <v/>
      </c>
      <c r="CC50" s="19" t="str">
        <f>IF(SnapshotTable[[#This Row],[SP Is Booked]],SnapshotTable[[#This Row],[SP Exp Date]]-MAX(SnapshotTable[[#This Row],[SP Book Date]], SnapshotTable[[#This Row],[SP Fill Date]]),"")</f>
        <v/>
      </c>
      <c r="CD50" s="7" t="str">
        <f>IF(SnapshotTable[[#This Row],[SP Is Booked]], SnapshotTable[[#This Row],[SP Book Price]]/SnapshotTable[[#This Row],[SP Strike Price]], "")</f>
        <v/>
      </c>
      <c r="CE50" s="7" t="str">
        <f>IF(ISNUMBER(SnapshotTable[[#This Row],[SP ROO Term]]),SnapshotTable[[#This Row],[SP ROO Term]]*(365/SnapshotTable[[#This Row],[SP Term]]),"")</f>
        <v/>
      </c>
      <c r="CF50" s="236">
        <f>SnapshotTable[[#This Row],[LP Strike Price]] * SnapshotTable[[#This Row],[LP Qty]] * 100</f>
        <v>0</v>
      </c>
      <c r="CG50" s="31" t="e">
        <f>IF(ISNUMBER(SnapshotTable[[#This Row],[SP Premium]]), (SnapshotTable[[#This Row],[SP Qty]] * SnapshotTable[[#This Row],[SP Strike Price]]* 100) - SnapshotTable[[#This Row],[LP Protection]], 0)</f>
        <v>#VALUE!</v>
      </c>
      <c r="CH50" s="7" t="str">
        <f>IF(ISNUMBER(SnapshotTable[[#This Row],[SP Break Even]]),-1 * (SnapshotTable[[#This Row],[SP Break Even]] - SnapshotTable[[#This Row],[Last Price]]) / SnapshotTable[[#This Row],[Last Price]], "")</f>
        <v/>
      </c>
      <c r="CI50" s="31">
        <f>IF(AND(ISNUMBER((SnapshotTable[[#This Row],[SP Potential Spend]])), SnapshotTable[[#This Row],[SP Strike Price]] &gt; SnapshotTable[[#This Row],[Last Price]], SnapshotTable[[#This Row],[SP Is Filled]]), SnapshotTable[[#This Row],[SP Potential Spend]] -  SnapshotTable[[#This Row],[LP Max Value]], 0)</f>
        <v>0</v>
      </c>
      <c r="CJ50" s="244">
        <v>0.1</v>
      </c>
      <c r="CK50" s="31" t="str">
        <f>IF(ISNUMBER(SnapshotTable[[#This Row],[SP Potential Spend]]),IF(ISNUMBER(SnapshotTable[[#This Row],[SP POW]]), SnapshotTable[[#This Row],[SP POW]] * SnapshotTable[[#This Row],[SP Potential Spend]], SnapshotTable[[#This Row],[SP Potential Spend]]), "")</f>
        <v/>
      </c>
      <c r="CL50" s="164" t="e">
        <f>IF(NOT(SnapshotTable[[#This Row],[SP Is Filled]]),(SnapshotTable[[#This Row],[SP Qty]] * SnapshotTable[[#This Row],[SP Strike Price]] * 100) - SnapshotTable[[#This Row],[LP Max Value]],"")</f>
        <v>#VALUE!</v>
      </c>
      <c r="CM50" s="31" t="str">
        <f>IF(SnapshotTable[[#This Row],[SP Actual Spend]]&lt;&gt;0, ((SnapshotTable[[#This Row],[SP Strike Price]]-SnapshotTable[[#This Row],[Last Price]]) *(SnapshotTable[[#This Row],[SP Qty]]*100) - SnapshotTable[[#This Row],[SP Premium]]) * - 1, "")</f>
        <v/>
      </c>
      <c r="CN50" s="78"/>
      <c r="CO50" s="369"/>
      <c r="CP50" s="4" t="str">
        <f>IF(SnapshotTable[[#This Row],[SP Is Filled]], btc_max_buyback_amount(SnapshotTable[[#This Row],[SP Fill Date]],SnapshotTable[[#This Row],[SP Exp Date]], SnapshotTable[[#This Row],[SP Book Price]]),"")</f>
        <v/>
      </c>
      <c r="CQ50" s="78"/>
      <c r="CR5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0" s="155" t="str">
        <f>IF(SnapshotTable[[#This Row],[SP Is Filled]], btc_next_cutoff_date(SnapshotTable[[#This Row],[SP Fill Date]],SnapshotTable[[#This Row],[SP Exp Date]]),"")</f>
        <v/>
      </c>
      <c r="CT50" s="235" t="str" cm="1">
        <f t="array" ref="CT50">IF(SnapshotTable[[#This Row],[SP Is Filled]], btc_should_buy_back(SnapshotTable[[#This Row],[SP Fill Date]], SnapshotTable[[#This Row],[SP Exp Date]], SnapshotTable[[#This Row],[SP Book Price]], SnapshotTable[[#This Row],[SP Current Ask]], MockToday, SnapshotTable[[#This Row],[SP Buyback Override]]),"")</f>
        <v/>
      </c>
      <c r="CU50" s="143"/>
      <c r="CV50" s="235"/>
      <c r="CW50" s="378" t="str">
        <f>IF(ISNUMBER( SnapshotTable[[#This Row],[SP Term]]), SnapshotTable[[#This Row],[SP Exp Date]] - MockToday,"")</f>
        <v/>
      </c>
      <c r="CX50" s="31" t="str">
        <f>IF(SnapshotTable[[#This Row],[SP Is Filled]],SnapshotTable[[#This Row],[SP Buyback Price to Use]] * 100 * SnapshotTable[[#This Row],[SP Qty]], "")</f>
        <v/>
      </c>
      <c r="CY50" s="4" t="str">
        <f>IF(ISNUMBER(SnapshotTable[[#This Row],[SP Strike Price]]), SnapshotTable[[#This Row],[SP Strike Price]] * (1 - SP_MaxLoss_StrikePct), "")</f>
        <v/>
      </c>
      <c r="CZ50" s="31" t="str">
        <f>IF(ISNUMBER(SnapshotTable[[#This Row],[SP Strike  Stop Per Share]]),SnapshotTable[[#This Row],[SP Premium]] - ((SnapshotTable[[#This Row],[SP Strike Price]]-SnapshotTable[[#This Row],[SP Strike  Stop Per Share]]) *(SnapshotTable[[#This Row],[SP Qty]] * 100)),"")</f>
        <v/>
      </c>
      <c r="DA50" s="4" t="str">
        <f>IF(AND(ISNUMBER(SnapshotTable[[#This Row],[SP Premium]]),SnapshotTable[[#This Row],[SP Premium]]&gt;0), SnapshotTable[[#This Row],[SP Book Price]] * (1 + SP_MaxLoss_OptionPct), "")</f>
        <v/>
      </c>
      <c r="DB50" s="31" t="str">
        <f>IF(ISNUMBER(SnapshotTable[[#This Row],[SP Option  Stop Contract]]),(SnapshotTable[[#This Row],[SP Option  Stop Contract]] *(SnapshotTable[[#This Row],[SP Qty]] * 100) - SnapshotTable[[#This Row],[SP Premium]]),"")</f>
        <v/>
      </c>
      <c r="DC50" s="4"/>
      <c r="DD50" s="4"/>
      <c r="DE50" s="4" t="str">
        <f>IF(AND(SnapshotTable[[#This Row],[SP Qty]]&gt;0, SnapshotTable[[#This Row],[SP Stop To Use]]&gt;0),SnapshotTable[[#This Row],[SP Premium]] - ( SnapshotTable[[#This Row],[SP Qty]] * SnapshotTable[[#This Row],[SP Stop To Use]] * 100), "")</f>
        <v/>
      </c>
      <c r="DF50" s="31" t="str">
        <f>IF(AND(SnapshotTable[[#This Row],[SP Qty]]&gt;0,SnapshotTable[[#This Row],[SP Current Ask]]&gt;0), SnapshotTable[[#This Row],[SP Qty]] * SnapshotTable[[#This Row],[SP Current Ask]] * -100, "")</f>
        <v/>
      </c>
      <c r="DG50" s="31" t="str">
        <f>IF(ISNUMBER((SnapshotTable[[#This Row],[SP Total Value]])), SnapshotTable[[#This Row],[SP Premium]] + SnapshotTable[[#This Row],[SP Total Value]], "")</f>
        <v/>
      </c>
      <c r="DH50" s="294" t="str">
        <f>IF(ISNUMBER((SnapshotTable[[#This Row],[SP Total Value]])), SnapshotTable[[#This Row],[SP Gain Loss]] / SnapshotTable[[#This Row],[SP Premium]], "")</f>
        <v/>
      </c>
      <c r="DI50" s="406"/>
      <c r="DJ50" s="138"/>
      <c r="DK50" s="148"/>
      <c r="DL50" s="147"/>
      <c r="DM50" s="147"/>
      <c r="DO50" s="31">
        <f>IF(SnapshotTable[[#This Row],[LC Symbol Count]]=1, SnapshotTable[[#This Row],[LC Qty]] * SnapshotTable[[#This Row],[LC Book Price]] * 100, 0)</f>
        <v>0</v>
      </c>
      <c r="DP50" s="163" t="str">
        <f>IF(AND(SnapshotTable[[#This Row],[LC Exp Date]]&gt;0, SnapshotTable[[#This Row],[LC Strike Price]]&gt;0,SnapshotTable[[#This Row],[LC Qty]]&gt;0,SnapshotTable[[#This Row],[LC Book Date]]&gt;0,SnapshotTable[[#This Row],[LC Book Price]]&gt;0,SnapshotTable[[#This Row],[LC Fill Date]]=0),"Y","")</f>
        <v/>
      </c>
      <c r="DQ50" s="386" t="str">
        <f>IF(SnapshotTable[[#This Row],[LC Premium]] &gt; 0,SnapshotTable[[#This Row],[LC Exp Date]]-MAX(SnapshotTable[[#This Row],[LC Book Date]], SnapshotTable[[#This Row],[LC Fill Date]]),"")</f>
        <v/>
      </c>
      <c r="DR50" s="386" t="str">
        <f>IF(ISNUMBER(SnapshotTable[[#This Row],[LC Term]]), SnapshotTable[[#This Row],[LC Exp Date]] - MockToday, "")</f>
        <v/>
      </c>
      <c r="DS50" s="234" t="str">
        <f>IF(SnapshotTable[[#This Row],[LC Premium]]&gt;0,SnapshotTable[[#This Row],[LC Strike Price]] + SnapshotTable[[#This Row],[LC Book Price]],"")</f>
        <v/>
      </c>
      <c r="DT50" s="138"/>
      <c r="DU50" s="9" t="str">
        <f>IF(AND(SnapshotTable[[#This Row],[LC Symbol Count]]&gt;0, SnapshotTable[[#This Row],[LC Contract Value]]&gt;0), SnapshotTable[[#This Row],[LC Contract Value]] * SnapshotTable[[#This Row],[LC Qty]] * 100, "")</f>
        <v/>
      </c>
      <c r="DV50" s="9" t="str">
        <f>IF(AND(ISNUMBER(SnapshotTable[[#This Row],[LC Total Value]]), SnapshotTable[[#This Row],[LC Not Filled]]&lt;&gt;"Y"), SnapshotTable[[#This Row],[LC Total Value]]-SnapshotTable[[#This Row],[LC Premium]],"")</f>
        <v/>
      </c>
      <c r="DW50" s="240" t="str">
        <f>IF(ISNUMBER(SnapshotTable[[#This Row],[LC Actual Gain Loss]]), SnapshotTable[[#This Row],[LC Actual Gain Loss]] / SnapshotTable[[#This Row],[LC Premium]],"")</f>
        <v/>
      </c>
      <c r="DX50" s="284" t="str">
        <f>IF(ISNUMBER(SnapshotTable[[#This Row],[LC Book Price]]),SnapshotTable[[#This Row],[LC Book Price]] * 1.5,"")</f>
        <v/>
      </c>
      <c r="DY50" s="265" t="str">
        <f>IF(SnapshotTable[[#This Row],[LC Premium]]&gt;0, SnapshotTable[[#This Row],[LC Next Target]] * SnapshotTable[[#This Row],[LC Qty]] * 100,"")</f>
        <v/>
      </c>
      <c r="DZ50" s="265" t="str">
        <f>IF(ISNUMBER(SnapshotTable[[#This Row],[LC Target Gross]]), SnapshotTable[[#This Row],[LC Target Gross]] - SnapshotTable[[#This Row],[LC Premium]], "")</f>
        <v/>
      </c>
      <c r="EA50" s="305" t="str">
        <f>IF(ISNUMBER(SnapshotTable[[#This Row],[LC Target Gain Loss]]), SnapshotTable[[#This Row],[LC Target Gain Loss]]/SnapshotTable[[#This Row],[LC Premium]], "")</f>
        <v/>
      </c>
      <c r="EB50" s="262"/>
      <c r="EC50" s="283" t="str">
        <f>IF(SnapshotTable[[#This Row],[LC Premium]]&gt;0, SnapshotTable[[#This Row],[LC Book Price]] * (1 - LC_StopLoss_Pct),"")</f>
        <v/>
      </c>
      <c r="ED50" s="284"/>
      <c r="EE50" s="283" t="str">
        <f>IF(ISNUMBER(SnapshotTable[[#This Row],[LC Contract Value]]),IF(ISNUMBER(SnapshotTable[[#This Row],[LC Stop Loss Override]]), SnapshotTable[[#This Row],[LC Stop Loss Override]],SnapshotTable[[#This Row],[LC Stop Loss Calc Target]]),"")</f>
        <v/>
      </c>
      <c r="EF50" s="31" t="str">
        <f>IF(ISNUMBER(SnapshotTable[[#This Row],[LC Stop  To Use]]), (SnapshotTable[[#This Row],[LC Stop  To Use]] * SnapshotTable[[#This Row],[LC Qty]] * 100),"")</f>
        <v/>
      </c>
      <c r="EG50" s="9" t="str">
        <f>IF(ISNUMBER(SnapshotTable[[#This Row],[LC Total Value]]),SnapshotTable[[#This Row],[LC Stop Loss Amount]] - SnapshotTable[[#This Row],[LC Premium]],"")</f>
        <v/>
      </c>
      <c r="EH50" s="9">
        <f>IF(ISNUMBER(SnapshotTable[[#This Row],[LC Premium]]), SnapshotTable[[#This Row],[LC Qty]] * 100 * SnapshotTable[[#This Row],[LC Strike Price]], "")</f>
        <v>0</v>
      </c>
      <c r="EI50" s="240" t="str">
        <f>IF(AND(ISNUMBER(SnapshotTable[[#This Row],[LC Total Value]]),SnapshotTable[[#This Row],[LC Total Value]]&gt;0),SnapshotTable[[#This Row],[LC Stop Gain Loss]]  / SnapshotTable[[#This Row],[LC Premium]],"")</f>
        <v/>
      </c>
      <c r="EJ50" s="35">
        <f>IF(ISNUMBER(SnapshotTable[[#This Row],[Equity Shares]]),TRUNC(SnapshotTable[[#This Row],[Equity Shares]] / 100),0) + SnapshotTable[[#This Row],[LC Qty]]</f>
        <v>0</v>
      </c>
      <c r="EK50" s="147"/>
      <c r="EL50" s="138" t="str">
        <f>IF(SnapshotTable[[#This Row],[SC Exp Date]]&lt;&gt;"",TRUNC(SnapshotTable[[#This Row],[Last Price]]),"")</f>
        <v/>
      </c>
      <c r="EM50" s="148"/>
      <c r="EN50" s="147"/>
      <c r="EO50" s="147"/>
      <c r="EP50" s="138"/>
      <c r="EQ50" s="419" t="b">
        <f>AND(ISNUMBER(SnapshotTable[[#This Row],[SC Exp Date]]), ISNUMBER(SnapshotTable[[#This Row],[SC Strike Price]]), ISNUMBER(SnapshotTable[[#This Row],[SC Qty]]), ISNUMBER(SnapshotTable[[#This Row],[SC Book Date]]), ISNUMBER(SnapshotTable[[#This Row],[SC Book Price]]))</f>
        <v>0</v>
      </c>
      <c r="ER50" s="419" t="b">
        <f>AND(SnapshotTable[[#This Row],[SC Is Booked]], NOT(ISBLANK(SnapshotTable[[#This Row],[SC Fill Date]])))</f>
        <v>0</v>
      </c>
      <c r="ES50" s="370"/>
      <c r="ET50" s="34" t="str">
        <f>IF(AND(ISNUMBER(SnapshotTable[[#This Row],[SC Exp Date]]), ISNUMBER(SnapshotTable[[#This Row],[SC Book Date]])), SnapshotTable[[#This Row],[SC Exp Date]] - MAX(SnapshotTable[[#This Row],[SC Book Date]], SnapshotTable[[#This Row],[SC Fill Date]]) + 1, "")</f>
        <v/>
      </c>
      <c r="EU50" s="34" t="str">
        <f>IF(ISNUMBER(SnapshotTable[[#This Row],[SC Term]]), SnapshotTable[[#This Row],[SC Exp Date]]- MockToday, "")</f>
        <v/>
      </c>
      <c r="EV50" s="31">
        <f>IF(SnapshotTable[[#This Row],[SC Is Booked]], SnapshotTable[[#This Row],[SC Qty]] * SnapshotTable[[#This Row],[SC Book Price]] * 100, 0)</f>
        <v>0</v>
      </c>
      <c r="EW50" s="4" t="str">
        <f>IF(AND(ISNUMBER(SnapshotTable[[#This Row],[Last Price]]), ISNUMBER( SnapshotTable[[#This Row],[SC Book Price]])), SnapshotTable[[#This Row],[Last Price]] - SnapshotTable[[#This Row],[SC Book Price]],"")</f>
        <v/>
      </c>
      <c r="EX50" s="234" t="str">
        <f>IF(SnapshotTable[[#This Row],[SC Is Booked]],IF(SnapshotTable[[#This Row],[SC Intrinsic Value]] &gt; 0, SnapshotTable[[#This Row],[SC Strike Price]], SnapshotTable[[#This Row],[Last Price]]), "")</f>
        <v/>
      </c>
      <c r="EY50" s="4">
        <f>IF(SnapshotTable[[#This Row],[SC Is Booked]], (MinimumPremiumRequired * SnapshotTable[[#This Row],[SC Basis]] * SnapshotTable[[#This Row],[SC Term]]), 0)</f>
        <v>0</v>
      </c>
      <c r="EZ50" s="283"/>
      <c r="FA50" s="218"/>
      <c r="FB50" s="370"/>
      <c r="FC50" s="4">
        <f>IF(SnapshotTable[[#This Row],[SC Is Filled]], btc_max_buyback_amount(SnapshotTable[[#This Row],[SC Fill Date]],SnapshotTable[[#This Row],[SC Exp Date]], SnapshotTable[[#This Row],[SC Book Price]]),0)</f>
        <v>0</v>
      </c>
      <c r="FD50" s="5"/>
      <c r="FE50" s="144" t="str">
        <f>IF(SnapshotTable[[#This Row],[SC Is Filled]], btc_next_cutoff_date(SnapshotTable[[#This Row],[SC Fill Date]],SnapshotTable[[#This Row],[SC Exp Date]]),"")</f>
        <v/>
      </c>
      <c r="FF50" s="4" t="str" cm="1">
        <f t="array" ref="FF50">IF(SnapshotTable[[#This Row],[SC Is Filled]], btc_should_buy_back(SnapshotTable[[#This Row],[SC Fill Date]], SnapshotTable[[#This Row],[SC Exp Date]], SnapshotTable[[#This Row],[SC Book Price]], SnapshotTable[[#This Row],[SC Current Ask]], MockToday, SnapshotTable[[#This Row],[SC Buyback Override]]),"")</f>
        <v/>
      </c>
      <c r="FG50" s="4">
        <f>IF(SnapshotTable[[#This Row],[SC Is Filled]], MAX(0,SnapshotTable[[#This Row],[Last Price]]  - SnapshotTable[[#This Row],[SC Strike Price]]), 0)</f>
        <v>0</v>
      </c>
      <c r="FH50" s="382">
        <f>IF(SnapshotTable[[#This Row],[SC Is Filled]], IF(ISNUMBER(SnapshotTable[[#This Row],[SC Current Ask]]), SnapshotTable[[#This Row],[SC Current Ask]], SnapshotTable[[#This Row],[SC Book Price]]) - SnapshotTable[[#This Row],[SC Intrinsic Value]], 0)</f>
        <v>0</v>
      </c>
      <c r="FI50" s="143"/>
      <c r="FJ50" s="32" t="str">
        <f>IF(SnapshotTable[[#This Row],[SC Is Filled]],100 * SnapshotTable[[#This Row],[SC Qty]] * IF(ISNUMBER(SnapshotTable[[#This Row],[SC Buyback Override]]), SnapshotTable[[#This Row],[SC Buyback Override]], SnapshotTable[[#This Row],[SC Current Ask]]), "")</f>
        <v/>
      </c>
      <c r="FK50" s="250" t="str">
        <f>IF(SnapshotTable[[#This Row],[SC Time Val]]&gt;0, SnapshotTable[[#This Row],[SC Time Val]] / SnapshotTable[[#This Row],[Last Price]],"")</f>
        <v/>
      </c>
      <c r="FL50" s="302" t="str">
        <f>IF(SnapshotTable[[#This Row],[SC Is Booked]], ((SnapshotTable[[#This Row],[Last Price]] -SnapshotTable[[#This Row],[SC Strike Price]]) / SnapshotTable[[#This Row],[Last Price]]) * -1, "")</f>
        <v/>
      </c>
      <c r="FM50" s="157" t="str">
        <f>IF(SnapshotTable[[#This Row],[SC Is Booked]],  (SnapshotTable[[#This Row],[SC Qty]] * 100 * SnapshotTable[[#This Row],[SC Strike Price]]) - SnapshotTable[[#This Row],[SC Current Ask]], "")</f>
        <v/>
      </c>
      <c r="FN5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0" s="31" t="str">
        <f>IF(AND(ISNUMBER(SnapshotTable[[#This Row],[SC Exercise Gross]]), ISNUMBER(SnapshotTable[[#This Row],[Equity Basis Per Share]] )), SnapshotTable[[#This Row],[SC Exercise Gross]] - SnapshotTable[[#This Row],[Equity Basis Total]] +  SnapshotTable[[#This Row],[SC Premium]], "")</f>
        <v/>
      </c>
      <c r="FP50" s="5" t="str">
        <f>IF(ISNUMBER(SnapshotTable[[#This Row],[SC Exercise Gross]]), (SnapshotTable[[#This Row],[SC Exercise Gross]]) / (SnapshotTable[[#This Row],[SC Qty]] * 100), "")</f>
        <v/>
      </c>
      <c r="FQ50" s="27" t="str">
        <f>IF(SnapshotTable[[#This Row],[SC Is Booked]],SnapshotTable[[#This Row],[SC Time Val]] /SnapshotTable[[#This Row],[SC Basis]], "")</f>
        <v/>
      </c>
      <c r="FR50" s="27" t="str" cm="1">
        <f t="array" ref="FR50">IF(AND(ISNUMBER(SnapshotTable[[#This Row],[SC Term]]),ISNUMBER(SnapshotTable[[#This Row],[SC Simple ROO]])), EllmanAnnualize(SnapshotTable[[#This Row],[SC DTE]], SnapshotTable[[#This Row],[SC Simple ROO]] ),"")</f>
        <v/>
      </c>
      <c r="FS50" s="4" t="e">
        <f>IF(SnapshotTable[[#This Row],[SC Strike Price]] &gt; SnapshotTable[[#This Row],[Last Price]], SnapshotTable[[#This Row],[SC Strike Price]] - SnapshotTable[[#This Row],[Last Price]],0)</f>
        <v>#VALUE!</v>
      </c>
      <c r="FT50" s="27" t="e">
        <f>IF(AND(ISNUMBER(SnapshotTable[[#This Row],[SC Upside Potential]]), SnapshotTable[[#This Row],[SC Upside Potential]] &gt; 0),(SnapshotTable[[#This Row],[SC Upside Potential]]/ SnapshotTable[[#This Row],[ACB]]),"")</f>
        <v>#VALUE!</v>
      </c>
      <c r="FU50" s="333" t="str">
        <f>IF(SnapshotTable[[#This Row],[SC Intrinsic Value]] &gt; 0,SnapshotTable[[#This Row],[SC Intrinsic Value]],"")</f>
        <v/>
      </c>
      <c r="FV50" s="27" t="str">
        <f>IF(AND( ISNUMBER( SnapshotTable[[#This Row],[ACB]]),ISNUMBER(SnapshotTable[[#This Row],[SC Downside Protect]])),SnapshotTable[[#This Row],[SC Downside Protect]] / SnapshotTable[[#This Row],[ACB]],"")</f>
        <v/>
      </c>
      <c r="FW50" s="236" t="str">
        <f>IF(AND(ISNUMBER(SnapshotTable[[#This Row],[SC Simple ROO]]),SnapshotTable[[#This Row],[SC Simple ROO]] &gt; 0), SnapshotTable[[#This Row],[SC Premium]] + (SnapshotTable[[#This Row],[SC Qty]] * SnapshotTable[[#This Row],[SC Upside Potential]]), "")</f>
        <v/>
      </c>
      <c r="FX50" s="302" t="str" cm="1">
        <f t="array" ref="FX50">IF(ISNUMBER(SnapshotTable[[#This Row],[SC Max Dollars]]), annualize(SnapshotTable[[#This Row],[SC Term]],(SnapshotTable[[#This Row],[SC Max Dollars]]/SnapshotTable[[#This Row],[SC Basis]])),"")</f>
        <v/>
      </c>
      <c r="FY50" s="236" t="str">
        <f>IF(AND(SnapshotTable[[#This Row],[SC Qty]]&gt;0,SnapshotTable[[#This Row],[SC Current Ask]]&gt;0), SnapshotTable[[#This Row],[SC Qty]] * SnapshotTable[[#This Row],[SC Current Ask]] * -100, "")</f>
        <v/>
      </c>
      <c r="FZ50" s="31" t="str">
        <f>IF(ISNUMBER((SnapshotTable[[#This Row],[SC Current Value]])), SnapshotTable[[#This Row],[SC Premium]] + SnapshotTable[[#This Row],[SC Current Value]], "")</f>
        <v/>
      </c>
      <c r="GA50" s="294" t="str">
        <f>IFERROR( IF(ISNUMBER((SnapshotTable[[#This Row],[SC Current Value]])), SnapshotTable[[#This Row],[SC Gain Loss]] / SnapshotTable[[#This Row],[SC Premium]], ""), "")</f>
        <v/>
      </c>
      <c r="GB50" s="42">
        <f>SnapshotTable[[#This Row],[Equity Shares]] * SaleSharesToConsiderPercentage</f>
        <v>0</v>
      </c>
      <c r="GC50" s="40">
        <f>SnapshotTable[[#This Row],[Long Term Target]] * SellingPriceToConsiderBasedOnTargetPercentage</f>
        <v>4.5125000000000002</v>
      </c>
      <c r="GD50" s="40">
        <f>SnapshotTable[[#This Row],[Last Price]] * (1+ SellingPriceToConsiderBasedOnTargetPercentage)</f>
        <v>17.452499999999997</v>
      </c>
      <c r="GE50" s="41"/>
      <c r="GF50" s="40"/>
      <c r="GG50" s="31">
        <f>SnapshotTable[[#This Row],[Booked Sale Shares]] * SnapshotTable[[#This Row],[Booked Sale Price]]</f>
        <v>0</v>
      </c>
      <c r="GH50" s="31" t="str">
        <f>IF(SnapshotTable[[#This Row],[Equity Basis Total]] &gt; 0, SnapshotTable[[#This Row],[Equity Basis Per Share]] * SnapshotTable[[#This Row],[Booked Sale Shares]], "")</f>
        <v/>
      </c>
      <c r="GI50" s="31">
        <f>IF(SnapshotTable[[#This Row],[Sale Proceeds]]&gt;0, SnapshotTable[[#This Row],[Sale Proceeds]] - SnapshotTable[[#This Row],[Sale Basis]], 0)</f>
        <v>0</v>
      </c>
      <c r="GJ50" s="27" t="str">
        <f>IF(SnapshotTable[[#This Row],[Sale G/L]]&gt;0, SnapshotTable[[#This Row],[Sale G/L]] / SnapshotTable[[#This Row],[Sale Basis]], IF(ISNUMBER(SnapshotTable[[#This Row],[SC Exercise P&amp;L (TAX)]]), SnapshotTable[[#This Row],[SC Exercise P&amp;L (TAX)]] / SnapshotTable[[#This Row],[SC Basis]], ""))</f>
        <v/>
      </c>
      <c r="GK50" s="27"/>
      <c r="GL50" s="43" t="str">
        <f>IF(AND(SnapshotTable[[#This Row],[LP Exp Date]]&gt;0,SnapshotTable[[#This Row],[LP Strike Price]]&gt;0), [1]!ToOptionSymbol(SnapshotTable[[#This Row],[Symbol]], SnapshotTable[[#This Row],[LP Strike Price]],SnapshotTable[[#This Row],[LP Exp Date]],1), "")</f>
        <v/>
      </c>
      <c r="GM50" s="30" t="str">
        <f>IF(LEN(SnapshotTable[[#This Row],[LP Symbol]])&gt;0, 1, "")</f>
        <v/>
      </c>
      <c r="GN50" s="43" t="str">
        <f>IF(AND(SnapshotTable[[#This Row],[SP Exp Date]]&gt;0,SnapshotTable[[#This Row],[SP Strike Price]]&gt;0), [1]!ToOptionSymbol(SnapshotTable[[#This Row],[Symbol]], SnapshotTable[[#This Row],[SP Strike Price]],SnapshotTable[[#This Row],[SP Exp Date]],1), "")</f>
        <v/>
      </c>
      <c r="GO50" s="30" t="str">
        <f>IF(LEN(SnapshotTable[[#This Row],[SP Symbol]])&gt;0, 1, "")</f>
        <v/>
      </c>
      <c r="GP50" s="43" t="str">
        <f>IF(AND(SnapshotTable[[#This Row],[LC Exp Date]]&gt;0,SnapshotTable[[#This Row],[LC Strike Price]]&gt;0), [1]!ToOptionSymbol(SnapshotTable[[#This Row],[Symbol]], SnapshotTable[[#This Row],[LC Strike Price]],SnapshotTable[[#This Row],[LC Exp Date]],0), "")</f>
        <v/>
      </c>
      <c r="GQ50" s="30" t="str">
        <f>IF(LEN(SnapshotTable[[#This Row],[LC Symbol]])&gt;0, 1, "")</f>
        <v/>
      </c>
      <c r="GR50" s="43" t="str">
        <f>IF(AND(SnapshotTable[[#This Row],[SC Exp Date]]&gt;0,SnapshotTable[[#This Row],[SC Strike Price]]&gt;0), [1]!ToOptionSymbol(SnapshotTable[[#This Row],[Symbol]], SnapshotTable[[#This Row],[SC Strike Price]],SnapshotTable[[#This Row],[SC Exp Date]],0), "")</f>
        <v/>
      </c>
      <c r="GS50" s="30" t="str">
        <f>IF(LEN(SnapshotTable[[#This Row],[SC Symbol]])&gt;0, 1, "")</f>
        <v/>
      </c>
      <c r="GT50" s="29" t="str">
        <f>IF(COUNT(SnapshotTable[[#This Row],[LP Symbol Count]],SnapshotTable[[#This Row],[SP Symbol Count]],SnapshotTable[[#This Row],[LC Symbol Count]],SnapshotTable[[#This Row],[SC Symbol Count]])&gt;0, "Y", "")</f>
        <v/>
      </c>
      <c r="GU5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0" s="231" t="e">
        <f>MAX(SnapshotTable[[#This Row],[Equity Basis Total]],SnapshotTable[[#This Row],[Equity Value]]) + (SnapshotTable[[#This Row],[SP Potential Spend]]- SnapshotTable[[#This Row],[SP Premium]] + SnapshotTable[[#This Row],[LP Premium]])+ (SnapshotTable[[#This Row],[LC Premium]] - SnapshotTable[[#This Row],[SC Premium]])</f>
        <v>#VALUE!</v>
      </c>
      <c r="GW50" s="139" t="e">
        <f>IF(AND(SnapshotTable[[#This Row],[Exposure]] &lt;&gt; 0),SnapshotTable[[#This Row],[Exposure]] / SnapshotTable[[#Totals],[Exposure]], "")</f>
        <v>#VALUE!</v>
      </c>
      <c r="HE50" s="268"/>
      <c r="HF50" s="268"/>
      <c r="HK50" s="1"/>
      <c r="HL50" s="1"/>
      <c r="HM50" s="1"/>
      <c r="HN50" s="1"/>
      <c r="HO50" s="1"/>
      <c r="HP50" s="1"/>
    </row>
    <row r="51" spans="2:224" ht="12.75" hidden="1" customHeight="1" x14ac:dyDescent="0.25">
      <c r="B51" s="12" t="s">
        <v>147</v>
      </c>
      <c r="C51" s="422">
        <v>5.15</v>
      </c>
      <c r="D51" s="208"/>
      <c r="E51" s="39">
        <f>SnapshotTable[[#This Row],[Last Price]]*(1 -CrashDiscount)</f>
        <v>4.3775000000000004</v>
      </c>
      <c r="F51" s="26" t="s">
        <v>907</v>
      </c>
      <c r="G51" s="26" t="s">
        <v>610</v>
      </c>
      <c r="H51" s="149"/>
      <c r="I51" s="194">
        <v>44755.3125</v>
      </c>
      <c r="J51" s="195">
        <v>44755.3125</v>
      </c>
      <c r="K51" s="196"/>
      <c r="L51" s="326"/>
      <c r="M51" s="140"/>
      <c r="N51" s="140"/>
      <c r="O51" s="140">
        <v>4</v>
      </c>
      <c r="P51" s="22"/>
      <c r="Q51" s="25"/>
      <c r="R51" s="4" t="str">
        <f>IF(SnapshotTable[[#This Row],[Equity Basis Total]] &gt; 0, SnapshotTable[[#This Row],[Equity Basis Total]] / SnapshotTable[[#This Row],[Equity Shares]], "")</f>
        <v/>
      </c>
      <c r="S51" s="269">
        <f>SnapshotTable[[#This Row],[Last Price]] * SnapshotTable[[#This Row],[Equity Shares]]</f>
        <v>0</v>
      </c>
      <c r="T51" s="269">
        <f>SnapshotTable[[#This Row],[Equity Value]] - SnapshotTable[[#This Row],[Equity Basis Total]]</f>
        <v>0</v>
      </c>
      <c r="U51" s="270" t="str">
        <f>IF(SnapshotTable[[#This Row],[Equity Basis Total]] &gt; 0, SnapshotTable[[#This Row],[Equity G/L]] / SnapshotTable[[#This Row],[Equity Basis Total]], "")</f>
        <v/>
      </c>
      <c r="V51" s="268"/>
      <c r="W51" s="268"/>
      <c r="X51" s="4" t="str">
        <f>IF(AND(ISNUMBER(SnapshotTable[[#This Row],[Equity Basis Per Share]]),ISNUMBER(SnapshotTable[[#This Row],[Equity Target]])),SnapshotTable[[#This Row],[Equity Target]]-SnapshotTable[[#This Row],[Equity Basis Per Share]],"")</f>
        <v/>
      </c>
      <c r="Y51" s="4" t="str">
        <f>IF(AND(ISNUMBER(SnapshotTable[[#This Row],[Equity Basis Per Share]]),ISNUMBER(SnapshotTable[[#This Row],[Equity Stop Loss]])),SnapshotTable[[#This Row],[Equity Stop Loss]]-SnapshotTable[[#This Row],[Equity Basis Per Share]],"")</f>
        <v/>
      </c>
      <c r="Z51" s="275" t="str">
        <f>IFERROR( TEXT(SnapshotTable[[#This Row],[Equity Max Gain Per Share]] /ABS( SnapshotTable[[#This Row],[Equity Max Loss Per Share]]),"0.0 " ) &amp; " : 1", "")</f>
        <v/>
      </c>
      <c r="AA51" s="31" t="str">
        <f>IF(ISNUMBER(SnapshotTable[[#This Row],[Equity Max Gain Per Share]]),SnapshotTable[[#This Row],[Equity Max Gain Per Share]] * SnapshotTable[[#This Row],[Equity Shares]],"")</f>
        <v/>
      </c>
      <c r="AB51" s="31" t="str">
        <f>IF(ISNUMBER(SnapshotTable[[#This Row],[Equity Max Loss Per Share]]),SnapshotTable[[#This Row],[Equity Max Loss Per Share]] * SnapshotTable[[#This Row],[Equity Shares]],"")</f>
        <v/>
      </c>
      <c r="AC51" s="150">
        <v>0.6</v>
      </c>
      <c r="AD51" s="151">
        <v>43116</v>
      </c>
      <c r="AE51" s="31">
        <f>(SnapshotTable[[#This Row],[Annual Dividend Per Share]] / 4) * SnapshotTable[[#This Row],[Equity Shares]]</f>
        <v>0</v>
      </c>
      <c r="AF51" s="31">
        <f>SnapshotTable[[#This Row],[Quarterly Div $]] * 4</f>
        <v>0</v>
      </c>
      <c r="AG51" s="7">
        <f>IF(SnapshotTable[[#This Row],[Annual Dividend Per Share]]&gt;0, SnapshotTable[[#This Row],[Annual Dividend Per Share]]  / SnapshotTable[[#This Row],[Last Price]], 0)</f>
        <v>0.11650485436893203</v>
      </c>
      <c r="AH51" s="151">
        <v>43266</v>
      </c>
      <c r="AI51" s="5"/>
      <c r="AJ51" s="138">
        <v>27.65</v>
      </c>
      <c r="AK51" s="152" t="str">
        <f>IF(ISNUMBER( SnapshotTable[[#This Row],[EBF Target]]),(SnapshotTable[[#This Row],[EBF Target]] - SnapshotTable[[#This Row],[Last Price]]) / SnapshotTable[[#This Row],[Last Price]], "")</f>
        <v/>
      </c>
      <c r="AL51" s="152" t="str">
        <f>IF(AND(SnapshotTable[[#This Row],[Equity Basis Total]] &gt; 0,ISNUMBER( SnapshotTable[[#This Row],[Long Term Target]])), SnapshotTable[[#This Row],[From Basis $]] / SnapshotTable[[#This Row],[Equity Basis Total]], "")</f>
        <v/>
      </c>
      <c r="AM51" s="9">
        <f>IF( AND(SnapshotTable[[#This Row],[Equity Shares]] &gt;0,ISNUMBER( SnapshotTable[[#This Row],[Long Term Target]])),(SnapshotTable[[#This Row],[Equity Shares]] * SnapshotTable[[#This Row],[Long Term Target]]) - SnapshotTable[[#This Row],[Equity Basis Total]],0)</f>
        <v>0</v>
      </c>
      <c r="AN51" s="9">
        <f>IF( AND(SnapshotTable[[#This Row],[Equity Shares]] &gt;0,ISNUMBER( SnapshotTable[[#This Row],[Long Term Target]])),(SnapshotTable[[#This Row],[Equity Shares]]*SnapshotTable[[#This Row],[Long Term Target]]) - SnapshotTable[[#This Row],[Equity Value]],0)</f>
        <v>0</v>
      </c>
      <c r="AO51" s="152">
        <f>IF(AND(ISNUMBER( SnapshotTable[[#This Row],[Long Term Target]]), ISNUMBER(SnapshotTable[[#This Row],[Last Price]])),(SnapshotTable[[#This Row],[Long Term Target]] - SnapshotTable[[#This Row],[Last Price]]) / SnapshotTable[[#This Row],[Last Price]], "")</f>
        <v>4.3689320388349513</v>
      </c>
      <c r="AP51" s="5"/>
      <c r="AQ51" s="38"/>
      <c r="AR51" s="5"/>
      <c r="AS51" s="38"/>
      <c r="AT51" s="146"/>
      <c r="AU51" s="187" t="str">
        <f>IF(OR(SnapshotTable[[#This Row],[LP No Fill]]="Y",SnapshotTable[[#This Row],[SP Is Filled]],SnapshotTable[[#This Row],[LC Not Filled]]="Y",SnapshotTable[[#This Row],[SC Is Filled]]),"Y","")</f>
        <v/>
      </c>
      <c r="AV51" s="219"/>
      <c r="AW51" s="225"/>
      <c r="AX51" s="220"/>
      <c r="AY51" s="219" t="str">
        <f>IF(SnapshotTable[[#This Row],[Implied Move]]&gt;0, SnapshotTable[[#This Row],[Last Price]]-SnapshotTable[[#This Row],[Implied Move]],"")</f>
        <v/>
      </c>
      <c r="AZ51" s="219" t="str">
        <f>IF(SnapshotTable[[#This Row],[Implied Move]]&gt;0, SnapshotTable[[#This Row],[Last Price]] + SnapshotTable[[#This Row],[Implied Move]],"")</f>
        <v/>
      </c>
      <c r="BA51" s="331"/>
      <c r="BB51" s="347"/>
      <c r="BC5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1" s="351"/>
      <c r="BE51" s="5"/>
      <c r="BF51" s="14"/>
      <c r="BG51" s="13"/>
      <c r="BH51" s="13"/>
      <c r="BI51" s="5"/>
      <c r="BJ51" s="136">
        <f>IF(SnapshotTable[[#This Row],[LP Qty]] &gt; 0, SnapshotTable[[#This Row],[LP Qty]] * SnapshotTable[[#This Row],[LP Book Price]] * 100,0)</f>
        <v>0</v>
      </c>
      <c r="BK51" s="136">
        <f>IF(SnapshotTable[[#This Row],[LP Premium]] &gt; 0, SnapshotTable[[#This Row],[LP Qty]] * SnapshotTable[[#This Row],[LP Strike Price]] * 100,0)</f>
        <v>0</v>
      </c>
      <c r="BL51" s="154"/>
      <c r="BM51" s="385" t="str">
        <f>IF(SnapshotTable[[#This Row],[LP Premium]] &gt; 0,SnapshotTable[[#This Row],[LP Exp Date]]-MAX(SnapshotTable[[#This Row],[LP Book Date]], SnapshotTable[[#This Row],[LP Fill Date]]),"")</f>
        <v/>
      </c>
      <c r="BN51" s="385" t="str">
        <f>IF(ISNUMBER( SnapshotTable[[#This Row],[LP Term]]), SnapshotTable[[#This Row],[LP Exp Date]] - MockToday,"")</f>
        <v/>
      </c>
      <c r="BO51" s="163" t="str">
        <f>IF(AND(SnapshotTable[[#This Row],[LP Exp Date]]&gt;0, SnapshotTable[[#This Row],[LP Strike Price]]&gt;0,SnapshotTable[[#This Row],[LP Qty]]&gt;0,SnapshotTable[[#This Row],[LP Book Date]]&gt;0,SnapshotTable[[#This Row],[LP Book Price]]&gt;0,SnapshotTable[[#This Row],[LP Fill Date]]=0),"Y","")</f>
        <v/>
      </c>
      <c r="BP51" s="31" t="str">
        <f>IF(AND(SnapshotTable[[#This Row],[LP No Fill]]&lt;&gt;"Y",SnapshotTable[[#This Row],[LP Contract Value]]&gt;0, SnapshotTable[[#This Row],[LP Qty]]&gt;0), SnapshotTable[[#This Row],[LP Contract Value]]*SnapshotTable[[#This Row],[LP Qty]]*100,"")</f>
        <v/>
      </c>
      <c r="BQ51" s="13"/>
      <c r="BR51" s="5" t="str">
        <f>IF(SnapshotTable[[#This Row],[SP Exp Date]]&lt;&gt;"",TRUNC(SnapshotTable[[#This Row],[Last Price]]),"")</f>
        <v/>
      </c>
      <c r="BS51" s="36"/>
      <c r="BT51" s="147"/>
      <c r="BU51" s="13"/>
      <c r="BV51" s="5"/>
      <c r="BW51" s="419" t="b">
        <f>AND(ISNUMBER(SnapshotTable[[#This Row],[SP Exp Date]]), ISNUMBER(SnapshotTable[[#This Row],[SP Strike Price]]), ISNUMBER(SnapshotTable[[#This Row],[SP Qty]]), ISNUMBER(SnapshotTable[[#This Row],[SP Book Date]]), ISNUMBER(SnapshotTable[[#This Row],[SP Book Price]]))</f>
        <v>0</v>
      </c>
      <c r="BX51" s="419" t="b">
        <f>AND(SnapshotTable[[#This Row],[SP Is Booked]], NOT(ISBLANK(SnapshotTable[[#This Row],[SP Fill Date]])))</f>
        <v>0</v>
      </c>
      <c r="BY51" s="33">
        <f>IF(SnapshotTable[[#This Row],[SP Is Booked]], SnapshotTable[[#This Row],[SP Qty]] * SnapshotTable[[#This Row],[SP Book Price]] * 100, 0)</f>
        <v>0</v>
      </c>
      <c r="BZ51" s="369"/>
      <c r="CA51" s="368">
        <f>SnapshotTable[[#This Row],[LP Qty]]</f>
        <v>0</v>
      </c>
      <c r="CB51" s="4" t="str">
        <f>IF(SnapshotTable[[#This Row],[SP Is Booked]], SnapshotTable[[#This Row],[SP Strike Price]] - SnapshotTable[[#This Row],[SP Book Price]], "")</f>
        <v/>
      </c>
      <c r="CC51" s="19" t="str">
        <f>IF(SnapshotTable[[#This Row],[SP Is Booked]],SnapshotTable[[#This Row],[SP Exp Date]]-MAX(SnapshotTable[[#This Row],[SP Book Date]], SnapshotTable[[#This Row],[SP Fill Date]]),"")</f>
        <v/>
      </c>
      <c r="CD51" s="7" t="str">
        <f>IF(SnapshotTable[[#This Row],[SP Is Booked]], SnapshotTable[[#This Row],[SP Book Price]]/SnapshotTable[[#This Row],[SP Strike Price]], "")</f>
        <v/>
      </c>
      <c r="CE51" s="7" t="str">
        <f>IF(ISNUMBER(SnapshotTable[[#This Row],[SP ROO Term]]),SnapshotTable[[#This Row],[SP ROO Term]]*(365/SnapshotTable[[#This Row],[SP Term]]),"")</f>
        <v/>
      </c>
      <c r="CF51" s="236">
        <f>SnapshotTable[[#This Row],[LP Strike Price]] * SnapshotTable[[#This Row],[LP Qty]] * 100</f>
        <v>0</v>
      </c>
      <c r="CG51" s="31" t="e">
        <f>IF(ISNUMBER(SnapshotTable[[#This Row],[SP Premium]]), (SnapshotTable[[#This Row],[SP Qty]] * SnapshotTable[[#This Row],[SP Strike Price]]* 100) - SnapshotTable[[#This Row],[LP Protection]], 0)</f>
        <v>#VALUE!</v>
      </c>
      <c r="CH51" s="7" t="str">
        <f>IF(ISNUMBER(SnapshotTable[[#This Row],[SP Break Even]]),-1 * (SnapshotTable[[#This Row],[SP Break Even]] - SnapshotTable[[#This Row],[Last Price]]) / SnapshotTable[[#This Row],[Last Price]], "")</f>
        <v/>
      </c>
      <c r="CI51" s="31">
        <f>IF(AND(ISNUMBER((SnapshotTable[[#This Row],[SP Potential Spend]])), SnapshotTable[[#This Row],[SP Strike Price]] &gt; SnapshotTable[[#This Row],[Last Price]], SnapshotTable[[#This Row],[SP Is Filled]]), SnapshotTable[[#This Row],[SP Potential Spend]] -  SnapshotTable[[#This Row],[LP Max Value]], 0)</f>
        <v>0</v>
      </c>
      <c r="CJ51" s="244"/>
      <c r="CK51" s="31" t="str">
        <f>IF(ISNUMBER(SnapshotTable[[#This Row],[SP Potential Spend]]),IF(ISNUMBER(SnapshotTable[[#This Row],[SP POW]]), SnapshotTable[[#This Row],[SP POW]] * SnapshotTable[[#This Row],[SP Potential Spend]], SnapshotTable[[#This Row],[SP Potential Spend]]), "")</f>
        <v/>
      </c>
      <c r="CL51" s="164" t="e">
        <f>IF(NOT(SnapshotTable[[#This Row],[SP Is Filled]]),(SnapshotTable[[#This Row],[SP Qty]] * SnapshotTable[[#This Row],[SP Strike Price]] * 100) - SnapshotTable[[#This Row],[LP Max Value]],"")</f>
        <v>#VALUE!</v>
      </c>
      <c r="CM51" s="31" t="str">
        <f>IF(SnapshotTable[[#This Row],[SP Actual Spend]]&lt;&gt;0, ((SnapshotTable[[#This Row],[SP Strike Price]]-SnapshotTable[[#This Row],[Last Price]]) *(SnapshotTable[[#This Row],[SP Qty]]*100) - SnapshotTable[[#This Row],[SP Premium]]) * - 1, "")</f>
        <v/>
      </c>
      <c r="CN51" s="78"/>
      <c r="CO51" s="369"/>
      <c r="CP51" s="4" t="str">
        <f>IF(SnapshotTable[[#This Row],[SP Is Filled]], btc_max_buyback_amount(SnapshotTable[[#This Row],[SP Fill Date]],SnapshotTable[[#This Row],[SP Exp Date]], SnapshotTable[[#This Row],[SP Book Price]]),"")</f>
        <v/>
      </c>
      <c r="CQ51" s="78"/>
      <c r="CR5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1" s="155" t="str">
        <f>IF(SnapshotTable[[#This Row],[SP Is Filled]], btc_next_cutoff_date(SnapshotTable[[#This Row],[SP Fill Date]],SnapshotTable[[#This Row],[SP Exp Date]]),"")</f>
        <v/>
      </c>
      <c r="CT51" s="235" t="str" cm="1">
        <f t="array" ref="CT51">IF(SnapshotTable[[#This Row],[SP Is Filled]], btc_should_buy_back(SnapshotTable[[#This Row],[SP Fill Date]], SnapshotTable[[#This Row],[SP Exp Date]], SnapshotTable[[#This Row],[SP Book Price]], SnapshotTable[[#This Row],[SP Current Ask]], MockToday, SnapshotTable[[#This Row],[SP Buyback Override]]),"")</f>
        <v/>
      </c>
      <c r="CU51" s="143">
        <v>44883</v>
      </c>
      <c r="CV51" s="235"/>
      <c r="CW51" s="378" t="str">
        <f>IF(ISNUMBER( SnapshotTable[[#This Row],[SP Term]]), SnapshotTable[[#This Row],[SP Exp Date]] - MockToday,"")</f>
        <v/>
      </c>
      <c r="CX51" s="31" t="str">
        <f>IF(SnapshotTable[[#This Row],[SP Is Filled]],SnapshotTable[[#This Row],[SP Buyback Price to Use]] * 100 * SnapshotTable[[#This Row],[SP Qty]], "")</f>
        <v/>
      </c>
      <c r="CY51" s="4" t="str">
        <f>IF(ISNUMBER(SnapshotTable[[#This Row],[SP Strike Price]]), SnapshotTable[[#This Row],[SP Strike Price]] * (1 - SP_MaxLoss_StrikePct), "")</f>
        <v/>
      </c>
      <c r="CZ51" s="31" t="str">
        <f>IF(ISNUMBER(SnapshotTable[[#This Row],[SP Strike  Stop Per Share]]),SnapshotTable[[#This Row],[SP Premium]] - ((SnapshotTable[[#This Row],[SP Strike Price]]-SnapshotTable[[#This Row],[SP Strike  Stop Per Share]]) *(SnapshotTable[[#This Row],[SP Qty]] * 100)),"")</f>
        <v/>
      </c>
      <c r="DA51" s="4" t="str">
        <f>IF(AND(ISNUMBER(SnapshotTable[[#This Row],[SP Premium]]),SnapshotTable[[#This Row],[SP Premium]]&gt;0), SnapshotTable[[#This Row],[SP Book Price]] * (1 + SP_MaxLoss_OptionPct), "")</f>
        <v/>
      </c>
      <c r="DB51" s="31" t="str">
        <f>IF(ISNUMBER(SnapshotTable[[#This Row],[SP Option  Stop Contract]]),(SnapshotTable[[#This Row],[SP Option  Stop Contract]] *(SnapshotTable[[#This Row],[SP Qty]] * 100) - SnapshotTable[[#This Row],[SP Premium]]),"")</f>
        <v/>
      </c>
      <c r="DC51" s="4"/>
      <c r="DD51" s="4"/>
      <c r="DE51" s="4" t="str">
        <f>IF(AND(SnapshotTable[[#This Row],[SP Qty]]&gt;0, SnapshotTable[[#This Row],[SP Stop To Use]]&gt;0),SnapshotTable[[#This Row],[SP Premium]] - ( SnapshotTable[[#This Row],[SP Qty]] * SnapshotTable[[#This Row],[SP Stop To Use]] * 100), "")</f>
        <v/>
      </c>
      <c r="DF51" s="31" t="str">
        <f>IF(AND(SnapshotTable[[#This Row],[SP Qty]]&gt;0,SnapshotTable[[#This Row],[SP Current Ask]]&gt;0), SnapshotTable[[#This Row],[SP Qty]] * SnapshotTable[[#This Row],[SP Current Ask]] * -100, "")</f>
        <v/>
      </c>
      <c r="DG51" s="31" t="str">
        <f>IF(ISNUMBER((SnapshotTable[[#This Row],[SP Total Value]])), SnapshotTable[[#This Row],[SP Premium]] + SnapshotTable[[#This Row],[SP Total Value]], "")</f>
        <v/>
      </c>
      <c r="DH51" s="294" t="str">
        <f>IF(ISNUMBER((SnapshotTable[[#This Row],[SP Total Value]])), SnapshotTable[[#This Row],[SP Gain Loss]] / SnapshotTable[[#This Row],[SP Premium]], "")</f>
        <v/>
      </c>
      <c r="DI51" s="406"/>
      <c r="DJ51" s="138"/>
      <c r="DK51" s="148"/>
      <c r="DL51" s="13"/>
      <c r="DM51" s="13"/>
      <c r="DO51" s="31">
        <f>IF(SnapshotTable[[#This Row],[LC Symbol Count]]=1, SnapshotTable[[#This Row],[LC Qty]] * SnapshotTable[[#This Row],[LC Book Price]] * 100, 0)</f>
        <v>0</v>
      </c>
      <c r="DP51" s="163" t="str">
        <f>IF(AND(SnapshotTable[[#This Row],[LC Exp Date]]&gt;0, SnapshotTable[[#This Row],[LC Strike Price]]&gt;0,SnapshotTable[[#This Row],[LC Qty]]&gt;0,SnapshotTable[[#This Row],[LC Book Date]]&gt;0,SnapshotTable[[#This Row],[LC Book Price]]&gt;0,SnapshotTable[[#This Row],[LC Fill Date]]=0),"Y","")</f>
        <v/>
      </c>
      <c r="DQ51" s="386" t="str">
        <f>IF(SnapshotTable[[#This Row],[LC Premium]] &gt; 0,SnapshotTable[[#This Row],[LC Exp Date]]-MAX(SnapshotTable[[#This Row],[LC Book Date]], SnapshotTable[[#This Row],[LC Fill Date]]),"")</f>
        <v/>
      </c>
      <c r="DR51" s="386" t="str">
        <f>IF(ISNUMBER(SnapshotTable[[#This Row],[LC Term]]), SnapshotTable[[#This Row],[LC Exp Date]] - MockToday, "")</f>
        <v/>
      </c>
      <c r="DS51" s="234" t="str">
        <f>IF(SnapshotTable[[#This Row],[LC Premium]]&gt;0,SnapshotTable[[#This Row],[LC Strike Price]] + SnapshotTable[[#This Row],[LC Book Price]],"")</f>
        <v/>
      </c>
      <c r="DU51" s="9" t="str">
        <f>IF(AND(SnapshotTable[[#This Row],[LC Symbol Count]]&gt;0, SnapshotTable[[#This Row],[LC Contract Value]]&gt;0), SnapshotTable[[#This Row],[LC Contract Value]] * SnapshotTable[[#This Row],[LC Qty]] * 100, "")</f>
        <v/>
      </c>
      <c r="DV51" s="9" t="str">
        <f>IF(AND(ISNUMBER(SnapshotTable[[#This Row],[LC Total Value]]), SnapshotTable[[#This Row],[LC Not Filled]]&lt;&gt;"Y"), SnapshotTable[[#This Row],[LC Total Value]]-SnapshotTable[[#This Row],[LC Premium]],"")</f>
        <v/>
      </c>
      <c r="DW51" s="240" t="str">
        <f>IF(ISNUMBER(SnapshotTable[[#This Row],[LC Actual Gain Loss]]), SnapshotTable[[#This Row],[LC Actual Gain Loss]] / SnapshotTable[[#This Row],[LC Premium]],"")</f>
        <v/>
      </c>
      <c r="DX51" s="284" t="str">
        <f>IF(ISNUMBER(SnapshotTable[[#This Row],[LC Book Price]]),SnapshotTable[[#This Row],[LC Book Price]] * 1.5,"")</f>
        <v/>
      </c>
      <c r="DY51" s="265" t="str">
        <f>IF(SnapshotTable[[#This Row],[LC Premium]]&gt;0, SnapshotTable[[#This Row],[LC Next Target]] * SnapshotTable[[#This Row],[LC Qty]] * 100,"")</f>
        <v/>
      </c>
      <c r="DZ51" s="265" t="str">
        <f>IF(ISNUMBER(SnapshotTable[[#This Row],[LC Target Gross]]), SnapshotTable[[#This Row],[LC Target Gross]] - SnapshotTable[[#This Row],[LC Premium]], "")</f>
        <v/>
      </c>
      <c r="EA51" s="305" t="str">
        <f>IF(ISNUMBER(SnapshotTable[[#This Row],[LC Target Gain Loss]]), SnapshotTable[[#This Row],[LC Target Gain Loss]]/SnapshotTable[[#This Row],[LC Premium]], "")</f>
        <v/>
      </c>
      <c r="EB51" s="262"/>
      <c r="EC51" s="283" t="str">
        <f>IF(SnapshotTable[[#This Row],[LC Premium]]&gt;0, SnapshotTable[[#This Row],[LC Book Price]] * (1 - LC_StopLoss_Pct),"")</f>
        <v/>
      </c>
      <c r="ED51" s="284"/>
      <c r="EE51" s="283" t="str">
        <f>IF(ISNUMBER(SnapshotTable[[#This Row],[LC Contract Value]]),IF(ISNUMBER(SnapshotTable[[#This Row],[LC Stop Loss Override]]), SnapshotTable[[#This Row],[LC Stop Loss Override]],SnapshotTable[[#This Row],[LC Stop Loss Calc Target]]),"")</f>
        <v/>
      </c>
      <c r="EF51" s="31" t="str">
        <f>IF(ISNUMBER(SnapshotTable[[#This Row],[LC Stop  To Use]]), (SnapshotTable[[#This Row],[LC Stop  To Use]] * SnapshotTable[[#This Row],[LC Qty]] * 100),"")</f>
        <v/>
      </c>
      <c r="EG51" s="9" t="str">
        <f>IF(ISNUMBER(SnapshotTable[[#This Row],[LC Total Value]]),SnapshotTable[[#This Row],[LC Stop Loss Amount]] - SnapshotTable[[#This Row],[LC Premium]],"")</f>
        <v/>
      </c>
      <c r="EH51" s="9">
        <f>IF(ISNUMBER(SnapshotTable[[#This Row],[LC Premium]]), SnapshotTable[[#This Row],[LC Qty]] * 100 * SnapshotTable[[#This Row],[LC Strike Price]], "")</f>
        <v>0</v>
      </c>
      <c r="EI51" s="240" t="str">
        <f>IF(AND(ISNUMBER(SnapshotTable[[#This Row],[LC Total Value]]),SnapshotTable[[#This Row],[LC Total Value]]&gt;0),SnapshotTable[[#This Row],[LC Stop Gain Loss]]  / SnapshotTable[[#This Row],[LC Premium]],"")</f>
        <v/>
      </c>
      <c r="EJ51" s="35">
        <f>IF(ISNUMBER(SnapshotTable[[#This Row],[Equity Shares]]),TRUNC(SnapshotTable[[#This Row],[Equity Shares]] / 100),0) + SnapshotTable[[#This Row],[LC Qty]]</f>
        <v>0</v>
      </c>
      <c r="EK51" s="147"/>
      <c r="EL51" s="138" t="str">
        <f>IF(SnapshotTable[[#This Row],[SC Exp Date]]&lt;&gt;"",TRUNC(SnapshotTable[[#This Row],[Last Price]]),"")</f>
        <v/>
      </c>
      <c r="EM51" s="148"/>
      <c r="EN51" s="147"/>
      <c r="EO51" s="147"/>
      <c r="EP51" s="138"/>
      <c r="EQ51" s="419" t="b">
        <f>AND(ISNUMBER(SnapshotTable[[#This Row],[SC Exp Date]]), ISNUMBER(SnapshotTable[[#This Row],[SC Strike Price]]), ISNUMBER(SnapshotTable[[#This Row],[SC Qty]]), ISNUMBER(SnapshotTable[[#This Row],[SC Book Date]]), ISNUMBER(SnapshotTable[[#This Row],[SC Book Price]]))</f>
        <v>0</v>
      </c>
      <c r="ER51" s="419" t="b">
        <f>AND(SnapshotTable[[#This Row],[SC Is Booked]], NOT(ISBLANK(SnapshotTable[[#This Row],[SC Fill Date]])))</f>
        <v>0</v>
      </c>
      <c r="ES51" s="370"/>
      <c r="ET51" s="34" t="str">
        <f>IF(AND(ISNUMBER(SnapshotTable[[#This Row],[SC Exp Date]]), ISNUMBER(SnapshotTable[[#This Row],[SC Book Date]])), SnapshotTable[[#This Row],[SC Exp Date]] - MAX(SnapshotTable[[#This Row],[SC Book Date]], SnapshotTable[[#This Row],[SC Fill Date]]) + 1, "")</f>
        <v/>
      </c>
      <c r="EU51" s="34" t="str">
        <f>IF(ISNUMBER(SnapshotTable[[#This Row],[SC Term]]), SnapshotTable[[#This Row],[SC Exp Date]]- MockToday, "")</f>
        <v/>
      </c>
      <c r="EV51" s="31">
        <f>IF(SnapshotTable[[#This Row],[SC Is Booked]], SnapshotTable[[#This Row],[SC Qty]] * SnapshotTable[[#This Row],[SC Book Price]] * 100, 0)</f>
        <v>0</v>
      </c>
      <c r="EW51" s="4" t="str">
        <f>IF(AND(ISNUMBER(SnapshotTable[[#This Row],[Last Price]]), ISNUMBER( SnapshotTable[[#This Row],[SC Book Price]])), SnapshotTable[[#This Row],[Last Price]] - SnapshotTable[[#This Row],[SC Book Price]],"")</f>
        <v/>
      </c>
      <c r="EX51" s="234" t="str">
        <f>IF(SnapshotTable[[#This Row],[SC Is Booked]],IF(SnapshotTable[[#This Row],[SC Intrinsic Value]] &gt; 0, SnapshotTable[[#This Row],[SC Strike Price]], SnapshotTable[[#This Row],[Last Price]]), "")</f>
        <v/>
      </c>
      <c r="EY51" s="4">
        <f>IF(SnapshotTable[[#This Row],[SC Is Booked]], (MinimumPremiumRequired * SnapshotTable[[#This Row],[SC Basis]] * SnapshotTable[[#This Row],[SC Term]]), 0)</f>
        <v>0</v>
      </c>
      <c r="EZ51" s="283"/>
      <c r="FA51" s="218"/>
      <c r="FB51" s="370"/>
      <c r="FC51" s="4">
        <f>IF(SnapshotTable[[#This Row],[SC Is Filled]], btc_max_buyback_amount(SnapshotTable[[#This Row],[SC Fill Date]],SnapshotTable[[#This Row],[SC Exp Date]], SnapshotTable[[#This Row],[SC Book Price]]),0)</f>
        <v>0</v>
      </c>
      <c r="FD51" s="5"/>
      <c r="FE51" s="144" t="str">
        <f>IF(SnapshotTable[[#This Row],[SC Is Filled]], btc_next_cutoff_date(SnapshotTable[[#This Row],[SC Fill Date]],SnapshotTable[[#This Row],[SC Exp Date]]),"")</f>
        <v/>
      </c>
      <c r="FF51" s="4" t="str" cm="1">
        <f t="array" ref="FF51">IF(SnapshotTable[[#This Row],[SC Is Filled]], btc_should_buy_back(SnapshotTable[[#This Row],[SC Fill Date]], SnapshotTable[[#This Row],[SC Exp Date]], SnapshotTable[[#This Row],[SC Book Price]], SnapshotTable[[#This Row],[SC Current Ask]], MockToday, SnapshotTable[[#This Row],[SC Buyback Override]]),"")</f>
        <v/>
      </c>
      <c r="FG51" s="4">
        <f>IF(SnapshotTable[[#This Row],[SC Is Filled]], MAX(0,SnapshotTable[[#This Row],[Last Price]]  - SnapshotTable[[#This Row],[SC Strike Price]]), 0)</f>
        <v>0</v>
      </c>
      <c r="FH51" s="382">
        <f>IF(SnapshotTable[[#This Row],[SC Is Filled]], IF(ISNUMBER(SnapshotTable[[#This Row],[SC Current Ask]]), SnapshotTable[[#This Row],[SC Current Ask]], SnapshotTable[[#This Row],[SC Book Price]]) - SnapshotTable[[#This Row],[SC Intrinsic Value]], 0)</f>
        <v>0</v>
      </c>
      <c r="FI51" s="143"/>
      <c r="FJ51" s="32" t="str">
        <f>IF(SnapshotTable[[#This Row],[SC Is Filled]],100 * SnapshotTable[[#This Row],[SC Qty]] * IF(ISNUMBER(SnapshotTable[[#This Row],[SC Buyback Override]]), SnapshotTable[[#This Row],[SC Buyback Override]], SnapshotTable[[#This Row],[SC Current Ask]]), "")</f>
        <v/>
      </c>
      <c r="FK51" s="250" t="str">
        <f>IF(SnapshotTable[[#This Row],[SC Time Val]]&gt;0, SnapshotTable[[#This Row],[SC Time Val]] / SnapshotTable[[#This Row],[Last Price]],"")</f>
        <v/>
      </c>
      <c r="FL51" s="302" t="str">
        <f>IF(SnapshotTable[[#This Row],[SC Is Booked]], ((SnapshotTable[[#This Row],[Last Price]] -SnapshotTable[[#This Row],[SC Strike Price]]) / SnapshotTable[[#This Row],[Last Price]]) * -1, "")</f>
        <v/>
      </c>
      <c r="FM51" s="157" t="str">
        <f>IF(SnapshotTable[[#This Row],[SC Is Booked]],  (SnapshotTable[[#This Row],[SC Qty]] * 100 * SnapshotTable[[#This Row],[SC Strike Price]]) - SnapshotTable[[#This Row],[SC Current Ask]], "")</f>
        <v/>
      </c>
      <c r="FN5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1" s="31" t="str">
        <f>IF(AND(ISNUMBER(SnapshotTable[[#This Row],[SC Exercise Gross]]), ISNUMBER(SnapshotTable[[#This Row],[Equity Basis Per Share]] )), SnapshotTable[[#This Row],[SC Exercise Gross]] - SnapshotTable[[#This Row],[Equity Basis Total]] +  SnapshotTable[[#This Row],[SC Premium]], "")</f>
        <v/>
      </c>
      <c r="FP51" s="5" t="str">
        <f>IF(ISNUMBER(SnapshotTable[[#This Row],[SC Exercise Gross]]), (SnapshotTable[[#This Row],[SC Exercise Gross]]) / (SnapshotTable[[#This Row],[SC Qty]] * 100), "")</f>
        <v/>
      </c>
      <c r="FQ51" s="27" t="str">
        <f>IF(SnapshotTable[[#This Row],[SC Is Booked]],SnapshotTable[[#This Row],[SC Time Val]] /SnapshotTable[[#This Row],[SC Basis]], "")</f>
        <v/>
      </c>
      <c r="FR51" s="27" t="str" cm="1">
        <f t="array" ref="FR51">IF(AND(ISNUMBER(SnapshotTable[[#This Row],[SC Term]]),ISNUMBER(SnapshotTable[[#This Row],[SC Simple ROO]])), EllmanAnnualize(SnapshotTable[[#This Row],[SC DTE]], SnapshotTable[[#This Row],[SC Simple ROO]] ),"")</f>
        <v/>
      </c>
      <c r="FS51" s="4" t="e">
        <f>IF(SnapshotTable[[#This Row],[SC Strike Price]] &gt; SnapshotTable[[#This Row],[Last Price]], SnapshotTable[[#This Row],[SC Strike Price]] - SnapshotTable[[#This Row],[Last Price]],0)</f>
        <v>#VALUE!</v>
      </c>
      <c r="FT51" s="27" t="e">
        <f>IF(AND(ISNUMBER(SnapshotTable[[#This Row],[SC Upside Potential]]), SnapshotTable[[#This Row],[SC Upside Potential]] &gt; 0),(SnapshotTable[[#This Row],[SC Upside Potential]]/ SnapshotTable[[#This Row],[ACB]]),"")</f>
        <v>#VALUE!</v>
      </c>
      <c r="FU51" s="333" t="str">
        <f>IF(SnapshotTable[[#This Row],[SC Intrinsic Value]] &gt; 0,SnapshotTable[[#This Row],[SC Intrinsic Value]],"")</f>
        <v/>
      </c>
      <c r="FV51" s="27" t="str">
        <f>IF(AND( ISNUMBER( SnapshotTable[[#This Row],[ACB]]),ISNUMBER(SnapshotTable[[#This Row],[SC Downside Protect]])),SnapshotTable[[#This Row],[SC Downside Protect]] / SnapshotTable[[#This Row],[ACB]],"")</f>
        <v/>
      </c>
      <c r="FW51" s="236" t="str">
        <f>IF(AND(ISNUMBER(SnapshotTable[[#This Row],[SC Simple ROO]]),SnapshotTable[[#This Row],[SC Simple ROO]] &gt; 0), SnapshotTable[[#This Row],[SC Premium]] + (SnapshotTable[[#This Row],[SC Qty]] * SnapshotTable[[#This Row],[SC Upside Potential]]), "")</f>
        <v/>
      </c>
      <c r="FX51" s="302" t="str" cm="1">
        <f t="array" ref="FX51">IF(ISNUMBER(SnapshotTable[[#This Row],[SC Max Dollars]]), annualize(SnapshotTable[[#This Row],[SC Term]],(SnapshotTable[[#This Row],[SC Max Dollars]]/SnapshotTable[[#This Row],[SC Basis]])),"")</f>
        <v/>
      </c>
      <c r="FY51" s="236" t="str">
        <f>IF(AND(SnapshotTable[[#This Row],[SC Qty]]&gt;0,SnapshotTable[[#This Row],[SC Current Ask]]&gt;0), SnapshotTable[[#This Row],[SC Qty]] * SnapshotTable[[#This Row],[SC Current Ask]] * -100, "")</f>
        <v/>
      </c>
      <c r="FZ51" s="31" t="str">
        <f>IF(ISNUMBER((SnapshotTable[[#This Row],[SC Current Value]])), SnapshotTable[[#This Row],[SC Premium]] + SnapshotTable[[#This Row],[SC Current Value]], "")</f>
        <v/>
      </c>
      <c r="GA51" s="294" t="str">
        <f>IFERROR( IF(ISNUMBER((SnapshotTable[[#This Row],[SC Current Value]])), SnapshotTable[[#This Row],[SC Gain Loss]] / SnapshotTable[[#This Row],[SC Premium]], ""), "")</f>
        <v/>
      </c>
      <c r="GB51" s="42">
        <f>SnapshotTable[[#This Row],[Equity Shares]] * SaleSharesToConsiderPercentage</f>
        <v>0</v>
      </c>
      <c r="GC51" s="40">
        <f>SnapshotTable[[#This Row],[Long Term Target]] * SellingPriceToConsiderBasedOnTargetPercentage</f>
        <v>26.267499999999998</v>
      </c>
      <c r="GD51" s="40">
        <f>SnapshotTable[[#This Row],[Last Price]] * (1+ SellingPriceToConsiderBasedOnTargetPercentage)</f>
        <v>10.0425</v>
      </c>
      <c r="GE51" s="41"/>
      <c r="GF51" s="40"/>
      <c r="GG51" s="31">
        <f>SnapshotTable[[#This Row],[Booked Sale Shares]] * SnapshotTable[[#This Row],[Booked Sale Price]]</f>
        <v>0</v>
      </c>
      <c r="GH51" s="31" t="str">
        <f>IF(SnapshotTable[[#This Row],[Equity Basis Total]] &gt; 0, SnapshotTable[[#This Row],[Equity Basis Per Share]] * SnapshotTable[[#This Row],[Booked Sale Shares]], "")</f>
        <v/>
      </c>
      <c r="GI51" s="31">
        <f>IF(SnapshotTable[[#This Row],[Sale Proceeds]]&gt;0, SnapshotTable[[#This Row],[Sale Proceeds]] - SnapshotTable[[#This Row],[Sale Basis]], 0)</f>
        <v>0</v>
      </c>
      <c r="GJ51" s="27" t="str">
        <f>IF(SnapshotTable[[#This Row],[Sale G/L]]&gt;0, SnapshotTable[[#This Row],[Sale G/L]] / SnapshotTable[[#This Row],[Sale Basis]], IF(ISNUMBER(SnapshotTable[[#This Row],[SC Exercise P&amp;L (TAX)]]), SnapshotTable[[#This Row],[SC Exercise P&amp;L (TAX)]] / SnapshotTable[[#This Row],[SC Basis]], ""))</f>
        <v/>
      </c>
      <c r="GK51" s="27" t="s">
        <v>644</v>
      </c>
      <c r="GL51" s="43" t="str">
        <f>IF(AND(SnapshotTable[[#This Row],[LP Exp Date]]&gt;0,SnapshotTable[[#This Row],[LP Strike Price]]&gt;0), [1]!ToOptionSymbol(SnapshotTable[[#This Row],[Symbol]], SnapshotTable[[#This Row],[LP Strike Price]],SnapshotTable[[#This Row],[LP Exp Date]],1), "")</f>
        <v/>
      </c>
      <c r="GM51" s="30" t="str">
        <f>IF(LEN(SnapshotTable[[#This Row],[LP Symbol]])&gt;0, 1, "")</f>
        <v/>
      </c>
      <c r="GN51" s="43" t="str">
        <f>IF(AND(SnapshotTable[[#This Row],[SP Exp Date]]&gt;0,SnapshotTable[[#This Row],[SP Strike Price]]&gt;0), [1]!ToOptionSymbol(SnapshotTable[[#This Row],[Symbol]], SnapshotTable[[#This Row],[SP Strike Price]],SnapshotTable[[#This Row],[SP Exp Date]],1), "")</f>
        <v/>
      </c>
      <c r="GO51" s="30" t="str">
        <f>IF(LEN(SnapshotTable[[#This Row],[SP Symbol]])&gt;0, 1, "")</f>
        <v/>
      </c>
      <c r="GP51" s="43" t="str">
        <f>IF(AND(SnapshotTable[[#This Row],[LC Exp Date]]&gt;0,SnapshotTable[[#This Row],[LC Strike Price]]&gt;0), [1]!ToOptionSymbol(SnapshotTable[[#This Row],[Symbol]], SnapshotTable[[#This Row],[LC Strike Price]],SnapshotTable[[#This Row],[LC Exp Date]],0), "")</f>
        <v/>
      </c>
      <c r="GQ51" s="30" t="str">
        <f>IF(LEN(SnapshotTable[[#This Row],[LC Symbol]])&gt;0, 1, "")</f>
        <v/>
      </c>
      <c r="GR51" s="43" t="str">
        <f>IF(AND(SnapshotTable[[#This Row],[SC Exp Date]]&gt;0,SnapshotTable[[#This Row],[SC Strike Price]]&gt;0), [1]!ToOptionSymbol(SnapshotTable[[#This Row],[Symbol]], SnapshotTable[[#This Row],[SC Strike Price]],SnapshotTable[[#This Row],[SC Exp Date]],0), "")</f>
        <v/>
      </c>
      <c r="GS51" s="30" t="str">
        <f>IF(LEN(SnapshotTable[[#This Row],[SC Symbol]])&gt;0, 1, "")</f>
        <v/>
      </c>
      <c r="GT51" s="29" t="str">
        <f>IF(COUNT(SnapshotTable[[#This Row],[LP Symbol Count]],SnapshotTable[[#This Row],[SP Symbol Count]],SnapshotTable[[#This Row],[LC Symbol Count]],SnapshotTable[[#This Row],[SC Symbol Count]])&gt;0, "Y", "")</f>
        <v/>
      </c>
      <c r="GU5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1" s="231" t="e">
        <f>MAX(SnapshotTable[[#This Row],[Equity Basis Total]],SnapshotTable[[#This Row],[Equity Value]]) + (SnapshotTable[[#This Row],[SP Potential Spend]]- SnapshotTable[[#This Row],[SP Premium]] + SnapshotTable[[#This Row],[LP Premium]])+ (SnapshotTable[[#This Row],[LC Premium]] - SnapshotTable[[#This Row],[SC Premium]])</f>
        <v>#VALUE!</v>
      </c>
      <c r="GW51" s="139" t="e">
        <f>IF(AND(SnapshotTable[[#This Row],[Exposure]] &lt;&gt; 0),SnapshotTable[[#This Row],[Exposure]] / SnapshotTable[[#Totals],[Exposure]], "")</f>
        <v>#VALUE!</v>
      </c>
      <c r="HE51" s="268"/>
      <c r="HF51" s="268"/>
      <c r="HK51" s="1"/>
      <c r="HL51" s="1"/>
      <c r="HM51" s="1"/>
      <c r="HN51" s="1"/>
      <c r="HO51" s="1"/>
      <c r="HP51" s="1"/>
    </row>
    <row r="52" spans="2:224" s="47" customFormat="1" ht="12.75" hidden="1" customHeight="1" x14ac:dyDescent="0.25">
      <c r="B52" s="12" t="s">
        <v>175</v>
      </c>
      <c r="C52" s="422">
        <v>87.11</v>
      </c>
      <c r="D52" s="208"/>
      <c r="E52" s="39">
        <f>SnapshotTable[[#This Row],[Last Price]]*(1 -CrashDiscount)</f>
        <v>74.043499999999995</v>
      </c>
      <c r="F52" s="26" t="s">
        <v>907</v>
      </c>
      <c r="G52" s="26" t="s">
        <v>610</v>
      </c>
      <c r="H52" s="149"/>
      <c r="I52" s="194">
        <v>44796.291666666664</v>
      </c>
      <c r="J52" s="195">
        <v>44796.291666666664</v>
      </c>
      <c r="K52" s="196"/>
      <c r="L52" s="326"/>
      <c r="M52" s="140"/>
      <c r="N52" s="140"/>
      <c r="O52" s="140"/>
      <c r="P52" s="22"/>
      <c r="Q52" s="25"/>
      <c r="R52" s="4" t="str">
        <f>IF(SnapshotTable[[#This Row],[Equity Basis Total]] &gt; 0, SnapshotTable[[#This Row],[Equity Basis Total]] / SnapshotTable[[#This Row],[Equity Shares]], "")</f>
        <v/>
      </c>
      <c r="S52" s="269">
        <f>SnapshotTable[[#This Row],[Last Price]] * SnapshotTable[[#This Row],[Equity Shares]]</f>
        <v>0</v>
      </c>
      <c r="T52" s="269">
        <f>SnapshotTable[[#This Row],[Equity Value]] - SnapshotTable[[#This Row],[Equity Basis Total]]</f>
        <v>0</v>
      </c>
      <c r="U52" s="270" t="str">
        <f>IF(SnapshotTable[[#This Row],[Equity Basis Total]] &gt; 0, SnapshotTable[[#This Row],[Equity G/L]] / SnapshotTable[[#This Row],[Equity Basis Total]], "")</f>
        <v/>
      </c>
      <c r="V52" s="268"/>
      <c r="W52" s="268"/>
      <c r="X52" s="4" t="str">
        <f>IF(AND(ISNUMBER(SnapshotTable[[#This Row],[Equity Basis Per Share]]),ISNUMBER(SnapshotTable[[#This Row],[Equity Target]])),SnapshotTable[[#This Row],[Equity Target]]-SnapshotTable[[#This Row],[Equity Basis Per Share]],"")</f>
        <v/>
      </c>
      <c r="Y52" s="4" t="str">
        <f>IF(AND(ISNUMBER(SnapshotTable[[#This Row],[Equity Basis Per Share]]),ISNUMBER(SnapshotTable[[#This Row],[Equity Stop Loss]])),SnapshotTable[[#This Row],[Equity Stop Loss]]-SnapshotTable[[#This Row],[Equity Basis Per Share]],"")</f>
        <v/>
      </c>
      <c r="Z52" s="275" t="str">
        <f>IFERROR( TEXT(SnapshotTable[[#This Row],[Equity Max Gain Per Share]] /ABS( SnapshotTable[[#This Row],[Equity Max Loss Per Share]]),"0.0 " ) &amp; " : 1", "")</f>
        <v/>
      </c>
      <c r="AA52" s="31" t="str">
        <f>IF(ISNUMBER(SnapshotTable[[#This Row],[Equity Max Gain Per Share]]),SnapshotTable[[#This Row],[Equity Max Gain Per Share]] * SnapshotTable[[#This Row],[Equity Shares]],"")</f>
        <v/>
      </c>
      <c r="AB52" s="31" t="str">
        <f>IF(ISNUMBER(SnapshotTable[[#This Row],[Equity Max Loss Per Share]]),SnapshotTable[[#This Row],[Equity Max Loss Per Share]] * SnapshotTable[[#This Row],[Equity Shares]],"")</f>
        <v/>
      </c>
      <c r="AC52" s="150">
        <v>0.92</v>
      </c>
      <c r="AD52" s="151">
        <v>42375</v>
      </c>
      <c r="AE52" s="31">
        <f>(SnapshotTable[[#This Row],[Annual Dividend Per Share]] / 4) * SnapshotTable[[#This Row],[Equity Shares]]</f>
        <v>0</v>
      </c>
      <c r="AF52" s="31">
        <f>SnapshotTable[[#This Row],[Quarterly Div $]] * 4</f>
        <v>0</v>
      </c>
      <c r="AG52" s="7">
        <f>IF(SnapshotTable[[#This Row],[Annual Dividend Per Share]]&gt;0, SnapshotTable[[#This Row],[Annual Dividend Per Share]]  / SnapshotTable[[#This Row],[Last Price]], 0)</f>
        <v>1.0561359201010218E-2</v>
      </c>
      <c r="AH52" s="151">
        <v>43356</v>
      </c>
      <c r="AI52" s="5"/>
      <c r="AJ52" s="138">
        <v>123.02</v>
      </c>
      <c r="AK52" s="152" t="str">
        <f>IF(ISNUMBER( SnapshotTable[[#This Row],[EBF Target]]),(SnapshotTable[[#This Row],[EBF Target]] - SnapshotTable[[#This Row],[Last Price]]) / SnapshotTable[[#This Row],[Last Price]], "")</f>
        <v/>
      </c>
      <c r="AL52" s="152" t="str">
        <f>IF(AND(SnapshotTable[[#This Row],[Equity Basis Total]] &gt; 0,ISNUMBER( SnapshotTable[[#This Row],[Long Term Target]])), SnapshotTable[[#This Row],[From Basis $]] / SnapshotTable[[#This Row],[Equity Basis Total]], "")</f>
        <v/>
      </c>
      <c r="AM52" s="9">
        <f>IF( AND(SnapshotTable[[#This Row],[Equity Shares]] &gt;0,ISNUMBER( SnapshotTable[[#This Row],[Long Term Target]])),(SnapshotTable[[#This Row],[Equity Shares]] * SnapshotTable[[#This Row],[Long Term Target]]) - SnapshotTable[[#This Row],[Equity Basis Total]],0)</f>
        <v>0</v>
      </c>
      <c r="AN52" s="9">
        <f>IF( AND(SnapshotTable[[#This Row],[Equity Shares]] &gt;0,ISNUMBER( SnapshotTable[[#This Row],[Long Term Target]])),(SnapshotTable[[#This Row],[Equity Shares]]*SnapshotTable[[#This Row],[Long Term Target]]) - SnapshotTable[[#This Row],[Equity Value]],0)</f>
        <v>0</v>
      </c>
      <c r="AO52" s="152">
        <f>IF(AND(ISNUMBER( SnapshotTable[[#This Row],[Long Term Target]]), ISNUMBER(SnapshotTable[[#This Row],[Last Price]])),(SnapshotTable[[#This Row],[Long Term Target]] - SnapshotTable[[#This Row],[Last Price]]) / SnapshotTable[[#This Row],[Last Price]], "")</f>
        <v>0.41223740098725747</v>
      </c>
      <c r="AP52" s="5">
        <v>78</v>
      </c>
      <c r="AQ52" s="38" t="s">
        <v>38</v>
      </c>
      <c r="AR52" s="5"/>
      <c r="AS52" s="38" t="s">
        <v>26</v>
      </c>
      <c r="AT52" s="146"/>
      <c r="AU52" s="187" t="str">
        <f>IF(OR(SnapshotTable[[#This Row],[LP No Fill]]="Y",SnapshotTable[[#This Row],[SP Is Filled]],SnapshotTable[[#This Row],[LC Not Filled]]="Y",SnapshotTable[[#This Row],[SC Is Filled]]),"Y","")</f>
        <v/>
      </c>
      <c r="AV52" s="219"/>
      <c r="AW52" s="225"/>
      <c r="AX52" s="220"/>
      <c r="AY52" s="219" t="str">
        <f>IF(SnapshotTable[[#This Row],[Implied Move]]&gt;0, SnapshotTable[[#This Row],[Last Price]]-SnapshotTable[[#This Row],[Implied Move]],"")</f>
        <v/>
      </c>
      <c r="AZ52" s="219" t="str">
        <f>IF(SnapshotTable[[#This Row],[Implied Move]]&gt;0, SnapshotTable[[#This Row],[Last Price]] + SnapshotTable[[#This Row],[Implied Move]],"")</f>
        <v/>
      </c>
      <c r="BA52" s="331">
        <v>78</v>
      </c>
      <c r="BB52" s="347"/>
      <c r="BC5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2" s="351"/>
      <c r="BE52" s="5"/>
      <c r="BF52" s="14"/>
      <c r="BG52" s="13"/>
      <c r="BH52" s="13"/>
      <c r="BI52" s="5"/>
      <c r="BJ52" s="136">
        <f>IF(SnapshotTable[[#This Row],[LP Qty]] &gt; 0, SnapshotTable[[#This Row],[LP Qty]] * SnapshotTable[[#This Row],[LP Book Price]] * 100,0)</f>
        <v>0</v>
      </c>
      <c r="BK52" s="136">
        <f>IF(SnapshotTable[[#This Row],[LP Premium]] &gt; 0, SnapshotTable[[#This Row],[LP Qty]] * SnapshotTable[[#This Row],[LP Strike Price]] * 100,0)</f>
        <v>0</v>
      </c>
      <c r="BL52" s="154"/>
      <c r="BM52" s="385" t="str">
        <f>IF(SnapshotTable[[#This Row],[LP Premium]] &gt; 0,SnapshotTable[[#This Row],[LP Exp Date]]-MAX(SnapshotTable[[#This Row],[LP Book Date]], SnapshotTable[[#This Row],[LP Fill Date]]),"")</f>
        <v/>
      </c>
      <c r="BN52" s="385" t="str">
        <f>IF(ISNUMBER( SnapshotTable[[#This Row],[LP Term]]), SnapshotTable[[#This Row],[LP Exp Date]] - MockToday,"")</f>
        <v/>
      </c>
      <c r="BO52" s="163" t="str">
        <f>IF(AND(SnapshotTable[[#This Row],[LP Exp Date]]&gt;0, SnapshotTable[[#This Row],[LP Strike Price]]&gt;0,SnapshotTable[[#This Row],[LP Qty]]&gt;0,SnapshotTable[[#This Row],[LP Book Date]]&gt;0,SnapshotTable[[#This Row],[LP Book Price]]&gt;0,SnapshotTable[[#This Row],[LP Fill Date]]=0),"Y","")</f>
        <v/>
      </c>
      <c r="BP52" s="31" t="str">
        <f>IF(AND(SnapshotTable[[#This Row],[LP No Fill]]&lt;&gt;"Y",SnapshotTable[[#This Row],[LP Contract Value]]&gt;0, SnapshotTable[[#This Row],[LP Qty]]&gt;0), SnapshotTable[[#This Row],[LP Contract Value]]*SnapshotTable[[#This Row],[LP Qty]]*100,"")</f>
        <v/>
      </c>
      <c r="BQ52" s="13"/>
      <c r="BR52" s="5" t="str">
        <f>IF(SnapshotTable[[#This Row],[SP Exp Date]]&lt;&gt;"",TRUNC(SnapshotTable[[#This Row],[Last Price]]),"")</f>
        <v/>
      </c>
      <c r="BS52" s="36"/>
      <c r="BT52" s="147"/>
      <c r="BU52" s="13"/>
      <c r="BV52" s="5"/>
      <c r="BW52" s="419" t="b">
        <f>AND(ISNUMBER(SnapshotTable[[#This Row],[SP Exp Date]]), ISNUMBER(SnapshotTable[[#This Row],[SP Strike Price]]), ISNUMBER(SnapshotTable[[#This Row],[SP Qty]]), ISNUMBER(SnapshotTable[[#This Row],[SP Book Date]]), ISNUMBER(SnapshotTable[[#This Row],[SP Book Price]]))</f>
        <v>0</v>
      </c>
      <c r="BX52" s="419" t="b">
        <f>AND(SnapshotTable[[#This Row],[SP Is Booked]], NOT(ISBLANK(SnapshotTable[[#This Row],[SP Fill Date]])))</f>
        <v>0</v>
      </c>
      <c r="BY52" s="33">
        <f>IF(SnapshotTable[[#This Row],[SP Is Booked]], SnapshotTable[[#This Row],[SP Qty]] * SnapshotTable[[#This Row],[SP Book Price]] * 100, 0)</f>
        <v>0</v>
      </c>
      <c r="BZ52" s="369"/>
      <c r="CA52" s="368">
        <f>SnapshotTable[[#This Row],[LP Qty]]</f>
        <v>0</v>
      </c>
      <c r="CB52" s="4" t="str">
        <f>IF(SnapshotTable[[#This Row],[SP Is Booked]], SnapshotTable[[#This Row],[SP Strike Price]] - SnapshotTable[[#This Row],[SP Book Price]], "")</f>
        <v/>
      </c>
      <c r="CC52" s="19" t="str">
        <f>IF(SnapshotTable[[#This Row],[SP Is Booked]],SnapshotTable[[#This Row],[SP Exp Date]]-MAX(SnapshotTable[[#This Row],[SP Book Date]], SnapshotTable[[#This Row],[SP Fill Date]]),"")</f>
        <v/>
      </c>
      <c r="CD52" s="7" t="str">
        <f>IF(SnapshotTable[[#This Row],[SP Is Booked]], SnapshotTable[[#This Row],[SP Book Price]]/SnapshotTable[[#This Row],[SP Strike Price]], "")</f>
        <v/>
      </c>
      <c r="CE52" s="7" t="str">
        <f>IF(ISNUMBER(SnapshotTable[[#This Row],[SP ROO Term]]),SnapshotTable[[#This Row],[SP ROO Term]]*(365/SnapshotTable[[#This Row],[SP Term]]),"")</f>
        <v/>
      </c>
      <c r="CF52" s="236">
        <f>SnapshotTable[[#This Row],[LP Strike Price]] * SnapshotTable[[#This Row],[LP Qty]] * 100</f>
        <v>0</v>
      </c>
      <c r="CG52" s="31" t="e">
        <f>IF(ISNUMBER(SnapshotTable[[#This Row],[SP Premium]]), (SnapshotTable[[#This Row],[SP Qty]] * SnapshotTable[[#This Row],[SP Strike Price]]* 100) - SnapshotTable[[#This Row],[LP Protection]], 0)</f>
        <v>#VALUE!</v>
      </c>
      <c r="CH52" s="7" t="str">
        <f>IF(ISNUMBER(SnapshotTable[[#This Row],[SP Break Even]]),-1 * (SnapshotTable[[#This Row],[SP Break Even]] - SnapshotTable[[#This Row],[Last Price]]) / SnapshotTable[[#This Row],[Last Price]], "")</f>
        <v/>
      </c>
      <c r="CI52" s="31">
        <f>IF(AND(ISNUMBER((SnapshotTable[[#This Row],[SP Potential Spend]])), SnapshotTable[[#This Row],[SP Strike Price]] &gt; SnapshotTable[[#This Row],[Last Price]], SnapshotTable[[#This Row],[SP Is Filled]]), SnapshotTable[[#This Row],[SP Potential Spend]] -  SnapshotTable[[#This Row],[LP Max Value]], 0)</f>
        <v>0</v>
      </c>
      <c r="CJ52" s="244"/>
      <c r="CK52" s="31" t="str">
        <f>IF(ISNUMBER(SnapshotTable[[#This Row],[SP Potential Spend]]),IF(ISNUMBER(SnapshotTable[[#This Row],[SP POW]]), SnapshotTable[[#This Row],[SP POW]] * SnapshotTable[[#This Row],[SP Potential Spend]], SnapshotTable[[#This Row],[SP Potential Spend]]), "")</f>
        <v/>
      </c>
      <c r="CL52" s="164" t="e">
        <f>IF(NOT(SnapshotTable[[#This Row],[SP Is Filled]]),(SnapshotTable[[#This Row],[SP Qty]] * SnapshotTable[[#This Row],[SP Strike Price]] * 100) - SnapshotTable[[#This Row],[LP Max Value]],"")</f>
        <v>#VALUE!</v>
      </c>
      <c r="CM52" s="31" t="str">
        <f>IF(SnapshotTable[[#This Row],[SP Actual Spend]]&lt;&gt;0, ((SnapshotTable[[#This Row],[SP Strike Price]]-SnapshotTable[[#This Row],[Last Price]]) *(SnapshotTable[[#This Row],[SP Qty]]*100) - SnapshotTable[[#This Row],[SP Premium]]) * - 1, "")</f>
        <v/>
      </c>
      <c r="CN52" s="78"/>
      <c r="CO52" s="369"/>
      <c r="CP52" s="4" t="str">
        <f>IF(SnapshotTable[[#This Row],[SP Is Filled]], btc_max_buyback_amount(SnapshotTable[[#This Row],[SP Fill Date]],SnapshotTable[[#This Row],[SP Exp Date]], SnapshotTable[[#This Row],[SP Book Price]]),"")</f>
        <v/>
      </c>
      <c r="CQ52" s="78"/>
      <c r="CR5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2" s="155" t="str">
        <f>IF(SnapshotTable[[#This Row],[SP Is Filled]], btc_next_cutoff_date(SnapshotTable[[#This Row],[SP Fill Date]],SnapshotTable[[#This Row],[SP Exp Date]]),"")</f>
        <v/>
      </c>
      <c r="CT52" s="235" t="str" cm="1">
        <f t="array" ref="CT52">IF(SnapshotTable[[#This Row],[SP Is Filled]], btc_should_buy_back(SnapshotTable[[#This Row],[SP Fill Date]], SnapshotTable[[#This Row],[SP Exp Date]], SnapshotTable[[#This Row],[SP Book Price]], SnapshotTable[[#This Row],[SP Current Ask]], MockToday, SnapshotTable[[#This Row],[SP Buyback Override]]),"")</f>
        <v/>
      </c>
      <c r="CU52" s="143">
        <v>44883</v>
      </c>
      <c r="CV52" s="235"/>
      <c r="CW52" s="378" t="str">
        <f>IF(ISNUMBER( SnapshotTable[[#This Row],[SP Term]]), SnapshotTable[[#This Row],[SP Exp Date]] - MockToday,"")</f>
        <v/>
      </c>
      <c r="CX52" s="31" t="str">
        <f>IF(SnapshotTable[[#This Row],[SP Is Filled]],SnapshotTable[[#This Row],[SP Buyback Price to Use]] * 100 * SnapshotTable[[#This Row],[SP Qty]], "")</f>
        <v/>
      </c>
      <c r="CY52" s="4" t="str">
        <f>IF(ISNUMBER(SnapshotTable[[#This Row],[SP Strike Price]]), SnapshotTable[[#This Row],[SP Strike Price]] * (1 - SP_MaxLoss_StrikePct), "")</f>
        <v/>
      </c>
      <c r="CZ52" s="31" t="str">
        <f>IF(ISNUMBER(SnapshotTable[[#This Row],[SP Strike  Stop Per Share]]),SnapshotTable[[#This Row],[SP Premium]] - ((SnapshotTable[[#This Row],[SP Strike Price]]-SnapshotTable[[#This Row],[SP Strike  Stop Per Share]]) *(SnapshotTable[[#This Row],[SP Qty]] * 100)),"")</f>
        <v/>
      </c>
      <c r="DA52" s="4" t="str">
        <f>IF(AND(ISNUMBER(SnapshotTable[[#This Row],[SP Premium]]),SnapshotTable[[#This Row],[SP Premium]]&gt;0), SnapshotTable[[#This Row],[SP Book Price]] * (1 + SP_MaxLoss_OptionPct), "")</f>
        <v/>
      </c>
      <c r="DB52" s="31" t="str">
        <f>IF(ISNUMBER(SnapshotTable[[#This Row],[SP Option  Stop Contract]]),(SnapshotTable[[#This Row],[SP Option  Stop Contract]] *(SnapshotTable[[#This Row],[SP Qty]] * 100) - SnapshotTable[[#This Row],[SP Premium]]),"")</f>
        <v/>
      </c>
      <c r="DC52" s="4"/>
      <c r="DD52" s="4"/>
      <c r="DE52" s="4" t="str">
        <f>IF(AND(SnapshotTable[[#This Row],[SP Qty]]&gt;0, SnapshotTable[[#This Row],[SP Stop To Use]]&gt;0),SnapshotTable[[#This Row],[SP Premium]] - ( SnapshotTable[[#This Row],[SP Qty]] * SnapshotTable[[#This Row],[SP Stop To Use]] * 100), "")</f>
        <v/>
      </c>
      <c r="DF52" s="31" t="str">
        <f>IF(AND(SnapshotTable[[#This Row],[SP Qty]]&gt;0,SnapshotTable[[#This Row],[SP Current Ask]]&gt;0), SnapshotTable[[#This Row],[SP Qty]] * SnapshotTable[[#This Row],[SP Current Ask]] * -100, "")</f>
        <v/>
      </c>
      <c r="DG52" s="31" t="str">
        <f>IF(ISNUMBER((SnapshotTable[[#This Row],[SP Total Value]])), SnapshotTable[[#This Row],[SP Premium]] + SnapshotTable[[#This Row],[SP Total Value]], "")</f>
        <v/>
      </c>
      <c r="DH52" s="294" t="str">
        <f>IF(ISNUMBER((SnapshotTable[[#This Row],[SP Total Value]])), SnapshotTable[[#This Row],[SP Gain Loss]] / SnapshotTable[[#This Row],[SP Premium]], "")</f>
        <v/>
      </c>
      <c r="DI52" s="406"/>
      <c r="DJ52" s="138"/>
      <c r="DK52" s="148"/>
      <c r="DL52" s="13"/>
      <c r="DM52" s="13"/>
      <c r="DN52" s="5"/>
      <c r="DO52" s="31">
        <f>IF(SnapshotTable[[#This Row],[LC Symbol Count]]=1, SnapshotTable[[#This Row],[LC Qty]] * SnapshotTable[[#This Row],[LC Book Price]] * 100, 0)</f>
        <v>0</v>
      </c>
      <c r="DP52" s="163" t="str">
        <f>IF(AND(SnapshotTable[[#This Row],[LC Exp Date]]&gt;0, SnapshotTable[[#This Row],[LC Strike Price]]&gt;0,SnapshotTable[[#This Row],[LC Qty]]&gt;0,SnapshotTable[[#This Row],[LC Book Date]]&gt;0,SnapshotTable[[#This Row],[LC Book Price]]&gt;0,SnapshotTable[[#This Row],[LC Fill Date]]=0),"Y","")</f>
        <v/>
      </c>
      <c r="DQ52" s="386" t="str">
        <f>IF(SnapshotTable[[#This Row],[LC Premium]] &gt; 0,SnapshotTable[[#This Row],[LC Exp Date]]-MAX(SnapshotTable[[#This Row],[LC Book Date]], SnapshotTable[[#This Row],[LC Fill Date]]),"")</f>
        <v/>
      </c>
      <c r="DR52" s="386" t="str">
        <f>IF(ISNUMBER(SnapshotTable[[#This Row],[LC Term]]), SnapshotTable[[#This Row],[LC Exp Date]] - MockToday, "")</f>
        <v/>
      </c>
      <c r="DS52" s="234" t="str">
        <f>IF(SnapshotTable[[#This Row],[LC Premium]]&gt;0,SnapshotTable[[#This Row],[LC Strike Price]] + SnapshotTable[[#This Row],[LC Book Price]],"")</f>
        <v/>
      </c>
      <c r="DT52" s="5"/>
      <c r="DU52" s="9" t="str">
        <f>IF(AND(SnapshotTable[[#This Row],[LC Symbol Count]]&gt;0, SnapshotTable[[#This Row],[LC Contract Value]]&gt;0), SnapshotTable[[#This Row],[LC Contract Value]] * SnapshotTable[[#This Row],[LC Qty]] * 100, "")</f>
        <v/>
      </c>
      <c r="DV52" s="9" t="str">
        <f>IF(AND(ISNUMBER(SnapshotTable[[#This Row],[LC Total Value]]), SnapshotTable[[#This Row],[LC Not Filled]]&lt;&gt;"Y"), SnapshotTable[[#This Row],[LC Total Value]]-SnapshotTable[[#This Row],[LC Premium]],"")</f>
        <v/>
      </c>
      <c r="DW52" s="240" t="str">
        <f>IF(ISNUMBER(SnapshotTable[[#This Row],[LC Actual Gain Loss]]), SnapshotTable[[#This Row],[LC Actual Gain Loss]] / SnapshotTable[[#This Row],[LC Premium]],"")</f>
        <v/>
      </c>
      <c r="DX52" s="284" t="str">
        <f>IF(ISNUMBER(SnapshotTable[[#This Row],[LC Book Price]]),SnapshotTable[[#This Row],[LC Book Price]] * 1.5,"")</f>
        <v/>
      </c>
      <c r="DY52" s="265" t="str">
        <f>IF(SnapshotTable[[#This Row],[LC Premium]]&gt;0, SnapshotTable[[#This Row],[LC Next Target]] * SnapshotTable[[#This Row],[LC Qty]] * 100,"")</f>
        <v/>
      </c>
      <c r="DZ52" s="265" t="str">
        <f>IF(ISNUMBER(SnapshotTable[[#This Row],[LC Target Gross]]), SnapshotTable[[#This Row],[LC Target Gross]] - SnapshotTable[[#This Row],[LC Premium]], "")</f>
        <v/>
      </c>
      <c r="EA52" s="305" t="str">
        <f>IF(ISNUMBER(SnapshotTable[[#This Row],[LC Target Gain Loss]]), SnapshotTable[[#This Row],[LC Target Gain Loss]]/SnapshotTable[[#This Row],[LC Premium]], "")</f>
        <v/>
      </c>
      <c r="EB52" s="262"/>
      <c r="EC52" s="283" t="str">
        <f>IF(SnapshotTable[[#This Row],[LC Premium]]&gt;0, SnapshotTable[[#This Row],[LC Book Price]] * (1 - LC_StopLoss_Pct),"")</f>
        <v/>
      </c>
      <c r="ED52" s="284"/>
      <c r="EE52" s="283" t="str">
        <f>IF(ISNUMBER(SnapshotTable[[#This Row],[LC Contract Value]]),IF(ISNUMBER(SnapshotTable[[#This Row],[LC Stop Loss Override]]), SnapshotTable[[#This Row],[LC Stop Loss Override]],SnapshotTable[[#This Row],[LC Stop Loss Calc Target]]),"")</f>
        <v/>
      </c>
      <c r="EF52" s="31" t="str">
        <f>IF(ISNUMBER(SnapshotTable[[#This Row],[LC Stop  To Use]]), (SnapshotTable[[#This Row],[LC Stop  To Use]] * SnapshotTable[[#This Row],[LC Qty]] * 100),"")</f>
        <v/>
      </c>
      <c r="EG52" s="9" t="str">
        <f>IF(ISNUMBER(SnapshotTable[[#This Row],[LC Total Value]]),SnapshotTable[[#This Row],[LC Stop Loss Amount]] - SnapshotTable[[#This Row],[LC Premium]],"")</f>
        <v/>
      </c>
      <c r="EH52" s="9">
        <f>IF(ISNUMBER(SnapshotTable[[#This Row],[LC Premium]]), SnapshotTable[[#This Row],[LC Qty]] * 100 * SnapshotTable[[#This Row],[LC Strike Price]], "")</f>
        <v>0</v>
      </c>
      <c r="EI52" s="240" t="str">
        <f>IF(AND(ISNUMBER(SnapshotTable[[#This Row],[LC Total Value]]),SnapshotTable[[#This Row],[LC Total Value]]&gt;0),SnapshotTable[[#This Row],[LC Stop Gain Loss]]  / SnapshotTable[[#This Row],[LC Premium]],"")</f>
        <v/>
      </c>
      <c r="EJ52" s="35">
        <f>IF(ISNUMBER(SnapshotTable[[#This Row],[Equity Shares]]),TRUNC(SnapshotTable[[#This Row],[Equity Shares]] / 100),0) + SnapshotTable[[#This Row],[LC Qty]]</f>
        <v>0</v>
      </c>
      <c r="EK52" s="147"/>
      <c r="EL52" s="138" t="str">
        <f>IF(SnapshotTable[[#This Row],[SC Exp Date]]&lt;&gt;"",TRUNC(SnapshotTable[[#This Row],[Last Price]]),"")</f>
        <v/>
      </c>
      <c r="EM52" s="148"/>
      <c r="EN52" s="147"/>
      <c r="EO52" s="147"/>
      <c r="EP52" s="138"/>
      <c r="EQ52" s="419" t="b">
        <f>AND(ISNUMBER(SnapshotTable[[#This Row],[SC Exp Date]]), ISNUMBER(SnapshotTable[[#This Row],[SC Strike Price]]), ISNUMBER(SnapshotTable[[#This Row],[SC Qty]]), ISNUMBER(SnapshotTable[[#This Row],[SC Book Date]]), ISNUMBER(SnapshotTable[[#This Row],[SC Book Price]]))</f>
        <v>0</v>
      </c>
      <c r="ER52" s="419" t="b">
        <f>AND(SnapshotTable[[#This Row],[SC Is Booked]], NOT(ISBLANK(SnapshotTable[[#This Row],[SC Fill Date]])))</f>
        <v>0</v>
      </c>
      <c r="ES52" s="370"/>
      <c r="ET52" s="34" t="str">
        <f>IF(AND(ISNUMBER(SnapshotTable[[#This Row],[SC Exp Date]]), ISNUMBER(SnapshotTable[[#This Row],[SC Book Date]])), SnapshotTable[[#This Row],[SC Exp Date]] - MAX(SnapshotTable[[#This Row],[SC Book Date]], SnapshotTable[[#This Row],[SC Fill Date]]) + 1, "")</f>
        <v/>
      </c>
      <c r="EU52" s="34" t="str">
        <f>IF(ISNUMBER(SnapshotTable[[#This Row],[SC Term]]), SnapshotTable[[#This Row],[SC Exp Date]]- MockToday, "")</f>
        <v/>
      </c>
      <c r="EV52" s="31">
        <f>IF(SnapshotTable[[#This Row],[SC Is Booked]], SnapshotTable[[#This Row],[SC Qty]] * SnapshotTable[[#This Row],[SC Book Price]] * 100, 0)</f>
        <v>0</v>
      </c>
      <c r="EW52" s="4" t="str">
        <f>IF(AND(ISNUMBER(SnapshotTable[[#This Row],[Last Price]]), ISNUMBER( SnapshotTable[[#This Row],[SC Book Price]])), SnapshotTable[[#This Row],[Last Price]] - SnapshotTable[[#This Row],[SC Book Price]],"")</f>
        <v/>
      </c>
      <c r="EX52" s="234" t="str">
        <f>IF(SnapshotTable[[#This Row],[SC Is Booked]],IF(SnapshotTable[[#This Row],[SC Intrinsic Value]] &gt; 0, SnapshotTable[[#This Row],[SC Strike Price]], SnapshotTable[[#This Row],[Last Price]]), "")</f>
        <v/>
      </c>
      <c r="EY52" s="4">
        <f>IF(SnapshotTable[[#This Row],[SC Is Booked]], (MinimumPremiumRequired * SnapshotTable[[#This Row],[SC Basis]] * SnapshotTable[[#This Row],[SC Term]]), 0)</f>
        <v>0</v>
      </c>
      <c r="EZ52" s="283"/>
      <c r="FA52" s="218"/>
      <c r="FB52" s="370"/>
      <c r="FC52" s="4">
        <f>IF(SnapshotTable[[#This Row],[SC Is Filled]], btc_max_buyback_amount(SnapshotTable[[#This Row],[SC Fill Date]],SnapshotTable[[#This Row],[SC Exp Date]], SnapshotTable[[#This Row],[SC Book Price]]),0)</f>
        <v>0</v>
      </c>
      <c r="FD52" s="5"/>
      <c r="FE52" s="144" t="str">
        <f>IF(SnapshotTable[[#This Row],[SC Is Filled]], btc_next_cutoff_date(SnapshotTable[[#This Row],[SC Fill Date]],SnapshotTable[[#This Row],[SC Exp Date]]),"")</f>
        <v/>
      </c>
      <c r="FF52" s="4" t="str" cm="1">
        <f t="array" ref="FF52">IF(SnapshotTable[[#This Row],[SC Is Filled]], btc_should_buy_back(SnapshotTable[[#This Row],[SC Fill Date]], SnapshotTable[[#This Row],[SC Exp Date]], SnapshotTable[[#This Row],[SC Book Price]], SnapshotTable[[#This Row],[SC Current Ask]], MockToday, SnapshotTable[[#This Row],[SC Buyback Override]]),"")</f>
        <v/>
      </c>
      <c r="FG52" s="4">
        <f>IF(SnapshotTable[[#This Row],[SC Is Filled]], MAX(0,SnapshotTable[[#This Row],[Last Price]]  - SnapshotTable[[#This Row],[SC Strike Price]]), 0)</f>
        <v>0</v>
      </c>
      <c r="FH52" s="382">
        <f>IF(SnapshotTable[[#This Row],[SC Is Filled]], IF(ISNUMBER(SnapshotTable[[#This Row],[SC Current Ask]]), SnapshotTable[[#This Row],[SC Current Ask]], SnapshotTable[[#This Row],[SC Book Price]]) - SnapshotTable[[#This Row],[SC Intrinsic Value]], 0)</f>
        <v>0</v>
      </c>
      <c r="FI52" s="143"/>
      <c r="FJ52" s="32" t="str">
        <f>IF(SnapshotTable[[#This Row],[SC Is Filled]],100 * SnapshotTable[[#This Row],[SC Qty]] * IF(ISNUMBER(SnapshotTable[[#This Row],[SC Buyback Override]]), SnapshotTable[[#This Row],[SC Buyback Override]], SnapshotTable[[#This Row],[SC Current Ask]]), "")</f>
        <v/>
      </c>
      <c r="FK52" s="250" t="str">
        <f>IF(SnapshotTable[[#This Row],[SC Time Val]]&gt;0, SnapshotTable[[#This Row],[SC Time Val]] / SnapshotTable[[#This Row],[Last Price]],"")</f>
        <v/>
      </c>
      <c r="FL52" s="302" t="str">
        <f>IF(SnapshotTable[[#This Row],[SC Is Booked]], ((SnapshotTable[[#This Row],[Last Price]] -SnapshotTable[[#This Row],[SC Strike Price]]) / SnapshotTable[[#This Row],[Last Price]]) * -1, "")</f>
        <v/>
      </c>
      <c r="FM52" s="157" t="str">
        <f>IF(SnapshotTable[[#This Row],[SC Is Booked]],  (SnapshotTable[[#This Row],[SC Qty]] * 100 * SnapshotTable[[#This Row],[SC Strike Price]]) - SnapshotTable[[#This Row],[SC Current Ask]], "")</f>
        <v/>
      </c>
      <c r="FN5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2" s="31" t="str">
        <f>IF(AND(ISNUMBER(SnapshotTable[[#This Row],[SC Exercise Gross]]), ISNUMBER(SnapshotTable[[#This Row],[Equity Basis Per Share]] )), SnapshotTable[[#This Row],[SC Exercise Gross]] - SnapshotTable[[#This Row],[Equity Basis Total]] +  SnapshotTable[[#This Row],[SC Premium]], "")</f>
        <v/>
      </c>
      <c r="FP52" s="5" t="str">
        <f>IF(ISNUMBER(SnapshotTable[[#This Row],[SC Exercise Gross]]), (SnapshotTable[[#This Row],[SC Exercise Gross]]) / (SnapshotTable[[#This Row],[SC Qty]] * 100), "")</f>
        <v/>
      </c>
      <c r="FQ52" s="27" t="str">
        <f>IF(SnapshotTable[[#This Row],[SC Is Booked]],SnapshotTable[[#This Row],[SC Time Val]] /SnapshotTable[[#This Row],[SC Basis]], "")</f>
        <v/>
      </c>
      <c r="FR52" s="27" t="str" cm="1">
        <f t="array" ref="FR52">IF(AND(ISNUMBER(SnapshotTable[[#This Row],[SC Term]]),ISNUMBER(SnapshotTable[[#This Row],[SC Simple ROO]])), EllmanAnnualize(SnapshotTable[[#This Row],[SC DTE]], SnapshotTable[[#This Row],[SC Simple ROO]] ),"")</f>
        <v/>
      </c>
      <c r="FS52" s="4" t="e">
        <f>IF(SnapshotTable[[#This Row],[SC Strike Price]] &gt; SnapshotTable[[#This Row],[Last Price]], SnapshotTable[[#This Row],[SC Strike Price]] - SnapshotTable[[#This Row],[Last Price]],0)</f>
        <v>#VALUE!</v>
      </c>
      <c r="FT52" s="27" t="e">
        <f>IF(AND(ISNUMBER(SnapshotTable[[#This Row],[SC Upside Potential]]), SnapshotTable[[#This Row],[SC Upside Potential]] &gt; 0),(SnapshotTable[[#This Row],[SC Upside Potential]]/ SnapshotTable[[#This Row],[ACB]]),"")</f>
        <v>#VALUE!</v>
      </c>
      <c r="FU52" s="333" t="str">
        <f>IF(SnapshotTable[[#This Row],[SC Intrinsic Value]] &gt; 0,SnapshotTable[[#This Row],[SC Intrinsic Value]],"")</f>
        <v/>
      </c>
      <c r="FV52" s="27" t="str">
        <f>IF(AND( ISNUMBER( SnapshotTable[[#This Row],[ACB]]),ISNUMBER(SnapshotTable[[#This Row],[SC Downside Protect]])),SnapshotTable[[#This Row],[SC Downside Protect]] / SnapshotTable[[#This Row],[ACB]],"")</f>
        <v/>
      </c>
      <c r="FW52" s="236" t="str">
        <f>IF(AND(ISNUMBER(SnapshotTable[[#This Row],[SC Simple ROO]]),SnapshotTable[[#This Row],[SC Simple ROO]] &gt; 0), SnapshotTable[[#This Row],[SC Premium]] + (SnapshotTable[[#This Row],[SC Qty]] * SnapshotTable[[#This Row],[SC Upside Potential]]), "")</f>
        <v/>
      </c>
      <c r="FX52" s="302" t="str" cm="1">
        <f t="array" ref="FX52">IF(ISNUMBER(SnapshotTable[[#This Row],[SC Max Dollars]]), annualize(SnapshotTable[[#This Row],[SC Term]],(SnapshotTable[[#This Row],[SC Max Dollars]]/SnapshotTable[[#This Row],[SC Basis]])),"")</f>
        <v/>
      </c>
      <c r="FY52" s="236" t="str">
        <f>IF(AND(SnapshotTable[[#This Row],[SC Qty]]&gt;0,SnapshotTable[[#This Row],[SC Current Ask]]&gt;0), SnapshotTable[[#This Row],[SC Qty]] * SnapshotTable[[#This Row],[SC Current Ask]] * -100, "")</f>
        <v/>
      </c>
      <c r="FZ52" s="31" t="str">
        <f>IF(ISNUMBER((SnapshotTable[[#This Row],[SC Current Value]])), SnapshotTable[[#This Row],[SC Premium]] + SnapshotTable[[#This Row],[SC Current Value]], "")</f>
        <v/>
      </c>
      <c r="GA52" s="294" t="str">
        <f>IFERROR( IF(ISNUMBER((SnapshotTable[[#This Row],[SC Current Value]])), SnapshotTable[[#This Row],[SC Gain Loss]] / SnapshotTable[[#This Row],[SC Premium]], ""), "")</f>
        <v/>
      </c>
      <c r="GB52" s="42">
        <f>SnapshotTable[[#This Row],[Equity Shares]] * SaleSharesToConsiderPercentage</f>
        <v>0</v>
      </c>
      <c r="GC52" s="40">
        <f>SnapshotTable[[#This Row],[Long Term Target]] * SellingPriceToConsiderBasedOnTargetPercentage</f>
        <v>116.86899999999999</v>
      </c>
      <c r="GD52" s="40">
        <f>SnapshotTable[[#This Row],[Last Price]] * (1+ SellingPriceToConsiderBasedOnTargetPercentage)</f>
        <v>169.86449999999999</v>
      </c>
      <c r="GE52" s="41"/>
      <c r="GF52" s="40"/>
      <c r="GG52" s="31">
        <f>SnapshotTable[[#This Row],[Booked Sale Shares]] * SnapshotTable[[#This Row],[Booked Sale Price]]</f>
        <v>0</v>
      </c>
      <c r="GH52" s="31" t="str">
        <f>IF(SnapshotTable[[#This Row],[Equity Basis Total]] &gt; 0, SnapshotTable[[#This Row],[Equity Basis Per Share]] * SnapshotTable[[#This Row],[Booked Sale Shares]], "")</f>
        <v/>
      </c>
      <c r="GI52" s="31">
        <f>IF(SnapshotTable[[#This Row],[Sale Proceeds]]&gt;0, SnapshotTable[[#This Row],[Sale Proceeds]] - SnapshotTable[[#This Row],[Sale Basis]], 0)</f>
        <v>0</v>
      </c>
      <c r="GJ52" s="27" t="str">
        <f>IF(SnapshotTable[[#This Row],[Sale G/L]]&gt;0, SnapshotTable[[#This Row],[Sale G/L]] / SnapshotTable[[#This Row],[Sale Basis]], IF(ISNUMBER(SnapshotTable[[#This Row],[SC Exercise P&amp;L (TAX)]]), SnapshotTable[[#This Row],[SC Exercise P&amp;L (TAX)]] / SnapshotTable[[#This Row],[SC Basis]], ""))</f>
        <v/>
      </c>
      <c r="GK52" s="27" t="s">
        <v>645</v>
      </c>
      <c r="GL52" s="43" t="str">
        <f>IF(AND(SnapshotTable[[#This Row],[LP Exp Date]]&gt;0,SnapshotTable[[#This Row],[LP Strike Price]]&gt;0), [1]!ToOptionSymbol(SnapshotTable[[#This Row],[Symbol]], SnapshotTable[[#This Row],[LP Strike Price]],SnapshotTable[[#This Row],[LP Exp Date]],1), "")</f>
        <v/>
      </c>
      <c r="GM52" s="30" t="str">
        <f>IF(LEN(SnapshotTable[[#This Row],[LP Symbol]])&gt;0, 1, "")</f>
        <v/>
      </c>
      <c r="GN52" s="43" t="str">
        <f>IF(AND(SnapshotTable[[#This Row],[SP Exp Date]]&gt;0,SnapshotTable[[#This Row],[SP Strike Price]]&gt;0), [1]!ToOptionSymbol(SnapshotTable[[#This Row],[Symbol]], SnapshotTable[[#This Row],[SP Strike Price]],SnapshotTable[[#This Row],[SP Exp Date]],1), "")</f>
        <v/>
      </c>
      <c r="GO52" s="30" t="str">
        <f>IF(LEN(SnapshotTable[[#This Row],[SP Symbol]])&gt;0, 1, "")</f>
        <v/>
      </c>
      <c r="GP52" s="43" t="str">
        <f>IF(AND(SnapshotTable[[#This Row],[LC Exp Date]]&gt;0,SnapshotTable[[#This Row],[LC Strike Price]]&gt;0), [1]!ToOptionSymbol(SnapshotTable[[#This Row],[Symbol]], SnapshotTable[[#This Row],[LC Strike Price]],SnapshotTable[[#This Row],[LC Exp Date]],0), "")</f>
        <v/>
      </c>
      <c r="GQ52" s="30" t="str">
        <f>IF(LEN(SnapshotTable[[#This Row],[LC Symbol]])&gt;0, 1, "")</f>
        <v/>
      </c>
      <c r="GR52" s="43" t="str">
        <f>IF(AND(SnapshotTable[[#This Row],[SC Exp Date]]&gt;0,SnapshotTable[[#This Row],[SC Strike Price]]&gt;0), [1]!ToOptionSymbol(SnapshotTable[[#This Row],[Symbol]], SnapshotTable[[#This Row],[SC Strike Price]],SnapshotTable[[#This Row],[SC Exp Date]],0), "")</f>
        <v/>
      </c>
      <c r="GS52" s="30" t="str">
        <f>IF(LEN(SnapshotTable[[#This Row],[SC Symbol]])&gt;0, 1, "")</f>
        <v/>
      </c>
      <c r="GT52" s="29" t="str">
        <f>IF(COUNT(SnapshotTable[[#This Row],[LP Symbol Count]],SnapshotTable[[#This Row],[SP Symbol Count]],SnapshotTable[[#This Row],[LC Symbol Count]],SnapshotTable[[#This Row],[SC Symbol Count]])&gt;0, "Y", "")</f>
        <v/>
      </c>
      <c r="GU5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2" s="231" t="e">
        <f>MAX(SnapshotTable[[#This Row],[Equity Basis Total]],SnapshotTable[[#This Row],[Equity Value]]) + (SnapshotTable[[#This Row],[SP Potential Spend]]- SnapshotTable[[#This Row],[SP Premium]] + SnapshotTable[[#This Row],[LP Premium]])+ (SnapshotTable[[#This Row],[LC Premium]] - SnapshotTable[[#This Row],[SC Premium]])</f>
        <v>#VALUE!</v>
      </c>
      <c r="GW52" s="139" t="e">
        <f>IF(AND(SnapshotTable[[#This Row],[Exposure]] &lt;&gt; 0),SnapshotTable[[#This Row],[Exposure]] / SnapshotTable[[#Totals],[Exposure]], "")</f>
        <v>#VALUE!</v>
      </c>
      <c r="GY52" s="381"/>
      <c r="HE52" s="268"/>
      <c r="HF52" s="268"/>
      <c r="HG52" s="381"/>
      <c r="HH52" s="381"/>
      <c r="HI52" s="381"/>
      <c r="HJ52" s="381"/>
    </row>
    <row r="53" spans="2:224" ht="12.75" hidden="1" customHeight="1" x14ac:dyDescent="0.25">
      <c r="B53" s="12" t="s">
        <v>548</v>
      </c>
      <c r="C53" s="422">
        <v>107.52</v>
      </c>
      <c r="D53" s="208"/>
      <c r="E53" s="39">
        <f>SnapshotTable[[#This Row],[Last Price]]*(1 -CrashDiscount)</f>
        <v>91.391999999999996</v>
      </c>
      <c r="F53" s="26" t="s">
        <v>607</v>
      </c>
      <c r="G53" s="26" t="s">
        <v>606</v>
      </c>
      <c r="H53" s="149"/>
      <c r="I53" s="194">
        <v>44798.1875</v>
      </c>
      <c r="J53" s="195">
        <v>44798.1875</v>
      </c>
      <c r="K53" s="196"/>
      <c r="L53" s="326"/>
      <c r="M53" s="140"/>
      <c r="N53" s="140"/>
      <c r="O53" s="140"/>
      <c r="P53" s="22"/>
      <c r="Q53" s="25"/>
      <c r="R53" s="4" t="str">
        <f>IF(SnapshotTable[[#This Row],[Equity Basis Total]] &gt; 0, SnapshotTable[[#This Row],[Equity Basis Total]] / SnapshotTable[[#This Row],[Equity Shares]], "")</f>
        <v/>
      </c>
      <c r="S53" s="269">
        <f>SnapshotTable[[#This Row],[Last Price]] * SnapshotTable[[#This Row],[Equity Shares]]</f>
        <v>0</v>
      </c>
      <c r="T53" s="269">
        <f>SnapshotTable[[#This Row],[Equity Value]] - SnapshotTable[[#This Row],[Equity Basis Total]]</f>
        <v>0</v>
      </c>
      <c r="U53" s="270" t="str">
        <f>IF(SnapshotTable[[#This Row],[Equity Basis Total]] &gt; 0, SnapshotTable[[#This Row],[Equity G/L]] / SnapshotTable[[#This Row],[Equity Basis Total]], "")</f>
        <v/>
      </c>
      <c r="V53" s="268"/>
      <c r="W53" s="268"/>
      <c r="X53" s="4" t="str">
        <f>IF(AND(ISNUMBER(SnapshotTable[[#This Row],[Equity Basis Per Share]]),ISNUMBER(SnapshotTable[[#This Row],[Equity Target]])),SnapshotTable[[#This Row],[Equity Target]]-SnapshotTable[[#This Row],[Equity Basis Per Share]],"")</f>
        <v/>
      </c>
      <c r="Y53" s="4" t="str">
        <f>IF(AND(ISNUMBER(SnapshotTable[[#This Row],[Equity Basis Per Share]]),ISNUMBER(SnapshotTable[[#This Row],[Equity Stop Loss]])),SnapshotTable[[#This Row],[Equity Stop Loss]]-SnapshotTable[[#This Row],[Equity Basis Per Share]],"")</f>
        <v/>
      </c>
      <c r="Z53" s="275" t="str">
        <f>IFERROR( TEXT(SnapshotTable[[#This Row],[Equity Max Gain Per Share]] /ABS( SnapshotTable[[#This Row],[Equity Max Loss Per Share]]),"0.0 " ) &amp; " : 1", "")</f>
        <v/>
      </c>
      <c r="AA53" s="31" t="str">
        <f>IF(ISNUMBER(SnapshotTable[[#This Row],[Equity Max Gain Per Share]]),SnapshotTable[[#This Row],[Equity Max Gain Per Share]] * SnapshotTable[[#This Row],[Equity Shares]],"")</f>
        <v/>
      </c>
      <c r="AB53" s="31" t="str">
        <f>IF(ISNUMBER(SnapshotTable[[#This Row],[Equity Max Loss Per Share]]),SnapshotTable[[#This Row],[Equity Max Loss Per Share]] * SnapshotTable[[#This Row],[Equity Shares]],"")</f>
        <v/>
      </c>
      <c r="AC53" s="150"/>
      <c r="AD53" s="151"/>
      <c r="AE53" s="31">
        <f>(SnapshotTable[[#This Row],[Annual Dividend Per Share]] / 4) * SnapshotTable[[#This Row],[Equity Shares]]</f>
        <v>0</v>
      </c>
      <c r="AF53" s="31">
        <f>SnapshotTable[[#This Row],[Quarterly Div $]] * 4</f>
        <v>0</v>
      </c>
      <c r="AG53" s="7">
        <f>IF(SnapshotTable[[#This Row],[Annual Dividend Per Share]]&gt;0, SnapshotTable[[#This Row],[Annual Dividend Per Share]]  / SnapshotTable[[#This Row],[Last Price]], 0)</f>
        <v>0</v>
      </c>
      <c r="AH53" s="151"/>
      <c r="AI53" s="5"/>
      <c r="AJ53" s="138">
        <v>289.99</v>
      </c>
      <c r="AK53" s="152" t="str">
        <f>IF(ISNUMBER( SnapshotTable[[#This Row],[EBF Target]]),(SnapshotTable[[#This Row],[EBF Target]] - SnapshotTable[[#This Row],[Last Price]]) / SnapshotTable[[#This Row],[Last Price]], "")</f>
        <v/>
      </c>
      <c r="AL53" s="152" t="str">
        <f>IF(AND(SnapshotTable[[#This Row],[Equity Basis Total]] &gt; 0,ISNUMBER( SnapshotTable[[#This Row],[Long Term Target]])), SnapshotTable[[#This Row],[From Basis $]] / SnapshotTable[[#This Row],[Equity Basis Total]], "")</f>
        <v/>
      </c>
      <c r="AM53" s="9">
        <f>IF( AND(SnapshotTable[[#This Row],[Equity Shares]] &gt;0,ISNUMBER( SnapshotTable[[#This Row],[Long Term Target]])),(SnapshotTable[[#This Row],[Equity Shares]] * SnapshotTable[[#This Row],[Long Term Target]]) - SnapshotTable[[#This Row],[Equity Basis Total]],0)</f>
        <v>0</v>
      </c>
      <c r="AN53" s="9">
        <f>IF( AND(SnapshotTable[[#This Row],[Equity Shares]] &gt;0,ISNUMBER( SnapshotTable[[#This Row],[Long Term Target]])),(SnapshotTable[[#This Row],[Equity Shares]]*SnapshotTable[[#This Row],[Long Term Target]]) - SnapshotTable[[#This Row],[Equity Value]],0)</f>
        <v>0</v>
      </c>
      <c r="AO53" s="152">
        <f>IF(AND(ISNUMBER( SnapshotTable[[#This Row],[Long Term Target]]), ISNUMBER(SnapshotTable[[#This Row],[Last Price]])),(SnapshotTable[[#This Row],[Long Term Target]] - SnapshotTable[[#This Row],[Last Price]]) / SnapshotTable[[#This Row],[Last Price]], "")</f>
        <v>1.6970796130952384</v>
      </c>
      <c r="AP53" s="5">
        <v>105</v>
      </c>
      <c r="AQ53" s="38" t="s">
        <v>45</v>
      </c>
      <c r="AR53" s="5"/>
      <c r="AS53" s="38" t="s">
        <v>38</v>
      </c>
      <c r="AT53" s="146" t="s">
        <v>549</v>
      </c>
      <c r="AU53" s="187" t="str">
        <f>IF(OR(SnapshotTable[[#This Row],[LP No Fill]]="Y",SnapshotTable[[#This Row],[SP Is Filled]],SnapshotTable[[#This Row],[LC Not Filled]]="Y",SnapshotTable[[#This Row],[SC Is Filled]]),"Y","")</f>
        <v/>
      </c>
      <c r="AV53" s="219"/>
      <c r="AW53" s="225"/>
      <c r="AX53" s="220"/>
      <c r="AY53" s="219" t="str">
        <f>IF(SnapshotTable[[#This Row],[Implied Move]]&gt;0, SnapshotTable[[#This Row],[Last Price]]-SnapshotTable[[#This Row],[Implied Move]],"")</f>
        <v/>
      </c>
      <c r="AZ53" s="219" t="str">
        <f>IF(SnapshotTable[[#This Row],[Implied Move]]&gt;0, SnapshotTable[[#This Row],[Last Price]] + SnapshotTable[[#This Row],[Implied Move]],"")</f>
        <v/>
      </c>
      <c r="BA53" s="331">
        <v>105</v>
      </c>
      <c r="BB53" s="347"/>
      <c r="BC5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3" s="351"/>
      <c r="BE53" s="5"/>
      <c r="BF53" s="14"/>
      <c r="BG53" s="13"/>
      <c r="BH53" s="13"/>
      <c r="BI53" s="5"/>
      <c r="BJ53" s="136">
        <f>IF(SnapshotTable[[#This Row],[LP Qty]] &gt; 0, SnapshotTable[[#This Row],[LP Qty]] * SnapshotTable[[#This Row],[LP Book Price]] * 100,0)</f>
        <v>0</v>
      </c>
      <c r="BK53" s="136">
        <f>IF(SnapshotTable[[#This Row],[LP Premium]] &gt; 0, SnapshotTable[[#This Row],[LP Qty]] * SnapshotTable[[#This Row],[LP Strike Price]] * 100,0)</f>
        <v>0</v>
      </c>
      <c r="BL53" s="154"/>
      <c r="BM53" s="385" t="str">
        <f>IF(SnapshotTable[[#This Row],[LP Premium]] &gt; 0,SnapshotTable[[#This Row],[LP Exp Date]]-MAX(SnapshotTable[[#This Row],[LP Book Date]], SnapshotTable[[#This Row],[LP Fill Date]]),"")</f>
        <v/>
      </c>
      <c r="BN53" s="385" t="str">
        <f>IF(ISNUMBER( SnapshotTable[[#This Row],[LP Term]]), SnapshotTable[[#This Row],[LP Exp Date]] - MockToday,"")</f>
        <v/>
      </c>
      <c r="BO53" s="163" t="str">
        <f>IF(AND(SnapshotTable[[#This Row],[LP Exp Date]]&gt;0, SnapshotTable[[#This Row],[LP Strike Price]]&gt;0,SnapshotTable[[#This Row],[LP Qty]]&gt;0,SnapshotTable[[#This Row],[LP Book Date]]&gt;0,SnapshotTable[[#This Row],[LP Book Price]]&gt;0,SnapshotTable[[#This Row],[LP Fill Date]]=0),"Y","")</f>
        <v/>
      </c>
      <c r="BP53" s="31" t="str">
        <f>IF(AND(SnapshotTable[[#This Row],[LP No Fill]]&lt;&gt;"Y",SnapshotTable[[#This Row],[LP Contract Value]]&gt;0, SnapshotTable[[#This Row],[LP Qty]]&gt;0), SnapshotTable[[#This Row],[LP Contract Value]]*SnapshotTable[[#This Row],[LP Qty]]*100,"")</f>
        <v/>
      </c>
      <c r="BQ53" s="13"/>
      <c r="BR53" s="5" t="str">
        <f>IF(SnapshotTable[[#This Row],[SP Exp Date]]&lt;&gt;"",TRUNC(SnapshotTable[[#This Row],[Last Price]]),"")</f>
        <v/>
      </c>
      <c r="BS53" s="36"/>
      <c r="BT53" s="147"/>
      <c r="BU53" s="13"/>
      <c r="BV53" s="5"/>
      <c r="BW53" s="419" t="b">
        <f>AND(ISNUMBER(SnapshotTable[[#This Row],[SP Exp Date]]), ISNUMBER(SnapshotTable[[#This Row],[SP Strike Price]]), ISNUMBER(SnapshotTable[[#This Row],[SP Qty]]), ISNUMBER(SnapshotTable[[#This Row],[SP Book Date]]), ISNUMBER(SnapshotTable[[#This Row],[SP Book Price]]))</f>
        <v>0</v>
      </c>
      <c r="BX53" s="419" t="b">
        <f>AND(SnapshotTable[[#This Row],[SP Is Booked]], NOT(ISBLANK(SnapshotTable[[#This Row],[SP Fill Date]])))</f>
        <v>0</v>
      </c>
      <c r="BY53" s="33">
        <f>IF(SnapshotTable[[#This Row],[SP Is Booked]], SnapshotTable[[#This Row],[SP Qty]] * SnapshotTable[[#This Row],[SP Book Price]] * 100, 0)</f>
        <v>0</v>
      </c>
      <c r="BZ53" s="369"/>
      <c r="CA53" s="368">
        <f>SnapshotTable[[#This Row],[LP Qty]]</f>
        <v>0</v>
      </c>
      <c r="CB53" s="4" t="str">
        <f>IF(SnapshotTable[[#This Row],[SP Is Booked]], SnapshotTable[[#This Row],[SP Strike Price]] - SnapshotTable[[#This Row],[SP Book Price]], "")</f>
        <v/>
      </c>
      <c r="CC53" s="19" t="str">
        <f>IF(SnapshotTable[[#This Row],[SP Is Booked]],SnapshotTable[[#This Row],[SP Exp Date]]-MAX(SnapshotTable[[#This Row],[SP Book Date]], SnapshotTable[[#This Row],[SP Fill Date]]),"")</f>
        <v/>
      </c>
      <c r="CD53" s="7" t="str">
        <f>IF(SnapshotTable[[#This Row],[SP Is Booked]], SnapshotTable[[#This Row],[SP Book Price]]/SnapshotTable[[#This Row],[SP Strike Price]], "")</f>
        <v/>
      </c>
      <c r="CE53" s="7" t="str">
        <f>IF(ISNUMBER(SnapshotTable[[#This Row],[SP ROO Term]]),SnapshotTable[[#This Row],[SP ROO Term]]*(365/SnapshotTable[[#This Row],[SP Term]]),"")</f>
        <v/>
      </c>
      <c r="CF53" s="236">
        <f>SnapshotTable[[#This Row],[LP Strike Price]] * SnapshotTable[[#This Row],[LP Qty]] * 100</f>
        <v>0</v>
      </c>
      <c r="CG53" s="31" t="e">
        <f>IF(ISNUMBER(SnapshotTable[[#This Row],[SP Premium]]), (SnapshotTable[[#This Row],[SP Qty]] * SnapshotTable[[#This Row],[SP Strike Price]]* 100) - SnapshotTable[[#This Row],[LP Protection]], 0)</f>
        <v>#VALUE!</v>
      </c>
      <c r="CH53" s="7" t="str">
        <f>IF(ISNUMBER(SnapshotTable[[#This Row],[SP Break Even]]),-1 * (SnapshotTable[[#This Row],[SP Break Even]] - SnapshotTable[[#This Row],[Last Price]]) / SnapshotTable[[#This Row],[Last Price]], "")</f>
        <v/>
      </c>
      <c r="CI53" s="31">
        <f>IF(AND(ISNUMBER((SnapshotTable[[#This Row],[SP Potential Spend]])), SnapshotTable[[#This Row],[SP Strike Price]] &gt; SnapshotTable[[#This Row],[Last Price]], SnapshotTable[[#This Row],[SP Is Filled]]), SnapshotTable[[#This Row],[SP Potential Spend]] -  SnapshotTable[[#This Row],[LP Max Value]], 0)</f>
        <v>0</v>
      </c>
      <c r="CJ53" s="244"/>
      <c r="CK53" s="31" t="str">
        <f>IF(ISNUMBER(SnapshotTable[[#This Row],[SP Potential Spend]]),IF(ISNUMBER(SnapshotTable[[#This Row],[SP POW]]), SnapshotTable[[#This Row],[SP POW]] * SnapshotTable[[#This Row],[SP Potential Spend]], SnapshotTable[[#This Row],[SP Potential Spend]]), "")</f>
        <v/>
      </c>
      <c r="CL53" s="164" t="e">
        <f>IF(NOT(SnapshotTable[[#This Row],[SP Is Filled]]),(SnapshotTable[[#This Row],[SP Qty]] * SnapshotTable[[#This Row],[SP Strike Price]] * 100) - SnapshotTable[[#This Row],[LP Max Value]],"")</f>
        <v>#VALUE!</v>
      </c>
      <c r="CM53" s="31" t="str">
        <f>IF(SnapshotTable[[#This Row],[SP Actual Spend]]&lt;&gt;0, ((SnapshotTable[[#This Row],[SP Strike Price]]-SnapshotTable[[#This Row],[Last Price]]) *(SnapshotTable[[#This Row],[SP Qty]]*100) - SnapshotTable[[#This Row],[SP Premium]]) * - 1, "")</f>
        <v/>
      </c>
      <c r="CN53" s="78"/>
      <c r="CO53" s="369"/>
      <c r="CP53" s="4" t="str">
        <f>IF(SnapshotTable[[#This Row],[SP Is Filled]], btc_max_buyback_amount(SnapshotTable[[#This Row],[SP Fill Date]],SnapshotTable[[#This Row],[SP Exp Date]], SnapshotTable[[#This Row],[SP Book Price]]),"")</f>
        <v/>
      </c>
      <c r="CQ53" s="78"/>
      <c r="CR5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3" s="155" t="str">
        <f>IF(SnapshotTable[[#This Row],[SP Is Filled]], btc_next_cutoff_date(SnapshotTable[[#This Row],[SP Fill Date]],SnapshotTable[[#This Row],[SP Exp Date]]),"")</f>
        <v/>
      </c>
      <c r="CT53" s="235" t="str" cm="1">
        <f t="array" ref="CT53">IF(SnapshotTable[[#This Row],[SP Is Filled]], btc_should_buy_back(SnapshotTable[[#This Row],[SP Fill Date]], SnapshotTable[[#This Row],[SP Exp Date]], SnapshotTable[[#This Row],[SP Book Price]], SnapshotTable[[#This Row],[SP Current Ask]], MockToday, SnapshotTable[[#This Row],[SP Buyback Override]]),"")</f>
        <v/>
      </c>
      <c r="CU53" s="143">
        <v>44883</v>
      </c>
      <c r="CV53" s="235"/>
      <c r="CW53" s="378" t="str">
        <f>IF(ISNUMBER( SnapshotTable[[#This Row],[SP Term]]), SnapshotTable[[#This Row],[SP Exp Date]] - MockToday,"")</f>
        <v/>
      </c>
      <c r="CX53" s="31" t="str">
        <f>IF(SnapshotTable[[#This Row],[SP Is Filled]],SnapshotTable[[#This Row],[SP Buyback Price to Use]] * 100 * SnapshotTable[[#This Row],[SP Qty]], "")</f>
        <v/>
      </c>
      <c r="CY53" s="4" t="str">
        <f>IF(ISNUMBER(SnapshotTable[[#This Row],[SP Strike Price]]), SnapshotTable[[#This Row],[SP Strike Price]] * (1 - SP_MaxLoss_StrikePct), "")</f>
        <v/>
      </c>
      <c r="CZ53" s="31" t="str">
        <f>IF(ISNUMBER(SnapshotTable[[#This Row],[SP Strike  Stop Per Share]]),SnapshotTable[[#This Row],[SP Premium]] - ((SnapshotTable[[#This Row],[SP Strike Price]]-SnapshotTable[[#This Row],[SP Strike  Stop Per Share]]) *(SnapshotTable[[#This Row],[SP Qty]] * 100)),"")</f>
        <v/>
      </c>
      <c r="DA53" s="4" t="str">
        <f>IF(AND(ISNUMBER(SnapshotTable[[#This Row],[SP Premium]]),SnapshotTable[[#This Row],[SP Premium]]&gt;0), SnapshotTable[[#This Row],[SP Book Price]] * (1 + SP_MaxLoss_OptionPct), "")</f>
        <v/>
      </c>
      <c r="DB53" s="31" t="str">
        <f>IF(ISNUMBER(SnapshotTable[[#This Row],[SP Option  Stop Contract]]),(SnapshotTable[[#This Row],[SP Option  Stop Contract]] *(SnapshotTable[[#This Row],[SP Qty]] * 100) - SnapshotTable[[#This Row],[SP Premium]]),"")</f>
        <v/>
      </c>
      <c r="DC53" s="4"/>
      <c r="DD53" s="4"/>
      <c r="DE53" s="4" t="str">
        <f>IF(AND(SnapshotTable[[#This Row],[SP Qty]]&gt;0, SnapshotTable[[#This Row],[SP Stop To Use]]&gt;0),SnapshotTable[[#This Row],[SP Premium]] - ( SnapshotTable[[#This Row],[SP Qty]] * SnapshotTable[[#This Row],[SP Stop To Use]] * 100), "")</f>
        <v/>
      </c>
      <c r="DF53" s="31" t="str">
        <f>IF(AND(SnapshotTable[[#This Row],[SP Qty]]&gt;0,SnapshotTable[[#This Row],[SP Current Ask]]&gt;0), SnapshotTable[[#This Row],[SP Qty]] * SnapshotTable[[#This Row],[SP Current Ask]] * -100, "")</f>
        <v/>
      </c>
      <c r="DG53" s="31" t="str">
        <f>IF(ISNUMBER((SnapshotTable[[#This Row],[SP Total Value]])), SnapshotTable[[#This Row],[SP Premium]] + SnapshotTable[[#This Row],[SP Total Value]], "")</f>
        <v/>
      </c>
      <c r="DH53" s="294" t="str">
        <f>IF(ISNUMBER((SnapshotTable[[#This Row],[SP Total Value]])), SnapshotTable[[#This Row],[SP Gain Loss]] / SnapshotTable[[#This Row],[SP Premium]], "")</f>
        <v/>
      </c>
      <c r="DI53" s="406"/>
      <c r="DJ53" s="138"/>
      <c r="DK53" s="148"/>
      <c r="DL53" s="13"/>
      <c r="DM53" s="13"/>
      <c r="DO53" s="31">
        <f>IF(SnapshotTable[[#This Row],[LC Symbol Count]]=1, SnapshotTable[[#This Row],[LC Qty]] * SnapshotTable[[#This Row],[LC Book Price]] * 100, 0)</f>
        <v>0</v>
      </c>
      <c r="DP53" s="163" t="str">
        <f>IF(AND(SnapshotTable[[#This Row],[LC Exp Date]]&gt;0, SnapshotTable[[#This Row],[LC Strike Price]]&gt;0,SnapshotTable[[#This Row],[LC Qty]]&gt;0,SnapshotTable[[#This Row],[LC Book Date]]&gt;0,SnapshotTable[[#This Row],[LC Book Price]]&gt;0,SnapshotTable[[#This Row],[LC Fill Date]]=0),"Y","")</f>
        <v/>
      </c>
      <c r="DQ53" s="386" t="str">
        <f>IF(SnapshotTable[[#This Row],[LC Premium]] &gt; 0,SnapshotTable[[#This Row],[LC Exp Date]]-MAX(SnapshotTable[[#This Row],[LC Book Date]], SnapshotTable[[#This Row],[LC Fill Date]]),"")</f>
        <v/>
      </c>
      <c r="DR53" s="386" t="str">
        <f>IF(ISNUMBER(SnapshotTable[[#This Row],[LC Term]]), SnapshotTable[[#This Row],[LC Exp Date]] - MockToday, "")</f>
        <v/>
      </c>
      <c r="DS53" s="234" t="str">
        <f>IF(SnapshotTable[[#This Row],[LC Premium]]&gt;0,SnapshotTable[[#This Row],[LC Strike Price]] + SnapshotTable[[#This Row],[LC Book Price]],"")</f>
        <v/>
      </c>
      <c r="DU53" s="9" t="str">
        <f>IF(AND(SnapshotTable[[#This Row],[LC Symbol Count]]&gt;0, SnapshotTable[[#This Row],[LC Contract Value]]&gt;0), SnapshotTable[[#This Row],[LC Contract Value]] * SnapshotTable[[#This Row],[LC Qty]] * 100, "")</f>
        <v/>
      </c>
      <c r="DV53" s="9" t="str">
        <f>IF(AND(ISNUMBER(SnapshotTable[[#This Row],[LC Total Value]]), SnapshotTable[[#This Row],[LC Not Filled]]&lt;&gt;"Y"), SnapshotTable[[#This Row],[LC Total Value]]-SnapshotTable[[#This Row],[LC Premium]],"")</f>
        <v/>
      </c>
      <c r="DW53" s="240" t="str">
        <f>IF(ISNUMBER(SnapshotTable[[#This Row],[LC Actual Gain Loss]]), SnapshotTable[[#This Row],[LC Actual Gain Loss]] / SnapshotTable[[#This Row],[LC Premium]],"")</f>
        <v/>
      </c>
      <c r="DX53" s="284" t="str">
        <f>IF(ISNUMBER(SnapshotTable[[#This Row],[LC Book Price]]),SnapshotTable[[#This Row],[LC Book Price]] * 1.5,"")</f>
        <v/>
      </c>
      <c r="DY53" s="265" t="str">
        <f>IF(SnapshotTable[[#This Row],[LC Premium]]&gt;0, SnapshotTable[[#This Row],[LC Next Target]] * SnapshotTable[[#This Row],[LC Qty]] * 100,"")</f>
        <v/>
      </c>
      <c r="DZ53" s="265" t="str">
        <f>IF(ISNUMBER(SnapshotTable[[#This Row],[LC Target Gross]]), SnapshotTable[[#This Row],[LC Target Gross]] - SnapshotTable[[#This Row],[LC Premium]], "")</f>
        <v/>
      </c>
      <c r="EA53" s="305" t="str">
        <f>IF(ISNUMBER(SnapshotTable[[#This Row],[LC Target Gain Loss]]), SnapshotTable[[#This Row],[LC Target Gain Loss]]/SnapshotTable[[#This Row],[LC Premium]], "")</f>
        <v/>
      </c>
      <c r="EB53" s="262"/>
      <c r="EC53" s="283" t="str">
        <f>IF(SnapshotTable[[#This Row],[LC Premium]]&gt;0, SnapshotTable[[#This Row],[LC Book Price]] * (1 - LC_StopLoss_Pct),"")</f>
        <v/>
      </c>
      <c r="ED53" s="284"/>
      <c r="EE53" s="283" t="str">
        <f>IF(ISNUMBER(SnapshotTable[[#This Row],[LC Contract Value]]),IF(ISNUMBER(SnapshotTable[[#This Row],[LC Stop Loss Override]]), SnapshotTable[[#This Row],[LC Stop Loss Override]],SnapshotTable[[#This Row],[LC Stop Loss Calc Target]]),"")</f>
        <v/>
      </c>
      <c r="EF53" s="31" t="str">
        <f>IF(ISNUMBER(SnapshotTable[[#This Row],[LC Stop  To Use]]), (SnapshotTable[[#This Row],[LC Stop  To Use]] * SnapshotTable[[#This Row],[LC Qty]] * 100),"")</f>
        <v/>
      </c>
      <c r="EG53" s="9" t="str">
        <f>IF(ISNUMBER(SnapshotTable[[#This Row],[LC Total Value]]),SnapshotTable[[#This Row],[LC Stop Loss Amount]] - SnapshotTable[[#This Row],[LC Premium]],"")</f>
        <v/>
      </c>
      <c r="EH53" s="9">
        <f>IF(ISNUMBER(SnapshotTable[[#This Row],[LC Premium]]), SnapshotTable[[#This Row],[LC Qty]] * 100 * SnapshotTable[[#This Row],[LC Strike Price]], "")</f>
        <v>0</v>
      </c>
      <c r="EI53" s="240" t="str">
        <f>IF(AND(ISNUMBER(SnapshotTable[[#This Row],[LC Total Value]]),SnapshotTable[[#This Row],[LC Total Value]]&gt;0),SnapshotTable[[#This Row],[LC Stop Gain Loss]]  / SnapshotTable[[#This Row],[LC Premium]],"")</f>
        <v/>
      </c>
      <c r="EJ53" s="35">
        <f>IF(ISNUMBER(SnapshotTable[[#This Row],[Equity Shares]]),TRUNC(SnapshotTable[[#This Row],[Equity Shares]] / 100),0) + SnapshotTable[[#This Row],[LC Qty]]</f>
        <v>0</v>
      </c>
      <c r="EK53" s="147"/>
      <c r="EL53" s="138" t="str">
        <f>IF(SnapshotTable[[#This Row],[SC Exp Date]]&lt;&gt;"",TRUNC(SnapshotTable[[#This Row],[Last Price]]),"")</f>
        <v/>
      </c>
      <c r="EM53" s="148"/>
      <c r="EN53" s="147"/>
      <c r="EO53" s="147"/>
      <c r="EP53" s="138"/>
      <c r="EQ53" s="419" t="b">
        <f>AND(ISNUMBER(SnapshotTable[[#This Row],[SC Exp Date]]), ISNUMBER(SnapshotTable[[#This Row],[SC Strike Price]]), ISNUMBER(SnapshotTable[[#This Row],[SC Qty]]), ISNUMBER(SnapshotTable[[#This Row],[SC Book Date]]), ISNUMBER(SnapshotTable[[#This Row],[SC Book Price]]))</f>
        <v>0</v>
      </c>
      <c r="ER53" s="419" t="b">
        <f>AND(SnapshotTable[[#This Row],[SC Is Booked]], NOT(ISBLANK(SnapshotTable[[#This Row],[SC Fill Date]])))</f>
        <v>0</v>
      </c>
      <c r="ES53" s="370"/>
      <c r="ET53" s="34" t="str">
        <f>IF(AND(ISNUMBER(SnapshotTable[[#This Row],[SC Exp Date]]), ISNUMBER(SnapshotTable[[#This Row],[SC Book Date]])), SnapshotTable[[#This Row],[SC Exp Date]] - MAX(SnapshotTable[[#This Row],[SC Book Date]], SnapshotTable[[#This Row],[SC Fill Date]]) + 1, "")</f>
        <v/>
      </c>
      <c r="EU53" s="34" t="str">
        <f>IF(ISNUMBER(SnapshotTable[[#This Row],[SC Term]]), SnapshotTable[[#This Row],[SC Exp Date]]- MockToday, "")</f>
        <v/>
      </c>
      <c r="EV53" s="31">
        <f>IF(SnapshotTable[[#This Row],[SC Is Booked]], SnapshotTable[[#This Row],[SC Qty]] * SnapshotTable[[#This Row],[SC Book Price]] * 100, 0)</f>
        <v>0</v>
      </c>
      <c r="EW53" s="4" t="str">
        <f>IF(AND(ISNUMBER(SnapshotTable[[#This Row],[Last Price]]), ISNUMBER( SnapshotTable[[#This Row],[SC Book Price]])), SnapshotTable[[#This Row],[Last Price]] - SnapshotTable[[#This Row],[SC Book Price]],"")</f>
        <v/>
      </c>
      <c r="EX53" s="234" t="str">
        <f>IF(SnapshotTable[[#This Row],[SC Is Booked]],IF(SnapshotTable[[#This Row],[SC Intrinsic Value]] &gt; 0, SnapshotTable[[#This Row],[SC Strike Price]], SnapshotTable[[#This Row],[Last Price]]), "")</f>
        <v/>
      </c>
      <c r="EY53" s="4">
        <f>IF(SnapshotTable[[#This Row],[SC Is Booked]], (MinimumPremiumRequired * SnapshotTable[[#This Row],[SC Basis]] * SnapshotTable[[#This Row],[SC Term]]), 0)</f>
        <v>0</v>
      </c>
      <c r="EZ53" s="283"/>
      <c r="FA53" s="218"/>
      <c r="FB53" s="370"/>
      <c r="FC53" s="4">
        <f>IF(SnapshotTable[[#This Row],[SC Is Filled]], btc_max_buyback_amount(SnapshotTable[[#This Row],[SC Fill Date]],SnapshotTable[[#This Row],[SC Exp Date]], SnapshotTable[[#This Row],[SC Book Price]]),0)</f>
        <v>0</v>
      </c>
      <c r="FD53" s="5"/>
      <c r="FE53" s="144" t="str">
        <f>IF(SnapshotTable[[#This Row],[SC Is Filled]], btc_next_cutoff_date(SnapshotTable[[#This Row],[SC Fill Date]],SnapshotTable[[#This Row],[SC Exp Date]]),"")</f>
        <v/>
      </c>
      <c r="FF53" s="4" t="str" cm="1">
        <f t="array" ref="FF53">IF(SnapshotTable[[#This Row],[SC Is Filled]], btc_should_buy_back(SnapshotTable[[#This Row],[SC Fill Date]], SnapshotTable[[#This Row],[SC Exp Date]], SnapshotTable[[#This Row],[SC Book Price]], SnapshotTable[[#This Row],[SC Current Ask]], MockToday, SnapshotTable[[#This Row],[SC Buyback Override]]),"")</f>
        <v/>
      </c>
      <c r="FG53" s="4">
        <f>IF(SnapshotTable[[#This Row],[SC Is Filled]], MAX(0,SnapshotTable[[#This Row],[Last Price]]  - SnapshotTable[[#This Row],[SC Strike Price]]), 0)</f>
        <v>0</v>
      </c>
      <c r="FH53" s="382">
        <f>IF(SnapshotTable[[#This Row],[SC Is Filled]], IF(ISNUMBER(SnapshotTable[[#This Row],[SC Current Ask]]), SnapshotTable[[#This Row],[SC Current Ask]], SnapshotTable[[#This Row],[SC Book Price]]) - SnapshotTable[[#This Row],[SC Intrinsic Value]], 0)</f>
        <v>0</v>
      </c>
      <c r="FI53" s="143"/>
      <c r="FJ53" s="32" t="str">
        <f>IF(SnapshotTable[[#This Row],[SC Is Filled]],100 * SnapshotTable[[#This Row],[SC Qty]] * IF(ISNUMBER(SnapshotTable[[#This Row],[SC Buyback Override]]), SnapshotTable[[#This Row],[SC Buyback Override]], SnapshotTable[[#This Row],[SC Current Ask]]), "")</f>
        <v/>
      </c>
      <c r="FK53" s="250" t="str">
        <f>IF(SnapshotTable[[#This Row],[SC Time Val]]&gt;0, SnapshotTable[[#This Row],[SC Time Val]] / SnapshotTable[[#This Row],[Last Price]],"")</f>
        <v/>
      </c>
      <c r="FL53" s="302" t="str">
        <f>IF(SnapshotTable[[#This Row],[SC Is Booked]], ((SnapshotTable[[#This Row],[Last Price]] -SnapshotTable[[#This Row],[SC Strike Price]]) / SnapshotTable[[#This Row],[Last Price]]) * -1, "")</f>
        <v/>
      </c>
      <c r="FM53" s="157" t="str">
        <f>IF(SnapshotTable[[#This Row],[SC Is Booked]],  (SnapshotTable[[#This Row],[SC Qty]] * 100 * SnapshotTable[[#This Row],[SC Strike Price]]) - SnapshotTable[[#This Row],[SC Current Ask]], "")</f>
        <v/>
      </c>
      <c r="FN5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3" s="31" t="str">
        <f>IF(AND(ISNUMBER(SnapshotTable[[#This Row],[SC Exercise Gross]]), ISNUMBER(SnapshotTable[[#This Row],[Equity Basis Per Share]] )), SnapshotTable[[#This Row],[SC Exercise Gross]] - SnapshotTable[[#This Row],[Equity Basis Total]] +  SnapshotTable[[#This Row],[SC Premium]], "")</f>
        <v/>
      </c>
      <c r="FP53" s="5" t="str">
        <f>IF(ISNUMBER(SnapshotTable[[#This Row],[SC Exercise Gross]]), (SnapshotTable[[#This Row],[SC Exercise Gross]]) / (SnapshotTable[[#This Row],[SC Qty]] * 100), "")</f>
        <v/>
      </c>
      <c r="FQ53" s="27" t="str">
        <f>IF(SnapshotTable[[#This Row],[SC Is Booked]],SnapshotTable[[#This Row],[SC Time Val]] /SnapshotTable[[#This Row],[SC Basis]], "")</f>
        <v/>
      </c>
      <c r="FR53" s="27" t="str" cm="1">
        <f t="array" ref="FR53">IF(AND(ISNUMBER(SnapshotTable[[#This Row],[SC Term]]),ISNUMBER(SnapshotTable[[#This Row],[SC Simple ROO]])), EllmanAnnualize(SnapshotTable[[#This Row],[SC DTE]], SnapshotTable[[#This Row],[SC Simple ROO]] ),"")</f>
        <v/>
      </c>
      <c r="FS53" s="4" t="e">
        <f>IF(SnapshotTable[[#This Row],[SC Strike Price]] &gt; SnapshotTable[[#This Row],[Last Price]], SnapshotTable[[#This Row],[SC Strike Price]] - SnapshotTable[[#This Row],[Last Price]],0)</f>
        <v>#VALUE!</v>
      </c>
      <c r="FT53" s="27" t="e">
        <f>IF(AND(ISNUMBER(SnapshotTable[[#This Row],[SC Upside Potential]]), SnapshotTable[[#This Row],[SC Upside Potential]] &gt; 0),(SnapshotTable[[#This Row],[SC Upside Potential]]/ SnapshotTable[[#This Row],[ACB]]),"")</f>
        <v>#VALUE!</v>
      </c>
      <c r="FU53" s="333" t="str">
        <f>IF(SnapshotTable[[#This Row],[SC Intrinsic Value]] &gt; 0,SnapshotTable[[#This Row],[SC Intrinsic Value]],"")</f>
        <v/>
      </c>
      <c r="FV53" s="27" t="str">
        <f>IF(AND( ISNUMBER( SnapshotTable[[#This Row],[ACB]]),ISNUMBER(SnapshotTable[[#This Row],[SC Downside Protect]])),SnapshotTable[[#This Row],[SC Downside Protect]] / SnapshotTable[[#This Row],[ACB]],"")</f>
        <v/>
      </c>
      <c r="FW53" s="236" t="str">
        <f>IF(AND(ISNUMBER(SnapshotTable[[#This Row],[SC Simple ROO]]),SnapshotTable[[#This Row],[SC Simple ROO]] &gt; 0), SnapshotTable[[#This Row],[SC Premium]] + (SnapshotTable[[#This Row],[SC Qty]] * SnapshotTable[[#This Row],[SC Upside Potential]]), "")</f>
        <v/>
      </c>
      <c r="FX53" s="302" t="str" cm="1">
        <f t="array" ref="FX53">IF(ISNUMBER(SnapshotTable[[#This Row],[SC Max Dollars]]), annualize(SnapshotTable[[#This Row],[SC Term]],(SnapshotTable[[#This Row],[SC Max Dollars]]/SnapshotTable[[#This Row],[SC Basis]])),"")</f>
        <v/>
      </c>
      <c r="FY53" s="236" t="str">
        <f>IF(AND(SnapshotTable[[#This Row],[SC Qty]]&gt;0,SnapshotTable[[#This Row],[SC Current Ask]]&gt;0), SnapshotTable[[#This Row],[SC Qty]] * SnapshotTable[[#This Row],[SC Current Ask]] * -100, "")</f>
        <v/>
      </c>
      <c r="FZ53" s="31" t="str">
        <f>IF(ISNUMBER((SnapshotTable[[#This Row],[SC Current Value]])), SnapshotTable[[#This Row],[SC Premium]] + SnapshotTable[[#This Row],[SC Current Value]], "")</f>
        <v/>
      </c>
      <c r="GA53" s="294" t="str">
        <f>IFERROR( IF(ISNUMBER((SnapshotTable[[#This Row],[SC Current Value]])), SnapshotTable[[#This Row],[SC Gain Loss]] / SnapshotTable[[#This Row],[SC Premium]], ""), "")</f>
        <v/>
      </c>
      <c r="GB53" s="42">
        <f>SnapshotTable[[#This Row],[Equity Shares]] * SaleSharesToConsiderPercentage</f>
        <v>0</v>
      </c>
      <c r="GC53" s="40">
        <f>SnapshotTable[[#This Row],[Long Term Target]] * SellingPriceToConsiderBasedOnTargetPercentage</f>
        <v>275.4905</v>
      </c>
      <c r="GD53" s="40">
        <f>SnapshotTable[[#This Row],[Last Price]] * (1+ SellingPriceToConsiderBasedOnTargetPercentage)</f>
        <v>209.66399999999999</v>
      </c>
      <c r="GE53" s="41"/>
      <c r="GF53" s="40"/>
      <c r="GG53" s="31">
        <f>SnapshotTable[[#This Row],[Booked Sale Shares]] * SnapshotTable[[#This Row],[Booked Sale Price]]</f>
        <v>0</v>
      </c>
      <c r="GH53" s="31" t="str">
        <f>IF(SnapshotTable[[#This Row],[Equity Basis Total]] &gt; 0, SnapshotTable[[#This Row],[Equity Basis Per Share]] * SnapshotTable[[#This Row],[Booked Sale Shares]], "")</f>
        <v/>
      </c>
      <c r="GI53" s="31">
        <f>IF(SnapshotTable[[#This Row],[Sale Proceeds]]&gt;0, SnapshotTable[[#This Row],[Sale Proceeds]] - SnapshotTable[[#This Row],[Sale Basis]], 0)</f>
        <v>0</v>
      </c>
      <c r="GJ53" s="27" t="str">
        <f>IF(SnapshotTable[[#This Row],[Sale G/L]]&gt;0, SnapshotTable[[#This Row],[Sale G/L]] / SnapshotTable[[#This Row],[Sale Basis]], IF(ISNUMBER(SnapshotTable[[#This Row],[SC Exercise P&amp;L (TAX)]]), SnapshotTable[[#This Row],[SC Exercise P&amp;L (TAX)]] / SnapshotTable[[#This Row],[SC Basis]], ""))</f>
        <v/>
      </c>
      <c r="GK53" s="27" t="s">
        <v>646</v>
      </c>
      <c r="GL53" s="43" t="str">
        <f>IF(AND(SnapshotTable[[#This Row],[LP Exp Date]]&gt;0,SnapshotTable[[#This Row],[LP Strike Price]]&gt;0), [1]!ToOptionSymbol(SnapshotTable[[#This Row],[Symbol]], SnapshotTable[[#This Row],[LP Strike Price]],SnapshotTable[[#This Row],[LP Exp Date]],1), "")</f>
        <v/>
      </c>
      <c r="GM53" s="30" t="str">
        <f>IF(LEN(SnapshotTable[[#This Row],[LP Symbol]])&gt;0, 1, "")</f>
        <v/>
      </c>
      <c r="GN53" s="43" t="str">
        <f>IF(AND(SnapshotTable[[#This Row],[SP Exp Date]]&gt;0,SnapshotTable[[#This Row],[SP Strike Price]]&gt;0), [1]!ToOptionSymbol(SnapshotTable[[#This Row],[Symbol]], SnapshotTable[[#This Row],[SP Strike Price]],SnapshotTable[[#This Row],[SP Exp Date]],1), "")</f>
        <v/>
      </c>
      <c r="GO53" s="30" t="str">
        <f>IF(LEN(SnapshotTable[[#This Row],[SP Symbol]])&gt;0, 1, "")</f>
        <v/>
      </c>
      <c r="GP53" s="43" t="str">
        <f>IF(AND(SnapshotTable[[#This Row],[LC Exp Date]]&gt;0,SnapshotTable[[#This Row],[LC Strike Price]]&gt;0), [1]!ToOptionSymbol(SnapshotTable[[#This Row],[Symbol]], SnapshotTable[[#This Row],[LC Strike Price]],SnapshotTable[[#This Row],[LC Exp Date]],0), "")</f>
        <v/>
      </c>
      <c r="GQ53" s="30" t="str">
        <f>IF(LEN(SnapshotTable[[#This Row],[LC Symbol]])&gt;0, 1, "")</f>
        <v/>
      </c>
      <c r="GR53" s="43" t="str">
        <f>IF(AND(SnapshotTable[[#This Row],[SC Exp Date]]&gt;0,SnapshotTable[[#This Row],[SC Strike Price]]&gt;0), [1]!ToOptionSymbol(SnapshotTable[[#This Row],[Symbol]], SnapshotTable[[#This Row],[SC Strike Price]],SnapshotTable[[#This Row],[SC Exp Date]],0), "")</f>
        <v/>
      </c>
      <c r="GS53" s="30" t="str">
        <f>IF(LEN(SnapshotTable[[#This Row],[SC Symbol]])&gt;0, 1, "")</f>
        <v/>
      </c>
      <c r="GT53" s="29" t="str">
        <f>IF(COUNT(SnapshotTable[[#This Row],[LP Symbol Count]],SnapshotTable[[#This Row],[SP Symbol Count]],SnapshotTable[[#This Row],[LC Symbol Count]],SnapshotTable[[#This Row],[SC Symbol Count]])&gt;0, "Y", "")</f>
        <v/>
      </c>
      <c r="GU5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3" s="231" t="e">
        <f>MAX(SnapshotTable[[#This Row],[Equity Basis Total]],SnapshotTable[[#This Row],[Equity Value]]) + (SnapshotTable[[#This Row],[SP Potential Spend]]- SnapshotTable[[#This Row],[SP Premium]] + SnapshotTable[[#This Row],[LP Premium]])+ (SnapshotTable[[#This Row],[LC Premium]] - SnapshotTable[[#This Row],[SC Premium]])</f>
        <v>#VALUE!</v>
      </c>
      <c r="GW53" s="139" t="e">
        <f>IF(AND(SnapshotTable[[#This Row],[Exposure]] &lt;&gt; 0),SnapshotTable[[#This Row],[Exposure]] / SnapshotTable[[#Totals],[Exposure]], "")</f>
        <v>#VALUE!</v>
      </c>
      <c r="HE53" s="268"/>
      <c r="HF53" s="268"/>
      <c r="HK53" s="1"/>
      <c r="HL53" s="1"/>
      <c r="HM53" s="1"/>
      <c r="HN53" s="1"/>
      <c r="HO53" s="1"/>
      <c r="HP53" s="1"/>
    </row>
    <row r="54" spans="2:224" ht="12.75" hidden="1" customHeight="1" x14ac:dyDescent="0.25">
      <c r="B54" s="12" t="s">
        <v>226</v>
      </c>
      <c r="C54" s="422">
        <v>197.74</v>
      </c>
      <c r="D54" s="208"/>
      <c r="E54" s="39">
        <f>SnapshotTable[[#This Row],[Last Price]]*(1 -CrashDiscount)</f>
        <v>168.07900000000001</v>
      </c>
      <c r="F54" s="26" t="s">
        <v>941</v>
      </c>
      <c r="G54" s="26" t="s">
        <v>49</v>
      </c>
      <c r="H54" s="149"/>
      <c r="I54" s="194">
        <v>44775.305555555555</v>
      </c>
      <c r="J54" s="195">
        <v>44775.305555555555</v>
      </c>
      <c r="K54" s="196"/>
      <c r="L54" s="326"/>
      <c r="M54" s="140"/>
      <c r="N54" s="140"/>
      <c r="O54" s="140"/>
      <c r="P54" s="22"/>
      <c r="Q54" s="25"/>
      <c r="R54" s="4" t="str">
        <f>IF(SnapshotTable[[#This Row],[Equity Basis Total]] &gt; 0, SnapshotTable[[#This Row],[Equity Basis Total]] / SnapshotTable[[#This Row],[Equity Shares]], "")</f>
        <v/>
      </c>
      <c r="S54" s="269">
        <f>SnapshotTable[[#This Row],[Last Price]] * SnapshotTable[[#This Row],[Equity Shares]]</f>
        <v>0</v>
      </c>
      <c r="T54" s="269">
        <f>SnapshotTable[[#This Row],[Equity Value]] - SnapshotTable[[#This Row],[Equity Basis Total]]</f>
        <v>0</v>
      </c>
      <c r="U54" s="270" t="str">
        <f>IF(SnapshotTable[[#This Row],[Equity Basis Total]] &gt; 0, SnapshotTable[[#This Row],[Equity G/L]] / SnapshotTable[[#This Row],[Equity Basis Total]], "")</f>
        <v/>
      </c>
      <c r="V54" s="268">
        <v>275</v>
      </c>
      <c r="W54" s="268">
        <v>236.84</v>
      </c>
      <c r="X54" s="4" t="str">
        <f>IF(AND(ISNUMBER(SnapshotTable[[#This Row],[Equity Basis Per Share]]),ISNUMBER(SnapshotTable[[#This Row],[Equity Target]])),SnapshotTable[[#This Row],[Equity Target]]-SnapshotTable[[#This Row],[Equity Basis Per Share]],"")</f>
        <v/>
      </c>
      <c r="Y54" s="4" t="str">
        <f>IF(AND(ISNUMBER(SnapshotTable[[#This Row],[Equity Basis Per Share]]),ISNUMBER(SnapshotTable[[#This Row],[Equity Stop Loss]])),SnapshotTable[[#This Row],[Equity Stop Loss]]-SnapshotTable[[#This Row],[Equity Basis Per Share]],"")</f>
        <v/>
      </c>
      <c r="Z54" s="275" t="str">
        <f>IFERROR( TEXT(SnapshotTable[[#This Row],[Equity Max Gain Per Share]] /ABS( SnapshotTable[[#This Row],[Equity Max Loss Per Share]]),"0.0 " ) &amp; " : 1", "")</f>
        <v/>
      </c>
      <c r="AA54" s="31" t="str">
        <f>IF(ISNUMBER(SnapshotTable[[#This Row],[Equity Max Gain Per Share]]),SnapshotTable[[#This Row],[Equity Max Gain Per Share]] * SnapshotTable[[#This Row],[Equity Shares]],"")</f>
        <v/>
      </c>
      <c r="AB54" s="31" t="str">
        <f>IF(ISNUMBER(SnapshotTable[[#This Row],[Equity Max Loss Per Share]]),SnapshotTable[[#This Row],[Equity Max Loss Per Share]] * SnapshotTable[[#This Row],[Equity Shares]],"")</f>
        <v/>
      </c>
      <c r="AC54" s="150">
        <v>0</v>
      </c>
      <c r="AD54" s="151" t="s">
        <v>2</v>
      </c>
      <c r="AE54" s="31">
        <f>(SnapshotTable[[#This Row],[Annual Dividend Per Share]] / 4) * SnapshotTable[[#This Row],[Equity Shares]]</f>
        <v>0</v>
      </c>
      <c r="AF54" s="31">
        <f>SnapshotTable[[#This Row],[Quarterly Div $]] * 4</f>
        <v>0</v>
      </c>
      <c r="AG54" s="7">
        <f>IF(SnapshotTable[[#This Row],[Annual Dividend Per Share]]&gt;0, SnapshotTable[[#This Row],[Annual Dividend Per Share]]  / SnapshotTable[[#This Row],[Last Price]], 0)</f>
        <v>0</v>
      </c>
      <c r="AH54" s="151" t="s">
        <v>2</v>
      </c>
      <c r="AI54" s="5"/>
      <c r="AJ54" s="138">
        <v>324.5</v>
      </c>
      <c r="AK54" s="152" t="str">
        <f>IF(ISNUMBER( SnapshotTable[[#This Row],[EBF Target]]),(SnapshotTable[[#This Row],[EBF Target]] - SnapshotTable[[#This Row],[Last Price]]) / SnapshotTable[[#This Row],[Last Price]], "")</f>
        <v/>
      </c>
      <c r="AL54" s="152" t="str">
        <f>IF(AND(SnapshotTable[[#This Row],[Equity Basis Total]] &gt; 0,ISNUMBER( SnapshotTable[[#This Row],[Long Term Target]])), SnapshotTable[[#This Row],[From Basis $]] / SnapshotTable[[#This Row],[Equity Basis Total]], "")</f>
        <v/>
      </c>
      <c r="AM54" s="9">
        <f>IF( AND(SnapshotTable[[#This Row],[Equity Shares]] &gt;0,ISNUMBER( SnapshotTable[[#This Row],[Long Term Target]])),(SnapshotTable[[#This Row],[Equity Shares]] * SnapshotTable[[#This Row],[Long Term Target]]) - SnapshotTable[[#This Row],[Equity Basis Total]],0)</f>
        <v>0</v>
      </c>
      <c r="AN54" s="9">
        <f>IF( AND(SnapshotTable[[#This Row],[Equity Shares]] &gt;0,ISNUMBER( SnapshotTable[[#This Row],[Long Term Target]])),(SnapshotTable[[#This Row],[Equity Shares]]*SnapshotTable[[#This Row],[Long Term Target]]) - SnapshotTable[[#This Row],[Equity Value]],0)</f>
        <v>0</v>
      </c>
      <c r="AO54" s="152">
        <f>IF(AND(ISNUMBER( SnapshotTable[[#This Row],[Long Term Target]]), ISNUMBER(SnapshotTable[[#This Row],[Last Price]])),(SnapshotTable[[#This Row],[Long Term Target]] - SnapshotTable[[#This Row],[Last Price]]) / SnapshotTable[[#This Row],[Last Price]], "")</f>
        <v>0.64104379488216845</v>
      </c>
      <c r="AP54" s="5"/>
      <c r="AQ54" s="38"/>
      <c r="AR54" s="5"/>
      <c r="AS54" s="38"/>
      <c r="AT54" s="146"/>
      <c r="AU54" s="187" t="str">
        <f>IF(OR(SnapshotTable[[#This Row],[LP No Fill]]="Y",SnapshotTable[[#This Row],[SP Is Filled]],SnapshotTable[[#This Row],[LC Not Filled]]="Y",SnapshotTable[[#This Row],[SC Is Filled]]),"Y","")</f>
        <v/>
      </c>
      <c r="AV54" s="219"/>
      <c r="AW54" s="225"/>
      <c r="AX54" s="220"/>
      <c r="AY54" s="219" t="str">
        <f>IF(SnapshotTable[[#This Row],[Implied Move]]&gt;0, SnapshotTable[[#This Row],[Last Price]]-SnapshotTable[[#This Row],[Implied Move]],"")</f>
        <v/>
      </c>
      <c r="AZ54" s="219" t="str">
        <f>IF(SnapshotTable[[#This Row],[Implied Move]]&gt;0, SnapshotTable[[#This Row],[Last Price]] + SnapshotTable[[#This Row],[Implied Move]],"")</f>
        <v/>
      </c>
      <c r="BA54" s="331"/>
      <c r="BB54" s="347"/>
      <c r="BC5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4" s="351"/>
      <c r="BE54" s="5"/>
      <c r="BF54" s="14"/>
      <c r="BG54" s="13"/>
      <c r="BH54" s="13"/>
      <c r="BI54" s="5"/>
      <c r="BJ54" s="136">
        <f>IF(SnapshotTable[[#This Row],[LP Qty]] &gt; 0, SnapshotTable[[#This Row],[LP Qty]] * SnapshotTable[[#This Row],[LP Book Price]] * 100,0)</f>
        <v>0</v>
      </c>
      <c r="BK54" s="136">
        <f>IF(SnapshotTable[[#This Row],[LP Premium]] &gt; 0, SnapshotTable[[#This Row],[LP Qty]] * SnapshotTable[[#This Row],[LP Strike Price]] * 100,0)</f>
        <v>0</v>
      </c>
      <c r="BL54" s="154"/>
      <c r="BM54" s="385" t="str">
        <f>IF(SnapshotTable[[#This Row],[LP Premium]] &gt; 0,SnapshotTable[[#This Row],[LP Exp Date]]-MAX(SnapshotTable[[#This Row],[LP Book Date]], SnapshotTable[[#This Row],[LP Fill Date]]),"")</f>
        <v/>
      </c>
      <c r="BN54" s="385" t="str">
        <f>IF(ISNUMBER( SnapshotTable[[#This Row],[LP Term]]), SnapshotTable[[#This Row],[LP Exp Date]] - MockToday,"")</f>
        <v/>
      </c>
      <c r="BO54" s="163" t="str">
        <f>IF(AND(SnapshotTable[[#This Row],[LP Exp Date]]&gt;0, SnapshotTable[[#This Row],[LP Strike Price]]&gt;0,SnapshotTable[[#This Row],[LP Qty]]&gt;0,SnapshotTable[[#This Row],[LP Book Date]]&gt;0,SnapshotTable[[#This Row],[LP Book Price]]&gt;0,SnapshotTable[[#This Row],[LP Fill Date]]=0),"Y","")</f>
        <v/>
      </c>
      <c r="BP54" s="31" t="str">
        <f>IF(AND(SnapshotTable[[#This Row],[LP No Fill]]&lt;&gt;"Y",SnapshotTable[[#This Row],[LP Contract Value]]&gt;0, SnapshotTable[[#This Row],[LP Qty]]&gt;0), SnapshotTable[[#This Row],[LP Contract Value]]*SnapshotTable[[#This Row],[LP Qty]]*100,"")</f>
        <v/>
      </c>
      <c r="BQ54" s="13"/>
      <c r="BR54" s="5" t="str">
        <f>IF(SnapshotTable[[#This Row],[SP Exp Date]]&lt;&gt;"",TRUNC(SnapshotTable[[#This Row],[Last Price]]),"")</f>
        <v/>
      </c>
      <c r="BS54" s="36"/>
      <c r="BT54" s="147"/>
      <c r="BU54" s="13"/>
      <c r="BV54" s="5"/>
      <c r="BW54" s="419" t="b">
        <f>AND(ISNUMBER(SnapshotTable[[#This Row],[SP Exp Date]]), ISNUMBER(SnapshotTable[[#This Row],[SP Strike Price]]), ISNUMBER(SnapshotTable[[#This Row],[SP Qty]]), ISNUMBER(SnapshotTable[[#This Row],[SP Book Date]]), ISNUMBER(SnapshotTable[[#This Row],[SP Book Price]]))</f>
        <v>0</v>
      </c>
      <c r="BX54" s="419" t="b">
        <f>AND(SnapshotTable[[#This Row],[SP Is Booked]], NOT(ISBLANK(SnapshotTable[[#This Row],[SP Fill Date]])))</f>
        <v>0</v>
      </c>
      <c r="BY54" s="33">
        <f>IF(SnapshotTable[[#This Row],[SP Is Booked]], SnapshotTable[[#This Row],[SP Qty]] * SnapshotTable[[#This Row],[SP Book Price]] * 100, 0)</f>
        <v>0</v>
      </c>
      <c r="BZ54" s="369"/>
      <c r="CA54" s="368">
        <f>SnapshotTable[[#This Row],[LP Qty]]</f>
        <v>0</v>
      </c>
      <c r="CB54" s="4" t="str">
        <f>IF(SnapshotTable[[#This Row],[SP Is Booked]], SnapshotTable[[#This Row],[SP Strike Price]] - SnapshotTable[[#This Row],[SP Book Price]], "")</f>
        <v/>
      </c>
      <c r="CC54" s="19" t="str">
        <f>IF(SnapshotTable[[#This Row],[SP Is Booked]],SnapshotTable[[#This Row],[SP Exp Date]]-MAX(SnapshotTable[[#This Row],[SP Book Date]], SnapshotTable[[#This Row],[SP Fill Date]]),"")</f>
        <v/>
      </c>
      <c r="CD54" s="7" t="str">
        <f>IF(SnapshotTable[[#This Row],[SP Is Booked]], SnapshotTable[[#This Row],[SP Book Price]]/SnapshotTable[[#This Row],[SP Strike Price]], "")</f>
        <v/>
      </c>
      <c r="CE54" s="7" t="str">
        <f>IF(ISNUMBER(SnapshotTable[[#This Row],[SP ROO Term]]),SnapshotTable[[#This Row],[SP ROO Term]]*(365/SnapshotTable[[#This Row],[SP Term]]),"")</f>
        <v/>
      </c>
      <c r="CF54" s="236">
        <f>SnapshotTable[[#This Row],[LP Strike Price]] * SnapshotTable[[#This Row],[LP Qty]] * 100</f>
        <v>0</v>
      </c>
      <c r="CG54" s="31" t="e">
        <f>IF(ISNUMBER(SnapshotTable[[#This Row],[SP Premium]]), (SnapshotTable[[#This Row],[SP Qty]] * SnapshotTable[[#This Row],[SP Strike Price]]* 100) - SnapshotTable[[#This Row],[LP Protection]], 0)</f>
        <v>#VALUE!</v>
      </c>
      <c r="CH54" s="7" t="str">
        <f>IF(ISNUMBER(SnapshotTable[[#This Row],[SP Break Even]]),-1 * (SnapshotTable[[#This Row],[SP Break Even]] - SnapshotTable[[#This Row],[Last Price]]) / SnapshotTable[[#This Row],[Last Price]], "")</f>
        <v/>
      </c>
      <c r="CI54" s="31">
        <f>IF(AND(ISNUMBER((SnapshotTable[[#This Row],[SP Potential Spend]])), SnapshotTable[[#This Row],[SP Strike Price]] &gt; SnapshotTable[[#This Row],[Last Price]], SnapshotTable[[#This Row],[SP Is Filled]]), SnapshotTable[[#This Row],[SP Potential Spend]] -  SnapshotTable[[#This Row],[LP Max Value]], 0)</f>
        <v>0</v>
      </c>
      <c r="CJ54" s="244"/>
      <c r="CK54" s="31" t="str">
        <f>IF(ISNUMBER(SnapshotTable[[#This Row],[SP Potential Spend]]),IF(ISNUMBER(SnapshotTable[[#This Row],[SP POW]]), SnapshotTable[[#This Row],[SP POW]] * SnapshotTable[[#This Row],[SP Potential Spend]], SnapshotTable[[#This Row],[SP Potential Spend]]), "")</f>
        <v/>
      </c>
      <c r="CL54" s="164" t="e">
        <f>IF(NOT(SnapshotTable[[#This Row],[SP Is Filled]]),(SnapshotTable[[#This Row],[SP Qty]] * SnapshotTable[[#This Row],[SP Strike Price]] * 100) - SnapshotTable[[#This Row],[LP Max Value]],"")</f>
        <v>#VALUE!</v>
      </c>
      <c r="CM54" s="31" t="str">
        <f>IF(SnapshotTable[[#This Row],[SP Actual Spend]]&lt;&gt;0, ((SnapshotTable[[#This Row],[SP Strike Price]]-SnapshotTable[[#This Row],[Last Price]]) *(SnapshotTable[[#This Row],[SP Qty]]*100) - SnapshotTable[[#This Row],[SP Premium]]) * - 1, "")</f>
        <v/>
      </c>
      <c r="CN54" s="78"/>
      <c r="CO54" s="369"/>
      <c r="CP54" s="4" t="str">
        <f>IF(SnapshotTable[[#This Row],[SP Is Filled]], btc_max_buyback_amount(SnapshotTable[[#This Row],[SP Fill Date]],SnapshotTable[[#This Row],[SP Exp Date]], SnapshotTable[[#This Row],[SP Book Price]]),"")</f>
        <v/>
      </c>
      <c r="CQ54" s="78"/>
      <c r="CR5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4" s="155" t="str">
        <f>IF(SnapshotTable[[#This Row],[SP Is Filled]], btc_next_cutoff_date(SnapshotTable[[#This Row],[SP Fill Date]],SnapshotTable[[#This Row],[SP Exp Date]]),"")</f>
        <v/>
      </c>
      <c r="CT54" s="235" t="str" cm="1">
        <f t="array" ref="CT54">IF(SnapshotTable[[#This Row],[SP Is Filled]], btc_should_buy_back(SnapshotTable[[#This Row],[SP Fill Date]], SnapshotTable[[#This Row],[SP Exp Date]], SnapshotTable[[#This Row],[SP Book Price]], SnapshotTable[[#This Row],[SP Current Ask]], MockToday, SnapshotTable[[#This Row],[SP Buyback Override]]),"")</f>
        <v/>
      </c>
      <c r="CU54" s="143">
        <v>44883</v>
      </c>
      <c r="CV54" s="235"/>
      <c r="CW54" s="378" t="str">
        <f>IF(ISNUMBER( SnapshotTable[[#This Row],[SP Term]]), SnapshotTable[[#This Row],[SP Exp Date]] - MockToday,"")</f>
        <v/>
      </c>
      <c r="CX54" s="31" t="str">
        <f>IF(SnapshotTable[[#This Row],[SP Is Filled]],SnapshotTable[[#This Row],[SP Buyback Price to Use]] * 100 * SnapshotTable[[#This Row],[SP Qty]], "")</f>
        <v/>
      </c>
      <c r="CY54" s="4" t="str">
        <f>IF(ISNUMBER(SnapshotTable[[#This Row],[SP Strike Price]]), SnapshotTable[[#This Row],[SP Strike Price]] * (1 - SP_MaxLoss_StrikePct), "")</f>
        <v/>
      </c>
      <c r="CZ54" s="31" t="str">
        <f>IF(ISNUMBER(SnapshotTable[[#This Row],[SP Strike  Stop Per Share]]),SnapshotTable[[#This Row],[SP Premium]] - ((SnapshotTable[[#This Row],[SP Strike Price]]-SnapshotTable[[#This Row],[SP Strike  Stop Per Share]]) *(SnapshotTable[[#This Row],[SP Qty]] * 100)),"")</f>
        <v/>
      </c>
      <c r="DA54" s="4" t="str">
        <f>IF(AND(ISNUMBER(SnapshotTable[[#This Row],[SP Premium]]),SnapshotTable[[#This Row],[SP Premium]]&gt;0), SnapshotTable[[#This Row],[SP Book Price]] * (1 + SP_MaxLoss_OptionPct), "")</f>
        <v/>
      </c>
      <c r="DB54" s="31" t="str">
        <f>IF(ISNUMBER(SnapshotTable[[#This Row],[SP Option  Stop Contract]]),(SnapshotTable[[#This Row],[SP Option  Stop Contract]] *(SnapshotTable[[#This Row],[SP Qty]] * 100) - SnapshotTable[[#This Row],[SP Premium]]),"")</f>
        <v/>
      </c>
      <c r="DC54" s="4"/>
      <c r="DD54" s="4"/>
      <c r="DE54" s="4" t="str">
        <f>IF(AND(SnapshotTable[[#This Row],[SP Qty]]&gt;0, SnapshotTable[[#This Row],[SP Stop To Use]]&gt;0),SnapshotTable[[#This Row],[SP Premium]] - ( SnapshotTable[[#This Row],[SP Qty]] * SnapshotTable[[#This Row],[SP Stop To Use]] * 100), "")</f>
        <v/>
      </c>
      <c r="DF54" s="31" t="str">
        <f>IF(AND(SnapshotTable[[#This Row],[SP Qty]]&gt;0,SnapshotTable[[#This Row],[SP Current Ask]]&gt;0), SnapshotTable[[#This Row],[SP Qty]] * SnapshotTable[[#This Row],[SP Current Ask]] * -100, "")</f>
        <v/>
      </c>
      <c r="DG54" s="31" t="str">
        <f>IF(ISNUMBER((SnapshotTable[[#This Row],[SP Total Value]])), SnapshotTable[[#This Row],[SP Premium]] + SnapshotTable[[#This Row],[SP Total Value]], "")</f>
        <v/>
      </c>
      <c r="DH54" s="294" t="str">
        <f>IF(ISNUMBER((SnapshotTable[[#This Row],[SP Total Value]])), SnapshotTable[[#This Row],[SP Gain Loss]] / SnapshotTable[[#This Row],[SP Premium]], "")</f>
        <v/>
      </c>
      <c r="DI54" s="406"/>
      <c r="DJ54" s="138"/>
      <c r="DK54" s="148"/>
      <c r="DL54" s="13"/>
      <c r="DM54" s="13"/>
      <c r="DO54" s="31">
        <f>IF(SnapshotTable[[#This Row],[LC Symbol Count]]=1, SnapshotTable[[#This Row],[LC Qty]] * SnapshotTable[[#This Row],[LC Book Price]] * 100, 0)</f>
        <v>0</v>
      </c>
      <c r="DP54" s="163" t="str">
        <f>IF(AND(SnapshotTable[[#This Row],[LC Exp Date]]&gt;0, SnapshotTable[[#This Row],[LC Strike Price]]&gt;0,SnapshotTable[[#This Row],[LC Qty]]&gt;0,SnapshotTable[[#This Row],[LC Book Date]]&gt;0,SnapshotTable[[#This Row],[LC Book Price]]&gt;0,SnapshotTable[[#This Row],[LC Fill Date]]=0),"Y","")</f>
        <v/>
      </c>
      <c r="DQ54" s="386" t="str">
        <f>IF(SnapshotTable[[#This Row],[LC Premium]] &gt; 0,SnapshotTable[[#This Row],[LC Exp Date]]-MAX(SnapshotTable[[#This Row],[LC Book Date]], SnapshotTable[[#This Row],[LC Fill Date]]),"")</f>
        <v/>
      </c>
      <c r="DR54" s="386" t="str">
        <f>IF(ISNUMBER(SnapshotTable[[#This Row],[LC Term]]), SnapshotTable[[#This Row],[LC Exp Date]] - MockToday, "")</f>
        <v/>
      </c>
      <c r="DS54" s="234" t="str">
        <f>IF(SnapshotTable[[#This Row],[LC Premium]]&gt;0,SnapshotTable[[#This Row],[LC Strike Price]] + SnapshotTable[[#This Row],[LC Book Price]],"")</f>
        <v/>
      </c>
      <c r="DU54" s="9" t="str">
        <f>IF(AND(SnapshotTable[[#This Row],[LC Symbol Count]]&gt;0, SnapshotTable[[#This Row],[LC Contract Value]]&gt;0), SnapshotTable[[#This Row],[LC Contract Value]] * SnapshotTable[[#This Row],[LC Qty]] * 100, "")</f>
        <v/>
      </c>
      <c r="DV54" s="9" t="str">
        <f>IF(AND(ISNUMBER(SnapshotTable[[#This Row],[LC Total Value]]), SnapshotTable[[#This Row],[LC Not Filled]]&lt;&gt;"Y"), SnapshotTable[[#This Row],[LC Total Value]]-SnapshotTable[[#This Row],[LC Premium]],"")</f>
        <v/>
      </c>
      <c r="DW54" s="240" t="str">
        <f>IF(ISNUMBER(SnapshotTable[[#This Row],[LC Actual Gain Loss]]), SnapshotTable[[#This Row],[LC Actual Gain Loss]] / SnapshotTable[[#This Row],[LC Premium]],"")</f>
        <v/>
      </c>
      <c r="DX54" s="284" t="str">
        <f>IF(ISNUMBER(SnapshotTable[[#This Row],[LC Book Price]]),SnapshotTable[[#This Row],[LC Book Price]] * 1.5,"")</f>
        <v/>
      </c>
      <c r="DY54" s="265" t="str">
        <f>IF(SnapshotTable[[#This Row],[LC Premium]]&gt;0, SnapshotTable[[#This Row],[LC Next Target]] * SnapshotTable[[#This Row],[LC Qty]] * 100,"")</f>
        <v/>
      </c>
      <c r="DZ54" s="265" t="str">
        <f>IF(ISNUMBER(SnapshotTable[[#This Row],[LC Target Gross]]), SnapshotTable[[#This Row],[LC Target Gross]] - SnapshotTable[[#This Row],[LC Premium]], "")</f>
        <v/>
      </c>
      <c r="EA54" s="305" t="str">
        <f>IF(ISNUMBER(SnapshotTable[[#This Row],[LC Target Gain Loss]]), SnapshotTable[[#This Row],[LC Target Gain Loss]]/SnapshotTable[[#This Row],[LC Premium]], "")</f>
        <v/>
      </c>
      <c r="EB54" s="262"/>
      <c r="EC54" s="283" t="str">
        <f>IF(SnapshotTable[[#This Row],[LC Premium]]&gt;0, SnapshotTable[[#This Row],[LC Book Price]] * (1 - LC_StopLoss_Pct),"")</f>
        <v/>
      </c>
      <c r="ED54" s="284"/>
      <c r="EE54" s="283" t="str">
        <f>IF(ISNUMBER(SnapshotTable[[#This Row],[LC Contract Value]]),IF(ISNUMBER(SnapshotTable[[#This Row],[LC Stop Loss Override]]), SnapshotTable[[#This Row],[LC Stop Loss Override]],SnapshotTable[[#This Row],[LC Stop Loss Calc Target]]),"")</f>
        <v/>
      </c>
      <c r="EF54" s="31" t="str">
        <f>IF(ISNUMBER(SnapshotTable[[#This Row],[LC Stop  To Use]]), (SnapshotTable[[#This Row],[LC Stop  To Use]] * SnapshotTable[[#This Row],[LC Qty]] * 100),"")</f>
        <v/>
      </c>
      <c r="EG54" s="9" t="str">
        <f>IF(ISNUMBER(SnapshotTable[[#This Row],[LC Total Value]]),SnapshotTable[[#This Row],[LC Stop Loss Amount]] - SnapshotTable[[#This Row],[LC Premium]],"")</f>
        <v/>
      </c>
      <c r="EH54" s="9">
        <f>IF(ISNUMBER(SnapshotTable[[#This Row],[LC Premium]]), SnapshotTable[[#This Row],[LC Qty]] * 100 * SnapshotTable[[#This Row],[LC Strike Price]], "")</f>
        <v>0</v>
      </c>
      <c r="EI54" s="240" t="str">
        <f>IF(AND(ISNUMBER(SnapshotTable[[#This Row],[LC Total Value]]),SnapshotTable[[#This Row],[LC Total Value]]&gt;0),SnapshotTable[[#This Row],[LC Stop Gain Loss]]  / SnapshotTable[[#This Row],[LC Premium]],"")</f>
        <v/>
      </c>
      <c r="EJ54" s="35">
        <f>IF(ISNUMBER(SnapshotTable[[#This Row],[Equity Shares]]),TRUNC(SnapshotTable[[#This Row],[Equity Shares]] / 100),0) + SnapshotTable[[#This Row],[LC Qty]]</f>
        <v>0</v>
      </c>
      <c r="EK54" s="147"/>
      <c r="EL54" s="138" t="str">
        <f>IF(SnapshotTable[[#This Row],[SC Exp Date]]&lt;&gt;"",TRUNC(SnapshotTable[[#This Row],[Last Price]]),"")</f>
        <v/>
      </c>
      <c r="EM54" s="148"/>
      <c r="EN54" s="147"/>
      <c r="EO54" s="147"/>
      <c r="EP54" s="138"/>
      <c r="EQ54" s="419" t="b">
        <f>AND(ISNUMBER(SnapshotTable[[#This Row],[SC Exp Date]]), ISNUMBER(SnapshotTable[[#This Row],[SC Strike Price]]), ISNUMBER(SnapshotTable[[#This Row],[SC Qty]]), ISNUMBER(SnapshotTable[[#This Row],[SC Book Date]]), ISNUMBER(SnapshotTable[[#This Row],[SC Book Price]]))</f>
        <v>0</v>
      </c>
      <c r="ER54" s="419" t="b">
        <f>AND(SnapshotTable[[#This Row],[SC Is Booked]], NOT(ISBLANK(SnapshotTable[[#This Row],[SC Fill Date]])))</f>
        <v>0</v>
      </c>
      <c r="ES54" s="370"/>
      <c r="ET54" s="34" t="str">
        <f>IF(AND(ISNUMBER(SnapshotTable[[#This Row],[SC Exp Date]]), ISNUMBER(SnapshotTable[[#This Row],[SC Book Date]])), SnapshotTable[[#This Row],[SC Exp Date]] - MAX(SnapshotTable[[#This Row],[SC Book Date]], SnapshotTable[[#This Row],[SC Fill Date]]) + 1, "")</f>
        <v/>
      </c>
      <c r="EU54" s="34" t="str">
        <f>IF(ISNUMBER(SnapshotTable[[#This Row],[SC Term]]), SnapshotTable[[#This Row],[SC Exp Date]]- MockToday, "")</f>
        <v/>
      </c>
      <c r="EV54" s="31">
        <f>IF(SnapshotTable[[#This Row],[SC Is Booked]], SnapshotTable[[#This Row],[SC Qty]] * SnapshotTable[[#This Row],[SC Book Price]] * 100, 0)</f>
        <v>0</v>
      </c>
      <c r="EW54" s="4" t="str">
        <f>IF(AND(ISNUMBER(SnapshotTable[[#This Row],[Last Price]]), ISNUMBER( SnapshotTable[[#This Row],[SC Book Price]])), SnapshotTable[[#This Row],[Last Price]] - SnapshotTable[[#This Row],[SC Book Price]],"")</f>
        <v/>
      </c>
      <c r="EX54" s="234" t="str">
        <f>IF(SnapshotTable[[#This Row],[SC Is Booked]],IF(SnapshotTable[[#This Row],[SC Intrinsic Value]] &gt; 0, SnapshotTable[[#This Row],[SC Strike Price]], SnapshotTable[[#This Row],[Last Price]]), "")</f>
        <v/>
      </c>
      <c r="EY54" s="4">
        <f>IF(SnapshotTable[[#This Row],[SC Is Booked]], (MinimumPremiumRequired * SnapshotTable[[#This Row],[SC Basis]] * SnapshotTable[[#This Row],[SC Term]]), 0)</f>
        <v>0</v>
      </c>
      <c r="EZ54" s="283"/>
      <c r="FA54" s="218"/>
      <c r="FB54" s="370"/>
      <c r="FC54" s="4">
        <f>IF(SnapshotTable[[#This Row],[SC Is Filled]], btc_max_buyback_amount(SnapshotTable[[#This Row],[SC Fill Date]],SnapshotTable[[#This Row],[SC Exp Date]], SnapshotTable[[#This Row],[SC Book Price]]),0)</f>
        <v>0</v>
      </c>
      <c r="FD54" s="5"/>
      <c r="FE54" s="144" t="str">
        <f>IF(SnapshotTable[[#This Row],[SC Is Filled]], btc_next_cutoff_date(SnapshotTable[[#This Row],[SC Fill Date]],SnapshotTable[[#This Row],[SC Exp Date]]),"")</f>
        <v/>
      </c>
      <c r="FF54" s="4" t="str" cm="1">
        <f t="array" ref="FF54">IF(SnapshotTable[[#This Row],[SC Is Filled]], btc_should_buy_back(SnapshotTable[[#This Row],[SC Fill Date]], SnapshotTable[[#This Row],[SC Exp Date]], SnapshotTable[[#This Row],[SC Book Price]], SnapshotTable[[#This Row],[SC Current Ask]], MockToday, SnapshotTable[[#This Row],[SC Buyback Override]]),"")</f>
        <v/>
      </c>
      <c r="FG54" s="4">
        <f>IF(SnapshotTable[[#This Row],[SC Is Filled]], MAX(0,SnapshotTable[[#This Row],[Last Price]]  - SnapshotTable[[#This Row],[SC Strike Price]]), 0)</f>
        <v>0</v>
      </c>
      <c r="FH54" s="382">
        <f>IF(SnapshotTable[[#This Row],[SC Is Filled]], IF(ISNUMBER(SnapshotTable[[#This Row],[SC Current Ask]]), SnapshotTable[[#This Row],[SC Current Ask]], SnapshotTable[[#This Row],[SC Book Price]]) - SnapshotTable[[#This Row],[SC Intrinsic Value]], 0)</f>
        <v>0</v>
      </c>
      <c r="FI54" s="143"/>
      <c r="FJ54" s="32" t="str">
        <f>IF(SnapshotTable[[#This Row],[SC Is Filled]],100 * SnapshotTable[[#This Row],[SC Qty]] * IF(ISNUMBER(SnapshotTable[[#This Row],[SC Buyback Override]]), SnapshotTable[[#This Row],[SC Buyback Override]], SnapshotTable[[#This Row],[SC Current Ask]]), "")</f>
        <v/>
      </c>
      <c r="FK54" s="250" t="str">
        <f>IF(SnapshotTable[[#This Row],[SC Time Val]]&gt;0, SnapshotTable[[#This Row],[SC Time Val]] / SnapshotTable[[#This Row],[Last Price]],"")</f>
        <v/>
      </c>
      <c r="FL54" s="302" t="str">
        <f>IF(SnapshotTable[[#This Row],[SC Is Booked]], ((SnapshotTable[[#This Row],[Last Price]] -SnapshotTable[[#This Row],[SC Strike Price]]) / SnapshotTable[[#This Row],[Last Price]]) * -1, "")</f>
        <v/>
      </c>
      <c r="FM54" s="157" t="str">
        <f>IF(SnapshotTable[[#This Row],[SC Is Booked]],  (SnapshotTable[[#This Row],[SC Qty]] * 100 * SnapshotTable[[#This Row],[SC Strike Price]]) - SnapshotTable[[#This Row],[SC Current Ask]], "")</f>
        <v/>
      </c>
      <c r="FN5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4" s="31" t="str">
        <f>IF(AND(ISNUMBER(SnapshotTable[[#This Row],[SC Exercise Gross]]), ISNUMBER(SnapshotTable[[#This Row],[Equity Basis Per Share]] )), SnapshotTable[[#This Row],[SC Exercise Gross]] - SnapshotTable[[#This Row],[Equity Basis Total]] +  SnapshotTable[[#This Row],[SC Premium]], "")</f>
        <v/>
      </c>
      <c r="FP54" s="5" t="str">
        <f>IF(ISNUMBER(SnapshotTable[[#This Row],[SC Exercise Gross]]), (SnapshotTable[[#This Row],[SC Exercise Gross]]) / (SnapshotTable[[#This Row],[SC Qty]] * 100), "")</f>
        <v/>
      </c>
      <c r="FQ54" s="27" t="str">
        <f>IF(SnapshotTable[[#This Row],[SC Is Booked]],SnapshotTable[[#This Row],[SC Time Val]] /SnapshotTable[[#This Row],[SC Basis]], "")</f>
        <v/>
      </c>
      <c r="FR54" s="27" t="str" cm="1">
        <f t="array" ref="FR54">IF(AND(ISNUMBER(SnapshotTable[[#This Row],[SC Term]]),ISNUMBER(SnapshotTable[[#This Row],[SC Simple ROO]])), EllmanAnnualize(SnapshotTable[[#This Row],[SC DTE]], SnapshotTable[[#This Row],[SC Simple ROO]] ),"")</f>
        <v/>
      </c>
      <c r="FS54" s="4" t="e">
        <f>IF(SnapshotTable[[#This Row],[SC Strike Price]] &gt; SnapshotTable[[#This Row],[Last Price]], SnapshotTable[[#This Row],[SC Strike Price]] - SnapshotTable[[#This Row],[Last Price]],0)</f>
        <v>#VALUE!</v>
      </c>
      <c r="FT54" s="27" t="e">
        <f>IF(AND(ISNUMBER(SnapshotTable[[#This Row],[SC Upside Potential]]), SnapshotTable[[#This Row],[SC Upside Potential]] &gt; 0),(SnapshotTable[[#This Row],[SC Upside Potential]]/ SnapshotTable[[#This Row],[ACB]]),"")</f>
        <v>#VALUE!</v>
      </c>
      <c r="FU54" s="333" t="str">
        <f>IF(SnapshotTable[[#This Row],[SC Intrinsic Value]] &gt; 0,SnapshotTable[[#This Row],[SC Intrinsic Value]],"")</f>
        <v/>
      </c>
      <c r="FV54" s="27" t="str">
        <f>IF(AND( ISNUMBER( SnapshotTable[[#This Row],[ACB]]),ISNUMBER(SnapshotTable[[#This Row],[SC Downside Protect]])),SnapshotTable[[#This Row],[SC Downside Protect]] / SnapshotTable[[#This Row],[ACB]],"")</f>
        <v/>
      </c>
      <c r="FW54" s="236" t="str">
        <f>IF(AND(ISNUMBER(SnapshotTable[[#This Row],[SC Simple ROO]]),SnapshotTable[[#This Row],[SC Simple ROO]] &gt; 0), SnapshotTable[[#This Row],[SC Premium]] + (SnapshotTable[[#This Row],[SC Qty]] * SnapshotTable[[#This Row],[SC Upside Potential]]), "")</f>
        <v/>
      </c>
      <c r="FX54" s="302" t="str" cm="1">
        <f t="array" ref="FX54">IF(ISNUMBER(SnapshotTable[[#This Row],[SC Max Dollars]]), annualize(SnapshotTable[[#This Row],[SC Term]],(SnapshotTable[[#This Row],[SC Max Dollars]]/SnapshotTable[[#This Row],[SC Basis]])),"")</f>
        <v/>
      </c>
      <c r="FY54" s="236" t="str">
        <f>IF(AND(SnapshotTable[[#This Row],[SC Qty]]&gt;0,SnapshotTable[[#This Row],[SC Current Ask]]&gt;0), SnapshotTable[[#This Row],[SC Qty]] * SnapshotTable[[#This Row],[SC Current Ask]] * -100, "")</f>
        <v/>
      </c>
      <c r="FZ54" s="31" t="str">
        <f>IF(ISNUMBER((SnapshotTable[[#This Row],[SC Current Value]])), SnapshotTable[[#This Row],[SC Premium]] + SnapshotTable[[#This Row],[SC Current Value]], "")</f>
        <v/>
      </c>
      <c r="GA54" s="294" t="str">
        <f>IFERROR( IF(ISNUMBER((SnapshotTable[[#This Row],[SC Current Value]])), SnapshotTable[[#This Row],[SC Gain Loss]] / SnapshotTable[[#This Row],[SC Premium]], ""), "")</f>
        <v/>
      </c>
      <c r="GB54" s="42">
        <f>SnapshotTable[[#This Row],[Equity Shares]] * SaleSharesToConsiderPercentage</f>
        <v>0</v>
      </c>
      <c r="GC54" s="40">
        <f>SnapshotTable[[#This Row],[Long Term Target]] * SellingPriceToConsiderBasedOnTargetPercentage</f>
        <v>308.27499999999998</v>
      </c>
      <c r="GD54" s="40">
        <f>SnapshotTable[[#This Row],[Last Price]] * (1+ SellingPriceToConsiderBasedOnTargetPercentage)</f>
        <v>385.59300000000002</v>
      </c>
      <c r="GE54" s="41"/>
      <c r="GF54" s="40"/>
      <c r="GG54" s="31">
        <f>SnapshotTable[[#This Row],[Booked Sale Shares]] * SnapshotTable[[#This Row],[Booked Sale Price]]</f>
        <v>0</v>
      </c>
      <c r="GH54" s="31" t="str">
        <f>IF(SnapshotTable[[#This Row],[Equity Basis Total]] &gt; 0, SnapshotTable[[#This Row],[Equity Basis Per Share]] * SnapshotTable[[#This Row],[Booked Sale Shares]], "")</f>
        <v/>
      </c>
      <c r="GI54" s="31">
        <f>IF(SnapshotTable[[#This Row],[Sale Proceeds]]&gt;0, SnapshotTable[[#This Row],[Sale Proceeds]] - SnapshotTable[[#This Row],[Sale Basis]], 0)</f>
        <v>0</v>
      </c>
      <c r="GJ54" s="27" t="str">
        <f>IF(SnapshotTable[[#This Row],[Sale G/L]]&gt;0, SnapshotTable[[#This Row],[Sale G/L]] / SnapshotTable[[#This Row],[Sale Basis]], IF(ISNUMBER(SnapshotTable[[#This Row],[SC Exercise P&amp;L (TAX)]]), SnapshotTable[[#This Row],[SC Exercise P&amp;L (TAX)]] / SnapshotTable[[#This Row],[SC Basis]], ""))</f>
        <v/>
      </c>
      <c r="GK54" s="27" t="s">
        <v>647</v>
      </c>
      <c r="GL54" s="43" t="str">
        <f>IF(AND(SnapshotTable[[#This Row],[LP Exp Date]]&gt;0,SnapshotTable[[#This Row],[LP Strike Price]]&gt;0), [1]!ToOptionSymbol(SnapshotTable[[#This Row],[Symbol]], SnapshotTable[[#This Row],[LP Strike Price]],SnapshotTable[[#This Row],[LP Exp Date]],1), "")</f>
        <v/>
      </c>
      <c r="GM54" s="30" t="str">
        <f>IF(LEN(SnapshotTable[[#This Row],[LP Symbol]])&gt;0, 1, "")</f>
        <v/>
      </c>
      <c r="GN54" s="43" t="str">
        <f>IF(AND(SnapshotTable[[#This Row],[SP Exp Date]]&gt;0,SnapshotTable[[#This Row],[SP Strike Price]]&gt;0), [1]!ToOptionSymbol(SnapshotTable[[#This Row],[Symbol]], SnapshotTable[[#This Row],[SP Strike Price]],SnapshotTable[[#This Row],[SP Exp Date]],1), "")</f>
        <v/>
      </c>
      <c r="GO54" s="30" t="str">
        <f>IF(LEN(SnapshotTable[[#This Row],[SP Symbol]])&gt;0, 1, "")</f>
        <v/>
      </c>
      <c r="GP54" s="43" t="str">
        <f>IF(AND(SnapshotTable[[#This Row],[LC Exp Date]]&gt;0,SnapshotTable[[#This Row],[LC Strike Price]]&gt;0), [1]!ToOptionSymbol(SnapshotTable[[#This Row],[Symbol]], SnapshotTable[[#This Row],[LC Strike Price]],SnapshotTable[[#This Row],[LC Exp Date]],0), "")</f>
        <v/>
      </c>
      <c r="GQ54" s="30" t="str">
        <f>IF(LEN(SnapshotTable[[#This Row],[LC Symbol]])&gt;0, 1, "")</f>
        <v/>
      </c>
      <c r="GR54" s="43" t="str">
        <f>IF(AND(SnapshotTable[[#This Row],[SC Exp Date]]&gt;0,SnapshotTable[[#This Row],[SC Strike Price]]&gt;0), [1]!ToOptionSymbol(SnapshotTable[[#This Row],[Symbol]], SnapshotTable[[#This Row],[SC Strike Price]],SnapshotTable[[#This Row],[SC Exp Date]],0), "")</f>
        <v/>
      </c>
      <c r="GS54" s="30" t="str">
        <f>IF(LEN(SnapshotTable[[#This Row],[SC Symbol]])&gt;0, 1, "")</f>
        <v/>
      </c>
      <c r="GT54" s="29" t="str">
        <f>IF(COUNT(SnapshotTable[[#This Row],[LP Symbol Count]],SnapshotTable[[#This Row],[SP Symbol Count]],SnapshotTable[[#This Row],[LC Symbol Count]],SnapshotTable[[#This Row],[SC Symbol Count]])&gt;0, "Y", "")</f>
        <v/>
      </c>
      <c r="GU5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4" s="231" t="e">
        <f>MAX(SnapshotTable[[#This Row],[Equity Basis Total]],SnapshotTable[[#This Row],[Equity Value]]) + (SnapshotTable[[#This Row],[SP Potential Spend]]- SnapshotTable[[#This Row],[SP Premium]] + SnapshotTable[[#This Row],[LP Premium]])+ (SnapshotTable[[#This Row],[LC Premium]] - SnapshotTable[[#This Row],[SC Premium]])</f>
        <v>#VALUE!</v>
      </c>
      <c r="GW54" s="139" t="e">
        <f>IF(AND(SnapshotTable[[#This Row],[Exposure]] &lt;&gt; 0),SnapshotTable[[#This Row],[Exposure]] / SnapshotTable[[#Totals],[Exposure]], "")</f>
        <v>#VALUE!</v>
      </c>
      <c r="HE54" s="268"/>
      <c r="HF54" s="268"/>
      <c r="HK54" s="1"/>
      <c r="HL54" s="1"/>
      <c r="HM54" s="1"/>
      <c r="HN54" s="1"/>
      <c r="HO54" s="1"/>
      <c r="HP54" s="1"/>
    </row>
    <row r="55" spans="2:224" s="47" customFormat="1" ht="12.75" hidden="1" customHeight="1" x14ac:dyDescent="0.25">
      <c r="B55" s="12" t="s">
        <v>1065</v>
      </c>
      <c r="C55" s="422">
        <v>8.9499999999999993</v>
      </c>
      <c r="D55" s="208" t="s">
        <v>578</v>
      </c>
      <c r="E55" s="39">
        <f>SnapshotTable[[#This Row],[Last Price]]*(1 -CrashDiscount)</f>
        <v>7.607499999999999</v>
      </c>
      <c r="F55" s="26" t="s">
        <v>5</v>
      </c>
      <c r="G55" s="26" t="s">
        <v>4</v>
      </c>
      <c r="H55" s="149"/>
      <c r="I55" s="194" t="s">
        <v>2</v>
      </c>
      <c r="J55" s="195"/>
      <c r="K55" s="196"/>
      <c r="L55" s="327"/>
      <c r="M55" s="140"/>
      <c r="N55" s="140"/>
      <c r="O55" s="140"/>
      <c r="P55" s="22"/>
      <c r="Q55" s="25"/>
      <c r="R55" s="4" t="str">
        <f>IF(SnapshotTable[[#This Row],[Equity Basis Total]] &gt; 0, SnapshotTable[[#This Row],[Equity Basis Total]] / SnapshotTable[[#This Row],[Equity Shares]], "")</f>
        <v/>
      </c>
      <c r="S55" s="329">
        <f>SnapshotTable[[#This Row],[Last Price]] * SnapshotTable[[#This Row],[Equity Shares]]</f>
        <v>0</v>
      </c>
      <c r="T55" s="269">
        <f>SnapshotTable[[#This Row],[Equity Value]] - SnapshotTable[[#This Row],[Equity Basis Total]]</f>
        <v>0</v>
      </c>
      <c r="U55" s="270" t="str">
        <f>IF(SnapshotTable[[#This Row],[Equity Basis Total]] &gt; 0, SnapshotTable[[#This Row],[Equity G/L]] / SnapshotTable[[#This Row],[Equity Basis Total]], "")</f>
        <v/>
      </c>
      <c r="V55" s="268"/>
      <c r="W55" s="268"/>
      <c r="X55" s="4" t="str">
        <f>IF(AND(ISNUMBER(SnapshotTable[[#This Row],[Equity Basis Per Share]]),ISNUMBER(SnapshotTable[[#This Row],[Equity Target]])),SnapshotTable[[#This Row],[Equity Target]]-SnapshotTable[[#This Row],[Equity Basis Per Share]],"")</f>
        <v/>
      </c>
      <c r="Y55" s="4" t="str">
        <f>IF(AND(ISNUMBER(SnapshotTable[[#This Row],[Equity Basis Per Share]]),ISNUMBER(SnapshotTable[[#This Row],[Equity Stop Loss]])),SnapshotTable[[#This Row],[Equity Stop Loss]]-SnapshotTable[[#This Row],[Equity Basis Per Share]],"")</f>
        <v/>
      </c>
      <c r="Z55" s="275" t="str">
        <f>IFERROR( TEXT(SnapshotTable[[#This Row],[Equity Max Gain Per Share]] /ABS( SnapshotTable[[#This Row],[Equity Max Loss Per Share]]),"0.0 " ) &amp; " : 1", "")</f>
        <v/>
      </c>
      <c r="AA55" s="31" t="str">
        <f>IF(ISNUMBER(SnapshotTable[[#This Row],[Equity Max Gain Per Share]]),SnapshotTable[[#This Row],[Equity Max Gain Per Share]] * SnapshotTable[[#This Row],[Equity Shares]],"")</f>
        <v/>
      </c>
      <c r="AB55" s="31" t="str">
        <f>IF(ISNUMBER(SnapshotTable[[#This Row],[Equity Max Loss Per Share]]),SnapshotTable[[#This Row],[Equity Max Loss Per Share]] * SnapshotTable[[#This Row],[Equity Shares]],"")</f>
        <v/>
      </c>
      <c r="AC55" s="150"/>
      <c r="AD55" s="151"/>
      <c r="AE55" s="31">
        <f>(SnapshotTable[[#This Row],[Annual Dividend Per Share]] / 4) * SnapshotTable[[#This Row],[Equity Shares]]</f>
        <v>0</v>
      </c>
      <c r="AF55" s="31">
        <f>SnapshotTable[[#This Row],[Quarterly Div $]] * 4</f>
        <v>0</v>
      </c>
      <c r="AG55" s="7">
        <f>IF(SnapshotTable[[#This Row],[Annual Dividend Per Share]]&gt;0, SnapshotTable[[#This Row],[Annual Dividend Per Share]]  / SnapshotTable[[#This Row],[Last Price]], 0)</f>
        <v>0</v>
      </c>
      <c r="AH55" s="151"/>
      <c r="AI55" s="330"/>
      <c r="AJ55" s="138"/>
      <c r="AK55" s="152" t="str">
        <f>IF(ISNUMBER( SnapshotTable[[#This Row],[EBF Target]]),(SnapshotTable[[#This Row],[EBF Target]] - SnapshotTable[[#This Row],[Last Price]]) / SnapshotTable[[#This Row],[Last Price]], "")</f>
        <v/>
      </c>
      <c r="AL55" s="152" t="str">
        <f>IF(AND(SnapshotTable[[#This Row],[Equity Basis Total]] &gt; 0,ISNUMBER( SnapshotTable[[#This Row],[Long Term Target]])), SnapshotTable[[#This Row],[From Basis $]] / SnapshotTable[[#This Row],[Equity Basis Total]], "")</f>
        <v/>
      </c>
      <c r="AM55" s="9">
        <f>IF( AND(SnapshotTable[[#This Row],[Equity Shares]] &gt;0,ISNUMBER( SnapshotTable[[#This Row],[Long Term Target]])),(SnapshotTable[[#This Row],[Equity Shares]] * SnapshotTable[[#This Row],[Long Term Target]]) - SnapshotTable[[#This Row],[Equity Basis Total]],0)</f>
        <v>0</v>
      </c>
      <c r="AN55" s="9">
        <f>IF( AND(SnapshotTable[[#This Row],[Equity Shares]] &gt;0,ISNUMBER( SnapshotTable[[#This Row],[Long Term Target]])),(SnapshotTable[[#This Row],[Equity Shares]]*SnapshotTable[[#This Row],[Long Term Target]]) - SnapshotTable[[#This Row],[Equity Value]],0)</f>
        <v>0</v>
      </c>
      <c r="AO55" s="152" t="str">
        <f>IF(AND(ISNUMBER( SnapshotTable[[#This Row],[Long Term Target]]), ISNUMBER(SnapshotTable[[#This Row],[Last Price]])),(SnapshotTable[[#This Row],[Long Term Target]] - SnapshotTable[[#This Row],[Last Price]]) / SnapshotTable[[#This Row],[Last Price]], "")</f>
        <v/>
      </c>
      <c r="AP55" s="5"/>
      <c r="AQ55" s="38"/>
      <c r="AR55" s="5"/>
      <c r="AS55" s="38"/>
      <c r="AT55" s="146"/>
      <c r="AU55" s="187" t="str">
        <f>IF(OR(SnapshotTable[[#This Row],[LP No Fill]]="Y",SnapshotTable[[#This Row],[SP Is Filled]],SnapshotTable[[#This Row],[LC Not Filled]]="Y",SnapshotTable[[#This Row],[SC Is Filled]]),"Y","")</f>
        <v/>
      </c>
      <c r="AV55" s="338"/>
      <c r="AW55" s="339"/>
      <c r="AX55" s="220"/>
      <c r="AY55" s="219" t="str">
        <f>IF(SnapshotTable[[#This Row],[Implied Move]]&gt;0, SnapshotTable[[#This Row],[Last Price]]-SnapshotTable[[#This Row],[Implied Move]],"")</f>
        <v/>
      </c>
      <c r="AZ55" s="219" t="str">
        <f>IF(SnapshotTable[[#This Row],[Implied Move]]&gt;0, SnapshotTable[[#This Row],[Last Price]] + SnapshotTable[[#This Row],[Implied Move]],"")</f>
        <v/>
      </c>
      <c r="BA55" s="331">
        <v>3.09</v>
      </c>
      <c r="BB55" s="347"/>
      <c r="BC5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5" s="351"/>
      <c r="BE55" s="138"/>
      <c r="BF55" s="166"/>
      <c r="BG55" s="167"/>
      <c r="BH55" s="167"/>
      <c r="BI55" s="221"/>
      <c r="BJ55" s="153">
        <f>IF(SnapshotTable[[#This Row],[LP Qty]] &gt; 0, SnapshotTable[[#This Row],[LP Qty]] * SnapshotTable[[#This Row],[LP Book Price]] * 100,0)</f>
        <v>0</v>
      </c>
      <c r="BK55" s="136">
        <f>IF(SnapshotTable[[#This Row],[LP Premium]] &gt; 0, SnapshotTable[[#This Row],[LP Qty]] * SnapshotTable[[#This Row],[LP Strike Price]] * 100,0)</f>
        <v>0</v>
      </c>
      <c r="BL55" s="154"/>
      <c r="BM55" s="385" t="str">
        <f>IF(SnapshotTable[[#This Row],[LP Premium]] &gt; 0,SnapshotTable[[#This Row],[LP Exp Date]]-MAX(SnapshotTable[[#This Row],[LP Book Date]], SnapshotTable[[#This Row],[LP Fill Date]]),"")</f>
        <v/>
      </c>
      <c r="BN55" s="385" t="str">
        <f>IF(ISNUMBER( SnapshotTable[[#This Row],[LP Term]]), SnapshotTable[[#This Row],[LP Exp Date]] - MockToday,"")</f>
        <v/>
      </c>
      <c r="BO55" s="163" t="str">
        <f>IF(AND(SnapshotTable[[#This Row],[LP Exp Date]]&gt;0, SnapshotTable[[#This Row],[LP Strike Price]]&gt;0,SnapshotTable[[#This Row],[LP Qty]]&gt;0,SnapshotTable[[#This Row],[LP Book Date]]&gt;0,SnapshotTable[[#This Row],[LP Book Price]]&gt;0,SnapshotTable[[#This Row],[LP Fill Date]]=0),"Y","")</f>
        <v/>
      </c>
      <c r="BP55" s="31" t="str">
        <f>IF(AND(SnapshotTable[[#This Row],[LP No Fill]]&lt;&gt;"Y",SnapshotTable[[#This Row],[LP Contract Value]]&gt;0, SnapshotTable[[#This Row],[LP Qty]]&gt;0), SnapshotTable[[#This Row],[LP Contract Value]]*SnapshotTable[[#This Row],[LP Qty]]*100,"")</f>
        <v/>
      </c>
      <c r="BQ55" s="13"/>
      <c r="BR55" s="5" t="str">
        <f>IF(SnapshotTable[[#This Row],[SP Exp Date]]&lt;&gt;"",TRUNC(SnapshotTable[[#This Row],[Last Price]]),"")</f>
        <v/>
      </c>
      <c r="BS55" s="36"/>
      <c r="BT55" s="147"/>
      <c r="BU55" s="13"/>
      <c r="BV55" s="5"/>
      <c r="BW55" s="419" t="b">
        <f>AND(ISNUMBER(SnapshotTable[[#This Row],[SP Exp Date]]), ISNUMBER(SnapshotTable[[#This Row],[SP Strike Price]]), ISNUMBER(SnapshotTable[[#This Row],[SP Qty]]), ISNUMBER(SnapshotTable[[#This Row],[SP Book Date]]), ISNUMBER(SnapshotTable[[#This Row],[SP Book Price]]))</f>
        <v>0</v>
      </c>
      <c r="BX55" s="419" t="b">
        <f>AND(SnapshotTable[[#This Row],[SP Is Booked]], NOT(ISBLANK(SnapshotTable[[#This Row],[SP Fill Date]])))</f>
        <v>0</v>
      </c>
      <c r="BY55" s="33">
        <f>IF(SnapshotTable[[#This Row],[SP Is Booked]], SnapshotTable[[#This Row],[SP Qty]] * SnapshotTable[[#This Row],[SP Book Price]] * 100, 0)</f>
        <v>0</v>
      </c>
      <c r="BZ55" s="369"/>
      <c r="CA55" s="368">
        <f>SnapshotTable[[#This Row],[LP Qty]]</f>
        <v>0</v>
      </c>
      <c r="CB55" s="4" t="str">
        <f>IF(SnapshotTable[[#This Row],[SP Is Booked]], SnapshotTable[[#This Row],[SP Strike Price]] - SnapshotTable[[#This Row],[SP Book Price]], "")</f>
        <v/>
      </c>
      <c r="CC55" s="19" t="str">
        <f>IF(SnapshotTable[[#This Row],[SP Is Booked]],SnapshotTable[[#This Row],[SP Exp Date]]-MAX(SnapshotTable[[#This Row],[SP Book Date]], SnapshotTable[[#This Row],[SP Fill Date]]),"")</f>
        <v/>
      </c>
      <c r="CD55" s="7" t="str">
        <f>IF(SnapshotTable[[#This Row],[SP Is Booked]], SnapshotTable[[#This Row],[SP Book Price]]/SnapshotTable[[#This Row],[SP Strike Price]], "")</f>
        <v/>
      </c>
      <c r="CE55" s="7" t="str">
        <f>IF(ISNUMBER(SnapshotTable[[#This Row],[SP ROO Term]]),SnapshotTable[[#This Row],[SP ROO Term]]*(365/SnapshotTable[[#This Row],[SP Term]]),"")</f>
        <v/>
      </c>
      <c r="CF55" s="236">
        <f>SnapshotTable[[#This Row],[LP Strike Price]] * SnapshotTable[[#This Row],[LP Qty]] * 100</f>
        <v>0</v>
      </c>
      <c r="CG55" s="31" t="e">
        <f>IF(ISNUMBER(SnapshotTable[[#This Row],[SP Premium]]), (SnapshotTable[[#This Row],[SP Qty]] * SnapshotTable[[#This Row],[SP Strike Price]]* 100) - SnapshotTable[[#This Row],[LP Protection]], 0)</f>
        <v>#VALUE!</v>
      </c>
      <c r="CH55" s="7" t="str">
        <f>IF(ISNUMBER(SnapshotTable[[#This Row],[SP Break Even]]),-1 * (SnapshotTable[[#This Row],[SP Break Even]] - SnapshotTable[[#This Row],[Last Price]]) / SnapshotTable[[#This Row],[Last Price]], "")</f>
        <v/>
      </c>
      <c r="CI55" s="31">
        <f>IF(AND(ISNUMBER((SnapshotTable[[#This Row],[SP Potential Spend]])), SnapshotTable[[#This Row],[SP Strike Price]] &gt; SnapshotTable[[#This Row],[Last Price]], SnapshotTable[[#This Row],[SP Is Filled]]), SnapshotTable[[#This Row],[SP Potential Spend]] -  SnapshotTable[[#This Row],[LP Max Value]], 0)</f>
        <v>0</v>
      </c>
      <c r="CJ55" s="244"/>
      <c r="CK55" s="31" t="str">
        <f>IF(ISNUMBER(SnapshotTable[[#This Row],[SP Potential Spend]]),IF(ISNUMBER(SnapshotTable[[#This Row],[SP POW]]), SnapshotTable[[#This Row],[SP POW]] * SnapshotTable[[#This Row],[SP Potential Spend]], SnapshotTable[[#This Row],[SP Potential Spend]]), "")</f>
        <v/>
      </c>
      <c r="CL55" s="164" t="e">
        <f>IF(NOT(SnapshotTable[[#This Row],[SP Is Filled]]),(SnapshotTable[[#This Row],[SP Qty]] * SnapshotTable[[#This Row],[SP Strike Price]] * 100) - SnapshotTable[[#This Row],[LP Max Value]],"")</f>
        <v>#VALUE!</v>
      </c>
      <c r="CM55" s="31" t="str">
        <f>IF(SnapshotTable[[#This Row],[SP Actual Spend]]&lt;&gt;0, ((SnapshotTable[[#This Row],[SP Strike Price]]-SnapshotTable[[#This Row],[Last Price]]) *(SnapshotTable[[#This Row],[SP Qty]]*100) - SnapshotTable[[#This Row],[SP Premium]]) * - 1, "")</f>
        <v/>
      </c>
      <c r="CN55" s="154"/>
      <c r="CO55" s="369"/>
      <c r="CP55" s="320" t="str">
        <f>IF(SnapshotTable[[#This Row],[SP Is Filled]], btc_max_buyback_amount(SnapshotTable[[#This Row],[SP Fill Date]],SnapshotTable[[#This Row],[SP Exp Date]], SnapshotTable[[#This Row],[SP Book Price]]),"")</f>
        <v/>
      </c>
      <c r="CQ55" s="78"/>
      <c r="CR55" s="76"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5" s="155" t="str">
        <f>IF(SnapshotTable[[#This Row],[SP Is Filled]], btc_next_cutoff_date(SnapshotTable[[#This Row],[SP Fill Date]],SnapshotTable[[#This Row],[SP Exp Date]]),"")</f>
        <v/>
      </c>
      <c r="CT55" s="235" t="str" cm="1">
        <f t="array" ref="CT55">IF(SnapshotTable[[#This Row],[SP Is Filled]], btc_should_buy_back(SnapshotTable[[#This Row],[SP Fill Date]], SnapshotTable[[#This Row],[SP Exp Date]], SnapshotTable[[#This Row],[SP Book Price]], SnapshotTable[[#This Row],[SP Current Ask]], MockToday, SnapshotTable[[#This Row],[SP Buyback Override]]),"")</f>
        <v/>
      </c>
      <c r="CU55" s="156"/>
      <c r="CV55" s="235"/>
      <c r="CW55" s="378" t="str">
        <f>IF(ISNUMBER( SnapshotTable[[#This Row],[SP Term]]), SnapshotTable[[#This Row],[SP Exp Date]] - MockToday,"")</f>
        <v/>
      </c>
      <c r="CX55" s="31" t="str">
        <f>IF(SnapshotTable[[#This Row],[SP Is Filled]],SnapshotTable[[#This Row],[SP Buyback Price to Use]] * 100 * SnapshotTable[[#This Row],[SP Qty]], "")</f>
        <v/>
      </c>
      <c r="CY55" s="4" t="str">
        <f>IF(ISNUMBER(SnapshotTable[[#This Row],[SP Strike Price]]), SnapshotTable[[#This Row],[SP Strike Price]] * (1 - SP_MaxLoss_StrikePct), "")</f>
        <v/>
      </c>
      <c r="CZ55" s="31" t="str">
        <f>IF(ISNUMBER(SnapshotTable[[#This Row],[SP Strike  Stop Per Share]]),SnapshotTable[[#This Row],[SP Premium]] - ((SnapshotTable[[#This Row],[SP Strike Price]]-SnapshotTable[[#This Row],[SP Strike  Stop Per Share]]) *(SnapshotTable[[#This Row],[SP Qty]] * 100)),"")</f>
        <v/>
      </c>
      <c r="DA55" s="4" t="str">
        <f>IF(AND(ISNUMBER(SnapshotTable[[#This Row],[SP Premium]]),SnapshotTable[[#This Row],[SP Premium]]&gt;0), SnapshotTable[[#This Row],[SP Book Price]] * (1 + SP_MaxLoss_OptionPct), "")</f>
        <v/>
      </c>
      <c r="DB55" s="31" t="str">
        <f>IF(ISNUMBER(SnapshotTable[[#This Row],[SP Option  Stop Contract]]),(SnapshotTable[[#This Row],[SP Option  Stop Contract]] *(SnapshotTable[[#This Row],[SP Qty]] * 100) - SnapshotTable[[#This Row],[SP Premium]]),"")</f>
        <v/>
      </c>
      <c r="DC55" s="4"/>
      <c r="DD55" s="4"/>
      <c r="DE55" s="4" t="str">
        <f>IF(AND(SnapshotTable[[#This Row],[SP Qty]]&gt;0, SnapshotTable[[#This Row],[SP Stop To Use]]&gt;0),SnapshotTable[[#This Row],[SP Premium]] - ( SnapshotTable[[#This Row],[SP Qty]] * SnapshotTable[[#This Row],[SP Stop To Use]] * 100), "")</f>
        <v/>
      </c>
      <c r="DF55" s="31" t="str">
        <f>IF(AND(SnapshotTable[[#This Row],[SP Qty]]&gt;0,SnapshotTable[[#This Row],[SP Current Ask]]&gt;0), SnapshotTable[[#This Row],[SP Qty]] * SnapshotTable[[#This Row],[SP Current Ask]] * -100, "")</f>
        <v/>
      </c>
      <c r="DG55" s="31" t="str">
        <f>IF(ISNUMBER((SnapshotTable[[#This Row],[SP Total Value]])), SnapshotTable[[#This Row],[SP Premium]] + SnapshotTable[[#This Row],[SP Total Value]], "")</f>
        <v/>
      </c>
      <c r="DH55" s="294" t="str">
        <f>IF(ISNUMBER((SnapshotTable[[#This Row],[SP Total Value]])), SnapshotTable[[#This Row],[SP Gain Loss]] / SnapshotTable[[#This Row],[SP Premium]], "")</f>
        <v/>
      </c>
      <c r="DI55" s="406"/>
      <c r="DJ55" s="138"/>
      <c r="DK55" s="148"/>
      <c r="DL55" s="147"/>
      <c r="DM55" s="147"/>
      <c r="DN55" s="5"/>
      <c r="DO55" s="31">
        <f>IF(SnapshotTable[[#This Row],[LC Symbol Count]]=1, SnapshotTable[[#This Row],[LC Qty]] * SnapshotTable[[#This Row],[LC Book Price]] * 100, 0)</f>
        <v>0</v>
      </c>
      <c r="DP55" s="289" t="str">
        <f>IF(AND(SnapshotTable[[#This Row],[LC Exp Date]]&gt;0, SnapshotTable[[#This Row],[LC Strike Price]]&gt;0,SnapshotTable[[#This Row],[LC Qty]]&gt;0,SnapshotTable[[#This Row],[LC Book Date]]&gt;0,SnapshotTable[[#This Row],[LC Book Price]]&gt;0,SnapshotTable[[#This Row],[LC Fill Date]]=0),"Y","")</f>
        <v/>
      </c>
      <c r="DQ55" s="386" t="str">
        <f>IF(SnapshotTable[[#This Row],[LC Premium]] &gt; 0,SnapshotTable[[#This Row],[LC Exp Date]]-MAX(SnapshotTable[[#This Row],[LC Book Date]], SnapshotTable[[#This Row],[LC Fill Date]]),"")</f>
        <v/>
      </c>
      <c r="DR55" s="386" t="str">
        <f>IF(ISNUMBER(SnapshotTable[[#This Row],[LC Term]]), SnapshotTable[[#This Row],[LC Exp Date]] - MockToday, "")</f>
        <v/>
      </c>
      <c r="DS55" s="234" t="str">
        <f>IF(SnapshotTable[[#This Row],[LC Premium]]&gt;0,SnapshotTable[[#This Row],[LC Strike Price]] + SnapshotTable[[#This Row],[LC Book Price]],"")</f>
        <v/>
      </c>
      <c r="DT55" s="5"/>
      <c r="DU55" s="9" t="str">
        <f>IF(AND(SnapshotTable[[#This Row],[LC Symbol Count]]&gt;0, SnapshotTable[[#This Row],[LC Contract Value]]&gt;0), SnapshotTable[[#This Row],[LC Contract Value]] * SnapshotTable[[#This Row],[LC Qty]] * 100, "")</f>
        <v/>
      </c>
      <c r="DV55" s="9" t="str">
        <f>IF(AND(ISNUMBER(SnapshotTable[[#This Row],[LC Total Value]]), SnapshotTable[[#This Row],[LC Not Filled]]&lt;&gt;"Y"), SnapshotTable[[#This Row],[LC Total Value]]-SnapshotTable[[#This Row],[LC Premium]],"")</f>
        <v/>
      </c>
      <c r="DW55" s="240" t="str">
        <f>IF(ISNUMBER(SnapshotTable[[#This Row],[LC Actual Gain Loss]]), SnapshotTable[[#This Row],[LC Actual Gain Loss]] / SnapshotTable[[#This Row],[LC Premium]],"")</f>
        <v/>
      </c>
      <c r="DX55" s="284" t="str">
        <f>IF(ISNUMBER(SnapshotTable[[#This Row],[LC Book Price]]),SnapshotTable[[#This Row],[LC Book Price]] * 1.5,"")</f>
        <v/>
      </c>
      <c r="DY55" s="265" t="str">
        <f>IF(SnapshotTable[[#This Row],[LC Premium]]&gt;0, SnapshotTable[[#This Row],[LC Next Target]] * SnapshotTable[[#This Row],[LC Qty]] * 100,"")</f>
        <v/>
      </c>
      <c r="DZ55" s="265" t="str">
        <f>IF(ISNUMBER(SnapshotTable[[#This Row],[LC Target Gross]]), SnapshotTable[[#This Row],[LC Target Gross]] - SnapshotTable[[#This Row],[LC Premium]], "")</f>
        <v/>
      </c>
      <c r="EA55" s="305" t="str">
        <f>IF(ISNUMBER(SnapshotTable[[#This Row],[LC Target Gain Loss]]), SnapshotTable[[#This Row],[LC Target Gain Loss]]/SnapshotTable[[#This Row],[LC Premium]], "")</f>
        <v/>
      </c>
      <c r="EB55" s="262"/>
      <c r="EC55" s="290" t="str">
        <f>IF(SnapshotTable[[#This Row],[LC Premium]]&gt;0, SnapshotTable[[#This Row],[LC Book Price]] * (1 - LC_StopLoss_Pct),"")</f>
        <v/>
      </c>
      <c r="ED55" s="284"/>
      <c r="EE55" s="290" t="str">
        <f>IF(ISNUMBER(SnapshotTable[[#This Row],[LC Contract Value]]),IF(ISNUMBER(SnapshotTable[[#This Row],[LC Stop Loss Override]]), SnapshotTable[[#This Row],[LC Stop Loss Override]],SnapshotTable[[#This Row],[LC Stop Loss Calc Target]]),"")</f>
        <v/>
      </c>
      <c r="EF55" s="321" t="str">
        <f>IF(ISNUMBER(SnapshotTable[[#This Row],[LC Stop  To Use]]), (SnapshotTable[[#This Row],[LC Stop  To Use]] * SnapshotTable[[#This Row],[LC Qty]] * 100),"")</f>
        <v/>
      </c>
      <c r="EG55" s="9" t="str">
        <f>IF(ISNUMBER(SnapshotTable[[#This Row],[LC Total Value]]),SnapshotTable[[#This Row],[LC Stop Loss Amount]] - SnapshotTable[[#This Row],[LC Premium]],"")</f>
        <v/>
      </c>
      <c r="EH55" s="9">
        <f>IF(ISNUMBER(SnapshotTable[[#This Row],[LC Premium]]), SnapshotTable[[#This Row],[LC Qty]] * 100 * SnapshotTable[[#This Row],[LC Strike Price]], "")</f>
        <v>0</v>
      </c>
      <c r="EI55" s="240" t="str">
        <f>IF(AND(ISNUMBER(SnapshotTable[[#This Row],[LC Total Value]]),SnapshotTable[[#This Row],[LC Total Value]]&gt;0),SnapshotTable[[#This Row],[LC Stop Gain Loss]]  / SnapshotTable[[#This Row],[LC Premium]],"")</f>
        <v/>
      </c>
      <c r="EJ55" s="35">
        <f>IF(ISNUMBER(SnapshotTable[[#This Row],[Equity Shares]]),TRUNC(SnapshotTable[[#This Row],[Equity Shares]] / 100),0) + SnapshotTable[[#This Row],[LC Qty]]</f>
        <v>0</v>
      </c>
      <c r="EK55" s="147"/>
      <c r="EL55" s="138" t="str">
        <f>IF(SnapshotTable[[#This Row],[SC Exp Date]]&lt;&gt;"",TRUNC(SnapshotTable[[#This Row],[Last Price]]),"")</f>
        <v/>
      </c>
      <c r="EM55" s="148"/>
      <c r="EN55" s="147"/>
      <c r="EO55" s="147"/>
      <c r="EP55" s="138"/>
      <c r="EQ55" s="419" t="b">
        <f>AND(ISNUMBER(SnapshotTable[[#This Row],[SC Exp Date]]), ISNUMBER(SnapshotTable[[#This Row],[SC Strike Price]]), ISNUMBER(SnapshotTable[[#This Row],[SC Qty]]), ISNUMBER(SnapshotTable[[#This Row],[SC Book Date]]), ISNUMBER(SnapshotTable[[#This Row],[SC Book Price]]))</f>
        <v>0</v>
      </c>
      <c r="ER55" s="419" t="b">
        <f>AND(SnapshotTable[[#This Row],[SC Is Booked]], NOT(ISBLANK(SnapshotTable[[#This Row],[SC Fill Date]])))</f>
        <v>0</v>
      </c>
      <c r="ES55" s="370"/>
      <c r="ET55" s="34" t="str">
        <f>IF(AND(ISNUMBER(SnapshotTable[[#This Row],[SC Exp Date]]), ISNUMBER(SnapshotTable[[#This Row],[SC Book Date]])), SnapshotTable[[#This Row],[SC Exp Date]] - MAX(SnapshotTable[[#This Row],[SC Book Date]], SnapshotTable[[#This Row],[SC Fill Date]]) + 1, "")</f>
        <v/>
      </c>
      <c r="EU55" s="34" t="str">
        <f>IF(ISNUMBER(SnapshotTable[[#This Row],[SC Term]]), SnapshotTable[[#This Row],[SC Exp Date]]- MockToday, "")</f>
        <v/>
      </c>
      <c r="EV55" s="31">
        <f>IF(SnapshotTable[[#This Row],[SC Is Booked]], SnapshotTable[[#This Row],[SC Qty]] * SnapshotTable[[#This Row],[SC Book Price]] * 100, 0)</f>
        <v>0</v>
      </c>
      <c r="EW55" s="4" t="str">
        <f>IF(AND(ISNUMBER(SnapshotTable[[#This Row],[Last Price]]), ISNUMBER( SnapshotTable[[#This Row],[SC Book Price]])), SnapshotTable[[#This Row],[Last Price]] - SnapshotTable[[#This Row],[SC Book Price]],"")</f>
        <v/>
      </c>
      <c r="EX55" s="234" t="str">
        <f>IF(SnapshotTable[[#This Row],[SC Is Booked]],IF(SnapshotTable[[#This Row],[SC Intrinsic Value]] &gt; 0, SnapshotTable[[#This Row],[SC Strike Price]], SnapshotTable[[#This Row],[Last Price]]), "")</f>
        <v/>
      </c>
      <c r="EY55" s="4">
        <f>IF(SnapshotTable[[#This Row],[SC Is Booked]], (MinimumPremiumRequired * SnapshotTable[[#This Row],[SC Basis]] * SnapshotTable[[#This Row],[SC Term]]), 0)</f>
        <v>0</v>
      </c>
      <c r="EZ55" s="283"/>
      <c r="FA55" s="218"/>
      <c r="FB55" s="370"/>
      <c r="FC55" s="4">
        <f>IF(SnapshotTable[[#This Row],[SC Is Filled]], btc_max_buyback_amount(SnapshotTable[[#This Row],[SC Fill Date]],SnapshotTable[[#This Row],[SC Exp Date]], SnapshotTable[[#This Row],[SC Book Price]]),0)</f>
        <v>0</v>
      </c>
      <c r="FD55" s="5"/>
      <c r="FE55" s="144" t="str">
        <f>IF(SnapshotTable[[#This Row],[SC Is Filled]], btc_next_cutoff_date(SnapshotTable[[#This Row],[SC Fill Date]],SnapshotTable[[#This Row],[SC Exp Date]]),"")</f>
        <v/>
      </c>
      <c r="FF55" s="4" t="str" cm="1">
        <f t="array" ref="FF55">IF(SnapshotTable[[#This Row],[SC Is Filled]], btc_should_buy_back(SnapshotTable[[#This Row],[SC Fill Date]], SnapshotTable[[#This Row],[SC Exp Date]], SnapshotTable[[#This Row],[SC Book Price]], SnapshotTable[[#This Row],[SC Current Ask]], MockToday, SnapshotTable[[#This Row],[SC Buyback Override]]),"")</f>
        <v/>
      </c>
      <c r="FG55" s="4">
        <f>IF(SnapshotTable[[#This Row],[SC Is Filled]], MAX(0,SnapshotTable[[#This Row],[Last Price]]  - SnapshotTable[[#This Row],[SC Strike Price]]), 0)</f>
        <v>0</v>
      </c>
      <c r="FH55" s="382">
        <f>IF(SnapshotTable[[#This Row],[SC Is Filled]], IF(ISNUMBER(SnapshotTable[[#This Row],[SC Current Ask]]), SnapshotTable[[#This Row],[SC Current Ask]], SnapshotTable[[#This Row],[SC Book Price]]) - SnapshotTable[[#This Row],[SC Intrinsic Value]], 0)</f>
        <v>0</v>
      </c>
      <c r="FI55" s="143"/>
      <c r="FJ55" s="32" t="str">
        <f>IF(SnapshotTable[[#This Row],[SC Is Filled]],100 * SnapshotTable[[#This Row],[SC Qty]] * IF(ISNUMBER(SnapshotTable[[#This Row],[SC Buyback Override]]), SnapshotTable[[#This Row],[SC Buyback Override]], SnapshotTable[[#This Row],[SC Current Ask]]), "")</f>
        <v/>
      </c>
      <c r="FK55" s="250" t="str">
        <f>IF(SnapshotTable[[#This Row],[SC Time Val]]&gt;0, SnapshotTable[[#This Row],[SC Time Val]] / SnapshotTable[[#This Row],[Last Price]],"")</f>
        <v/>
      </c>
      <c r="FL55" s="302" t="str">
        <f>IF(SnapshotTable[[#This Row],[SC Is Booked]], ((SnapshotTable[[#This Row],[Last Price]] -SnapshotTable[[#This Row],[SC Strike Price]]) / SnapshotTable[[#This Row],[Last Price]]) * -1, "")</f>
        <v/>
      </c>
      <c r="FM55" s="157" t="str">
        <f>IF(SnapshotTable[[#This Row],[SC Is Booked]],  (SnapshotTable[[#This Row],[SC Qty]] * 100 * SnapshotTable[[#This Row],[SC Strike Price]]) - SnapshotTable[[#This Row],[SC Current Ask]], "")</f>
        <v/>
      </c>
      <c r="FN55"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5" s="157" t="str">
        <f>IF(AND(ISNUMBER(SnapshotTable[[#This Row],[SC Exercise Gross]]), ISNUMBER(SnapshotTable[[#This Row],[Equity Basis Per Share]] )), SnapshotTable[[#This Row],[SC Exercise Gross]] - SnapshotTable[[#This Row],[Equity Basis Total]] +  SnapshotTable[[#This Row],[SC Premium]], "")</f>
        <v/>
      </c>
      <c r="FP55" s="5" t="str">
        <f>IF(ISNUMBER(SnapshotTable[[#This Row],[SC Exercise Gross]]), (SnapshotTable[[#This Row],[SC Exercise Gross]]) / (SnapshotTable[[#This Row],[SC Qty]] * 100), "")</f>
        <v/>
      </c>
      <c r="FQ55" s="27" t="str">
        <f>IF(SnapshotTable[[#This Row],[SC Is Booked]],SnapshotTable[[#This Row],[SC Time Val]] /SnapshotTable[[#This Row],[SC Basis]], "")</f>
        <v/>
      </c>
      <c r="FR55" s="27" t="str" cm="1">
        <f t="array" ref="FR55">IF(AND(ISNUMBER(SnapshotTable[[#This Row],[SC Term]]),ISNUMBER(SnapshotTable[[#This Row],[SC Simple ROO]])), EllmanAnnualize(SnapshotTable[[#This Row],[SC DTE]], SnapshotTable[[#This Row],[SC Simple ROO]] ),"")</f>
        <v/>
      </c>
      <c r="FS55" s="4" t="e">
        <f>IF(SnapshotTable[[#This Row],[SC Strike Price]] &gt; SnapshotTable[[#This Row],[Last Price]], SnapshotTable[[#This Row],[SC Strike Price]] - SnapshotTable[[#This Row],[Last Price]],0)</f>
        <v>#VALUE!</v>
      </c>
      <c r="FT55" s="27" t="e">
        <f>IF(AND(ISNUMBER(SnapshotTable[[#This Row],[SC Upside Potential]]), SnapshotTable[[#This Row],[SC Upside Potential]] &gt; 0),(SnapshotTable[[#This Row],[SC Upside Potential]]/ SnapshotTable[[#This Row],[ACB]]),"")</f>
        <v>#VALUE!</v>
      </c>
      <c r="FU55" s="333" t="str">
        <f>IF(SnapshotTable[[#This Row],[SC Intrinsic Value]] &gt; 0,SnapshotTable[[#This Row],[SC Intrinsic Value]],"")</f>
        <v/>
      </c>
      <c r="FV55" s="27" t="str">
        <f>IF(AND( ISNUMBER( SnapshotTable[[#This Row],[ACB]]),ISNUMBER(SnapshotTable[[#This Row],[SC Downside Protect]])),SnapshotTable[[#This Row],[SC Downside Protect]] / SnapshotTable[[#This Row],[ACB]],"")</f>
        <v/>
      </c>
      <c r="FW55" s="236" t="str">
        <f>IF(AND(ISNUMBER(SnapshotTable[[#This Row],[SC Simple ROO]]),SnapshotTable[[#This Row],[SC Simple ROO]] &gt; 0), SnapshotTable[[#This Row],[SC Premium]] + (SnapshotTable[[#This Row],[SC Qty]] * SnapshotTable[[#This Row],[SC Upside Potential]]), "")</f>
        <v/>
      </c>
      <c r="FX55" s="302" t="str" cm="1">
        <f t="array" ref="FX55">IF(ISNUMBER(SnapshotTable[[#This Row],[SC Max Dollars]]), annualize(SnapshotTable[[#This Row],[SC Term]],(SnapshotTable[[#This Row],[SC Max Dollars]]/SnapshotTable[[#This Row],[SC Basis]])),"")</f>
        <v/>
      </c>
      <c r="FY55" s="236" t="str">
        <f>IF(AND(SnapshotTable[[#This Row],[SC Qty]]&gt;0,SnapshotTable[[#This Row],[SC Current Ask]]&gt;0), SnapshotTable[[#This Row],[SC Qty]] * SnapshotTable[[#This Row],[SC Current Ask]] * -100, "")</f>
        <v/>
      </c>
      <c r="FZ55" s="235" t="str">
        <f>IF(ISNUMBER((SnapshotTable[[#This Row],[SC Current Value]])), SnapshotTable[[#This Row],[SC Premium]] + SnapshotTable[[#This Row],[SC Current Value]], "")</f>
        <v/>
      </c>
      <c r="GA55" s="294" t="str">
        <f>IFERROR( IF(ISNUMBER((SnapshotTable[[#This Row],[SC Current Value]])), SnapshotTable[[#This Row],[SC Gain Loss]] / SnapshotTable[[#This Row],[SC Premium]], ""), "")</f>
        <v/>
      </c>
      <c r="GB55" s="42">
        <f>SnapshotTable[[#This Row],[Equity Shares]] * SaleSharesToConsiderPercentage</f>
        <v>0</v>
      </c>
      <c r="GC55" s="40">
        <f>SnapshotTable[[#This Row],[Long Term Target]] * SellingPriceToConsiderBasedOnTargetPercentage</f>
        <v>0</v>
      </c>
      <c r="GD55" s="40">
        <f>SnapshotTable[[#This Row],[Last Price]] * (1+ SellingPriceToConsiderBasedOnTargetPercentage)</f>
        <v>17.452499999999997</v>
      </c>
      <c r="GE55" s="41"/>
      <c r="GF55" s="40"/>
      <c r="GG55" s="31">
        <f>SnapshotTable[[#This Row],[Booked Sale Shares]] * SnapshotTable[[#This Row],[Booked Sale Price]]</f>
        <v>0</v>
      </c>
      <c r="GH55" s="31" t="str">
        <f>IF(SnapshotTable[[#This Row],[Equity Basis Total]] &gt; 0, SnapshotTable[[#This Row],[Equity Basis Per Share]] * SnapshotTable[[#This Row],[Booked Sale Shares]], "")</f>
        <v/>
      </c>
      <c r="GI55" s="31">
        <f>IF(SnapshotTable[[#This Row],[Sale Proceeds]]&gt;0, SnapshotTable[[#This Row],[Sale Proceeds]] - SnapshotTable[[#This Row],[Sale Basis]], 0)</f>
        <v>0</v>
      </c>
      <c r="GJ55" s="158" t="str">
        <f>IF(SnapshotTable[[#This Row],[Sale G/L]]&gt;0, SnapshotTable[[#This Row],[Sale G/L]] / SnapshotTable[[#This Row],[Sale Basis]], IF(ISNUMBER(SnapshotTable[[#This Row],[SC Exercise P&amp;L (TAX)]]), SnapshotTable[[#This Row],[SC Exercise P&amp;L (TAX)]] / SnapshotTable[[#This Row],[SC Basis]], ""))</f>
        <v/>
      </c>
      <c r="GK55" s="27"/>
      <c r="GL55" s="159" t="str">
        <f>IF(AND(SnapshotTable[[#This Row],[LP Exp Date]]&gt;0,SnapshotTable[[#This Row],[LP Strike Price]]&gt;0), [1]!ToOptionSymbol(SnapshotTable[[#This Row],[Symbol]], SnapshotTable[[#This Row],[LP Strike Price]],SnapshotTable[[#This Row],[LP Exp Date]],1), "")</f>
        <v/>
      </c>
      <c r="GM55" s="30" t="str">
        <f>IF(LEN(SnapshotTable[[#This Row],[LP Symbol]])&gt;0, 1, "")</f>
        <v/>
      </c>
      <c r="GN55" s="43" t="str">
        <f>IF(AND(SnapshotTable[[#This Row],[SP Exp Date]]&gt;0,SnapshotTable[[#This Row],[SP Strike Price]]&gt;0), [1]!ToOptionSymbol(SnapshotTable[[#This Row],[Symbol]], SnapshotTable[[#This Row],[SP Strike Price]],SnapshotTable[[#This Row],[SP Exp Date]],1), "")</f>
        <v/>
      </c>
      <c r="GO55" s="30" t="str">
        <f>IF(LEN(SnapshotTable[[#This Row],[SP Symbol]])&gt;0, 1, "")</f>
        <v/>
      </c>
      <c r="GP55" s="159" t="str">
        <f>IF(AND(SnapshotTable[[#This Row],[LC Exp Date]]&gt;0,SnapshotTable[[#This Row],[LC Strike Price]]&gt;0), [1]!ToOptionSymbol(SnapshotTable[[#This Row],[Symbol]], SnapshotTable[[#This Row],[LC Strike Price]],SnapshotTable[[#This Row],[LC Exp Date]],0), "")</f>
        <v/>
      </c>
      <c r="GQ55" s="160" t="str">
        <f>IF(LEN(SnapshotTable[[#This Row],[LC Symbol]])&gt;0, 1, "")</f>
        <v/>
      </c>
      <c r="GR55" s="159" t="str">
        <f>IF(AND(SnapshotTable[[#This Row],[SC Exp Date]]&gt;0,SnapshotTable[[#This Row],[SC Strike Price]]&gt;0), [1]!ToOptionSymbol(SnapshotTable[[#This Row],[Symbol]], SnapshotTable[[#This Row],[SC Strike Price]],SnapshotTable[[#This Row],[SC Exp Date]],0), "")</f>
        <v/>
      </c>
      <c r="GS55" s="160" t="str">
        <f>IF(LEN(SnapshotTable[[#This Row],[SC Symbol]])&gt;0, 1, "")</f>
        <v/>
      </c>
      <c r="GT55" s="161" t="str">
        <f>IF(COUNT(SnapshotTable[[#This Row],[LP Symbol Count]],SnapshotTable[[#This Row],[SP Symbol Count]],SnapshotTable[[#This Row],[LC Symbol Count]],SnapshotTable[[#This Row],[SC Symbol Count]])&gt;0, "Y", "")</f>
        <v/>
      </c>
      <c r="GU5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5" s="231" t="e">
        <f>MAX(SnapshotTable[[#This Row],[Equity Basis Total]],SnapshotTable[[#This Row],[Equity Value]]) + (SnapshotTable[[#This Row],[SP Potential Spend]]- SnapshotTable[[#This Row],[SP Premium]] + SnapshotTable[[#This Row],[LP Premium]])+ (SnapshotTable[[#This Row],[LC Premium]] - SnapshotTable[[#This Row],[SC Premium]])</f>
        <v>#VALUE!</v>
      </c>
      <c r="GW55" s="139" t="e">
        <f>IF(AND(SnapshotTable[[#This Row],[Exposure]] &lt;&gt; 0),SnapshotTable[[#This Row],[Exposure]] / SnapshotTable[[#Totals],[Exposure]], "")</f>
        <v>#VALUE!</v>
      </c>
      <c r="GY55" s="381"/>
      <c r="HE55" s="268"/>
      <c r="HF55" s="268"/>
      <c r="HG55" s="381"/>
      <c r="HH55" s="381"/>
      <c r="HI55" s="381"/>
      <c r="HJ55" s="381"/>
    </row>
    <row r="56" spans="2:224" s="47" customFormat="1" ht="12.75" hidden="1" customHeight="1" x14ac:dyDescent="0.25">
      <c r="B56" s="12" t="s">
        <v>242</v>
      </c>
      <c r="C56" s="422">
        <v>137.16</v>
      </c>
      <c r="D56" s="208"/>
      <c r="E56" s="39">
        <f>SnapshotTable[[#This Row],[Last Price]]*(1 -CrashDiscount)</f>
        <v>116.586</v>
      </c>
      <c r="F56" s="26" t="s">
        <v>241</v>
      </c>
      <c r="G56" s="26" t="s">
        <v>4</v>
      </c>
      <c r="H56" s="149"/>
      <c r="I56" s="194">
        <v>44757.274305555555</v>
      </c>
      <c r="J56" s="195">
        <v>44757.274305555555</v>
      </c>
      <c r="K56" s="196" t="s">
        <v>3</v>
      </c>
      <c r="L56" s="326"/>
      <c r="M56" s="140"/>
      <c r="N56" s="140"/>
      <c r="O56" s="140">
        <v>4</v>
      </c>
      <c r="P56" s="22"/>
      <c r="Q56" s="25"/>
      <c r="R56" s="4" t="str">
        <f>IF(SnapshotTable[[#This Row],[Equity Basis Total]] &gt; 0, SnapshotTable[[#This Row],[Equity Basis Total]] / SnapshotTable[[#This Row],[Equity Shares]], "")</f>
        <v/>
      </c>
      <c r="S56" s="269">
        <f>SnapshotTable[[#This Row],[Last Price]] * SnapshotTable[[#This Row],[Equity Shares]]</f>
        <v>0</v>
      </c>
      <c r="T56" s="269">
        <f>SnapshotTable[[#This Row],[Equity Value]] - SnapshotTable[[#This Row],[Equity Basis Total]]</f>
        <v>0</v>
      </c>
      <c r="U56" s="270" t="str">
        <f>IF(SnapshotTable[[#This Row],[Equity Basis Total]] &gt; 0, SnapshotTable[[#This Row],[Equity G/L]] / SnapshotTable[[#This Row],[Equity Basis Total]], "")</f>
        <v/>
      </c>
      <c r="V56" s="268"/>
      <c r="W56" s="268"/>
      <c r="X56" s="4" t="str">
        <f>IF(AND(ISNUMBER(SnapshotTable[[#This Row],[Equity Basis Per Share]]),ISNUMBER(SnapshotTable[[#This Row],[Equity Target]])),SnapshotTable[[#This Row],[Equity Target]]-SnapshotTable[[#This Row],[Equity Basis Per Share]],"")</f>
        <v/>
      </c>
      <c r="Y56" s="4" t="str">
        <f>IF(AND(ISNUMBER(SnapshotTable[[#This Row],[Equity Basis Per Share]]),ISNUMBER(SnapshotTable[[#This Row],[Equity Stop Loss]])),SnapshotTable[[#This Row],[Equity Stop Loss]]-SnapshotTable[[#This Row],[Equity Basis Per Share]],"")</f>
        <v/>
      </c>
      <c r="Z56" s="275" t="str">
        <f>IFERROR( TEXT(SnapshotTable[[#This Row],[Equity Max Gain Per Share]] /ABS( SnapshotTable[[#This Row],[Equity Max Loss Per Share]]),"0.0 " ) &amp; " : 1", "")</f>
        <v/>
      </c>
      <c r="AA56" s="31" t="str">
        <f>IF(ISNUMBER(SnapshotTable[[#This Row],[Equity Max Gain Per Share]]),SnapshotTable[[#This Row],[Equity Max Gain Per Share]] * SnapshotTable[[#This Row],[Equity Shares]],"")</f>
        <v/>
      </c>
      <c r="AB56" s="31" t="str">
        <f>IF(ISNUMBER(SnapshotTable[[#This Row],[Equity Max Loss Per Share]]),SnapshotTable[[#This Row],[Equity Max Loss Per Share]] * SnapshotTable[[#This Row],[Equity Shares]],"")</f>
        <v/>
      </c>
      <c r="AC56" s="150">
        <v>0.76</v>
      </c>
      <c r="AD56" s="151">
        <v>42776</v>
      </c>
      <c r="AE56" s="31">
        <f>(SnapshotTable[[#This Row],[Annual Dividend Per Share]] / 4) * SnapshotTable[[#This Row],[Equity Shares]]</f>
        <v>0</v>
      </c>
      <c r="AF56" s="31">
        <f>SnapshotTable[[#This Row],[Quarterly Div $]] * 4</f>
        <v>0</v>
      </c>
      <c r="AG56" s="7">
        <f>IF(SnapshotTable[[#This Row],[Annual Dividend Per Share]]&gt;0, SnapshotTable[[#This Row],[Annual Dividend Per Share]]  / SnapshotTable[[#This Row],[Last Price]], 0)</f>
        <v>5.5409740449110529E-3</v>
      </c>
      <c r="AH56" s="151">
        <v>42761</v>
      </c>
      <c r="AI56" s="5"/>
      <c r="AJ56" s="138">
        <v>48.81</v>
      </c>
      <c r="AK56" s="152" t="str">
        <f>IF(ISNUMBER( SnapshotTable[[#This Row],[EBF Target]]),(SnapshotTable[[#This Row],[EBF Target]] - SnapshotTable[[#This Row],[Last Price]]) / SnapshotTable[[#This Row],[Last Price]], "")</f>
        <v/>
      </c>
      <c r="AL56" s="152" t="str">
        <f>IF(AND(SnapshotTable[[#This Row],[Equity Basis Total]] &gt; 0,ISNUMBER( SnapshotTable[[#This Row],[Long Term Target]])), SnapshotTable[[#This Row],[From Basis $]] / SnapshotTable[[#This Row],[Equity Basis Total]], "")</f>
        <v/>
      </c>
      <c r="AM56" s="9">
        <f>IF( AND(SnapshotTable[[#This Row],[Equity Shares]] &gt;0,ISNUMBER( SnapshotTable[[#This Row],[Long Term Target]])),(SnapshotTable[[#This Row],[Equity Shares]] * SnapshotTable[[#This Row],[Long Term Target]]) - SnapshotTable[[#This Row],[Equity Basis Total]],0)</f>
        <v>0</v>
      </c>
      <c r="AN56" s="9">
        <f>IF( AND(SnapshotTable[[#This Row],[Equity Shares]] &gt;0,ISNUMBER( SnapshotTable[[#This Row],[Long Term Target]])),(SnapshotTable[[#This Row],[Equity Shares]]*SnapshotTable[[#This Row],[Long Term Target]]) - SnapshotTable[[#This Row],[Equity Value]],0)</f>
        <v>0</v>
      </c>
      <c r="AO56" s="152">
        <f>IF(AND(ISNUMBER( SnapshotTable[[#This Row],[Long Term Target]]), ISNUMBER(SnapshotTable[[#This Row],[Last Price]])),(SnapshotTable[[#This Row],[Long Term Target]] - SnapshotTable[[#This Row],[Last Price]]) / SnapshotTable[[#This Row],[Last Price]], "")</f>
        <v>-0.64413823272090986</v>
      </c>
      <c r="AP56" s="5">
        <v>51.5</v>
      </c>
      <c r="AQ56" s="38" t="s">
        <v>89</v>
      </c>
      <c r="AR56" s="5"/>
      <c r="AS56" s="38" t="s">
        <v>45</v>
      </c>
      <c r="AT56" s="146"/>
      <c r="AU56" s="187" t="str">
        <f>IF(OR(SnapshotTable[[#This Row],[LP No Fill]]="Y",SnapshotTable[[#This Row],[SP Is Filled]],SnapshotTable[[#This Row],[LC Not Filled]]="Y",SnapshotTable[[#This Row],[SC Is Filled]]),"Y","")</f>
        <v/>
      </c>
      <c r="AV56" s="219"/>
      <c r="AW56" s="225"/>
      <c r="AX56" s="220"/>
      <c r="AY56" s="219" t="str">
        <f>IF(SnapshotTable[[#This Row],[Implied Move]]&gt;0, SnapshotTable[[#This Row],[Last Price]]-SnapshotTable[[#This Row],[Implied Move]],"")</f>
        <v/>
      </c>
      <c r="AZ56" s="219" t="str">
        <f>IF(SnapshotTable[[#This Row],[Implied Move]]&gt;0, SnapshotTable[[#This Row],[Last Price]] + SnapshotTable[[#This Row],[Implied Move]],"")</f>
        <v/>
      </c>
      <c r="BA56" s="331">
        <v>48</v>
      </c>
      <c r="BB56" s="347"/>
      <c r="BC5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6" s="351"/>
      <c r="BE56" s="5"/>
      <c r="BF56" s="14"/>
      <c r="BG56" s="13"/>
      <c r="BH56" s="13"/>
      <c r="BI56" s="5"/>
      <c r="BJ56" s="136">
        <f>IF(SnapshotTable[[#This Row],[LP Qty]] &gt; 0, SnapshotTable[[#This Row],[LP Qty]] * SnapshotTable[[#This Row],[LP Book Price]] * 100,0)</f>
        <v>0</v>
      </c>
      <c r="BK56" s="136">
        <f>IF(SnapshotTable[[#This Row],[LP Premium]] &gt; 0, SnapshotTable[[#This Row],[LP Qty]] * SnapshotTable[[#This Row],[LP Strike Price]] * 100,0)</f>
        <v>0</v>
      </c>
      <c r="BL56" s="154"/>
      <c r="BM56" s="385" t="str">
        <f>IF(SnapshotTable[[#This Row],[LP Premium]] &gt; 0,SnapshotTable[[#This Row],[LP Exp Date]]-MAX(SnapshotTable[[#This Row],[LP Book Date]], SnapshotTable[[#This Row],[LP Fill Date]]),"")</f>
        <v/>
      </c>
      <c r="BN56" s="385" t="str">
        <f>IF(ISNUMBER( SnapshotTable[[#This Row],[LP Term]]), SnapshotTable[[#This Row],[LP Exp Date]] - MockToday,"")</f>
        <v/>
      </c>
      <c r="BO56" s="163" t="str">
        <f>IF(AND(SnapshotTable[[#This Row],[LP Exp Date]]&gt;0, SnapshotTable[[#This Row],[LP Strike Price]]&gt;0,SnapshotTable[[#This Row],[LP Qty]]&gt;0,SnapshotTable[[#This Row],[LP Book Date]]&gt;0,SnapshotTable[[#This Row],[LP Book Price]]&gt;0,SnapshotTable[[#This Row],[LP Fill Date]]=0),"Y","")</f>
        <v/>
      </c>
      <c r="BP56" s="31" t="str">
        <f>IF(AND(SnapshotTable[[#This Row],[LP No Fill]]&lt;&gt;"Y",SnapshotTable[[#This Row],[LP Contract Value]]&gt;0, SnapshotTable[[#This Row],[LP Qty]]&gt;0), SnapshotTable[[#This Row],[LP Contract Value]]*SnapshotTable[[#This Row],[LP Qty]]*100,"")</f>
        <v/>
      </c>
      <c r="BQ56" s="13"/>
      <c r="BR56" s="5" t="str">
        <f>IF(SnapshotTable[[#This Row],[SP Exp Date]]&lt;&gt;"",TRUNC(SnapshotTable[[#This Row],[Last Price]]),"")</f>
        <v/>
      </c>
      <c r="BS56" s="36"/>
      <c r="BT56" s="147"/>
      <c r="BU56" s="13"/>
      <c r="BV56" s="5"/>
      <c r="BW56" s="419" t="b">
        <f>AND(ISNUMBER(SnapshotTable[[#This Row],[SP Exp Date]]), ISNUMBER(SnapshotTable[[#This Row],[SP Strike Price]]), ISNUMBER(SnapshotTable[[#This Row],[SP Qty]]), ISNUMBER(SnapshotTable[[#This Row],[SP Book Date]]), ISNUMBER(SnapshotTable[[#This Row],[SP Book Price]]))</f>
        <v>0</v>
      </c>
      <c r="BX56" s="419" t="b">
        <f>AND(SnapshotTable[[#This Row],[SP Is Booked]], NOT(ISBLANK(SnapshotTable[[#This Row],[SP Fill Date]])))</f>
        <v>0</v>
      </c>
      <c r="BY56" s="33">
        <f>IF(SnapshotTable[[#This Row],[SP Is Booked]], SnapshotTable[[#This Row],[SP Qty]] * SnapshotTable[[#This Row],[SP Book Price]] * 100, 0)</f>
        <v>0</v>
      </c>
      <c r="BZ56" s="369"/>
      <c r="CA56" s="368">
        <f>SnapshotTable[[#This Row],[LP Qty]]</f>
        <v>0</v>
      </c>
      <c r="CB56" s="4" t="str">
        <f>IF(SnapshotTable[[#This Row],[SP Is Booked]], SnapshotTable[[#This Row],[SP Strike Price]] - SnapshotTable[[#This Row],[SP Book Price]], "")</f>
        <v/>
      </c>
      <c r="CC56" s="19" t="str">
        <f>IF(SnapshotTable[[#This Row],[SP Is Booked]],SnapshotTable[[#This Row],[SP Exp Date]]-MAX(SnapshotTable[[#This Row],[SP Book Date]], SnapshotTable[[#This Row],[SP Fill Date]]),"")</f>
        <v/>
      </c>
      <c r="CD56" s="7" t="str">
        <f>IF(SnapshotTable[[#This Row],[SP Is Booked]], SnapshotTable[[#This Row],[SP Book Price]]/SnapshotTable[[#This Row],[SP Strike Price]], "")</f>
        <v/>
      </c>
      <c r="CE56" s="7" t="str">
        <f>IF(ISNUMBER(SnapshotTable[[#This Row],[SP ROO Term]]),SnapshotTable[[#This Row],[SP ROO Term]]*(365/SnapshotTable[[#This Row],[SP Term]]),"")</f>
        <v/>
      </c>
      <c r="CF56" s="236">
        <f>SnapshotTable[[#This Row],[LP Strike Price]] * SnapshotTable[[#This Row],[LP Qty]] * 100</f>
        <v>0</v>
      </c>
      <c r="CG56" s="31" t="e">
        <f>IF(ISNUMBER(SnapshotTable[[#This Row],[SP Premium]]), (SnapshotTable[[#This Row],[SP Qty]] * SnapshotTable[[#This Row],[SP Strike Price]]* 100) - SnapshotTable[[#This Row],[LP Protection]], 0)</f>
        <v>#VALUE!</v>
      </c>
      <c r="CH56" s="7" t="str">
        <f>IF(ISNUMBER(SnapshotTable[[#This Row],[SP Break Even]]),-1 * (SnapshotTable[[#This Row],[SP Break Even]] - SnapshotTable[[#This Row],[Last Price]]) / SnapshotTable[[#This Row],[Last Price]], "")</f>
        <v/>
      </c>
      <c r="CI56" s="31">
        <f>IF(AND(ISNUMBER((SnapshotTable[[#This Row],[SP Potential Spend]])), SnapshotTable[[#This Row],[SP Strike Price]] &gt; SnapshotTable[[#This Row],[Last Price]], SnapshotTable[[#This Row],[SP Is Filled]]), SnapshotTable[[#This Row],[SP Potential Spend]] -  SnapshotTable[[#This Row],[LP Max Value]], 0)</f>
        <v>0</v>
      </c>
      <c r="CJ56" s="244"/>
      <c r="CK56" s="31" t="str">
        <f>IF(ISNUMBER(SnapshotTable[[#This Row],[SP Potential Spend]]),IF(ISNUMBER(SnapshotTable[[#This Row],[SP POW]]), SnapshotTable[[#This Row],[SP POW]] * SnapshotTable[[#This Row],[SP Potential Spend]], SnapshotTable[[#This Row],[SP Potential Spend]]), "")</f>
        <v/>
      </c>
      <c r="CL56" s="164" t="e">
        <f>IF(NOT(SnapshotTable[[#This Row],[SP Is Filled]]),(SnapshotTable[[#This Row],[SP Qty]] * SnapshotTable[[#This Row],[SP Strike Price]] * 100) - SnapshotTable[[#This Row],[LP Max Value]],"")</f>
        <v>#VALUE!</v>
      </c>
      <c r="CM56" s="31" t="str">
        <f>IF(SnapshotTable[[#This Row],[SP Actual Spend]]&lt;&gt;0, ((SnapshotTable[[#This Row],[SP Strike Price]]-SnapshotTable[[#This Row],[Last Price]]) *(SnapshotTable[[#This Row],[SP Qty]]*100) - SnapshotTable[[#This Row],[SP Premium]]) * - 1, "")</f>
        <v/>
      </c>
      <c r="CN56" s="78"/>
      <c r="CO56" s="369"/>
      <c r="CP56" s="4" t="str">
        <f>IF(SnapshotTable[[#This Row],[SP Is Filled]], btc_max_buyback_amount(SnapshotTable[[#This Row],[SP Fill Date]],SnapshotTable[[#This Row],[SP Exp Date]], SnapshotTable[[#This Row],[SP Book Price]]),"")</f>
        <v/>
      </c>
      <c r="CQ56" s="78"/>
      <c r="CR5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6" s="155" t="str">
        <f>IF(SnapshotTable[[#This Row],[SP Is Filled]], btc_next_cutoff_date(SnapshotTable[[#This Row],[SP Fill Date]],SnapshotTable[[#This Row],[SP Exp Date]]),"")</f>
        <v/>
      </c>
      <c r="CT56" s="235" t="str" cm="1">
        <f t="array" ref="CT56">IF(SnapshotTable[[#This Row],[SP Is Filled]], btc_should_buy_back(SnapshotTable[[#This Row],[SP Fill Date]], SnapshotTable[[#This Row],[SP Exp Date]], SnapshotTable[[#This Row],[SP Book Price]], SnapshotTable[[#This Row],[SP Current Ask]], MockToday, SnapshotTable[[#This Row],[SP Buyback Override]]),"")</f>
        <v/>
      </c>
      <c r="CU56" s="143">
        <v>44883</v>
      </c>
      <c r="CV56" s="235"/>
      <c r="CW56" s="378" t="str">
        <f>IF(ISNUMBER( SnapshotTable[[#This Row],[SP Term]]), SnapshotTable[[#This Row],[SP Exp Date]] - MockToday,"")</f>
        <v/>
      </c>
      <c r="CX56" s="31" t="str">
        <f>IF(SnapshotTable[[#This Row],[SP Is Filled]],SnapshotTable[[#This Row],[SP Buyback Price to Use]] * 100 * SnapshotTable[[#This Row],[SP Qty]], "")</f>
        <v/>
      </c>
      <c r="CY56" s="4" t="str">
        <f>IF(ISNUMBER(SnapshotTable[[#This Row],[SP Strike Price]]), SnapshotTable[[#This Row],[SP Strike Price]] * (1 - SP_MaxLoss_StrikePct), "")</f>
        <v/>
      </c>
      <c r="CZ56" s="31" t="str">
        <f>IF(ISNUMBER(SnapshotTable[[#This Row],[SP Strike  Stop Per Share]]),SnapshotTable[[#This Row],[SP Premium]] - ((SnapshotTable[[#This Row],[SP Strike Price]]-SnapshotTable[[#This Row],[SP Strike  Stop Per Share]]) *(SnapshotTable[[#This Row],[SP Qty]] * 100)),"")</f>
        <v/>
      </c>
      <c r="DA56" s="4" t="str">
        <f>IF(AND(ISNUMBER(SnapshotTable[[#This Row],[SP Premium]]),SnapshotTable[[#This Row],[SP Premium]]&gt;0), SnapshotTable[[#This Row],[SP Book Price]] * (1 + SP_MaxLoss_OptionPct), "")</f>
        <v/>
      </c>
      <c r="DB56" s="31" t="str">
        <f>IF(ISNUMBER(SnapshotTable[[#This Row],[SP Option  Stop Contract]]),(SnapshotTable[[#This Row],[SP Option  Stop Contract]] *(SnapshotTable[[#This Row],[SP Qty]] * 100) - SnapshotTable[[#This Row],[SP Premium]]),"")</f>
        <v/>
      </c>
      <c r="DC56" s="4"/>
      <c r="DD56" s="4"/>
      <c r="DE56" s="4" t="str">
        <f>IF(AND(SnapshotTable[[#This Row],[SP Qty]]&gt;0, SnapshotTable[[#This Row],[SP Stop To Use]]&gt;0),SnapshotTable[[#This Row],[SP Premium]] - ( SnapshotTable[[#This Row],[SP Qty]] * SnapshotTable[[#This Row],[SP Stop To Use]] * 100), "")</f>
        <v/>
      </c>
      <c r="DF56" s="31" t="str">
        <f>IF(AND(SnapshotTable[[#This Row],[SP Qty]]&gt;0,SnapshotTable[[#This Row],[SP Current Ask]]&gt;0), SnapshotTable[[#This Row],[SP Qty]] * SnapshotTable[[#This Row],[SP Current Ask]] * -100, "")</f>
        <v/>
      </c>
      <c r="DG56" s="31" t="str">
        <f>IF(ISNUMBER((SnapshotTable[[#This Row],[SP Total Value]])), SnapshotTable[[#This Row],[SP Premium]] + SnapshotTable[[#This Row],[SP Total Value]], "")</f>
        <v/>
      </c>
      <c r="DH56" s="294" t="str">
        <f>IF(ISNUMBER((SnapshotTable[[#This Row],[SP Total Value]])), SnapshotTable[[#This Row],[SP Gain Loss]] / SnapshotTable[[#This Row],[SP Premium]], "")</f>
        <v/>
      </c>
      <c r="DI56" s="406"/>
      <c r="DJ56" s="138"/>
      <c r="DK56" s="148"/>
      <c r="DL56" s="13"/>
      <c r="DM56" s="13"/>
      <c r="DN56" s="5"/>
      <c r="DO56" s="31">
        <f>IF(SnapshotTable[[#This Row],[LC Symbol Count]]=1, SnapshotTable[[#This Row],[LC Qty]] * SnapshotTable[[#This Row],[LC Book Price]] * 100, 0)</f>
        <v>0</v>
      </c>
      <c r="DP56" s="163" t="str">
        <f>IF(AND(SnapshotTable[[#This Row],[LC Exp Date]]&gt;0, SnapshotTable[[#This Row],[LC Strike Price]]&gt;0,SnapshotTable[[#This Row],[LC Qty]]&gt;0,SnapshotTable[[#This Row],[LC Book Date]]&gt;0,SnapshotTable[[#This Row],[LC Book Price]]&gt;0,SnapshotTable[[#This Row],[LC Fill Date]]=0),"Y","")</f>
        <v/>
      </c>
      <c r="DQ56" s="386" t="str">
        <f>IF(SnapshotTable[[#This Row],[LC Premium]] &gt; 0,SnapshotTable[[#This Row],[LC Exp Date]]-MAX(SnapshotTable[[#This Row],[LC Book Date]], SnapshotTable[[#This Row],[LC Fill Date]]),"")</f>
        <v/>
      </c>
      <c r="DR56" s="386" t="str">
        <f>IF(ISNUMBER(SnapshotTable[[#This Row],[LC Term]]), SnapshotTable[[#This Row],[LC Exp Date]] - MockToday, "")</f>
        <v/>
      </c>
      <c r="DS56" s="234" t="str">
        <f>IF(SnapshotTable[[#This Row],[LC Premium]]&gt;0,SnapshotTable[[#This Row],[LC Strike Price]] + SnapshotTable[[#This Row],[LC Book Price]],"")</f>
        <v/>
      </c>
      <c r="DT56" s="5"/>
      <c r="DU56" s="9" t="str">
        <f>IF(AND(SnapshotTable[[#This Row],[LC Symbol Count]]&gt;0, SnapshotTable[[#This Row],[LC Contract Value]]&gt;0), SnapshotTable[[#This Row],[LC Contract Value]] * SnapshotTable[[#This Row],[LC Qty]] * 100, "")</f>
        <v/>
      </c>
      <c r="DV56" s="9" t="str">
        <f>IF(AND(ISNUMBER(SnapshotTable[[#This Row],[LC Total Value]]), SnapshotTable[[#This Row],[LC Not Filled]]&lt;&gt;"Y"), SnapshotTable[[#This Row],[LC Total Value]]-SnapshotTable[[#This Row],[LC Premium]],"")</f>
        <v/>
      </c>
      <c r="DW56" s="240" t="str">
        <f>IF(ISNUMBER(SnapshotTable[[#This Row],[LC Actual Gain Loss]]), SnapshotTable[[#This Row],[LC Actual Gain Loss]] / SnapshotTable[[#This Row],[LC Premium]],"")</f>
        <v/>
      </c>
      <c r="DX56" s="284" t="str">
        <f>IF(ISNUMBER(SnapshotTable[[#This Row],[LC Book Price]]),SnapshotTable[[#This Row],[LC Book Price]] * 1.5,"")</f>
        <v/>
      </c>
      <c r="DY56" s="265" t="str">
        <f>IF(SnapshotTable[[#This Row],[LC Premium]]&gt;0, SnapshotTable[[#This Row],[LC Next Target]] * SnapshotTable[[#This Row],[LC Qty]] * 100,"")</f>
        <v/>
      </c>
      <c r="DZ56" s="265" t="str">
        <f>IF(ISNUMBER(SnapshotTable[[#This Row],[LC Target Gross]]), SnapshotTable[[#This Row],[LC Target Gross]] - SnapshotTable[[#This Row],[LC Premium]], "")</f>
        <v/>
      </c>
      <c r="EA56" s="305" t="str">
        <f>IF(ISNUMBER(SnapshotTable[[#This Row],[LC Target Gain Loss]]), SnapshotTable[[#This Row],[LC Target Gain Loss]]/SnapshotTable[[#This Row],[LC Premium]], "")</f>
        <v/>
      </c>
      <c r="EB56" s="262"/>
      <c r="EC56" s="283" t="str">
        <f>IF(SnapshotTable[[#This Row],[LC Premium]]&gt;0, SnapshotTable[[#This Row],[LC Book Price]] * (1 - LC_StopLoss_Pct),"")</f>
        <v/>
      </c>
      <c r="ED56" s="284"/>
      <c r="EE56" s="283" t="str">
        <f>IF(ISNUMBER(SnapshotTable[[#This Row],[LC Contract Value]]),IF(ISNUMBER(SnapshotTable[[#This Row],[LC Stop Loss Override]]), SnapshotTable[[#This Row],[LC Stop Loss Override]],SnapshotTable[[#This Row],[LC Stop Loss Calc Target]]),"")</f>
        <v/>
      </c>
      <c r="EF56" s="31" t="str">
        <f>IF(ISNUMBER(SnapshotTable[[#This Row],[LC Stop  To Use]]), (SnapshotTable[[#This Row],[LC Stop  To Use]] * SnapshotTable[[#This Row],[LC Qty]] * 100),"")</f>
        <v/>
      </c>
      <c r="EG56" s="9" t="str">
        <f>IF(ISNUMBER(SnapshotTable[[#This Row],[LC Total Value]]),SnapshotTable[[#This Row],[LC Stop Loss Amount]] - SnapshotTable[[#This Row],[LC Premium]],"")</f>
        <v/>
      </c>
      <c r="EH56" s="9">
        <f>IF(ISNUMBER(SnapshotTable[[#This Row],[LC Premium]]), SnapshotTable[[#This Row],[LC Qty]] * 100 * SnapshotTable[[#This Row],[LC Strike Price]], "")</f>
        <v>0</v>
      </c>
      <c r="EI56" s="240" t="str">
        <f>IF(AND(ISNUMBER(SnapshotTable[[#This Row],[LC Total Value]]),SnapshotTable[[#This Row],[LC Total Value]]&gt;0),SnapshotTable[[#This Row],[LC Stop Gain Loss]]  / SnapshotTable[[#This Row],[LC Premium]],"")</f>
        <v/>
      </c>
      <c r="EJ56" s="35">
        <f>IF(ISNUMBER(SnapshotTable[[#This Row],[Equity Shares]]),TRUNC(SnapshotTable[[#This Row],[Equity Shares]] / 100),0) + SnapshotTable[[#This Row],[LC Qty]]</f>
        <v>0</v>
      </c>
      <c r="EK56" s="147"/>
      <c r="EL56" s="138" t="str">
        <f>IF(SnapshotTable[[#This Row],[SC Exp Date]]&lt;&gt;"",TRUNC(SnapshotTable[[#This Row],[Last Price]]),"")</f>
        <v/>
      </c>
      <c r="EM56" s="148"/>
      <c r="EN56" s="147"/>
      <c r="EO56" s="147"/>
      <c r="EP56" s="138"/>
      <c r="EQ56" s="419" t="b">
        <f>AND(ISNUMBER(SnapshotTable[[#This Row],[SC Exp Date]]), ISNUMBER(SnapshotTable[[#This Row],[SC Strike Price]]), ISNUMBER(SnapshotTable[[#This Row],[SC Qty]]), ISNUMBER(SnapshotTable[[#This Row],[SC Book Date]]), ISNUMBER(SnapshotTable[[#This Row],[SC Book Price]]))</f>
        <v>0</v>
      </c>
      <c r="ER56" s="419" t="b">
        <f>AND(SnapshotTable[[#This Row],[SC Is Booked]], NOT(ISBLANK(SnapshotTable[[#This Row],[SC Fill Date]])))</f>
        <v>0</v>
      </c>
      <c r="ES56" s="370"/>
      <c r="ET56" s="34" t="str">
        <f>IF(AND(ISNUMBER(SnapshotTable[[#This Row],[SC Exp Date]]), ISNUMBER(SnapshotTable[[#This Row],[SC Book Date]])), SnapshotTable[[#This Row],[SC Exp Date]] - MAX(SnapshotTable[[#This Row],[SC Book Date]], SnapshotTable[[#This Row],[SC Fill Date]]) + 1, "")</f>
        <v/>
      </c>
      <c r="EU56" s="34" t="str">
        <f>IF(ISNUMBER(SnapshotTable[[#This Row],[SC Term]]), SnapshotTable[[#This Row],[SC Exp Date]]- MockToday, "")</f>
        <v/>
      </c>
      <c r="EV56" s="31">
        <f>IF(SnapshotTable[[#This Row],[SC Is Booked]], SnapshotTable[[#This Row],[SC Qty]] * SnapshotTable[[#This Row],[SC Book Price]] * 100, 0)</f>
        <v>0</v>
      </c>
      <c r="EW56" s="4" t="str">
        <f>IF(AND(ISNUMBER(SnapshotTable[[#This Row],[Last Price]]), ISNUMBER( SnapshotTable[[#This Row],[SC Book Price]])), SnapshotTable[[#This Row],[Last Price]] - SnapshotTable[[#This Row],[SC Book Price]],"")</f>
        <v/>
      </c>
      <c r="EX56" s="234" t="str">
        <f>IF(SnapshotTable[[#This Row],[SC Is Booked]],IF(SnapshotTable[[#This Row],[SC Intrinsic Value]] &gt; 0, SnapshotTable[[#This Row],[SC Strike Price]], SnapshotTable[[#This Row],[Last Price]]), "")</f>
        <v/>
      </c>
      <c r="EY56" s="4">
        <f>IF(SnapshotTable[[#This Row],[SC Is Booked]], (MinimumPremiumRequired * SnapshotTable[[#This Row],[SC Basis]] * SnapshotTable[[#This Row],[SC Term]]), 0)</f>
        <v>0</v>
      </c>
      <c r="EZ56" s="283"/>
      <c r="FA56" s="218"/>
      <c r="FB56" s="370"/>
      <c r="FC56" s="4">
        <f>IF(SnapshotTable[[#This Row],[SC Is Filled]], btc_max_buyback_amount(SnapshotTable[[#This Row],[SC Fill Date]],SnapshotTable[[#This Row],[SC Exp Date]], SnapshotTable[[#This Row],[SC Book Price]]),0)</f>
        <v>0</v>
      </c>
      <c r="FD56" s="5"/>
      <c r="FE56" s="144" t="str">
        <f>IF(SnapshotTable[[#This Row],[SC Is Filled]], btc_next_cutoff_date(SnapshotTable[[#This Row],[SC Fill Date]],SnapshotTable[[#This Row],[SC Exp Date]]),"")</f>
        <v/>
      </c>
      <c r="FF56" s="4" t="str" cm="1">
        <f t="array" ref="FF56">IF(SnapshotTable[[#This Row],[SC Is Filled]], btc_should_buy_back(SnapshotTable[[#This Row],[SC Fill Date]], SnapshotTable[[#This Row],[SC Exp Date]], SnapshotTable[[#This Row],[SC Book Price]], SnapshotTable[[#This Row],[SC Current Ask]], MockToday, SnapshotTable[[#This Row],[SC Buyback Override]]),"")</f>
        <v/>
      </c>
      <c r="FG56" s="4">
        <f>IF(SnapshotTable[[#This Row],[SC Is Filled]], MAX(0,SnapshotTable[[#This Row],[Last Price]]  - SnapshotTable[[#This Row],[SC Strike Price]]), 0)</f>
        <v>0</v>
      </c>
      <c r="FH56" s="382">
        <f>IF(SnapshotTable[[#This Row],[SC Is Filled]], IF(ISNUMBER(SnapshotTable[[#This Row],[SC Current Ask]]), SnapshotTable[[#This Row],[SC Current Ask]], SnapshotTable[[#This Row],[SC Book Price]]) - SnapshotTable[[#This Row],[SC Intrinsic Value]], 0)</f>
        <v>0</v>
      </c>
      <c r="FI56" s="143"/>
      <c r="FJ56" s="32" t="str">
        <f>IF(SnapshotTable[[#This Row],[SC Is Filled]],100 * SnapshotTable[[#This Row],[SC Qty]] * IF(ISNUMBER(SnapshotTable[[#This Row],[SC Buyback Override]]), SnapshotTable[[#This Row],[SC Buyback Override]], SnapshotTable[[#This Row],[SC Current Ask]]), "")</f>
        <v/>
      </c>
      <c r="FK56" s="250" t="str">
        <f>IF(SnapshotTable[[#This Row],[SC Time Val]]&gt;0, SnapshotTable[[#This Row],[SC Time Val]] / SnapshotTable[[#This Row],[Last Price]],"")</f>
        <v/>
      </c>
      <c r="FL56" s="302" t="str">
        <f>IF(SnapshotTable[[#This Row],[SC Is Booked]], ((SnapshotTable[[#This Row],[Last Price]] -SnapshotTable[[#This Row],[SC Strike Price]]) / SnapshotTable[[#This Row],[Last Price]]) * -1, "")</f>
        <v/>
      </c>
      <c r="FM56" s="157" t="str">
        <f>IF(SnapshotTable[[#This Row],[SC Is Booked]],  (SnapshotTable[[#This Row],[SC Qty]] * 100 * SnapshotTable[[#This Row],[SC Strike Price]]) - SnapshotTable[[#This Row],[SC Current Ask]], "")</f>
        <v/>
      </c>
      <c r="FN5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6" s="31" t="str">
        <f>IF(AND(ISNUMBER(SnapshotTable[[#This Row],[SC Exercise Gross]]), ISNUMBER(SnapshotTable[[#This Row],[Equity Basis Per Share]] )), SnapshotTable[[#This Row],[SC Exercise Gross]] - SnapshotTable[[#This Row],[Equity Basis Total]] +  SnapshotTable[[#This Row],[SC Premium]], "")</f>
        <v/>
      </c>
      <c r="FP56" s="5" t="str">
        <f>IF(ISNUMBER(SnapshotTable[[#This Row],[SC Exercise Gross]]), (SnapshotTable[[#This Row],[SC Exercise Gross]]) / (SnapshotTable[[#This Row],[SC Qty]] * 100), "")</f>
        <v/>
      </c>
      <c r="FQ56" s="27" t="str">
        <f>IF(SnapshotTable[[#This Row],[SC Is Booked]],SnapshotTable[[#This Row],[SC Time Val]] /SnapshotTable[[#This Row],[SC Basis]], "")</f>
        <v/>
      </c>
      <c r="FR56" s="27" t="str" cm="1">
        <f t="array" ref="FR56">IF(AND(ISNUMBER(SnapshotTable[[#This Row],[SC Term]]),ISNUMBER(SnapshotTable[[#This Row],[SC Simple ROO]])), EllmanAnnualize(SnapshotTable[[#This Row],[SC DTE]], SnapshotTable[[#This Row],[SC Simple ROO]] ),"")</f>
        <v/>
      </c>
      <c r="FS56" s="4" t="e">
        <f>IF(SnapshotTable[[#This Row],[SC Strike Price]] &gt; SnapshotTable[[#This Row],[Last Price]], SnapshotTable[[#This Row],[SC Strike Price]] - SnapshotTable[[#This Row],[Last Price]],0)</f>
        <v>#VALUE!</v>
      </c>
      <c r="FT56" s="27" t="e">
        <f>IF(AND(ISNUMBER(SnapshotTable[[#This Row],[SC Upside Potential]]), SnapshotTable[[#This Row],[SC Upside Potential]] &gt; 0),(SnapshotTable[[#This Row],[SC Upside Potential]]/ SnapshotTable[[#This Row],[ACB]]),"")</f>
        <v>#VALUE!</v>
      </c>
      <c r="FU56" s="333" t="str">
        <f>IF(SnapshotTable[[#This Row],[SC Intrinsic Value]] &gt; 0,SnapshotTable[[#This Row],[SC Intrinsic Value]],"")</f>
        <v/>
      </c>
      <c r="FV56" s="27" t="str">
        <f>IF(AND( ISNUMBER( SnapshotTable[[#This Row],[ACB]]),ISNUMBER(SnapshotTable[[#This Row],[SC Downside Protect]])),SnapshotTable[[#This Row],[SC Downside Protect]] / SnapshotTable[[#This Row],[ACB]],"")</f>
        <v/>
      </c>
      <c r="FW56" s="236" t="str">
        <f>IF(AND(ISNUMBER(SnapshotTable[[#This Row],[SC Simple ROO]]),SnapshotTable[[#This Row],[SC Simple ROO]] &gt; 0), SnapshotTable[[#This Row],[SC Premium]] + (SnapshotTable[[#This Row],[SC Qty]] * SnapshotTable[[#This Row],[SC Upside Potential]]), "")</f>
        <v/>
      </c>
      <c r="FX56" s="302" t="str" cm="1">
        <f t="array" ref="FX56">IF(ISNUMBER(SnapshotTable[[#This Row],[SC Max Dollars]]), annualize(SnapshotTable[[#This Row],[SC Term]],(SnapshotTable[[#This Row],[SC Max Dollars]]/SnapshotTable[[#This Row],[SC Basis]])),"")</f>
        <v/>
      </c>
      <c r="FY56" s="236" t="str">
        <f>IF(AND(SnapshotTable[[#This Row],[SC Qty]]&gt;0,SnapshotTable[[#This Row],[SC Current Ask]]&gt;0), SnapshotTable[[#This Row],[SC Qty]] * SnapshotTable[[#This Row],[SC Current Ask]] * -100, "")</f>
        <v/>
      </c>
      <c r="FZ56" s="31" t="str">
        <f>IF(ISNUMBER((SnapshotTable[[#This Row],[SC Current Value]])), SnapshotTable[[#This Row],[SC Premium]] + SnapshotTable[[#This Row],[SC Current Value]], "")</f>
        <v/>
      </c>
      <c r="GA56" s="294" t="str">
        <f>IFERROR( IF(ISNUMBER((SnapshotTable[[#This Row],[SC Current Value]])), SnapshotTable[[#This Row],[SC Gain Loss]] / SnapshotTable[[#This Row],[SC Premium]], ""), "")</f>
        <v/>
      </c>
      <c r="GB56" s="42">
        <f>SnapshotTable[[#This Row],[Equity Shares]] * SaleSharesToConsiderPercentage</f>
        <v>0</v>
      </c>
      <c r="GC56" s="40">
        <f>SnapshotTable[[#This Row],[Long Term Target]] * SellingPriceToConsiderBasedOnTargetPercentage</f>
        <v>46.369500000000002</v>
      </c>
      <c r="GD56" s="40">
        <f>SnapshotTable[[#This Row],[Last Price]] * (1+ SellingPriceToConsiderBasedOnTargetPercentage)</f>
        <v>267.46199999999999</v>
      </c>
      <c r="GE56" s="41"/>
      <c r="GF56" s="40"/>
      <c r="GG56" s="31">
        <f>SnapshotTable[[#This Row],[Booked Sale Shares]] * SnapshotTable[[#This Row],[Booked Sale Price]]</f>
        <v>0</v>
      </c>
      <c r="GH56" s="31" t="str">
        <f>IF(SnapshotTable[[#This Row],[Equity Basis Total]] &gt; 0, SnapshotTable[[#This Row],[Equity Basis Per Share]] * SnapshotTable[[#This Row],[Booked Sale Shares]], "")</f>
        <v/>
      </c>
      <c r="GI56" s="31">
        <f>IF(SnapshotTable[[#This Row],[Sale Proceeds]]&gt;0, SnapshotTable[[#This Row],[Sale Proceeds]] - SnapshotTable[[#This Row],[Sale Basis]], 0)</f>
        <v>0</v>
      </c>
      <c r="GJ56" s="27" t="str">
        <f>IF(SnapshotTable[[#This Row],[Sale G/L]]&gt;0, SnapshotTable[[#This Row],[Sale G/L]] / SnapshotTable[[#This Row],[Sale Basis]], IF(ISNUMBER(SnapshotTable[[#This Row],[SC Exercise P&amp;L (TAX)]]), SnapshotTable[[#This Row],[SC Exercise P&amp;L (TAX)]] / SnapshotTable[[#This Row],[SC Basis]], ""))</f>
        <v/>
      </c>
      <c r="GK56" s="27" t="s">
        <v>648</v>
      </c>
      <c r="GL56" s="43" t="str">
        <f>IF(AND(SnapshotTable[[#This Row],[LP Exp Date]]&gt;0,SnapshotTable[[#This Row],[LP Strike Price]]&gt;0), [1]!ToOptionSymbol(SnapshotTable[[#This Row],[Symbol]], SnapshotTable[[#This Row],[LP Strike Price]],SnapshotTable[[#This Row],[LP Exp Date]],1), "")</f>
        <v/>
      </c>
      <c r="GM56" s="30" t="str">
        <f>IF(LEN(SnapshotTable[[#This Row],[LP Symbol]])&gt;0, 1, "")</f>
        <v/>
      </c>
      <c r="GN56" s="43" t="str">
        <f>IF(AND(SnapshotTable[[#This Row],[SP Exp Date]]&gt;0,SnapshotTable[[#This Row],[SP Strike Price]]&gt;0), [1]!ToOptionSymbol(SnapshotTable[[#This Row],[Symbol]], SnapshotTable[[#This Row],[SP Strike Price]],SnapshotTable[[#This Row],[SP Exp Date]],1), "")</f>
        <v/>
      </c>
      <c r="GO56" s="30" t="str">
        <f>IF(LEN(SnapshotTable[[#This Row],[SP Symbol]])&gt;0, 1, "")</f>
        <v/>
      </c>
      <c r="GP56" s="43" t="str">
        <f>IF(AND(SnapshotTable[[#This Row],[LC Exp Date]]&gt;0,SnapshotTable[[#This Row],[LC Strike Price]]&gt;0), [1]!ToOptionSymbol(SnapshotTable[[#This Row],[Symbol]], SnapshotTable[[#This Row],[LC Strike Price]],SnapshotTable[[#This Row],[LC Exp Date]],0), "")</f>
        <v/>
      </c>
      <c r="GQ56" s="30" t="str">
        <f>IF(LEN(SnapshotTable[[#This Row],[LC Symbol]])&gt;0, 1, "")</f>
        <v/>
      </c>
      <c r="GR56" s="43" t="str">
        <f>IF(AND(SnapshotTable[[#This Row],[SC Exp Date]]&gt;0,SnapshotTable[[#This Row],[SC Strike Price]]&gt;0), [1]!ToOptionSymbol(SnapshotTable[[#This Row],[Symbol]], SnapshotTable[[#This Row],[SC Strike Price]],SnapshotTable[[#This Row],[SC Exp Date]],0), "")</f>
        <v/>
      </c>
      <c r="GS56" s="30" t="str">
        <f>IF(LEN(SnapshotTable[[#This Row],[SC Symbol]])&gt;0, 1, "")</f>
        <v/>
      </c>
      <c r="GT56" s="29" t="str">
        <f>IF(COUNT(SnapshotTable[[#This Row],[LP Symbol Count]],SnapshotTable[[#This Row],[SP Symbol Count]],SnapshotTable[[#This Row],[LC Symbol Count]],SnapshotTable[[#This Row],[SC Symbol Count]])&gt;0, "Y", "")</f>
        <v/>
      </c>
      <c r="GU5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6" s="231" t="e">
        <f>MAX(SnapshotTable[[#This Row],[Equity Basis Total]],SnapshotTable[[#This Row],[Equity Value]]) + (SnapshotTable[[#This Row],[SP Potential Spend]]- SnapshotTable[[#This Row],[SP Premium]] + SnapshotTable[[#This Row],[LP Premium]])+ (SnapshotTable[[#This Row],[LC Premium]] - SnapshotTable[[#This Row],[SC Premium]])</f>
        <v>#VALUE!</v>
      </c>
      <c r="GW56" s="139" t="e">
        <f>IF(AND(SnapshotTable[[#This Row],[Exposure]] &lt;&gt; 0),SnapshotTable[[#This Row],[Exposure]] / SnapshotTable[[#Totals],[Exposure]], "")</f>
        <v>#VALUE!</v>
      </c>
      <c r="GY56" s="381"/>
      <c r="HE56" s="268"/>
      <c r="HF56" s="268"/>
      <c r="HG56" s="381"/>
      <c r="HH56" s="381"/>
      <c r="HI56" s="381"/>
      <c r="HJ56" s="381"/>
    </row>
    <row r="57" spans="2:224" s="47" customFormat="1" ht="12.75" hidden="1" customHeight="1" x14ac:dyDescent="0.25">
      <c r="B57" s="12" t="s">
        <v>1073</v>
      </c>
      <c r="C57" s="422">
        <v>177.86</v>
      </c>
      <c r="D57" s="208" t="s">
        <v>578</v>
      </c>
      <c r="E57" s="39">
        <f>SnapshotTable[[#This Row],[Last Price]]*(1 -CrashDiscount)</f>
        <v>151.18100000000001</v>
      </c>
      <c r="F57" s="26" t="s">
        <v>611</v>
      </c>
      <c r="G57" s="26" t="s">
        <v>610</v>
      </c>
      <c r="H57" s="149"/>
      <c r="I57" s="194">
        <v>45141.6875</v>
      </c>
      <c r="J57" s="195">
        <v>45141.6875</v>
      </c>
      <c r="K57" s="196"/>
      <c r="L57" s="326"/>
      <c r="M57" s="140"/>
      <c r="N57" s="140"/>
      <c r="O57" s="140"/>
      <c r="P57" s="22"/>
      <c r="Q57" s="25"/>
      <c r="R57" s="4" t="str">
        <f>IF(SnapshotTable[[#This Row],[Equity Basis Total]] &gt; 0, SnapshotTable[[#This Row],[Equity Basis Total]] / SnapshotTable[[#This Row],[Equity Shares]], "")</f>
        <v/>
      </c>
      <c r="S57" s="269">
        <f>SnapshotTable[[#This Row],[Last Price]] * SnapshotTable[[#This Row],[Equity Shares]]</f>
        <v>0</v>
      </c>
      <c r="T57" s="269">
        <f>SnapshotTable[[#This Row],[Equity Value]] - SnapshotTable[[#This Row],[Equity Basis Total]]</f>
        <v>0</v>
      </c>
      <c r="U57" s="270" t="str">
        <f>IF(SnapshotTable[[#This Row],[Equity Basis Total]] &gt; 0, SnapshotTable[[#This Row],[Equity G/L]] / SnapshotTable[[#This Row],[Equity Basis Total]], "")</f>
        <v/>
      </c>
      <c r="V57" s="268"/>
      <c r="W57" s="268"/>
      <c r="X57" s="4" t="str">
        <f>IF(AND(ISNUMBER(SnapshotTable[[#This Row],[Equity Basis Per Share]]),ISNUMBER(SnapshotTable[[#This Row],[Equity Target]])),SnapshotTable[[#This Row],[Equity Target]]-SnapshotTable[[#This Row],[Equity Basis Per Share]],"")</f>
        <v/>
      </c>
      <c r="Y57" s="4" t="str">
        <f>IF(AND(ISNUMBER(SnapshotTable[[#This Row],[Equity Basis Per Share]]),ISNUMBER(SnapshotTable[[#This Row],[Equity Stop Loss]])),SnapshotTable[[#This Row],[Equity Stop Loss]]-SnapshotTable[[#This Row],[Equity Basis Per Share]],"")</f>
        <v/>
      </c>
      <c r="Z57" s="275" t="str">
        <f>IFERROR( TEXT(SnapshotTable[[#This Row],[Equity Max Gain Per Share]] /ABS( SnapshotTable[[#This Row],[Equity Max Loss Per Share]]),"0.0 " ) &amp; " : 1", "")</f>
        <v/>
      </c>
      <c r="AA57" s="31" t="str">
        <f>IF(ISNUMBER(SnapshotTable[[#This Row],[Equity Max Gain Per Share]]),SnapshotTable[[#This Row],[Equity Max Gain Per Share]] * SnapshotTable[[#This Row],[Equity Shares]],"")</f>
        <v/>
      </c>
      <c r="AB57" s="31" t="str">
        <f>IF(ISNUMBER(SnapshotTable[[#This Row],[Equity Max Loss Per Share]]),SnapshotTable[[#This Row],[Equity Max Loss Per Share]] * SnapshotTable[[#This Row],[Equity Shares]],"")</f>
        <v/>
      </c>
      <c r="AC57" s="150"/>
      <c r="AD57" s="151"/>
      <c r="AE57" s="31">
        <f>(SnapshotTable[[#This Row],[Annual Dividend Per Share]] / 4) * SnapshotTable[[#This Row],[Equity Shares]]</f>
        <v>0</v>
      </c>
      <c r="AF57" s="31">
        <f>SnapshotTable[[#This Row],[Quarterly Div $]] * 4</f>
        <v>0</v>
      </c>
      <c r="AG57" s="7">
        <f>IF(SnapshotTable[[#This Row],[Annual Dividend Per Share]]&gt;0, SnapshotTable[[#This Row],[Annual Dividend Per Share]]  / SnapshotTable[[#This Row],[Last Price]], 0)</f>
        <v>0</v>
      </c>
      <c r="AH57" s="151"/>
      <c r="AI57" s="5"/>
      <c r="AJ57" s="138">
        <v>2321.4299999999998</v>
      </c>
      <c r="AK57" s="152" t="str">
        <f>IF(ISNUMBER( SnapshotTable[[#This Row],[EBF Target]]),(SnapshotTable[[#This Row],[EBF Target]] - SnapshotTable[[#This Row],[Last Price]]) / SnapshotTable[[#This Row],[Last Price]], "")</f>
        <v/>
      </c>
      <c r="AL57" s="152" t="str">
        <f>IF(AND(SnapshotTable[[#This Row],[Equity Basis Total]] &gt; 0,ISNUMBER( SnapshotTable[[#This Row],[Long Term Target]])), SnapshotTable[[#This Row],[From Basis $]] / SnapshotTable[[#This Row],[Equity Basis Total]], "")</f>
        <v/>
      </c>
      <c r="AM57" s="9">
        <f>IF( AND(SnapshotTable[[#This Row],[Equity Shares]] &gt;0,ISNUMBER( SnapshotTable[[#This Row],[Long Term Target]])),(SnapshotTable[[#This Row],[Equity Shares]] * SnapshotTable[[#This Row],[Long Term Target]]) - SnapshotTable[[#This Row],[Equity Basis Total]],0)</f>
        <v>0</v>
      </c>
      <c r="AN57" s="9">
        <f>IF( AND(SnapshotTable[[#This Row],[Equity Shares]] &gt;0,ISNUMBER( SnapshotTable[[#This Row],[Long Term Target]])),(SnapshotTable[[#This Row],[Equity Shares]]*SnapshotTable[[#This Row],[Long Term Target]]) - SnapshotTable[[#This Row],[Equity Value]],0)</f>
        <v>0</v>
      </c>
      <c r="AO57" s="152">
        <f>IF(AND(ISNUMBER( SnapshotTable[[#This Row],[Long Term Target]]), ISNUMBER(SnapshotTable[[#This Row],[Last Price]])),(SnapshotTable[[#This Row],[Long Term Target]] - SnapshotTable[[#This Row],[Last Price]]) / SnapshotTable[[#This Row],[Last Price]], "")</f>
        <v>12.052007196671537</v>
      </c>
      <c r="AP57" s="5">
        <v>2800</v>
      </c>
      <c r="AQ57" s="38" t="s">
        <v>1082</v>
      </c>
      <c r="AR57" s="5">
        <v>2400</v>
      </c>
      <c r="AS57" s="38" t="s">
        <v>1083</v>
      </c>
      <c r="AT57" s="146" t="s">
        <v>509</v>
      </c>
      <c r="AU57" s="187" t="str">
        <f>IF(OR(SnapshotTable[[#This Row],[LP No Fill]]="Y",SnapshotTable[[#This Row],[SP Is Filled]],SnapshotTable[[#This Row],[LC Not Filled]]="Y",SnapshotTable[[#This Row],[SC Is Filled]]),"Y","")</f>
        <v/>
      </c>
      <c r="AV57" s="219"/>
      <c r="AW57" s="225"/>
      <c r="AX57" s="220"/>
      <c r="AY57" s="219" t="str">
        <f>IF(SnapshotTable[[#This Row],[Implied Move]]&gt;0, SnapshotTable[[#This Row],[Last Price]]-SnapshotTable[[#This Row],[Implied Move]],"")</f>
        <v/>
      </c>
      <c r="AZ57" s="219" t="str">
        <f>IF(SnapshotTable[[#This Row],[Implied Move]]&gt;0, SnapshotTable[[#This Row],[Last Price]] + SnapshotTable[[#This Row],[Implied Move]],"")</f>
        <v/>
      </c>
      <c r="BA57" s="331">
        <v>-19.21</v>
      </c>
      <c r="BB57" s="347" t="s">
        <v>1144</v>
      </c>
      <c r="BC5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7" s="351"/>
      <c r="BE57" s="138"/>
      <c r="BF57" s="166"/>
      <c r="BG57" s="167"/>
      <c r="BH57" s="167"/>
      <c r="BI57" s="221"/>
      <c r="BJ57" s="153">
        <f>IF(SnapshotTable[[#This Row],[LP Qty]] &gt; 0, SnapshotTable[[#This Row],[LP Qty]] * SnapshotTable[[#This Row],[LP Book Price]] * 100,0)</f>
        <v>0</v>
      </c>
      <c r="BK57" s="136">
        <f>IF(SnapshotTable[[#This Row],[LP Premium]] &gt; 0, SnapshotTable[[#This Row],[LP Qty]] * SnapshotTable[[#This Row],[LP Strike Price]] * 100,0)</f>
        <v>0</v>
      </c>
      <c r="BL57" s="154"/>
      <c r="BM57" s="385" t="str">
        <f>IF(SnapshotTable[[#This Row],[LP Premium]] &gt; 0,SnapshotTable[[#This Row],[LP Exp Date]]-MAX(SnapshotTable[[#This Row],[LP Book Date]], SnapshotTable[[#This Row],[LP Fill Date]]),"")</f>
        <v/>
      </c>
      <c r="BN57" s="385" t="str">
        <f>IF(ISNUMBER( SnapshotTable[[#This Row],[LP Term]]), SnapshotTable[[#This Row],[LP Exp Date]] - MockToday,"")</f>
        <v/>
      </c>
      <c r="BO57" s="163" t="str">
        <f>IF(AND(SnapshotTable[[#This Row],[LP Exp Date]]&gt;0, SnapshotTable[[#This Row],[LP Strike Price]]&gt;0,SnapshotTable[[#This Row],[LP Qty]]&gt;0,SnapshotTable[[#This Row],[LP Book Date]]&gt;0,SnapshotTable[[#This Row],[LP Book Price]]&gt;0,SnapshotTable[[#This Row],[LP Fill Date]]=0),"Y","")</f>
        <v/>
      </c>
      <c r="BP57" s="31" t="str">
        <f>IF(AND(SnapshotTable[[#This Row],[LP No Fill]]&lt;&gt;"Y",SnapshotTable[[#This Row],[LP Contract Value]]&gt;0, SnapshotTable[[#This Row],[LP Qty]]&gt;0), SnapshotTable[[#This Row],[LP Contract Value]]*SnapshotTable[[#This Row],[LP Qty]]*100,"")</f>
        <v/>
      </c>
      <c r="BQ57" s="13"/>
      <c r="BR57" s="5" t="str">
        <f>IF(SnapshotTable[[#This Row],[SP Exp Date]]&lt;&gt;"",TRUNC(SnapshotTable[[#This Row],[Last Price]]),"")</f>
        <v/>
      </c>
      <c r="BS57" s="36"/>
      <c r="BT57" s="147"/>
      <c r="BU57" s="13"/>
      <c r="BV57" s="5"/>
      <c r="BW57" s="419" t="b">
        <f>AND(ISNUMBER(SnapshotTable[[#This Row],[SP Exp Date]]), ISNUMBER(SnapshotTable[[#This Row],[SP Strike Price]]), ISNUMBER(SnapshotTable[[#This Row],[SP Qty]]), ISNUMBER(SnapshotTable[[#This Row],[SP Book Date]]), ISNUMBER(SnapshotTable[[#This Row],[SP Book Price]]))</f>
        <v>0</v>
      </c>
      <c r="BX57" s="419" t="b">
        <f>AND(SnapshotTable[[#This Row],[SP Is Booked]], NOT(ISBLANK(SnapshotTable[[#This Row],[SP Fill Date]])))</f>
        <v>0</v>
      </c>
      <c r="BY57" s="33">
        <f>IF(SnapshotTable[[#This Row],[SP Is Booked]], SnapshotTable[[#This Row],[SP Qty]] * SnapshotTable[[#This Row],[SP Book Price]] * 100, 0)</f>
        <v>0</v>
      </c>
      <c r="BZ57" s="369"/>
      <c r="CA57" s="368">
        <f>SnapshotTable[[#This Row],[LP Qty]]</f>
        <v>0</v>
      </c>
      <c r="CB57" s="4" t="str">
        <f>IF(SnapshotTable[[#This Row],[SP Is Booked]], SnapshotTable[[#This Row],[SP Strike Price]] - SnapshotTable[[#This Row],[SP Book Price]], "")</f>
        <v/>
      </c>
      <c r="CC57" s="19" t="str">
        <f>IF(SnapshotTable[[#This Row],[SP Is Booked]],SnapshotTable[[#This Row],[SP Exp Date]]-MAX(SnapshotTable[[#This Row],[SP Book Date]], SnapshotTable[[#This Row],[SP Fill Date]]),"")</f>
        <v/>
      </c>
      <c r="CD57" s="7" t="str">
        <f>IF(SnapshotTable[[#This Row],[SP Is Booked]], SnapshotTable[[#This Row],[SP Book Price]]/SnapshotTable[[#This Row],[SP Strike Price]], "")</f>
        <v/>
      </c>
      <c r="CE57" s="7" t="str">
        <f>IF(ISNUMBER(SnapshotTable[[#This Row],[SP ROO Term]]),SnapshotTable[[#This Row],[SP ROO Term]]*(365/SnapshotTable[[#This Row],[SP Term]]),"")</f>
        <v/>
      </c>
      <c r="CF57" s="236">
        <f>SnapshotTable[[#This Row],[LP Strike Price]] * SnapshotTable[[#This Row],[LP Qty]] * 100</f>
        <v>0</v>
      </c>
      <c r="CG57" s="31" t="e">
        <f>IF(ISNUMBER(SnapshotTable[[#This Row],[SP Premium]]), (SnapshotTable[[#This Row],[SP Qty]] * SnapshotTable[[#This Row],[SP Strike Price]]* 100) - SnapshotTable[[#This Row],[LP Protection]], 0)</f>
        <v>#VALUE!</v>
      </c>
      <c r="CH57" s="7" t="str">
        <f>IF(ISNUMBER(SnapshotTable[[#This Row],[SP Break Even]]),-1 * (SnapshotTable[[#This Row],[SP Break Even]] - SnapshotTable[[#This Row],[Last Price]]) / SnapshotTable[[#This Row],[Last Price]], "")</f>
        <v/>
      </c>
      <c r="CI57" s="31">
        <f>IF(AND(ISNUMBER((SnapshotTable[[#This Row],[SP Potential Spend]])), SnapshotTable[[#This Row],[SP Strike Price]] &gt; SnapshotTable[[#This Row],[Last Price]], SnapshotTable[[#This Row],[SP Is Filled]]), SnapshotTable[[#This Row],[SP Potential Spend]] -  SnapshotTable[[#This Row],[LP Max Value]], 0)</f>
        <v>0</v>
      </c>
      <c r="CJ57" s="244">
        <v>0.5</v>
      </c>
      <c r="CK57" s="31" t="str">
        <f>IF(ISNUMBER(SnapshotTable[[#This Row],[SP Potential Spend]]),IF(ISNUMBER(SnapshotTable[[#This Row],[SP POW]]), SnapshotTable[[#This Row],[SP POW]] * SnapshotTable[[#This Row],[SP Potential Spend]], SnapshotTable[[#This Row],[SP Potential Spend]]), "")</f>
        <v/>
      </c>
      <c r="CL57" s="164" t="e">
        <f>IF(NOT(SnapshotTable[[#This Row],[SP Is Filled]]),(SnapshotTable[[#This Row],[SP Qty]] * SnapshotTable[[#This Row],[SP Strike Price]] * 100) - SnapshotTable[[#This Row],[LP Max Value]],"")</f>
        <v>#VALUE!</v>
      </c>
      <c r="CM57" s="31" t="str">
        <f>IF(SnapshotTable[[#This Row],[SP Actual Spend]]&lt;&gt;0, ((SnapshotTable[[#This Row],[SP Strike Price]]-SnapshotTable[[#This Row],[Last Price]]) *(SnapshotTable[[#This Row],[SP Qty]]*100) - SnapshotTable[[#This Row],[SP Premium]]) * - 1, "")</f>
        <v/>
      </c>
      <c r="CN57" s="154"/>
      <c r="CO57" s="369"/>
      <c r="CP57" s="4" t="str">
        <f>IF(SnapshotTable[[#This Row],[SP Is Filled]], btc_max_buyback_amount(SnapshotTable[[#This Row],[SP Fill Date]],SnapshotTable[[#This Row],[SP Exp Date]], SnapshotTable[[#This Row],[SP Book Price]]),"")</f>
        <v/>
      </c>
      <c r="CQ57" s="78"/>
      <c r="CR5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7" s="155" t="str">
        <f>IF(SnapshotTable[[#This Row],[SP Is Filled]], btc_next_cutoff_date(SnapshotTable[[#This Row],[SP Fill Date]],SnapshotTable[[#This Row],[SP Exp Date]]),"")</f>
        <v/>
      </c>
      <c r="CT57" s="235" t="str" cm="1">
        <f t="array" ref="CT57">IF(SnapshotTable[[#This Row],[SP Is Filled]], btc_should_buy_back(SnapshotTable[[#This Row],[SP Fill Date]], SnapshotTable[[#This Row],[SP Exp Date]], SnapshotTable[[#This Row],[SP Book Price]], SnapshotTable[[#This Row],[SP Current Ask]], MockToday, SnapshotTable[[#This Row],[SP Buyback Override]]),"")</f>
        <v/>
      </c>
      <c r="CU57" s="156"/>
      <c r="CV57" s="235"/>
      <c r="CW57" s="378" t="str">
        <f>IF(ISNUMBER( SnapshotTable[[#This Row],[SP Term]]), SnapshotTable[[#This Row],[SP Exp Date]] - MockToday,"")</f>
        <v/>
      </c>
      <c r="CX57" s="31" t="str">
        <f>IF(SnapshotTable[[#This Row],[SP Is Filled]],SnapshotTable[[#This Row],[SP Buyback Price to Use]] * 100 * SnapshotTable[[#This Row],[SP Qty]], "")</f>
        <v/>
      </c>
      <c r="CY57" s="4" t="str">
        <f>IF(ISNUMBER(SnapshotTable[[#This Row],[SP Strike Price]]), SnapshotTable[[#This Row],[SP Strike Price]] * (1 - SP_MaxLoss_StrikePct), "")</f>
        <v/>
      </c>
      <c r="CZ57" s="31" t="str">
        <f>IF(ISNUMBER(SnapshotTable[[#This Row],[SP Strike  Stop Per Share]]),SnapshotTable[[#This Row],[SP Premium]] - ((SnapshotTable[[#This Row],[SP Strike Price]]-SnapshotTable[[#This Row],[SP Strike  Stop Per Share]]) *(SnapshotTable[[#This Row],[SP Qty]] * 100)),"")</f>
        <v/>
      </c>
      <c r="DA57" s="4" t="str">
        <f>IF(AND(ISNUMBER(SnapshotTable[[#This Row],[SP Premium]]),SnapshotTable[[#This Row],[SP Premium]]&gt;0), SnapshotTable[[#This Row],[SP Book Price]] * (1 + SP_MaxLoss_OptionPct), "")</f>
        <v/>
      </c>
      <c r="DB57" s="31" t="str">
        <f>IF(ISNUMBER(SnapshotTable[[#This Row],[SP Option  Stop Contract]]),(SnapshotTable[[#This Row],[SP Option  Stop Contract]] *(SnapshotTable[[#This Row],[SP Qty]] * 100) - SnapshotTable[[#This Row],[SP Premium]]),"")</f>
        <v/>
      </c>
      <c r="DC57" s="4"/>
      <c r="DD57" s="4"/>
      <c r="DE57" s="4" t="str">
        <f>IF(AND(SnapshotTable[[#This Row],[SP Qty]]&gt;0, SnapshotTable[[#This Row],[SP Stop To Use]]&gt;0),SnapshotTable[[#This Row],[SP Premium]] - ( SnapshotTable[[#This Row],[SP Qty]] * SnapshotTable[[#This Row],[SP Stop To Use]] * 100), "")</f>
        <v/>
      </c>
      <c r="DF57" s="31" t="str">
        <f>IF(AND(SnapshotTable[[#This Row],[SP Qty]]&gt;0,SnapshotTable[[#This Row],[SP Current Ask]]&gt;0), SnapshotTable[[#This Row],[SP Qty]] * SnapshotTable[[#This Row],[SP Current Ask]] * -100, "")</f>
        <v/>
      </c>
      <c r="DG57" s="31" t="str">
        <f>IF(ISNUMBER((SnapshotTable[[#This Row],[SP Total Value]])), SnapshotTable[[#This Row],[SP Premium]] + SnapshotTable[[#This Row],[SP Total Value]], "")</f>
        <v/>
      </c>
      <c r="DH57" s="294" t="str">
        <f>IF(ISNUMBER((SnapshotTable[[#This Row],[SP Total Value]])), SnapshotTable[[#This Row],[SP Gain Loss]] / SnapshotTable[[#This Row],[SP Premium]], "")</f>
        <v/>
      </c>
      <c r="DI57" s="406"/>
      <c r="DJ57" s="138"/>
      <c r="DK57" s="148"/>
      <c r="DL57" s="147"/>
      <c r="DM57" s="147"/>
      <c r="DN57" s="5"/>
      <c r="DO57" s="31">
        <f>IF(SnapshotTable[[#This Row],[LC Symbol Count]]=1, SnapshotTable[[#This Row],[LC Qty]] * SnapshotTable[[#This Row],[LC Book Price]] * 100, 0)</f>
        <v>0</v>
      </c>
      <c r="DP57" s="289" t="str">
        <f>IF(AND(SnapshotTable[[#This Row],[LC Exp Date]]&gt;0, SnapshotTable[[#This Row],[LC Strike Price]]&gt;0,SnapshotTable[[#This Row],[LC Qty]]&gt;0,SnapshotTable[[#This Row],[LC Book Date]]&gt;0,SnapshotTable[[#This Row],[LC Book Price]]&gt;0,SnapshotTable[[#This Row],[LC Fill Date]]=0),"Y","")</f>
        <v/>
      </c>
      <c r="DQ57" s="386" t="str">
        <f>IF(SnapshotTable[[#This Row],[LC Premium]] &gt; 0,SnapshotTable[[#This Row],[LC Exp Date]]-MAX(SnapshotTable[[#This Row],[LC Book Date]], SnapshotTable[[#This Row],[LC Fill Date]]),"")</f>
        <v/>
      </c>
      <c r="DR57" s="386" t="str">
        <f>IF(ISNUMBER(SnapshotTable[[#This Row],[LC Term]]), SnapshotTable[[#This Row],[LC Exp Date]] - MockToday, "")</f>
        <v/>
      </c>
      <c r="DS57" s="234" t="str">
        <f>IF(SnapshotTable[[#This Row],[LC Premium]]&gt;0,SnapshotTable[[#This Row],[LC Strike Price]] + SnapshotTable[[#This Row],[LC Book Price]],"")</f>
        <v/>
      </c>
      <c r="DT57" s="5"/>
      <c r="DU57" s="9" t="str">
        <f>IF(AND(SnapshotTable[[#This Row],[LC Symbol Count]]&gt;0, SnapshotTable[[#This Row],[LC Contract Value]]&gt;0), SnapshotTable[[#This Row],[LC Contract Value]] * SnapshotTable[[#This Row],[LC Qty]] * 100, "")</f>
        <v/>
      </c>
      <c r="DV57" s="9" t="str">
        <f>IF(AND(ISNUMBER(SnapshotTable[[#This Row],[LC Total Value]]), SnapshotTable[[#This Row],[LC Not Filled]]&lt;&gt;"Y"), SnapshotTable[[#This Row],[LC Total Value]]-SnapshotTable[[#This Row],[LC Premium]],"")</f>
        <v/>
      </c>
      <c r="DW57" s="240" t="str">
        <f>IF(ISNUMBER(SnapshotTable[[#This Row],[LC Actual Gain Loss]]), SnapshotTable[[#This Row],[LC Actual Gain Loss]] / SnapshotTable[[#This Row],[LC Premium]],"")</f>
        <v/>
      </c>
      <c r="DX57" s="284"/>
      <c r="DY57" s="265" t="str">
        <f>IF(SnapshotTable[[#This Row],[LC Premium]]&gt;0, SnapshotTable[[#This Row],[LC Next Target]] * SnapshotTable[[#This Row],[LC Qty]] * 100,"")</f>
        <v/>
      </c>
      <c r="DZ57" s="265" t="str">
        <f>IF(ISNUMBER(SnapshotTable[[#This Row],[LC Target Gross]]), SnapshotTable[[#This Row],[LC Target Gross]] - SnapshotTable[[#This Row],[LC Premium]], "")</f>
        <v/>
      </c>
      <c r="EA57" s="305" t="str">
        <f>IF(ISNUMBER(SnapshotTable[[#This Row],[LC Target Gain Loss]]), SnapshotTable[[#This Row],[LC Target Gain Loss]]/SnapshotTable[[#This Row],[LC Premium]], "")</f>
        <v/>
      </c>
      <c r="EB57" s="262"/>
      <c r="EC57" s="283" t="str">
        <f>IF(SnapshotTable[[#This Row],[LC Premium]]&gt;0, SnapshotTable[[#This Row],[LC Book Price]] * (1 - LC_StopLoss_Pct),"")</f>
        <v/>
      </c>
      <c r="ED57" s="284"/>
      <c r="EE57" s="283" t="str">
        <f>IF(ISNUMBER(SnapshotTable[[#This Row],[LC Contract Value]]),IF(ISNUMBER(SnapshotTable[[#This Row],[LC Stop Loss Override]]), SnapshotTable[[#This Row],[LC Stop Loss Override]],SnapshotTable[[#This Row],[LC Stop Loss Calc Target]]),"")</f>
        <v/>
      </c>
      <c r="EF57" s="31" t="str">
        <f>IF(ISNUMBER(SnapshotTable[[#This Row],[LC Stop  To Use]]), (SnapshotTable[[#This Row],[LC Stop  To Use]] * SnapshotTable[[#This Row],[LC Qty]] * 100),"")</f>
        <v/>
      </c>
      <c r="EG57" s="9" t="str">
        <f>IF(ISNUMBER(SnapshotTable[[#This Row],[LC Total Value]]),SnapshotTable[[#This Row],[LC Stop Loss Amount]] - SnapshotTable[[#This Row],[LC Premium]],"")</f>
        <v/>
      </c>
      <c r="EH57" s="9">
        <f>IF(ISNUMBER(SnapshotTable[[#This Row],[LC Premium]]), SnapshotTable[[#This Row],[LC Qty]] * 100 * SnapshotTable[[#This Row],[LC Strike Price]], "")</f>
        <v>0</v>
      </c>
      <c r="EI57" s="240" t="str">
        <f>IF(AND(ISNUMBER(SnapshotTable[[#This Row],[LC Total Value]]),SnapshotTable[[#This Row],[LC Total Value]]&gt;0),SnapshotTable[[#This Row],[LC Stop Gain Loss]]  / SnapshotTable[[#This Row],[LC Premium]],"")</f>
        <v/>
      </c>
      <c r="EJ57" s="35">
        <f>IF(ISNUMBER(SnapshotTable[[#This Row],[Equity Shares]]),TRUNC(SnapshotTable[[#This Row],[Equity Shares]] / 100),0) + SnapshotTable[[#This Row],[LC Qty]]</f>
        <v>0</v>
      </c>
      <c r="EK57" s="147"/>
      <c r="EL57" s="138" t="str">
        <f>IF(SnapshotTable[[#This Row],[SC Exp Date]]&lt;&gt;"",TRUNC(SnapshotTable[[#This Row],[Last Price]]),"")</f>
        <v/>
      </c>
      <c r="EM57" s="148"/>
      <c r="EN57" s="147"/>
      <c r="EO57" s="147"/>
      <c r="EP57" s="138"/>
      <c r="EQ57" s="419" t="b">
        <f>AND(ISNUMBER(SnapshotTable[[#This Row],[SC Exp Date]]), ISNUMBER(SnapshotTable[[#This Row],[SC Strike Price]]), ISNUMBER(SnapshotTable[[#This Row],[SC Qty]]), ISNUMBER(SnapshotTable[[#This Row],[SC Book Date]]), ISNUMBER(SnapshotTable[[#This Row],[SC Book Price]]))</f>
        <v>0</v>
      </c>
      <c r="ER57" s="419" t="b">
        <f>AND(SnapshotTable[[#This Row],[SC Is Booked]], NOT(ISBLANK(SnapshotTable[[#This Row],[SC Fill Date]])))</f>
        <v>0</v>
      </c>
      <c r="ES57" s="370"/>
      <c r="ET57" s="34" t="str">
        <f>IF(AND(ISNUMBER(SnapshotTable[[#This Row],[SC Exp Date]]), ISNUMBER(SnapshotTable[[#This Row],[SC Book Date]])), SnapshotTable[[#This Row],[SC Exp Date]] - MAX(SnapshotTable[[#This Row],[SC Book Date]], SnapshotTable[[#This Row],[SC Fill Date]]) + 1, "")</f>
        <v/>
      </c>
      <c r="EU57" s="34" t="str">
        <f>IF(ISNUMBER(SnapshotTable[[#This Row],[SC Term]]), SnapshotTable[[#This Row],[SC Exp Date]]- MockToday, "")</f>
        <v/>
      </c>
      <c r="EV57" s="31">
        <f>IF(SnapshotTable[[#This Row],[SC Is Booked]], SnapshotTable[[#This Row],[SC Qty]] * SnapshotTable[[#This Row],[SC Book Price]] * 100, 0)</f>
        <v>0</v>
      </c>
      <c r="EW57" s="4" t="str">
        <f>IF(AND(ISNUMBER(SnapshotTable[[#This Row],[Last Price]]), ISNUMBER( SnapshotTable[[#This Row],[SC Book Price]])), SnapshotTable[[#This Row],[Last Price]] - SnapshotTable[[#This Row],[SC Book Price]],"")</f>
        <v/>
      </c>
      <c r="EX57" s="234" t="str">
        <f>IF(SnapshotTable[[#This Row],[SC Is Booked]],IF(SnapshotTable[[#This Row],[SC Intrinsic Value]] &gt; 0, SnapshotTable[[#This Row],[SC Strike Price]], SnapshotTable[[#This Row],[Last Price]]), "")</f>
        <v/>
      </c>
      <c r="EY57" s="4">
        <f>IF(SnapshotTable[[#This Row],[SC Is Booked]], (MinimumPremiumRequired * SnapshotTable[[#This Row],[SC Basis]] * SnapshotTable[[#This Row],[SC Term]]), 0)</f>
        <v>0</v>
      </c>
      <c r="EZ57" s="283"/>
      <c r="FA57" s="218"/>
      <c r="FB57" s="370"/>
      <c r="FC57" s="4">
        <f>IF(SnapshotTable[[#This Row],[SC Is Filled]], btc_max_buyback_amount(SnapshotTable[[#This Row],[SC Fill Date]],SnapshotTable[[#This Row],[SC Exp Date]], SnapshotTable[[#This Row],[SC Book Price]]),0)</f>
        <v>0</v>
      </c>
      <c r="FD57" s="5"/>
      <c r="FE57" s="144" t="str">
        <f>IF(SnapshotTable[[#This Row],[SC Is Filled]], btc_next_cutoff_date(SnapshotTable[[#This Row],[SC Fill Date]],SnapshotTable[[#This Row],[SC Exp Date]]),"")</f>
        <v/>
      </c>
      <c r="FF57" s="4" t="str" cm="1">
        <f t="array" ref="FF57">IF(SnapshotTable[[#This Row],[SC Is Filled]], btc_should_buy_back(SnapshotTable[[#This Row],[SC Fill Date]], SnapshotTable[[#This Row],[SC Exp Date]], SnapshotTable[[#This Row],[SC Book Price]], SnapshotTable[[#This Row],[SC Current Ask]], MockToday, SnapshotTable[[#This Row],[SC Buyback Override]]),"")</f>
        <v/>
      </c>
      <c r="FG57" s="4">
        <f>IF(SnapshotTable[[#This Row],[SC Is Filled]], MAX(0,SnapshotTable[[#This Row],[Last Price]]  - SnapshotTable[[#This Row],[SC Strike Price]]), 0)</f>
        <v>0</v>
      </c>
      <c r="FH57" s="382">
        <f>IF(SnapshotTable[[#This Row],[SC Is Filled]], IF(ISNUMBER(SnapshotTable[[#This Row],[SC Current Ask]]), SnapshotTable[[#This Row],[SC Current Ask]], SnapshotTable[[#This Row],[SC Book Price]]) - SnapshotTable[[#This Row],[SC Intrinsic Value]], 0)</f>
        <v>0</v>
      </c>
      <c r="FI57" s="143"/>
      <c r="FJ57" s="32" t="str">
        <f>IF(SnapshotTable[[#This Row],[SC Is Filled]],100 * SnapshotTable[[#This Row],[SC Qty]] * IF(ISNUMBER(SnapshotTable[[#This Row],[SC Buyback Override]]), SnapshotTable[[#This Row],[SC Buyback Override]], SnapshotTable[[#This Row],[SC Current Ask]]), "")</f>
        <v/>
      </c>
      <c r="FK57" s="250" t="str">
        <f>IF(SnapshotTable[[#This Row],[SC Time Val]]&gt;0, SnapshotTable[[#This Row],[SC Time Val]] / SnapshotTable[[#This Row],[Last Price]],"")</f>
        <v/>
      </c>
      <c r="FL57" s="302" t="str">
        <f>IF(SnapshotTable[[#This Row],[SC Is Booked]], ((SnapshotTable[[#This Row],[Last Price]] -SnapshotTable[[#This Row],[SC Strike Price]]) / SnapshotTable[[#This Row],[Last Price]]) * -1, "")</f>
        <v/>
      </c>
      <c r="FM57" s="157" t="str">
        <f>IF(SnapshotTable[[#This Row],[SC Is Booked]],  (SnapshotTable[[#This Row],[SC Qty]] * 100 * SnapshotTable[[#This Row],[SC Strike Price]]) - SnapshotTable[[#This Row],[SC Current Ask]], "")</f>
        <v/>
      </c>
      <c r="FN57"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7" s="157" t="str">
        <f>IF(AND(ISNUMBER(SnapshotTable[[#This Row],[SC Exercise Gross]]), ISNUMBER(SnapshotTable[[#This Row],[Equity Basis Per Share]] )), SnapshotTable[[#This Row],[SC Exercise Gross]] - SnapshotTable[[#This Row],[Equity Basis Total]] +  SnapshotTable[[#This Row],[SC Premium]], "")</f>
        <v/>
      </c>
      <c r="FP57" s="5" t="str">
        <f>IF(ISNUMBER(SnapshotTable[[#This Row],[SC Exercise Gross]]), (SnapshotTable[[#This Row],[SC Exercise Gross]]) / (SnapshotTable[[#This Row],[SC Qty]] * 100), "")</f>
        <v/>
      </c>
      <c r="FQ57" s="27" t="str">
        <f>IF(SnapshotTable[[#This Row],[SC Is Booked]],SnapshotTable[[#This Row],[SC Time Val]] /SnapshotTable[[#This Row],[SC Basis]], "")</f>
        <v/>
      </c>
      <c r="FR57" s="27" t="str" cm="1">
        <f t="array" ref="FR57">IF(AND(ISNUMBER(SnapshotTable[[#This Row],[SC Term]]),ISNUMBER(SnapshotTable[[#This Row],[SC Simple ROO]])), EllmanAnnualize(SnapshotTable[[#This Row],[SC DTE]], SnapshotTable[[#This Row],[SC Simple ROO]] ),"")</f>
        <v/>
      </c>
      <c r="FS57" s="4" t="e">
        <f>IF(SnapshotTable[[#This Row],[SC Strike Price]] &gt; SnapshotTable[[#This Row],[Last Price]], SnapshotTable[[#This Row],[SC Strike Price]] - SnapshotTable[[#This Row],[Last Price]],0)</f>
        <v>#VALUE!</v>
      </c>
      <c r="FT57" s="27" t="e">
        <f>IF(AND(ISNUMBER(SnapshotTable[[#This Row],[SC Upside Potential]]), SnapshotTable[[#This Row],[SC Upside Potential]] &gt; 0),(SnapshotTable[[#This Row],[SC Upside Potential]]/ SnapshotTable[[#This Row],[ACB]]),"")</f>
        <v>#VALUE!</v>
      </c>
      <c r="FU57" s="333" t="str">
        <f>IF(SnapshotTable[[#This Row],[SC Intrinsic Value]] &gt; 0,SnapshotTable[[#This Row],[SC Intrinsic Value]],"")</f>
        <v/>
      </c>
      <c r="FV57" s="27" t="str">
        <f>IF(AND( ISNUMBER( SnapshotTable[[#This Row],[ACB]]),ISNUMBER(SnapshotTable[[#This Row],[SC Downside Protect]])),SnapshotTable[[#This Row],[SC Downside Protect]] / SnapshotTable[[#This Row],[ACB]],"")</f>
        <v/>
      </c>
      <c r="FW57" s="236" t="str">
        <f>IF(AND(ISNUMBER(SnapshotTable[[#This Row],[SC Simple ROO]]),SnapshotTable[[#This Row],[SC Simple ROO]] &gt; 0), SnapshotTable[[#This Row],[SC Premium]] + (SnapshotTable[[#This Row],[SC Qty]] * SnapshotTable[[#This Row],[SC Upside Potential]]), "")</f>
        <v/>
      </c>
      <c r="FX57" s="302" t="str" cm="1">
        <f t="array" ref="FX57">IF(ISNUMBER(SnapshotTable[[#This Row],[SC Max Dollars]]), annualize(SnapshotTable[[#This Row],[SC Term]],(SnapshotTable[[#This Row],[SC Max Dollars]]/SnapshotTable[[#This Row],[SC Basis]])),"")</f>
        <v/>
      </c>
      <c r="FY57" s="236" t="str">
        <f>IF(AND(SnapshotTable[[#This Row],[SC Qty]]&gt;0,SnapshotTable[[#This Row],[SC Current Ask]]&gt;0), SnapshotTable[[#This Row],[SC Qty]] * SnapshotTable[[#This Row],[SC Current Ask]] * -100, "")</f>
        <v/>
      </c>
      <c r="FZ57" s="235" t="str">
        <f>IF(ISNUMBER((SnapshotTable[[#This Row],[SC Current Value]])), SnapshotTable[[#This Row],[SC Premium]] + SnapshotTable[[#This Row],[SC Current Value]], "")</f>
        <v/>
      </c>
      <c r="GA57" s="294" t="str">
        <f>IFERROR( IF(ISNUMBER((SnapshotTable[[#This Row],[SC Current Value]])), SnapshotTable[[#This Row],[SC Gain Loss]] / SnapshotTable[[#This Row],[SC Premium]], ""), "")</f>
        <v/>
      </c>
      <c r="GB57" s="42">
        <f>SnapshotTable[[#This Row],[Equity Shares]] * SaleSharesToConsiderPercentage</f>
        <v>0</v>
      </c>
      <c r="GC57" s="40">
        <f>SnapshotTable[[#This Row],[Long Term Target]] * SellingPriceToConsiderBasedOnTargetPercentage</f>
        <v>2205.3584999999998</v>
      </c>
      <c r="GD57" s="40">
        <f>SnapshotTable[[#This Row],[Last Price]] * (1+ SellingPriceToConsiderBasedOnTargetPercentage)</f>
        <v>346.827</v>
      </c>
      <c r="GE57" s="41"/>
      <c r="GF57" s="40"/>
      <c r="GG57" s="31">
        <f>SnapshotTable[[#This Row],[Booked Sale Shares]] * SnapshotTable[[#This Row],[Booked Sale Price]]</f>
        <v>0</v>
      </c>
      <c r="GH57" s="31" t="str">
        <f>IF(SnapshotTable[[#This Row],[Equity Basis Total]] &gt; 0, SnapshotTable[[#This Row],[Equity Basis Per Share]] * SnapshotTable[[#This Row],[Booked Sale Shares]], "")</f>
        <v/>
      </c>
      <c r="GI57" s="31">
        <f>IF(SnapshotTable[[#This Row],[Sale Proceeds]]&gt;0, SnapshotTable[[#This Row],[Sale Proceeds]] - SnapshotTable[[#This Row],[Sale Basis]], 0)</f>
        <v>0</v>
      </c>
      <c r="GJ57" s="158" t="str">
        <f>IF(SnapshotTable[[#This Row],[Sale G/L]]&gt;0, SnapshotTable[[#This Row],[Sale G/L]] / SnapshotTable[[#This Row],[Sale Basis]], IF(ISNUMBER(SnapshotTable[[#This Row],[SC Exercise P&amp;L (TAX)]]), SnapshotTable[[#This Row],[SC Exercise P&amp;L (TAX)]] / SnapshotTable[[#This Row],[SC Basis]], ""))</f>
        <v/>
      </c>
      <c r="GK57" s="27" t="s">
        <v>1111</v>
      </c>
      <c r="GL57" s="159" t="str">
        <f>IF(AND(SnapshotTable[[#This Row],[LP Exp Date]]&gt;0,SnapshotTable[[#This Row],[LP Strike Price]]&gt;0), [1]!ToOptionSymbol(SnapshotTable[[#This Row],[Symbol]], SnapshotTable[[#This Row],[LP Strike Price]],SnapshotTable[[#This Row],[LP Exp Date]],1), "")</f>
        <v/>
      </c>
      <c r="GM57" s="30" t="str">
        <f>IF(LEN(SnapshotTable[[#This Row],[LP Symbol]])&gt;0, 1, "")</f>
        <v/>
      </c>
      <c r="GN57" s="43" t="str">
        <f>IF(AND(SnapshotTable[[#This Row],[SP Exp Date]]&gt;0,SnapshotTable[[#This Row],[SP Strike Price]]&gt;0), [1]!ToOptionSymbol(SnapshotTable[[#This Row],[Symbol]], SnapshotTable[[#This Row],[SP Strike Price]],SnapshotTable[[#This Row],[SP Exp Date]],1), "")</f>
        <v/>
      </c>
      <c r="GO57" s="30" t="str">
        <f>IF(LEN(SnapshotTable[[#This Row],[SP Symbol]])&gt;0, 1, "")</f>
        <v/>
      </c>
      <c r="GP57" s="159" t="str">
        <f>IF(AND(SnapshotTable[[#This Row],[LC Exp Date]]&gt;0,SnapshotTable[[#This Row],[LC Strike Price]]&gt;0), [1]!ToOptionSymbol(SnapshotTable[[#This Row],[Symbol]], SnapshotTable[[#This Row],[LC Strike Price]],SnapshotTable[[#This Row],[LC Exp Date]],0), "")</f>
        <v/>
      </c>
      <c r="GQ57" s="160" t="str">
        <f>IF(LEN(SnapshotTable[[#This Row],[LC Symbol]])&gt;0, 1, "")</f>
        <v/>
      </c>
      <c r="GR57" s="159" t="str">
        <f>IF(AND(SnapshotTable[[#This Row],[SC Exp Date]]&gt;0,SnapshotTable[[#This Row],[SC Strike Price]]&gt;0), [1]!ToOptionSymbol(SnapshotTable[[#This Row],[Symbol]], SnapshotTable[[#This Row],[SC Strike Price]],SnapshotTable[[#This Row],[SC Exp Date]],0), "")</f>
        <v/>
      </c>
      <c r="GS57" s="160" t="str">
        <f>IF(LEN(SnapshotTable[[#This Row],[SC Symbol]])&gt;0, 1, "")</f>
        <v/>
      </c>
      <c r="GT57" s="161" t="str">
        <f>IF(COUNT(SnapshotTable[[#This Row],[LP Symbol Count]],SnapshotTable[[#This Row],[SP Symbol Count]],SnapshotTable[[#This Row],[LC Symbol Count]],SnapshotTable[[#This Row],[SC Symbol Count]])&gt;0, "Y", "")</f>
        <v/>
      </c>
      <c r="GU5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7" s="231" t="e">
        <f>MAX(SnapshotTable[[#This Row],[Equity Basis Total]],SnapshotTable[[#This Row],[Equity Value]]) + (SnapshotTable[[#This Row],[SP Potential Spend]]- SnapshotTable[[#This Row],[SP Premium]] + SnapshotTable[[#This Row],[LP Premium]])+ (SnapshotTable[[#This Row],[LC Premium]] - SnapshotTable[[#This Row],[SC Premium]])</f>
        <v>#VALUE!</v>
      </c>
      <c r="GW57" s="139" t="e">
        <f>IF(AND(SnapshotTable[[#This Row],[Exposure]] &lt;&gt; 0),SnapshotTable[[#This Row],[Exposure]] / SnapshotTable[[#Totals],[Exposure]], "")</f>
        <v>#VALUE!</v>
      </c>
      <c r="GY57" s="381"/>
      <c r="HE57" s="268"/>
      <c r="HF57" s="268"/>
      <c r="HG57" s="381"/>
      <c r="HH57" s="381"/>
      <c r="HI57" s="381"/>
      <c r="HJ57" s="381"/>
    </row>
    <row r="58" spans="2:224" s="47" customFormat="1" ht="12.75" hidden="1" customHeight="1" x14ac:dyDescent="0.25">
      <c r="B58" s="12" t="s">
        <v>902</v>
      </c>
      <c r="C58" s="422">
        <v>71.03</v>
      </c>
      <c r="D58" s="208"/>
      <c r="E58" s="39">
        <f>SnapshotTable[[#This Row],[Last Price]]*(1 -CrashDiscount)</f>
        <v>60.375500000000002</v>
      </c>
      <c r="F58" s="26" t="s">
        <v>908</v>
      </c>
      <c r="G58" s="26" t="s">
        <v>872</v>
      </c>
      <c r="H58" s="149"/>
      <c r="I58" s="194">
        <v>44782.291666666664</v>
      </c>
      <c r="J58" s="195">
        <v>44782.291666666664</v>
      </c>
      <c r="K58" s="196"/>
      <c r="L58" s="326"/>
      <c r="M58" s="140"/>
      <c r="N58" s="140"/>
      <c r="O58" s="140"/>
      <c r="P58" s="22"/>
      <c r="Q58" s="25"/>
      <c r="R58" s="4" t="str">
        <f>IF(SnapshotTable[[#This Row],[Equity Basis Total]] &gt; 0, SnapshotTable[[#This Row],[Equity Basis Total]] / SnapshotTable[[#This Row],[Equity Shares]], "")</f>
        <v/>
      </c>
      <c r="S58" s="269">
        <f>SnapshotTable[[#This Row],[Last Price]] * SnapshotTable[[#This Row],[Equity Shares]]</f>
        <v>0</v>
      </c>
      <c r="T58" s="269">
        <f>SnapshotTable[[#This Row],[Equity Value]] - SnapshotTable[[#This Row],[Equity Basis Total]]</f>
        <v>0</v>
      </c>
      <c r="U58" s="270" t="str">
        <f>IF(SnapshotTable[[#This Row],[Equity Basis Total]] &gt; 0, SnapshotTable[[#This Row],[Equity G/L]] / SnapshotTable[[#This Row],[Equity Basis Total]], "")</f>
        <v/>
      </c>
      <c r="V58" s="268"/>
      <c r="W58" s="268"/>
      <c r="X58" s="4" t="str">
        <f>IF(AND(ISNUMBER(SnapshotTable[[#This Row],[Equity Basis Per Share]]),ISNUMBER(SnapshotTable[[#This Row],[Equity Target]])),SnapshotTable[[#This Row],[Equity Target]]-SnapshotTable[[#This Row],[Equity Basis Per Share]],"")</f>
        <v/>
      </c>
      <c r="Y58" s="4" t="str">
        <f>IF(AND(ISNUMBER(SnapshotTable[[#This Row],[Equity Basis Per Share]]),ISNUMBER(SnapshotTable[[#This Row],[Equity Stop Loss]])),SnapshotTable[[#This Row],[Equity Stop Loss]]-SnapshotTable[[#This Row],[Equity Basis Per Share]],"")</f>
        <v/>
      </c>
      <c r="Z58" s="275" t="str">
        <f>IFERROR( TEXT(SnapshotTable[[#This Row],[Equity Max Gain Per Share]] /ABS( SnapshotTable[[#This Row],[Equity Max Loss Per Share]]),"0.0 " ) &amp; " : 1", "")</f>
        <v/>
      </c>
      <c r="AA58" s="31" t="str">
        <f>IF(ISNUMBER(SnapshotTable[[#This Row],[Equity Max Gain Per Share]]),SnapshotTable[[#This Row],[Equity Max Gain Per Share]] * SnapshotTable[[#This Row],[Equity Shares]],"")</f>
        <v/>
      </c>
      <c r="AB58" s="31" t="str">
        <f>IF(ISNUMBER(SnapshotTable[[#This Row],[Equity Max Loss Per Share]]),SnapshotTable[[#This Row],[Equity Max Loss Per Share]] * SnapshotTable[[#This Row],[Equity Shares]],"")</f>
        <v/>
      </c>
      <c r="AC58" s="150"/>
      <c r="AD58" s="151"/>
      <c r="AE58" s="31">
        <f>(SnapshotTable[[#This Row],[Annual Dividend Per Share]] / 4) * SnapshotTable[[#This Row],[Equity Shares]]</f>
        <v>0</v>
      </c>
      <c r="AF58" s="31">
        <f>SnapshotTable[[#This Row],[Quarterly Div $]] * 4</f>
        <v>0</v>
      </c>
      <c r="AG58" s="7">
        <f>IF(SnapshotTable[[#This Row],[Annual Dividend Per Share]]&gt;0, SnapshotTable[[#This Row],[Annual Dividend Per Share]]  / SnapshotTable[[#This Row],[Last Price]], 0)</f>
        <v>0</v>
      </c>
      <c r="AH58" s="151"/>
      <c r="AI58" s="5"/>
      <c r="AJ58" s="138">
        <v>47.15</v>
      </c>
      <c r="AK58" s="152" t="str">
        <f>IF(ISNUMBER( SnapshotTable[[#This Row],[EBF Target]]),(SnapshotTable[[#This Row],[EBF Target]] - SnapshotTable[[#This Row],[Last Price]]) / SnapshotTable[[#This Row],[Last Price]], "")</f>
        <v/>
      </c>
      <c r="AL58" s="152" t="str">
        <f>IF(AND(SnapshotTable[[#This Row],[Equity Basis Total]] &gt; 0,ISNUMBER( SnapshotTable[[#This Row],[Long Term Target]])), SnapshotTable[[#This Row],[From Basis $]] / SnapshotTable[[#This Row],[Equity Basis Total]], "")</f>
        <v/>
      </c>
      <c r="AM58" s="9">
        <f>IF( AND(SnapshotTable[[#This Row],[Equity Shares]] &gt;0,ISNUMBER( SnapshotTable[[#This Row],[Long Term Target]])),(SnapshotTable[[#This Row],[Equity Shares]] * SnapshotTable[[#This Row],[Long Term Target]]) - SnapshotTable[[#This Row],[Equity Basis Total]],0)</f>
        <v>0</v>
      </c>
      <c r="AN58" s="9">
        <f>IF( AND(SnapshotTable[[#This Row],[Equity Shares]] &gt;0,ISNUMBER( SnapshotTable[[#This Row],[Long Term Target]])),(SnapshotTable[[#This Row],[Equity Shares]]*SnapshotTable[[#This Row],[Long Term Target]]) - SnapshotTable[[#This Row],[Equity Value]],0)</f>
        <v>0</v>
      </c>
      <c r="AO58" s="152">
        <f>IF(AND(ISNUMBER( SnapshotTable[[#This Row],[Long Term Target]]), ISNUMBER(SnapshotTable[[#This Row],[Last Price]])),(SnapshotTable[[#This Row],[Long Term Target]] - SnapshotTable[[#This Row],[Last Price]]) / SnapshotTable[[#This Row],[Last Price]], "")</f>
        <v>-0.33619597353231034</v>
      </c>
      <c r="AP58" s="5"/>
      <c r="AQ58" s="38"/>
      <c r="AR58" s="5"/>
      <c r="AS58" s="38"/>
      <c r="AT58" s="146"/>
      <c r="AU58" s="187" t="str">
        <f>IF(OR(SnapshotTable[[#This Row],[LP No Fill]]="Y",SnapshotTable[[#This Row],[SP Is Filled]],SnapshotTable[[#This Row],[LC Not Filled]]="Y",SnapshotTable[[#This Row],[SC Is Filled]]),"Y","")</f>
        <v/>
      </c>
      <c r="AV58" s="219"/>
      <c r="AW58" s="225"/>
      <c r="AX58" s="220"/>
      <c r="AY58" s="219" t="str">
        <f>IF(SnapshotTable[[#This Row],[Implied Move]]&gt;0, SnapshotTable[[#This Row],[Last Price]]-SnapshotTable[[#This Row],[Implied Move]],"")</f>
        <v/>
      </c>
      <c r="AZ58" s="219" t="str">
        <f>IF(SnapshotTable[[#This Row],[Implied Move]]&gt;0, SnapshotTable[[#This Row],[Last Price]] + SnapshotTable[[#This Row],[Implied Move]],"")</f>
        <v/>
      </c>
      <c r="BA58" s="331"/>
      <c r="BB58" s="347"/>
      <c r="BC5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8" s="351"/>
      <c r="BE58" s="138"/>
      <c r="BF58" s="166"/>
      <c r="BG58" s="167"/>
      <c r="BH58" s="167"/>
      <c r="BI58" s="221"/>
      <c r="BJ58" s="153">
        <f>IF(SnapshotTable[[#This Row],[LP Qty]] &gt; 0, SnapshotTable[[#This Row],[LP Qty]] * SnapshotTable[[#This Row],[LP Book Price]] * 100,0)</f>
        <v>0</v>
      </c>
      <c r="BK58" s="136">
        <f>IF(SnapshotTable[[#This Row],[LP Premium]] &gt; 0, SnapshotTable[[#This Row],[LP Qty]] * SnapshotTable[[#This Row],[LP Strike Price]] * 100,0)</f>
        <v>0</v>
      </c>
      <c r="BL58" s="154"/>
      <c r="BM58" s="385" t="str">
        <f>IF(SnapshotTable[[#This Row],[LP Premium]] &gt; 0,SnapshotTable[[#This Row],[LP Exp Date]]-MAX(SnapshotTable[[#This Row],[LP Book Date]], SnapshotTable[[#This Row],[LP Fill Date]]),"")</f>
        <v/>
      </c>
      <c r="BN58" s="385" t="str">
        <f>IF(ISNUMBER( SnapshotTable[[#This Row],[LP Term]]), SnapshotTable[[#This Row],[LP Exp Date]] - MockToday,"")</f>
        <v/>
      </c>
      <c r="BO58" s="163" t="str">
        <f>IF(AND(SnapshotTable[[#This Row],[LP Exp Date]]&gt;0, SnapshotTable[[#This Row],[LP Strike Price]]&gt;0,SnapshotTable[[#This Row],[LP Qty]]&gt;0,SnapshotTable[[#This Row],[LP Book Date]]&gt;0,SnapshotTable[[#This Row],[LP Book Price]]&gt;0,SnapshotTable[[#This Row],[LP Fill Date]]=0),"Y","")</f>
        <v/>
      </c>
      <c r="BP58" s="31" t="str">
        <f>IF(AND(SnapshotTable[[#This Row],[LP No Fill]]&lt;&gt;"Y",SnapshotTable[[#This Row],[LP Contract Value]]&gt;0, SnapshotTable[[#This Row],[LP Qty]]&gt;0), SnapshotTable[[#This Row],[LP Contract Value]]*SnapshotTable[[#This Row],[LP Qty]]*100,"")</f>
        <v/>
      </c>
      <c r="BQ58" s="13"/>
      <c r="BR58" s="5" t="str">
        <f>IF(SnapshotTable[[#This Row],[SP Exp Date]]&lt;&gt;"",TRUNC(SnapshotTable[[#This Row],[Last Price]]),"")</f>
        <v/>
      </c>
      <c r="BS58" s="36"/>
      <c r="BT58" s="147"/>
      <c r="BU58" s="13"/>
      <c r="BV58" s="5"/>
      <c r="BW58" s="419" t="b">
        <f>AND(ISNUMBER(SnapshotTable[[#This Row],[SP Exp Date]]), ISNUMBER(SnapshotTable[[#This Row],[SP Strike Price]]), ISNUMBER(SnapshotTable[[#This Row],[SP Qty]]), ISNUMBER(SnapshotTable[[#This Row],[SP Book Date]]), ISNUMBER(SnapshotTable[[#This Row],[SP Book Price]]))</f>
        <v>0</v>
      </c>
      <c r="BX58" s="419" t="b">
        <f>AND(SnapshotTable[[#This Row],[SP Is Booked]], NOT(ISBLANK(SnapshotTable[[#This Row],[SP Fill Date]])))</f>
        <v>0</v>
      </c>
      <c r="BY58" s="33">
        <f>IF(SnapshotTable[[#This Row],[SP Is Booked]], SnapshotTable[[#This Row],[SP Qty]] * SnapshotTable[[#This Row],[SP Book Price]] * 100, 0)</f>
        <v>0</v>
      </c>
      <c r="BZ58" s="369"/>
      <c r="CA58" s="368">
        <f>SnapshotTable[[#This Row],[LP Qty]]</f>
        <v>0</v>
      </c>
      <c r="CB58" s="4" t="str">
        <f>IF(SnapshotTable[[#This Row],[SP Is Booked]], SnapshotTable[[#This Row],[SP Strike Price]] - SnapshotTable[[#This Row],[SP Book Price]], "")</f>
        <v/>
      </c>
      <c r="CC58" s="19" t="str">
        <f>IF(SnapshotTable[[#This Row],[SP Is Booked]],SnapshotTable[[#This Row],[SP Exp Date]]-MAX(SnapshotTable[[#This Row],[SP Book Date]], SnapshotTable[[#This Row],[SP Fill Date]]),"")</f>
        <v/>
      </c>
      <c r="CD58" s="7" t="str">
        <f>IF(SnapshotTable[[#This Row],[SP Is Booked]], SnapshotTable[[#This Row],[SP Book Price]]/SnapshotTable[[#This Row],[SP Strike Price]], "")</f>
        <v/>
      </c>
      <c r="CE58" s="7" t="str">
        <f>IF(ISNUMBER(SnapshotTable[[#This Row],[SP ROO Term]]),SnapshotTable[[#This Row],[SP ROO Term]]*(365/SnapshotTable[[#This Row],[SP Term]]),"")</f>
        <v/>
      </c>
      <c r="CF58" s="236">
        <f>SnapshotTable[[#This Row],[LP Strike Price]] * SnapshotTable[[#This Row],[LP Qty]] * 100</f>
        <v>0</v>
      </c>
      <c r="CG58" s="31" t="e">
        <f>IF(ISNUMBER(SnapshotTable[[#This Row],[SP Premium]]), (SnapshotTable[[#This Row],[SP Qty]] * SnapshotTable[[#This Row],[SP Strike Price]]* 100) - SnapshotTable[[#This Row],[LP Protection]], 0)</f>
        <v>#VALUE!</v>
      </c>
      <c r="CH58" s="7" t="str">
        <f>IF(ISNUMBER(SnapshotTable[[#This Row],[SP Break Even]]),-1 * (SnapshotTable[[#This Row],[SP Break Even]] - SnapshotTable[[#This Row],[Last Price]]) / SnapshotTable[[#This Row],[Last Price]], "")</f>
        <v/>
      </c>
      <c r="CI58" s="31">
        <f>IF(AND(ISNUMBER((SnapshotTable[[#This Row],[SP Potential Spend]])), SnapshotTable[[#This Row],[SP Strike Price]] &gt; SnapshotTable[[#This Row],[Last Price]], SnapshotTable[[#This Row],[SP Is Filled]]), SnapshotTable[[#This Row],[SP Potential Spend]] -  SnapshotTable[[#This Row],[LP Max Value]], 0)</f>
        <v>0</v>
      </c>
      <c r="CJ58" s="244"/>
      <c r="CK58" s="31" t="str">
        <f>IF(ISNUMBER(SnapshotTable[[#This Row],[SP Potential Spend]]),IF(ISNUMBER(SnapshotTable[[#This Row],[SP POW]]), SnapshotTable[[#This Row],[SP POW]] * SnapshotTable[[#This Row],[SP Potential Spend]], SnapshotTable[[#This Row],[SP Potential Spend]]), "")</f>
        <v/>
      </c>
      <c r="CL58" s="164" t="e">
        <f>IF(NOT(SnapshotTable[[#This Row],[SP Is Filled]]),(SnapshotTable[[#This Row],[SP Qty]] * SnapshotTable[[#This Row],[SP Strike Price]] * 100) - SnapshotTable[[#This Row],[LP Max Value]],"")</f>
        <v>#VALUE!</v>
      </c>
      <c r="CM58" s="31" t="str">
        <f>IF(SnapshotTable[[#This Row],[SP Actual Spend]]&lt;&gt;0, ((SnapshotTable[[#This Row],[SP Strike Price]]-SnapshotTable[[#This Row],[Last Price]]) *(SnapshotTable[[#This Row],[SP Qty]]*100) - SnapshotTable[[#This Row],[SP Premium]]) * - 1, "")</f>
        <v/>
      </c>
      <c r="CN58" s="154"/>
      <c r="CO58" s="369"/>
      <c r="CP58" s="4" t="str">
        <f>IF(SnapshotTable[[#This Row],[SP Is Filled]], btc_max_buyback_amount(SnapshotTable[[#This Row],[SP Fill Date]],SnapshotTable[[#This Row],[SP Exp Date]], SnapshotTable[[#This Row],[SP Book Price]]),"")</f>
        <v/>
      </c>
      <c r="CQ58" s="78"/>
      <c r="CR5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8" s="155" t="str">
        <f>IF(SnapshotTable[[#This Row],[SP Is Filled]], btc_next_cutoff_date(SnapshotTable[[#This Row],[SP Fill Date]],SnapshotTable[[#This Row],[SP Exp Date]]),"")</f>
        <v/>
      </c>
      <c r="CT58" s="235" t="str" cm="1">
        <f t="array" ref="CT58">IF(SnapshotTable[[#This Row],[SP Is Filled]], btc_should_buy_back(SnapshotTable[[#This Row],[SP Fill Date]], SnapshotTable[[#This Row],[SP Exp Date]], SnapshotTable[[#This Row],[SP Book Price]], SnapshotTable[[#This Row],[SP Current Ask]], MockToday, SnapshotTable[[#This Row],[SP Buyback Override]]),"")</f>
        <v/>
      </c>
      <c r="CU58" s="156">
        <v>44883</v>
      </c>
      <c r="CV58" s="235"/>
      <c r="CW58" s="378" t="str">
        <f>IF(ISNUMBER( SnapshotTable[[#This Row],[SP Term]]), SnapshotTable[[#This Row],[SP Exp Date]] - MockToday,"")</f>
        <v/>
      </c>
      <c r="CX58" s="31" t="str">
        <f>IF(SnapshotTable[[#This Row],[SP Is Filled]],SnapshotTable[[#This Row],[SP Buyback Price to Use]] * 100 * SnapshotTable[[#This Row],[SP Qty]], "")</f>
        <v/>
      </c>
      <c r="CY58" s="4" t="str">
        <f>IF(ISNUMBER(SnapshotTable[[#This Row],[SP Strike Price]]), SnapshotTable[[#This Row],[SP Strike Price]] * (1 - SP_MaxLoss_StrikePct), "")</f>
        <v/>
      </c>
      <c r="CZ58" s="31" t="str">
        <f>IF(ISNUMBER(SnapshotTable[[#This Row],[SP Strike  Stop Per Share]]),SnapshotTable[[#This Row],[SP Premium]] - ((SnapshotTable[[#This Row],[SP Strike Price]]-SnapshotTable[[#This Row],[SP Strike  Stop Per Share]]) *(SnapshotTable[[#This Row],[SP Qty]] * 100)),"")</f>
        <v/>
      </c>
      <c r="DA58" s="4" t="str">
        <f>IF(AND(ISNUMBER(SnapshotTable[[#This Row],[SP Premium]]),SnapshotTable[[#This Row],[SP Premium]]&gt;0), SnapshotTable[[#This Row],[SP Book Price]] * (1 + SP_MaxLoss_OptionPct), "")</f>
        <v/>
      </c>
      <c r="DB58" s="31" t="str">
        <f>IF(ISNUMBER(SnapshotTable[[#This Row],[SP Option  Stop Contract]]),(SnapshotTable[[#This Row],[SP Option  Stop Contract]] *(SnapshotTable[[#This Row],[SP Qty]] * 100) - SnapshotTable[[#This Row],[SP Premium]]),"")</f>
        <v/>
      </c>
      <c r="DC58" s="4"/>
      <c r="DD58" s="4"/>
      <c r="DE58" s="4" t="str">
        <f>IF(AND(SnapshotTable[[#This Row],[SP Qty]]&gt;0, SnapshotTable[[#This Row],[SP Stop To Use]]&gt;0),SnapshotTable[[#This Row],[SP Premium]] - ( SnapshotTable[[#This Row],[SP Qty]] * SnapshotTable[[#This Row],[SP Stop To Use]] * 100), "")</f>
        <v/>
      </c>
      <c r="DF58" s="31" t="str">
        <f>IF(AND(SnapshotTable[[#This Row],[SP Qty]]&gt;0,SnapshotTable[[#This Row],[SP Current Ask]]&gt;0), SnapshotTable[[#This Row],[SP Qty]] * SnapshotTable[[#This Row],[SP Current Ask]] * -100, "")</f>
        <v/>
      </c>
      <c r="DG58" s="31" t="str">
        <f>IF(ISNUMBER((SnapshotTable[[#This Row],[SP Total Value]])), SnapshotTable[[#This Row],[SP Premium]] + SnapshotTable[[#This Row],[SP Total Value]], "")</f>
        <v/>
      </c>
      <c r="DH58" s="294" t="str">
        <f>IF(ISNUMBER((SnapshotTable[[#This Row],[SP Total Value]])), SnapshotTable[[#This Row],[SP Gain Loss]] / SnapshotTable[[#This Row],[SP Premium]], "")</f>
        <v/>
      </c>
      <c r="DI58" s="406"/>
      <c r="DJ58" s="138"/>
      <c r="DK58" s="148"/>
      <c r="DL58" s="147"/>
      <c r="DM58" s="147"/>
      <c r="DN58" s="5"/>
      <c r="DO58" s="31">
        <f>IF(SnapshotTable[[#This Row],[LC Symbol Count]]=1, SnapshotTable[[#This Row],[LC Qty]] * SnapshotTable[[#This Row],[LC Book Price]] * 100, 0)</f>
        <v>0</v>
      </c>
      <c r="DP58" s="289" t="str">
        <f>IF(AND(SnapshotTable[[#This Row],[LC Exp Date]]&gt;0, SnapshotTable[[#This Row],[LC Strike Price]]&gt;0,SnapshotTable[[#This Row],[LC Qty]]&gt;0,SnapshotTable[[#This Row],[LC Book Date]]&gt;0,SnapshotTable[[#This Row],[LC Book Price]]&gt;0,SnapshotTable[[#This Row],[LC Fill Date]]=0),"Y","")</f>
        <v/>
      </c>
      <c r="DQ58" s="386" t="str">
        <f>IF(SnapshotTable[[#This Row],[LC Premium]] &gt; 0,SnapshotTable[[#This Row],[LC Exp Date]]-MAX(SnapshotTable[[#This Row],[LC Book Date]], SnapshotTable[[#This Row],[LC Fill Date]]),"")</f>
        <v/>
      </c>
      <c r="DR58" s="386" t="str">
        <f>IF(ISNUMBER(SnapshotTable[[#This Row],[LC Term]]), SnapshotTable[[#This Row],[LC Exp Date]] - MockToday, "")</f>
        <v/>
      </c>
      <c r="DS58" s="234" t="str">
        <f>IF(SnapshotTable[[#This Row],[LC Premium]]&gt;0,SnapshotTable[[#This Row],[LC Strike Price]] + SnapshotTable[[#This Row],[LC Book Price]],"")</f>
        <v/>
      </c>
      <c r="DT58" s="5"/>
      <c r="DU58" s="9" t="str">
        <f>IF(AND(SnapshotTable[[#This Row],[LC Symbol Count]]&gt;0, SnapshotTable[[#This Row],[LC Contract Value]]&gt;0), SnapshotTable[[#This Row],[LC Contract Value]] * SnapshotTable[[#This Row],[LC Qty]] * 100, "")</f>
        <v/>
      </c>
      <c r="DV58" s="9" t="str">
        <f>IF(AND(ISNUMBER(SnapshotTable[[#This Row],[LC Total Value]]), SnapshotTable[[#This Row],[LC Not Filled]]&lt;&gt;"Y"), SnapshotTable[[#This Row],[LC Total Value]]-SnapshotTable[[#This Row],[LC Premium]],"")</f>
        <v/>
      </c>
      <c r="DW58" s="240" t="str">
        <f>IF(ISNUMBER(SnapshotTable[[#This Row],[LC Actual Gain Loss]]), SnapshotTable[[#This Row],[LC Actual Gain Loss]] / SnapshotTable[[#This Row],[LC Premium]],"")</f>
        <v/>
      </c>
      <c r="DX58" s="284" t="str">
        <f>IF(ISNUMBER(SnapshotTable[[#This Row],[LC Book Price]]),SnapshotTable[[#This Row],[LC Book Price]] * 1.5,"")</f>
        <v/>
      </c>
      <c r="DY58" s="265" t="str">
        <f>IF(SnapshotTable[[#This Row],[LC Premium]]&gt;0, SnapshotTable[[#This Row],[LC Next Target]] * SnapshotTable[[#This Row],[LC Qty]] * 100,"")</f>
        <v/>
      </c>
      <c r="DZ58" s="265" t="str">
        <f>IF(ISNUMBER(SnapshotTable[[#This Row],[LC Target Gross]]), SnapshotTable[[#This Row],[LC Target Gross]] - SnapshotTable[[#This Row],[LC Premium]], "")</f>
        <v/>
      </c>
      <c r="EA58" s="305" t="str">
        <f>IF(ISNUMBER(SnapshotTable[[#This Row],[LC Target Gain Loss]]), SnapshotTable[[#This Row],[LC Target Gain Loss]]/SnapshotTable[[#This Row],[LC Premium]], "")</f>
        <v/>
      </c>
      <c r="EB58" s="262"/>
      <c r="EC58" s="283" t="str">
        <f>IF(SnapshotTable[[#This Row],[LC Premium]]&gt;0, SnapshotTable[[#This Row],[LC Book Price]] * (1 - LC_StopLoss_Pct),"")</f>
        <v/>
      </c>
      <c r="ED58" s="284"/>
      <c r="EE58" s="283" t="str">
        <f>IF(ISNUMBER(SnapshotTable[[#This Row],[LC Contract Value]]),IF(ISNUMBER(SnapshotTable[[#This Row],[LC Stop Loss Override]]), SnapshotTable[[#This Row],[LC Stop Loss Override]],SnapshotTable[[#This Row],[LC Stop Loss Calc Target]]),"")</f>
        <v/>
      </c>
      <c r="EF58" s="31" t="str">
        <f>IF(ISNUMBER(SnapshotTable[[#This Row],[LC Stop  To Use]]), (SnapshotTable[[#This Row],[LC Stop  To Use]] * SnapshotTable[[#This Row],[LC Qty]] * 100),"")</f>
        <v/>
      </c>
      <c r="EG58" s="9" t="str">
        <f>IF(ISNUMBER(SnapshotTable[[#This Row],[LC Total Value]]),SnapshotTable[[#This Row],[LC Stop Loss Amount]] - SnapshotTable[[#This Row],[LC Premium]],"")</f>
        <v/>
      </c>
      <c r="EH58" s="9">
        <f>IF(ISNUMBER(SnapshotTable[[#This Row],[LC Premium]]), SnapshotTable[[#This Row],[LC Qty]] * 100 * SnapshotTable[[#This Row],[LC Strike Price]], "")</f>
        <v>0</v>
      </c>
      <c r="EI58" s="240" t="str">
        <f>IF(AND(ISNUMBER(SnapshotTable[[#This Row],[LC Total Value]]),SnapshotTable[[#This Row],[LC Total Value]]&gt;0),SnapshotTable[[#This Row],[LC Stop Gain Loss]]  / SnapshotTable[[#This Row],[LC Premium]],"")</f>
        <v/>
      </c>
      <c r="EJ58" s="35">
        <f>IF(ISNUMBER(SnapshotTable[[#This Row],[Equity Shares]]),TRUNC(SnapshotTable[[#This Row],[Equity Shares]] / 100),0) + SnapshotTable[[#This Row],[LC Qty]]</f>
        <v>0</v>
      </c>
      <c r="EK58" s="147"/>
      <c r="EL58" s="138" t="str">
        <f>IF(SnapshotTable[[#This Row],[SC Exp Date]]&lt;&gt;"",TRUNC(SnapshotTable[[#This Row],[Last Price]]),"")</f>
        <v/>
      </c>
      <c r="EM58" s="148"/>
      <c r="EN58" s="147"/>
      <c r="EO58" s="147"/>
      <c r="EP58" s="138"/>
      <c r="EQ58" s="419" t="b">
        <f>AND(ISNUMBER(SnapshotTable[[#This Row],[SC Exp Date]]), ISNUMBER(SnapshotTable[[#This Row],[SC Strike Price]]), ISNUMBER(SnapshotTable[[#This Row],[SC Qty]]), ISNUMBER(SnapshotTable[[#This Row],[SC Book Date]]), ISNUMBER(SnapshotTable[[#This Row],[SC Book Price]]))</f>
        <v>0</v>
      </c>
      <c r="ER58" s="419" t="b">
        <f>AND(SnapshotTable[[#This Row],[SC Is Booked]], NOT(ISBLANK(SnapshotTable[[#This Row],[SC Fill Date]])))</f>
        <v>0</v>
      </c>
      <c r="ES58" s="370"/>
      <c r="ET58" s="34" t="str">
        <f>IF(AND(ISNUMBER(SnapshotTable[[#This Row],[SC Exp Date]]), ISNUMBER(SnapshotTable[[#This Row],[SC Book Date]])), SnapshotTable[[#This Row],[SC Exp Date]] - MAX(SnapshotTable[[#This Row],[SC Book Date]], SnapshotTable[[#This Row],[SC Fill Date]]) + 1, "")</f>
        <v/>
      </c>
      <c r="EU58" s="34" t="str">
        <f>IF(ISNUMBER(SnapshotTable[[#This Row],[SC Term]]), SnapshotTable[[#This Row],[SC Exp Date]]- MockToday, "")</f>
        <v/>
      </c>
      <c r="EV58" s="31">
        <f>IF(SnapshotTable[[#This Row],[SC Is Booked]], SnapshotTable[[#This Row],[SC Qty]] * SnapshotTable[[#This Row],[SC Book Price]] * 100, 0)</f>
        <v>0</v>
      </c>
      <c r="EW58" s="4" t="str">
        <f>IF(AND(ISNUMBER(SnapshotTable[[#This Row],[Last Price]]), ISNUMBER( SnapshotTable[[#This Row],[SC Book Price]])), SnapshotTable[[#This Row],[Last Price]] - SnapshotTable[[#This Row],[SC Book Price]],"")</f>
        <v/>
      </c>
      <c r="EX58" s="234" t="str">
        <f>IF(SnapshotTable[[#This Row],[SC Is Booked]],IF(SnapshotTable[[#This Row],[SC Intrinsic Value]] &gt; 0, SnapshotTable[[#This Row],[SC Strike Price]], SnapshotTable[[#This Row],[Last Price]]), "")</f>
        <v/>
      </c>
      <c r="EY58" s="4">
        <f>IF(SnapshotTable[[#This Row],[SC Is Booked]], (MinimumPremiumRequired * SnapshotTable[[#This Row],[SC Basis]] * SnapshotTable[[#This Row],[SC Term]]), 0)</f>
        <v>0</v>
      </c>
      <c r="EZ58" s="283"/>
      <c r="FA58" s="218"/>
      <c r="FB58" s="370"/>
      <c r="FC58" s="4">
        <f>IF(SnapshotTable[[#This Row],[SC Is Filled]], btc_max_buyback_amount(SnapshotTable[[#This Row],[SC Fill Date]],SnapshotTable[[#This Row],[SC Exp Date]], SnapshotTable[[#This Row],[SC Book Price]]),0)</f>
        <v>0</v>
      </c>
      <c r="FD58" s="5"/>
      <c r="FE58" s="144" t="str">
        <f>IF(SnapshotTable[[#This Row],[SC Is Filled]], btc_next_cutoff_date(SnapshotTable[[#This Row],[SC Fill Date]],SnapshotTable[[#This Row],[SC Exp Date]]),"")</f>
        <v/>
      </c>
      <c r="FF58" s="4" t="str" cm="1">
        <f t="array" ref="FF58">IF(SnapshotTable[[#This Row],[SC Is Filled]], btc_should_buy_back(SnapshotTable[[#This Row],[SC Fill Date]], SnapshotTable[[#This Row],[SC Exp Date]], SnapshotTable[[#This Row],[SC Book Price]], SnapshotTable[[#This Row],[SC Current Ask]], MockToday, SnapshotTable[[#This Row],[SC Buyback Override]]),"")</f>
        <v/>
      </c>
      <c r="FG58" s="4">
        <f>IF(SnapshotTable[[#This Row],[SC Is Filled]], MAX(0,SnapshotTable[[#This Row],[Last Price]]  - SnapshotTable[[#This Row],[SC Strike Price]]), 0)</f>
        <v>0</v>
      </c>
      <c r="FH58" s="382">
        <f>IF(SnapshotTable[[#This Row],[SC Is Filled]], IF(ISNUMBER(SnapshotTable[[#This Row],[SC Current Ask]]), SnapshotTable[[#This Row],[SC Current Ask]], SnapshotTable[[#This Row],[SC Book Price]]) - SnapshotTable[[#This Row],[SC Intrinsic Value]], 0)</f>
        <v>0</v>
      </c>
      <c r="FI58" s="143"/>
      <c r="FJ58" s="32" t="str">
        <f>IF(SnapshotTable[[#This Row],[SC Is Filled]],100 * SnapshotTable[[#This Row],[SC Qty]] * IF(ISNUMBER(SnapshotTable[[#This Row],[SC Buyback Override]]), SnapshotTable[[#This Row],[SC Buyback Override]], SnapshotTable[[#This Row],[SC Current Ask]]), "")</f>
        <v/>
      </c>
      <c r="FK58" s="250" t="str">
        <f>IF(SnapshotTable[[#This Row],[SC Time Val]]&gt;0, SnapshotTable[[#This Row],[SC Time Val]] / SnapshotTable[[#This Row],[Last Price]],"")</f>
        <v/>
      </c>
      <c r="FL58" s="302" t="str">
        <f>IF(SnapshotTable[[#This Row],[SC Is Booked]], ((SnapshotTable[[#This Row],[Last Price]] -SnapshotTable[[#This Row],[SC Strike Price]]) / SnapshotTable[[#This Row],[Last Price]]) * -1, "")</f>
        <v/>
      </c>
      <c r="FM58" s="157" t="str">
        <f>IF(SnapshotTable[[#This Row],[SC Is Booked]],  (SnapshotTable[[#This Row],[SC Qty]] * 100 * SnapshotTable[[#This Row],[SC Strike Price]]) - SnapshotTable[[#This Row],[SC Current Ask]], "")</f>
        <v/>
      </c>
      <c r="FN58"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8" s="157" t="str">
        <f>IF(AND(ISNUMBER(SnapshotTable[[#This Row],[SC Exercise Gross]]), ISNUMBER(SnapshotTable[[#This Row],[Equity Basis Per Share]] )), SnapshotTable[[#This Row],[SC Exercise Gross]] - SnapshotTable[[#This Row],[Equity Basis Total]] +  SnapshotTable[[#This Row],[SC Premium]], "")</f>
        <v/>
      </c>
      <c r="FP58" s="5" t="str">
        <f>IF(ISNUMBER(SnapshotTable[[#This Row],[SC Exercise Gross]]), (SnapshotTable[[#This Row],[SC Exercise Gross]]) / (SnapshotTable[[#This Row],[SC Qty]] * 100), "")</f>
        <v/>
      </c>
      <c r="FQ58" s="27" t="str">
        <f>IF(SnapshotTable[[#This Row],[SC Is Booked]],SnapshotTable[[#This Row],[SC Time Val]] /SnapshotTable[[#This Row],[SC Basis]], "")</f>
        <v/>
      </c>
      <c r="FR58" s="27" t="str" cm="1">
        <f t="array" ref="FR58">IF(AND(ISNUMBER(SnapshotTable[[#This Row],[SC Term]]),ISNUMBER(SnapshotTable[[#This Row],[SC Simple ROO]])), EllmanAnnualize(SnapshotTable[[#This Row],[SC DTE]], SnapshotTable[[#This Row],[SC Simple ROO]] ),"")</f>
        <v/>
      </c>
      <c r="FS58" s="4" t="e">
        <f>IF(SnapshotTable[[#This Row],[SC Strike Price]] &gt; SnapshotTable[[#This Row],[Last Price]], SnapshotTable[[#This Row],[SC Strike Price]] - SnapshotTable[[#This Row],[Last Price]],0)</f>
        <v>#VALUE!</v>
      </c>
      <c r="FT58" s="27" t="e">
        <f>IF(AND(ISNUMBER(SnapshotTable[[#This Row],[SC Upside Potential]]), SnapshotTable[[#This Row],[SC Upside Potential]] &gt; 0),(SnapshotTable[[#This Row],[SC Upside Potential]]/ SnapshotTable[[#This Row],[ACB]]),"")</f>
        <v>#VALUE!</v>
      </c>
      <c r="FU58" s="333" t="str">
        <f>IF(SnapshotTable[[#This Row],[SC Intrinsic Value]] &gt; 0,SnapshotTable[[#This Row],[SC Intrinsic Value]],"")</f>
        <v/>
      </c>
      <c r="FV58" s="27" t="str">
        <f>IF(AND( ISNUMBER( SnapshotTable[[#This Row],[ACB]]),ISNUMBER(SnapshotTable[[#This Row],[SC Downside Protect]])),SnapshotTable[[#This Row],[SC Downside Protect]] / SnapshotTable[[#This Row],[ACB]],"")</f>
        <v/>
      </c>
      <c r="FW58" s="236" t="str">
        <f>IF(AND(ISNUMBER(SnapshotTable[[#This Row],[SC Simple ROO]]),SnapshotTable[[#This Row],[SC Simple ROO]] &gt; 0), SnapshotTable[[#This Row],[SC Premium]] + (SnapshotTable[[#This Row],[SC Qty]] * SnapshotTable[[#This Row],[SC Upside Potential]]), "")</f>
        <v/>
      </c>
      <c r="FX58" s="302" t="str" cm="1">
        <f t="array" ref="FX58">IF(ISNUMBER(SnapshotTable[[#This Row],[SC Max Dollars]]), annualize(SnapshotTable[[#This Row],[SC Term]],(SnapshotTable[[#This Row],[SC Max Dollars]]/SnapshotTable[[#This Row],[SC Basis]])),"")</f>
        <v/>
      </c>
      <c r="FY58" s="236" t="str">
        <f>IF(AND(SnapshotTable[[#This Row],[SC Qty]]&gt;0,SnapshotTable[[#This Row],[SC Current Ask]]&gt;0), SnapshotTable[[#This Row],[SC Qty]] * SnapshotTable[[#This Row],[SC Current Ask]] * -100, "")</f>
        <v/>
      </c>
      <c r="FZ58" s="235" t="str">
        <f>IF(ISNUMBER((SnapshotTable[[#This Row],[SC Current Value]])), SnapshotTable[[#This Row],[SC Premium]] + SnapshotTable[[#This Row],[SC Current Value]], "")</f>
        <v/>
      </c>
      <c r="GA58" s="294" t="str">
        <f>IFERROR( IF(ISNUMBER((SnapshotTable[[#This Row],[SC Current Value]])), SnapshotTable[[#This Row],[SC Gain Loss]] / SnapshotTable[[#This Row],[SC Premium]], ""), "")</f>
        <v/>
      </c>
      <c r="GB58" s="42">
        <f>SnapshotTable[[#This Row],[Equity Shares]] * SaleSharesToConsiderPercentage</f>
        <v>0</v>
      </c>
      <c r="GC58" s="40">
        <f>SnapshotTable[[#This Row],[Long Term Target]] * SellingPriceToConsiderBasedOnTargetPercentage</f>
        <v>44.792499999999997</v>
      </c>
      <c r="GD58" s="40">
        <f>SnapshotTable[[#This Row],[Last Price]] * (1+ SellingPriceToConsiderBasedOnTargetPercentage)</f>
        <v>138.5085</v>
      </c>
      <c r="GE58" s="41"/>
      <c r="GF58" s="40"/>
      <c r="GG58" s="31">
        <f>SnapshotTable[[#This Row],[Booked Sale Shares]] * SnapshotTable[[#This Row],[Booked Sale Price]]</f>
        <v>0</v>
      </c>
      <c r="GH58" s="31" t="str">
        <f>IF(SnapshotTable[[#This Row],[Equity Basis Total]] &gt; 0, SnapshotTable[[#This Row],[Equity Basis Per Share]] * SnapshotTable[[#This Row],[Booked Sale Shares]], "")</f>
        <v/>
      </c>
      <c r="GI58" s="31">
        <f>IF(SnapshotTable[[#This Row],[Sale Proceeds]]&gt;0, SnapshotTable[[#This Row],[Sale Proceeds]] - SnapshotTable[[#This Row],[Sale Basis]], 0)</f>
        <v>0</v>
      </c>
      <c r="GJ58" s="158" t="str">
        <f>IF(SnapshotTable[[#This Row],[Sale G/L]]&gt;0, SnapshotTable[[#This Row],[Sale G/L]] / SnapshotTable[[#This Row],[Sale Basis]], IF(ISNUMBER(SnapshotTable[[#This Row],[SC Exercise P&amp;L (TAX)]]), SnapshotTable[[#This Row],[SC Exercise P&amp;L (TAX)]] / SnapshotTable[[#This Row],[SC Basis]], ""))</f>
        <v/>
      </c>
      <c r="GK58" s="158"/>
      <c r="GL58" s="159" t="str">
        <f>IF(AND(SnapshotTable[[#This Row],[LP Exp Date]]&gt;0,SnapshotTable[[#This Row],[LP Strike Price]]&gt;0), [1]!ToOptionSymbol(SnapshotTable[[#This Row],[Symbol]], SnapshotTable[[#This Row],[LP Strike Price]],SnapshotTable[[#This Row],[LP Exp Date]],1), "")</f>
        <v/>
      </c>
      <c r="GM58" s="30" t="str">
        <f>IF(LEN(SnapshotTable[[#This Row],[LP Symbol]])&gt;0, 1, "")</f>
        <v/>
      </c>
      <c r="GN58" s="43" t="str">
        <f>IF(AND(SnapshotTable[[#This Row],[SP Exp Date]]&gt;0,SnapshotTable[[#This Row],[SP Strike Price]]&gt;0), [1]!ToOptionSymbol(SnapshotTable[[#This Row],[Symbol]], SnapshotTable[[#This Row],[SP Strike Price]],SnapshotTable[[#This Row],[SP Exp Date]],1), "")</f>
        <v/>
      </c>
      <c r="GO58" s="30" t="str">
        <f>IF(LEN(SnapshotTable[[#This Row],[SP Symbol]])&gt;0, 1, "")</f>
        <v/>
      </c>
      <c r="GP58" s="159" t="str">
        <f>IF(AND(SnapshotTable[[#This Row],[LC Exp Date]]&gt;0,SnapshotTable[[#This Row],[LC Strike Price]]&gt;0), [1]!ToOptionSymbol(SnapshotTable[[#This Row],[Symbol]], SnapshotTable[[#This Row],[LC Strike Price]],SnapshotTable[[#This Row],[LC Exp Date]],0), "")</f>
        <v/>
      </c>
      <c r="GQ58" s="160" t="str">
        <f>IF(LEN(SnapshotTable[[#This Row],[LC Symbol]])&gt;0, 1, "")</f>
        <v/>
      </c>
      <c r="GR58" s="159" t="str">
        <f>IF(AND(SnapshotTable[[#This Row],[SC Exp Date]]&gt;0,SnapshotTable[[#This Row],[SC Strike Price]]&gt;0), [1]!ToOptionSymbol(SnapshotTable[[#This Row],[Symbol]], SnapshotTable[[#This Row],[SC Strike Price]],SnapshotTable[[#This Row],[SC Exp Date]],0), "")</f>
        <v/>
      </c>
      <c r="GS58" s="160" t="str">
        <f>IF(LEN(SnapshotTable[[#This Row],[SC Symbol]])&gt;0, 1, "")</f>
        <v/>
      </c>
      <c r="GT58" s="161" t="str">
        <f>IF(COUNT(SnapshotTable[[#This Row],[LP Symbol Count]],SnapshotTable[[#This Row],[SP Symbol Count]],SnapshotTable[[#This Row],[LC Symbol Count]],SnapshotTable[[#This Row],[SC Symbol Count]])&gt;0, "Y", "")</f>
        <v/>
      </c>
      <c r="GU5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8" s="231" t="e">
        <f>MAX(SnapshotTable[[#This Row],[Equity Basis Total]],SnapshotTable[[#This Row],[Equity Value]]) + (SnapshotTable[[#This Row],[SP Potential Spend]]- SnapshotTable[[#This Row],[SP Premium]] + SnapshotTable[[#This Row],[LP Premium]])+ (SnapshotTable[[#This Row],[LC Premium]] - SnapshotTable[[#This Row],[SC Premium]])</f>
        <v>#VALUE!</v>
      </c>
      <c r="GW58" s="139" t="e">
        <f>IF(AND(SnapshotTable[[#This Row],[Exposure]] &lt;&gt; 0),SnapshotTable[[#This Row],[Exposure]] / SnapshotTable[[#Totals],[Exposure]], "")</f>
        <v>#VALUE!</v>
      </c>
      <c r="GY58" s="381"/>
      <c r="HE58" s="268"/>
      <c r="HF58" s="268"/>
      <c r="HG58" s="381"/>
      <c r="HH58" s="381"/>
      <c r="HI58" s="381"/>
      <c r="HJ58" s="381"/>
    </row>
    <row r="59" spans="2:224" s="47" customFormat="1" ht="12.75" hidden="1" customHeight="1" x14ac:dyDescent="0.25">
      <c r="B59" s="12" t="s">
        <v>962</v>
      </c>
      <c r="C59" s="422">
        <v>0.55000000000000004</v>
      </c>
      <c r="D59" s="208" t="s">
        <v>885</v>
      </c>
      <c r="E59" s="39">
        <f>SnapshotTable[[#This Row],[Last Price]]*(1 -CrashDiscount)</f>
        <v>0.46750000000000003</v>
      </c>
      <c r="F59" s="26" t="s">
        <v>907</v>
      </c>
      <c r="G59" s="26" t="s">
        <v>610</v>
      </c>
      <c r="H59" s="149"/>
      <c r="I59" s="194">
        <v>44781.666666666664</v>
      </c>
      <c r="J59" s="195">
        <v>44781.666666666664</v>
      </c>
      <c r="K59" s="196"/>
      <c r="L59" s="326" t="s">
        <v>152</v>
      </c>
      <c r="M59" s="140"/>
      <c r="N59" s="140"/>
      <c r="O59" s="140"/>
      <c r="P59" s="22"/>
      <c r="Q59" s="25"/>
      <c r="R59" s="4" t="str">
        <f>IF(SnapshotTable[[#This Row],[Equity Basis Total]] &gt; 0, SnapshotTable[[#This Row],[Equity Basis Total]] / SnapshotTable[[#This Row],[Equity Shares]], "")</f>
        <v/>
      </c>
      <c r="S59" s="269">
        <f>SnapshotTable[[#This Row],[Last Price]] * SnapshotTable[[#This Row],[Equity Shares]]</f>
        <v>0</v>
      </c>
      <c r="T59" s="269">
        <f>SnapshotTable[[#This Row],[Equity Value]] - SnapshotTable[[#This Row],[Equity Basis Total]]</f>
        <v>0</v>
      </c>
      <c r="U59" s="270" t="str">
        <f>IF(SnapshotTable[[#This Row],[Equity Basis Total]] &gt; 0, SnapshotTable[[#This Row],[Equity G/L]] / SnapshotTable[[#This Row],[Equity Basis Total]], "")</f>
        <v/>
      </c>
      <c r="V59" s="268"/>
      <c r="W59" s="268"/>
      <c r="X59" s="4" t="str">
        <f>IF(AND(ISNUMBER(SnapshotTable[[#This Row],[Equity Basis Per Share]]),ISNUMBER(SnapshotTable[[#This Row],[Equity Target]])),SnapshotTable[[#This Row],[Equity Target]]-SnapshotTable[[#This Row],[Equity Basis Per Share]],"")</f>
        <v/>
      </c>
      <c r="Y59" s="4" t="str">
        <f>IF(AND(ISNUMBER(SnapshotTable[[#This Row],[Equity Basis Per Share]]),ISNUMBER(SnapshotTable[[#This Row],[Equity Stop Loss]])),SnapshotTable[[#This Row],[Equity Stop Loss]]-SnapshotTable[[#This Row],[Equity Basis Per Share]],"")</f>
        <v/>
      </c>
      <c r="Z59" s="275" t="str">
        <f>IFERROR( TEXT(SnapshotTable[[#This Row],[Equity Max Gain Per Share]] /ABS( SnapshotTable[[#This Row],[Equity Max Loss Per Share]]),"0.0 " ) &amp; " : 1", "")</f>
        <v/>
      </c>
      <c r="AA59" s="31" t="str">
        <f>IF(ISNUMBER(SnapshotTable[[#This Row],[Equity Max Gain Per Share]]),SnapshotTable[[#This Row],[Equity Max Gain Per Share]] * SnapshotTable[[#This Row],[Equity Shares]],"")</f>
        <v/>
      </c>
      <c r="AB59" s="31" t="str">
        <f>IF(ISNUMBER(SnapshotTable[[#This Row],[Equity Max Loss Per Share]]),SnapshotTable[[#This Row],[Equity Max Loss Per Share]] * SnapshotTable[[#This Row],[Equity Shares]],"")</f>
        <v/>
      </c>
      <c r="AC59" s="150"/>
      <c r="AD59" s="151"/>
      <c r="AE59" s="31">
        <f>(SnapshotTable[[#This Row],[Annual Dividend Per Share]] / 4) * SnapshotTable[[#This Row],[Equity Shares]]</f>
        <v>0</v>
      </c>
      <c r="AF59" s="31">
        <f>SnapshotTable[[#This Row],[Quarterly Div $]] * 4</f>
        <v>0</v>
      </c>
      <c r="AG59" s="7">
        <f>IF(SnapshotTable[[#This Row],[Annual Dividend Per Share]]&gt;0, SnapshotTable[[#This Row],[Annual Dividend Per Share]]  / SnapshotTable[[#This Row],[Last Price]], 0)</f>
        <v>0</v>
      </c>
      <c r="AH59" s="151"/>
      <c r="AI59" s="5"/>
      <c r="AJ59" s="138">
        <v>34.6</v>
      </c>
      <c r="AK59" s="152" t="str">
        <f>IF(ISNUMBER( SnapshotTable[[#This Row],[EBF Target]]),(SnapshotTable[[#This Row],[EBF Target]] - SnapshotTable[[#This Row],[Last Price]]) / SnapshotTable[[#This Row],[Last Price]], "")</f>
        <v/>
      </c>
      <c r="AL59" s="152" t="str">
        <f>IF(AND(SnapshotTable[[#This Row],[Equity Basis Total]] &gt; 0,ISNUMBER( SnapshotTable[[#This Row],[Long Term Target]])), SnapshotTable[[#This Row],[From Basis $]] / SnapshotTable[[#This Row],[Equity Basis Total]], "")</f>
        <v/>
      </c>
      <c r="AM59" s="9">
        <f>IF( AND(SnapshotTable[[#This Row],[Equity Shares]] &gt;0,ISNUMBER( SnapshotTable[[#This Row],[Long Term Target]])),(SnapshotTable[[#This Row],[Equity Shares]] * SnapshotTable[[#This Row],[Long Term Target]]) - SnapshotTable[[#This Row],[Equity Basis Total]],0)</f>
        <v>0</v>
      </c>
      <c r="AN59" s="9">
        <f>IF( AND(SnapshotTable[[#This Row],[Equity Shares]] &gt;0,ISNUMBER( SnapshotTable[[#This Row],[Long Term Target]])),(SnapshotTable[[#This Row],[Equity Shares]]*SnapshotTable[[#This Row],[Long Term Target]]) - SnapshotTable[[#This Row],[Equity Value]],0)</f>
        <v>0</v>
      </c>
      <c r="AO59" s="152">
        <f>IF(AND(ISNUMBER( SnapshotTable[[#This Row],[Long Term Target]]), ISNUMBER(SnapshotTable[[#This Row],[Last Price]])),(SnapshotTable[[#This Row],[Long Term Target]] - SnapshotTable[[#This Row],[Last Price]]) / SnapshotTable[[#This Row],[Last Price]], "")</f>
        <v>61.909090909090914</v>
      </c>
      <c r="AP59" s="5">
        <v>37</v>
      </c>
      <c r="AQ59" s="38" t="s">
        <v>27</v>
      </c>
      <c r="AR59" s="5">
        <v>37</v>
      </c>
      <c r="AS59" s="38" t="s">
        <v>38</v>
      </c>
      <c r="AT59" s="146" t="s">
        <v>542</v>
      </c>
      <c r="AU59" s="187" t="str">
        <f>IF(OR(SnapshotTable[[#This Row],[LP No Fill]]="Y",SnapshotTable[[#This Row],[SP Is Filled]],SnapshotTable[[#This Row],[LC Not Filled]]="Y",SnapshotTable[[#This Row],[SC Is Filled]]),"Y","")</f>
        <v/>
      </c>
      <c r="AV59" s="219"/>
      <c r="AW59" s="225"/>
      <c r="AX59" s="220"/>
      <c r="AY59" s="219" t="str">
        <f>IF(SnapshotTable[[#This Row],[Implied Move]]&gt;0, SnapshotTable[[#This Row],[Last Price]]-SnapshotTable[[#This Row],[Implied Move]],"")</f>
        <v/>
      </c>
      <c r="AZ59" s="219" t="str">
        <f>IF(SnapshotTable[[#This Row],[Implied Move]]&gt;0, SnapshotTable[[#This Row],[Last Price]] + SnapshotTable[[#This Row],[Implied Move]],"")</f>
        <v/>
      </c>
      <c r="BA59" s="331">
        <v>43.41</v>
      </c>
      <c r="BB59" s="347" t="s">
        <v>988</v>
      </c>
      <c r="BC5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9" s="351"/>
      <c r="BE59" s="174"/>
      <c r="BF59" s="175"/>
      <c r="BG59" s="176"/>
      <c r="BH59" s="176"/>
      <c r="BI59" s="5"/>
      <c r="BJ59" s="153">
        <f>IF(SnapshotTable[[#This Row],[LP Qty]] &gt; 0, SnapshotTable[[#This Row],[LP Qty]] * SnapshotTable[[#This Row],[LP Book Price]] * 100,0)</f>
        <v>0</v>
      </c>
      <c r="BK59" s="136">
        <f>IF(SnapshotTable[[#This Row],[LP Premium]] &gt; 0, SnapshotTable[[#This Row],[LP Qty]] * SnapshotTable[[#This Row],[LP Strike Price]] * 100,0)</f>
        <v>0</v>
      </c>
      <c r="BL59" s="154"/>
      <c r="BM59" s="385" t="str">
        <f>IF(SnapshotTable[[#This Row],[LP Premium]] &gt; 0,SnapshotTable[[#This Row],[LP Exp Date]]-MAX(SnapshotTable[[#This Row],[LP Book Date]], SnapshotTable[[#This Row],[LP Fill Date]]),"")</f>
        <v/>
      </c>
      <c r="BN59" s="385" t="str">
        <f>IF(ISNUMBER( SnapshotTable[[#This Row],[LP Term]]), SnapshotTable[[#This Row],[LP Exp Date]] - MockToday,"")</f>
        <v/>
      </c>
      <c r="BO59" s="163" t="str">
        <f>IF(AND(SnapshotTable[[#This Row],[LP Exp Date]]&gt;0, SnapshotTable[[#This Row],[LP Strike Price]]&gt;0,SnapshotTable[[#This Row],[LP Qty]]&gt;0,SnapshotTable[[#This Row],[LP Book Date]]&gt;0,SnapshotTable[[#This Row],[LP Book Price]]&gt;0,SnapshotTable[[#This Row],[LP Fill Date]]=0),"Y","")</f>
        <v/>
      </c>
      <c r="BP59" s="31" t="str">
        <f>IF(AND(SnapshotTable[[#This Row],[LP No Fill]]&lt;&gt;"Y",SnapshotTable[[#This Row],[LP Contract Value]]&gt;0, SnapshotTable[[#This Row],[LP Qty]]&gt;0), SnapshotTable[[#This Row],[LP Contract Value]]*SnapshotTable[[#This Row],[LP Qty]]*100,"")</f>
        <v/>
      </c>
      <c r="BQ59" s="13"/>
      <c r="BR59" s="5" t="str">
        <f>IF(SnapshotTable[[#This Row],[SP Exp Date]]&lt;&gt;"",TRUNC(SnapshotTable[[#This Row],[Last Price]]),"")</f>
        <v/>
      </c>
      <c r="BS59" s="36"/>
      <c r="BT59" s="147"/>
      <c r="BU59" s="13"/>
      <c r="BV59" s="5"/>
      <c r="BW59" s="419" t="b">
        <f>AND(ISNUMBER(SnapshotTable[[#This Row],[SP Exp Date]]), ISNUMBER(SnapshotTable[[#This Row],[SP Strike Price]]), ISNUMBER(SnapshotTable[[#This Row],[SP Qty]]), ISNUMBER(SnapshotTable[[#This Row],[SP Book Date]]), ISNUMBER(SnapshotTable[[#This Row],[SP Book Price]]))</f>
        <v>0</v>
      </c>
      <c r="BX59" s="419" t="b">
        <f>AND(SnapshotTable[[#This Row],[SP Is Booked]], NOT(ISBLANK(SnapshotTable[[#This Row],[SP Fill Date]])))</f>
        <v>0</v>
      </c>
      <c r="BY59" s="33">
        <f>IF(SnapshotTable[[#This Row],[SP Is Booked]], SnapshotTable[[#This Row],[SP Qty]] * SnapshotTable[[#This Row],[SP Book Price]] * 100, 0)</f>
        <v>0</v>
      </c>
      <c r="BZ59" s="369"/>
      <c r="CA59" s="368">
        <f>SnapshotTable[[#This Row],[LP Qty]]</f>
        <v>0</v>
      </c>
      <c r="CB59" s="4" t="str">
        <f>IF(SnapshotTable[[#This Row],[SP Is Booked]], SnapshotTable[[#This Row],[SP Strike Price]] - SnapshotTable[[#This Row],[SP Book Price]], "")</f>
        <v/>
      </c>
      <c r="CC59" s="19" t="str">
        <f>IF(SnapshotTable[[#This Row],[SP Is Booked]],SnapshotTable[[#This Row],[SP Exp Date]]-MAX(SnapshotTable[[#This Row],[SP Book Date]], SnapshotTable[[#This Row],[SP Fill Date]]),"")</f>
        <v/>
      </c>
      <c r="CD59" s="7" t="str">
        <f>IF(SnapshotTable[[#This Row],[SP Is Booked]], SnapshotTable[[#This Row],[SP Book Price]]/SnapshotTable[[#This Row],[SP Strike Price]], "")</f>
        <v/>
      </c>
      <c r="CE59" s="7" t="str">
        <f>IF(ISNUMBER(SnapshotTable[[#This Row],[SP ROO Term]]),SnapshotTable[[#This Row],[SP ROO Term]]*(365/SnapshotTable[[#This Row],[SP Term]]),"")</f>
        <v/>
      </c>
      <c r="CF59" s="236">
        <f>SnapshotTable[[#This Row],[LP Strike Price]] * SnapshotTable[[#This Row],[LP Qty]] * 100</f>
        <v>0</v>
      </c>
      <c r="CG59" s="31" t="e">
        <f>IF(ISNUMBER(SnapshotTable[[#This Row],[SP Premium]]), (SnapshotTable[[#This Row],[SP Qty]] * SnapshotTable[[#This Row],[SP Strike Price]]* 100) - SnapshotTable[[#This Row],[LP Protection]], 0)</f>
        <v>#VALUE!</v>
      </c>
      <c r="CH59" s="7" t="str">
        <f>IF(ISNUMBER(SnapshotTable[[#This Row],[SP Break Even]]),-1 * (SnapshotTable[[#This Row],[SP Break Even]] - SnapshotTable[[#This Row],[Last Price]]) / SnapshotTable[[#This Row],[Last Price]], "")</f>
        <v/>
      </c>
      <c r="CI59" s="31">
        <f>IF(AND(ISNUMBER((SnapshotTable[[#This Row],[SP Potential Spend]])), SnapshotTable[[#This Row],[SP Strike Price]] &gt; SnapshotTable[[#This Row],[Last Price]], SnapshotTable[[#This Row],[SP Is Filled]]), SnapshotTable[[#This Row],[SP Potential Spend]] -  SnapshotTable[[#This Row],[LP Max Value]], 0)</f>
        <v>0</v>
      </c>
      <c r="CJ59" s="244"/>
      <c r="CK59" s="31" t="str">
        <f>IF(ISNUMBER(SnapshotTable[[#This Row],[SP Potential Spend]]),IF(ISNUMBER(SnapshotTable[[#This Row],[SP POW]]), SnapshotTable[[#This Row],[SP POW]] * SnapshotTable[[#This Row],[SP Potential Spend]], SnapshotTable[[#This Row],[SP Potential Spend]]), "")</f>
        <v/>
      </c>
      <c r="CL59" s="164" t="e">
        <f>IF(NOT(SnapshotTable[[#This Row],[SP Is Filled]]),(SnapshotTable[[#This Row],[SP Qty]] * SnapshotTable[[#This Row],[SP Strike Price]] * 100) - SnapshotTable[[#This Row],[LP Max Value]],"")</f>
        <v>#VALUE!</v>
      </c>
      <c r="CM59" s="31" t="str">
        <f>IF(SnapshotTable[[#This Row],[SP Actual Spend]]&lt;&gt;0, ((SnapshotTable[[#This Row],[SP Strike Price]]-SnapshotTable[[#This Row],[Last Price]]) *(SnapshotTable[[#This Row],[SP Qty]]*100) - SnapshotTable[[#This Row],[SP Premium]]) * - 1, "")</f>
        <v/>
      </c>
      <c r="CN59" s="154"/>
      <c r="CO59" s="369"/>
      <c r="CP59" s="4" t="str">
        <f>IF(SnapshotTable[[#This Row],[SP Is Filled]], btc_max_buyback_amount(SnapshotTable[[#This Row],[SP Fill Date]],SnapshotTable[[#This Row],[SP Exp Date]], SnapshotTable[[#This Row],[SP Book Price]]),"")</f>
        <v/>
      </c>
      <c r="CQ59" s="78"/>
      <c r="CR5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9" s="155" t="str">
        <f>IF(SnapshotTable[[#This Row],[SP Is Filled]], btc_next_cutoff_date(SnapshotTable[[#This Row],[SP Fill Date]],SnapshotTable[[#This Row],[SP Exp Date]]),"")</f>
        <v/>
      </c>
      <c r="CT59" s="235" t="str" cm="1">
        <f t="array" ref="CT59">IF(SnapshotTable[[#This Row],[SP Is Filled]], btc_should_buy_back(SnapshotTable[[#This Row],[SP Fill Date]], SnapshotTable[[#This Row],[SP Exp Date]], SnapshotTable[[#This Row],[SP Book Price]], SnapshotTable[[#This Row],[SP Current Ask]], MockToday, SnapshotTable[[#This Row],[SP Buyback Override]]),"")</f>
        <v/>
      </c>
      <c r="CU59" s="156">
        <v>44883</v>
      </c>
      <c r="CV59" s="235"/>
      <c r="CW59" s="378" t="str">
        <f>IF(ISNUMBER( SnapshotTable[[#This Row],[SP Term]]), SnapshotTable[[#This Row],[SP Exp Date]] - MockToday,"")</f>
        <v/>
      </c>
      <c r="CX59" s="31" t="str">
        <f>IF(SnapshotTable[[#This Row],[SP Is Filled]],SnapshotTable[[#This Row],[SP Buyback Price to Use]] * 100 * SnapshotTable[[#This Row],[SP Qty]], "")</f>
        <v/>
      </c>
      <c r="CY59" s="4" t="str">
        <f>IF(ISNUMBER(SnapshotTable[[#This Row],[SP Strike Price]]), SnapshotTable[[#This Row],[SP Strike Price]] * (1 - SP_MaxLoss_StrikePct), "")</f>
        <v/>
      </c>
      <c r="CZ59" s="31" t="str">
        <f>IF(ISNUMBER(SnapshotTable[[#This Row],[SP Strike  Stop Per Share]]),SnapshotTable[[#This Row],[SP Premium]] - ((SnapshotTable[[#This Row],[SP Strike Price]]-SnapshotTable[[#This Row],[SP Strike  Stop Per Share]]) *(SnapshotTable[[#This Row],[SP Qty]] * 100)),"")</f>
        <v/>
      </c>
      <c r="DA59" s="4" t="str">
        <f>IF(AND(ISNUMBER(SnapshotTable[[#This Row],[SP Premium]]),SnapshotTable[[#This Row],[SP Premium]]&gt;0), SnapshotTable[[#This Row],[SP Book Price]] * (1 + SP_MaxLoss_OptionPct), "")</f>
        <v/>
      </c>
      <c r="DB59" s="31" t="str">
        <f>IF(ISNUMBER(SnapshotTable[[#This Row],[SP Option  Stop Contract]]),(SnapshotTable[[#This Row],[SP Option  Stop Contract]] *(SnapshotTable[[#This Row],[SP Qty]] * 100) - SnapshotTable[[#This Row],[SP Premium]]),"")</f>
        <v/>
      </c>
      <c r="DC59" s="4"/>
      <c r="DD59" s="4"/>
      <c r="DE59" s="4" t="str">
        <f>IF(AND(SnapshotTable[[#This Row],[SP Qty]]&gt;0, SnapshotTable[[#This Row],[SP Stop To Use]]&gt;0),SnapshotTable[[#This Row],[SP Premium]] - ( SnapshotTable[[#This Row],[SP Qty]] * SnapshotTable[[#This Row],[SP Stop To Use]] * 100), "")</f>
        <v/>
      </c>
      <c r="DF59" s="31" t="str">
        <f>IF(AND(SnapshotTable[[#This Row],[SP Qty]]&gt;0,SnapshotTable[[#This Row],[SP Current Ask]]&gt;0), SnapshotTable[[#This Row],[SP Qty]] * SnapshotTable[[#This Row],[SP Current Ask]] * -100, "")</f>
        <v/>
      </c>
      <c r="DG59" s="31" t="str">
        <f>IF(ISNUMBER((SnapshotTable[[#This Row],[SP Total Value]])), SnapshotTable[[#This Row],[SP Premium]] + SnapshotTable[[#This Row],[SP Total Value]], "")</f>
        <v/>
      </c>
      <c r="DH59" s="294" t="str">
        <f>IF(ISNUMBER((SnapshotTable[[#This Row],[SP Total Value]])), SnapshotTable[[#This Row],[SP Gain Loss]] / SnapshotTable[[#This Row],[SP Premium]], "")</f>
        <v/>
      </c>
      <c r="DI59" s="406"/>
      <c r="DJ59" s="138"/>
      <c r="DK59" s="148"/>
      <c r="DL59" s="13"/>
      <c r="DM59" s="13"/>
      <c r="DN59" s="5"/>
      <c r="DO59" s="31">
        <f>IF(SnapshotTable[[#This Row],[LC Symbol Count]]=1, SnapshotTable[[#This Row],[LC Qty]] * SnapshotTable[[#This Row],[LC Book Price]] * 100, 0)</f>
        <v>0</v>
      </c>
      <c r="DP59" s="163" t="str">
        <f>IF(AND(SnapshotTable[[#This Row],[LC Exp Date]]&gt;0, SnapshotTable[[#This Row],[LC Strike Price]]&gt;0,SnapshotTable[[#This Row],[LC Qty]]&gt;0,SnapshotTable[[#This Row],[LC Book Date]]&gt;0,SnapshotTable[[#This Row],[LC Book Price]]&gt;0,SnapshotTable[[#This Row],[LC Fill Date]]=0),"Y","")</f>
        <v/>
      </c>
      <c r="DQ59" s="386" t="str">
        <f>IF(SnapshotTable[[#This Row],[LC Premium]] &gt; 0,SnapshotTable[[#This Row],[LC Exp Date]]-MAX(SnapshotTable[[#This Row],[LC Book Date]], SnapshotTable[[#This Row],[LC Fill Date]]),"")</f>
        <v/>
      </c>
      <c r="DR59" s="386" t="str">
        <f>IF(ISNUMBER(SnapshotTable[[#This Row],[LC Term]]), SnapshotTable[[#This Row],[LC Exp Date]] - MockToday, "")</f>
        <v/>
      </c>
      <c r="DS59" s="234" t="str">
        <f>IF(SnapshotTable[[#This Row],[LC Premium]]&gt;0,SnapshotTable[[#This Row],[LC Strike Price]] + SnapshotTable[[#This Row],[LC Book Price]],"")</f>
        <v/>
      </c>
      <c r="DT59" s="5"/>
      <c r="DU59" s="9" t="str">
        <f>IF(AND(SnapshotTable[[#This Row],[LC Symbol Count]]&gt;0, SnapshotTable[[#This Row],[LC Contract Value]]&gt;0), SnapshotTable[[#This Row],[LC Contract Value]] * SnapshotTable[[#This Row],[LC Qty]] * 100, "")</f>
        <v/>
      </c>
      <c r="DV59" s="9" t="str">
        <f>IF(AND(ISNUMBER(SnapshotTable[[#This Row],[LC Total Value]]), SnapshotTable[[#This Row],[LC Not Filled]]&lt;&gt;"Y"), SnapshotTable[[#This Row],[LC Total Value]]-SnapshotTable[[#This Row],[LC Premium]],"")</f>
        <v/>
      </c>
      <c r="DW59" s="240" t="str">
        <f>IF(ISNUMBER(SnapshotTable[[#This Row],[LC Actual Gain Loss]]), SnapshotTable[[#This Row],[LC Actual Gain Loss]] / SnapshotTable[[#This Row],[LC Premium]],"")</f>
        <v/>
      </c>
      <c r="DX59" s="284" t="str">
        <f>IF(ISNUMBER(SnapshotTable[[#This Row],[LC Book Price]]),SnapshotTable[[#This Row],[LC Book Price]] * 1.5,"")</f>
        <v/>
      </c>
      <c r="DY59" s="265" t="str">
        <f>IF(SnapshotTable[[#This Row],[LC Premium]]&gt;0, SnapshotTable[[#This Row],[LC Next Target]] * SnapshotTable[[#This Row],[LC Qty]] * 100,"")</f>
        <v/>
      </c>
      <c r="DZ59" s="265" t="str">
        <f>IF(ISNUMBER(SnapshotTable[[#This Row],[LC Target Gross]]), SnapshotTable[[#This Row],[LC Target Gross]] - SnapshotTable[[#This Row],[LC Premium]], "")</f>
        <v/>
      </c>
      <c r="EA59" s="305" t="str">
        <f>IF(ISNUMBER(SnapshotTable[[#This Row],[LC Target Gain Loss]]), SnapshotTable[[#This Row],[LC Target Gain Loss]]/SnapshotTable[[#This Row],[LC Premium]], "")</f>
        <v/>
      </c>
      <c r="EB59" s="262"/>
      <c r="EC59" s="283" t="str">
        <f>IF(SnapshotTable[[#This Row],[LC Premium]]&gt;0, SnapshotTable[[#This Row],[LC Book Price]] * (1 - LC_StopLoss_Pct),"")</f>
        <v/>
      </c>
      <c r="ED59" s="284"/>
      <c r="EE59" s="283" t="str">
        <f>IF(ISNUMBER(SnapshotTable[[#This Row],[LC Contract Value]]),IF(ISNUMBER(SnapshotTable[[#This Row],[LC Stop Loss Override]]), SnapshotTable[[#This Row],[LC Stop Loss Override]],SnapshotTable[[#This Row],[LC Stop Loss Calc Target]]),"")</f>
        <v/>
      </c>
      <c r="EF59" s="31" t="str">
        <f>IF(ISNUMBER(SnapshotTable[[#This Row],[LC Stop  To Use]]), (SnapshotTable[[#This Row],[LC Stop  To Use]] * SnapshotTable[[#This Row],[LC Qty]] * 100),"")</f>
        <v/>
      </c>
      <c r="EG59" s="9" t="str">
        <f>IF(ISNUMBER(SnapshotTable[[#This Row],[LC Total Value]]),SnapshotTable[[#This Row],[LC Stop Loss Amount]] - SnapshotTable[[#This Row],[LC Premium]],"")</f>
        <v/>
      </c>
      <c r="EH59" s="9">
        <f>IF(ISNUMBER(SnapshotTable[[#This Row],[LC Premium]]), SnapshotTable[[#This Row],[LC Qty]] * 100 * SnapshotTable[[#This Row],[LC Strike Price]], "")</f>
        <v>0</v>
      </c>
      <c r="EI59" s="240" t="str">
        <f>IF(AND(ISNUMBER(SnapshotTable[[#This Row],[LC Total Value]]),SnapshotTable[[#This Row],[LC Total Value]]&gt;0),SnapshotTable[[#This Row],[LC Stop Gain Loss]]  / SnapshotTable[[#This Row],[LC Premium]],"")</f>
        <v/>
      </c>
      <c r="EJ59" s="35">
        <f>IF(ISNUMBER(SnapshotTable[[#This Row],[Equity Shares]]),TRUNC(SnapshotTable[[#This Row],[Equity Shares]] / 100),0) + SnapshotTable[[#This Row],[LC Qty]]</f>
        <v>0</v>
      </c>
      <c r="EK59" s="147"/>
      <c r="EL59" s="138" t="str">
        <f>IF(SnapshotTable[[#This Row],[SC Exp Date]]&lt;&gt;"",TRUNC(SnapshotTable[[#This Row],[Last Price]]),"")</f>
        <v/>
      </c>
      <c r="EM59" s="148"/>
      <c r="EN59" s="147"/>
      <c r="EO59" s="147"/>
      <c r="EP59" s="138"/>
      <c r="EQ59" s="419" t="b">
        <f>AND(ISNUMBER(SnapshotTable[[#This Row],[SC Exp Date]]), ISNUMBER(SnapshotTable[[#This Row],[SC Strike Price]]), ISNUMBER(SnapshotTable[[#This Row],[SC Qty]]), ISNUMBER(SnapshotTable[[#This Row],[SC Book Date]]), ISNUMBER(SnapshotTable[[#This Row],[SC Book Price]]))</f>
        <v>0</v>
      </c>
      <c r="ER59" s="419" t="b">
        <f>AND(SnapshotTable[[#This Row],[SC Is Booked]], NOT(ISBLANK(SnapshotTable[[#This Row],[SC Fill Date]])))</f>
        <v>0</v>
      </c>
      <c r="ES59" s="370"/>
      <c r="ET59" s="34" t="str">
        <f>IF(AND(ISNUMBER(SnapshotTable[[#This Row],[SC Exp Date]]), ISNUMBER(SnapshotTable[[#This Row],[SC Book Date]])), SnapshotTable[[#This Row],[SC Exp Date]] - MAX(SnapshotTable[[#This Row],[SC Book Date]], SnapshotTable[[#This Row],[SC Fill Date]]) + 1, "")</f>
        <v/>
      </c>
      <c r="EU59" s="34" t="str">
        <f>IF(ISNUMBER(SnapshotTable[[#This Row],[SC Term]]), SnapshotTable[[#This Row],[SC Exp Date]]- MockToday, "")</f>
        <v/>
      </c>
      <c r="EV59" s="31">
        <f>IF(SnapshotTable[[#This Row],[SC Is Booked]], SnapshotTable[[#This Row],[SC Qty]] * SnapshotTable[[#This Row],[SC Book Price]] * 100, 0)</f>
        <v>0</v>
      </c>
      <c r="EW59" s="4" t="str">
        <f>IF(AND(ISNUMBER(SnapshotTable[[#This Row],[Last Price]]), ISNUMBER( SnapshotTable[[#This Row],[SC Book Price]])), SnapshotTable[[#This Row],[Last Price]] - SnapshotTable[[#This Row],[SC Book Price]],"")</f>
        <v/>
      </c>
      <c r="EX59" s="234" t="str">
        <f>IF(SnapshotTable[[#This Row],[SC Is Booked]],IF(SnapshotTable[[#This Row],[SC Intrinsic Value]] &gt; 0, SnapshotTable[[#This Row],[SC Strike Price]], SnapshotTable[[#This Row],[Last Price]]), "")</f>
        <v/>
      </c>
      <c r="EY59" s="4">
        <f>IF(SnapshotTable[[#This Row],[SC Is Booked]], (MinimumPremiumRequired * SnapshotTable[[#This Row],[SC Basis]] * SnapshotTable[[#This Row],[SC Term]]), 0)</f>
        <v>0</v>
      </c>
      <c r="EZ59" s="283"/>
      <c r="FA59" s="218"/>
      <c r="FB59" s="370"/>
      <c r="FC59" s="4">
        <f>IF(SnapshotTable[[#This Row],[SC Is Filled]], btc_max_buyback_amount(SnapshotTable[[#This Row],[SC Fill Date]],SnapshotTable[[#This Row],[SC Exp Date]], SnapshotTable[[#This Row],[SC Book Price]]),0)</f>
        <v>0</v>
      </c>
      <c r="FD59" s="5"/>
      <c r="FE59" s="144" t="str">
        <f>IF(SnapshotTable[[#This Row],[SC Is Filled]], btc_next_cutoff_date(SnapshotTable[[#This Row],[SC Fill Date]],SnapshotTable[[#This Row],[SC Exp Date]]),"")</f>
        <v/>
      </c>
      <c r="FF59" s="4" t="str" cm="1">
        <f t="array" ref="FF59">IF(SnapshotTable[[#This Row],[SC Is Filled]], btc_should_buy_back(SnapshotTable[[#This Row],[SC Fill Date]], SnapshotTable[[#This Row],[SC Exp Date]], SnapshotTable[[#This Row],[SC Book Price]], SnapshotTable[[#This Row],[SC Current Ask]], MockToday, SnapshotTable[[#This Row],[SC Buyback Override]]),"")</f>
        <v/>
      </c>
      <c r="FG59" s="4">
        <f>IF(SnapshotTable[[#This Row],[SC Is Filled]], MAX(0,SnapshotTable[[#This Row],[Last Price]]  - SnapshotTable[[#This Row],[SC Strike Price]]), 0)</f>
        <v>0</v>
      </c>
      <c r="FH59" s="382">
        <f>IF(SnapshotTable[[#This Row],[SC Is Filled]], IF(ISNUMBER(SnapshotTable[[#This Row],[SC Current Ask]]), SnapshotTable[[#This Row],[SC Current Ask]], SnapshotTable[[#This Row],[SC Book Price]]) - SnapshotTable[[#This Row],[SC Intrinsic Value]], 0)</f>
        <v>0</v>
      </c>
      <c r="FI59" s="143"/>
      <c r="FJ59" s="32" t="str">
        <f>IF(SnapshotTable[[#This Row],[SC Is Filled]],100 * SnapshotTable[[#This Row],[SC Qty]] * IF(ISNUMBER(SnapshotTable[[#This Row],[SC Buyback Override]]), SnapshotTable[[#This Row],[SC Buyback Override]], SnapshotTable[[#This Row],[SC Current Ask]]), "")</f>
        <v/>
      </c>
      <c r="FK59" s="250" t="str">
        <f>IF(SnapshotTable[[#This Row],[SC Time Val]]&gt;0, SnapshotTable[[#This Row],[SC Time Val]] / SnapshotTable[[#This Row],[Last Price]],"")</f>
        <v/>
      </c>
      <c r="FL59" s="302" t="str">
        <f>IF(SnapshotTable[[#This Row],[SC Is Booked]], ((SnapshotTable[[#This Row],[Last Price]] -SnapshotTable[[#This Row],[SC Strike Price]]) / SnapshotTable[[#This Row],[Last Price]]) * -1, "")</f>
        <v/>
      </c>
      <c r="FM59" s="157" t="str">
        <f>IF(SnapshotTable[[#This Row],[SC Is Booked]],  (SnapshotTable[[#This Row],[SC Qty]] * 100 * SnapshotTable[[#This Row],[SC Strike Price]]) - SnapshotTable[[#This Row],[SC Current Ask]], "")</f>
        <v/>
      </c>
      <c r="FN59"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9" s="157" t="str">
        <f>IF(AND(ISNUMBER(SnapshotTable[[#This Row],[SC Exercise Gross]]), ISNUMBER(SnapshotTable[[#This Row],[Equity Basis Per Share]] )), SnapshotTable[[#This Row],[SC Exercise Gross]] - SnapshotTable[[#This Row],[Equity Basis Total]] +  SnapshotTable[[#This Row],[SC Premium]], "")</f>
        <v/>
      </c>
      <c r="FP59" s="5" t="str">
        <f>IF(ISNUMBER(SnapshotTable[[#This Row],[SC Exercise Gross]]), (SnapshotTable[[#This Row],[SC Exercise Gross]]) / (SnapshotTable[[#This Row],[SC Qty]] * 100), "")</f>
        <v/>
      </c>
      <c r="FQ59" s="27" t="str">
        <f>IF(SnapshotTable[[#This Row],[SC Is Booked]],SnapshotTable[[#This Row],[SC Time Val]] /SnapshotTable[[#This Row],[SC Basis]], "")</f>
        <v/>
      </c>
      <c r="FR59" s="27" t="str" cm="1">
        <f t="array" ref="FR59">IF(AND(ISNUMBER(SnapshotTable[[#This Row],[SC Term]]),ISNUMBER(SnapshotTable[[#This Row],[SC Simple ROO]])), EllmanAnnualize(SnapshotTable[[#This Row],[SC DTE]], SnapshotTable[[#This Row],[SC Simple ROO]] ),"")</f>
        <v/>
      </c>
      <c r="FS59" s="4" t="e">
        <f>IF(SnapshotTable[[#This Row],[SC Strike Price]] &gt; SnapshotTable[[#This Row],[Last Price]], SnapshotTable[[#This Row],[SC Strike Price]] - SnapshotTable[[#This Row],[Last Price]],0)</f>
        <v>#VALUE!</v>
      </c>
      <c r="FT59" s="27" t="e">
        <f>IF(AND(ISNUMBER(SnapshotTable[[#This Row],[SC Upside Potential]]), SnapshotTable[[#This Row],[SC Upside Potential]] &gt; 0),(SnapshotTable[[#This Row],[SC Upside Potential]]/ SnapshotTable[[#This Row],[ACB]]),"")</f>
        <v>#VALUE!</v>
      </c>
      <c r="FU59" s="333" t="str">
        <f>IF(SnapshotTable[[#This Row],[SC Intrinsic Value]] &gt; 0,SnapshotTable[[#This Row],[SC Intrinsic Value]],"")</f>
        <v/>
      </c>
      <c r="FV59" s="27" t="str">
        <f>IF(AND( ISNUMBER( SnapshotTable[[#This Row],[ACB]]),ISNUMBER(SnapshotTable[[#This Row],[SC Downside Protect]])),SnapshotTable[[#This Row],[SC Downside Protect]] / SnapshotTable[[#This Row],[ACB]],"")</f>
        <v/>
      </c>
      <c r="FW59" s="236" t="str">
        <f>IF(AND(ISNUMBER(SnapshotTable[[#This Row],[SC Simple ROO]]),SnapshotTable[[#This Row],[SC Simple ROO]] &gt; 0), SnapshotTable[[#This Row],[SC Premium]] + (SnapshotTable[[#This Row],[SC Qty]] * SnapshotTable[[#This Row],[SC Upside Potential]]), "")</f>
        <v/>
      </c>
      <c r="FX59" s="302" t="str" cm="1">
        <f t="array" ref="FX59">IF(ISNUMBER(SnapshotTable[[#This Row],[SC Max Dollars]]), annualize(SnapshotTable[[#This Row],[SC Term]],(SnapshotTable[[#This Row],[SC Max Dollars]]/SnapshotTable[[#This Row],[SC Basis]])),"")</f>
        <v/>
      </c>
      <c r="FY59" s="236" t="str">
        <f>IF(AND(SnapshotTable[[#This Row],[SC Qty]]&gt;0,SnapshotTable[[#This Row],[SC Current Ask]]&gt;0), SnapshotTable[[#This Row],[SC Qty]] * SnapshotTable[[#This Row],[SC Current Ask]] * -100, "")</f>
        <v/>
      </c>
      <c r="FZ59" s="31" t="str">
        <f>IF(ISNUMBER((SnapshotTable[[#This Row],[SC Current Value]])), SnapshotTable[[#This Row],[SC Premium]] + SnapshotTable[[#This Row],[SC Current Value]], "")</f>
        <v/>
      </c>
      <c r="GA59" s="294" t="str">
        <f>IFERROR( IF(ISNUMBER((SnapshotTable[[#This Row],[SC Current Value]])), SnapshotTable[[#This Row],[SC Gain Loss]] / SnapshotTable[[#This Row],[SC Premium]], ""), "")</f>
        <v/>
      </c>
      <c r="GB59" s="177">
        <f>SnapshotTable[[#This Row],[Equity Shares]] * SaleSharesToConsiderPercentage</f>
        <v>0</v>
      </c>
      <c r="GC59" s="178">
        <f>SnapshotTable[[#This Row],[Long Term Target]] * SellingPriceToConsiderBasedOnTargetPercentage</f>
        <v>32.869999999999997</v>
      </c>
      <c r="GD59" s="178">
        <f>SnapshotTable[[#This Row],[Last Price]] * (1+ SellingPriceToConsiderBasedOnTargetPercentage)</f>
        <v>1.0725</v>
      </c>
      <c r="GE59" s="179"/>
      <c r="GF59" s="178"/>
      <c r="GG59" s="31">
        <f>SnapshotTable[[#This Row],[Booked Sale Shares]] * SnapshotTable[[#This Row],[Booked Sale Price]]</f>
        <v>0</v>
      </c>
      <c r="GH59" s="31" t="str">
        <f>IF(SnapshotTable[[#This Row],[Equity Basis Total]] &gt; 0, SnapshotTable[[#This Row],[Equity Basis Per Share]] * SnapshotTable[[#This Row],[Booked Sale Shares]], "")</f>
        <v/>
      </c>
      <c r="GI59" s="31">
        <f>IF(SnapshotTable[[#This Row],[Sale Proceeds]]&gt;0, SnapshotTable[[#This Row],[Sale Proceeds]] - SnapshotTable[[#This Row],[Sale Basis]], 0)</f>
        <v>0</v>
      </c>
      <c r="GJ59" s="158" t="str">
        <f>IF(SnapshotTable[[#This Row],[Sale G/L]]&gt;0, SnapshotTable[[#This Row],[Sale G/L]] / SnapshotTable[[#This Row],[Sale Basis]], IF(ISNUMBER(SnapshotTable[[#This Row],[SC Exercise P&amp;L (TAX)]]), SnapshotTable[[#This Row],[SC Exercise P&amp;L (TAX)]] / SnapshotTable[[#This Row],[SC Basis]], ""))</f>
        <v/>
      </c>
      <c r="GK59" s="158"/>
      <c r="GL59" s="159" t="str">
        <f>IF(AND(SnapshotTable[[#This Row],[LP Exp Date]]&gt;0,SnapshotTable[[#This Row],[LP Strike Price]]&gt;0), [1]!ToOptionSymbol(SnapshotTable[[#This Row],[Symbol]], SnapshotTable[[#This Row],[LP Strike Price]],SnapshotTable[[#This Row],[LP Exp Date]],1), "")</f>
        <v/>
      </c>
      <c r="GM59" s="30" t="str">
        <f>IF(LEN(SnapshotTable[[#This Row],[LP Symbol]])&gt;0, 1, "")</f>
        <v/>
      </c>
      <c r="GN59" s="43" t="str">
        <f>IF(AND(SnapshotTable[[#This Row],[SP Exp Date]]&gt;0,SnapshotTable[[#This Row],[SP Strike Price]]&gt;0), [1]!ToOptionSymbol(SnapshotTable[[#This Row],[Symbol]], SnapshotTable[[#This Row],[SP Strike Price]],SnapshotTable[[#This Row],[SP Exp Date]],1), "")</f>
        <v/>
      </c>
      <c r="GO59" s="30" t="str">
        <f>IF(LEN(SnapshotTable[[#This Row],[SP Symbol]])&gt;0, 1, "")</f>
        <v/>
      </c>
      <c r="GP59" s="159" t="str">
        <f>IF(AND(SnapshotTable[[#This Row],[LC Exp Date]]&gt;0,SnapshotTable[[#This Row],[LC Strike Price]]&gt;0), [1]!ToOptionSymbol(SnapshotTable[[#This Row],[Symbol]], SnapshotTable[[#This Row],[LC Strike Price]],SnapshotTable[[#This Row],[LC Exp Date]],0), "")</f>
        <v/>
      </c>
      <c r="GQ59" s="160" t="str">
        <f>IF(LEN(SnapshotTable[[#This Row],[LC Symbol]])&gt;0, 1, "")</f>
        <v/>
      </c>
      <c r="GR59" s="159" t="str">
        <f>IF(AND(SnapshotTable[[#This Row],[SC Exp Date]]&gt;0,SnapshotTable[[#This Row],[SC Strike Price]]&gt;0), [1]!ToOptionSymbol(SnapshotTable[[#This Row],[Symbol]], SnapshotTable[[#This Row],[SC Strike Price]],SnapshotTable[[#This Row],[SC Exp Date]],0), "")</f>
        <v/>
      </c>
      <c r="GS59" s="160" t="str">
        <f>IF(LEN(SnapshotTable[[#This Row],[SC Symbol]])&gt;0, 1, "")</f>
        <v/>
      </c>
      <c r="GT59" s="161" t="str">
        <f>IF(COUNT(SnapshotTable[[#This Row],[LP Symbol Count]],SnapshotTable[[#This Row],[SP Symbol Count]],SnapshotTable[[#This Row],[LC Symbol Count]],SnapshotTable[[#This Row],[SC Symbol Count]])&gt;0, "Y", "")</f>
        <v/>
      </c>
      <c r="GU5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9" s="231" t="e">
        <f>MAX(SnapshotTable[[#This Row],[Equity Basis Total]],SnapshotTable[[#This Row],[Equity Value]]) + (SnapshotTable[[#This Row],[SP Potential Spend]]- SnapshotTable[[#This Row],[SP Premium]] + SnapshotTable[[#This Row],[LP Premium]])+ (SnapshotTable[[#This Row],[LC Premium]] - SnapshotTable[[#This Row],[SC Premium]])</f>
        <v>#VALUE!</v>
      </c>
      <c r="GW59" s="139" t="e">
        <f>IF(AND(SnapshotTable[[#This Row],[Exposure]] &lt;&gt; 0),SnapshotTable[[#This Row],[Exposure]] / SnapshotTable[[#Totals],[Exposure]], "")</f>
        <v>#VALUE!</v>
      </c>
      <c r="GY59" s="381"/>
      <c r="HE59" s="268"/>
      <c r="HF59" s="268"/>
      <c r="HG59" s="381"/>
      <c r="HH59" s="381"/>
      <c r="HI59" s="381"/>
      <c r="HJ59" s="381"/>
    </row>
    <row r="60" spans="2:224" ht="12.75" hidden="1" customHeight="1" x14ac:dyDescent="0.25">
      <c r="B60" s="12" t="s">
        <v>573</v>
      </c>
      <c r="C60" s="422">
        <v>60.76</v>
      </c>
      <c r="D60" s="208"/>
      <c r="E60" s="39">
        <f>SnapshotTable[[#This Row],[Last Price]]*(1 -CrashDiscount)</f>
        <v>51.645999999999994</v>
      </c>
      <c r="F60" s="26" t="s">
        <v>941</v>
      </c>
      <c r="G60" s="26" t="s">
        <v>49</v>
      </c>
      <c r="H60" s="149"/>
      <c r="I60" s="194">
        <v>44771.291666666664</v>
      </c>
      <c r="J60" s="195">
        <v>44771.291666666664</v>
      </c>
      <c r="K60" s="196"/>
      <c r="L60" s="326" t="s">
        <v>837</v>
      </c>
      <c r="M60" s="140">
        <v>1</v>
      </c>
      <c r="N60" s="140"/>
      <c r="O60" s="140"/>
      <c r="P60" s="22"/>
      <c r="Q60" s="25"/>
      <c r="R60" s="4" t="str">
        <f>IF(SnapshotTable[[#This Row],[Equity Basis Total]] &gt; 0, SnapshotTable[[#This Row],[Equity Basis Total]] / SnapshotTable[[#This Row],[Equity Shares]], "")</f>
        <v/>
      </c>
      <c r="S60" s="269">
        <f>SnapshotTable[[#This Row],[Last Price]] * SnapshotTable[[#This Row],[Equity Shares]]</f>
        <v>0</v>
      </c>
      <c r="T60" s="269">
        <f>SnapshotTable[[#This Row],[Equity Value]] - SnapshotTable[[#This Row],[Equity Basis Total]]</f>
        <v>0</v>
      </c>
      <c r="U60" s="270" t="str">
        <f>IF(SnapshotTable[[#This Row],[Equity Basis Total]] &gt; 0, SnapshotTable[[#This Row],[Equity G/L]] / SnapshotTable[[#This Row],[Equity Basis Total]], "")</f>
        <v/>
      </c>
      <c r="V60" s="268"/>
      <c r="W60" s="268"/>
      <c r="X60" s="4" t="str">
        <f>IF(AND(ISNUMBER(SnapshotTable[[#This Row],[Equity Basis Per Share]]),ISNUMBER(SnapshotTable[[#This Row],[Equity Target]])),SnapshotTable[[#This Row],[Equity Target]]-SnapshotTable[[#This Row],[Equity Basis Per Share]],"")</f>
        <v/>
      </c>
      <c r="Y60" s="4" t="str">
        <f>IF(AND(ISNUMBER(SnapshotTable[[#This Row],[Equity Basis Per Share]]),ISNUMBER(SnapshotTable[[#This Row],[Equity Stop Loss]])),SnapshotTable[[#This Row],[Equity Stop Loss]]-SnapshotTable[[#This Row],[Equity Basis Per Share]],"")</f>
        <v/>
      </c>
      <c r="Z60" s="275" t="str">
        <f>IFERROR( TEXT(SnapshotTable[[#This Row],[Equity Max Gain Per Share]] /ABS( SnapshotTable[[#This Row],[Equity Max Loss Per Share]]),"0.0 " ) &amp; " : 1", "")</f>
        <v/>
      </c>
      <c r="AA60" s="31" t="str">
        <f>IF(ISNUMBER(SnapshotTable[[#This Row],[Equity Max Gain Per Share]]),SnapshotTable[[#This Row],[Equity Max Gain Per Share]] * SnapshotTable[[#This Row],[Equity Shares]],"")</f>
        <v/>
      </c>
      <c r="AB60" s="31" t="str">
        <f>IF(ISNUMBER(SnapshotTable[[#This Row],[Equity Max Loss Per Share]]),SnapshotTable[[#This Row],[Equity Max Loss Per Share]] * SnapshotTable[[#This Row],[Equity Shares]],"")</f>
        <v/>
      </c>
      <c r="AC60" s="150"/>
      <c r="AD60" s="151"/>
      <c r="AE60" s="31">
        <f>(SnapshotTable[[#This Row],[Annual Dividend Per Share]] / 4) * SnapshotTable[[#This Row],[Equity Shares]]</f>
        <v>0</v>
      </c>
      <c r="AF60" s="31">
        <f>SnapshotTable[[#This Row],[Quarterly Div $]] * 4</f>
        <v>0</v>
      </c>
      <c r="AG60" s="7">
        <f>IF(SnapshotTable[[#This Row],[Annual Dividend Per Share]]&gt;0, SnapshotTable[[#This Row],[Annual Dividend Per Share]]  / SnapshotTable[[#This Row],[Last Price]], 0)</f>
        <v>0</v>
      </c>
      <c r="AH60" s="151"/>
      <c r="AI60" s="5">
        <v>74</v>
      </c>
      <c r="AJ60" s="138">
        <v>72.680000000000007</v>
      </c>
      <c r="AK60" s="152">
        <f>IF(ISNUMBER( SnapshotTable[[#This Row],[EBF Target]]),(SnapshotTable[[#This Row],[EBF Target]] - SnapshotTable[[#This Row],[Last Price]]) / SnapshotTable[[#This Row],[Last Price]], "")</f>
        <v>0.21790651744568798</v>
      </c>
      <c r="AL60" s="152" t="str">
        <f>IF(AND(SnapshotTable[[#This Row],[Equity Basis Total]] &gt; 0,ISNUMBER( SnapshotTable[[#This Row],[Long Term Target]])), SnapshotTable[[#This Row],[From Basis $]] / SnapshotTable[[#This Row],[Equity Basis Total]], "")</f>
        <v/>
      </c>
      <c r="AM60" s="9">
        <f>IF( AND(SnapshotTable[[#This Row],[Equity Shares]] &gt;0,ISNUMBER( SnapshotTable[[#This Row],[Long Term Target]])),(SnapshotTable[[#This Row],[Equity Shares]] * SnapshotTable[[#This Row],[Long Term Target]]) - SnapshotTable[[#This Row],[Equity Basis Total]],0)</f>
        <v>0</v>
      </c>
      <c r="AN60" s="9">
        <f>IF( AND(SnapshotTable[[#This Row],[Equity Shares]] &gt;0,ISNUMBER( SnapshotTable[[#This Row],[Long Term Target]])),(SnapshotTable[[#This Row],[Equity Shares]]*SnapshotTable[[#This Row],[Long Term Target]]) - SnapshotTable[[#This Row],[Equity Value]],0)</f>
        <v>0</v>
      </c>
      <c r="AO60" s="152">
        <f>IF(AND(ISNUMBER( SnapshotTable[[#This Row],[Long Term Target]]), ISNUMBER(SnapshotTable[[#This Row],[Last Price]])),(SnapshotTable[[#This Row],[Long Term Target]] - SnapshotTable[[#This Row],[Last Price]]) / SnapshotTable[[#This Row],[Last Price]], "")</f>
        <v>0.1961816984858461</v>
      </c>
      <c r="AP60" s="5"/>
      <c r="AQ60" s="38"/>
      <c r="AR60" s="5"/>
      <c r="AS60" s="38"/>
      <c r="AT60" s="146"/>
      <c r="AU60" s="187" t="str">
        <f>IF(OR(SnapshotTable[[#This Row],[LP No Fill]]="Y",SnapshotTable[[#This Row],[SP Is Filled]],SnapshotTable[[#This Row],[LC Not Filled]]="Y",SnapshotTable[[#This Row],[SC Is Filled]]),"Y","")</f>
        <v/>
      </c>
      <c r="AV60" s="219"/>
      <c r="AW60" s="225"/>
      <c r="AX60" s="220"/>
      <c r="AY60" s="219" t="str">
        <f>IF(SnapshotTable[[#This Row],[Implied Move]]&gt;0, SnapshotTable[[#This Row],[Last Price]]-SnapshotTable[[#This Row],[Implied Move]],"")</f>
        <v/>
      </c>
      <c r="AZ60" s="219" t="str">
        <f>IF(SnapshotTable[[#This Row],[Implied Move]]&gt;0, SnapshotTable[[#This Row],[Last Price]] + SnapshotTable[[#This Row],[Implied Move]],"")</f>
        <v/>
      </c>
      <c r="BA60" s="331"/>
      <c r="BB60" s="347"/>
      <c r="BC6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0" s="351"/>
      <c r="BE60" s="180"/>
      <c r="BF60" s="181"/>
      <c r="BG60" s="182"/>
      <c r="BH60" s="182"/>
      <c r="BI60" s="5"/>
      <c r="BJ60" s="153">
        <f>IF(SnapshotTable[[#This Row],[LP Qty]] &gt; 0, SnapshotTable[[#This Row],[LP Qty]] * SnapshotTable[[#This Row],[LP Book Price]] * 100,0)</f>
        <v>0</v>
      </c>
      <c r="BK60" s="136">
        <f>IF(SnapshotTable[[#This Row],[LP Premium]] &gt; 0, SnapshotTable[[#This Row],[LP Qty]] * SnapshotTable[[#This Row],[LP Strike Price]] * 100,0)</f>
        <v>0</v>
      </c>
      <c r="BL60" s="154"/>
      <c r="BM60" s="385" t="str">
        <f>IF(SnapshotTable[[#This Row],[LP Premium]] &gt; 0,SnapshotTable[[#This Row],[LP Exp Date]]-MAX(SnapshotTable[[#This Row],[LP Book Date]], SnapshotTable[[#This Row],[LP Fill Date]]),"")</f>
        <v/>
      </c>
      <c r="BN60" s="385" t="str">
        <f>IF(ISNUMBER( SnapshotTable[[#This Row],[LP Term]]), SnapshotTable[[#This Row],[LP Exp Date]] - MockToday,"")</f>
        <v/>
      </c>
      <c r="BO60" s="163" t="str">
        <f>IF(AND(SnapshotTable[[#This Row],[LP Exp Date]]&gt;0, SnapshotTable[[#This Row],[LP Strike Price]]&gt;0,SnapshotTable[[#This Row],[LP Qty]]&gt;0,SnapshotTable[[#This Row],[LP Book Date]]&gt;0,SnapshotTable[[#This Row],[LP Book Price]]&gt;0,SnapshotTable[[#This Row],[LP Fill Date]]=0),"Y","")</f>
        <v/>
      </c>
      <c r="BP60" s="31" t="str">
        <f>IF(AND(SnapshotTable[[#This Row],[LP No Fill]]&lt;&gt;"Y",SnapshotTable[[#This Row],[LP Contract Value]]&gt;0, SnapshotTable[[#This Row],[LP Qty]]&gt;0), SnapshotTable[[#This Row],[LP Contract Value]]*SnapshotTable[[#This Row],[LP Qty]]*100,"")</f>
        <v/>
      </c>
      <c r="BQ60" s="13"/>
      <c r="BR60" s="5" t="str">
        <f>IF(SnapshotTable[[#This Row],[SP Exp Date]]&lt;&gt;"",TRUNC(SnapshotTable[[#This Row],[Last Price]]),"")</f>
        <v/>
      </c>
      <c r="BS60" s="36"/>
      <c r="BT60" s="147"/>
      <c r="BU60" s="13"/>
      <c r="BV60" s="5"/>
      <c r="BW60" s="419" t="b">
        <f>AND(ISNUMBER(SnapshotTable[[#This Row],[SP Exp Date]]), ISNUMBER(SnapshotTable[[#This Row],[SP Strike Price]]), ISNUMBER(SnapshotTable[[#This Row],[SP Qty]]), ISNUMBER(SnapshotTable[[#This Row],[SP Book Date]]), ISNUMBER(SnapshotTable[[#This Row],[SP Book Price]]))</f>
        <v>0</v>
      </c>
      <c r="BX60" s="419" t="b">
        <f>AND(SnapshotTable[[#This Row],[SP Is Booked]], NOT(ISBLANK(SnapshotTable[[#This Row],[SP Fill Date]])))</f>
        <v>0</v>
      </c>
      <c r="BY60" s="33">
        <f>IF(SnapshotTable[[#This Row],[SP Is Booked]], SnapshotTable[[#This Row],[SP Qty]] * SnapshotTable[[#This Row],[SP Book Price]] * 100, 0)</f>
        <v>0</v>
      </c>
      <c r="BZ60" s="369"/>
      <c r="CA60" s="368">
        <f>SnapshotTable[[#This Row],[LP Qty]]</f>
        <v>0</v>
      </c>
      <c r="CB60" s="4" t="str">
        <f>IF(SnapshotTable[[#This Row],[SP Is Booked]], SnapshotTable[[#This Row],[SP Strike Price]] - SnapshotTable[[#This Row],[SP Book Price]], "")</f>
        <v/>
      </c>
      <c r="CC60" s="19" t="str">
        <f>IF(SnapshotTable[[#This Row],[SP Is Booked]],SnapshotTable[[#This Row],[SP Exp Date]]-MAX(SnapshotTable[[#This Row],[SP Book Date]], SnapshotTable[[#This Row],[SP Fill Date]]),"")</f>
        <v/>
      </c>
      <c r="CD60" s="7" t="str">
        <f>IF(SnapshotTable[[#This Row],[SP Is Booked]], SnapshotTable[[#This Row],[SP Book Price]]/SnapshotTable[[#This Row],[SP Strike Price]], "")</f>
        <v/>
      </c>
      <c r="CE60" s="7" t="str">
        <f>IF(ISNUMBER(SnapshotTable[[#This Row],[SP ROO Term]]),SnapshotTable[[#This Row],[SP ROO Term]]*(365/SnapshotTable[[#This Row],[SP Term]]),"")</f>
        <v/>
      </c>
      <c r="CF60" s="236">
        <f>SnapshotTable[[#This Row],[LP Strike Price]] * SnapshotTable[[#This Row],[LP Qty]] * 100</f>
        <v>0</v>
      </c>
      <c r="CG60" s="31" t="e">
        <f>IF(ISNUMBER(SnapshotTable[[#This Row],[SP Premium]]), (SnapshotTable[[#This Row],[SP Qty]] * SnapshotTable[[#This Row],[SP Strike Price]]* 100) - SnapshotTable[[#This Row],[LP Protection]], 0)</f>
        <v>#VALUE!</v>
      </c>
      <c r="CH60" s="7" t="str">
        <f>IF(ISNUMBER(SnapshotTable[[#This Row],[SP Break Even]]),-1 * (SnapshotTable[[#This Row],[SP Break Even]] - SnapshotTable[[#This Row],[Last Price]]) / SnapshotTable[[#This Row],[Last Price]], "")</f>
        <v/>
      </c>
      <c r="CI60" s="31">
        <f>IF(AND(ISNUMBER((SnapshotTable[[#This Row],[SP Potential Spend]])), SnapshotTable[[#This Row],[SP Strike Price]] &gt; SnapshotTable[[#This Row],[Last Price]], SnapshotTable[[#This Row],[SP Is Filled]]), SnapshotTable[[#This Row],[SP Potential Spend]] -  SnapshotTable[[#This Row],[LP Max Value]], 0)</f>
        <v>0</v>
      </c>
      <c r="CJ60" s="244"/>
      <c r="CK60" s="31" t="str">
        <f>IF(ISNUMBER(SnapshotTable[[#This Row],[SP Potential Spend]]),IF(ISNUMBER(SnapshotTable[[#This Row],[SP POW]]), SnapshotTable[[#This Row],[SP POW]] * SnapshotTable[[#This Row],[SP Potential Spend]], SnapshotTable[[#This Row],[SP Potential Spend]]), "")</f>
        <v/>
      </c>
      <c r="CL60" s="164" t="e">
        <f>IF(NOT(SnapshotTable[[#This Row],[SP Is Filled]]),(SnapshotTable[[#This Row],[SP Qty]] * SnapshotTable[[#This Row],[SP Strike Price]] * 100) - SnapshotTable[[#This Row],[LP Max Value]],"")</f>
        <v>#VALUE!</v>
      </c>
      <c r="CM60" s="31" t="str">
        <f>IF(SnapshotTable[[#This Row],[SP Actual Spend]]&lt;&gt;0, ((SnapshotTable[[#This Row],[SP Strike Price]]-SnapshotTable[[#This Row],[Last Price]]) *(SnapshotTable[[#This Row],[SP Qty]]*100) - SnapshotTable[[#This Row],[SP Premium]]) * - 1, "")</f>
        <v/>
      </c>
      <c r="CN60" s="154"/>
      <c r="CO60" s="369"/>
      <c r="CP60" s="4" t="str">
        <f>IF(SnapshotTable[[#This Row],[SP Is Filled]], btc_max_buyback_amount(SnapshotTable[[#This Row],[SP Fill Date]],SnapshotTable[[#This Row],[SP Exp Date]], SnapshotTable[[#This Row],[SP Book Price]]),"")</f>
        <v/>
      </c>
      <c r="CQ60" s="78"/>
      <c r="CR6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0" s="155" t="str">
        <f>IF(SnapshotTable[[#This Row],[SP Is Filled]], btc_next_cutoff_date(SnapshotTable[[#This Row],[SP Fill Date]],SnapshotTable[[#This Row],[SP Exp Date]]),"")</f>
        <v/>
      </c>
      <c r="CT60" s="235" t="str" cm="1">
        <f t="array" ref="CT60">IF(SnapshotTable[[#This Row],[SP Is Filled]], btc_should_buy_back(SnapshotTable[[#This Row],[SP Fill Date]], SnapshotTable[[#This Row],[SP Exp Date]], SnapshotTable[[#This Row],[SP Book Price]], SnapshotTable[[#This Row],[SP Current Ask]], MockToday, SnapshotTable[[#This Row],[SP Buyback Override]]),"")</f>
        <v/>
      </c>
      <c r="CU60" s="156"/>
      <c r="CV60" s="235"/>
      <c r="CW60" s="378" t="str">
        <f>IF(ISNUMBER( SnapshotTable[[#This Row],[SP Term]]), SnapshotTable[[#This Row],[SP Exp Date]] - MockToday,"")</f>
        <v/>
      </c>
      <c r="CX60" s="31" t="str">
        <f>IF(SnapshotTable[[#This Row],[SP Is Filled]],SnapshotTable[[#This Row],[SP Buyback Price to Use]] * 100 * SnapshotTable[[#This Row],[SP Qty]], "")</f>
        <v/>
      </c>
      <c r="CY60" s="4" t="str">
        <f>IF(ISNUMBER(SnapshotTable[[#This Row],[SP Strike Price]]), SnapshotTable[[#This Row],[SP Strike Price]] * (1 - SP_MaxLoss_StrikePct), "")</f>
        <v/>
      </c>
      <c r="CZ60" s="31" t="str">
        <f>IF(ISNUMBER(SnapshotTable[[#This Row],[SP Strike  Stop Per Share]]),SnapshotTable[[#This Row],[SP Premium]] - ((SnapshotTable[[#This Row],[SP Strike Price]]-SnapshotTable[[#This Row],[SP Strike  Stop Per Share]]) *(SnapshotTable[[#This Row],[SP Qty]] * 100)),"")</f>
        <v/>
      </c>
      <c r="DA60" s="4" t="str">
        <f>IF(AND(ISNUMBER(SnapshotTable[[#This Row],[SP Premium]]),SnapshotTable[[#This Row],[SP Premium]]&gt;0), SnapshotTable[[#This Row],[SP Book Price]] * (1 + SP_MaxLoss_OptionPct), "")</f>
        <v/>
      </c>
      <c r="DB60" s="31" t="str">
        <f>IF(ISNUMBER(SnapshotTable[[#This Row],[SP Option  Stop Contract]]),(SnapshotTable[[#This Row],[SP Option  Stop Contract]] *(SnapshotTable[[#This Row],[SP Qty]] * 100) - SnapshotTable[[#This Row],[SP Premium]]),"")</f>
        <v/>
      </c>
      <c r="DC60" s="4"/>
      <c r="DD60" s="4"/>
      <c r="DE60" s="4" t="str">
        <f>IF(AND(SnapshotTable[[#This Row],[SP Qty]]&gt;0, SnapshotTable[[#This Row],[SP Stop To Use]]&gt;0),SnapshotTable[[#This Row],[SP Premium]] - ( SnapshotTable[[#This Row],[SP Qty]] * SnapshotTable[[#This Row],[SP Stop To Use]] * 100), "")</f>
        <v/>
      </c>
      <c r="DF60" s="31" t="str">
        <f>IF(AND(SnapshotTable[[#This Row],[SP Qty]]&gt;0,SnapshotTable[[#This Row],[SP Current Ask]]&gt;0), SnapshotTable[[#This Row],[SP Qty]] * SnapshotTable[[#This Row],[SP Current Ask]] * -100, "")</f>
        <v/>
      </c>
      <c r="DG60" s="31" t="str">
        <f>IF(ISNUMBER((SnapshotTable[[#This Row],[SP Total Value]])), SnapshotTable[[#This Row],[SP Premium]] + SnapshotTable[[#This Row],[SP Total Value]], "")</f>
        <v/>
      </c>
      <c r="DH60" s="294" t="str">
        <f>IF(ISNUMBER((SnapshotTable[[#This Row],[SP Total Value]])), SnapshotTable[[#This Row],[SP Gain Loss]] / SnapshotTable[[#This Row],[SP Premium]], "")</f>
        <v/>
      </c>
      <c r="DI60" s="406"/>
      <c r="DJ60" s="138"/>
      <c r="DK60" s="148"/>
      <c r="DL60" s="13"/>
      <c r="DM60" s="13"/>
      <c r="DO60" s="31">
        <f>IF(SnapshotTable[[#This Row],[LC Symbol Count]]=1, SnapshotTable[[#This Row],[LC Qty]] * SnapshotTable[[#This Row],[LC Book Price]] * 100, 0)</f>
        <v>0</v>
      </c>
      <c r="DP60" s="163" t="str">
        <f>IF(AND(SnapshotTable[[#This Row],[LC Exp Date]]&gt;0, SnapshotTable[[#This Row],[LC Strike Price]]&gt;0,SnapshotTable[[#This Row],[LC Qty]]&gt;0,SnapshotTable[[#This Row],[LC Book Date]]&gt;0,SnapshotTable[[#This Row],[LC Book Price]]&gt;0,SnapshotTable[[#This Row],[LC Fill Date]]=0),"Y","")</f>
        <v/>
      </c>
      <c r="DQ60" s="386" t="str">
        <f>IF(SnapshotTable[[#This Row],[LC Premium]] &gt; 0,SnapshotTable[[#This Row],[LC Exp Date]]-MAX(SnapshotTable[[#This Row],[LC Book Date]], SnapshotTable[[#This Row],[LC Fill Date]]),"")</f>
        <v/>
      </c>
      <c r="DR60" s="386" t="str">
        <f>IF(ISNUMBER(SnapshotTable[[#This Row],[LC Term]]), SnapshotTable[[#This Row],[LC Exp Date]] - MockToday, "")</f>
        <v/>
      </c>
      <c r="DS60" s="234" t="str">
        <f>IF(SnapshotTable[[#This Row],[LC Premium]]&gt;0,SnapshotTable[[#This Row],[LC Strike Price]] + SnapshotTable[[#This Row],[LC Book Price]],"")</f>
        <v/>
      </c>
      <c r="DU60" s="9" t="str">
        <f>IF(AND(SnapshotTable[[#This Row],[LC Symbol Count]]&gt;0, SnapshotTable[[#This Row],[LC Contract Value]]&gt;0), SnapshotTable[[#This Row],[LC Contract Value]] * SnapshotTable[[#This Row],[LC Qty]] * 100, "")</f>
        <v/>
      </c>
      <c r="DV60" s="9" t="str">
        <f>IF(AND(ISNUMBER(SnapshotTable[[#This Row],[LC Total Value]]), SnapshotTable[[#This Row],[LC Not Filled]]&lt;&gt;"Y"), SnapshotTable[[#This Row],[LC Total Value]]-SnapshotTable[[#This Row],[LC Premium]],"")</f>
        <v/>
      </c>
      <c r="DW60" s="240" t="str">
        <f>IF(ISNUMBER(SnapshotTable[[#This Row],[LC Actual Gain Loss]]), SnapshotTable[[#This Row],[LC Actual Gain Loss]] / SnapshotTable[[#This Row],[LC Premium]],"")</f>
        <v/>
      </c>
      <c r="DX60" s="284" t="str">
        <f>IF(ISNUMBER(SnapshotTable[[#This Row],[LC Book Price]]),SnapshotTable[[#This Row],[LC Book Price]] * 1.5,"")</f>
        <v/>
      </c>
      <c r="DY60" s="265" t="str">
        <f>IF(SnapshotTable[[#This Row],[LC Premium]]&gt;0, SnapshotTable[[#This Row],[LC Next Target]] * SnapshotTable[[#This Row],[LC Qty]] * 100,"")</f>
        <v/>
      </c>
      <c r="DZ60" s="265" t="str">
        <f>IF(ISNUMBER(SnapshotTable[[#This Row],[LC Target Gross]]), SnapshotTable[[#This Row],[LC Target Gross]] - SnapshotTable[[#This Row],[LC Premium]], "")</f>
        <v/>
      </c>
      <c r="EA60" s="305" t="str">
        <f>IF(ISNUMBER(SnapshotTable[[#This Row],[LC Target Gain Loss]]), SnapshotTable[[#This Row],[LC Target Gain Loss]]/SnapshotTable[[#This Row],[LC Premium]], "")</f>
        <v/>
      </c>
      <c r="EB60" s="262"/>
      <c r="EC60" s="283" t="str">
        <f>IF(SnapshotTable[[#This Row],[LC Premium]]&gt;0, SnapshotTable[[#This Row],[LC Book Price]] * (1 - LC_StopLoss_Pct),"")</f>
        <v/>
      </c>
      <c r="ED60" s="284"/>
      <c r="EE60" s="283" t="str">
        <f>IF(ISNUMBER(SnapshotTable[[#This Row],[LC Contract Value]]),IF(ISNUMBER(SnapshotTable[[#This Row],[LC Stop Loss Override]]), SnapshotTable[[#This Row],[LC Stop Loss Override]],SnapshotTable[[#This Row],[LC Stop Loss Calc Target]]),"")</f>
        <v/>
      </c>
      <c r="EF60" s="31" t="str">
        <f>IF(ISNUMBER(SnapshotTable[[#This Row],[LC Stop  To Use]]), (SnapshotTable[[#This Row],[LC Stop  To Use]] * SnapshotTable[[#This Row],[LC Qty]] * 100),"")</f>
        <v/>
      </c>
      <c r="EG60" s="9" t="str">
        <f>IF(ISNUMBER(SnapshotTable[[#This Row],[LC Total Value]]),SnapshotTable[[#This Row],[LC Stop Loss Amount]] - SnapshotTable[[#This Row],[LC Premium]],"")</f>
        <v/>
      </c>
      <c r="EH60" s="9">
        <f>IF(ISNUMBER(SnapshotTable[[#This Row],[LC Premium]]), SnapshotTable[[#This Row],[LC Qty]] * 100 * SnapshotTable[[#This Row],[LC Strike Price]], "")</f>
        <v>0</v>
      </c>
      <c r="EI60" s="240" t="str">
        <f>IF(AND(ISNUMBER(SnapshotTable[[#This Row],[LC Total Value]]),SnapshotTable[[#This Row],[LC Total Value]]&gt;0),SnapshotTable[[#This Row],[LC Stop Gain Loss]]  / SnapshotTable[[#This Row],[LC Premium]],"")</f>
        <v/>
      </c>
      <c r="EJ60" s="35">
        <f>IF(ISNUMBER(SnapshotTable[[#This Row],[Equity Shares]]),TRUNC(SnapshotTable[[#This Row],[Equity Shares]] / 100),0) + SnapshotTable[[#This Row],[LC Qty]]</f>
        <v>0</v>
      </c>
      <c r="EK60" s="147"/>
      <c r="EL60" s="138" t="str">
        <f>IF(SnapshotTable[[#This Row],[SC Exp Date]]&lt;&gt;"",TRUNC(SnapshotTable[[#This Row],[Last Price]]),"")</f>
        <v/>
      </c>
      <c r="EM60" s="148"/>
      <c r="EN60" s="147"/>
      <c r="EO60" s="147"/>
      <c r="EP60" s="138"/>
      <c r="EQ60" s="419" t="b">
        <f>AND(ISNUMBER(SnapshotTable[[#This Row],[SC Exp Date]]), ISNUMBER(SnapshotTable[[#This Row],[SC Strike Price]]), ISNUMBER(SnapshotTable[[#This Row],[SC Qty]]), ISNUMBER(SnapshotTable[[#This Row],[SC Book Date]]), ISNUMBER(SnapshotTable[[#This Row],[SC Book Price]]))</f>
        <v>0</v>
      </c>
      <c r="ER60" s="419" t="b">
        <f>AND(SnapshotTable[[#This Row],[SC Is Booked]], NOT(ISBLANK(SnapshotTable[[#This Row],[SC Fill Date]])))</f>
        <v>0</v>
      </c>
      <c r="ES60" s="370"/>
      <c r="ET60" s="34" t="str">
        <f>IF(AND(ISNUMBER(SnapshotTable[[#This Row],[SC Exp Date]]), ISNUMBER(SnapshotTable[[#This Row],[SC Book Date]])), SnapshotTable[[#This Row],[SC Exp Date]] - MAX(SnapshotTable[[#This Row],[SC Book Date]], SnapshotTable[[#This Row],[SC Fill Date]]) + 1, "")</f>
        <v/>
      </c>
      <c r="EU60" s="34" t="str">
        <f>IF(ISNUMBER(SnapshotTable[[#This Row],[SC Term]]), SnapshotTable[[#This Row],[SC Exp Date]]- MockToday, "")</f>
        <v/>
      </c>
      <c r="EV60" s="31">
        <f>IF(SnapshotTable[[#This Row],[SC Is Booked]], SnapshotTable[[#This Row],[SC Qty]] * SnapshotTable[[#This Row],[SC Book Price]] * 100, 0)</f>
        <v>0</v>
      </c>
      <c r="EW60" s="4" t="str">
        <f>IF(AND(ISNUMBER(SnapshotTable[[#This Row],[Last Price]]), ISNUMBER( SnapshotTable[[#This Row],[SC Book Price]])), SnapshotTable[[#This Row],[Last Price]] - SnapshotTable[[#This Row],[SC Book Price]],"")</f>
        <v/>
      </c>
      <c r="EX60" s="234" t="str">
        <f>IF(SnapshotTable[[#This Row],[SC Is Booked]],IF(SnapshotTable[[#This Row],[SC Intrinsic Value]] &gt; 0, SnapshotTable[[#This Row],[SC Strike Price]], SnapshotTable[[#This Row],[Last Price]]), "")</f>
        <v/>
      </c>
      <c r="EY60" s="4">
        <f>IF(SnapshotTable[[#This Row],[SC Is Booked]], (MinimumPremiumRequired * SnapshotTable[[#This Row],[SC Basis]] * SnapshotTable[[#This Row],[SC Term]]), 0)</f>
        <v>0</v>
      </c>
      <c r="EZ60" s="283"/>
      <c r="FA60" s="218"/>
      <c r="FB60" s="370"/>
      <c r="FC60" s="4">
        <f>IF(SnapshotTable[[#This Row],[SC Is Filled]], btc_max_buyback_amount(SnapshotTable[[#This Row],[SC Fill Date]],SnapshotTable[[#This Row],[SC Exp Date]], SnapshotTable[[#This Row],[SC Book Price]]),0)</f>
        <v>0</v>
      </c>
      <c r="FD60" s="5"/>
      <c r="FE60" s="144" t="str">
        <f>IF(SnapshotTable[[#This Row],[SC Is Filled]], btc_next_cutoff_date(SnapshotTable[[#This Row],[SC Fill Date]],SnapshotTable[[#This Row],[SC Exp Date]]),"")</f>
        <v/>
      </c>
      <c r="FF60" s="4" t="str" cm="1">
        <f t="array" ref="FF60">IF(SnapshotTable[[#This Row],[SC Is Filled]], btc_should_buy_back(SnapshotTable[[#This Row],[SC Fill Date]], SnapshotTable[[#This Row],[SC Exp Date]], SnapshotTable[[#This Row],[SC Book Price]], SnapshotTable[[#This Row],[SC Current Ask]], MockToday, SnapshotTable[[#This Row],[SC Buyback Override]]),"")</f>
        <v/>
      </c>
      <c r="FG60" s="4">
        <f>IF(SnapshotTable[[#This Row],[SC Is Filled]], MAX(0,SnapshotTable[[#This Row],[Last Price]]  - SnapshotTable[[#This Row],[SC Strike Price]]), 0)</f>
        <v>0</v>
      </c>
      <c r="FH60" s="382">
        <f>IF(SnapshotTable[[#This Row],[SC Is Filled]], IF(ISNUMBER(SnapshotTable[[#This Row],[SC Current Ask]]), SnapshotTable[[#This Row],[SC Current Ask]], SnapshotTable[[#This Row],[SC Book Price]]) - SnapshotTable[[#This Row],[SC Intrinsic Value]], 0)</f>
        <v>0</v>
      </c>
      <c r="FI60" s="143">
        <v>45786</v>
      </c>
      <c r="FJ60" s="32" t="str">
        <f>IF(SnapshotTable[[#This Row],[SC Is Filled]],100 * SnapshotTable[[#This Row],[SC Qty]] * IF(ISNUMBER(SnapshotTable[[#This Row],[SC Buyback Override]]), SnapshotTable[[#This Row],[SC Buyback Override]], SnapshotTable[[#This Row],[SC Current Ask]]), "")</f>
        <v/>
      </c>
      <c r="FK60" s="250" t="str">
        <f>IF(SnapshotTable[[#This Row],[SC Time Val]]&gt;0, SnapshotTable[[#This Row],[SC Time Val]] / SnapshotTable[[#This Row],[Last Price]],"")</f>
        <v/>
      </c>
      <c r="FL60" s="302" t="str">
        <f>IF(SnapshotTable[[#This Row],[SC Is Booked]], ((SnapshotTable[[#This Row],[Last Price]] -SnapshotTable[[#This Row],[SC Strike Price]]) / SnapshotTable[[#This Row],[Last Price]]) * -1, "")</f>
        <v/>
      </c>
      <c r="FM60" s="157" t="str">
        <f>IF(SnapshotTable[[#This Row],[SC Is Booked]],  (SnapshotTable[[#This Row],[SC Qty]] * 100 * SnapshotTable[[#This Row],[SC Strike Price]]) - SnapshotTable[[#This Row],[SC Current Ask]], "")</f>
        <v/>
      </c>
      <c r="FN60"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0" s="157" t="str">
        <f>IF(AND(ISNUMBER(SnapshotTable[[#This Row],[SC Exercise Gross]]), ISNUMBER(SnapshotTable[[#This Row],[Equity Basis Per Share]] )), SnapshotTable[[#This Row],[SC Exercise Gross]] - SnapshotTable[[#This Row],[Equity Basis Total]] +  SnapshotTable[[#This Row],[SC Premium]], "")</f>
        <v/>
      </c>
      <c r="FP60" s="5" t="str">
        <f>IF(ISNUMBER(SnapshotTable[[#This Row],[SC Exercise Gross]]), (SnapshotTable[[#This Row],[SC Exercise Gross]]) / (SnapshotTable[[#This Row],[SC Qty]] * 100), "")</f>
        <v/>
      </c>
      <c r="FQ60" s="27" t="str">
        <f>IF(SnapshotTable[[#This Row],[SC Is Booked]],SnapshotTable[[#This Row],[SC Time Val]] /SnapshotTable[[#This Row],[SC Basis]], "")</f>
        <v/>
      </c>
      <c r="FR60" s="27" t="str" cm="1">
        <f t="array" ref="FR60">IF(AND(ISNUMBER(SnapshotTable[[#This Row],[SC Term]]),ISNUMBER(SnapshotTable[[#This Row],[SC Simple ROO]])), EllmanAnnualize(SnapshotTable[[#This Row],[SC DTE]], SnapshotTable[[#This Row],[SC Simple ROO]] ),"")</f>
        <v/>
      </c>
      <c r="FS60" s="4" t="e">
        <f>IF(SnapshotTable[[#This Row],[SC Strike Price]] &gt; SnapshotTable[[#This Row],[Last Price]], SnapshotTable[[#This Row],[SC Strike Price]] - SnapshotTable[[#This Row],[Last Price]],0)</f>
        <v>#VALUE!</v>
      </c>
      <c r="FT60" s="27" t="e">
        <f>IF(AND(ISNUMBER(SnapshotTable[[#This Row],[SC Upside Potential]]), SnapshotTable[[#This Row],[SC Upside Potential]] &gt; 0),(SnapshotTable[[#This Row],[SC Upside Potential]]/ SnapshotTable[[#This Row],[ACB]]),"")</f>
        <v>#VALUE!</v>
      </c>
      <c r="FU60" s="333" t="str">
        <f>IF(SnapshotTable[[#This Row],[SC Intrinsic Value]] &gt; 0,SnapshotTable[[#This Row],[SC Intrinsic Value]],"")</f>
        <v/>
      </c>
      <c r="FV60" s="27" t="str">
        <f>IF(AND( ISNUMBER( SnapshotTable[[#This Row],[ACB]]),ISNUMBER(SnapshotTable[[#This Row],[SC Downside Protect]])),SnapshotTable[[#This Row],[SC Downside Protect]] / SnapshotTable[[#This Row],[ACB]],"")</f>
        <v/>
      </c>
      <c r="FW60" s="236" t="str">
        <f>IF(AND(ISNUMBER(SnapshotTable[[#This Row],[SC Simple ROO]]),SnapshotTable[[#This Row],[SC Simple ROO]] &gt; 0), SnapshotTable[[#This Row],[SC Premium]] + (SnapshotTable[[#This Row],[SC Qty]] * SnapshotTable[[#This Row],[SC Upside Potential]]), "")</f>
        <v/>
      </c>
      <c r="FX60" s="302" t="str" cm="1">
        <f t="array" ref="FX60">IF(ISNUMBER(SnapshotTable[[#This Row],[SC Max Dollars]]), annualize(SnapshotTable[[#This Row],[SC Term]],(SnapshotTable[[#This Row],[SC Max Dollars]]/SnapshotTable[[#This Row],[SC Basis]])),"")</f>
        <v/>
      </c>
      <c r="FY60" s="236" t="str">
        <f>IF(AND(SnapshotTable[[#This Row],[SC Qty]]&gt;0,SnapshotTable[[#This Row],[SC Current Ask]]&gt;0), SnapshotTable[[#This Row],[SC Qty]] * SnapshotTable[[#This Row],[SC Current Ask]] * -100, "")</f>
        <v/>
      </c>
      <c r="FZ60" s="31" t="str">
        <f>IF(ISNUMBER((SnapshotTable[[#This Row],[SC Current Value]])), SnapshotTable[[#This Row],[SC Premium]] + SnapshotTable[[#This Row],[SC Current Value]], "")</f>
        <v/>
      </c>
      <c r="GA60" s="294" t="str">
        <f>IFERROR( IF(ISNUMBER((SnapshotTable[[#This Row],[SC Current Value]])), SnapshotTable[[#This Row],[SC Gain Loss]] / SnapshotTable[[#This Row],[SC Premium]], ""), "")</f>
        <v/>
      </c>
      <c r="GB60" s="183">
        <f>SnapshotTable[[#This Row],[Equity Shares]] * SaleSharesToConsiderPercentage</f>
        <v>0</v>
      </c>
      <c r="GC60" s="184">
        <f>SnapshotTable[[#This Row],[Long Term Target]] * SellingPriceToConsiderBasedOnTargetPercentage</f>
        <v>69.046000000000006</v>
      </c>
      <c r="GD60" s="184">
        <f>SnapshotTable[[#This Row],[Last Price]] * (1+ SellingPriceToConsiderBasedOnTargetPercentage)</f>
        <v>118.482</v>
      </c>
      <c r="GE60" s="185"/>
      <c r="GF60" s="184"/>
      <c r="GG60" s="31">
        <f>SnapshotTable[[#This Row],[Booked Sale Shares]] * SnapshotTable[[#This Row],[Booked Sale Price]]</f>
        <v>0</v>
      </c>
      <c r="GH60" s="31" t="str">
        <f>IF(SnapshotTable[[#This Row],[Equity Basis Total]] &gt; 0, SnapshotTable[[#This Row],[Equity Basis Per Share]] * SnapshotTable[[#This Row],[Booked Sale Shares]], "")</f>
        <v/>
      </c>
      <c r="GI60" s="31">
        <f>IF(SnapshotTable[[#This Row],[Sale Proceeds]]&gt;0, SnapshotTable[[#This Row],[Sale Proceeds]] - SnapshotTable[[#This Row],[Sale Basis]], 0)</f>
        <v>0</v>
      </c>
      <c r="GJ60" s="158" t="str">
        <f>IF(SnapshotTable[[#This Row],[Sale G/L]]&gt;0, SnapshotTable[[#This Row],[Sale G/L]] / SnapshotTable[[#This Row],[Sale Basis]], IF(ISNUMBER(SnapshotTable[[#This Row],[SC Exercise P&amp;L (TAX)]]), SnapshotTable[[#This Row],[SC Exercise P&amp;L (TAX)]] / SnapshotTable[[#This Row],[SC Basis]], ""))</f>
        <v/>
      </c>
      <c r="GK60" s="158" t="s">
        <v>649</v>
      </c>
      <c r="GL60" s="159" t="str">
        <f>IF(AND(SnapshotTable[[#This Row],[LP Exp Date]]&gt;0,SnapshotTable[[#This Row],[LP Strike Price]]&gt;0), [1]!ToOptionSymbol(SnapshotTable[[#This Row],[Symbol]], SnapshotTable[[#This Row],[LP Strike Price]],SnapshotTable[[#This Row],[LP Exp Date]],1), "")</f>
        <v/>
      </c>
      <c r="GM60" s="30" t="str">
        <f>IF(LEN(SnapshotTable[[#This Row],[LP Symbol]])&gt;0, 1, "")</f>
        <v/>
      </c>
      <c r="GN60" s="43" t="str">
        <f>IF(AND(SnapshotTable[[#This Row],[SP Exp Date]]&gt;0,SnapshotTable[[#This Row],[SP Strike Price]]&gt;0), [1]!ToOptionSymbol(SnapshotTable[[#This Row],[Symbol]], SnapshotTable[[#This Row],[SP Strike Price]],SnapshotTable[[#This Row],[SP Exp Date]],1), "")</f>
        <v/>
      </c>
      <c r="GO60" s="30" t="str">
        <f>IF(LEN(SnapshotTable[[#This Row],[SP Symbol]])&gt;0, 1, "")</f>
        <v/>
      </c>
      <c r="GP60" s="159" t="str">
        <f>IF(AND(SnapshotTable[[#This Row],[LC Exp Date]]&gt;0,SnapshotTable[[#This Row],[LC Strike Price]]&gt;0), [1]!ToOptionSymbol(SnapshotTable[[#This Row],[Symbol]], SnapshotTable[[#This Row],[LC Strike Price]],SnapshotTable[[#This Row],[LC Exp Date]],0), "")</f>
        <v/>
      </c>
      <c r="GQ60" s="160" t="str">
        <f>IF(LEN(SnapshotTable[[#This Row],[LC Symbol]])&gt;0, 1, "")</f>
        <v/>
      </c>
      <c r="GR60" s="159" t="str">
        <f>IF(AND(SnapshotTable[[#This Row],[SC Exp Date]]&gt;0,SnapshotTable[[#This Row],[SC Strike Price]]&gt;0), [1]!ToOptionSymbol(SnapshotTable[[#This Row],[Symbol]], SnapshotTable[[#This Row],[SC Strike Price]],SnapshotTable[[#This Row],[SC Exp Date]],0), "")</f>
        <v/>
      </c>
      <c r="GS60" s="160" t="str">
        <f>IF(LEN(SnapshotTable[[#This Row],[SC Symbol]])&gt;0, 1, "")</f>
        <v/>
      </c>
      <c r="GT60" s="161" t="str">
        <f>IF(COUNT(SnapshotTable[[#This Row],[LP Symbol Count]],SnapshotTable[[#This Row],[SP Symbol Count]],SnapshotTable[[#This Row],[LC Symbol Count]],SnapshotTable[[#This Row],[SC Symbol Count]])&gt;0, "Y", "")</f>
        <v/>
      </c>
      <c r="GU6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0" s="231" t="e">
        <f>MAX(SnapshotTable[[#This Row],[Equity Basis Total]],SnapshotTable[[#This Row],[Equity Value]]) + (SnapshotTable[[#This Row],[SP Potential Spend]]- SnapshotTable[[#This Row],[SP Premium]] + SnapshotTable[[#This Row],[LP Premium]])+ (SnapshotTable[[#This Row],[LC Premium]] - SnapshotTable[[#This Row],[SC Premium]])</f>
        <v>#VALUE!</v>
      </c>
      <c r="GW60" s="139" t="e">
        <f>IF(AND(SnapshotTable[[#This Row],[Exposure]] &lt;&gt; 0),SnapshotTable[[#This Row],[Exposure]] / SnapshotTable[[#Totals],[Exposure]], "")</f>
        <v>#VALUE!</v>
      </c>
      <c r="HE60" s="268"/>
      <c r="HF60" s="268"/>
      <c r="HK60" s="1"/>
      <c r="HL60" s="1"/>
      <c r="HM60" s="1"/>
      <c r="HN60" s="1"/>
      <c r="HO60" s="1"/>
      <c r="HP60" s="1"/>
    </row>
    <row r="61" spans="2:224" s="47" customFormat="1" ht="12.75" hidden="1" customHeight="1" x14ac:dyDescent="0.25">
      <c r="B61" s="12" t="s">
        <v>116</v>
      </c>
      <c r="C61" s="422">
        <v>43.32</v>
      </c>
      <c r="D61" s="208" t="s">
        <v>586</v>
      </c>
      <c r="E61" s="39">
        <f>SnapshotTable[[#This Row],[Last Price]]*(1 -CrashDiscount)</f>
        <v>36.822000000000003</v>
      </c>
      <c r="F61" s="26" t="s">
        <v>1037</v>
      </c>
      <c r="G61" s="26" t="s">
        <v>822</v>
      </c>
      <c r="H61" s="149"/>
      <c r="I61" s="194">
        <v>44775.208333333336</v>
      </c>
      <c r="J61" s="195">
        <v>44775.208333333336</v>
      </c>
      <c r="K61" s="196"/>
      <c r="L61" s="326"/>
      <c r="M61" s="140"/>
      <c r="N61" s="140"/>
      <c r="O61" s="140"/>
      <c r="P61" s="22"/>
      <c r="Q61" s="25"/>
      <c r="R61" s="4" t="str">
        <f>IF(SnapshotTable[[#This Row],[Equity Basis Total]] &gt; 0, SnapshotTable[[#This Row],[Equity Basis Total]] / SnapshotTable[[#This Row],[Equity Shares]], "")</f>
        <v/>
      </c>
      <c r="S61" s="269">
        <f>SnapshotTable[[#This Row],[Last Price]] * SnapshotTable[[#This Row],[Equity Shares]]</f>
        <v>0</v>
      </c>
      <c r="T61" s="269">
        <f>SnapshotTable[[#This Row],[Equity Value]] - SnapshotTable[[#This Row],[Equity Basis Total]]</f>
        <v>0</v>
      </c>
      <c r="U61" s="270" t="str">
        <f>IF(SnapshotTable[[#This Row],[Equity Basis Total]] &gt; 0, SnapshotTable[[#This Row],[Equity G/L]] / SnapshotTable[[#This Row],[Equity Basis Total]], "")</f>
        <v/>
      </c>
      <c r="V61" s="268"/>
      <c r="W61" s="268"/>
      <c r="X61" s="4" t="str">
        <f>IF(AND(ISNUMBER(SnapshotTable[[#This Row],[Equity Basis Per Share]]),ISNUMBER(SnapshotTable[[#This Row],[Equity Target]])),SnapshotTable[[#This Row],[Equity Target]]-SnapshotTable[[#This Row],[Equity Basis Per Share]],"")</f>
        <v/>
      </c>
      <c r="Y61" s="4" t="str">
        <f>IF(AND(ISNUMBER(SnapshotTable[[#This Row],[Equity Basis Per Share]]),ISNUMBER(SnapshotTable[[#This Row],[Equity Stop Loss]])),SnapshotTable[[#This Row],[Equity Stop Loss]]-SnapshotTable[[#This Row],[Equity Basis Per Share]],"")</f>
        <v/>
      </c>
      <c r="Z61" s="275" t="str">
        <f>IFERROR( TEXT(SnapshotTable[[#This Row],[Equity Max Gain Per Share]] /ABS( SnapshotTable[[#This Row],[Equity Max Loss Per Share]]),"0.0 " ) &amp; " : 1", "")</f>
        <v/>
      </c>
      <c r="AA61" s="31" t="str">
        <f>IF(ISNUMBER(SnapshotTable[[#This Row],[Equity Max Gain Per Share]]),SnapshotTable[[#This Row],[Equity Max Gain Per Share]] * SnapshotTable[[#This Row],[Equity Shares]],"")</f>
        <v/>
      </c>
      <c r="AB61" s="31" t="str">
        <f>IF(ISNUMBER(SnapshotTable[[#This Row],[Equity Max Loss Per Share]]),SnapshotTable[[#This Row],[Equity Max Loss Per Share]] * SnapshotTable[[#This Row],[Equity Shares]],"")</f>
        <v/>
      </c>
      <c r="AC61" s="150">
        <v>2.3199999999999998</v>
      </c>
      <c r="AD61" s="151">
        <v>44009</v>
      </c>
      <c r="AE61" s="31">
        <f>(SnapshotTable[[#This Row],[Annual Dividend Per Share]] / 4) * SnapshotTable[[#This Row],[Equity Shares]]</f>
        <v>0</v>
      </c>
      <c r="AF61" s="31">
        <f>SnapshotTable[[#This Row],[Quarterly Div $]] * 4</f>
        <v>0</v>
      </c>
      <c r="AG61" s="7">
        <f>IF(SnapshotTable[[#This Row],[Annual Dividend Per Share]]&gt;0, SnapshotTable[[#This Row],[Annual Dividend Per Share]]  / SnapshotTable[[#This Row],[Last Price]], 0)</f>
        <v>5.3554939981532775E-2</v>
      </c>
      <c r="AH61" s="151">
        <v>43964</v>
      </c>
      <c r="AI61" s="5"/>
      <c r="AJ61" s="138">
        <v>27.98</v>
      </c>
      <c r="AK61" s="152" t="str">
        <f>IF(ISNUMBER( SnapshotTable[[#This Row],[EBF Target]]),(SnapshotTable[[#This Row],[EBF Target]] - SnapshotTable[[#This Row],[Last Price]]) / SnapshotTable[[#This Row],[Last Price]], "")</f>
        <v/>
      </c>
      <c r="AL61" s="152" t="str">
        <f>IF(AND(SnapshotTable[[#This Row],[Equity Basis Total]] &gt; 0,ISNUMBER( SnapshotTable[[#This Row],[Long Term Target]])), SnapshotTable[[#This Row],[From Basis $]] / SnapshotTable[[#This Row],[Equity Basis Total]], "")</f>
        <v/>
      </c>
      <c r="AM61" s="9">
        <f>IF( AND(SnapshotTable[[#This Row],[Equity Shares]] &gt;0,ISNUMBER( SnapshotTable[[#This Row],[Long Term Target]])),(SnapshotTable[[#This Row],[Equity Shares]] * SnapshotTable[[#This Row],[Long Term Target]]) - SnapshotTable[[#This Row],[Equity Basis Total]],0)</f>
        <v>0</v>
      </c>
      <c r="AN61" s="9">
        <f>IF( AND(SnapshotTable[[#This Row],[Equity Shares]] &gt;0,ISNUMBER( SnapshotTable[[#This Row],[Long Term Target]])),(SnapshotTable[[#This Row],[Equity Shares]]*SnapshotTable[[#This Row],[Long Term Target]]) - SnapshotTable[[#This Row],[Equity Value]],0)</f>
        <v>0</v>
      </c>
      <c r="AO61" s="152">
        <f>IF(AND(ISNUMBER( SnapshotTable[[#This Row],[Long Term Target]]), ISNUMBER(SnapshotTable[[#This Row],[Last Price]])),(SnapshotTable[[#This Row],[Long Term Target]] - SnapshotTable[[#This Row],[Last Price]]) / SnapshotTable[[#This Row],[Last Price]], "")</f>
        <v>-0.3541089566020314</v>
      </c>
      <c r="AP61" s="5"/>
      <c r="AQ61" s="38"/>
      <c r="AR61" s="5"/>
      <c r="AS61" s="38"/>
      <c r="AT61" s="146"/>
      <c r="AU61" s="187" t="str">
        <f>IF(OR(SnapshotTable[[#This Row],[LP No Fill]]="Y",SnapshotTable[[#This Row],[SP Is Filled]],SnapshotTable[[#This Row],[LC Not Filled]]="Y",SnapshotTable[[#This Row],[SC Is Filled]]),"Y","")</f>
        <v/>
      </c>
      <c r="AV61" s="219"/>
      <c r="AW61" s="225">
        <v>2.3839999999999999</v>
      </c>
      <c r="AX61" s="220">
        <v>43952</v>
      </c>
      <c r="AY61" s="219">
        <f>IF(SnapshotTable[[#This Row],[Implied Move]]&gt;0, SnapshotTable[[#This Row],[Last Price]]-SnapshotTable[[#This Row],[Implied Move]],"")</f>
        <v>40.936</v>
      </c>
      <c r="AZ61" s="219">
        <f>IF(SnapshotTable[[#This Row],[Implied Move]]&gt;0, SnapshotTable[[#This Row],[Last Price]] + SnapshotTable[[#This Row],[Implied Move]],"")</f>
        <v>45.704000000000001</v>
      </c>
      <c r="BA61" s="331"/>
      <c r="BB61" s="347"/>
      <c r="BC6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1" s="351"/>
      <c r="BE61" s="5"/>
      <c r="BF61" s="14"/>
      <c r="BG61" s="13"/>
      <c r="BH61" s="13"/>
      <c r="BI61" s="5"/>
      <c r="BJ61" s="136">
        <f>IF(SnapshotTable[[#This Row],[LP Qty]] &gt; 0, SnapshotTable[[#This Row],[LP Qty]] * SnapshotTable[[#This Row],[LP Book Price]] * 100,0)</f>
        <v>0</v>
      </c>
      <c r="BK61" s="136">
        <f>IF(SnapshotTable[[#This Row],[LP Premium]] &gt; 0, SnapshotTable[[#This Row],[LP Qty]] * SnapshotTable[[#This Row],[LP Strike Price]] * 100,0)</f>
        <v>0</v>
      </c>
      <c r="BL61" s="154"/>
      <c r="BM61" s="385" t="str">
        <f>IF(SnapshotTable[[#This Row],[LP Premium]] &gt; 0,SnapshotTable[[#This Row],[LP Exp Date]]-MAX(SnapshotTable[[#This Row],[LP Book Date]], SnapshotTable[[#This Row],[LP Fill Date]]),"")</f>
        <v/>
      </c>
      <c r="BN61" s="385" t="str">
        <f>IF(ISNUMBER( SnapshotTable[[#This Row],[LP Term]]), SnapshotTable[[#This Row],[LP Exp Date]] - MockToday,"")</f>
        <v/>
      </c>
      <c r="BO61" s="163" t="str">
        <f>IF(AND(SnapshotTable[[#This Row],[LP Exp Date]]&gt;0, SnapshotTable[[#This Row],[LP Strike Price]]&gt;0,SnapshotTable[[#This Row],[LP Qty]]&gt;0,SnapshotTable[[#This Row],[LP Book Date]]&gt;0,SnapshotTable[[#This Row],[LP Book Price]]&gt;0,SnapshotTable[[#This Row],[LP Fill Date]]=0),"Y","")</f>
        <v/>
      </c>
      <c r="BP61" s="31" t="str">
        <f>IF(AND(SnapshotTable[[#This Row],[LP No Fill]]&lt;&gt;"Y",SnapshotTable[[#This Row],[LP Contract Value]]&gt;0, SnapshotTable[[#This Row],[LP Qty]]&gt;0), SnapshotTable[[#This Row],[LP Contract Value]]*SnapshotTable[[#This Row],[LP Qty]]*100,"")</f>
        <v/>
      </c>
      <c r="BQ61" s="13"/>
      <c r="BR61" s="5" t="str">
        <f>IF(SnapshotTable[[#This Row],[SP Exp Date]]&lt;&gt;"",TRUNC(SnapshotTable[[#This Row],[Last Price]]),"")</f>
        <v/>
      </c>
      <c r="BS61" s="36"/>
      <c r="BT61" s="147"/>
      <c r="BU61" s="13"/>
      <c r="BV61" s="5"/>
      <c r="BW61" s="419" t="b">
        <f>AND(ISNUMBER(SnapshotTable[[#This Row],[SP Exp Date]]), ISNUMBER(SnapshotTable[[#This Row],[SP Strike Price]]), ISNUMBER(SnapshotTable[[#This Row],[SP Qty]]), ISNUMBER(SnapshotTable[[#This Row],[SP Book Date]]), ISNUMBER(SnapshotTable[[#This Row],[SP Book Price]]))</f>
        <v>0</v>
      </c>
      <c r="BX61" s="419" t="b">
        <f>AND(SnapshotTable[[#This Row],[SP Is Booked]], NOT(ISBLANK(SnapshotTable[[#This Row],[SP Fill Date]])))</f>
        <v>0</v>
      </c>
      <c r="BY61" s="33">
        <f>IF(SnapshotTable[[#This Row],[SP Is Booked]], SnapshotTable[[#This Row],[SP Qty]] * SnapshotTable[[#This Row],[SP Book Price]] * 100, 0)</f>
        <v>0</v>
      </c>
      <c r="BZ61" s="369"/>
      <c r="CA61" s="368">
        <f>SnapshotTable[[#This Row],[LP Qty]]</f>
        <v>0</v>
      </c>
      <c r="CB61" s="4" t="str">
        <f>IF(SnapshotTable[[#This Row],[SP Is Booked]], SnapshotTable[[#This Row],[SP Strike Price]] - SnapshotTable[[#This Row],[SP Book Price]], "")</f>
        <v/>
      </c>
      <c r="CC61" s="19" t="str">
        <f>IF(SnapshotTable[[#This Row],[SP Is Booked]],SnapshotTable[[#This Row],[SP Exp Date]]-MAX(SnapshotTable[[#This Row],[SP Book Date]], SnapshotTable[[#This Row],[SP Fill Date]]),"")</f>
        <v/>
      </c>
      <c r="CD61" s="7" t="str">
        <f>IF(SnapshotTable[[#This Row],[SP Is Booked]], SnapshotTable[[#This Row],[SP Book Price]]/SnapshotTable[[#This Row],[SP Strike Price]], "")</f>
        <v/>
      </c>
      <c r="CE61" s="7" t="str">
        <f>IF(ISNUMBER(SnapshotTable[[#This Row],[SP ROO Term]]),SnapshotTable[[#This Row],[SP ROO Term]]*(365/SnapshotTable[[#This Row],[SP Term]]),"")</f>
        <v/>
      </c>
      <c r="CF61" s="236">
        <f>SnapshotTable[[#This Row],[LP Strike Price]] * SnapshotTable[[#This Row],[LP Qty]] * 100</f>
        <v>0</v>
      </c>
      <c r="CG61" s="31" t="e">
        <f>IF(ISNUMBER(SnapshotTable[[#This Row],[SP Premium]]), (SnapshotTable[[#This Row],[SP Qty]] * SnapshotTable[[#This Row],[SP Strike Price]]* 100) - SnapshotTable[[#This Row],[LP Protection]], 0)</f>
        <v>#VALUE!</v>
      </c>
      <c r="CH61" s="7" t="str">
        <f>IF(ISNUMBER(SnapshotTable[[#This Row],[SP Break Even]]),-1 * (SnapshotTable[[#This Row],[SP Break Even]] - SnapshotTable[[#This Row],[Last Price]]) / SnapshotTable[[#This Row],[Last Price]], "")</f>
        <v/>
      </c>
      <c r="CI61" s="31">
        <f>IF(AND(ISNUMBER((SnapshotTable[[#This Row],[SP Potential Spend]])), SnapshotTable[[#This Row],[SP Strike Price]] &gt; SnapshotTable[[#This Row],[Last Price]], SnapshotTable[[#This Row],[SP Is Filled]]), SnapshotTable[[#This Row],[SP Potential Spend]] -  SnapshotTable[[#This Row],[LP Max Value]], 0)</f>
        <v>0</v>
      </c>
      <c r="CJ61" s="244"/>
      <c r="CK61" s="31" t="str">
        <f>IF(ISNUMBER(SnapshotTable[[#This Row],[SP Potential Spend]]),IF(ISNUMBER(SnapshotTable[[#This Row],[SP POW]]), SnapshotTable[[#This Row],[SP POW]] * SnapshotTable[[#This Row],[SP Potential Spend]], SnapshotTable[[#This Row],[SP Potential Spend]]), "")</f>
        <v/>
      </c>
      <c r="CL61" s="164" t="e">
        <f>IF(NOT(SnapshotTable[[#This Row],[SP Is Filled]]),(SnapshotTable[[#This Row],[SP Qty]] * SnapshotTable[[#This Row],[SP Strike Price]] * 100) - SnapshotTable[[#This Row],[LP Max Value]],"")</f>
        <v>#VALUE!</v>
      </c>
      <c r="CM61" s="31" t="str">
        <f>IF(SnapshotTable[[#This Row],[SP Actual Spend]]&lt;&gt;0, ((SnapshotTable[[#This Row],[SP Strike Price]]-SnapshotTable[[#This Row],[Last Price]]) *(SnapshotTable[[#This Row],[SP Qty]]*100) - SnapshotTable[[#This Row],[SP Premium]]) * - 1, "")</f>
        <v/>
      </c>
      <c r="CN61" s="78"/>
      <c r="CO61" s="369"/>
      <c r="CP61" s="4" t="str">
        <f>IF(SnapshotTable[[#This Row],[SP Is Filled]], btc_max_buyback_amount(SnapshotTable[[#This Row],[SP Fill Date]],SnapshotTable[[#This Row],[SP Exp Date]], SnapshotTable[[#This Row],[SP Book Price]]),"")</f>
        <v/>
      </c>
      <c r="CQ61" s="78"/>
      <c r="CR6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1" s="155" t="str">
        <f>IF(SnapshotTable[[#This Row],[SP Is Filled]], btc_next_cutoff_date(SnapshotTable[[#This Row],[SP Fill Date]],SnapshotTable[[#This Row],[SP Exp Date]]),"")</f>
        <v/>
      </c>
      <c r="CT61" s="235" t="str" cm="1">
        <f t="array" ref="CT61">IF(SnapshotTable[[#This Row],[SP Is Filled]], btc_should_buy_back(SnapshotTable[[#This Row],[SP Fill Date]], SnapshotTable[[#This Row],[SP Exp Date]], SnapshotTable[[#This Row],[SP Book Price]], SnapshotTable[[#This Row],[SP Current Ask]], MockToday, SnapshotTable[[#This Row],[SP Buyback Override]]),"")</f>
        <v/>
      </c>
      <c r="CU61" s="143"/>
      <c r="CV61" s="235"/>
      <c r="CW61" s="378" t="str">
        <f>IF(ISNUMBER( SnapshotTable[[#This Row],[SP Term]]), SnapshotTable[[#This Row],[SP Exp Date]] - MockToday,"")</f>
        <v/>
      </c>
      <c r="CX61" s="31" t="str">
        <f>IF(SnapshotTable[[#This Row],[SP Is Filled]],SnapshotTable[[#This Row],[SP Buyback Price to Use]] * 100 * SnapshotTable[[#This Row],[SP Qty]], "")</f>
        <v/>
      </c>
      <c r="CY61" s="4" t="str">
        <f>IF(ISNUMBER(SnapshotTable[[#This Row],[SP Strike Price]]), SnapshotTable[[#This Row],[SP Strike Price]] * (1 - SP_MaxLoss_StrikePct), "")</f>
        <v/>
      </c>
      <c r="CZ61" s="31" t="str">
        <f>IF(ISNUMBER(SnapshotTable[[#This Row],[SP Strike  Stop Per Share]]),SnapshotTable[[#This Row],[SP Premium]] - ((SnapshotTable[[#This Row],[SP Strike Price]]-SnapshotTable[[#This Row],[SP Strike  Stop Per Share]]) *(SnapshotTable[[#This Row],[SP Qty]] * 100)),"")</f>
        <v/>
      </c>
      <c r="DA61" s="4" t="str">
        <f>IF(AND(ISNUMBER(SnapshotTable[[#This Row],[SP Premium]]),SnapshotTable[[#This Row],[SP Premium]]&gt;0), SnapshotTable[[#This Row],[SP Book Price]] * (1 + SP_MaxLoss_OptionPct), "")</f>
        <v/>
      </c>
      <c r="DB61" s="31" t="str">
        <f>IF(ISNUMBER(SnapshotTable[[#This Row],[SP Option  Stop Contract]]),(SnapshotTable[[#This Row],[SP Option  Stop Contract]] *(SnapshotTable[[#This Row],[SP Qty]] * 100) - SnapshotTable[[#This Row],[SP Premium]]),"")</f>
        <v/>
      </c>
      <c r="DC61" s="4"/>
      <c r="DD61" s="4"/>
      <c r="DE61" s="4" t="str">
        <f>IF(AND(SnapshotTable[[#This Row],[SP Qty]]&gt;0, SnapshotTable[[#This Row],[SP Stop To Use]]&gt;0),SnapshotTable[[#This Row],[SP Premium]] - ( SnapshotTable[[#This Row],[SP Qty]] * SnapshotTable[[#This Row],[SP Stop To Use]] * 100), "")</f>
        <v/>
      </c>
      <c r="DF61" s="31" t="str">
        <f>IF(AND(SnapshotTable[[#This Row],[SP Qty]]&gt;0,SnapshotTable[[#This Row],[SP Current Ask]]&gt;0), SnapshotTable[[#This Row],[SP Qty]] * SnapshotTable[[#This Row],[SP Current Ask]] * -100, "")</f>
        <v/>
      </c>
      <c r="DG61" s="31" t="str">
        <f>IF(ISNUMBER((SnapshotTable[[#This Row],[SP Total Value]])), SnapshotTable[[#This Row],[SP Premium]] + SnapshotTable[[#This Row],[SP Total Value]], "")</f>
        <v/>
      </c>
      <c r="DH61" s="294" t="str">
        <f>IF(ISNUMBER((SnapshotTable[[#This Row],[SP Total Value]])), SnapshotTable[[#This Row],[SP Gain Loss]] / SnapshotTable[[#This Row],[SP Premium]], "")</f>
        <v/>
      </c>
      <c r="DI61" s="406"/>
      <c r="DJ61" s="138"/>
      <c r="DK61" s="148"/>
      <c r="DL61" s="13"/>
      <c r="DM61" s="13"/>
      <c r="DN61" s="5"/>
      <c r="DO61" s="31">
        <f>IF(SnapshotTable[[#This Row],[LC Symbol Count]]=1, SnapshotTable[[#This Row],[LC Qty]] * SnapshotTable[[#This Row],[LC Book Price]] * 100, 0)</f>
        <v>0</v>
      </c>
      <c r="DP61" s="163" t="str">
        <f>IF(AND(SnapshotTable[[#This Row],[LC Exp Date]]&gt;0, SnapshotTable[[#This Row],[LC Strike Price]]&gt;0,SnapshotTable[[#This Row],[LC Qty]]&gt;0,SnapshotTable[[#This Row],[LC Book Date]]&gt;0,SnapshotTable[[#This Row],[LC Book Price]]&gt;0,SnapshotTable[[#This Row],[LC Fill Date]]=0),"Y","")</f>
        <v/>
      </c>
      <c r="DQ61" s="386" t="str">
        <f>IF(SnapshotTable[[#This Row],[LC Premium]] &gt; 0,SnapshotTable[[#This Row],[LC Exp Date]]-MAX(SnapshotTable[[#This Row],[LC Book Date]], SnapshotTable[[#This Row],[LC Fill Date]]),"")</f>
        <v/>
      </c>
      <c r="DR61" s="386" t="str">
        <f>IF(ISNUMBER(SnapshotTable[[#This Row],[LC Term]]), SnapshotTable[[#This Row],[LC Exp Date]] - MockToday, "")</f>
        <v/>
      </c>
      <c r="DS61" s="234" t="str">
        <f>IF(SnapshotTable[[#This Row],[LC Premium]]&gt;0,SnapshotTable[[#This Row],[LC Strike Price]] + SnapshotTable[[#This Row],[LC Book Price]],"")</f>
        <v/>
      </c>
      <c r="DT61" s="5"/>
      <c r="DU61" s="9" t="str">
        <f>IF(AND(SnapshotTable[[#This Row],[LC Symbol Count]]&gt;0, SnapshotTable[[#This Row],[LC Contract Value]]&gt;0), SnapshotTable[[#This Row],[LC Contract Value]] * SnapshotTable[[#This Row],[LC Qty]] * 100, "")</f>
        <v/>
      </c>
      <c r="DV61" s="9" t="str">
        <f>IF(AND(ISNUMBER(SnapshotTable[[#This Row],[LC Total Value]]), SnapshotTable[[#This Row],[LC Not Filled]]&lt;&gt;"Y"), SnapshotTable[[#This Row],[LC Total Value]]-SnapshotTable[[#This Row],[LC Premium]],"")</f>
        <v/>
      </c>
      <c r="DW61" s="240" t="str">
        <f>IF(ISNUMBER(SnapshotTable[[#This Row],[LC Actual Gain Loss]]), SnapshotTable[[#This Row],[LC Actual Gain Loss]] / SnapshotTable[[#This Row],[LC Premium]],"")</f>
        <v/>
      </c>
      <c r="DX61" s="284" t="str">
        <f>IF(ISNUMBER(SnapshotTable[[#This Row],[LC Book Price]]),SnapshotTable[[#This Row],[LC Book Price]] * 1.5,"")</f>
        <v/>
      </c>
      <c r="DY61" s="265" t="str">
        <f>IF(SnapshotTable[[#This Row],[LC Premium]]&gt;0, SnapshotTable[[#This Row],[LC Next Target]] * SnapshotTable[[#This Row],[LC Qty]] * 100,"")</f>
        <v/>
      </c>
      <c r="DZ61" s="265" t="str">
        <f>IF(ISNUMBER(SnapshotTable[[#This Row],[LC Target Gross]]), SnapshotTable[[#This Row],[LC Target Gross]] - SnapshotTable[[#This Row],[LC Premium]], "")</f>
        <v/>
      </c>
      <c r="EA61" s="305" t="str">
        <f>IF(ISNUMBER(SnapshotTable[[#This Row],[LC Target Gain Loss]]), SnapshotTable[[#This Row],[LC Target Gain Loss]]/SnapshotTable[[#This Row],[LC Premium]], "")</f>
        <v/>
      </c>
      <c r="EB61" s="262"/>
      <c r="EC61" s="283" t="str">
        <f>IF(SnapshotTable[[#This Row],[LC Premium]]&gt;0, SnapshotTable[[#This Row],[LC Book Price]] * (1 - LC_StopLoss_Pct),"")</f>
        <v/>
      </c>
      <c r="ED61" s="284"/>
      <c r="EE61" s="283" t="str">
        <f>IF(ISNUMBER(SnapshotTable[[#This Row],[LC Contract Value]]),IF(ISNUMBER(SnapshotTable[[#This Row],[LC Stop Loss Override]]), SnapshotTable[[#This Row],[LC Stop Loss Override]],SnapshotTable[[#This Row],[LC Stop Loss Calc Target]]),"")</f>
        <v/>
      </c>
      <c r="EF61" s="31" t="str">
        <f>IF(ISNUMBER(SnapshotTable[[#This Row],[LC Stop  To Use]]), (SnapshotTable[[#This Row],[LC Stop  To Use]] * SnapshotTable[[#This Row],[LC Qty]] * 100),"")</f>
        <v/>
      </c>
      <c r="EG61" s="9" t="str">
        <f>IF(ISNUMBER(SnapshotTable[[#This Row],[LC Total Value]]),SnapshotTable[[#This Row],[LC Stop Loss Amount]] - SnapshotTable[[#This Row],[LC Premium]],"")</f>
        <v/>
      </c>
      <c r="EH61" s="9">
        <f>IF(ISNUMBER(SnapshotTable[[#This Row],[LC Premium]]), SnapshotTable[[#This Row],[LC Qty]] * 100 * SnapshotTable[[#This Row],[LC Strike Price]], "")</f>
        <v>0</v>
      </c>
      <c r="EI61" s="240" t="str">
        <f>IF(AND(ISNUMBER(SnapshotTable[[#This Row],[LC Total Value]]),SnapshotTable[[#This Row],[LC Total Value]]&gt;0),SnapshotTable[[#This Row],[LC Stop Gain Loss]]  / SnapshotTable[[#This Row],[LC Premium]],"")</f>
        <v/>
      </c>
      <c r="EJ61" s="35">
        <f>IF(ISNUMBER(SnapshotTable[[#This Row],[Equity Shares]]),TRUNC(SnapshotTable[[#This Row],[Equity Shares]] / 100),0) + SnapshotTable[[#This Row],[LC Qty]]</f>
        <v>0</v>
      </c>
      <c r="EK61" s="147"/>
      <c r="EL61" s="138" t="str">
        <f>IF(SnapshotTable[[#This Row],[SC Exp Date]]&lt;&gt;"",TRUNC(SnapshotTable[[#This Row],[Last Price]]),"")</f>
        <v/>
      </c>
      <c r="EM61" s="148"/>
      <c r="EN61" s="147"/>
      <c r="EO61" s="147"/>
      <c r="EP61" s="138"/>
      <c r="EQ61" s="419" t="b">
        <f>AND(ISNUMBER(SnapshotTable[[#This Row],[SC Exp Date]]), ISNUMBER(SnapshotTable[[#This Row],[SC Strike Price]]), ISNUMBER(SnapshotTable[[#This Row],[SC Qty]]), ISNUMBER(SnapshotTable[[#This Row],[SC Book Date]]), ISNUMBER(SnapshotTable[[#This Row],[SC Book Price]]))</f>
        <v>0</v>
      </c>
      <c r="ER61" s="419" t="b">
        <f>AND(SnapshotTable[[#This Row],[SC Is Booked]], NOT(ISBLANK(SnapshotTable[[#This Row],[SC Fill Date]])))</f>
        <v>0</v>
      </c>
      <c r="ES61" s="370"/>
      <c r="ET61" s="34" t="str">
        <f>IF(AND(ISNUMBER(SnapshotTable[[#This Row],[SC Exp Date]]), ISNUMBER(SnapshotTable[[#This Row],[SC Book Date]])), SnapshotTable[[#This Row],[SC Exp Date]] - MAX(SnapshotTable[[#This Row],[SC Book Date]], SnapshotTable[[#This Row],[SC Fill Date]]) + 1, "")</f>
        <v/>
      </c>
      <c r="EU61" s="34" t="str">
        <f>IF(ISNUMBER(SnapshotTable[[#This Row],[SC Term]]), SnapshotTable[[#This Row],[SC Exp Date]]- MockToday, "")</f>
        <v/>
      </c>
      <c r="EV61" s="31">
        <f>IF(SnapshotTable[[#This Row],[SC Is Booked]], SnapshotTable[[#This Row],[SC Qty]] * SnapshotTable[[#This Row],[SC Book Price]] * 100, 0)</f>
        <v>0</v>
      </c>
      <c r="EW61" s="4" t="str">
        <f>IF(AND(ISNUMBER(SnapshotTable[[#This Row],[Last Price]]), ISNUMBER( SnapshotTable[[#This Row],[SC Book Price]])), SnapshotTable[[#This Row],[Last Price]] - SnapshotTable[[#This Row],[SC Book Price]],"")</f>
        <v/>
      </c>
      <c r="EX61" s="234" t="str">
        <f>IF(SnapshotTable[[#This Row],[SC Is Booked]],IF(SnapshotTable[[#This Row],[SC Intrinsic Value]] &gt; 0, SnapshotTable[[#This Row],[SC Strike Price]], SnapshotTable[[#This Row],[Last Price]]), "")</f>
        <v/>
      </c>
      <c r="EY61" s="4">
        <f>IF(SnapshotTable[[#This Row],[SC Is Booked]], (MinimumPremiumRequired * SnapshotTable[[#This Row],[SC Basis]] * SnapshotTable[[#This Row],[SC Term]]), 0)</f>
        <v>0</v>
      </c>
      <c r="EZ61" s="283"/>
      <c r="FA61" s="218"/>
      <c r="FB61" s="370"/>
      <c r="FC61" s="4">
        <f>IF(SnapshotTable[[#This Row],[SC Is Filled]], btc_max_buyback_amount(SnapshotTable[[#This Row],[SC Fill Date]],SnapshotTable[[#This Row],[SC Exp Date]], SnapshotTable[[#This Row],[SC Book Price]]),0)</f>
        <v>0</v>
      </c>
      <c r="FD61" s="5"/>
      <c r="FE61" s="144" t="str">
        <f>IF(SnapshotTable[[#This Row],[SC Is Filled]], btc_next_cutoff_date(SnapshotTable[[#This Row],[SC Fill Date]],SnapshotTable[[#This Row],[SC Exp Date]]),"")</f>
        <v/>
      </c>
      <c r="FF61" s="4" t="str" cm="1">
        <f t="array" ref="FF61">IF(SnapshotTable[[#This Row],[SC Is Filled]], btc_should_buy_back(SnapshotTable[[#This Row],[SC Fill Date]], SnapshotTable[[#This Row],[SC Exp Date]], SnapshotTable[[#This Row],[SC Book Price]], SnapshotTable[[#This Row],[SC Current Ask]], MockToday, SnapshotTable[[#This Row],[SC Buyback Override]]),"")</f>
        <v/>
      </c>
      <c r="FG61" s="4">
        <f>IF(SnapshotTable[[#This Row],[SC Is Filled]], MAX(0,SnapshotTable[[#This Row],[Last Price]]  - SnapshotTable[[#This Row],[SC Strike Price]]), 0)</f>
        <v>0</v>
      </c>
      <c r="FH61" s="382">
        <f>IF(SnapshotTable[[#This Row],[SC Is Filled]], IF(ISNUMBER(SnapshotTable[[#This Row],[SC Current Ask]]), SnapshotTable[[#This Row],[SC Current Ask]], SnapshotTable[[#This Row],[SC Book Price]]) - SnapshotTable[[#This Row],[SC Intrinsic Value]], 0)</f>
        <v>0</v>
      </c>
      <c r="FI61" s="143"/>
      <c r="FJ61" s="32" t="str">
        <f>IF(SnapshotTable[[#This Row],[SC Is Filled]],100 * SnapshotTable[[#This Row],[SC Qty]] * IF(ISNUMBER(SnapshotTable[[#This Row],[SC Buyback Override]]), SnapshotTable[[#This Row],[SC Buyback Override]], SnapshotTable[[#This Row],[SC Current Ask]]), "")</f>
        <v/>
      </c>
      <c r="FK61" s="250" t="str">
        <f>IF(SnapshotTable[[#This Row],[SC Time Val]]&gt;0, SnapshotTable[[#This Row],[SC Time Val]] / SnapshotTable[[#This Row],[Last Price]],"")</f>
        <v/>
      </c>
      <c r="FL61" s="302" t="str">
        <f>IF(SnapshotTable[[#This Row],[SC Is Booked]], ((SnapshotTable[[#This Row],[Last Price]] -SnapshotTable[[#This Row],[SC Strike Price]]) / SnapshotTable[[#This Row],[Last Price]]) * -1, "")</f>
        <v/>
      </c>
      <c r="FM61" s="157" t="str">
        <f>IF(SnapshotTable[[#This Row],[SC Is Booked]],  (SnapshotTable[[#This Row],[SC Qty]] * 100 * SnapshotTable[[#This Row],[SC Strike Price]]) - SnapshotTable[[#This Row],[SC Current Ask]], "")</f>
        <v/>
      </c>
      <c r="FN6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1" s="31" t="str">
        <f>IF(AND(ISNUMBER(SnapshotTable[[#This Row],[SC Exercise Gross]]), ISNUMBER(SnapshotTable[[#This Row],[Equity Basis Per Share]] )), SnapshotTable[[#This Row],[SC Exercise Gross]] - SnapshotTable[[#This Row],[Equity Basis Total]] +  SnapshotTable[[#This Row],[SC Premium]], "")</f>
        <v/>
      </c>
      <c r="FP61" s="5" t="str">
        <f>IF(ISNUMBER(SnapshotTable[[#This Row],[SC Exercise Gross]]), (SnapshotTable[[#This Row],[SC Exercise Gross]]) / (SnapshotTable[[#This Row],[SC Qty]] * 100), "")</f>
        <v/>
      </c>
      <c r="FQ61" s="27" t="str">
        <f>IF(SnapshotTable[[#This Row],[SC Is Booked]],SnapshotTable[[#This Row],[SC Time Val]] /SnapshotTable[[#This Row],[SC Basis]], "")</f>
        <v/>
      </c>
      <c r="FR61" s="27" t="str" cm="1">
        <f t="array" ref="FR61">IF(AND(ISNUMBER(SnapshotTable[[#This Row],[SC Term]]),ISNUMBER(SnapshotTable[[#This Row],[SC Simple ROO]])), EllmanAnnualize(SnapshotTable[[#This Row],[SC DTE]], SnapshotTable[[#This Row],[SC Simple ROO]] ),"")</f>
        <v/>
      </c>
      <c r="FS61" s="4" t="e">
        <f>IF(SnapshotTable[[#This Row],[SC Strike Price]] &gt; SnapshotTable[[#This Row],[Last Price]], SnapshotTable[[#This Row],[SC Strike Price]] - SnapshotTable[[#This Row],[Last Price]],0)</f>
        <v>#VALUE!</v>
      </c>
      <c r="FT61" s="27" t="e">
        <f>IF(AND(ISNUMBER(SnapshotTable[[#This Row],[SC Upside Potential]]), SnapshotTable[[#This Row],[SC Upside Potential]] &gt; 0),(SnapshotTable[[#This Row],[SC Upside Potential]]/ SnapshotTable[[#This Row],[ACB]]),"")</f>
        <v>#VALUE!</v>
      </c>
      <c r="FU61" s="333" t="str">
        <f>IF(SnapshotTable[[#This Row],[SC Intrinsic Value]] &gt; 0,SnapshotTable[[#This Row],[SC Intrinsic Value]],"")</f>
        <v/>
      </c>
      <c r="FV61" s="27" t="str">
        <f>IF(AND( ISNUMBER( SnapshotTable[[#This Row],[ACB]]),ISNUMBER(SnapshotTable[[#This Row],[SC Downside Protect]])),SnapshotTable[[#This Row],[SC Downside Protect]] / SnapshotTable[[#This Row],[ACB]],"")</f>
        <v/>
      </c>
      <c r="FW61" s="236" t="str">
        <f>IF(AND(ISNUMBER(SnapshotTable[[#This Row],[SC Simple ROO]]),SnapshotTable[[#This Row],[SC Simple ROO]] &gt; 0), SnapshotTable[[#This Row],[SC Premium]] + (SnapshotTable[[#This Row],[SC Qty]] * SnapshotTable[[#This Row],[SC Upside Potential]]), "")</f>
        <v/>
      </c>
      <c r="FX61" s="302" t="str" cm="1">
        <f t="array" ref="FX61">IF(ISNUMBER(SnapshotTable[[#This Row],[SC Max Dollars]]), annualize(SnapshotTable[[#This Row],[SC Term]],(SnapshotTable[[#This Row],[SC Max Dollars]]/SnapshotTable[[#This Row],[SC Basis]])),"")</f>
        <v/>
      </c>
      <c r="FY61" s="236" t="str">
        <f>IF(AND(SnapshotTable[[#This Row],[SC Qty]]&gt;0,SnapshotTable[[#This Row],[SC Current Ask]]&gt;0), SnapshotTable[[#This Row],[SC Qty]] * SnapshotTable[[#This Row],[SC Current Ask]] * -100, "")</f>
        <v/>
      </c>
      <c r="FZ61" s="31" t="str">
        <f>IF(ISNUMBER((SnapshotTable[[#This Row],[SC Current Value]])), SnapshotTable[[#This Row],[SC Premium]] + SnapshotTable[[#This Row],[SC Current Value]], "")</f>
        <v/>
      </c>
      <c r="GA61" s="294" t="str">
        <f>IFERROR( IF(ISNUMBER((SnapshotTable[[#This Row],[SC Current Value]])), SnapshotTable[[#This Row],[SC Gain Loss]] / SnapshotTable[[#This Row],[SC Premium]], ""), "")</f>
        <v/>
      </c>
      <c r="GB61" s="42">
        <f>SnapshotTable[[#This Row],[Equity Shares]] * SaleSharesToConsiderPercentage</f>
        <v>0</v>
      </c>
      <c r="GC61" s="40">
        <f>SnapshotTable[[#This Row],[Long Term Target]] * SellingPriceToConsiderBasedOnTargetPercentage</f>
        <v>26.581</v>
      </c>
      <c r="GD61" s="40">
        <f>SnapshotTable[[#This Row],[Last Price]] * (1+ SellingPriceToConsiderBasedOnTargetPercentage)</f>
        <v>84.474000000000004</v>
      </c>
      <c r="GE61" s="41"/>
      <c r="GF61" s="40"/>
      <c r="GG61" s="31">
        <f>SnapshotTable[[#This Row],[Booked Sale Shares]] * SnapshotTable[[#This Row],[Booked Sale Price]]</f>
        <v>0</v>
      </c>
      <c r="GH61" s="31" t="str">
        <f>IF(SnapshotTable[[#This Row],[Equity Basis Total]] &gt; 0, SnapshotTable[[#This Row],[Equity Basis Per Share]] * SnapshotTable[[#This Row],[Booked Sale Shares]], "")</f>
        <v/>
      </c>
      <c r="GI61" s="31">
        <f>IF(SnapshotTable[[#This Row],[Sale Proceeds]]&gt;0, SnapshotTable[[#This Row],[Sale Proceeds]] - SnapshotTable[[#This Row],[Sale Basis]], 0)</f>
        <v>0</v>
      </c>
      <c r="GJ61" s="27" t="str">
        <f>IF(SnapshotTable[[#This Row],[Sale G/L]]&gt;0, SnapshotTable[[#This Row],[Sale G/L]] / SnapshotTable[[#This Row],[Sale Basis]], IF(ISNUMBER(SnapshotTable[[#This Row],[SC Exercise P&amp;L (TAX)]]), SnapshotTable[[#This Row],[SC Exercise P&amp;L (TAX)]] / SnapshotTable[[#This Row],[SC Basis]], ""))</f>
        <v/>
      </c>
      <c r="GK61" s="27" t="s">
        <v>672</v>
      </c>
      <c r="GL61" s="43" t="str">
        <f>IF(AND(SnapshotTable[[#This Row],[LP Exp Date]]&gt;0,SnapshotTable[[#This Row],[LP Strike Price]]&gt;0), [1]!ToOptionSymbol(SnapshotTable[[#This Row],[Symbol]], SnapshotTable[[#This Row],[LP Strike Price]],SnapshotTable[[#This Row],[LP Exp Date]],1), "")</f>
        <v/>
      </c>
      <c r="GM61" s="30" t="str">
        <f>IF(LEN(SnapshotTable[[#This Row],[LP Symbol]])&gt;0, 1, "")</f>
        <v/>
      </c>
      <c r="GN61" s="43" t="str">
        <f>IF(AND(SnapshotTable[[#This Row],[SP Exp Date]]&gt;0,SnapshotTable[[#This Row],[SP Strike Price]]&gt;0), [1]!ToOptionSymbol(SnapshotTable[[#This Row],[Symbol]], SnapshotTable[[#This Row],[SP Strike Price]],SnapshotTable[[#This Row],[SP Exp Date]],1), "")</f>
        <v/>
      </c>
      <c r="GO61" s="30" t="str">
        <f>IF(LEN(SnapshotTable[[#This Row],[SP Symbol]])&gt;0, 1, "")</f>
        <v/>
      </c>
      <c r="GP61" s="43" t="str">
        <f>IF(AND(SnapshotTable[[#This Row],[LC Exp Date]]&gt;0,SnapshotTable[[#This Row],[LC Strike Price]]&gt;0), [1]!ToOptionSymbol(SnapshotTable[[#This Row],[Symbol]], SnapshotTable[[#This Row],[LC Strike Price]],SnapshotTable[[#This Row],[LC Exp Date]],0), "")</f>
        <v/>
      </c>
      <c r="GQ61" s="30" t="str">
        <f>IF(LEN(SnapshotTable[[#This Row],[LC Symbol]])&gt;0, 1, "")</f>
        <v/>
      </c>
      <c r="GR61" s="43" t="str">
        <f>IF(AND(SnapshotTable[[#This Row],[SC Exp Date]]&gt;0,SnapshotTable[[#This Row],[SC Strike Price]]&gt;0), [1]!ToOptionSymbol(SnapshotTable[[#This Row],[Symbol]], SnapshotTable[[#This Row],[SC Strike Price]],SnapshotTable[[#This Row],[SC Exp Date]],0), "")</f>
        <v/>
      </c>
      <c r="GS61" s="30" t="str">
        <f>IF(LEN(SnapshotTable[[#This Row],[SC Symbol]])&gt;0, 1, "")</f>
        <v/>
      </c>
      <c r="GT61" s="29" t="str">
        <f>IF(COUNT(SnapshotTable[[#This Row],[LP Symbol Count]],SnapshotTable[[#This Row],[SP Symbol Count]],SnapshotTable[[#This Row],[LC Symbol Count]],SnapshotTable[[#This Row],[SC Symbol Count]])&gt;0, "Y", "")</f>
        <v/>
      </c>
      <c r="GU6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1" s="231" t="e">
        <f>MAX(SnapshotTable[[#This Row],[Equity Basis Total]],SnapshotTable[[#This Row],[Equity Value]]) + (SnapshotTable[[#This Row],[SP Potential Spend]]- SnapshotTable[[#This Row],[SP Premium]] + SnapshotTable[[#This Row],[LP Premium]])+ (SnapshotTable[[#This Row],[LC Premium]] - SnapshotTable[[#This Row],[SC Premium]])</f>
        <v>#VALUE!</v>
      </c>
      <c r="GW61" s="139" t="e">
        <f>IF(AND(SnapshotTable[[#This Row],[Exposure]] &lt;&gt; 0),SnapshotTable[[#This Row],[Exposure]] / SnapshotTable[[#Totals],[Exposure]], "")</f>
        <v>#VALUE!</v>
      </c>
      <c r="GY61" s="381"/>
      <c r="HE61" s="268"/>
      <c r="HF61" s="268"/>
      <c r="HG61" s="381"/>
      <c r="HH61" s="381"/>
      <c r="HI61" s="381"/>
      <c r="HJ61" s="381"/>
    </row>
    <row r="62" spans="2:224" ht="12.75" hidden="1" customHeight="1" x14ac:dyDescent="0.25">
      <c r="B62" s="12" t="s">
        <v>952</v>
      </c>
      <c r="C62" s="422">
        <v>260.02</v>
      </c>
      <c r="D62" s="208" t="s">
        <v>586</v>
      </c>
      <c r="E62" s="39">
        <f>SnapshotTable[[#This Row],[Last Price]]*(1 -CrashDiscount)</f>
        <v>221.01699999999997</v>
      </c>
      <c r="F62" s="26" t="s">
        <v>953</v>
      </c>
      <c r="G62" s="325" t="s">
        <v>4</v>
      </c>
      <c r="H62" s="149"/>
      <c r="I62" s="194">
        <v>44774.333333333336</v>
      </c>
      <c r="J62" s="195">
        <v>44774.333333333336</v>
      </c>
      <c r="K62" s="196"/>
      <c r="L62" s="326"/>
      <c r="M62" s="140"/>
      <c r="N62" s="140"/>
      <c r="O62" s="140"/>
      <c r="P62" s="22"/>
      <c r="Q62" s="25"/>
      <c r="R62" s="4" t="str">
        <f>IF(SnapshotTable[[#This Row],[Equity Basis Total]] &gt; 0, SnapshotTable[[#This Row],[Equity Basis Total]] / SnapshotTable[[#This Row],[Equity Shares]], "")</f>
        <v/>
      </c>
      <c r="S62" s="269">
        <f>SnapshotTable[[#This Row],[Last Price]] * SnapshotTable[[#This Row],[Equity Shares]]</f>
        <v>0</v>
      </c>
      <c r="T62" s="269">
        <f>SnapshotTable[[#This Row],[Equity Value]] - SnapshotTable[[#This Row],[Equity Basis Total]]</f>
        <v>0</v>
      </c>
      <c r="U62" s="270" t="str">
        <f>IF(SnapshotTable[[#This Row],[Equity Basis Total]] &gt; 0, SnapshotTable[[#This Row],[Equity G/L]] / SnapshotTable[[#This Row],[Equity Basis Total]], "")</f>
        <v/>
      </c>
      <c r="V62" s="268"/>
      <c r="W62" s="268"/>
      <c r="X62" s="4" t="str">
        <f>IF(AND(ISNUMBER(SnapshotTable[[#This Row],[Equity Basis Per Share]]),ISNUMBER(SnapshotTable[[#This Row],[Equity Target]])),SnapshotTable[[#This Row],[Equity Target]]-SnapshotTable[[#This Row],[Equity Basis Per Share]],"")</f>
        <v/>
      </c>
      <c r="Y62" s="4" t="str">
        <f>IF(AND(ISNUMBER(SnapshotTable[[#This Row],[Equity Basis Per Share]]),ISNUMBER(SnapshotTable[[#This Row],[Equity Stop Loss]])),SnapshotTable[[#This Row],[Equity Stop Loss]]-SnapshotTable[[#This Row],[Equity Basis Per Share]],"")</f>
        <v/>
      </c>
      <c r="Z62" s="275" t="str">
        <f>IFERROR( TEXT(SnapshotTable[[#This Row],[Equity Max Gain Per Share]] /ABS( SnapshotTable[[#This Row],[Equity Max Loss Per Share]]),"0.0 " ) &amp; " : 1", "")</f>
        <v/>
      </c>
      <c r="AA62" s="31" t="str">
        <f>IF(ISNUMBER(SnapshotTable[[#This Row],[Equity Max Gain Per Share]]),SnapshotTable[[#This Row],[Equity Max Gain Per Share]] * SnapshotTable[[#This Row],[Equity Shares]],"")</f>
        <v/>
      </c>
      <c r="AB62" s="31" t="str">
        <f>IF(ISNUMBER(SnapshotTable[[#This Row],[Equity Max Loss Per Share]]),SnapshotTable[[#This Row],[Equity Max Loss Per Share]] * SnapshotTable[[#This Row],[Equity Shares]],"")</f>
        <v/>
      </c>
      <c r="AC62" s="150"/>
      <c r="AD62" s="151"/>
      <c r="AE62" s="31">
        <f>(SnapshotTable[[#This Row],[Annual Dividend Per Share]] / 4) * SnapshotTable[[#This Row],[Equity Shares]]</f>
        <v>0</v>
      </c>
      <c r="AF62" s="31">
        <f>SnapshotTable[[#This Row],[Quarterly Div $]] * 4</f>
        <v>0</v>
      </c>
      <c r="AG62" s="7">
        <f>IF(SnapshotTable[[#This Row],[Annual Dividend Per Share]]&gt;0, SnapshotTable[[#This Row],[Annual Dividend Per Share]]  / SnapshotTable[[#This Row],[Last Price]], 0)</f>
        <v>0</v>
      </c>
      <c r="AH62" s="151"/>
      <c r="AI62" s="5"/>
      <c r="AJ62" s="138">
        <v>260</v>
      </c>
      <c r="AK62" s="152" t="str">
        <f>IF(ISNUMBER( SnapshotTable[[#This Row],[EBF Target]]),(SnapshotTable[[#This Row],[EBF Target]] - SnapshotTable[[#This Row],[Last Price]]) / SnapshotTable[[#This Row],[Last Price]], "")</f>
        <v/>
      </c>
      <c r="AL62" s="152" t="str">
        <f>IF(AND(SnapshotTable[[#This Row],[Equity Basis Total]] &gt; 0,ISNUMBER( SnapshotTable[[#This Row],[Long Term Target]])), SnapshotTable[[#This Row],[From Basis $]] / SnapshotTable[[#This Row],[Equity Basis Total]], "")</f>
        <v/>
      </c>
      <c r="AM62" s="9">
        <f>IF( AND(SnapshotTable[[#This Row],[Equity Shares]] &gt;0,ISNUMBER( SnapshotTable[[#This Row],[Long Term Target]])),(SnapshotTable[[#This Row],[Equity Shares]] * SnapshotTable[[#This Row],[Long Term Target]]) - SnapshotTable[[#This Row],[Equity Basis Total]],0)</f>
        <v>0</v>
      </c>
      <c r="AN62" s="9">
        <f>IF( AND(SnapshotTable[[#This Row],[Equity Shares]] &gt;0,ISNUMBER( SnapshotTable[[#This Row],[Long Term Target]])),(SnapshotTable[[#This Row],[Equity Shares]]*SnapshotTable[[#This Row],[Long Term Target]]) - SnapshotTable[[#This Row],[Equity Value]],0)</f>
        <v>0</v>
      </c>
      <c r="AO62" s="152">
        <f>IF(AND(ISNUMBER( SnapshotTable[[#This Row],[Long Term Target]]), ISNUMBER(SnapshotTable[[#This Row],[Last Price]])),(SnapshotTable[[#This Row],[Long Term Target]] - SnapshotTable[[#This Row],[Last Price]]) / SnapshotTable[[#This Row],[Last Price]], "")</f>
        <v>-7.6917160218374791E-5</v>
      </c>
      <c r="AP62" s="5">
        <v>257.5</v>
      </c>
      <c r="AQ62" s="38" t="s">
        <v>27</v>
      </c>
      <c r="AR62" s="5">
        <v>257.5</v>
      </c>
      <c r="AS62" s="38" t="s">
        <v>38</v>
      </c>
      <c r="AT62" s="146" t="s">
        <v>542</v>
      </c>
      <c r="AU62" s="187" t="str">
        <f>IF(OR(SnapshotTable[[#This Row],[LP No Fill]]="Y",SnapshotTable[[#This Row],[SP Is Filled]],SnapshotTable[[#This Row],[LC Not Filled]]="Y",SnapshotTable[[#This Row],[SC Is Filled]]),"Y","")</f>
        <v/>
      </c>
      <c r="AV62" s="219"/>
      <c r="AW62" s="225"/>
      <c r="AX62" s="220"/>
      <c r="AY62" s="219" t="str">
        <f>IF(SnapshotTable[[#This Row],[Implied Move]]&gt;0, SnapshotTable[[#This Row],[Last Price]]-SnapshotTable[[#This Row],[Implied Move]],"")</f>
        <v/>
      </c>
      <c r="AZ62" s="219" t="str">
        <f>IF(SnapshotTable[[#This Row],[Implied Move]]&gt;0, SnapshotTable[[#This Row],[Last Price]] + SnapshotTable[[#This Row],[Implied Move]],"")</f>
        <v/>
      </c>
      <c r="BA62" s="331">
        <v>222.71</v>
      </c>
      <c r="BB62" s="347"/>
      <c r="BC6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2" s="351"/>
      <c r="BE62" s="5"/>
      <c r="BF62" s="14"/>
      <c r="BG62" s="13"/>
      <c r="BH62" s="13"/>
      <c r="BI62" s="5"/>
      <c r="BJ62" s="136">
        <f>IF(SnapshotTable[[#This Row],[LP Qty]] &gt; 0, SnapshotTable[[#This Row],[LP Qty]] * SnapshotTable[[#This Row],[LP Book Price]] * 100,0)</f>
        <v>0</v>
      </c>
      <c r="BK62" s="136">
        <f>IF(SnapshotTable[[#This Row],[LP Premium]] &gt; 0, SnapshotTable[[#This Row],[LP Qty]] * SnapshotTable[[#This Row],[LP Strike Price]] * 100,0)</f>
        <v>0</v>
      </c>
      <c r="BL62" s="154"/>
      <c r="BM62" s="385" t="str">
        <f>IF(SnapshotTable[[#This Row],[LP Premium]] &gt; 0,SnapshotTable[[#This Row],[LP Exp Date]]-MAX(SnapshotTable[[#This Row],[LP Book Date]], SnapshotTable[[#This Row],[LP Fill Date]]),"")</f>
        <v/>
      </c>
      <c r="BN62" s="385" t="str">
        <f>IF(ISNUMBER( SnapshotTable[[#This Row],[LP Term]]), SnapshotTable[[#This Row],[LP Exp Date]] - MockToday,"")</f>
        <v/>
      </c>
      <c r="BO62" s="163" t="str">
        <f>IF(AND(SnapshotTable[[#This Row],[LP Exp Date]]&gt;0, SnapshotTable[[#This Row],[LP Strike Price]]&gt;0,SnapshotTable[[#This Row],[LP Qty]]&gt;0,SnapshotTable[[#This Row],[LP Book Date]]&gt;0,SnapshotTable[[#This Row],[LP Book Price]]&gt;0,SnapshotTable[[#This Row],[LP Fill Date]]=0),"Y","")</f>
        <v/>
      </c>
      <c r="BP62" s="31" t="str">
        <f>IF(AND(SnapshotTable[[#This Row],[LP No Fill]]&lt;&gt;"Y",SnapshotTable[[#This Row],[LP Contract Value]]&gt;0, SnapshotTable[[#This Row],[LP Qty]]&gt;0), SnapshotTable[[#This Row],[LP Contract Value]]*SnapshotTable[[#This Row],[LP Qty]]*100,"")</f>
        <v/>
      </c>
      <c r="BQ62" s="13"/>
      <c r="BR62" s="5" t="str">
        <f>IF(SnapshotTable[[#This Row],[SP Exp Date]]&lt;&gt;"",TRUNC(SnapshotTable[[#This Row],[Last Price]]),"")</f>
        <v/>
      </c>
      <c r="BS62" s="36"/>
      <c r="BT62" s="147"/>
      <c r="BU62" s="13"/>
      <c r="BV62" s="5"/>
      <c r="BW62" s="419" t="b">
        <f>AND(ISNUMBER(SnapshotTable[[#This Row],[SP Exp Date]]), ISNUMBER(SnapshotTable[[#This Row],[SP Strike Price]]), ISNUMBER(SnapshotTable[[#This Row],[SP Qty]]), ISNUMBER(SnapshotTable[[#This Row],[SP Book Date]]), ISNUMBER(SnapshotTable[[#This Row],[SP Book Price]]))</f>
        <v>0</v>
      </c>
      <c r="BX62" s="419" t="b">
        <f>AND(SnapshotTable[[#This Row],[SP Is Booked]], NOT(ISBLANK(SnapshotTable[[#This Row],[SP Fill Date]])))</f>
        <v>0</v>
      </c>
      <c r="BY62" s="33">
        <f>IF(SnapshotTable[[#This Row],[SP Is Booked]], SnapshotTable[[#This Row],[SP Qty]] * SnapshotTable[[#This Row],[SP Book Price]] * 100, 0)</f>
        <v>0</v>
      </c>
      <c r="BZ62" s="369"/>
      <c r="CA62" s="368">
        <f>SnapshotTable[[#This Row],[LP Qty]]</f>
        <v>0</v>
      </c>
      <c r="CB62" s="4" t="str">
        <f>IF(SnapshotTable[[#This Row],[SP Is Booked]], SnapshotTable[[#This Row],[SP Strike Price]] - SnapshotTable[[#This Row],[SP Book Price]], "")</f>
        <v/>
      </c>
      <c r="CC62" s="19" t="str">
        <f>IF(SnapshotTable[[#This Row],[SP Is Booked]],SnapshotTable[[#This Row],[SP Exp Date]]-MAX(SnapshotTable[[#This Row],[SP Book Date]], SnapshotTable[[#This Row],[SP Fill Date]]),"")</f>
        <v/>
      </c>
      <c r="CD62" s="7" t="str">
        <f>IF(SnapshotTable[[#This Row],[SP Is Booked]], SnapshotTable[[#This Row],[SP Book Price]]/SnapshotTable[[#This Row],[SP Strike Price]], "")</f>
        <v/>
      </c>
      <c r="CE62" s="7" t="str">
        <f>IF(ISNUMBER(SnapshotTable[[#This Row],[SP ROO Term]]),SnapshotTable[[#This Row],[SP ROO Term]]*(365/SnapshotTable[[#This Row],[SP Term]]),"")</f>
        <v/>
      </c>
      <c r="CF62" s="236">
        <f>SnapshotTable[[#This Row],[LP Strike Price]] * SnapshotTable[[#This Row],[LP Qty]] * 100</f>
        <v>0</v>
      </c>
      <c r="CG62" s="31" t="e">
        <f>IF(ISNUMBER(SnapshotTable[[#This Row],[SP Premium]]), (SnapshotTable[[#This Row],[SP Qty]] * SnapshotTable[[#This Row],[SP Strike Price]]* 100) - SnapshotTable[[#This Row],[LP Protection]], 0)</f>
        <v>#VALUE!</v>
      </c>
      <c r="CH62" s="7" t="str">
        <f>IF(ISNUMBER(SnapshotTable[[#This Row],[SP Break Even]]),-1 * (SnapshotTable[[#This Row],[SP Break Even]] - SnapshotTable[[#This Row],[Last Price]]) / SnapshotTable[[#This Row],[Last Price]], "")</f>
        <v/>
      </c>
      <c r="CI62" s="31">
        <f>IF(AND(ISNUMBER((SnapshotTable[[#This Row],[SP Potential Spend]])), SnapshotTable[[#This Row],[SP Strike Price]] &gt; SnapshotTable[[#This Row],[Last Price]], SnapshotTable[[#This Row],[SP Is Filled]]), SnapshotTable[[#This Row],[SP Potential Spend]] -  SnapshotTable[[#This Row],[LP Max Value]], 0)</f>
        <v>0</v>
      </c>
      <c r="CJ62" s="244"/>
      <c r="CK62" s="31" t="str">
        <f>IF(ISNUMBER(SnapshotTable[[#This Row],[SP Potential Spend]]),IF(ISNUMBER(SnapshotTable[[#This Row],[SP POW]]), SnapshotTable[[#This Row],[SP POW]] * SnapshotTable[[#This Row],[SP Potential Spend]], SnapshotTable[[#This Row],[SP Potential Spend]]), "")</f>
        <v/>
      </c>
      <c r="CL62" s="164" t="e">
        <f>IF(NOT(SnapshotTable[[#This Row],[SP Is Filled]]),(SnapshotTable[[#This Row],[SP Qty]] * SnapshotTable[[#This Row],[SP Strike Price]] * 100) - SnapshotTable[[#This Row],[LP Max Value]],"")</f>
        <v>#VALUE!</v>
      </c>
      <c r="CM62" s="31" t="str">
        <f>IF(SnapshotTable[[#This Row],[SP Actual Spend]]&lt;&gt;0, ((SnapshotTable[[#This Row],[SP Strike Price]]-SnapshotTable[[#This Row],[Last Price]]) *(SnapshotTable[[#This Row],[SP Qty]]*100) - SnapshotTable[[#This Row],[SP Premium]]) * - 1, "")</f>
        <v/>
      </c>
      <c r="CN62" s="218"/>
      <c r="CO62" s="369"/>
      <c r="CP62" s="4" t="str">
        <f>IF(SnapshotTable[[#This Row],[SP Is Filled]], btc_max_buyback_amount(SnapshotTable[[#This Row],[SP Fill Date]],SnapshotTable[[#This Row],[SP Exp Date]], SnapshotTable[[#This Row],[SP Book Price]]),"")</f>
        <v/>
      </c>
      <c r="CQ62" s="78"/>
      <c r="CR6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2" s="155" t="str">
        <f>IF(SnapshotTable[[#This Row],[SP Is Filled]], btc_next_cutoff_date(SnapshotTable[[#This Row],[SP Fill Date]],SnapshotTable[[#This Row],[SP Exp Date]]),"")</f>
        <v/>
      </c>
      <c r="CT62" s="235" t="str" cm="1">
        <f t="array" ref="CT62">IF(SnapshotTable[[#This Row],[SP Is Filled]], btc_should_buy_back(SnapshotTable[[#This Row],[SP Fill Date]], SnapshotTable[[#This Row],[SP Exp Date]], SnapshotTable[[#This Row],[SP Book Price]], SnapshotTable[[#This Row],[SP Current Ask]], MockToday, SnapshotTable[[#This Row],[SP Buyback Override]]),"")</f>
        <v/>
      </c>
      <c r="CU62" s="143">
        <v>44205</v>
      </c>
      <c r="CV62" s="235"/>
      <c r="CW62" s="378" t="str">
        <f>IF(ISNUMBER( SnapshotTable[[#This Row],[SP Term]]), SnapshotTable[[#This Row],[SP Exp Date]] - MockToday,"")</f>
        <v/>
      </c>
      <c r="CX62" s="31" t="str">
        <f>IF(SnapshotTable[[#This Row],[SP Is Filled]],SnapshotTable[[#This Row],[SP Buyback Price to Use]] * 100 * SnapshotTable[[#This Row],[SP Qty]], "")</f>
        <v/>
      </c>
      <c r="CY62" s="4" t="str">
        <f>IF(ISNUMBER(SnapshotTable[[#This Row],[SP Strike Price]]), SnapshotTable[[#This Row],[SP Strike Price]] * (1 - SP_MaxLoss_StrikePct), "")</f>
        <v/>
      </c>
      <c r="CZ62" s="31" t="str">
        <f>IF(ISNUMBER(SnapshotTable[[#This Row],[SP Strike  Stop Per Share]]),SnapshotTable[[#This Row],[SP Premium]] - ((SnapshotTable[[#This Row],[SP Strike Price]]-SnapshotTable[[#This Row],[SP Strike  Stop Per Share]]) *(SnapshotTable[[#This Row],[SP Qty]] * 100)),"")</f>
        <v/>
      </c>
      <c r="DA62" s="4" t="str">
        <f>IF(AND(ISNUMBER(SnapshotTable[[#This Row],[SP Premium]]),SnapshotTable[[#This Row],[SP Premium]]&gt;0), SnapshotTable[[#This Row],[SP Book Price]] * (1 + SP_MaxLoss_OptionPct), "")</f>
        <v/>
      </c>
      <c r="DB62" s="31" t="str">
        <f>IF(ISNUMBER(SnapshotTable[[#This Row],[SP Option  Stop Contract]]),(SnapshotTable[[#This Row],[SP Option  Stop Contract]] *(SnapshotTable[[#This Row],[SP Qty]] * 100) - SnapshotTable[[#This Row],[SP Premium]]),"")</f>
        <v/>
      </c>
      <c r="DC62" s="4"/>
      <c r="DD62" s="4"/>
      <c r="DE62" s="4" t="str">
        <f>IF(AND(SnapshotTable[[#This Row],[SP Qty]]&gt;0, SnapshotTable[[#This Row],[SP Stop To Use]]&gt;0),SnapshotTable[[#This Row],[SP Premium]] - ( SnapshotTable[[#This Row],[SP Qty]] * SnapshotTable[[#This Row],[SP Stop To Use]] * 100), "")</f>
        <v/>
      </c>
      <c r="DF62" s="31" t="str">
        <f>IF(AND(SnapshotTable[[#This Row],[SP Qty]]&gt;0,SnapshotTable[[#This Row],[SP Current Ask]]&gt;0), SnapshotTable[[#This Row],[SP Qty]] * SnapshotTable[[#This Row],[SP Current Ask]] * -100, "")</f>
        <v/>
      </c>
      <c r="DG62" s="31" t="str">
        <f>IF(ISNUMBER((SnapshotTable[[#This Row],[SP Total Value]])), SnapshotTable[[#This Row],[SP Premium]] + SnapshotTable[[#This Row],[SP Total Value]], "")</f>
        <v/>
      </c>
      <c r="DH62" s="294" t="str">
        <f>IF(ISNUMBER((SnapshotTable[[#This Row],[SP Total Value]])), SnapshotTable[[#This Row],[SP Gain Loss]] / SnapshotTable[[#This Row],[SP Premium]], "")</f>
        <v/>
      </c>
      <c r="DI62" s="406"/>
      <c r="DJ62" s="138"/>
      <c r="DK62" s="148"/>
      <c r="DL62" s="13"/>
      <c r="DM62" s="13"/>
      <c r="DO62" s="31">
        <f>IF(SnapshotTable[[#This Row],[LC Symbol Count]]=1, SnapshotTable[[#This Row],[LC Qty]] * SnapshotTable[[#This Row],[LC Book Price]] * 100, 0)</f>
        <v>0</v>
      </c>
      <c r="DP62" s="163" t="str">
        <f>IF(AND(SnapshotTable[[#This Row],[LC Exp Date]]&gt;0, SnapshotTable[[#This Row],[LC Strike Price]]&gt;0,SnapshotTable[[#This Row],[LC Qty]]&gt;0,SnapshotTable[[#This Row],[LC Book Date]]&gt;0,SnapshotTable[[#This Row],[LC Book Price]]&gt;0,SnapshotTable[[#This Row],[LC Fill Date]]=0),"Y","")</f>
        <v/>
      </c>
      <c r="DQ62" s="386" t="str">
        <f>IF(SnapshotTable[[#This Row],[LC Premium]] &gt; 0,SnapshotTable[[#This Row],[LC Exp Date]]-MAX(SnapshotTable[[#This Row],[LC Book Date]], SnapshotTable[[#This Row],[LC Fill Date]]),"")</f>
        <v/>
      </c>
      <c r="DR62" s="386" t="str">
        <f>IF(ISNUMBER(SnapshotTable[[#This Row],[LC Term]]), SnapshotTable[[#This Row],[LC Exp Date]] - MockToday, "")</f>
        <v/>
      </c>
      <c r="DS62" s="234" t="str">
        <f>IF(SnapshotTable[[#This Row],[LC Premium]]&gt;0,SnapshotTable[[#This Row],[LC Strike Price]] + SnapshotTable[[#This Row],[LC Book Price]],"")</f>
        <v/>
      </c>
      <c r="DU62" s="9" t="str">
        <f>IF(AND(SnapshotTable[[#This Row],[LC Symbol Count]]&gt;0, SnapshotTable[[#This Row],[LC Contract Value]]&gt;0), SnapshotTable[[#This Row],[LC Contract Value]] * SnapshotTable[[#This Row],[LC Qty]] * 100, "")</f>
        <v/>
      </c>
      <c r="DV62" s="9" t="str">
        <f>IF(AND(ISNUMBER(SnapshotTable[[#This Row],[LC Total Value]]), SnapshotTable[[#This Row],[LC Not Filled]]&lt;&gt;"Y"), SnapshotTable[[#This Row],[LC Total Value]]-SnapshotTable[[#This Row],[LC Premium]],"")</f>
        <v/>
      </c>
      <c r="DW62" s="240" t="str">
        <f>IF(ISNUMBER(SnapshotTable[[#This Row],[LC Actual Gain Loss]]), SnapshotTable[[#This Row],[LC Actual Gain Loss]] / SnapshotTable[[#This Row],[LC Premium]],"")</f>
        <v/>
      </c>
      <c r="DX62" s="284" t="str">
        <f>IF(ISNUMBER(SnapshotTable[[#This Row],[LC Book Price]]),SnapshotTable[[#This Row],[LC Book Price]] * 1.5,"")</f>
        <v/>
      </c>
      <c r="DY62" s="265" t="str">
        <f>IF(SnapshotTable[[#This Row],[LC Premium]]&gt;0, SnapshotTable[[#This Row],[LC Next Target]] * SnapshotTable[[#This Row],[LC Qty]] * 100,"")</f>
        <v/>
      </c>
      <c r="DZ62" s="265" t="str">
        <f>IF(ISNUMBER(SnapshotTable[[#This Row],[LC Target Gross]]), SnapshotTable[[#This Row],[LC Target Gross]] - SnapshotTable[[#This Row],[LC Premium]], "")</f>
        <v/>
      </c>
      <c r="EA62" s="305" t="str">
        <f>IF(ISNUMBER(SnapshotTable[[#This Row],[LC Target Gain Loss]]), SnapshotTable[[#This Row],[LC Target Gain Loss]]/SnapshotTable[[#This Row],[LC Premium]], "")</f>
        <v/>
      </c>
      <c r="EB62" s="262"/>
      <c r="EC62" s="283" t="str">
        <f>IF(SnapshotTable[[#This Row],[LC Premium]]&gt;0, SnapshotTable[[#This Row],[LC Book Price]] * (1 - LC_StopLoss_Pct),"")</f>
        <v/>
      </c>
      <c r="ED62" s="284"/>
      <c r="EE62" s="283" t="str">
        <f>IF(ISNUMBER(SnapshotTable[[#This Row],[LC Contract Value]]),IF(ISNUMBER(SnapshotTable[[#This Row],[LC Stop Loss Override]]), SnapshotTable[[#This Row],[LC Stop Loss Override]],SnapshotTable[[#This Row],[LC Stop Loss Calc Target]]),"")</f>
        <v/>
      </c>
      <c r="EF62" s="31" t="str">
        <f>IF(ISNUMBER(SnapshotTable[[#This Row],[LC Stop  To Use]]), (SnapshotTable[[#This Row],[LC Stop  To Use]] * SnapshotTable[[#This Row],[LC Qty]] * 100),"")</f>
        <v/>
      </c>
      <c r="EG62" s="9" t="str">
        <f>IF(ISNUMBER(SnapshotTable[[#This Row],[LC Total Value]]),SnapshotTable[[#This Row],[LC Stop Loss Amount]] - SnapshotTable[[#This Row],[LC Premium]],"")</f>
        <v/>
      </c>
      <c r="EH62" s="9">
        <f>IF(ISNUMBER(SnapshotTable[[#This Row],[LC Premium]]), SnapshotTable[[#This Row],[LC Qty]] * 100 * SnapshotTable[[#This Row],[LC Strike Price]], "")</f>
        <v>0</v>
      </c>
      <c r="EI62" s="240" t="str">
        <f>IF(AND(ISNUMBER(SnapshotTable[[#This Row],[LC Total Value]]),SnapshotTable[[#This Row],[LC Total Value]]&gt;0),SnapshotTable[[#This Row],[LC Stop Gain Loss]]  / SnapshotTable[[#This Row],[LC Premium]],"")</f>
        <v/>
      </c>
      <c r="EJ62" s="35">
        <f>IF(ISNUMBER(SnapshotTable[[#This Row],[Equity Shares]]),TRUNC(SnapshotTable[[#This Row],[Equity Shares]] / 100),0) + SnapshotTable[[#This Row],[LC Qty]]</f>
        <v>0</v>
      </c>
      <c r="EK62" s="147"/>
      <c r="EL62" s="138" t="str">
        <f>IF(SnapshotTable[[#This Row],[SC Exp Date]]&lt;&gt;"",TRUNC(SnapshotTable[[#This Row],[Last Price]]),"")</f>
        <v/>
      </c>
      <c r="EM62" s="148"/>
      <c r="EN62" s="147"/>
      <c r="EO62" s="147"/>
      <c r="EP62" s="138"/>
      <c r="EQ62" s="419" t="b">
        <f>AND(ISNUMBER(SnapshotTable[[#This Row],[SC Exp Date]]), ISNUMBER(SnapshotTable[[#This Row],[SC Strike Price]]), ISNUMBER(SnapshotTable[[#This Row],[SC Qty]]), ISNUMBER(SnapshotTable[[#This Row],[SC Book Date]]), ISNUMBER(SnapshotTable[[#This Row],[SC Book Price]]))</f>
        <v>0</v>
      </c>
      <c r="ER62" s="419" t="b">
        <f>AND(SnapshotTable[[#This Row],[SC Is Booked]], NOT(ISBLANK(SnapshotTable[[#This Row],[SC Fill Date]])))</f>
        <v>0</v>
      </c>
      <c r="ES62" s="370"/>
      <c r="ET62" s="34" t="str">
        <f>IF(AND(ISNUMBER(SnapshotTable[[#This Row],[SC Exp Date]]), ISNUMBER(SnapshotTable[[#This Row],[SC Book Date]])), SnapshotTable[[#This Row],[SC Exp Date]] - MAX(SnapshotTable[[#This Row],[SC Book Date]], SnapshotTable[[#This Row],[SC Fill Date]]) + 1, "")</f>
        <v/>
      </c>
      <c r="EU62" s="34" t="str">
        <f>IF(ISNUMBER(SnapshotTable[[#This Row],[SC Term]]), SnapshotTable[[#This Row],[SC Exp Date]]- MockToday, "")</f>
        <v/>
      </c>
      <c r="EV62" s="31">
        <f>IF(SnapshotTable[[#This Row],[SC Is Booked]], SnapshotTable[[#This Row],[SC Qty]] * SnapshotTable[[#This Row],[SC Book Price]] * 100, 0)</f>
        <v>0</v>
      </c>
      <c r="EW62" s="4" t="str">
        <f>IF(AND(ISNUMBER(SnapshotTable[[#This Row],[Last Price]]), ISNUMBER( SnapshotTable[[#This Row],[SC Book Price]])), SnapshotTable[[#This Row],[Last Price]] - SnapshotTable[[#This Row],[SC Book Price]],"")</f>
        <v/>
      </c>
      <c r="EX62" s="234" t="str">
        <f>IF(SnapshotTable[[#This Row],[SC Is Booked]],IF(SnapshotTable[[#This Row],[SC Intrinsic Value]] &gt; 0, SnapshotTable[[#This Row],[SC Strike Price]], SnapshotTable[[#This Row],[Last Price]]), "")</f>
        <v/>
      </c>
      <c r="EY62" s="4">
        <f>IF(SnapshotTable[[#This Row],[SC Is Booked]], (MinimumPremiumRequired * SnapshotTable[[#This Row],[SC Basis]] * SnapshotTable[[#This Row],[SC Term]]), 0)</f>
        <v>0</v>
      </c>
      <c r="EZ62" s="283"/>
      <c r="FA62" s="218"/>
      <c r="FB62" s="370"/>
      <c r="FC62" s="4">
        <f>IF(SnapshotTable[[#This Row],[SC Is Filled]], btc_max_buyback_amount(SnapshotTable[[#This Row],[SC Fill Date]],SnapshotTable[[#This Row],[SC Exp Date]], SnapshotTable[[#This Row],[SC Book Price]]),0)</f>
        <v>0</v>
      </c>
      <c r="FD62" s="5"/>
      <c r="FE62" s="144" t="str">
        <f>IF(SnapshotTable[[#This Row],[SC Is Filled]], btc_next_cutoff_date(SnapshotTable[[#This Row],[SC Fill Date]],SnapshotTable[[#This Row],[SC Exp Date]]),"")</f>
        <v/>
      </c>
      <c r="FF62" s="4" t="str" cm="1">
        <f t="array" ref="FF62">IF(SnapshotTable[[#This Row],[SC Is Filled]], btc_should_buy_back(SnapshotTable[[#This Row],[SC Fill Date]], SnapshotTable[[#This Row],[SC Exp Date]], SnapshotTable[[#This Row],[SC Book Price]], SnapshotTable[[#This Row],[SC Current Ask]], MockToday, SnapshotTable[[#This Row],[SC Buyback Override]]),"")</f>
        <v/>
      </c>
      <c r="FG62" s="4">
        <f>IF(SnapshotTable[[#This Row],[SC Is Filled]], MAX(0,SnapshotTable[[#This Row],[Last Price]]  - SnapshotTable[[#This Row],[SC Strike Price]]), 0)</f>
        <v>0</v>
      </c>
      <c r="FH62" s="382">
        <f>IF(SnapshotTable[[#This Row],[SC Is Filled]], IF(ISNUMBER(SnapshotTable[[#This Row],[SC Current Ask]]), SnapshotTable[[#This Row],[SC Current Ask]], SnapshotTable[[#This Row],[SC Book Price]]) - SnapshotTable[[#This Row],[SC Intrinsic Value]], 0)</f>
        <v>0</v>
      </c>
      <c r="FI62" s="143"/>
      <c r="FJ62" s="32" t="str">
        <f>IF(SnapshotTable[[#This Row],[SC Is Filled]],100 * SnapshotTable[[#This Row],[SC Qty]] * IF(ISNUMBER(SnapshotTable[[#This Row],[SC Buyback Override]]), SnapshotTable[[#This Row],[SC Buyback Override]], SnapshotTable[[#This Row],[SC Current Ask]]), "")</f>
        <v/>
      </c>
      <c r="FK62" s="250" t="str">
        <f>IF(SnapshotTable[[#This Row],[SC Time Val]]&gt;0, SnapshotTable[[#This Row],[SC Time Val]] / SnapshotTable[[#This Row],[Last Price]],"")</f>
        <v/>
      </c>
      <c r="FL62" s="302" t="str">
        <f>IF(SnapshotTable[[#This Row],[SC Is Booked]], ((SnapshotTable[[#This Row],[Last Price]] -SnapshotTable[[#This Row],[SC Strike Price]]) / SnapshotTable[[#This Row],[Last Price]]) * -1, "")</f>
        <v/>
      </c>
      <c r="FM62" s="157" t="str">
        <f>IF(SnapshotTable[[#This Row],[SC Is Booked]],  (SnapshotTable[[#This Row],[SC Qty]] * 100 * SnapshotTable[[#This Row],[SC Strike Price]]) - SnapshotTable[[#This Row],[SC Current Ask]], "")</f>
        <v/>
      </c>
      <c r="FN6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2" s="31" t="str">
        <f>IF(AND(ISNUMBER(SnapshotTable[[#This Row],[SC Exercise Gross]]), ISNUMBER(SnapshotTable[[#This Row],[Equity Basis Per Share]] )), SnapshotTable[[#This Row],[SC Exercise Gross]] - SnapshotTable[[#This Row],[Equity Basis Total]] +  SnapshotTable[[#This Row],[SC Premium]], "")</f>
        <v/>
      </c>
      <c r="FP62" s="5" t="str">
        <f>IF(ISNUMBER(SnapshotTable[[#This Row],[SC Exercise Gross]]), (SnapshotTable[[#This Row],[SC Exercise Gross]]) / (SnapshotTable[[#This Row],[SC Qty]] * 100), "")</f>
        <v/>
      </c>
      <c r="FQ62" s="27" t="str">
        <f>IF(SnapshotTable[[#This Row],[SC Is Booked]],SnapshotTable[[#This Row],[SC Time Val]] /SnapshotTable[[#This Row],[SC Basis]], "")</f>
        <v/>
      </c>
      <c r="FR62" s="27" t="str" cm="1">
        <f t="array" ref="FR62">IF(AND(ISNUMBER(SnapshotTable[[#This Row],[SC Term]]),ISNUMBER(SnapshotTable[[#This Row],[SC Simple ROO]])), EllmanAnnualize(SnapshotTable[[#This Row],[SC DTE]], SnapshotTable[[#This Row],[SC Simple ROO]] ),"")</f>
        <v/>
      </c>
      <c r="FS62" s="4" t="e">
        <f>IF(SnapshotTable[[#This Row],[SC Strike Price]] &gt; SnapshotTable[[#This Row],[Last Price]], SnapshotTable[[#This Row],[SC Strike Price]] - SnapshotTable[[#This Row],[Last Price]],0)</f>
        <v>#VALUE!</v>
      </c>
      <c r="FT62" s="27" t="e">
        <f>IF(AND(ISNUMBER(SnapshotTable[[#This Row],[SC Upside Potential]]), SnapshotTable[[#This Row],[SC Upside Potential]] &gt; 0),(SnapshotTable[[#This Row],[SC Upside Potential]]/ SnapshotTable[[#This Row],[ACB]]),"")</f>
        <v>#VALUE!</v>
      </c>
      <c r="FU62" s="333" t="str">
        <f>IF(SnapshotTable[[#This Row],[SC Intrinsic Value]] &gt; 0,SnapshotTable[[#This Row],[SC Intrinsic Value]],"")</f>
        <v/>
      </c>
      <c r="FV62" s="27" t="str">
        <f>IF(AND( ISNUMBER( SnapshotTable[[#This Row],[ACB]]),ISNUMBER(SnapshotTable[[#This Row],[SC Downside Protect]])),SnapshotTable[[#This Row],[SC Downside Protect]] / SnapshotTable[[#This Row],[ACB]],"")</f>
        <v/>
      </c>
      <c r="FW62" s="236" t="str">
        <f>IF(AND(ISNUMBER(SnapshotTable[[#This Row],[SC Simple ROO]]),SnapshotTable[[#This Row],[SC Simple ROO]] &gt; 0), SnapshotTable[[#This Row],[SC Premium]] + (SnapshotTable[[#This Row],[SC Qty]] * SnapshotTable[[#This Row],[SC Upside Potential]]), "")</f>
        <v/>
      </c>
      <c r="FX62" s="302" t="str" cm="1">
        <f t="array" ref="FX62">IF(ISNUMBER(SnapshotTable[[#This Row],[SC Max Dollars]]), annualize(SnapshotTable[[#This Row],[SC Term]],(SnapshotTable[[#This Row],[SC Max Dollars]]/SnapshotTable[[#This Row],[SC Basis]])),"")</f>
        <v/>
      </c>
      <c r="FY62" s="236" t="str">
        <f>IF(AND(SnapshotTable[[#This Row],[SC Qty]]&gt;0,SnapshotTable[[#This Row],[SC Current Ask]]&gt;0), SnapshotTable[[#This Row],[SC Qty]] * SnapshotTable[[#This Row],[SC Current Ask]] * -100, "")</f>
        <v/>
      </c>
      <c r="FZ62" s="31" t="str">
        <f>IF(ISNUMBER((SnapshotTable[[#This Row],[SC Current Value]])), SnapshotTable[[#This Row],[SC Premium]] + SnapshotTable[[#This Row],[SC Current Value]], "")</f>
        <v/>
      </c>
      <c r="GA62" s="294" t="str">
        <f>IFERROR( IF(ISNUMBER((SnapshotTable[[#This Row],[SC Current Value]])), SnapshotTable[[#This Row],[SC Gain Loss]] / SnapshotTable[[#This Row],[SC Premium]], ""), "")</f>
        <v/>
      </c>
      <c r="GB62" s="42">
        <f>SnapshotTable[[#This Row],[Equity Shares]] * SaleSharesToConsiderPercentage</f>
        <v>0</v>
      </c>
      <c r="GC62" s="40">
        <f>SnapshotTable[[#This Row],[Long Term Target]] * SellingPriceToConsiderBasedOnTargetPercentage</f>
        <v>247</v>
      </c>
      <c r="GD62" s="40">
        <f>SnapshotTable[[#This Row],[Last Price]] * (1+ SellingPriceToConsiderBasedOnTargetPercentage)</f>
        <v>507.03899999999993</v>
      </c>
      <c r="GE62" s="41"/>
      <c r="GF62" s="40"/>
      <c r="GG62" s="31">
        <f>SnapshotTable[[#This Row],[Booked Sale Shares]] * SnapshotTable[[#This Row],[Booked Sale Price]]</f>
        <v>0</v>
      </c>
      <c r="GH62" s="31" t="str">
        <f>IF(SnapshotTable[[#This Row],[Equity Basis Total]] &gt; 0, SnapshotTable[[#This Row],[Equity Basis Per Share]] * SnapshotTable[[#This Row],[Booked Sale Shares]], "")</f>
        <v/>
      </c>
      <c r="GI62" s="31">
        <f>IF(SnapshotTable[[#This Row],[Sale Proceeds]]&gt;0, SnapshotTable[[#This Row],[Sale Proceeds]] - SnapshotTable[[#This Row],[Sale Basis]], 0)</f>
        <v>0</v>
      </c>
      <c r="GJ62" s="27" t="str">
        <f>IF(SnapshotTable[[#This Row],[Sale G/L]]&gt;0, SnapshotTable[[#This Row],[Sale G/L]] / SnapshotTable[[#This Row],[Sale Basis]], IF(ISNUMBER(SnapshotTable[[#This Row],[SC Exercise P&amp;L (TAX)]]), SnapshotTable[[#This Row],[SC Exercise P&amp;L (TAX)]] / SnapshotTable[[#This Row],[SC Basis]], ""))</f>
        <v/>
      </c>
      <c r="GK62" s="27"/>
      <c r="GL62" s="43" t="str">
        <f>IF(AND(SnapshotTable[[#This Row],[LP Exp Date]]&gt;0,SnapshotTable[[#This Row],[LP Strike Price]]&gt;0), [1]!ToOptionSymbol(SnapshotTable[[#This Row],[Symbol]], SnapshotTable[[#This Row],[LP Strike Price]],SnapshotTable[[#This Row],[LP Exp Date]],1), "")</f>
        <v/>
      </c>
      <c r="GM62" s="30" t="str">
        <f>IF(LEN(SnapshotTable[[#This Row],[LP Symbol]])&gt;0, 1, "")</f>
        <v/>
      </c>
      <c r="GN62" s="43" t="str">
        <f>IF(AND(SnapshotTable[[#This Row],[SP Exp Date]]&gt;0,SnapshotTable[[#This Row],[SP Strike Price]]&gt;0), [1]!ToOptionSymbol(SnapshotTable[[#This Row],[Symbol]], SnapshotTable[[#This Row],[SP Strike Price]],SnapshotTable[[#This Row],[SP Exp Date]],1), "")</f>
        <v/>
      </c>
      <c r="GO62" s="30" t="str">
        <f>IF(LEN(SnapshotTable[[#This Row],[SP Symbol]])&gt;0, 1, "")</f>
        <v/>
      </c>
      <c r="GP62" s="43" t="str">
        <f>IF(AND(SnapshotTable[[#This Row],[LC Exp Date]]&gt;0,SnapshotTable[[#This Row],[LC Strike Price]]&gt;0), [1]!ToOptionSymbol(SnapshotTable[[#This Row],[Symbol]], SnapshotTable[[#This Row],[LC Strike Price]],SnapshotTable[[#This Row],[LC Exp Date]],0), "")</f>
        <v/>
      </c>
      <c r="GQ62" s="30" t="str">
        <f>IF(LEN(SnapshotTable[[#This Row],[LC Symbol]])&gt;0, 1, "")</f>
        <v/>
      </c>
      <c r="GR62" s="43" t="str">
        <f>IF(AND(SnapshotTable[[#This Row],[SC Exp Date]]&gt;0,SnapshotTable[[#This Row],[SC Strike Price]]&gt;0), [1]!ToOptionSymbol(SnapshotTable[[#This Row],[Symbol]], SnapshotTable[[#This Row],[SC Strike Price]],SnapshotTable[[#This Row],[SC Exp Date]],0), "")</f>
        <v/>
      </c>
      <c r="GS62" s="30" t="str">
        <f>IF(LEN(SnapshotTable[[#This Row],[SC Symbol]])&gt;0, 1, "")</f>
        <v/>
      </c>
      <c r="GT62" s="29" t="str">
        <f>IF(COUNT(SnapshotTable[[#This Row],[LP Symbol Count]],SnapshotTable[[#This Row],[SP Symbol Count]],SnapshotTable[[#This Row],[LC Symbol Count]],SnapshotTable[[#This Row],[SC Symbol Count]])&gt;0, "Y", "")</f>
        <v/>
      </c>
      <c r="GU6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2" s="231" t="e">
        <f>MAX(SnapshotTable[[#This Row],[Equity Basis Total]],SnapshotTable[[#This Row],[Equity Value]]) + (SnapshotTable[[#This Row],[SP Potential Spend]]- SnapshotTable[[#This Row],[SP Premium]] + SnapshotTable[[#This Row],[LP Premium]])+ (SnapshotTable[[#This Row],[LC Premium]] - SnapshotTable[[#This Row],[SC Premium]])</f>
        <v>#VALUE!</v>
      </c>
      <c r="GW62" s="139" t="e">
        <f>IF(AND(SnapshotTable[[#This Row],[Exposure]] &lt;&gt; 0),SnapshotTable[[#This Row],[Exposure]] / SnapshotTable[[#Totals],[Exposure]], "")</f>
        <v>#VALUE!</v>
      </c>
      <c r="HE62" s="268"/>
      <c r="HF62" s="268"/>
      <c r="HK62" s="1"/>
      <c r="HL62" s="1"/>
      <c r="HM62" s="1"/>
      <c r="HN62" s="1"/>
      <c r="HO62" s="1"/>
      <c r="HP62" s="1"/>
    </row>
    <row r="63" spans="2:224" s="47" customFormat="1" ht="12.75" hidden="1" customHeight="1" x14ac:dyDescent="0.25">
      <c r="B63" s="12" t="s">
        <v>537</v>
      </c>
      <c r="C63" s="422">
        <v>31.59</v>
      </c>
      <c r="D63" s="208"/>
      <c r="E63" s="39">
        <f>SnapshotTable[[#This Row],[Last Price]]*(1 -CrashDiscount)</f>
        <v>26.851499999999998</v>
      </c>
      <c r="F63" s="26" t="s">
        <v>243</v>
      </c>
      <c r="G63" s="26" t="s">
        <v>9</v>
      </c>
      <c r="H63" s="149"/>
      <c r="I63" s="194">
        <v>44774.333333333336</v>
      </c>
      <c r="J63" s="195">
        <v>44774.333333333336</v>
      </c>
      <c r="K63" s="196"/>
      <c r="L63" s="326"/>
      <c r="M63" s="140"/>
      <c r="N63" s="140"/>
      <c r="O63" s="140"/>
      <c r="P63" s="22"/>
      <c r="Q63" s="25"/>
      <c r="R63" s="4" t="str">
        <f>IF(SnapshotTable[[#This Row],[Equity Basis Total]] &gt; 0, SnapshotTable[[#This Row],[Equity Basis Total]] / SnapshotTable[[#This Row],[Equity Shares]], "")</f>
        <v/>
      </c>
      <c r="S63" s="269">
        <f>SnapshotTable[[#This Row],[Last Price]] * SnapshotTable[[#This Row],[Equity Shares]]</f>
        <v>0</v>
      </c>
      <c r="T63" s="269">
        <f>SnapshotTable[[#This Row],[Equity Value]] - SnapshotTable[[#This Row],[Equity Basis Total]]</f>
        <v>0</v>
      </c>
      <c r="U63" s="270" t="str">
        <f>IF(SnapshotTable[[#This Row],[Equity Basis Total]] &gt; 0, SnapshotTable[[#This Row],[Equity G/L]] / SnapshotTable[[#This Row],[Equity Basis Total]], "")</f>
        <v/>
      </c>
      <c r="V63" s="268"/>
      <c r="W63" s="268"/>
      <c r="X63" s="4" t="str">
        <f>IF(AND(ISNUMBER(SnapshotTable[[#This Row],[Equity Basis Per Share]]),ISNUMBER(SnapshotTable[[#This Row],[Equity Target]])),SnapshotTable[[#This Row],[Equity Target]]-SnapshotTable[[#This Row],[Equity Basis Per Share]],"")</f>
        <v/>
      </c>
      <c r="Y63" s="4" t="str">
        <f>IF(AND(ISNUMBER(SnapshotTable[[#This Row],[Equity Basis Per Share]]),ISNUMBER(SnapshotTable[[#This Row],[Equity Stop Loss]])),SnapshotTable[[#This Row],[Equity Stop Loss]]-SnapshotTable[[#This Row],[Equity Basis Per Share]],"")</f>
        <v/>
      </c>
      <c r="Z63" s="275" t="str">
        <f>IFERROR( TEXT(SnapshotTable[[#This Row],[Equity Max Gain Per Share]] /ABS( SnapshotTable[[#This Row],[Equity Max Loss Per Share]]),"0.0 " ) &amp; " : 1", "")</f>
        <v/>
      </c>
      <c r="AA63" s="31" t="str">
        <f>IF(ISNUMBER(SnapshotTable[[#This Row],[Equity Max Gain Per Share]]),SnapshotTable[[#This Row],[Equity Max Gain Per Share]] * SnapshotTable[[#This Row],[Equity Shares]],"")</f>
        <v/>
      </c>
      <c r="AB63" s="31" t="str">
        <f>IF(ISNUMBER(SnapshotTable[[#This Row],[Equity Max Loss Per Share]]),SnapshotTable[[#This Row],[Equity Max Loss Per Share]] * SnapshotTable[[#This Row],[Equity Shares]],"")</f>
        <v/>
      </c>
      <c r="AC63" s="150"/>
      <c r="AD63" s="151"/>
      <c r="AE63" s="31">
        <f>(SnapshotTable[[#This Row],[Annual Dividend Per Share]] / 4) * SnapshotTable[[#This Row],[Equity Shares]]</f>
        <v>0</v>
      </c>
      <c r="AF63" s="31">
        <f>SnapshotTable[[#This Row],[Quarterly Div $]] * 4</f>
        <v>0</v>
      </c>
      <c r="AG63" s="7">
        <f>IF(SnapshotTable[[#This Row],[Annual Dividend Per Share]]&gt;0, SnapshotTable[[#This Row],[Annual Dividend Per Share]]  / SnapshotTable[[#This Row],[Last Price]], 0)</f>
        <v>0</v>
      </c>
      <c r="AH63" s="151"/>
      <c r="AI63" s="5"/>
      <c r="AJ63" s="138">
        <v>95.17</v>
      </c>
      <c r="AK63" s="152" t="str">
        <f>IF(ISNUMBER( SnapshotTable[[#This Row],[EBF Target]]),(SnapshotTable[[#This Row],[EBF Target]] - SnapshotTable[[#This Row],[Last Price]]) / SnapshotTable[[#This Row],[Last Price]], "")</f>
        <v/>
      </c>
      <c r="AL63" s="152" t="str">
        <f>IF(AND(SnapshotTable[[#This Row],[Equity Basis Total]] &gt; 0,ISNUMBER( SnapshotTable[[#This Row],[Long Term Target]])), SnapshotTable[[#This Row],[From Basis $]] / SnapshotTable[[#This Row],[Equity Basis Total]], "")</f>
        <v/>
      </c>
      <c r="AM63" s="9">
        <f>IF( AND(SnapshotTable[[#This Row],[Equity Shares]] &gt;0,ISNUMBER( SnapshotTable[[#This Row],[Long Term Target]])),(SnapshotTable[[#This Row],[Equity Shares]] * SnapshotTable[[#This Row],[Long Term Target]]) - SnapshotTable[[#This Row],[Equity Basis Total]],0)</f>
        <v>0</v>
      </c>
      <c r="AN63" s="9">
        <f>IF( AND(SnapshotTable[[#This Row],[Equity Shares]] &gt;0,ISNUMBER( SnapshotTable[[#This Row],[Long Term Target]])),(SnapshotTable[[#This Row],[Equity Shares]]*SnapshotTable[[#This Row],[Long Term Target]]) - SnapshotTable[[#This Row],[Equity Value]],0)</f>
        <v>0</v>
      </c>
      <c r="AO63" s="152">
        <f>IF(AND(ISNUMBER( SnapshotTable[[#This Row],[Long Term Target]]), ISNUMBER(SnapshotTable[[#This Row],[Last Price]])),(SnapshotTable[[#This Row],[Long Term Target]] - SnapshotTable[[#This Row],[Last Price]]) / SnapshotTable[[#This Row],[Last Price]], "")</f>
        <v>2.0126622348844569</v>
      </c>
      <c r="AP63" s="5"/>
      <c r="AQ63" s="38"/>
      <c r="AR63" s="5"/>
      <c r="AS63" s="38"/>
      <c r="AT63" s="146"/>
      <c r="AU63" s="187" t="str">
        <f>IF(OR(SnapshotTable[[#This Row],[LP No Fill]]="Y",SnapshotTable[[#This Row],[SP Is Filled]],SnapshotTable[[#This Row],[LC Not Filled]]="Y",SnapshotTable[[#This Row],[SC Is Filled]]),"Y","")</f>
        <v/>
      </c>
      <c r="AV63" s="219"/>
      <c r="AW63" s="225"/>
      <c r="AX63" s="220"/>
      <c r="AY63" s="219" t="str">
        <f>IF(SnapshotTable[[#This Row],[Implied Move]]&gt;0, SnapshotTable[[#This Row],[Last Price]]-SnapshotTable[[#This Row],[Implied Move]],"")</f>
        <v/>
      </c>
      <c r="AZ63" s="219" t="str">
        <f>IF(SnapshotTable[[#This Row],[Implied Move]]&gt;0, SnapshotTable[[#This Row],[Last Price]] + SnapshotTable[[#This Row],[Implied Move]],"")</f>
        <v/>
      </c>
      <c r="BA63" s="331"/>
      <c r="BB63" s="347"/>
      <c r="BC6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3" s="351"/>
      <c r="BE63" s="5"/>
      <c r="BF63" s="14"/>
      <c r="BG63" s="13"/>
      <c r="BH63" s="13"/>
      <c r="BI63" s="5"/>
      <c r="BJ63" s="136">
        <f>IF(SnapshotTable[[#This Row],[LP Qty]] &gt; 0, SnapshotTable[[#This Row],[LP Qty]] * SnapshotTable[[#This Row],[LP Book Price]] * 100,0)</f>
        <v>0</v>
      </c>
      <c r="BK63" s="136">
        <f>IF(SnapshotTable[[#This Row],[LP Premium]] &gt; 0, SnapshotTable[[#This Row],[LP Qty]] * SnapshotTable[[#This Row],[LP Strike Price]] * 100,0)</f>
        <v>0</v>
      </c>
      <c r="BL63" s="154"/>
      <c r="BM63" s="385" t="str">
        <f>IF(SnapshotTable[[#This Row],[LP Premium]] &gt; 0,SnapshotTable[[#This Row],[LP Exp Date]]-MAX(SnapshotTable[[#This Row],[LP Book Date]], SnapshotTable[[#This Row],[LP Fill Date]]),"")</f>
        <v/>
      </c>
      <c r="BN63" s="385" t="str">
        <f>IF(ISNUMBER( SnapshotTable[[#This Row],[LP Term]]), SnapshotTable[[#This Row],[LP Exp Date]] - MockToday,"")</f>
        <v/>
      </c>
      <c r="BO63" s="163" t="str">
        <f>IF(AND(SnapshotTable[[#This Row],[LP Exp Date]]&gt;0, SnapshotTable[[#This Row],[LP Strike Price]]&gt;0,SnapshotTable[[#This Row],[LP Qty]]&gt;0,SnapshotTable[[#This Row],[LP Book Date]]&gt;0,SnapshotTable[[#This Row],[LP Book Price]]&gt;0,SnapshotTable[[#This Row],[LP Fill Date]]=0),"Y","")</f>
        <v/>
      </c>
      <c r="BP63" s="31" t="str">
        <f>IF(AND(SnapshotTable[[#This Row],[LP No Fill]]&lt;&gt;"Y",SnapshotTable[[#This Row],[LP Contract Value]]&gt;0, SnapshotTable[[#This Row],[LP Qty]]&gt;0), SnapshotTable[[#This Row],[LP Contract Value]]*SnapshotTable[[#This Row],[LP Qty]]*100,"")</f>
        <v/>
      </c>
      <c r="BQ63" s="13"/>
      <c r="BR63" s="5" t="str">
        <f>IF(SnapshotTable[[#This Row],[SP Exp Date]]&lt;&gt;"",TRUNC(SnapshotTable[[#This Row],[Last Price]]),"")</f>
        <v/>
      </c>
      <c r="BS63" s="36"/>
      <c r="BT63" s="147"/>
      <c r="BU63" s="13"/>
      <c r="BV63" s="5"/>
      <c r="BW63" s="419" t="b">
        <f>AND(ISNUMBER(SnapshotTable[[#This Row],[SP Exp Date]]), ISNUMBER(SnapshotTable[[#This Row],[SP Strike Price]]), ISNUMBER(SnapshotTable[[#This Row],[SP Qty]]), ISNUMBER(SnapshotTable[[#This Row],[SP Book Date]]), ISNUMBER(SnapshotTable[[#This Row],[SP Book Price]]))</f>
        <v>0</v>
      </c>
      <c r="BX63" s="419" t="b">
        <f>AND(SnapshotTable[[#This Row],[SP Is Booked]], NOT(ISBLANK(SnapshotTable[[#This Row],[SP Fill Date]])))</f>
        <v>0</v>
      </c>
      <c r="BY63" s="33">
        <f>IF(SnapshotTable[[#This Row],[SP Is Booked]], SnapshotTable[[#This Row],[SP Qty]] * SnapshotTable[[#This Row],[SP Book Price]] * 100, 0)</f>
        <v>0</v>
      </c>
      <c r="BZ63" s="369"/>
      <c r="CA63" s="368">
        <f>SnapshotTable[[#This Row],[LP Qty]]</f>
        <v>0</v>
      </c>
      <c r="CB63" s="4" t="str">
        <f>IF(SnapshotTable[[#This Row],[SP Is Booked]], SnapshotTable[[#This Row],[SP Strike Price]] - SnapshotTable[[#This Row],[SP Book Price]], "")</f>
        <v/>
      </c>
      <c r="CC63" s="19" t="str">
        <f>IF(SnapshotTable[[#This Row],[SP Is Booked]],SnapshotTable[[#This Row],[SP Exp Date]]-MAX(SnapshotTable[[#This Row],[SP Book Date]], SnapshotTable[[#This Row],[SP Fill Date]]),"")</f>
        <v/>
      </c>
      <c r="CD63" s="7" t="str">
        <f>IF(SnapshotTable[[#This Row],[SP Is Booked]], SnapshotTable[[#This Row],[SP Book Price]]/SnapshotTable[[#This Row],[SP Strike Price]], "")</f>
        <v/>
      </c>
      <c r="CE63" s="7" t="str">
        <f>IF(ISNUMBER(SnapshotTable[[#This Row],[SP ROO Term]]),SnapshotTable[[#This Row],[SP ROO Term]]*(365/SnapshotTable[[#This Row],[SP Term]]),"")</f>
        <v/>
      </c>
      <c r="CF63" s="236">
        <f>SnapshotTable[[#This Row],[LP Strike Price]] * SnapshotTable[[#This Row],[LP Qty]] * 100</f>
        <v>0</v>
      </c>
      <c r="CG63" s="31" t="e">
        <f>IF(ISNUMBER(SnapshotTable[[#This Row],[SP Premium]]), (SnapshotTable[[#This Row],[SP Qty]] * SnapshotTable[[#This Row],[SP Strike Price]]* 100) - SnapshotTable[[#This Row],[LP Protection]], 0)</f>
        <v>#VALUE!</v>
      </c>
      <c r="CH63" s="7" t="str">
        <f>IF(ISNUMBER(SnapshotTable[[#This Row],[SP Break Even]]),-1 * (SnapshotTable[[#This Row],[SP Break Even]] - SnapshotTable[[#This Row],[Last Price]]) / SnapshotTable[[#This Row],[Last Price]], "")</f>
        <v/>
      </c>
      <c r="CI63" s="31">
        <f>IF(AND(ISNUMBER((SnapshotTable[[#This Row],[SP Potential Spend]])), SnapshotTable[[#This Row],[SP Strike Price]] &gt; SnapshotTable[[#This Row],[Last Price]], SnapshotTable[[#This Row],[SP Is Filled]]), SnapshotTable[[#This Row],[SP Potential Spend]] -  SnapshotTable[[#This Row],[LP Max Value]], 0)</f>
        <v>0</v>
      </c>
      <c r="CJ63" s="244"/>
      <c r="CK63" s="31" t="str">
        <f>IF(ISNUMBER(SnapshotTable[[#This Row],[SP Potential Spend]]),IF(ISNUMBER(SnapshotTable[[#This Row],[SP POW]]), SnapshotTable[[#This Row],[SP POW]] * SnapshotTable[[#This Row],[SP Potential Spend]], SnapshotTable[[#This Row],[SP Potential Spend]]), "")</f>
        <v/>
      </c>
      <c r="CL63" s="164" t="e">
        <f>IF(NOT(SnapshotTable[[#This Row],[SP Is Filled]]),(SnapshotTable[[#This Row],[SP Qty]] * SnapshotTable[[#This Row],[SP Strike Price]] * 100) - SnapshotTable[[#This Row],[LP Max Value]],"")</f>
        <v>#VALUE!</v>
      </c>
      <c r="CM63" s="31" t="str">
        <f>IF(SnapshotTable[[#This Row],[SP Actual Spend]]&lt;&gt;0, ((SnapshotTable[[#This Row],[SP Strike Price]]-SnapshotTable[[#This Row],[Last Price]]) *(SnapshotTable[[#This Row],[SP Qty]]*100) - SnapshotTable[[#This Row],[SP Premium]]) * - 1, "")</f>
        <v/>
      </c>
      <c r="CN63" s="78"/>
      <c r="CO63" s="369"/>
      <c r="CP63" s="4" t="str">
        <f>IF(SnapshotTable[[#This Row],[SP Is Filled]], btc_max_buyback_amount(SnapshotTable[[#This Row],[SP Fill Date]],SnapshotTable[[#This Row],[SP Exp Date]], SnapshotTable[[#This Row],[SP Book Price]]),"")</f>
        <v/>
      </c>
      <c r="CQ63" s="78"/>
      <c r="CR6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3" s="155" t="str">
        <f>IF(SnapshotTable[[#This Row],[SP Is Filled]], btc_next_cutoff_date(SnapshotTable[[#This Row],[SP Fill Date]],SnapshotTable[[#This Row],[SP Exp Date]]),"")</f>
        <v/>
      </c>
      <c r="CT63" s="235" t="str" cm="1">
        <f t="array" ref="CT63">IF(SnapshotTable[[#This Row],[SP Is Filled]], btc_should_buy_back(SnapshotTable[[#This Row],[SP Fill Date]], SnapshotTable[[#This Row],[SP Exp Date]], SnapshotTable[[#This Row],[SP Book Price]], SnapshotTable[[#This Row],[SP Current Ask]], MockToday, SnapshotTable[[#This Row],[SP Buyback Override]]),"")</f>
        <v/>
      </c>
      <c r="CU63" s="143"/>
      <c r="CV63" s="235"/>
      <c r="CW63" s="378" t="str">
        <f>IF(ISNUMBER( SnapshotTable[[#This Row],[SP Term]]), SnapshotTable[[#This Row],[SP Exp Date]] - MockToday,"")</f>
        <v/>
      </c>
      <c r="CX63" s="31" t="str">
        <f>IF(SnapshotTable[[#This Row],[SP Is Filled]],SnapshotTable[[#This Row],[SP Buyback Price to Use]] * 100 * SnapshotTable[[#This Row],[SP Qty]], "")</f>
        <v/>
      </c>
      <c r="CY63" s="4" t="str">
        <f>IF(ISNUMBER(SnapshotTable[[#This Row],[SP Strike Price]]), SnapshotTable[[#This Row],[SP Strike Price]] * (1 - SP_MaxLoss_StrikePct), "")</f>
        <v/>
      </c>
      <c r="CZ63" s="31" t="str">
        <f>IF(ISNUMBER(SnapshotTable[[#This Row],[SP Strike  Stop Per Share]]),SnapshotTable[[#This Row],[SP Premium]] - ((SnapshotTable[[#This Row],[SP Strike Price]]-SnapshotTable[[#This Row],[SP Strike  Stop Per Share]]) *(SnapshotTable[[#This Row],[SP Qty]] * 100)),"")</f>
        <v/>
      </c>
      <c r="DA63" s="4" t="str">
        <f>IF(AND(ISNUMBER(SnapshotTable[[#This Row],[SP Premium]]),SnapshotTable[[#This Row],[SP Premium]]&gt;0), SnapshotTable[[#This Row],[SP Book Price]] * (1 + SP_MaxLoss_OptionPct), "")</f>
        <v/>
      </c>
      <c r="DB63" s="31" t="str">
        <f>IF(ISNUMBER(SnapshotTable[[#This Row],[SP Option  Stop Contract]]),(SnapshotTable[[#This Row],[SP Option  Stop Contract]] *(SnapshotTable[[#This Row],[SP Qty]] * 100) - SnapshotTable[[#This Row],[SP Premium]]),"")</f>
        <v/>
      </c>
      <c r="DC63" s="4"/>
      <c r="DD63" s="4"/>
      <c r="DE63" s="4" t="str">
        <f>IF(AND(SnapshotTable[[#This Row],[SP Qty]]&gt;0, SnapshotTable[[#This Row],[SP Stop To Use]]&gt;0),SnapshotTable[[#This Row],[SP Premium]] - ( SnapshotTable[[#This Row],[SP Qty]] * SnapshotTable[[#This Row],[SP Stop To Use]] * 100), "")</f>
        <v/>
      </c>
      <c r="DF63" s="31" t="str">
        <f>IF(AND(SnapshotTable[[#This Row],[SP Qty]]&gt;0,SnapshotTable[[#This Row],[SP Current Ask]]&gt;0), SnapshotTable[[#This Row],[SP Qty]] * SnapshotTable[[#This Row],[SP Current Ask]] * -100, "")</f>
        <v/>
      </c>
      <c r="DG63" s="31" t="str">
        <f>IF(ISNUMBER((SnapshotTable[[#This Row],[SP Total Value]])), SnapshotTable[[#This Row],[SP Premium]] + SnapshotTable[[#This Row],[SP Total Value]], "")</f>
        <v/>
      </c>
      <c r="DH63" s="294" t="str">
        <f>IF(ISNUMBER((SnapshotTable[[#This Row],[SP Total Value]])), SnapshotTable[[#This Row],[SP Gain Loss]] / SnapshotTable[[#This Row],[SP Premium]], "")</f>
        <v/>
      </c>
      <c r="DI63" s="406"/>
      <c r="DJ63" s="138"/>
      <c r="DK63" s="148"/>
      <c r="DL63" s="13"/>
      <c r="DM63" s="13"/>
      <c r="DN63" s="5"/>
      <c r="DO63" s="31">
        <f>IF(SnapshotTable[[#This Row],[LC Symbol Count]]=1, SnapshotTable[[#This Row],[LC Qty]] * SnapshotTable[[#This Row],[LC Book Price]] * 100, 0)</f>
        <v>0</v>
      </c>
      <c r="DP63" s="163" t="str">
        <f>IF(AND(SnapshotTable[[#This Row],[LC Exp Date]]&gt;0, SnapshotTable[[#This Row],[LC Strike Price]]&gt;0,SnapshotTable[[#This Row],[LC Qty]]&gt;0,SnapshotTable[[#This Row],[LC Book Date]]&gt;0,SnapshotTable[[#This Row],[LC Book Price]]&gt;0,SnapshotTable[[#This Row],[LC Fill Date]]=0),"Y","")</f>
        <v/>
      </c>
      <c r="DQ63" s="386" t="str">
        <f>IF(SnapshotTable[[#This Row],[LC Premium]] &gt; 0,SnapshotTable[[#This Row],[LC Exp Date]]-MAX(SnapshotTable[[#This Row],[LC Book Date]], SnapshotTable[[#This Row],[LC Fill Date]]),"")</f>
        <v/>
      </c>
      <c r="DR63" s="386" t="str">
        <f>IF(ISNUMBER(SnapshotTable[[#This Row],[LC Term]]), SnapshotTable[[#This Row],[LC Exp Date]] - MockToday, "")</f>
        <v/>
      </c>
      <c r="DS63" s="234" t="str">
        <f>IF(SnapshotTable[[#This Row],[LC Premium]]&gt;0,SnapshotTable[[#This Row],[LC Strike Price]] + SnapshotTable[[#This Row],[LC Book Price]],"")</f>
        <v/>
      </c>
      <c r="DT63" s="5"/>
      <c r="DU63" s="9" t="str">
        <f>IF(AND(SnapshotTable[[#This Row],[LC Symbol Count]]&gt;0, SnapshotTable[[#This Row],[LC Contract Value]]&gt;0), SnapshotTable[[#This Row],[LC Contract Value]] * SnapshotTable[[#This Row],[LC Qty]] * 100, "")</f>
        <v/>
      </c>
      <c r="DV63" s="9" t="str">
        <f>IF(AND(ISNUMBER(SnapshotTable[[#This Row],[LC Total Value]]), SnapshotTable[[#This Row],[LC Not Filled]]&lt;&gt;"Y"), SnapshotTable[[#This Row],[LC Total Value]]-SnapshotTable[[#This Row],[LC Premium]],"")</f>
        <v/>
      </c>
      <c r="DW63" s="240" t="str">
        <f>IF(ISNUMBER(SnapshotTable[[#This Row],[LC Actual Gain Loss]]), SnapshotTable[[#This Row],[LC Actual Gain Loss]] / SnapshotTable[[#This Row],[LC Premium]],"")</f>
        <v/>
      </c>
      <c r="DX63" s="284" t="str">
        <f>IF(ISNUMBER(SnapshotTable[[#This Row],[LC Book Price]]),SnapshotTable[[#This Row],[LC Book Price]] * 1.5,"")</f>
        <v/>
      </c>
      <c r="DY63" s="265" t="str">
        <f>IF(SnapshotTable[[#This Row],[LC Premium]]&gt;0, SnapshotTable[[#This Row],[LC Next Target]] * SnapshotTable[[#This Row],[LC Qty]] * 100,"")</f>
        <v/>
      </c>
      <c r="DZ63" s="265" t="str">
        <f>IF(ISNUMBER(SnapshotTable[[#This Row],[LC Target Gross]]), SnapshotTable[[#This Row],[LC Target Gross]] - SnapshotTable[[#This Row],[LC Premium]], "")</f>
        <v/>
      </c>
      <c r="EA63" s="305" t="str">
        <f>IF(ISNUMBER(SnapshotTable[[#This Row],[LC Target Gain Loss]]), SnapshotTable[[#This Row],[LC Target Gain Loss]]/SnapshotTable[[#This Row],[LC Premium]], "")</f>
        <v/>
      </c>
      <c r="EB63" s="262"/>
      <c r="EC63" s="283" t="str">
        <f>IF(SnapshotTable[[#This Row],[LC Premium]]&gt;0, SnapshotTable[[#This Row],[LC Book Price]] * (1 - LC_StopLoss_Pct),"")</f>
        <v/>
      </c>
      <c r="ED63" s="284"/>
      <c r="EE63" s="283" t="str">
        <f>IF(ISNUMBER(SnapshotTable[[#This Row],[LC Contract Value]]),IF(ISNUMBER(SnapshotTable[[#This Row],[LC Stop Loss Override]]), SnapshotTable[[#This Row],[LC Stop Loss Override]],SnapshotTable[[#This Row],[LC Stop Loss Calc Target]]),"")</f>
        <v/>
      </c>
      <c r="EF63" s="31" t="str">
        <f>IF(ISNUMBER(SnapshotTable[[#This Row],[LC Stop  To Use]]), (SnapshotTable[[#This Row],[LC Stop  To Use]] * SnapshotTable[[#This Row],[LC Qty]] * 100),"")</f>
        <v/>
      </c>
      <c r="EG63" s="9" t="str">
        <f>IF(ISNUMBER(SnapshotTable[[#This Row],[LC Total Value]]),SnapshotTable[[#This Row],[LC Stop Loss Amount]] - SnapshotTable[[#This Row],[LC Premium]],"")</f>
        <v/>
      </c>
      <c r="EH63" s="9">
        <f>IF(ISNUMBER(SnapshotTable[[#This Row],[LC Premium]]), SnapshotTable[[#This Row],[LC Qty]] * 100 * SnapshotTable[[#This Row],[LC Strike Price]], "")</f>
        <v>0</v>
      </c>
      <c r="EI63" s="240" t="str">
        <f>IF(AND(ISNUMBER(SnapshotTable[[#This Row],[LC Total Value]]),SnapshotTable[[#This Row],[LC Total Value]]&gt;0),SnapshotTable[[#This Row],[LC Stop Gain Loss]]  / SnapshotTable[[#This Row],[LC Premium]],"")</f>
        <v/>
      </c>
      <c r="EJ63" s="35">
        <f>IF(ISNUMBER(SnapshotTable[[#This Row],[Equity Shares]]),TRUNC(SnapshotTable[[#This Row],[Equity Shares]] / 100),0) + SnapshotTable[[#This Row],[LC Qty]]</f>
        <v>0</v>
      </c>
      <c r="EK63" s="147"/>
      <c r="EL63" s="138" t="str">
        <f>IF(SnapshotTable[[#This Row],[SC Exp Date]]&lt;&gt;"",TRUNC(SnapshotTable[[#This Row],[Last Price]]),"")</f>
        <v/>
      </c>
      <c r="EM63" s="148"/>
      <c r="EN63" s="147"/>
      <c r="EO63" s="147"/>
      <c r="EP63" s="138"/>
      <c r="EQ63" s="419" t="b">
        <f>AND(ISNUMBER(SnapshotTable[[#This Row],[SC Exp Date]]), ISNUMBER(SnapshotTable[[#This Row],[SC Strike Price]]), ISNUMBER(SnapshotTable[[#This Row],[SC Qty]]), ISNUMBER(SnapshotTable[[#This Row],[SC Book Date]]), ISNUMBER(SnapshotTable[[#This Row],[SC Book Price]]))</f>
        <v>0</v>
      </c>
      <c r="ER63" s="419" t="b">
        <f>AND(SnapshotTable[[#This Row],[SC Is Booked]], NOT(ISBLANK(SnapshotTable[[#This Row],[SC Fill Date]])))</f>
        <v>0</v>
      </c>
      <c r="ES63" s="370"/>
      <c r="ET63" s="34" t="str">
        <f>IF(AND(ISNUMBER(SnapshotTable[[#This Row],[SC Exp Date]]), ISNUMBER(SnapshotTable[[#This Row],[SC Book Date]])), SnapshotTable[[#This Row],[SC Exp Date]] - MAX(SnapshotTable[[#This Row],[SC Book Date]], SnapshotTable[[#This Row],[SC Fill Date]]) + 1, "")</f>
        <v/>
      </c>
      <c r="EU63" s="34" t="str">
        <f>IF(ISNUMBER(SnapshotTable[[#This Row],[SC Term]]), SnapshotTable[[#This Row],[SC Exp Date]]- MockToday, "")</f>
        <v/>
      </c>
      <c r="EV63" s="31">
        <f>IF(SnapshotTable[[#This Row],[SC Is Booked]], SnapshotTable[[#This Row],[SC Qty]] * SnapshotTable[[#This Row],[SC Book Price]] * 100, 0)</f>
        <v>0</v>
      </c>
      <c r="EW63" s="4" t="str">
        <f>IF(AND(ISNUMBER(SnapshotTable[[#This Row],[Last Price]]), ISNUMBER( SnapshotTable[[#This Row],[SC Book Price]])), SnapshotTable[[#This Row],[Last Price]] - SnapshotTable[[#This Row],[SC Book Price]],"")</f>
        <v/>
      </c>
      <c r="EX63" s="234" t="str">
        <f>IF(SnapshotTable[[#This Row],[SC Is Booked]],IF(SnapshotTable[[#This Row],[SC Intrinsic Value]] &gt; 0, SnapshotTable[[#This Row],[SC Strike Price]], SnapshotTable[[#This Row],[Last Price]]), "")</f>
        <v/>
      </c>
      <c r="EY63" s="4">
        <f>IF(SnapshotTable[[#This Row],[SC Is Booked]], (MinimumPremiumRequired * SnapshotTable[[#This Row],[SC Basis]] * SnapshotTable[[#This Row],[SC Term]]), 0)</f>
        <v>0</v>
      </c>
      <c r="EZ63" s="283"/>
      <c r="FA63" s="218"/>
      <c r="FB63" s="370"/>
      <c r="FC63" s="4">
        <f>IF(SnapshotTable[[#This Row],[SC Is Filled]], btc_max_buyback_amount(SnapshotTable[[#This Row],[SC Fill Date]],SnapshotTable[[#This Row],[SC Exp Date]], SnapshotTable[[#This Row],[SC Book Price]]),0)</f>
        <v>0</v>
      </c>
      <c r="FD63" s="5"/>
      <c r="FE63" s="144" t="str">
        <f>IF(SnapshotTable[[#This Row],[SC Is Filled]], btc_next_cutoff_date(SnapshotTable[[#This Row],[SC Fill Date]],SnapshotTable[[#This Row],[SC Exp Date]]),"")</f>
        <v/>
      </c>
      <c r="FF63" s="4" t="str" cm="1">
        <f t="array" ref="FF63">IF(SnapshotTable[[#This Row],[SC Is Filled]], btc_should_buy_back(SnapshotTable[[#This Row],[SC Fill Date]], SnapshotTable[[#This Row],[SC Exp Date]], SnapshotTable[[#This Row],[SC Book Price]], SnapshotTable[[#This Row],[SC Current Ask]], MockToday, SnapshotTable[[#This Row],[SC Buyback Override]]),"")</f>
        <v/>
      </c>
      <c r="FG63" s="4">
        <f>IF(SnapshotTable[[#This Row],[SC Is Filled]], MAX(0,SnapshotTable[[#This Row],[Last Price]]  - SnapshotTable[[#This Row],[SC Strike Price]]), 0)</f>
        <v>0</v>
      </c>
      <c r="FH63" s="382">
        <f>IF(SnapshotTable[[#This Row],[SC Is Filled]], IF(ISNUMBER(SnapshotTable[[#This Row],[SC Current Ask]]), SnapshotTable[[#This Row],[SC Current Ask]], SnapshotTable[[#This Row],[SC Book Price]]) - SnapshotTable[[#This Row],[SC Intrinsic Value]], 0)</f>
        <v>0</v>
      </c>
      <c r="FI63" s="143"/>
      <c r="FJ63" s="32" t="str">
        <f>IF(SnapshotTable[[#This Row],[SC Is Filled]],100 * SnapshotTable[[#This Row],[SC Qty]] * IF(ISNUMBER(SnapshotTable[[#This Row],[SC Buyback Override]]), SnapshotTable[[#This Row],[SC Buyback Override]], SnapshotTable[[#This Row],[SC Current Ask]]), "")</f>
        <v/>
      </c>
      <c r="FK63" s="250" t="str">
        <f>IF(SnapshotTable[[#This Row],[SC Time Val]]&gt;0, SnapshotTable[[#This Row],[SC Time Val]] / SnapshotTable[[#This Row],[Last Price]],"")</f>
        <v/>
      </c>
      <c r="FL63" s="302" t="str">
        <f>IF(SnapshotTable[[#This Row],[SC Is Booked]], ((SnapshotTable[[#This Row],[Last Price]] -SnapshotTable[[#This Row],[SC Strike Price]]) / SnapshotTable[[#This Row],[Last Price]]) * -1, "")</f>
        <v/>
      </c>
      <c r="FM63" s="157" t="str">
        <f>IF(SnapshotTable[[#This Row],[SC Is Booked]],  (SnapshotTable[[#This Row],[SC Qty]] * 100 * SnapshotTable[[#This Row],[SC Strike Price]]) - SnapshotTable[[#This Row],[SC Current Ask]], "")</f>
        <v/>
      </c>
      <c r="FN6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3" s="31" t="str">
        <f>IF(AND(ISNUMBER(SnapshotTable[[#This Row],[SC Exercise Gross]]), ISNUMBER(SnapshotTable[[#This Row],[Equity Basis Per Share]] )), SnapshotTable[[#This Row],[SC Exercise Gross]] - SnapshotTable[[#This Row],[Equity Basis Total]] +  SnapshotTable[[#This Row],[SC Premium]], "")</f>
        <v/>
      </c>
      <c r="FP63" s="5" t="str">
        <f>IF(ISNUMBER(SnapshotTable[[#This Row],[SC Exercise Gross]]), (SnapshotTable[[#This Row],[SC Exercise Gross]]) / (SnapshotTable[[#This Row],[SC Qty]] * 100), "")</f>
        <v/>
      </c>
      <c r="FQ63" s="27" t="str">
        <f>IF(SnapshotTable[[#This Row],[SC Is Booked]],SnapshotTable[[#This Row],[SC Time Val]] /SnapshotTable[[#This Row],[SC Basis]], "")</f>
        <v/>
      </c>
      <c r="FR63" s="27" t="str" cm="1">
        <f t="array" ref="FR63">IF(AND(ISNUMBER(SnapshotTable[[#This Row],[SC Term]]),ISNUMBER(SnapshotTable[[#This Row],[SC Simple ROO]])), EllmanAnnualize(SnapshotTable[[#This Row],[SC DTE]], SnapshotTable[[#This Row],[SC Simple ROO]] ),"")</f>
        <v/>
      </c>
      <c r="FS63" s="4" t="e">
        <f>IF(SnapshotTable[[#This Row],[SC Strike Price]] &gt; SnapshotTable[[#This Row],[Last Price]], SnapshotTable[[#This Row],[SC Strike Price]] - SnapshotTable[[#This Row],[Last Price]],0)</f>
        <v>#VALUE!</v>
      </c>
      <c r="FT63" s="27" t="e">
        <f>IF(AND(ISNUMBER(SnapshotTable[[#This Row],[SC Upside Potential]]), SnapshotTable[[#This Row],[SC Upside Potential]] &gt; 0),(SnapshotTable[[#This Row],[SC Upside Potential]]/ SnapshotTable[[#This Row],[ACB]]),"")</f>
        <v>#VALUE!</v>
      </c>
      <c r="FU63" s="333" t="str">
        <f>IF(SnapshotTable[[#This Row],[SC Intrinsic Value]] &gt; 0,SnapshotTable[[#This Row],[SC Intrinsic Value]],"")</f>
        <v/>
      </c>
      <c r="FV63" s="27" t="str">
        <f>IF(AND( ISNUMBER( SnapshotTable[[#This Row],[ACB]]),ISNUMBER(SnapshotTable[[#This Row],[SC Downside Protect]])),SnapshotTable[[#This Row],[SC Downside Protect]] / SnapshotTable[[#This Row],[ACB]],"")</f>
        <v/>
      </c>
      <c r="FW63" s="236" t="str">
        <f>IF(AND(ISNUMBER(SnapshotTable[[#This Row],[SC Simple ROO]]),SnapshotTable[[#This Row],[SC Simple ROO]] &gt; 0), SnapshotTable[[#This Row],[SC Premium]] + (SnapshotTable[[#This Row],[SC Qty]] * SnapshotTable[[#This Row],[SC Upside Potential]]), "")</f>
        <v/>
      </c>
      <c r="FX63" s="302" t="str" cm="1">
        <f t="array" ref="FX63">IF(ISNUMBER(SnapshotTable[[#This Row],[SC Max Dollars]]), annualize(SnapshotTable[[#This Row],[SC Term]],(SnapshotTable[[#This Row],[SC Max Dollars]]/SnapshotTable[[#This Row],[SC Basis]])),"")</f>
        <v/>
      </c>
      <c r="FY63" s="236" t="str">
        <f>IF(AND(SnapshotTable[[#This Row],[SC Qty]]&gt;0,SnapshotTable[[#This Row],[SC Current Ask]]&gt;0), SnapshotTable[[#This Row],[SC Qty]] * SnapshotTable[[#This Row],[SC Current Ask]] * -100, "")</f>
        <v/>
      </c>
      <c r="FZ63" s="31" t="str">
        <f>IF(ISNUMBER((SnapshotTable[[#This Row],[SC Current Value]])), SnapshotTable[[#This Row],[SC Premium]] + SnapshotTable[[#This Row],[SC Current Value]], "")</f>
        <v/>
      </c>
      <c r="GA63" s="294" t="str">
        <f>IFERROR( IF(ISNUMBER((SnapshotTable[[#This Row],[SC Current Value]])), SnapshotTable[[#This Row],[SC Gain Loss]] / SnapshotTable[[#This Row],[SC Premium]], ""), "")</f>
        <v/>
      </c>
      <c r="GB63" s="42">
        <f>SnapshotTable[[#This Row],[Equity Shares]] * SaleSharesToConsiderPercentage</f>
        <v>0</v>
      </c>
      <c r="GC63" s="40">
        <f>SnapshotTable[[#This Row],[Long Term Target]] * SellingPriceToConsiderBasedOnTargetPercentage</f>
        <v>90.411500000000004</v>
      </c>
      <c r="GD63" s="40">
        <f>SnapshotTable[[#This Row],[Last Price]] * (1+ SellingPriceToConsiderBasedOnTargetPercentage)</f>
        <v>61.600499999999997</v>
      </c>
      <c r="GE63" s="41"/>
      <c r="GF63" s="40"/>
      <c r="GG63" s="31">
        <f>SnapshotTable[[#This Row],[Booked Sale Shares]] * SnapshotTable[[#This Row],[Booked Sale Price]]</f>
        <v>0</v>
      </c>
      <c r="GH63" s="31" t="str">
        <f>IF(SnapshotTable[[#This Row],[Equity Basis Total]] &gt; 0, SnapshotTable[[#This Row],[Equity Basis Per Share]] * SnapshotTable[[#This Row],[Booked Sale Shares]], "")</f>
        <v/>
      </c>
      <c r="GI63" s="31">
        <f>IF(SnapshotTable[[#This Row],[Sale Proceeds]]&gt;0, SnapshotTable[[#This Row],[Sale Proceeds]] - SnapshotTable[[#This Row],[Sale Basis]], 0)</f>
        <v>0</v>
      </c>
      <c r="GJ63" s="27" t="str">
        <f>IF(SnapshotTable[[#This Row],[Sale G/L]]&gt;0, SnapshotTable[[#This Row],[Sale G/L]] / SnapshotTable[[#This Row],[Sale Basis]], IF(ISNUMBER(SnapshotTable[[#This Row],[SC Exercise P&amp;L (TAX)]]), SnapshotTable[[#This Row],[SC Exercise P&amp;L (TAX)]] / SnapshotTable[[#This Row],[SC Basis]], ""))</f>
        <v/>
      </c>
      <c r="GK63" s="27" t="s">
        <v>650</v>
      </c>
      <c r="GL63" s="43" t="str">
        <f>IF(AND(SnapshotTable[[#This Row],[LP Exp Date]]&gt;0,SnapshotTable[[#This Row],[LP Strike Price]]&gt;0), [1]!ToOptionSymbol(SnapshotTable[[#This Row],[Symbol]], SnapshotTable[[#This Row],[LP Strike Price]],SnapshotTable[[#This Row],[LP Exp Date]],1), "")</f>
        <v/>
      </c>
      <c r="GM63" s="30" t="str">
        <f>IF(LEN(SnapshotTable[[#This Row],[LP Symbol]])&gt;0, 1, "")</f>
        <v/>
      </c>
      <c r="GN63" s="43" t="str">
        <f>IF(AND(SnapshotTable[[#This Row],[SP Exp Date]]&gt;0,SnapshotTable[[#This Row],[SP Strike Price]]&gt;0), [1]!ToOptionSymbol(SnapshotTable[[#This Row],[Symbol]], SnapshotTable[[#This Row],[SP Strike Price]],SnapshotTable[[#This Row],[SP Exp Date]],1), "")</f>
        <v/>
      </c>
      <c r="GO63" s="30" t="str">
        <f>IF(LEN(SnapshotTable[[#This Row],[SP Symbol]])&gt;0, 1, "")</f>
        <v/>
      </c>
      <c r="GP63" s="43" t="str">
        <f>IF(AND(SnapshotTable[[#This Row],[LC Exp Date]]&gt;0,SnapshotTable[[#This Row],[LC Strike Price]]&gt;0), [1]!ToOptionSymbol(SnapshotTable[[#This Row],[Symbol]], SnapshotTable[[#This Row],[LC Strike Price]],SnapshotTable[[#This Row],[LC Exp Date]],0), "")</f>
        <v/>
      </c>
      <c r="GQ63" s="30" t="str">
        <f>IF(LEN(SnapshotTable[[#This Row],[LC Symbol]])&gt;0, 1, "")</f>
        <v/>
      </c>
      <c r="GR63" s="43" t="str">
        <f>IF(AND(SnapshotTable[[#This Row],[SC Exp Date]]&gt;0,SnapshotTable[[#This Row],[SC Strike Price]]&gt;0), [1]!ToOptionSymbol(SnapshotTable[[#This Row],[Symbol]], SnapshotTable[[#This Row],[SC Strike Price]],SnapshotTable[[#This Row],[SC Exp Date]],0), "")</f>
        <v/>
      </c>
      <c r="GS63" s="30" t="str">
        <f>IF(LEN(SnapshotTable[[#This Row],[SC Symbol]])&gt;0, 1, "")</f>
        <v/>
      </c>
      <c r="GT63" s="29" t="str">
        <f>IF(COUNT(SnapshotTable[[#This Row],[LP Symbol Count]],SnapshotTable[[#This Row],[SP Symbol Count]],SnapshotTable[[#This Row],[LC Symbol Count]],SnapshotTable[[#This Row],[SC Symbol Count]])&gt;0, "Y", "")</f>
        <v/>
      </c>
      <c r="GU6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3" s="231" t="e">
        <f>MAX(SnapshotTable[[#This Row],[Equity Basis Total]],SnapshotTable[[#This Row],[Equity Value]]) + (SnapshotTable[[#This Row],[SP Potential Spend]]- SnapshotTable[[#This Row],[SP Premium]] + SnapshotTable[[#This Row],[LP Premium]])+ (SnapshotTable[[#This Row],[LC Premium]] - SnapshotTable[[#This Row],[SC Premium]])</f>
        <v>#VALUE!</v>
      </c>
      <c r="GW63" s="139" t="e">
        <f>IF(AND(SnapshotTable[[#This Row],[Exposure]] &lt;&gt; 0),SnapshotTable[[#This Row],[Exposure]] / SnapshotTable[[#Totals],[Exposure]], "")</f>
        <v>#VALUE!</v>
      </c>
      <c r="GY63" s="381"/>
      <c r="HE63" s="268"/>
      <c r="HF63" s="268"/>
      <c r="HG63" s="381"/>
      <c r="HH63" s="381"/>
      <c r="HI63" s="381"/>
      <c r="HJ63" s="381"/>
    </row>
    <row r="64" spans="2:224" ht="12.75" hidden="1" customHeight="1" x14ac:dyDescent="0.25">
      <c r="B64" s="12" t="s">
        <v>951</v>
      </c>
      <c r="C64" s="422">
        <v>21.26</v>
      </c>
      <c r="D64" s="208" t="s">
        <v>1025</v>
      </c>
      <c r="E64" s="39">
        <f>SnapshotTable[[#This Row],[Last Price]]*(1 -CrashDiscount)</f>
        <v>18.071000000000002</v>
      </c>
      <c r="F64" s="26" t="s">
        <v>917</v>
      </c>
      <c r="G64" s="26" t="s">
        <v>872</v>
      </c>
      <c r="H64" s="149"/>
      <c r="I64" s="194">
        <v>44721.3125</v>
      </c>
      <c r="J64" s="195">
        <v>44721.3125</v>
      </c>
      <c r="K64" s="196" t="s">
        <v>3</v>
      </c>
      <c r="L64" s="326"/>
      <c r="M64" s="140"/>
      <c r="N64" s="140"/>
      <c r="O64" s="140"/>
      <c r="P64" s="22"/>
      <c r="Q64" s="25"/>
      <c r="R64" s="4" t="str">
        <f>IF(SnapshotTable[[#This Row],[Equity Basis Total]] &gt; 0, SnapshotTable[[#This Row],[Equity Basis Total]] / SnapshotTable[[#This Row],[Equity Shares]], "")</f>
        <v/>
      </c>
      <c r="S64" s="269">
        <f>SnapshotTable[[#This Row],[Last Price]] * SnapshotTable[[#This Row],[Equity Shares]]</f>
        <v>0</v>
      </c>
      <c r="T64" s="269">
        <f>SnapshotTable[[#This Row],[Equity Value]] - SnapshotTable[[#This Row],[Equity Basis Total]]</f>
        <v>0</v>
      </c>
      <c r="U64" s="270" t="str">
        <f>IF(SnapshotTable[[#This Row],[Equity Basis Total]] &gt; 0, SnapshotTable[[#This Row],[Equity G/L]] / SnapshotTable[[#This Row],[Equity Basis Total]], "")</f>
        <v/>
      </c>
      <c r="V64" s="268">
        <v>20</v>
      </c>
      <c r="W64" s="268">
        <v>15</v>
      </c>
      <c r="X64" s="4" t="str">
        <f>IF(AND(ISNUMBER(SnapshotTable[[#This Row],[Equity Basis Per Share]]),ISNUMBER(SnapshotTable[[#This Row],[Equity Target]])),SnapshotTable[[#This Row],[Equity Target]]-SnapshotTable[[#This Row],[Equity Basis Per Share]],"")</f>
        <v/>
      </c>
      <c r="Y64" s="4" t="str">
        <f>IF(AND(ISNUMBER(SnapshotTable[[#This Row],[Equity Basis Per Share]]),ISNUMBER(SnapshotTable[[#This Row],[Equity Stop Loss]])),SnapshotTable[[#This Row],[Equity Stop Loss]]-SnapshotTable[[#This Row],[Equity Basis Per Share]],"")</f>
        <v/>
      </c>
      <c r="Z64" s="275" t="str">
        <f>IFERROR( TEXT(SnapshotTable[[#This Row],[Equity Max Gain Per Share]] /ABS( SnapshotTable[[#This Row],[Equity Max Loss Per Share]]),"0.0 " ) &amp; " : 1", "")</f>
        <v/>
      </c>
      <c r="AA64" s="31" t="str">
        <f>IF(ISNUMBER(SnapshotTable[[#This Row],[Equity Max Gain Per Share]]),SnapshotTable[[#This Row],[Equity Max Gain Per Share]] * SnapshotTable[[#This Row],[Equity Shares]],"")</f>
        <v/>
      </c>
      <c r="AB64" s="31" t="str">
        <f>IF(ISNUMBER(SnapshotTable[[#This Row],[Equity Max Loss Per Share]]),SnapshotTable[[#This Row],[Equity Max Loss Per Share]] * SnapshotTable[[#This Row],[Equity Shares]],"")</f>
        <v/>
      </c>
      <c r="AC64" s="150"/>
      <c r="AD64" s="151"/>
      <c r="AE64" s="31">
        <f>(SnapshotTable[[#This Row],[Annual Dividend Per Share]] / 4) * SnapshotTable[[#This Row],[Equity Shares]]</f>
        <v>0</v>
      </c>
      <c r="AF64" s="31">
        <f>SnapshotTable[[#This Row],[Quarterly Div $]] * 4</f>
        <v>0</v>
      </c>
      <c r="AG64" s="7">
        <f>IF(SnapshotTable[[#This Row],[Annual Dividend Per Share]]&gt;0, SnapshotTable[[#This Row],[Annual Dividend Per Share]]  / SnapshotTable[[#This Row],[Last Price]], 0)</f>
        <v>0</v>
      </c>
      <c r="AH64" s="151"/>
      <c r="AI64" s="5">
        <f>SnapshotTable[[#This Row],[Equity Target]]</f>
        <v>20</v>
      </c>
      <c r="AJ64" s="138">
        <v>5.61</v>
      </c>
      <c r="AK64" s="152">
        <f>IF(ISNUMBER( SnapshotTable[[#This Row],[EBF Target]]),(SnapshotTable[[#This Row],[EBF Target]] - SnapshotTable[[#This Row],[Last Price]]) / SnapshotTable[[#This Row],[Last Price]], "")</f>
        <v>-5.9266227657572973E-2</v>
      </c>
      <c r="AL64" s="152" t="str">
        <f>IF(AND(SnapshotTable[[#This Row],[Equity Basis Total]] &gt; 0,ISNUMBER( SnapshotTable[[#This Row],[Long Term Target]])), SnapshotTable[[#This Row],[From Basis $]] / SnapshotTable[[#This Row],[Equity Basis Total]], "")</f>
        <v/>
      </c>
      <c r="AM64" s="9">
        <f>IF( AND(SnapshotTable[[#This Row],[Equity Shares]] &gt;0,ISNUMBER( SnapshotTable[[#This Row],[Long Term Target]])),(SnapshotTable[[#This Row],[Equity Shares]] * SnapshotTable[[#This Row],[Long Term Target]]) - SnapshotTable[[#This Row],[Equity Basis Total]],0)</f>
        <v>0</v>
      </c>
      <c r="AN64" s="9">
        <f>IF( AND(SnapshotTable[[#This Row],[Equity Shares]] &gt;0,ISNUMBER( SnapshotTable[[#This Row],[Long Term Target]])),(SnapshotTable[[#This Row],[Equity Shares]]*SnapshotTable[[#This Row],[Long Term Target]]) - SnapshotTable[[#This Row],[Equity Value]],0)</f>
        <v>0</v>
      </c>
      <c r="AO64" s="152">
        <f>IF(AND(ISNUMBER( SnapshotTable[[#This Row],[Long Term Target]]), ISNUMBER(SnapshotTable[[#This Row],[Last Price]])),(SnapshotTable[[#This Row],[Long Term Target]] - SnapshotTable[[#This Row],[Last Price]]) / SnapshotTable[[#This Row],[Last Price]], "")</f>
        <v>-0.73612417685794929</v>
      </c>
      <c r="AP64" s="5"/>
      <c r="AQ64" s="38"/>
      <c r="AR64" s="5"/>
      <c r="AS64" s="38"/>
      <c r="AT64" s="146"/>
      <c r="AU64" s="187" t="str">
        <f>IF(OR(SnapshotTable[[#This Row],[LP No Fill]]="Y",SnapshotTable[[#This Row],[SP Is Filled]],SnapshotTable[[#This Row],[LC Not Filled]]="Y",SnapshotTable[[#This Row],[SC Is Filled]]),"Y","")</f>
        <v>Y</v>
      </c>
      <c r="AV64" s="219"/>
      <c r="AW64" s="225"/>
      <c r="AX64" s="220"/>
      <c r="AY64" s="219" t="str">
        <f>IF(SnapshotTable[[#This Row],[Implied Move]]&gt;0, SnapshotTable[[#This Row],[Last Price]]-SnapshotTable[[#This Row],[Implied Move]],"")</f>
        <v/>
      </c>
      <c r="AZ64" s="219" t="str">
        <f>IF(SnapshotTable[[#This Row],[Implied Move]]&gt;0, SnapshotTable[[#This Row],[Last Price]] + SnapshotTable[[#This Row],[Implied Move]],"")</f>
        <v/>
      </c>
      <c r="BA64" s="331">
        <v>28.52</v>
      </c>
      <c r="BB64" s="347"/>
      <c r="BC64"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64" s="351"/>
      <c r="BE64" s="5"/>
      <c r="BF64" s="14"/>
      <c r="BG64" s="13"/>
      <c r="BH64" s="13"/>
      <c r="BI64" s="5"/>
      <c r="BJ64" s="136">
        <f>IF(SnapshotTable[[#This Row],[LP Qty]] &gt; 0, SnapshotTable[[#This Row],[LP Qty]] * SnapshotTable[[#This Row],[LP Book Price]] * 100,0)</f>
        <v>0</v>
      </c>
      <c r="BK64" s="136">
        <f>IF(SnapshotTable[[#This Row],[LP Premium]] &gt; 0, SnapshotTable[[#This Row],[LP Qty]] * SnapshotTable[[#This Row],[LP Strike Price]] * 100,0)</f>
        <v>0</v>
      </c>
      <c r="BL64" s="154"/>
      <c r="BM64" s="385" t="str">
        <f>IF(SnapshotTable[[#This Row],[LP Premium]] &gt; 0,SnapshotTable[[#This Row],[LP Exp Date]]-MAX(SnapshotTable[[#This Row],[LP Book Date]], SnapshotTable[[#This Row],[LP Fill Date]]),"")</f>
        <v/>
      </c>
      <c r="BN64" s="385" t="str">
        <f>IF(ISNUMBER( SnapshotTable[[#This Row],[LP Term]]), SnapshotTable[[#This Row],[LP Exp Date]] - MockToday,"")</f>
        <v/>
      </c>
      <c r="BO64" s="163" t="str">
        <f>IF(AND(SnapshotTable[[#This Row],[LP Exp Date]]&gt;0, SnapshotTable[[#This Row],[LP Strike Price]]&gt;0,SnapshotTable[[#This Row],[LP Qty]]&gt;0,SnapshotTable[[#This Row],[LP Book Date]]&gt;0,SnapshotTable[[#This Row],[LP Book Price]]&gt;0,SnapshotTable[[#This Row],[LP Fill Date]]=0),"Y","")</f>
        <v/>
      </c>
      <c r="BP64" s="31" t="str">
        <f>IF(AND(SnapshotTable[[#This Row],[LP No Fill]]&lt;&gt;"Y",SnapshotTable[[#This Row],[LP Contract Value]]&gt;0, SnapshotTable[[#This Row],[LP Qty]]&gt;0), SnapshotTable[[#This Row],[LP Contract Value]]*SnapshotTable[[#This Row],[LP Qty]]*100,"")</f>
        <v/>
      </c>
      <c r="BQ64" s="13">
        <v>46213</v>
      </c>
      <c r="BR64" s="5">
        <f>IF(SnapshotTable[[#This Row],[SP Exp Date]]&lt;&gt;"",TRUNC(SnapshotTable[[#This Row],[Last Price]]),"")</f>
        <v>21</v>
      </c>
      <c r="BS64" s="36">
        <v>10</v>
      </c>
      <c r="BT64" s="147">
        <v>46203</v>
      </c>
      <c r="BU64" s="13">
        <v>46203</v>
      </c>
      <c r="BV64" s="5">
        <v>1.49</v>
      </c>
      <c r="BW64" s="419" t="b">
        <f>AND(ISNUMBER(SnapshotTable[[#This Row],[SP Exp Date]]), ISNUMBER(SnapshotTable[[#This Row],[SP Strike Price]]), ISNUMBER(SnapshotTable[[#This Row],[SP Qty]]), ISNUMBER(SnapshotTable[[#This Row],[SP Book Date]]), ISNUMBER(SnapshotTable[[#This Row],[SP Book Price]]))</f>
        <v>1</v>
      </c>
      <c r="BX64" s="419" t="b">
        <f>AND(SnapshotTable[[#This Row],[SP Is Booked]], NOT(ISBLANK(SnapshotTable[[#This Row],[SP Fill Date]])))</f>
        <v>1</v>
      </c>
      <c r="BY64" s="33">
        <f>IF(SnapshotTable[[#This Row],[SP Is Booked]], SnapshotTable[[#This Row],[SP Qty]] * SnapshotTable[[#This Row],[SP Book Price]] * 100, 0)</f>
        <v>1490</v>
      </c>
      <c r="BZ64" s="369">
        <v>0.19</v>
      </c>
      <c r="CA64" s="368">
        <f>SnapshotTable[[#This Row],[LP Qty]]</f>
        <v>0</v>
      </c>
      <c r="CB64" s="4">
        <f>IF(SnapshotTable[[#This Row],[SP Is Booked]], SnapshotTable[[#This Row],[SP Strike Price]] - SnapshotTable[[#This Row],[SP Book Price]], "")</f>
        <v>19.510000000000002</v>
      </c>
      <c r="CC64" s="19">
        <f>IF(SnapshotTable[[#This Row],[SP Is Booked]],SnapshotTable[[#This Row],[SP Exp Date]]-MAX(SnapshotTable[[#This Row],[SP Book Date]], SnapshotTable[[#This Row],[SP Fill Date]]),"")</f>
        <v>10</v>
      </c>
      <c r="CD64" s="7">
        <f>IF(SnapshotTable[[#This Row],[SP Is Booked]], SnapshotTable[[#This Row],[SP Book Price]]/SnapshotTable[[#This Row],[SP Strike Price]], "")</f>
        <v>7.0952380952380947E-2</v>
      </c>
      <c r="CE64" s="7">
        <f>IF(ISNUMBER(SnapshotTable[[#This Row],[SP ROO Term]]),SnapshotTable[[#This Row],[SP ROO Term]]*(365/SnapshotTable[[#This Row],[SP Term]]),"")</f>
        <v>2.5897619047619047</v>
      </c>
      <c r="CF64" s="236">
        <f>SnapshotTable[[#This Row],[LP Strike Price]] * SnapshotTable[[#This Row],[LP Qty]] * 100</f>
        <v>0</v>
      </c>
      <c r="CG64" s="31">
        <f>IF(ISNUMBER(SnapshotTable[[#This Row],[SP Premium]]), (SnapshotTable[[#This Row],[SP Qty]] * SnapshotTable[[#This Row],[SP Strike Price]]* 100) - SnapshotTable[[#This Row],[LP Protection]], 0)</f>
        <v>21000</v>
      </c>
      <c r="CH64" s="7">
        <f>IF(ISNUMBER(SnapshotTable[[#This Row],[SP Break Even]]),-1 * (SnapshotTable[[#This Row],[SP Break Even]] - SnapshotTable[[#This Row],[Last Price]]) / SnapshotTable[[#This Row],[Last Price]], "")</f>
        <v>8.2314205079962371E-2</v>
      </c>
      <c r="CI64" s="31">
        <f>IF(AND(ISNUMBER((SnapshotTable[[#This Row],[SP Potential Spend]])), SnapshotTable[[#This Row],[SP Strike Price]] &gt; SnapshotTable[[#This Row],[Last Price]], SnapshotTable[[#This Row],[SP Is Filled]]), SnapshotTable[[#This Row],[SP Potential Spend]] -  SnapshotTable[[#This Row],[LP Max Value]], 0)</f>
        <v>0</v>
      </c>
      <c r="CJ64" s="244"/>
      <c r="CK64" s="31">
        <f>IF(ISNUMBER(SnapshotTable[[#This Row],[SP Potential Spend]]),IF(ISNUMBER(SnapshotTable[[#This Row],[SP POW]]), SnapshotTable[[#This Row],[SP POW]] * SnapshotTable[[#This Row],[SP Potential Spend]], SnapshotTable[[#This Row],[SP Potential Spend]]), "")</f>
        <v>21000</v>
      </c>
      <c r="CL64" s="164" t="str">
        <f>IF(NOT(SnapshotTable[[#This Row],[SP Is Filled]]),(SnapshotTable[[#This Row],[SP Qty]] * SnapshotTable[[#This Row],[SP Strike Price]] * 100) - SnapshotTable[[#This Row],[LP Max Value]],"")</f>
        <v/>
      </c>
      <c r="CM64" s="31" t="str">
        <f>IF(SnapshotTable[[#This Row],[SP Actual Spend]]&lt;&gt;0, ((SnapshotTable[[#This Row],[SP Strike Price]]-SnapshotTable[[#This Row],[Last Price]]) *(SnapshotTable[[#This Row],[SP Qty]]*100) - SnapshotTable[[#This Row],[SP Premium]]) * - 1, "")</f>
        <v/>
      </c>
      <c r="CN64" s="218">
        <v>1.6</v>
      </c>
      <c r="CO64" s="369">
        <v>0.19</v>
      </c>
      <c r="CP64" s="4" t="e">
        <f ca="1">IF(SnapshotTable[[#This Row],[SP Is Filled]], btc_max_buyback_amount(SnapshotTable[[#This Row],[SP Fill Date]],SnapshotTable[[#This Row],[SP Exp Date]], SnapshotTable[[#This Row],[SP Book Price]]),"")</f>
        <v>#NAME?</v>
      </c>
      <c r="CQ64" s="78"/>
      <c r="CR64"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64" s="155" t="e">
        <f ca="1">IF(SnapshotTable[[#This Row],[SP Is Filled]], btc_next_cutoff_date(SnapshotTable[[#This Row],[SP Fill Date]],SnapshotTable[[#This Row],[SP Exp Date]]),"")</f>
        <v>#NAME?</v>
      </c>
      <c r="CT64" s="235" t="e" cm="1">
        <f t="array" aca="1" ref="CT64" ca="1">IF(SnapshotTable[[#This Row],[SP Is Filled]], btc_should_buy_back(SnapshotTable[[#This Row],[SP Fill Date]], SnapshotTable[[#This Row],[SP Exp Date]], SnapshotTable[[#This Row],[SP Book Price]], SnapshotTable[[#This Row],[SP Current Ask]], MockToday, SnapshotTable[[#This Row],[SP Buyback Override]]),"")</f>
        <v>#NAME?</v>
      </c>
      <c r="CU64" s="143">
        <v>46210</v>
      </c>
      <c r="CV64" s="235"/>
      <c r="CW64" s="378">
        <f ca="1">IF(ISNUMBER( SnapshotTable[[#This Row],[SP Term]]), SnapshotTable[[#This Row],[SP Exp Date]] - MockToday,"")</f>
        <v>-22</v>
      </c>
      <c r="CX64" s="31" t="e">
        <f ca="1">IF(SnapshotTable[[#This Row],[SP Is Filled]],SnapshotTable[[#This Row],[SP Buyback Price to Use]] * 100 * SnapshotTable[[#This Row],[SP Qty]], "")</f>
        <v>#NAME?</v>
      </c>
      <c r="CY64" s="4">
        <f>IF(ISNUMBER(SnapshotTable[[#This Row],[SP Strike Price]]), SnapshotTable[[#This Row],[SP Strike Price]] * (1 - SP_MaxLoss_StrikePct), "")</f>
        <v>20.37</v>
      </c>
      <c r="CZ64" s="31">
        <f>IF(ISNUMBER(SnapshotTable[[#This Row],[SP Strike  Stop Per Share]]),SnapshotTable[[#This Row],[SP Premium]] - ((SnapshotTable[[#This Row],[SP Strike Price]]-SnapshotTable[[#This Row],[SP Strike  Stop Per Share]]) *(SnapshotTable[[#This Row],[SP Qty]] * 100)),"")</f>
        <v>860.00000000000102</v>
      </c>
      <c r="DA64" s="4">
        <f>IF(AND(ISNUMBER(SnapshotTable[[#This Row],[SP Premium]]),SnapshotTable[[#This Row],[SP Premium]]&gt;0), SnapshotTable[[#This Row],[SP Book Price]] * (1 + SP_MaxLoss_OptionPct), "")</f>
        <v>2.2349999999999999</v>
      </c>
      <c r="DB64" s="31">
        <f>IF(ISNUMBER(SnapshotTable[[#This Row],[SP Option  Stop Contract]]),(SnapshotTable[[#This Row],[SP Option  Stop Contract]] *(SnapshotTable[[#This Row],[SP Qty]] * 100) - SnapshotTable[[#This Row],[SP Premium]]),"")</f>
        <v>745</v>
      </c>
      <c r="DC64" s="4"/>
      <c r="DD64" s="4"/>
      <c r="DE64" s="4" t="str">
        <f>IF(AND(SnapshotTable[[#This Row],[SP Qty]]&gt;0, SnapshotTable[[#This Row],[SP Stop To Use]]&gt;0),SnapshotTable[[#This Row],[SP Premium]] - ( SnapshotTable[[#This Row],[SP Qty]] * SnapshotTable[[#This Row],[SP Stop To Use]] * 100), "")</f>
        <v/>
      </c>
      <c r="DF64" s="31">
        <f>IF(AND(SnapshotTable[[#This Row],[SP Qty]]&gt;0,SnapshotTable[[#This Row],[SP Current Ask]]&gt;0), SnapshotTable[[#This Row],[SP Qty]] * SnapshotTable[[#This Row],[SP Current Ask]] * -100, "")</f>
        <v>-1600</v>
      </c>
      <c r="DG64" s="31">
        <f>IF(ISNUMBER((SnapshotTable[[#This Row],[SP Total Value]])), SnapshotTable[[#This Row],[SP Premium]] + SnapshotTable[[#This Row],[SP Total Value]], "")</f>
        <v>-110</v>
      </c>
      <c r="DH64" s="294">
        <f>IF(ISNUMBER((SnapshotTable[[#This Row],[SP Total Value]])), SnapshotTable[[#This Row],[SP Gain Loss]] / SnapshotTable[[#This Row],[SP Premium]], "")</f>
        <v>-7.3825503355704702E-2</v>
      </c>
      <c r="DI64" s="406"/>
      <c r="DJ64" s="138"/>
      <c r="DK64" s="148"/>
      <c r="DL64" s="13"/>
      <c r="DM64" s="13"/>
      <c r="DO64" s="31">
        <f>IF(SnapshotTable[[#This Row],[LC Symbol Count]]=1, SnapshotTable[[#This Row],[LC Qty]] * SnapshotTable[[#This Row],[LC Book Price]] * 100, 0)</f>
        <v>0</v>
      </c>
      <c r="DP64" s="163" t="str">
        <f>IF(AND(SnapshotTable[[#This Row],[LC Exp Date]]&gt;0, SnapshotTable[[#This Row],[LC Strike Price]]&gt;0,SnapshotTable[[#This Row],[LC Qty]]&gt;0,SnapshotTable[[#This Row],[LC Book Date]]&gt;0,SnapshotTable[[#This Row],[LC Book Price]]&gt;0,SnapshotTable[[#This Row],[LC Fill Date]]=0),"Y","")</f>
        <v/>
      </c>
      <c r="DQ64" s="386" t="str">
        <f>IF(SnapshotTable[[#This Row],[LC Premium]] &gt; 0,SnapshotTable[[#This Row],[LC Exp Date]]-MAX(SnapshotTable[[#This Row],[LC Book Date]], SnapshotTable[[#This Row],[LC Fill Date]]),"")</f>
        <v/>
      </c>
      <c r="DR64" s="386" t="str">
        <f>IF(ISNUMBER(SnapshotTable[[#This Row],[LC Term]]), SnapshotTable[[#This Row],[LC Exp Date]] - MockToday, "")</f>
        <v/>
      </c>
      <c r="DS64" s="234" t="str">
        <f>IF(SnapshotTable[[#This Row],[LC Premium]]&gt;0,SnapshotTable[[#This Row],[LC Strike Price]] + SnapshotTable[[#This Row],[LC Book Price]],"")</f>
        <v/>
      </c>
      <c r="DU64" s="9" t="str">
        <f>IF(AND(SnapshotTable[[#This Row],[LC Symbol Count]]&gt;0, SnapshotTable[[#This Row],[LC Contract Value]]&gt;0), SnapshotTable[[#This Row],[LC Contract Value]] * SnapshotTable[[#This Row],[LC Qty]] * 100, "")</f>
        <v/>
      </c>
      <c r="DV64" s="9" t="str">
        <f>IF(AND(ISNUMBER(SnapshotTable[[#This Row],[LC Total Value]]), SnapshotTable[[#This Row],[LC Not Filled]]&lt;&gt;"Y"), SnapshotTable[[#This Row],[LC Total Value]]-SnapshotTable[[#This Row],[LC Premium]],"")</f>
        <v/>
      </c>
      <c r="DW64" s="240" t="str">
        <f>IF(ISNUMBER(SnapshotTable[[#This Row],[LC Actual Gain Loss]]), SnapshotTable[[#This Row],[LC Actual Gain Loss]] / SnapshotTable[[#This Row],[LC Premium]],"")</f>
        <v/>
      </c>
      <c r="DX64" s="284" t="str">
        <f>IF(ISNUMBER(SnapshotTable[[#This Row],[LC Book Price]]),SnapshotTable[[#This Row],[LC Book Price]] * 1.5,"")</f>
        <v/>
      </c>
      <c r="DY64" s="265" t="str">
        <f>IF(SnapshotTable[[#This Row],[LC Premium]]&gt;0, SnapshotTable[[#This Row],[LC Next Target]] * SnapshotTable[[#This Row],[LC Qty]] * 100,"")</f>
        <v/>
      </c>
      <c r="DZ64" s="265" t="str">
        <f>IF(ISNUMBER(SnapshotTable[[#This Row],[LC Target Gross]]), SnapshotTable[[#This Row],[LC Target Gross]] - SnapshotTable[[#This Row],[LC Premium]], "")</f>
        <v/>
      </c>
      <c r="EA64" s="305" t="str">
        <f>IF(ISNUMBER(SnapshotTable[[#This Row],[LC Target Gain Loss]]), SnapshotTable[[#This Row],[LC Target Gain Loss]]/SnapshotTable[[#This Row],[LC Premium]], "")</f>
        <v/>
      </c>
      <c r="EB64" s="262"/>
      <c r="EC64" s="283" t="str">
        <f>IF(SnapshotTable[[#This Row],[LC Premium]]&gt;0, SnapshotTable[[#This Row],[LC Book Price]] * (1 - LC_StopLoss_Pct),"")</f>
        <v/>
      </c>
      <c r="ED64" s="284"/>
      <c r="EE64" s="283" t="str">
        <f>IF(ISNUMBER(SnapshotTable[[#This Row],[LC Contract Value]]),IF(ISNUMBER(SnapshotTable[[#This Row],[LC Stop Loss Override]]), SnapshotTable[[#This Row],[LC Stop Loss Override]],SnapshotTable[[#This Row],[LC Stop Loss Calc Target]]),"")</f>
        <v/>
      </c>
      <c r="EF64" s="31" t="str">
        <f>IF(ISNUMBER(SnapshotTable[[#This Row],[LC Stop  To Use]]), (SnapshotTable[[#This Row],[LC Stop  To Use]] * SnapshotTable[[#This Row],[LC Qty]] * 100),"")</f>
        <v/>
      </c>
      <c r="EG64" s="9" t="str">
        <f>IF(ISNUMBER(SnapshotTable[[#This Row],[LC Total Value]]),SnapshotTable[[#This Row],[LC Stop Loss Amount]] - SnapshotTable[[#This Row],[LC Premium]],"")</f>
        <v/>
      </c>
      <c r="EH64" s="9">
        <f>IF(ISNUMBER(SnapshotTable[[#This Row],[LC Premium]]), SnapshotTable[[#This Row],[LC Qty]] * 100 * SnapshotTable[[#This Row],[LC Strike Price]], "")</f>
        <v>0</v>
      </c>
      <c r="EI64" s="240" t="str">
        <f>IF(AND(ISNUMBER(SnapshotTable[[#This Row],[LC Total Value]]),SnapshotTable[[#This Row],[LC Total Value]]&gt;0),SnapshotTable[[#This Row],[LC Stop Gain Loss]]  / SnapshotTable[[#This Row],[LC Premium]],"")</f>
        <v/>
      </c>
      <c r="EJ64" s="35">
        <f>IF(ISNUMBER(SnapshotTable[[#This Row],[Equity Shares]]),TRUNC(SnapshotTable[[#This Row],[Equity Shares]] / 100),0) + SnapshotTable[[#This Row],[LC Qty]]</f>
        <v>0</v>
      </c>
      <c r="EK64" s="147"/>
      <c r="EL64" s="138" t="str">
        <f>IF(SnapshotTable[[#This Row],[SC Exp Date]]&lt;&gt;"",TRUNC(SnapshotTable[[#This Row],[Last Price]]),"")</f>
        <v/>
      </c>
      <c r="EM64" s="148"/>
      <c r="EN64" s="147"/>
      <c r="EO64" s="147"/>
      <c r="EP64" s="138"/>
      <c r="EQ64" s="419" t="b">
        <f>AND(ISNUMBER(SnapshotTable[[#This Row],[SC Exp Date]]), ISNUMBER(SnapshotTable[[#This Row],[SC Strike Price]]), ISNUMBER(SnapshotTable[[#This Row],[SC Qty]]), ISNUMBER(SnapshotTable[[#This Row],[SC Book Date]]), ISNUMBER(SnapshotTable[[#This Row],[SC Book Price]]))</f>
        <v>0</v>
      </c>
      <c r="ER64" s="419" t="b">
        <f>AND(SnapshotTable[[#This Row],[SC Is Booked]], NOT(ISBLANK(SnapshotTable[[#This Row],[SC Fill Date]])))</f>
        <v>0</v>
      </c>
      <c r="ES64" s="370"/>
      <c r="ET64" s="34" t="str">
        <f>IF(AND(ISNUMBER(SnapshotTable[[#This Row],[SC Exp Date]]), ISNUMBER(SnapshotTable[[#This Row],[SC Book Date]])), SnapshotTable[[#This Row],[SC Exp Date]] - MAX(SnapshotTable[[#This Row],[SC Book Date]], SnapshotTable[[#This Row],[SC Fill Date]]) + 1, "")</f>
        <v/>
      </c>
      <c r="EU64" s="34" t="str">
        <f>IF(ISNUMBER(SnapshotTable[[#This Row],[SC Term]]), SnapshotTable[[#This Row],[SC Exp Date]]- MockToday, "")</f>
        <v/>
      </c>
      <c r="EV64" s="31">
        <f>IF(SnapshotTable[[#This Row],[SC Is Booked]], SnapshotTable[[#This Row],[SC Qty]] * SnapshotTable[[#This Row],[SC Book Price]] * 100, 0)</f>
        <v>0</v>
      </c>
      <c r="EW64" s="4" t="str">
        <f>IF(AND(ISNUMBER(SnapshotTable[[#This Row],[Last Price]]), ISNUMBER( SnapshotTable[[#This Row],[SC Book Price]])), SnapshotTable[[#This Row],[Last Price]] - SnapshotTable[[#This Row],[SC Book Price]],"")</f>
        <v/>
      </c>
      <c r="EX64" s="234" t="str">
        <f>IF(SnapshotTable[[#This Row],[SC Is Booked]],IF(SnapshotTable[[#This Row],[SC Intrinsic Value]] &gt; 0, SnapshotTable[[#This Row],[SC Strike Price]], SnapshotTable[[#This Row],[Last Price]]), "")</f>
        <v/>
      </c>
      <c r="EY64" s="4">
        <f>IF(SnapshotTable[[#This Row],[SC Is Booked]], (MinimumPremiumRequired * SnapshotTable[[#This Row],[SC Basis]] * SnapshotTable[[#This Row],[SC Term]]), 0)</f>
        <v>0</v>
      </c>
      <c r="EZ64" s="283"/>
      <c r="FA64" s="218"/>
      <c r="FB64" s="370"/>
      <c r="FC64" s="4">
        <f>IF(SnapshotTable[[#This Row],[SC Is Filled]], btc_max_buyback_amount(SnapshotTable[[#This Row],[SC Fill Date]],SnapshotTable[[#This Row],[SC Exp Date]], SnapshotTable[[#This Row],[SC Book Price]]),0)</f>
        <v>0</v>
      </c>
      <c r="FD64" s="5"/>
      <c r="FE64" s="144" t="str">
        <f>IF(SnapshotTable[[#This Row],[SC Is Filled]], btc_next_cutoff_date(SnapshotTable[[#This Row],[SC Fill Date]],SnapshotTable[[#This Row],[SC Exp Date]]),"")</f>
        <v/>
      </c>
      <c r="FF64" s="4" t="str" cm="1">
        <f t="array" ref="FF64">IF(SnapshotTable[[#This Row],[SC Is Filled]], btc_should_buy_back(SnapshotTable[[#This Row],[SC Fill Date]], SnapshotTable[[#This Row],[SC Exp Date]], SnapshotTable[[#This Row],[SC Book Price]], SnapshotTable[[#This Row],[SC Current Ask]], MockToday, SnapshotTable[[#This Row],[SC Buyback Override]]),"")</f>
        <v/>
      </c>
      <c r="FG64" s="4">
        <f>IF(SnapshotTable[[#This Row],[SC Is Filled]], MAX(0,SnapshotTable[[#This Row],[Last Price]]  - SnapshotTable[[#This Row],[SC Strike Price]]), 0)</f>
        <v>0</v>
      </c>
      <c r="FH64" s="382">
        <f>IF(SnapshotTable[[#This Row],[SC Is Filled]], IF(ISNUMBER(SnapshotTable[[#This Row],[SC Current Ask]]), SnapshotTable[[#This Row],[SC Current Ask]], SnapshotTable[[#This Row],[SC Book Price]]) - SnapshotTable[[#This Row],[SC Intrinsic Value]], 0)</f>
        <v>0</v>
      </c>
      <c r="FI64" s="143"/>
      <c r="FJ64" s="32" t="str">
        <f>IF(SnapshotTable[[#This Row],[SC Is Filled]],100 * SnapshotTable[[#This Row],[SC Qty]] * IF(ISNUMBER(SnapshotTable[[#This Row],[SC Buyback Override]]), SnapshotTable[[#This Row],[SC Buyback Override]], SnapshotTable[[#This Row],[SC Current Ask]]), "")</f>
        <v/>
      </c>
      <c r="FK64" s="250" t="str">
        <f>IF(SnapshotTable[[#This Row],[SC Time Val]]&gt;0, SnapshotTable[[#This Row],[SC Time Val]] / SnapshotTable[[#This Row],[Last Price]],"")</f>
        <v/>
      </c>
      <c r="FL64" s="302" t="str">
        <f>IF(SnapshotTable[[#This Row],[SC Is Booked]], ((SnapshotTable[[#This Row],[Last Price]] -SnapshotTable[[#This Row],[SC Strike Price]]) / SnapshotTable[[#This Row],[Last Price]]) * -1, "")</f>
        <v/>
      </c>
      <c r="FM64" s="157" t="str">
        <f>IF(SnapshotTable[[#This Row],[SC Is Booked]],  (SnapshotTable[[#This Row],[SC Qty]] * 100 * SnapshotTable[[#This Row],[SC Strike Price]]) - SnapshotTable[[#This Row],[SC Current Ask]], "")</f>
        <v/>
      </c>
      <c r="FN6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4" s="31" t="str">
        <f>IF(AND(ISNUMBER(SnapshotTable[[#This Row],[SC Exercise Gross]]), ISNUMBER(SnapshotTable[[#This Row],[Equity Basis Per Share]] )), SnapshotTable[[#This Row],[SC Exercise Gross]] - SnapshotTable[[#This Row],[Equity Basis Total]] +  SnapshotTable[[#This Row],[SC Premium]], "")</f>
        <v/>
      </c>
      <c r="FP64" s="5" t="str">
        <f>IF(ISNUMBER(SnapshotTable[[#This Row],[SC Exercise Gross]]), (SnapshotTable[[#This Row],[SC Exercise Gross]]) / (SnapshotTable[[#This Row],[SC Qty]] * 100), "")</f>
        <v/>
      </c>
      <c r="FQ64" s="27" t="str">
        <f>IF(SnapshotTable[[#This Row],[SC Is Booked]],SnapshotTable[[#This Row],[SC Time Val]] /SnapshotTable[[#This Row],[SC Basis]], "")</f>
        <v/>
      </c>
      <c r="FR64" s="27" t="str" cm="1">
        <f t="array" ref="FR64">IF(AND(ISNUMBER(SnapshotTable[[#This Row],[SC Term]]),ISNUMBER(SnapshotTable[[#This Row],[SC Simple ROO]])), EllmanAnnualize(SnapshotTable[[#This Row],[SC DTE]], SnapshotTable[[#This Row],[SC Simple ROO]] ),"")</f>
        <v/>
      </c>
      <c r="FS64" s="4" t="e">
        <f>IF(SnapshotTable[[#This Row],[SC Strike Price]] &gt; SnapshotTable[[#This Row],[Last Price]], SnapshotTable[[#This Row],[SC Strike Price]] - SnapshotTable[[#This Row],[Last Price]],0)</f>
        <v>#VALUE!</v>
      </c>
      <c r="FT64" s="27" t="e">
        <f>IF(AND(ISNUMBER(SnapshotTable[[#This Row],[SC Upside Potential]]), SnapshotTable[[#This Row],[SC Upside Potential]] &gt; 0),(SnapshotTable[[#This Row],[SC Upside Potential]]/ SnapshotTable[[#This Row],[ACB]]),"")</f>
        <v>#VALUE!</v>
      </c>
      <c r="FU64" s="333" t="str">
        <f>IF(SnapshotTable[[#This Row],[SC Intrinsic Value]] &gt; 0,SnapshotTable[[#This Row],[SC Intrinsic Value]],"")</f>
        <v/>
      </c>
      <c r="FV64" s="27" t="str">
        <f>IF(AND( ISNUMBER( SnapshotTable[[#This Row],[ACB]]),ISNUMBER(SnapshotTable[[#This Row],[SC Downside Protect]])),SnapshotTable[[#This Row],[SC Downside Protect]] / SnapshotTable[[#This Row],[ACB]],"")</f>
        <v/>
      </c>
      <c r="FW64" s="236" t="str">
        <f>IF(AND(ISNUMBER(SnapshotTable[[#This Row],[SC Simple ROO]]),SnapshotTable[[#This Row],[SC Simple ROO]] &gt; 0), SnapshotTable[[#This Row],[SC Premium]] + (SnapshotTable[[#This Row],[SC Qty]] * SnapshotTable[[#This Row],[SC Upside Potential]]), "")</f>
        <v/>
      </c>
      <c r="FX64" s="302" t="str" cm="1">
        <f t="array" ref="FX64">IF(ISNUMBER(SnapshotTable[[#This Row],[SC Max Dollars]]), annualize(SnapshotTable[[#This Row],[SC Term]],(SnapshotTable[[#This Row],[SC Max Dollars]]/SnapshotTable[[#This Row],[SC Basis]])),"")</f>
        <v/>
      </c>
      <c r="FY64" s="236" t="str">
        <f>IF(AND(SnapshotTable[[#This Row],[SC Qty]]&gt;0,SnapshotTable[[#This Row],[SC Current Ask]]&gt;0), SnapshotTable[[#This Row],[SC Qty]] * SnapshotTable[[#This Row],[SC Current Ask]] * -100, "")</f>
        <v/>
      </c>
      <c r="FZ64" s="31" t="str">
        <f>IF(ISNUMBER((SnapshotTable[[#This Row],[SC Current Value]])), SnapshotTable[[#This Row],[SC Premium]] + SnapshotTable[[#This Row],[SC Current Value]], "")</f>
        <v/>
      </c>
      <c r="GA64" s="294" t="str">
        <f>IFERROR( IF(ISNUMBER((SnapshotTable[[#This Row],[SC Current Value]])), SnapshotTable[[#This Row],[SC Gain Loss]] / SnapshotTable[[#This Row],[SC Premium]], ""), "")</f>
        <v/>
      </c>
      <c r="GB64" s="42">
        <f>SnapshotTable[[#This Row],[Equity Shares]] * SaleSharesToConsiderPercentage</f>
        <v>0</v>
      </c>
      <c r="GC64" s="40">
        <f>SnapshotTable[[#This Row],[Long Term Target]] * SellingPriceToConsiderBasedOnTargetPercentage</f>
        <v>5.3295000000000003</v>
      </c>
      <c r="GD64" s="40">
        <f>SnapshotTable[[#This Row],[Last Price]] * (1+ SellingPriceToConsiderBasedOnTargetPercentage)</f>
        <v>41.457000000000001</v>
      </c>
      <c r="GE64" s="41"/>
      <c r="GF64" s="40"/>
      <c r="GG64" s="31">
        <f>SnapshotTable[[#This Row],[Booked Sale Shares]] * SnapshotTable[[#This Row],[Booked Sale Price]]</f>
        <v>0</v>
      </c>
      <c r="GH64" s="31" t="str">
        <f>IF(SnapshotTable[[#This Row],[Equity Basis Total]] &gt; 0, SnapshotTable[[#This Row],[Equity Basis Per Share]] * SnapshotTable[[#This Row],[Booked Sale Shares]], "")</f>
        <v/>
      </c>
      <c r="GI64" s="31">
        <f>IF(SnapshotTable[[#This Row],[Sale Proceeds]]&gt;0, SnapshotTable[[#This Row],[Sale Proceeds]] - SnapshotTable[[#This Row],[Sale Basis]], 0)</f>
        <v>0</v>
      </c>
      <c r="GJ64" s="27" t="str">
        <f>IF(SnapshotTable[[#This Row],[Sale G/L]]&gt;0, SnapshotTable[[#This Row],[Sale G/L]] / SnapshotTable[[#This Row],[Sale Basis]], IF(ISNUMBER(SnapshotTable[[#This Row],[SC Exercise P&amp;L (TAX)]]), SnapshotTable[[#This Row],[SC Exercise P&amp;L (TAX)]] / SnapshotTable[[#This Row],[SC Basis]], ""))</f>
        <v/>
      </c>
      <c r="GK64" s="27" t="s">
        <v>1016</v>
      </c>
      <c r="GL64" s="43" t="str">
        <f>IF(AND(SnapshotTable[[#This Row],[LP Exp Date]]&gt;0,SnapshotTable[[#This Row],[LP Strike Price]]&gt;0), [1]!ToOptionSymbol(SnapshotTable[[#This Row],[Symbol]], SnapshotTable[[#This Row],[LP Strike Price]],SnapshotTable[[#This Row],[LP Exp Date]],1), "")</f>
        <v/>
      </c>
      <c r="GM64" s="30" t="str">
        <f>IF(LEN(SnapshotTable[[#This Row],[LP Symbol]])&gt;0, 1, "")</f>
        <v/>
      </c>
      <c r="GN64" s="43" t="str">
        <f>IF(AND(SnapshotTable[[#This Row],[SP Exp Date]]&gt;0,SnapshotTable[[#This Row],[SP Strike Price]]&gt;0), [1]!ToOptionSymbol(SnapshotTable[[#This Row],[Symbol]], SnapshotTable[[#This Row],[SP Strike Price]],SnapshotTable[[#This Row],[SP Exp Date]],1), "")</f>
        <v>FCEL260710P00021000</v>
      </c>
      <c r="GO64" s="30">
        <f>IF(LEN(SnapshotTable[[#This Row],[SP Symbol]])&gt;0, 1, "")</f>
        <v>1</v>
      </c>
      <c r="GP64" s="43" t="str">
        <f>IF(AND(SnapshotTable[[#This Row],[LC Exp Date]]&gt;0,SnapshotTable[[#This Row],[LC Strike Price]]&gt;0), [1]!ToOptionSymbol(SnapshotTable[[#This Row],[Symbol]], SnapshotTable[[#This Row],[LC Strike Price]],SnapshotTable[[#This Row],[LC Exp Date]],0), "")</f>
        <v/>
      </c>
      <c r="GQ64" s="30" t="str">
        <f>IF(LEN(SnapshotTable[[#This Row],[LC Symbol]])&gt;0, 1, "")</f>
        <v/>
      </c>
      <c r="GR64" s="43" t="str">
        <f>IF(AND(SnapshotTable[[#This Row],[SC Exp Date]]&gt;0,SnapshotTable[[#This Row],[SC Strike Price]]&gt;0), [1]!ToOptionSymbol(SnapshotTable[[#This Row],[Symbol]], SnapshotTable[[#This Row],[SC Strike Price]],SnapshotTable[[#This Row],[SC Exp Date]],0), "")</f>
        <v/>
      </c>
      <c r="GS64" s="30" t="str">
        <f>IF(LEN(SnapshotTable[[#This Row],[SC Symbol]])&gt;0, 1, "")</f>
        <v/>
      </c>
      <c r="GT64" s="29" t="str">
        <f>IF(COUNT(SnapshotTable[[#This Row],[LP Symbol Count]],SnapshotTable[[#This Row],[SP Symbol Count]],SnapshotTable[[#This Row],[LC Symbol Count]],SnapshotTable[[#This Row],[SC Symbol Count]])&gt;0, "Y", "")</f>
        <v>Y</v>
      </c>
      <c r="GU6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SP </v>
      </c>
      <c r="GV64" s="231">
        <f>MAX(SnapshotTable[[#This Row],[Equity Basis Total]],SnapshotTable[[#This Row],[Equity Value]]) + (SnapshotTable[[#This Row],[SP Potential Spend]]- SnapshotTable[[#This Row],[SP Premium]] + SnapshotTable[[#This Row],[LP Premium]])+ (SnapshotTable[[#This Row],[LC Premium]] - SnapshotTable[[#This Row],[SC Premium]])</f>
        <v>19510</v>
      </c>
      <c r="GW64" s="139" t="e">
        <f>IF(AND(SnapshotTable[[#This Row],[Exposure]] &lt;&gt; 0),SnapshotTable[[#This Row],[Exposure]] / SnapshotTable[[#Totals],[Exposure]], "")</f>
        <v>#VALUE!</v>
      </c>
      <c r="HE64" s="268"/>
      <c r="HF64" s="268"/>
      <c r="HK64" s="1"/>
      <c r="HL64" s="1"/>
      <c r="HM64" s="1"/>
      <c r="HN64" s="1"/>
      <c r="HO64" s="1"/>
      <c r="HP64" s="1"/>
    </row>
    <row r="65" spans="2:224" ht="12.75" hidden="1" customHeight="1" x14ac:dyDescent="0.25">
      <c r="B65" s="12" t="s">
        <v>1247</v>
      </c>
      <c r="C65" s="422">
        <v>41.28</v>
      </c>
      <c r="D65" s="208"/>
      <c r="E65" s="39">
        <f>SnapshotTable[[#This Row],[Last Price]]*(1 -CrashDiscount)</f>
        <v>35.088000000000001</v>
      </c>
      <c r="F65" s="325" t="s">
        <v>937</v>
      </c>
      <c r="G65" s="325" t="s">
        <v>4</v>
      </c>
      <c r="H65" s="149"/>
      <c r="I65" s="194"/>
      <c r="J65" s="195"/>
      <c r="K65" s="196"/>
      <c r="L65" s="326"/>
      <c r="M65" s="140"/>
      <c r="N65" s="140"/>
      <c r="O65" s="140"/>
      <c r="P65" s="22"/>
      <c r="Q65" s="25"/>
      <c r="R65" s="4" t="str">
        <f>IF(SnapshotTable[[#This Row],[Equity Basis Total]] &gt; 0, SnapshotTable[[#This Row],[Equity Basis Total]] / SnapshotTable[[#This Row],[Equity Shares]], "")</f>
        <v/>
      </c>
      <c r="S65" s="269">
        <f>SnapshotTable[[#This Row],[Last Price]] * SnapshotTable[[#This Row],[Equity Shares]]</f>
        <v>0</v>
      </c>
      <c r="T65" s="269">
        <f>SnapshotTable[[#This Row],[Equity Value]] - SnapshotTable[[#This Row],[Equity Basis Total]]</f>
        <v>0</v>
      </c>
      <c r="U65" s="270" t="str">
        <f>IF(SnapshotTable[[#This Row],[Equity Basis Total]] &gt; 0, SnapshotTable[[#This Row],[Equity G/L]] / SnapshotTable[[#This Row],[Equity Basis Total]], "")</f>
        <v/>
      </c>
      <c r="V65" s="268"/>
      <c r="W65" s="268"/>
      <c r="X65" s="4" t="str">
        <f>IF(AND(ISNUMBER(SnapshotTable[[#This Row],[Equity Basis Per Share]]),ISNUMBER(SnapshotTable[[#This Row],[Equity Target]])),SnapshotTable[[#This Row],[Equity Target]]-SnapshotTable[[#This Row],[Equity Basis Per Share]],"")</f>
        <v/>
      </c>
      <c r="Y65" s="4" t="str">
        <f>IF(AND(ISNUMBER(SnapshotTable[[#This Row],[Equity Basis Per Share]]),ISNUMBER(SnapshotTable[[#This Row],[Equity Stop Loss]])),SnapshotTable[[#This Row],[Equity Stop Loss]]-SnapshotTable[[#This Row],[Equity Basis Per Share]],"")</f>
        <v/>
      </c>
      <c r="Z65" s="275" t="str">
        <f>IFERROR( TEXT(SnapshotTable[[#This Row],[Equity Max Gain Per Share]] /ABS( SnapshotTable[[#This Row],[Equity Max Loss Per Share]]),"0.0 " ) &amp; " : 1", "")</f>
        <v/>
      </c>
      <c r="AA65" s="31" t="str">
        <f>IF(ISNUMBER(SnapshotTable[[#This Row],[Equity Max Gain Per Share]]),SnapshotTable[[#This Row],[Equity Max Gain Per Share]] * SnapshotTable[[#This Row],[Equity Shares]],"")</f>
        <v/>
      </c>
      <c r="AB65" s="31" t="str">
        <f>IF(ISNUMBER(SnapshotTable[[#This Row],[Equity Max Loss Per Share]]),SnapshotTable[[#This Row],[Equity Max Loss Per Share]] * SnapshotTable[[#This Row],[Equity Shares]],"")</f>
        <v/>
      </c>
      <c r="AC65" s="150"/>
      <c r="AD65" s="151"/>
      <c r="AE65" s="31">
        <f>(SnapshotTable[[#This Row],[Annual Dividend Per Share]] / 4) * SnapshotTable[[#This Row],[Equity Shares]]</f>
        <v>0</v>
      </c>
      <c r="AF65" s="31">
        <f>SnapshotTable[[#This Row],[Quarterly Div $]] * 4</f>
        <v>0</v>
      </c>
      <c r="AG65" s="7">
        <f>IF(SnapshotTable[[#This Row],[Annual Dividend Per Share]]&gt;0, SnapshotTable[[#This Row],[Annual Dividend Per Share]]  / SnapshotTable[[#This Row],[Last Price]], 0)</f>
        <v>0</v>
      </c>
      <c r="AH65" s="151"/>
      <c r="AI65" s="5"/>
      <c r="AJ65" s="138"/>
      <c r="AK65" s="152" t="str">
        <f>IF(ISNUMBER( SnapshotTable[[#This Row],[EBF Target]]),(SnapshotTable[[#This Row],[EBF Target]] - SnapshotTable[[#This Row],[Last Price]]) / SnapshotTable[[#This Row],[Last Price]], "")</f>
        <v/>
      </c>
      <c r="AL65" s="152" t="str">
        <f>IF(AND(SnapshotTable[[#This Row],[Equity Basis Total]] &gt; 0,ISNUMBER( SnapshotTable[[#This Row],[Long Term Target]])), SnapshotTable[[#This Row],[From Basis $]] / SnapshotTable[[#This Row],[Equity Basis Total]], "")</f>
        <v/>
      </c>
      <c r="AM65" s="9">
        <f>IF( AND(SnapshotTable[[#This Row],[Equity Shares]] &gt;0,ISNUMBER( SnapshotTable[[#This Row],[Long Term Target]])),(SnapshotTable[[#This Row],[Equity Shares]] * SnapshotTable[[#This Row],[Long Term Target]]) - SnapshotTable[[#This Row],[Equity Basis Total]],0)</f>
        <v>0</v>
      </c>
      <c r="AN65" s="9">
        <f>IF( AND(SnapshotTable[[#This Row],[Equity Shares]] &gt;0,ISNUMBER( SnapshotTable[[#This Row],[Long Term Target]])),(SnapshotTable[[#This Row],[Equity Shares]]*SnapshotTable[[#This Row],[Long Term Target]]) - SnapshotTable[[#This Row],[Equity Value]],0)</f>
        <v>0</v>
      </c>
      <c r="AO65" s="152" t="str">
        <f>IF(AND(ISNUMBER( SnapshotTable[[#This Row],[Long Term Target]]), ISNUMBER(SnapshotTable[[#This Row],[Last Price]])),(SnapshotTable[[#This Row],[Long Term Target]] - SnapshotTable[[#This Row],[Last Price]]) / SnapshotTable[[#This Row],[Last Price]], "")</f>
        <v/>
      </c>
      <c r="AP65" s="5"/>
      <c r="AQ65" s="38"/>
      <c r="AR65" s="5"/>
      <c r="AS65" s="38"/>
      <c r="AT65" s="146"/>
      <c r="AU65" s="187" t="str">
        <f>IF(OR(SnapshotTable[[#This Row],[LP No Fill]]="Y",SnapshotTable[[#This Row],[SP Is Filled]],SnapshotTable[[#This Row],[LC Not Filled]]="Y",SnapshotTable[[#This Row],[SC Is Filled]]),"Y","")</f>
        <v/>
      </c>
      <c r="AV65" s="219"/>
      <c r="AW65" s="225"/>
      <c r="AX65" s="220"/>
      <c r="AY65" s="219" t="str">
        <f>IF(SnapshotTable[[#This Row],[Implied Move]]&gt;0, SnapshotTable[[#This Row],[Last Price]]-SnapshotTable[[#This Row],[Implied Move]],"")</f>
        <v/>
      </c>
      <c r="AZ65" s="219" t="str">
        <f>IF(SnapshotTable[[#This Row],[Implied Move]]&gt;0, SnapshotTable[[#This Row],[Last Price]] + SnapshotTable[[#This Row],[Implied Move]],"")</f>
        <v/>
      </c>
      <c r="BA65" s="331">
        <v>2.76</v>
      </c>
      <c r="BB65" s="347"/>
      <c r="BC6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5" s="351"/>
      <c r="BE65" s="5"/>
      <c r="BF65" s="14"/>
      <c r="BG65" s="13"/>
      <c r="BH65" s="13"/>
      <c r="BI65" s="5"/>
      <c r="BJ65" s="136">
        <f>IF(SnapshotTable[[#This Row],[LP Qty]] &gt; 0, SnapshotTable[[#This Row],[LP Qty]] * SnapshotTable[[#This Row],[LP Book Price]] * 100,0)</f>
        <v>0</v>
      </c>
      <c r="BK65" s="136">
        <f>IF(SnapshotTable[[#This Row],[LP Premium]] &gt; 0, SnapshotTable[[#This Row],[LP Qty]] * SnapshotTable[[#This Row],[LP Strike Price]] * 100,0)</f>
        <v>0</v>
      </c>
      <c r="BL65" s="154"/>
      <c r="BM65" s="385" t="str">
        <f>IF(SnapshotTable[[#This Row],[LP Premium]] &gt; 0,SnapshotTable[[#This Row],[LP Exp Date]]-MAX(SnapshotTable[[#This Row],[LP Book Date]], SnapshotTable[[#This Row],[LP Fill Date]]),"")</f>
        <v/>
      </c>
      <c r="BN65" s="385" t="str">
        <f>IF(ISNUMBER( SnapshotTable[[#This Row],[LP Term]]), SnapshotTable[[#This Row],[LP Exp Date]] - MockToday,"")</f>
        <v/>
      </c>
      <c r="BO65" s="163" t="str">
        <f>IF(AND(SnapshotTable[[#This Row],[LP Exp Date]]&gt;0, SnapshotTable[[#This Row],[LP Strike Price]]&gt;0,SnapshotTable[[#This Row],[LP Qty]]&gt;0,SnapshotTable[[#This Row],[LP Book Date]]&gt;0,SnapshotTable[[#This Row],[LP Book Price]]&gt;0,SnapshotTable[[#This Row],[LP Fill Date]]=0),"Y","")</f>
        <v/>
      </c>
      <c r="BP65" s="31" t="str">
        <f>IF(AND(SnapshotTable[[#This Row],[LP No Fill]]&lt;&gt;"Y",SnapshotTable[[#This Row],[LP Contract Value]]&gt;0, SnapshotTable[[#This Row],[LP Qty]]&gt;0), SnapshotTable[[#This Row],[LP Contract Value]]*SnapshotTable[[#This Row],[LP Qty]]*100,"")</f>
        <v/>
      </c>
      <c r="BQ65" s="13"/>
      <c r="BR65" s="5" t="str">
        <f>IF(SnapshotTable[[#This Row],[SP Exp Date]]&lt;&gt;"",TRUNC(SnapshotTable[[#This Row],[Last Price]]),"")</f>
        <v/>
      </c>
      <c r="BS65" s="36"/>
      <c r="BT65" s="147"/>
      <c r="BU65" s="13"/>
      <c r="BV65" s="5">
        <v>2.2200000000000002</v>
      </c>
      <c r="BW65" s="419" t="b">
        <f>AND(ISNUMBER(SnapshotTable[[#This Row],[SP Exp Date]]), ISNUMBER(SnapshotTable[[#This Row],[SP Strike Price]]), ISNUMBER(SnapshotTable[[#This Row],[SP Qty]]), ISNUMBER(SnapshotTable[[#This Row],[SP Book Date]]), ISNUMBER(SnapshotTable[[#This Row],[SP Book Price]]))</f>
        <v>0</v>
      </c>
      <c r="BX65" s="419" t="b">
        <f>AND(SnapshotTable[[#This Row],[SP Is Booked]], NOT(ISBLANK(SnapshotTable[[#This Row],[SP Fill Date]])))</f>
        <v>0</v>
      </c>
      <c r="BY65" s="33">
        <f>IF(SnapshotTable[[#This Row],[SP Is Booked]], SnapshotTable[[#This Row],[SP Qty]] * SnapshotTable[[#This Row],[SP Book Price]] * 100, 0)</f>
        <v>0</v>
      </c>
      <c r="BZ65" s="369"/>
      <c r="CA65" s="368">
        <f>SnapshotTable[[#This Row],[LP Qty]]</f>
        <v>0</v>
      </c>
      <c r="CB65" s="4" t="str">
        <f>IF(SnapshotTable[[#This Row],[SP Is Booked]], SnapshotTable[[#This Row],[SP Strike Price]] - SnapshotTable[[#This Row],[SP Book Price]], "")</f>
        <v/>
      </c>
      <c r="CC65" s="19" t="str">
        <f>IF(SnapshotTable[[#This Row],[SP Is Booked]],SnapshotTable[[#This Row],[SP Exp Date]]-MAX(SnapshotTable[[#This Row],[SP Book Date]], SnapshotTable[[#This Row],[SP Fill Date]]),"")</f>
        <v/>
      </c>
      <c r="CD65" s="7" t="str">
        <f>IF(SnapshotTable[[#This Row],[SP Is Booked]], SnapshotTable[[#This Row],[SP Book Price]]/SnapshotTable[[#This Row],[SP Strike Price]], "")</f>
        <v/>
      </c>
      <c r="CE65" s="7" t="str">
        <f>IF(ISNUMBER(SnapshotTable[[#This Row],[SP ROO Term]]),SnapshotTable[[#This Row],[SP ROO Term]]*(365/SnapshotTable[[#This Row],[SP Term]]),"")</f>
        <v/>
      </c>
      <c r="CF65" s="236">
        <f>SnapshotTable[[#This Row],[LP Strike Price]] * SnapshotTable[[#This Row],[LP Qty]] * 100</f>
        <v>0</v>
      </c>
      <c r="CG65" s="31" t="e">
        <f>IF(ISNUMBER(SnapshotTable[[#This Row],[SP Premium]]), (SnapshotTable[[#This Row],[SP Qty]] * SnapshotTable[[#This Row],[SP Strike Price]]* 100) - SnapshotTable[[#This Row],[LP Protection]], 0)</f>
        <v>#VALUE!</v>
      </c>
      <c r="CH65" s="7" t="str">
        <f>IF(ISNUMBER(SnapshotTable[[#This Row],[SP Break Even]]),-1 * (SnapshotTable[[#This Row],[SP Break Even]] - SnapshotTable[[#This Row],[Last Price]]) / SnapshotTable[[#This Row],[Last Price]], "")</f>
        <v/>
      </c>
      <c r="CI65" s="31">
        <f>IF(AND(ISNUMBER((SnapshotTable[[#This Row],[SP Potential Spend]])), SnapshotTable[[#This Row],[SP Strike Price]] &gt; SnapshotTable[[#This Row],[Last Price]], SnapshotTable[[#This Row],[SP Is Filled]]), SnapshotTable[[#This Row],[SP Potential Spend]] -  SnapshotTable[[#This Row],[LP Max Value]], 0)</f>
        <v>0</v>
      </c>
      <c r="CJ65" s="244"/>
      <c r="CK65" s="31" t="str">
        <f>IF(ISNUMBER(SnapshotTable[[#This Row],[SP Potential Spend]]),IF(ISNUMBER(SnapshotTable[[#This Row],[SP POW]]), SnapshotTable[[#This Row],[SP POW]] * SnapshotTable[[#This Row],[SP Potential Spend]], SnapshotTable[[#This Row],[SP Potential Spend]]), "")</f>
        <v/>
      </c>
      <c r="CL65" s="164" t="e">
        <f>IF(NOT(SnapshotTable[[#This Row],[SP Is Filled]]),(SnapshotTable[[#This Row],[SP Qty]] * SnapshotTable[[#This Row],[SP Strike Price]] * 100) - SnapshotTable[[#This Row],[LP Max Value]],"")</f>
        <v>#VALUE!</v>
      </c>
      <c r="CM65" s="31" t="str">
        <f>IF(SnapshotTable[[#This Row],[SP Actual Spend]]&lt;&gt;0, ((SnapshotTable[[#This Row],[SP Strike Price]]-SnapshotTable[[#This Row],[Last Price]]) *(SnapshotTable[[#This Row],[SP Qty]]*100) - SnapshotTable[[#This Row],[SP Premium]]) * - 1, "")</f>
        <v/>
      </c>
      <c r="CN65" s="78"/>
      <c r="CO65" s="369"/>
      <c r="CP65" s="4" t="str">
        <f>IF(SnapshotTable[[#This Row],[SP Is Filled]], btc_max_buyback_amount(SnapshotTable[[#This Row],[SP Fill Date]],SnapshotTable[[#This Row],[SP Exp Date]], SnapshotTable[[#This Row],[SP Book Price]]),"")</f>
        <v/>
      </c>
      <c r="CQ65" s="78"/>
      <c r="CR6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5" s="155" t="str">
        <f>IF(SnapshotTable[[#This Row],[SP Is Filled]], btc_next_cutoff_date(SnapshotTable[[#This Row],[SP Fill Date]],SnapshotTable[[#This Row],[SP Exp Date]]),"")</f>
        <v/>
      </c>
      <c r="CT65" s="235" t="str" cm="1">
        <f t="array" ref="CT65">IF(SnapshotTable[[#This Row],[SP Is Filled]], btc_should_buy_back(SnapshotTable[[#This Row],[SP Fill Date]], SnapshotTable[[#This Row],[SP Exp Date]], SnapshotTable[[#This Row],[SP Book Price]], SnapshotTable[[#This Row],[SP Current Ask]], MockToday, SnapshotTable[[#This Row],[SP Buyback Override]]),"")</f>
        <v/>
      </c>
      <c r="CU65" s="143"/>
      <c r="CV65" s="235"/>
      <c r="CW65" s="378" t="str">
        <f>IF(ISNUMBER( SnapshotTable[[#This Row],[SP Term]]), SnapshotTable[[#This Row],[SP Exp Date]] - MockToday,"")</f>
        <v/>
      </c>
      <c r="CX65" s="31" t="str">
        <f>IF(SnapshotTable[[#This Row],[SP Is Filled]],SnapshotTable[[#This Row],[SP Buyback Price to Use]] * 100 * SnapshotTable[[#This Row],[SP Qty]], "")</f>
        <v/>
      </c>
      <c r="CY65" s="4" t="str">
        <f>IF(ISNUMBER(SnapshotTable[[#This Row],[SP Strike Price]]), SnapshotTable[[#This Row],[SP Strike Price]] * (1 - SP_MaxLoss_StrikePct), "")</f>
        <v/>
      </c>
      <c r="CZ65" s="31" t="str">
        <f>IF(ISNUMBER(SnapshotTable[[#This Row],[SP Strike  Stop Per Share]]),SnapshotTable[[#This Row],[SP Premium]] - ((SnapshotTable[[#This Row],[SP Strike Price]]-SnapshotTable[[#This Row],[SP Strike  Stop Per Share]]) *(SnapshotTable[[#This Row],[SP Qty]] * 100)),"")</f>
        <v/>
      </c>
      <c r="DA65" s="4" t="str">
        <f>IF(AND(ISNUMBER(SnapshotTable[[#This Row],[SP Premium]]),SnapshotTable[[#This Row],[SP Premium]]&gt;0), SnapshotTable[[#This Row],[SP Book Price]] * (1 + SP_MaxLoss_OptionPct), "")</f>
        <v/>
      </c>
      <c r="DB65" s="31" t="str">
        <f>IF(ISNUMBER(SnapshotTable[[#This Row],[SP Option  Stop Contract]]),(SnapshotTable[[#This Row],[SP Option  Stop Contract]] *(SnapshotTable[[#This Row],[SP Qty]] * 100) - SnapshotTable[[#This Row],[SP Premium]]),"")</f>
        <v/>
      </c>
      <c r="DC65" s="4"/>
      <c r="DD65" s="4"/>
      <c r="DE65" s="4" t="str">
        <f>IF(AND(SnapshotTable[[#This Row],[SP Qty]]&gt;0, SnapshotTable[[#This Row],[SP Stop To Use]]&gt;0),SnapshotTable[[#This Row],[SP Premium]] - ( SnapshotTable[[#This Row],[SP Qty]] * SnapshotTable[[#This Row],[SP Stop To Use]] * 100), "")</f>
        <v/>
      </c>
      <c r="DF65" s="31" t="str">
        <f>IF(AND(SnapshotTable[[#This Row],[SP Qty]]&gt;0,SnapshotTable[[#This Row],[SP Current Ask]]&gt;0), SnapshotTable[[#This Row],[SP Qty]] * SnapshotTable[[#This Row],[SP Current Ask]] * -100, "")</f>
        <v/>
      </c>
      <c r="DG65" s="31" t="str">
        <f>IF(ISNUMBER((SnapshotTable[[#This Row],[SP Total Value]])), SnapshotTable[[#This Row],[SP Premium]] + SnapshotTable[[#This Row],[SP Total Value]], "")</f>
        <v/>
      </c>
      <c r="DH65" s="294" t="str">
        <f>IF(ISNUMBER((SnapshotTable[[#This Row],[SP Total Value]])), SnapshotTable[[#This Row],[SP Gain Loss]] / SnapshotTable[[#This Row],[SP Premium]], "")</f>
        <v/>
      </c>
      <c r="DI65" s="406"/>
      <c r="DJ65" s="138"/>
      <c r="DK65" s="148"/>
      <c r="DL65" s="13"/>
      <c r="DM65" s="13"/>
      <c r="DO65" s="31">
        <f>IF(SnapshotTable[[#This Row],[LC Symbol Count]]=1, SnapshotTable[[#This Row],[LC Qty]] * SnapshotTable[[#This Row],[LC Book Price]] * 100, 0)</f>
        <v>0</v>
      </c>
      <c r="DP65" s="163" t="str">
        <f>IF(AND(SnapshotTable[[#This Row],[LC Exp Date]]&gt;0, SnapshotTable[[#This Row],[LC Strike Price]]&gt;0,SnapshotTable[[#This Row],[LC Qty]]&gt;0,SnapshotTable[[#This Row],[LC Book Date]]&gt;0,SnapshotTable[[#This Row],[LC Book Price]]&gt;0,SnapshotTable[[#This Row],[LC Fill Date]]=0),"Y","")</f>
        <v/>
      </c>
      <c r="DQ65" s="386" t="str">
        <f>IF(SnapshotTable[[#This Row],[LC Premium]] &gt; 0,SnapshotTable[[#This Row],[LC Exp Date]]-MAX(SnapshotTable[[#This Row],[LC Book Date]], SnapshotTable[[#This Row],[LC Fill Date]]),"")</f>
        <v/>
      </c>
      <c r="DR65" s="386" t="str">
        <f>IF(ISNUMBER(SnapshotTable[[#This Row],[LC Term]]), SnapshotTable[[#This Row],[LC Exp Date]] - MockToday, "")</f>
        <v/>
      </c>
      <c r="DS65" s="234" t="str">
        <f>IF(SnapshotTable[[#This Row],[LC Premium]]&gt;0,SnapshotTable[[#This Row],[LC Strike Price]] + SnapshotTable[[#This Row],[LC Book Price]],"")</f>
        <v/>
      </c>
      <c r="DU65" s="9" t="str">
        <f>IF(AND(SnapshotTable[[#This Row],[LC Symbol Count]]&gt;0, SnapshotTable[[#This Row],[LC Contract Value]]&gt;0), SnapshotTable[[#This Row],[LC Contract Value]] * SnapshotTable[[#This Row],[LC Qty]] * 100, "")</f>
        <v/>
      </c>
      <c r="DV65" s="9" t="str">
        <f>IF(AND(ISNUMBER(SnapshotTable[[#This Row],[LC Total Value]]), SnapshotTable[[#This Row],[LC Not Filled]]&lt;&gt;"Y"), SnapshotTable[[#This Row],[LC Total Value]]-SnapshotTable[[#This Row],[LC Premium]],"")</f>
        <v/>
      </c>
      <c r="DW65" s="240" t="str">
        <f>IF(ISNUMBER(SnapshotTable[[#This Row],[LC Actual Gain Loss]]), SnapshotTable[[#This Row],[LC Actual Gain Loss]] / SnapshotTable[[#This Row],[LC Premium]],"")</f>
        <v/>
      </c>
      <c r="DX65" s="284" t="str">
        <f>IF(ISNUMBER(SnapshotTable[[#This Row],[LC Book Price]]),SnapshotTable[[#This Row],[LC Book Price]] * 1.5,"")</f>
        <v/>
      </c>
      <c r="DY65" s="265" t="str">
        <f>IF(SnapshotTable[[#This Row],[LC Premium]]&gt;0, SnapshotTable[[#This Row],[LC Next Target]] * SnapshotTable[[#This Row],[LC Qty]] * 100,"")</f>
        <v/>
      </c>
      <c r="DZ65" s="265" t="str">
        <f>IF(ISNUMBER(SnapshotTable[[#This Row],[LC Target Gross]]), SnapshotTable[[#This Row],[LC Target Gross]] - SnapshotTable[[#This Row],[LC Premium]], "")</f>
        <v/>
      </c>
      <c r="EA65" s="305" t="str">
        <f>IF(ISNUMBER(SnapshotTable[[#This Row],[LC Target Gain Loss]]), SnapshotTable[[#This Row],[LC Target Gain Loss]]/SnapshotTable[[#This Row],[LC Premium]], "")</f>
        <v/>
      </c>
      <c r="EB65" s="262"/>
      <c r="EC65" s="283" t="str">
        <f>IF(SnapshotTable[[#This Row],[LC Premium]]&gt;0, SnapshotTable[[#This Row],[LC Book Price]] * (1 - LC_StopLoss_Pct),"")</f>
        <v/>
      </c>
      <c r="ED65" s="284"/>
      <c r="EE65" s="283" t="str">
        <f>IF(ISNUMBER(SnapshotTable[[#This Row],[LC Contract Value]]),IF(ISNUMBER(SnapshotTable[[#This Row],[LC Stop Loss Override]]), SnapshotTable[[#This Row],[LC Stop Loss Override]],SnapshotTable[[#This Row],[LC Stop Loss Calc Target]]),"")</f>
        <v/>
      </c>
      <c r="EF65" s="31" t="str">
        <f>IF(ISNUMBER(SnapshotTable[[#This Row],[LC Stop  To Use]]), (SnapshotTable[[#This Row],[LC Stop  To Use]] * SnapshotTable[[#This Row],[LC Qty]] * 100),"")</f>
        <v/>
      </c>
      <c r="EG65" s="9" t="str">
        <f>IF(ISNUMBER(SnapshotTable[[#This Row],[LC Total Value]]),SnapshotTable[[#This Row],[LC Stop Loss Amount]] - SnapshotTable[[#This Row],[LC Premium]],"")</f>
        <v/>
      </c>
      <c r="EH65" s="9">
        <f>IF(ISNUMBER(SnapshotTable[[#This Row],[LC Premium]]), SnapshotTable[[#This Row],[LC Qty]] * 100 * SnapshotTable[[#This Row],[LC Strike Price]], "")</f>
        <v>0</v>
      </c>
      <c r="EI65" s="240" t="str">
        <f>IF(AND(ISNUMBER(SnapshotTable[[#This Row],[LC Total Value]]),SnapshotTable[[#This Row],[LC Total Value]]&gt;0),SnapshotTable[[#This Row],[LC Stop Gain Loss]]  / SnapshotTable[[#This Row],[LC Premium]],"")</f>
        <v/>
      </c>
      <c r="EJ65" s="35">
        <f>IF(ISNUMBER(SnapshotTable[[#This Row],[Equity Shares]]),TRUNC(SnapshotTable[[#This Row],[Equity Shares]] / 100),0) + SnapshotTable[[#This Row],[LC Qty]]</f>
        <v>0</v>
      </c>
      <c r="EK65" s="147"/>
      <c r="EL65" s="138" t="str">
        <f>IF(SnapshotTable[[#This Row],[SC Exp Date]]&lt;&gt;"",TRUNC(SnapshotTable[[#This Row],[Last Price]]),"")</f>
        <v/>
      </c>
      <c r="EM65" s="148"/>
      <c r="EN65" s="147"/>
      <c r="EO65" s="147"/>
      <c r="EP65" s="138"/>
      <c r="EQ65" s="419" t="b">
        <f>AND(ISNUMBER(SnapshotTable[[#This Row],[SC Exp Date]]), ISNUMBER(SnapshotTable[[#This Row],[SC Strike Price]]), ISNUMBER(SnapshotTable[[#This Row],[SC Qty]]), ISNUMBER(SnapshotTable[[#This Row],[SC Book Date]]), ISNUMBER(SnapshotTable[[#This Row],[SC Book Price]]))</f>
        <v>0</v>
      </c>
      <c r="ER65" s="419" t="b">
        <f>AND(SnapshotTable[[#This Row],[SC Is Booked]], NOT(ISBLANK(SnapshotTable[[#This Row],[SC Fill Date]])))</f>
        <v>0</v>
      </c>
      <c r="ES65" s="370"/>
      <c r="ET65" s="34" t="str">
        <f>IF(AND(ISNUMBER(SnapshotTable[[#This Row],[SC Exp Date]]), ISNUMBER(SnapshotTable[[#This Row],[SC Book Date]])), SnapshotTable[[#This Row],[SC Exp Date]] - MAX(SnapshotTable[[#This Row],[SC Book Date]], SnapshotTable[[#This Row],[SC Fill Date]]) + 1, "")</f>
        <v/>
      </c>
      <c r="EU65" s="34" t="str">
        <f>IF(ISNUMBER(SnapshotTable[[#This Row],[SC Term]]), SnapshotTable[[#This Row],[SC Exp Date]]- MockToday, "")</f>
        <v/>
      </c>
      <c r="EV65" s="31">
        <f>IF(SnapshotTable[[#This Row],[SC Is Booked]], SnapshotTable[[#This Row],[SC Qty]] * SnapshotTable[[#This Row],[SC Book Price]] * 100, 0)</f>
        <v>0</v>
      </c>
      <c r="EW65" s="4" t="str">
        <f>IF(AND(ISNUMBER(SnapshotTable[[#This Row],[Last Price]]), ISNUMBER( SnapshotTable[[#This Row],[SC Book Price]])), SnapshotTable[[#This Row],[Last Price]] - SnapshotTable[[#This Row],[SC Book Price]],"")</f>
        <v/>
      </c>
      <c r="EX65" s="234" t="str">
        <f>IF(SnapshotTable[[#This Row],[SC Is Booked]],IF(SnapshotTable[[#This Row],[SC Intrinsic Value]] &gt; 0, SnapshotTable[[#This Row],[SC Strike Price]], SnapshotTable[[#This Row],[Last Price]]), "")</f>
        <v/>
      </c>
      <c r="EY65" s="4">
        <f>IF(SnapshotTable[[#This Row],[SC Is Booked]], (MinimumPremiumRequired * SnapshotTable[[#This Row],[SC Basis]] * SnapshotTable[[#This Row],[SC Term]]), 0)</f>
        <v>0</v>
      </c>
      <c r="EZ65" s="283"/>
      <c r="FA65" s="218"/>
      <c r="FB65" s="370"/>
      <c r="FC65" s="4">
        <f>IF(SnapshotTable[[#This Row],[SC Is Filled]], btc_max_buyback_amount(SnapshotTable[[#This Row],[SC Fill Date]],SnapshotTable[[#This Row],[SC Exp Date]], SnapshotTable[[#This Row],[SC Book Price]]),0)</f>
        <v>0</v>
      </c>
      <c r="FD65" s="5"/>
      <c r="FE65" s="144" t="str">
        <f>IF(SnapshotTable[[#This Row],[SC Is Filled]], btc_next_cutoff_date(SnapshotTable[[#This Row],[SC Fill Date]],SnapshotTable[[#This Row],[SC Exp Date]]),"")</f>
        <v/>
      </c>
      <c r="FF65" s="4" t="str" cm="1">
        <f t="array" ref="FF65">IF(SnapshotTable[[#This Row],[SC Is Filled]], btc_should_buy_back(SnapshotTable[[#This Row],[SC Fill Date]], SnapshotTable[[#This Row],[SC Exp Date]], SnapshotTable[[#This Row],[SC Book Price]], SnapshotTable[[#This Row],[SC Current Ask]], MockToday, SnapshotTable[[#This Row],[SC Buyback Override]]),"")</f>
        <v/>
      </c>
      <c r="FG65" s="4">
        <f>IF(SnapshotTable[[#This Row],[SC Is Filled]], MAX(0,SnapshotTable[[#This Row],[Last Price]]  - SnapshotTable[[#This Row],[SC Strike Price]]), 0)</f>
        <v>0</v>
      </c>
      <c r="FH65" s="382">
        <f>IF(SnapshotTable[[#This Row],[SC Is Filled]], IF(ISNUMBER(SnapshotTable[[#This Row],[SC Current Ask]]), SnapshotTable[[#This Row],[SC Current Ask]], SnapshotTable[[#This Row],[SC Book Price]]) - SnapshotTable[[#This Row],[SC Intrinsic Value]], 0)</f>
        <v>0</v>
      </c>
      <c r="FI65" s="143"/>
      <c r="FJ65" s="32" t="str">
        <f>IF(SnapshotTable[[#This Row],[SC Is Filled]],100 * SnapshotTable[[#This Row],[SC Qty]] * IF(ISNUMBER(SnapshotTable[[#This Row],[SC Buyback Override]]), SnapshotTable[[#This Row],[SC Buyback Override]], SnapshotTable[[#This Row],[SC Current Ask]]), "")</f>
        <v/>
      </c>
      <c r="FK65" s="250" t="str">
        <f>IF(SnapshotTable[[#This Row],[SC Time Val]]&gt;0, SnapshotTable[[#This Row],[SC Time Val]] / SnapshotTable[[#This Row],[Last Price]],"")</f>
        <v/>
      </c>
      <c r="FL65" s="302" t="str">
        <f>IF(SnapshotTable[[#This Row],[SC Is Booked]], ((SnapshotTable[[#This Row],[Last Price]] -SnapshotTable[[#This Row],[SC Strike Price]]) / SnapshotTable[[#This Row],[Last Price]]) * -1, "")</f>
        <v/>
      </c>
      <c r="FM65" s="157" t="str">
        <f>IF(SnapshotTable[[#This Row],[SC Is Booked]],  (SnapshotTable[[#This Row],[SC Qty]] * 100 * SnapshotTable[[#This Row],[SC Strike Price]]) - SnapshotTable[[#This Row],[SC Current Ask]], "")</f>
        <v/>
      </c>
      <c r="FN6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5" s="31" t="str">
        <f>IF(AND(ISNUMBER(SnapshotTable[[#This Row],[SC Exercise Gross]]), ISNUMBER(SnapshotTable[[#This Row],[Equity Basis Per Share]] )), SnapshotTable[[#This Row],[SC Exercise Gross]] - SnapshotTable[[#This Row],[Equity Basis Total]] +  SnapshotTable[[#This Row],[SC Premium]], "")</f>
        <v/>
      </c>
      <c r="FP65" s="5" t="str">
        <f>IF(ISNUMBER(SnapshotTable[[#This Row],[SC Exercise Gross]]), (SnapshotTable[[#This Row],[SC Exercise Gross]]) / (SnapshotTable[[#This Row],[SC Qty]] * 100), "")</f>
        <v/>
      </c>
      <c r="FQ65" s="27" t="str">
        <f>IF(SnapshotTable[[#This Row],[SC Is Booked]],SnapshotTable[[#This Row],[SC Time Val]] /SnapshotTable[[#This Row],[SC Basis]], "")</f>
        <v/>
      </c>
      <c r="FR65" s="27" t="str" cm="1">
        <f t="array" ref="FR65">IF(AND(ISNUMBER(SnapshotTable[[#This Row],[SC Term]]),ISNUMBER(SnapshotTable[[#This Row],[SC Simple ROO]])), EllmanAnnualize(SnapshotTable[[#This Row],[SC DTE]], SnapshotTable[[#This Row],[SC Simple ROO]] ),"")</f>
        <v/>
      </c>
      <c r="FS65" s="4" t="e">
        <f>IF(SnapshotTable[[#This Row],[SC Strike Price]] &gt; SnapshotTable[[#This Row],[Last Price]], SnapshotTable[[#This Row],[SC Strike Price]] - SnapshotTable[[#This Row],[Last Price]],0)</f>
        <v>#VALUE!</v>
      </c>
      <c r="FT65" s="27" t="e">
        <f>IF(AND(ISNUMBER(SnapshotTable[[#This Row],[SC Upside Potential]]), SnapshotTable[[#This Row],[SC Upside Potential]] &gt; 0),(SnapshotTable[[#This Row],[SC Upside Potential]]/ SnapshotTable[[#This Row],[ACB]]),"")</f>
        <v>#VALUE!</v>
      </c>
      <c r="FU65" s="333" t="str">
        <f>IF(SnapshotTable[[#This Row],[SC Intrinsic Value]] &gt; 0,SnapshotTable[[#This Row],[SC Intrinsic Value]],"")</f>
        <v/>
      </c>
      <c r="FV65" s="27" t="str">
        <f>IF(AND( ISNUMBER( SnapshotTable[[#This Row],[ACB]]),ISNUMBER(SnapshotTable[[#This Row],[SC Downside Protect]])),SnapshotTable[[#This Row],[SC Downside Protect]] / SnapshotTable[[#This Row],[ACB]],"")</f>
        <v/>
      </c>
      <c r="FW65" s="236" t="str">
        <f>IF(AND(ISNUMBER(SnapshotTable[[#This Row],[SC Simple ROO]]),SnapshotTable[[#This Row],[SC Simple ROO]] &gt; 0), SnapshotTable[[#This Row],[SC Premium]] + (SnapshotTable[[#This Row],[SC Qty]] * SnapshotTable[[#This Row],[SC Upside Potential]]), "")</f>
        <v/>
      </c>
      <c r="FX65" s="302" t="str" cm="1">
        <f t="array" ref="FX65">IF(ISNUMBER(SnapshotTable[[#This Row],[SC Max Dollars]]), annualize(SnapshotTable[[#This Row],[SC Term]],(SnapshotTable[[#This Row],[SC Max Dollars]]/SnapshotTable[[#This Row],[SC Basis]])),"")</f>
        <v/>
      </c>
      <c r="FY65" s="236" t="str">
        <f>IF(AND(SnapshotTable[[#This Row],[SC Qty]]&gt;0,SnapshotTable[[#This Row],[SC Current Ask]]&gt;0), SnapshotTable[[#This Row],[SC Qty]] * SnapshotTable[[#This Row],[SC Current Ask]] * -100, "")</f>
        <v/>
      </c>
      <c r="FZ65" s="31" t="str">
        <f>IF(ISNUMBER((SnapshotTable[[#This Row],[SC Current Value]])), SnapshotTable[[#This Row],[SC Premium]] + SnapshotTable[[#This Row],[SC Current Value]], "")</f>
        <v/>
      </c>
      <c r="GA65" s="294" t="str">
        <f>IFERROR( IF(ISNUMBER((SnapshotTable[[#This Row],[SC Current Value]])), SnapshotTable[[#This Row],[SC Gain Loss]] / SnapshotTable[[#This Row],[SC Premium]], ""), "")</f>
        <v/>
      </c>
      <c r="GB65" s="42">
        <f>SnapshotTable[[#This Row],[Equity Shares]] * SaleSharesToConsiderPercentage</f>
        <v>0</v>
      </c>
      <c r="GC65" s="40">
        <f>SnapshotTable[[#This Row],[Long Term Target]] * SellingPriceToConsiderBasedOnTargetPercentage</f>
        <v>0</v>
      </c>
      <c r="GD65" s="40">
        <f>SnapshotTable[[#This Row],[Last Price]] * (1+ SellingPriceToConsiderBasedOnTargetPercentage)</f>
        <v>80.495999999999995</v>
      </c>
      <c r="GE65" s="41"/>
      <c r="GF65" s="40"/>
      <c r="GG65" s="31">
        <f>SnapshotTable[[#This Row],[Booked Sale Shares]] * SnapshotTable[[#This Row],[Booked Sale Price]]</f>
        <v>0</v>
      </c>
      <c r="GH65" s="31" t="str">
        <f>IF(SnapshotTable[[#This Row],[Equity Basis Total]] &gt; 0, SnapshotTable[[#This Row],[Equity Basis Per Share]] * SnapshotTable[[#This Row],[Booked Sale Shares]], "")</f>
        <v/>
      </c>
      <c r="GI65" s="31">
        <f>IF(SnapshotTable[[#This Row],[Sale Proceeds]]&gt;0, SnapshotTable[[#This Row],[Sale Proceeds]] - SnapshotTable[[#This Row],[Sale Basis]], 0)</f>
        <v>0</v>
      </c>
      <c r="GJ65" s="27" t="str">
        <f>IF(SnapshotTable[[#This Row],[Sale G/L]]&gt;0, SnapshotTable[[#This Row],[Sale G/L]] / SnapshotTable[[#This Row],[Sale Basis]], IF(ISNUMBER(SnapshotTable[[#This Row],[SC Exercise P&amp;L (TAX)]]), SnapshotTable[[#This Row],[SC Exercise P&amp;L (TAX)]] / SnapshotTable[[#This Row],[SC Basis]], ""))</f>
        <v/>
      </c>
      <c r="GK65" s="27"/>
      <c r="GL65" s="43" t="str">
        <f>IF(AND(SnapshotTable[[#This Row],[LP Exp Date]]&gt;0,SnapshotTable[[#This Row],[LP Strike Price]]&gt;0), [1]!ToOptionSymbol(SnapshotTable[[#This Row],[Symbol]], SnapshotTable[[#This Row],[LP Strike Price]],SnapshotTable[[#This Row],[LP Exp Date]],1), "")</f>
        <v/>
      </c>
      <c r="GM65" s="30" t="str">
        <f>IF(LEN(SnapshotTable[[#This Row],[LP Symbol]])&gt;0, 1, "")</f>
        <v/>
      </c>
      <c r="GN65" s="43" t="str">
        <f>IF(AND(SnapshotTable[[#This Row],[SP Exp Date]]&gt;0,SnapshotTable[[#This Row],[SP Strike Price]]&gt;0), [1]!ToOptionSymbol(SnapshotTable[[#This Row],[Symbol]], SnapshotTable[[#This Row],[SP Strike Price]],SnapshotTable[[#This Row],[SP Exp Date]],1), "")</f>
        <v/>
      </c>
      <c r="GO65" s="30" t="str">
        <f>IF(LEN(SnapshotTable[[#This Row],[SP Symbol]])&gt;0, 1, "")</f>
        <v/>
      </c>
      <c r="GP65" s="43" t="str">
        <f>IF(AND(SnapshotTable[[#This Row],[LC Exp Date]]&gt;0,SnapshotTable[[#This Row],[LC Strike Price]]&gt;0), [1]!ToOptionSymbol(SnapshotTable[[#This Row],[Symbol]], SnapshotTable[[#This Row],[LC Strike Price]],SnapshotTable[[#This Row],[LC Exp Date]],0), "")</f>
        <v/>
      </c>
      <c r="GQ65" s="30" t="str">
        <f>IF(LEN(SnapshotTable[[#This Row],[LC Symbol]])&gt;0, 1, "")</f>
        <v/>
      </c>
      <c r="GR65" s="43" t="str">
        <f>IF(AND(SnapshotTable[[#This Row],[SC Exp Date]]&gt;0,SnapshotTable[[#This Row],[SC Strike Price]]&gt;0), [1]!ToOptionSymbol(SnapshotTable[[#This Row],[Symbol]], SnapshotTable[[#This Row],[SC Strike Price]],SnapshotTable[[#This Row],[SC Exp Date]],0), "")</f>
        <v/>
      </c>
      <c r="GS65" s="30" t="str">
        <f>IF(LEN(SnapshotTable[[#This Row],[SC Symbol]])&gt;0, 1, "")</f>
        <v/>
      </c>
      <c r="GT65" s="29" t="str">
        <f>IF(COUNT(SnapshotTable[[#This Row],[LP Symbol Count]],SnapshotTable[[#This Row],[SP Symbol Count]],SnapshotTable[[#This Row],[LC Symbol Count]],SnapshotTable[[#This Row],[SC Symbol Count]])&gt;0, "Y", "")</f>
        <v/>
      </c>
      <c r="GU6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5" s="231" t="e">
        <f>MAX(SnapshotTable[[#This Row],[Equity Basis Total]],SnapshotTable[[#This Row],[Equity Value]]) + (SnapshotTable[[#This Row],[SP Potential Spend]]- SnapshotTable[[#This Row],[SP Premium]] + SnapshotTable[[#This Row],[LP Premium]])+ (SnapshotTable[[#This Row],[LC Premium]] - SnapshotTable[[#This Row],[SC Premium]])</f>
        <v>#VALUE!</v>
      </c>
      <c r="GW65" s="139" t="e">
        <f>IF(AND(SnapshotTable[[#This Row],[Exposure]] &lt;&gt; 0),SnapshotTable[[#This Row],[Exposure]] / SnapshotTable[[#Totals],[Exposure]], "")</f>
        <v>#VALUE!</v>
      </c>
      <c r="HE65" s="268"/>
      <c r="HF65" s="268"/>
      <c r="HK65" s="1"/>
      <c r="HL65" s="1"/>
      <c r="HM65" s="1"/>
      <c r="HN65" s="1"/>
      <c r="HO65" s="1"/>
      <c r="HP65" s="1"/>
    </row>
    <row r="66" spans="2:224" ht="12.75" hidden="1" customHeight="1" x14ac:dyDescent="0.25">
      <c r="B66" s="12" t="s">
        <v>95</v>
      </c>
      <c r="C66" s="422">
        <v>33.03</v>
      </c>
      <c r="D66" s="208" t="s">
        <v>578</v>
      </c>
      <c r="E66" s="39">
        <f>SnapshotTable[[#This Row],[Last Price]]*(1 -CrashDiscount)</f>
        <v>28.075500000000002</v>
      </c>
      <c r="F66" s="26" t="s">
        <v>42</v>
      </c>
      <c r="G66" s="26" t="s">
        <v>822</v>
      </c>
      <c r="H66" s="149"/>
      <c r="I66" s="194">
        <v>45041.28125</v>
      </c>
      <c r="J66" s="195">
        <v>45041.28125</v>
      </c>
      <c r="K66" s="196"/>
      <c r="L66" s="326"/>
      <c r="M66" s="140"/>
      <c r="N66" s="140"/>
      <c r="O66" s="140"/>
      <c r="P66" s="22"/>
      <c r="Q66" s="25"/>
      <c r="R66" s="4" t="str">
        <f>IF(SnapshotTable[[#This Row],[Equity Basis Total]] &gt; 0, SnapshotTable[[#This Row],[Equity Basis Total]] / SnapshotTable[[#This Row],[Equity Shares]], "")</f>
        <v/>
      </c>
      <c r="S66" s="269">
        <f>SnapshotTable[[#This Row],[Last Price]] * SnapshotTable[[#This Row],[Equity Shares]]</f>
        <v>0</v>
      </c>
      <c r="T66" s="269">
        <f>SnapshotTable[[#This Row],[Equity Value]] - SnapshotTable[[#This Row],[Equity Basis Total]]</f>
        <v>0</v>
      </c>
      <c r="U66" s="270" t="str">
        <f>IF(SnapshotTable[[#This Row],[Equity Basis Total]] &gt; 0, SnapshotTable[[#This Row],[Equity G/L]] / SnapshotTable[[#This Row],[Equity Basis Total]], "")</f>
        <v/>
      </c>
      <c r="V66" s="268">
        <v>46</v>
      </c>
      <c r="W66" s="268">
        <v>37.549999999999997</v>
      </c>
      <c r="X66" s="4" t="str">
        <f>IF(AND(ISNUMBER(SnapshotTable[[#This Row],[Equity Basis Per Share]]),ISNUMBER(SnapshotTable[[#This Row],[Equity Target]])),SnapshotTable[[#This Row],[Equity Target]]-SnapshotTable[[#This Row],[Equity Basis Per Share]],"")</f>
        <v/>
      </c>
      <c r="Y66" s="4" t="str">
        <f>IF(AND(ISNUMBER(SnapshotTable[[#This Row],[Equity Basis Per Share]]),ISNUMBER(SnapshotTable[[#This Row],[Equity Stop Loss]])),SnapshotTable[[#This Row],[Equity Stop Loss]]-SnapshotTable[[#This Row],[Equity Basis Per Share]],"")</f>
        <v/>
      </c>
      <c r="Z66" s="275" t="str">
        <f>IFERROR( TEXT(SnapshotTable[[#This Row],[Equity Max Gain Per Share]] /ABS( SnapshotTable[[#This Row],[Equity Max Loss Per Share]]),"0.0 " ) &amp; " : 1", "")</f>
        <v/>
      </c>
      <c r="AA66" s="31" t="str">
        <f>IF(ISNUMBER(SnapshotTable[[#This Row],[Equity Max Gain Per Share]]),SnapshotTable[[#This Row],[Equity Max Gain Per Share]] * SnapshotTable[[#This Row],[Equity Shares]],"")</f>
        <v/>
      </c>
      <c r="AB66" s="31" t="str">
        <f>IF(ISNUMBER(SnapshotTable[[#This Row],[Equity Max Loss Per Share]]),SnapshotTable[[#This Row],[Equity Max Loss Per Share]] * SnapshotTable[[#This Row],[Equity Shares]],"")</f>
        <v/>
      </c>
      <c r="AC66" s="150"/>
      <c r="AD66" s="151"/>
      <c r="AE66" s="31">
        <f>(SnapshotTable[[#This Row],[Annual Dividend Per Share]] / 4) * SnapshotTable[[#This Row],[Equity Shares]]</f>
        <v>0</v>
      </c>
      <c r="AF66" s="31">
        <f>SnapshotTable[[#This Row],[Quarterly Div $]] * 4</f>
        <v>0</v>
      </c>
      <c r="AG66" s="7">
        <f>IF(SnapshotTable[[#This Row],[Annual Dividend Per Share]]&gt;0, SnapshotTable[[#This Row],[Annual Dividend Per Share]]  / SnapshotTable[[#This Row],[Last Price]], 0)</f>
        <v>0</v>
      </c>
      <c r="AH66" s="151"/>
      <c r="AI66" s="5"/>
      <c r="AJ66" s="138">
        <v>45.68</v>
      </c>
      <c r="AK66" s="152" t="str">
        <f>IF(ISNUMBER( SnapshotTable[[#This Row],[EBF Target]]),(SnapshotTable[[#This Row],[EBF Target]] - SnapshotTable[[#This Row],[Last Price]]) / SnapshotTable[[#This Row],[Last Price]], "")</f>
        <v/>
      </c>
      <c r="AL66" s="152" t="str">
        <f>IF(AND(SnapshotTable[[#This Row],[Equity Basis Total]] &gt; 0,ISNUMBER( SnapshotTable[[#This Row],[Long Term Target]])), SnapshotTable[[#This Row],[From Basis $]] / SnapshotTable[[#This Row],[Equity Basis Total]], "")</f>
        <v/>
      </c>
      <c r="AM66" s="9">
        <f>IF( AND(SnapshotTable[[#This Row],[Equity Shares]] &gt;0,ISNUMBER( SnapshotTable[[#This Row],[Long Term Target]])),(SnapshotTable[[#This Row],[Equity Shares]] * SnapshotTable[[#This Row],[Long Term Target]]) - SnapshotTable[[#This Row],[Equity Basis Total]],0)</f>
        <v>0</v>
      </c>
      <c r="AN66" s="9">
        <f>IF( AND(SnapshotTable[[#This Row],[Equity Shares]] &gt;0,ISNUMBER( SnapshotTable[[#This Row],[Long Term Target]])),(SnapshotTable[[#This Row],[Equity Shares]]*SnapshotTable[[#This Row],[Long Term Target]]) - SnapshotTable[[#This Row],[Equity Value]],0)</f>
        <v>0</v>
      </c>
      <c r="AO66" s="152">
        <f>IF(AND(ISNUMBER( SnapshotTable[[#This Row],[Long Term Target]]), ISNUMBER(SnapshotTable[[#This Row],[Last Price]])),(SnapshotTable[[#This Row],[Long Term Target]] - SnapshotTable[[#This Row],[Last Price]]) / SnapshotTable[[#This Row],[Last Price]], "")</f>
        <v>0.38298516500151369</v>
      </c>
      <c r="AP66" s="5">
        <v>38</v>
      </c>
      <c r="AQ66" s="38" t="s">
        <v>38</v>
      </c>
      <c r="AR66" s="5">
        <v>38</v>
      </c>
      <c r="AS66" s="38" t="s">
        <v>26</v>
      </c>
      <c r="AT66" s="146" t="s">
        <v>538</v>
      </c>
      <c r="AU66" s="187" t="str">
        <f>IF(OR(SnapshotTable[[#This Row],[LP No Fill]]="Y",SnapshotTable[[#This Row],[SP Is Filled]],SnapshotTable[[#This Row],[LC Not Filled]]="Y",SnapshotTable[[#This Row],[SC Is Filled]]),"Y","")</f>
        <v/>
      </c>
      <c r="AV66" s="219"/>
      <c r="AW66" s="225"/>
      <c r="AX66" s="220"/>
      <c r="AY66" s="219" t="str">
        <f>IF(SnapshotTable[[#This Row],[Implied Move]]&gt;0, SnapshotTable[[#This Row],[Last Price]]-SnapshotTable[[#This Row],[Implied Move]],"")</f>
        <v/>
      </c>
      <c r="AZ66" s="219" t="str">
        <f>IF(SnapshotTable[[#This Row],[Implied Move]]&gt;0, SnapshotTable[[#This Row],[Last Price]] + SnapshotTable[[#This Row],[Implied Move]],"")</f>
        <v/>
      </c>
      <c r="BA66" s="331">
        <v>30.7</v>
      </c>
      <c r="BB66" s="347" t="s">
        <v>1143</v>
      </c>
      <c r="BC6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6" s="351"/>
      <c r="BE66" s="5"/>
      <c r="BF66" s="14"/>
      <c r="BG66" s="13"/>
      <c r="BH66" s="13"/>
      <c r="BI66" s="5"/>
      <c r="BJ66" s="136">
        <f>IF(SnapshotTable[[#This Row],[LP Qty]] &gt; 0, SnapshotTable[[#This Row],[LP Qty]] * SnapshotTable[[#This Row],[LP Book Price]] * 100,0)</f>
        <v>0</v>
      </c>
      <c r="BK66" s="136">
        <f>IF(SnapshotTable[[#This Row],[LP Premium]] &gt; 0, SnapshotTable[[#This Row],[LP Qty]] * SnapshotTable[[#This Row],[LP Strike Price]] * 100,0)</f>
        <v>0</v>
      </c>
      <c r="BL66" s="154"/>
      <c r="BM66" s="385" t="str">
        <f>IF(SnapshotTable[[#This Row],[LP Premium]] &gt; 0,SnapshotTable[[#This Row],[LP Exp Date]]-MAX(SnapshotTable[[#This Row],[LP Book Date]], SnapshotTable[[#This Row],[LP Fill Date]]),"")</f>
        <v/>
      </c>
      <c r="BN66" s="385" t="str">
        <f>IF(ISNUMBER( SnapshotTable[[#This Row],[LP Term]]), SnapshotTable[[#This Row],[LP Exp Date]] - MockToday,"")</f>
        <v/>
      </c>
      <c r="BO66" s="163" t="str">
        <f>IF(AND(SnapshotTable[[#This Row],[LP Exp Date]]&gt;0, SnapshotTable[[#This Row],[LP Strike Price]]&gt;0,SnapshotTable[[#This Row],[LP Qty]]&gt;0,SnapshotTable[[#This Row],[LP Book Date]]&gt;0,SnapshotTable[[#This Row],[LP Book Price]]&gt;0,SnapshotTable[[#This Row],[LP Fill Date]]=0),"Y","")</f>
        <v/>
      </c>
      <c r="BP66" s="31" t="str">
        <f>IF(AND(SnapshotTable[[#This Row],[LP No Fill]]&lt;&gt;"Y",SnapshotTable[[#This Row],[LP Contract Value]]&gt;0, SnapshotTable[[#This Row],[LP Qty]]&gt;0), SnapshotTable[[#This Row],[LP Contract Value]]*SnapshotTable[[#This Row],[LP Qty]]*100,"")</f>
        <v/>
      </c>
      <c r="BQ66" s="13"/>
      <c r="BR66" s="5" t="str">
        <f>IF(SnapshotTable[[#This Row],[SP Exp Date]]&lt;&gt;"",TRUNC(SnapshotTable[[#This Row],[Last Price]]),"")</f>
        <v/>
      </c>
      <c r="BS66" s="36"/>
      <c r="BT66" s="147"/>
      <c r="BU66" s="13"/>
      <c r="BV66" s="5"/>
      <c r="BW66" s="419" t="b">
        <f>AND(ISNUMBER(SnapshotTable[[#This Row],[SP Exp Date]]), ISNUMBER(SnapshotTable[[#This Row],[SP Strike Price]]), ISNUMBER(SnapshotTable[[#This Row],[SP Qty]]), ISNUMBER(SnapshotTable[[#This Row],[SP Book Date]]), ISNUMBER(SnapshotTable[[#This Row],[SP Book Price]]))</f>
        <v>0</v>
      </c>
      <c r="BX66" s="419" t="b">
        <f>AND(SnapshotTable[[#This Row],[SP Is Booked]], NOT(ISBLANK(SnapshotTable[[#This Row],[SP Fill Date]])))</f>
        <v>0</v>
      </c>
      <c r="BY66" s="33">
        <f>IF(SnapshotTable[[#This Row],[SP Is Booked]], SnapshotTable[[#This Row],[SP Qty]] * SnapshotTable[[#This Row],[SP Book Price]] * 100, 0)</f>
        <v>0</v>
      </c>
      <c r="BZ66" s="369"/>
      <c r="CA66" s="368">
        <f>SnapshotTable[[#This Row],[LP Qty]]</f>
        <v>0</v>
      </c>
      <c r="CB66" s="4" t="str">
        <f>IF(SnapshotTable[[#This Row],[SP Is Booked]], SnapshotTable[[#This Row],[SP Strike Price]] - SnapshotTable[[#This Row],[SP Book Price]], "")</f>
        <v/>
      </c>
      <c r="CC66" s="19" t="str">
        <f>IF(SnapshotTable[[#This Row],[SP Is Booked]],SnapshotTable[[#This Row],[SP Exp Date]]-MAX(SnapshotTable[[#This Row],[SP Book Date]], SnapshotTable[[#This Row],[SP Fill Date]]),"")</f>
        <v/>
      </c>
      <c r="CD66" s="7" t="str">
        <f>IF(SnapshotTable[[#This Row],[SP Is Booked]], SnapshotTable[[#This Row],[SP Book Price]]/SnapshotTable[[#This Row],[SP Strike Price]], "")</f>
        <v/>
      </c>
      <c r="CE66" s="7" t="str">
        <f>IF(ISNUMBER(SnapshotTable[[#This Row],[SP ROO Term]]),SnapshotTable[[#This Row],[SP ROO Term]]*(365/SnapshotTable[[#This Row],[SP Term]]),"")</f>
        <v/>
      </c>
      <c r="CF66" s="236">
        <f>SnapshotTable[[#This Row],[LP Strike Price]] * SnapshotTable[[#This Row],[LP Qty]] * 100</f>
        <v>0</v>
      </c>
      <c r="CG66" s="31" t="e">
        <f>IF(ISNUMBER(SnapshotTable[[#This Row],[SP Premium]]), (SnapshotTable[[#This Row],[SP Qty]] * SnapshotTable[[#This Row],[SP Strike Price]]* 100) - SnapshotTable[[#This Row],[LP Protection]], 0)</f>
        <v>#VALUE!</v>
      </c>
      <c r="CH66" s="7" t="str">
        <f>IF(ISNUMBER(SnapshotTable[[#This Row],[SP Break Even]]),-1 * (SnapshotTable[[#This Row],[SP Break Even]] - SnapshotTable[[#This Row],[Last Price]]) / SnapshotTable[[#This Row],[Last Price]], "")</f>
        <v/>
      </c>
      <c r="CI66" s="31">
        <f>IF(AND(ISNUMBER((SnapshotTable[[#This Row],[SP Potential Spend]])), SnapshotTable[[#This Row],[SP Strike Price]] &gt; SnapshotTable[[#This Row],[Last Price]], SnapshotTable[[#This Row],[SP Is Filled]]), SnapshotTable[[#This Row],[SP Potential Spend]] -  SnapshotTable[[#This Row],[LP Max Value]], 0)</f>
        <v>0</v>
      </c>
      <c r="CJ66" s="244"/>
      <c r="CK66" s="31" t="str">
        <f>IF(ISNUMBER(SnapshotTable[[#This Row],[SP Potential Spend]]),IF(ISNUMBER(SnapshotTable[[#This Row],[SP POW]]), SnapshotTable[[#This Row],[SP POW]] * SnapshotTable[[#This Row],[SP Potential Spend]], SnapshotTable[[#This Row],[SP Potential Spend]]), "")</f>
        <v/>
      </c>
      <c r="CL66" s="164" t="e">
        <f>IF(NOT(SnapshotTable[[#This Row],[SP Is Filled]]),(SnapshotTable[[#This Row],[SP Qty]] * SnapshotTable[[#This Row],[SP Strike Price]] * 100) - SnapshotTable[[#This Row],[LP Max Value]],"")</f>
        <v>#VALUE!</v>
      </c>
      <c r="CM66" s="31" t="str">
        <f>IF(SnapshotTable[[#This Row],[SP Actual Spend]]&lt;&gt;0, ((SnapshotTable[[#This Row],[SP Strike Price]]-SnapshotTable[[#This Row],[Last Price]]) *(SnapshotTable[[#This Row],[SP Qty]]*100) - SnapshotTable[[#This Row],[SP Premium]]) * - 1, "")</f>
        <v/>
      </c>
      <c r="CN66" s="78"/>
      <c r="CO66" s="369"/>
      <c r="CP66" s="4" t="str">
        <f>IF(SnapshotTable[[#This Row],[SP Is Filled]], btc_max_buyback_amount(SnapshotTable[[#This Row],[SP Fill Date]],SnapshotTable[[#This Row],[SP Exp Date]], SnapshotTable[[#This Row],[SP Book Price]]),"")</f>
        <v/>
      </c>
      <c r="CQ66" s="78"/>
      <c r="CR6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6" s="155" t="str">
        <f>IF(SnapshotTable[[#This Row],[SP Is Filled]], btc_next_cutoff_date(SnapshotTable[[#This Row],[SP Fill Date]],SnapshotTable[[#This Row],[SP Exp Date]]),"")</f>
        <v/>
      </c>
      <c r="CT66" s="235" t="str" cm="1">
        <f t="array" ref="CT66">IF(SnapshotTable[[#This Row],[SP Is Filled]], btc_should_buy_back(SnapshotTable[[#This Row],[SP Fill Date]], SnapshotTable[[#This Row],[SP Exp Date]], SnapshotTable[[#This Row],[SP Book Price]], SnapshotTable[[#This Row],[SP Current Ask]], MockToday, SnapshotTable[[#This Row],[SP Buyback Override]]),"")</f>
        <v/>
      </c>
      <c r="CU66" s="143"/>
      <c r="CV66" s="235"/>
      <c r="CW66" s="378" t="str">
        <f>IF(ISNUMBER( SnapshotTable[[#This Row],[SP Term]]), SnapshotTable[[#This Row],[SP Exp Date]] - MockToday,"")</f>
        <v/>
      </c>
      <c r="CX66" s="31" t="str">
        <f>IF(SnapshotTable[[#This Row],[SP Is Filled]],SnapshotTable[[#This Row],[SP Buyback Price to Use]] * 100 * SnapshotTable[[#This Row],[SP Qty]], "")</f>
        <v/>
      </c>
      <c r="CY66" s="4" t="str">
        <f>IF(ISNUMBER(SnapshotTable[[#This Row],[SP Strike Price]]), SnapshotTable[[#This Row],[SP Strike Price]] * (1 - SP_MaxLoss_StrikePct), "")</f>
        <v/>
      </c>
      <c r="CZ66" s="31" t="str">
        <f>IF(ISNUMBER(SnapshotTable[[#This Row],[SP Strike  Stop Per Share]]),SnapshotTable[[#This Row],[SP Premium]] - ((SnapshotTable[[#This Row],[SP Strike Price]]-SnapshotTable[[#This Row],[SP Strike  Stop Per Share]]) *(SnapshotTable[[#This Row],[SP Qty]] * 100)),"")</f>
        <v/>
      </c>
      <c r="DA66" s="4" t="str">
        <f>IF(AND(ISNUMBER(SnapshotTable[[#This Row],[SP Premium]]),SnapshotTable[[#This Row],[SP Premium]]&gt;0), SnapshotTable[[#This Row],[SP Book Price]] * (1 + SP_MaxLoss_OptionPct), "")</f>
        <v/>
      </c>
      <c r="DB66" s="31" t="str">
        <f>IF(ISNUMBER(SnapshotTable[[#This Row],[SP Option  Stop Contract]]),(SnapshotTable[[#This Row],[SP Option  Stop Contract]] *(SnapshotTable[[#This Row],[SP Qty]] * 100) - SnapshotTable[[#This Row],[SP Premium]]),"")</f>
        <v/>
      </c>
      <c r="DC66" s="4"/>
      <c r="DD66" s="4"/>
      <c r="DE66" s="4" t="str">
        <f>IF(AND(SnapshotTable[[#This Row],[SP Qty]]&gt;0, SnapshotTable[[#This Row],[SP Stop To Use]]&gt;0),SnapshotTable[[#This Row],[SP Premium]] - ( SnapshotTable[[#This Row],[SP Qty]] * SnapshotTable[[#This Row],[SP Stop To Use]] * 100), "")</f>
        <v/>
      </c>
      <c r="DF66" s="31" t="str">
        <f>IF(AND(SnapshotTable[[#This Row],[SP Qty]]&gt;0,SnapshotTable[[#This Row],[SP Current Ask]]&gt;0), SnapshotTable[[#This Row],[SP Qty]] * SnapshotTable[[#This Row],[SP Current Ask]] * -100, "")</f>
        <v/>
      </c>
      <c r="DG66" s="31" t="str">
        <f>IF(ISNUMBER((SnapshotTable[[#This Row],[SP Total Value]])), SnapshotTable[[#This Row],[SP Premium]] + SnapshotTable[[#This Row],[SP Total Value]], "")</f>
        <v/>
      </c>
      <c r="DH66" s="294" t="str">
        <f>IF(ISNUMBER((SnapshotTable[[#This Row],[SP Total Value]])), SnapshotTable[[#This Row],[SP Gain Loss]] / SnapshotTable[[#This Row],[SP Premium]], "")</f>
        <v/>
      </c>
      <c r="DI66" s="406"/>
      <c r="DJ66" s="138"/>
      <c r="DK66" s="148"/>
      <c r="DL66" s="13"/>
      <c r="DM66" s="13"/>
      <c r="DO66" s="31">
        <f>IF(SnapshotTable[[#This Row],[LC Symbol Count]]=1, SnapshotTable[[#This Row],[LC Qty]] * SnapshotTable[[#This Row],[LC Book Price]] * 100, 0)</f>
        <v>0</v>
      </c>
      <c r="DP66" s="163" t="str">
        <f>IF(AND(SnapshotTable[[#This Row],[LC Exp Date]]&gt;0, SnapshotTable[[#This Row],[LC Strike Price]]&gt;0,SnapshotTable[[#This Row],[LC Qty]]&gt;0,SnapshotTable[[#This Row],[LC Book Date]]&gt;0,SnapshotTable[[#This Row],[LC Book Price]]&gt;0,SnapshotTable[[#This Row],[LC Fill Date]]=0),"Y","")</f>
        <v/>
      </c>
      <c r="DQ66" s="386" t="str">
        <f>IF(SnapshotTable[[#This Row],[LC Premium]] &gt; 0,SnapshotTable[[#This Row],[LC Exp Date]]-MAX(SnapshotTable[[#This Row],[LC Book Date]], SnapshotTable[[#This Row],[LC Fill Date]]),"")</f>
        <v/>
      </c>
      <c r="DR66" s="386" t="str">
        <f>IF(ISNUMBER(SnapshotTable[[#This Row],[LC Term]]), SnapshotTable[[#This Row],[LC Exp Date]] - MockToday, "")</f>
        <v/>
      </c>
      <c r="DS66" s="234" t="str">
        <f>IF(SnapshotTable[[#This Row],[LC Premium]]&gt;0,SnapshotTable[[#This Row],[LC Strike Price]] + SnapshotTable[[#This Row],[LC Book Price]],"")</f>
        <v/>
      </c>
      <c r="DU66" s="9" t="str">
        <f>IF(AND(SnapshotTable[[#This Row],[LC Symbol Count]]&gt;0, SnapshotTable[[#This Row],[LC Contract Value]]&gt;0), SnapshotTable[[#This Row],[LC Contract Value]] * SnapshotTable[[#This Row],[LC Qty]] * 100, "")</f>
        <v/>
      </c>
      <c r="DV66" s="9" t="str">
        <f>IF(AND(ISNUMBER(SnapshotTable[[#This Row],[LC Total Value]]), SnapshotTable[[#This Row],[LC Not Filled]]&lt;&gt;"Y"), SnapshotTable[[#This Row],[LC Total Value]]-SnapshotTable[[#This Row],[LC Premium]],"")</f>
        <v/>
      </c>
      <c r="DW66" s="240" t="str">
        <f>IF(ISNUMBER(SnapshotTable[[#This Row],[LC Actual Gain Loss]]), SnapshotTable[[#This Row],[LC Actual Gain Loss]] / SnapshotTable[[#This Row],[LC Premium]],"")</f>
        <v/>
      </c>
      <c r="DX66" s="284" t="str">
        <f>IF(ISNUMBER(SnapshotTable[[#This Row],[LC Book Price]]),SnapshotTable[[#This Row],[LC Book Price]] * 1.5,"")</f>
        <v/>
      </c>
      <c r="DY66" s="265" t="str">
        <f>IF(SnapshotTable[[#This Row],[LC Premium]]&gt;0, SnapshotTable[[#This Row],[LC Next Target]] * SnapshotTable[[#This Row],[LC Qty]] * 100,"")</f>
        <v/>
      </c>
      <c r="DZ66" s="265" t="str">
        <f>IF(ISNUMBER(SnapshotTable[[#This Row],[LC Target Gross]]), SnapshotTable[[#This Row],[LC Target Gross]] - SnapshotTable[[#This Row],[LC Premium]], "")</f>
        <v/>
      </c>
      <c r="EA66" s="305" t="str">
        <f>IF(ISNUMBER(SnapshotTable[[#This Row],[LC Target Gain Loss]]), SnapshotTable[[#This Row],[LC Target Gain Loss]]/SnapshotTable[[#This Row],[LC Premium]], "")</f>
        <v/>
      </c>
      <c r="EB66" s="262"/>
      <c r="EC66" s="283" t="str">
        <f>IF(SnapshotTable[[#This Row],[LC Premium]]&gt;0, SnapshotTable[[#This Row],[LC Book Price]] * (1 - LC_StopLoss_Pct),"")</f>
        <v/>
      </c>
      <c r="ED66" s="284"/>
      <c r="EE66" s="283" t="str">
        <f>IF(ISNUMBER(SnapshotTable[[#This Row],[LC Contract Value]]),IF(ISNUMBER(SnapshotTable[[#This Row],[LC Stop Loss Override]]), SnapshotTable[[#This Row],[LC Stop Loss Override]],SnapshotTable[[#This Row],[LC Stop Loss Calc Target]]),"")</f>
        <v/>
      </c>
      <c r="EF66" s="31" t="str">
        <f>IF(ISNUMBER(SnapshotTable[[#This Row],[LC Stop  To Use]]), (SnapshotTable[[#This Row],[LC Stop  To Use]] * SnapshotTable[[#This Row],[LC Qty]] * 100),"")</f>
        <v/>
      </c>
      <c r="EG66" s="9" t="str">
        <f>IF(ISNUMBER(SnapshotTable[[#This Row],[LC Total Value]]),SnapshotTable[[#This Row],[LC Stop Loss Amount]] - SnapshotTable[[#This Row],[LC Premium]],"")</f>
        <v/>
      </c>
      <c r="EH66" s="9">
        <f>IF(ISNUMBER(SnapshotTable[[#This Row],[LC Premium]]), SnapshotTable[[#This Row],[LC Qty]] * 100 * SnapshotTable[[#This Row],[LC Strike Price]], "")</f>
        <v>0</v>
      </c>
      <c r="EI66" s="240" t="str">
        <f>IF(AND(ISNUMBER(SnapshotTable[[#This Row],[LC Total Value]]),SnapshotTable[[#This Row],[LC Total Value]]&gt;0),SnapshotTable[[#This Row],[LC Stop Gain Loss]]  / SnapshotTable[[#This Row],[LC Premium]],"")</f>
        <v/>
      </c>
      <c r="EJ66" s="35">
        <f>IF(ISNUMBER(SnapshotTable[[#This Row],[Equity Shares]]),TRUNC(SnapshotTable[[#This Row],[Equity Shares]] / 100),0) + SnapshotTable[[#This Row],[LC Qty]]</f>
        <v>0</v>
      </c>
      <c r="EK66" s="147"/>
      <c r="EL66" s="138" t="str">
        <f>IF(SnapshotTable[[#This Row],[SC Exp Date]]&lt;&gt;"",TRUNC(SnapshotTable[[#This Row],[Last Price]]),"")</f>
        <v/>
      </c>
      <c r="EM66" s="148"/>
      <c r="EN66" s="147"/>
      <c r="EO66" s="147"/>
      <c r="EP66" s="138"/>
      <c r="EQ66" s="419" t="b">
        <f>AND(ISNUMBER(SnapshotTable[[#This Row],[SC Exp Date]]), ISNUMBER(SnapshotTable[[#This Row],[SC Strike Price]]), ISNUMBER(SnapshotTable[[#This Row],[SC Qty]]), ISNUMBER(SnapshotTable[[#This Row],[SC Book Date]]), ISNUMBER(SnapshotTable[[#This Row],[SC Book Price]]))</f>
        <v>0</v>
      </c>
      <c r="ER66" s="419" t="b">
        <f>AND(SnapshotTable[[#This Row],[SC Is Booked]], NOT(ISBLANK(SnapshotTable[[#This Row],[SC Fill Date]])))</f>
        <v>0</v>
      </c>
      <c r="ES66" s="370"/>
      <c r="ET66" s="34" t="str">
        <f>IF(AND(ISNUMBER(SnapshotTable[[#This Row],[SC Exp Date]]), ISNUMBER(SnapshotTable[[#This Row],[SC Book Date]])), SnapshotTable[[#This Row],[SC Exp Date]] - MAX(SnapshotTable[[#This Row],[SC Book Date]], SnapshotTable[[#This Row],[SC Fill Date]]) + 1, "")</f>
        <v/>
      </c>
      <c r="EU66" s="34" t="str">
        <f>IF(ISNUMBER(SnapshotTable[[#This Row],[SC Term]]), SnapshotTable[[#This Row],[SC Exp Date]]- MockToday, "")</f>
        <v/>
      </c>
      <c r="EV66" s="31">
        <f>IF(SnapshotTable[[#This Row],[SC Is Booked]], SnapshotTable[[#This Row],[SC Qty]] * SnapshotTable[[#This Row],[SC Book Price]] * 100, 0)</f>
        <v>0</v>
      </c>
      <c r="EW66" s="4" t="str">
        <f>IF(AND(ISNUMBER(SnapshotTable[[#This Row],[Last Price]]), ISNUMBER( SnapshotTable[[#This Row],[SC Book Price]])), SnapshotTable[[#This Row],[Last Price]] - SnapshotTable[[#This Row],[SC Book Price]],"")</f>
        <v/>
      </c>
      <c r="EX66" s="234" t="str">
        <f>IF(SnapshotTable[[#This Row],[SC Is Booked]],IF(SnapshotTable[[#This Row],[SC Intrinsic Value]] &gt; 0, SnapshotTable[[#This Row],[SC Strike Price]], SnapshotTable[[#This Row],[Last Price]]), "")</f>
        <v/>
      </c>
      <c r="EY66" s="4">
        <f>IF(SnapshotTable[[#This Row],[SC Is Booked]], (MinimumPremiumRequired * SnapshotTable[[#This Row],[SC Basis]] * SnapshotTable[[#This Row],[SC Term]]), 0)</f>
        <v>0</v>
      </c>
      <c r="EZ66" s="283"/>
      <c r="FA66" s="218"/>
      <c r="FB66" s="370"/>
      <c r="FC66" s="4">
        <f>IF(SnapshotTable[[#This Row],[SC Is Filled]], btc_max_buyback_amount(SnapshotTable[[#This Row],[SC Fill Date]],SnapshotTable[[#This Row],[SC Exp Date]], SnapshotTable[[#This Row],[SC Book Price]]),0)</f>
        <v>0</v>
      </c>
      <c r="FD66" s="5"/>
      <c r="FE66" s="144" t="str">
        <f>IF(SnapshotTable[[#This Row],[SC Is Filled]], btc_next_cutoff_date(SnapshotTable[[#This Row],[SC Fill Date]],SnapshotTable[[#This Row],[SC Exp Date]]),"")</f>
        <v/>
      </c>
      <c r="FF66" s="4" t="str" cm="1">
        <f t="array" ref="FF66">IF(SnapshotTable[[#This Row],[SC Is Filled]], btc_should_buy_back(SnapshotTable[[#This Row],[SC Fill Date]], SnapshotTable[[#This Row],[SC Exp Date]], SnapshotTable[[#This Row],[SC Book Price]], SnapshotTable[[#This Row],[SC Current Ask]], MockToday, SnapshotTable[[#This Row],[SC Buyback Override]]),"")</f>
        <v/>
      </c>
      <c r="FG66" s="4">
        <f>IF(SnapshotTable[[#This Row],[SC Is Filled]], MAX(0,SnapshotTable[[#This Row],[Last Price]]  - SnapshotTable[[#This Row],[SC Strike Price]]), 0)</f>
        <v>0</v>
      </c>
      <c r="FH66" s="382">
        <f>IF(SnapshotTable[[#This Row],[SC Is Filled]], IF(ISNUMBER(SnapshotTable[[#This Row],[SC Current Ask]]), SnapshotTable[[#This Row],[SC Current Ask]], SnapshotTable[[#This Row],[SC Book Price]]) - SnapshotTable[[#This Row],[SC Intrinsic Value]], 0)</f>
        <v>0</v>
      </c>
      <c r="FI66" s="143"/>
      <c r="FJ66" s="32" t="str">
        <f>IF(SnapshotTable[[#This Row],[SC Is Filled]],100 * SnapshotTable[[#This Row],[SC Qty]] * IF(ISNUMBER(SnapshotTable[[#This Row],[SC Buyback Override]]), SnapshotTable[[#This Row],[SC Buyback Override]], SnapshotTable[[#This Row],[SC Current Ask]]), "")</f>
        <v/>
      </c>
      <c r="FK66" s="250" t="str">
        <f>IF(SnapshotTable[[#This Row],[SC Time Val]]&gt;0, SnapshotTable[[#This Row],[SC Time Val]] / SnapshotTable[[#This Row],[Last Price]],"")</f>
        <v/>
      </c>
      <c r="FL66" s="302" t="str">
        <f>IF(SnapshotTable[[#This Row],[SC Is Booked]], ((SnapshotTable[[#This Row],[Last Price]] -SnapshotTable[[#This Row],[SC Strike Price]]) / SnapshotTable[[#This Row],[Last Price]]) * -1, "")</f>
        <v/>
      </c>
      <c r="FM66" s="157" t="str">
        <f>IF(SnapshotTable[[#This Row],[SC Is Booked]],  (SnapshotTable[[#This Row],[SC Qty]] * 100 * SnapshotTable[[#This Row],[SC Strike Price]]) - SnapshotTable[[#This Row],[SC Current Ask]], "")</f>
        <v/>
      </c>
      <c r="FN6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6" s="31" t="str">
        <f>IF(AND(ISNUMBER(SnapshotTable[[#This Row],[SC Exercise Gross]]), ISNUMBER(SnapshotTable[[#This Row],[Equity Basis Per Share]] )), SnapshotTable[[#This Row],[SC Exercise Gross]] - SnapshotTable[[#This Row],[Equity Basis Total]] +  SnapshotTable[[#This Row],[SC Premium]], "")</f>
        <v/>
      </c>
      <c r="FP66" s="5" t="str">
        <f>IF(ISNUMBER(SnapshotTable[[#This Row],[SC Exercise Gross]]), (SnapshotTable[[#This Row],[SC Exercise Gross]]) / (SnapshotTable[[#This Row],[SC Qty]] * 100), "")</f>
        <v/>
      </c>
      <c r="FQ66" s="27" t="str">
        <f>IF(SnapshotTable[[#This Row],[SC Is Booked]],SnapshotTable[[#This Row],[SC Time Val]] /SnapshotTable[[#This Row],[SC Basis]], "")</f>
        <v/>
      </c>
      <c r="FR66" s="27" t="str" cm="1">
        <f t="array" ref="FR66">IF(AND(ISNUMBER(SnapshotTable[[#This Row],[SC Term]]),ISNUMBER(SnapshotTable[[#This Row],[SC Simple ROO]])), EllmanAnnualize(SnapshotTable[[#This Row],[SC DTE]], SnapshotTable[[#This Row],[SC Simple ROO]] ),"")</f>
        <v/>
      </c>
      <c r="FS66" s="4" t="e">
        <f>IF(SnapshotTable[[#This Row],[SC Strike Price]] &gt; SnapshotTable[[#This Row],[Last Price]], SnapshotTable[[#This Row],[SC Strike Price]] - SnapshotTable[[#This Row],[Last Price]],0)</f>
        <v>#VALUE!</v>
      </c>
      <c r="FT66" s="27" t="e">
        <f>IF(AND(ISNUMBER(SnapshotTable[[#This Row],[SC Upside Potential]]), SnapshotTable[[#This Row],[SC Upside Potential]] &gt; 0),(SnapshotTable[[#This Row],[SC Upside Potential]]/ SnapshotTable[[#This Row],[ACB]]),"")</f>
        <v>#VALUE!</v>
      </c>
      <c r="FU66" s="333" t="str">
        <f>IF(SnapshotTable[[#This Row],[SC Intrinsic Value]] &gt; 0,SnapshotTable[[#This Row],[SC Intrinsic Value]],"")</f>
        <v/>
      </c>
      <c r="FV66" s="27" t="str">
        <f>IF(AND( ISNUMBER( SnapshotTable[[#This Row],[ACB]]),ISNUMBER(SnapshotTable[[#This Row],[SC Downside Protect]])),SnapshotTable[[#This Row],[SC Downside Protect]] / SnapshotTable[[#This Row],[ACB]],"")</f>
        <v/>
      </c>
      <c r="FW66" s="236" t="str">
        <f>IF(AND(ISNUMBER(SnapshotTable[[#This Row],[SC Simple ROO]]),SnapshotTable[[#This Row],[SC Simple ROO]] &gt; 0), SnapshotTable[[#This Row],[SC Premium]] + (SnapshotTable[[#This Row],[SC Qty]] * SnapshotTable[[#This Row],[SC Upside Potential]]), "")</f>
        <v/>
      </c>
      <c r="FX66" s="302" t="str" cm="1">
        <f t="array" ref="FX66">IF(ISNUMBER(SnapshotTable[[#This Row],[SC Max Dollars]]), annualize(SnapshotTable[[#This Row],[SC Term]],(SnapshotTable[[#This Row],[SC Max Dollars]]/SnapshotTable[[#This Row],[SC Basis]])),"")</f>
        <v/>
      </c>
      <c r="FY66" s="236" t="str">
        <f>IF(AND(SnapshotTable[[#This Row],[SC Qty]]&gt;0,SnapshotTable[[#This Row],[SC Current Ask]]&gt;0), SnapshotTable[[#This Row],[SC Qty]] * SnapshotTable[[#This Row],[SC Current Ask]] * -100, "")</f>
        <v/>
      </c>
      <c r="FZ66" s="31" t="str">
        <f>IF(ISNUMBER((SnapshotTable[[#This Row],[SC Current Value]])), SnapshotTable[[#This Row],[SC Premium]] + SnapshotTable[[#This Row],[SC Current Value]], "")</f>
        <v/>
      </c>
      <c r="GA66" s="294" t="str">
        <f>IFERROR( IF(ISNUMBER((SnapshotTable[[#This Row],[SC Current Value]])), SnapshotTable[[#This Row],[SC Gain Loss]] / SnapshotTable[[#This Row],[SC Premium]], ""), "")</f>
        <v/>
      </c>
      <c r="GB66" s="42">
        <f>SnapshotTable[[#This Row],[Equity Shares]] * SaleSharesToConsiderPercentage</f>
        <v>0</v>
      </c>
      <c r="GC66" s="40">
        <f>SnapshotTable[[#This Row],[Long Term Target]] * SellingPriceToConsiderBasedOnTargetPercentage</f>
        <v>43.396000000000001</v>
      </c>
      <c r="GD66" s="40">
        <f>SnapshotTable[[#This Row],[Last Price]] * (1+ SellingPriceToConsiderBasedOnTargetPercentage)</f>
        <v>64.408500000000004</v>
      </c>
      <c r="GE66" s="41"/>
      <c r="GF66" s="40"/>
      <c r="GG66" s="31">
        <f>SnapshotTable[[#This Row],[Booked Sale Shares]] * SnapshotTable[[#This Row],[Booked Sale Price]]</f>
        <v>0</v>
      </c>
      <c r="GH66" s="31" t="str">
        <f>IF(SnapshotTable[[#This Row],[Equity Basis Total]] &gt; 0, SnapshotTable[[#This Row],[Equity Basis Per Share]] * SnapshotTable[[#This Row],[Booked Sale Shares]], "")</f>
        <v/>
      </c>
      <c r="GI66" s="31">
        <f>IF(SnapshotTable[[#This Row],[Sale Proceeds]]&gt;0, SnapshotTable[[#This Row],[Sale Proceeds]] - SnapshotTable[[#This Row],[Sale Basis]], 0)</f>
        <v>0</v>
      </c>
      <c r="GJ66" s="27" t="str">
        <f>IF(SnapshotTable[[#This Row],[Sale G/L]]&gt;0, SnapshotTable[[#This Row],[Sale G/L]] / SnapshotTable[[#This Row],[Sale Basis]], IF(ISNUMBER(SnapshotTable[[#This Row],[SC Exercise P&amp;L (TAX)]]), SnapshotTable[[#This Row],[SC Exercise P&amp;L (TAX)]] / SnapshotTable[[#This Row],[SC Basis]], ""))</f>
        <v/>
      </c>
      <c r="GK66" s="27" t="s">
        <v>634</v>
      </c>
      <c r="GL66" s="43" t="str">
        <f>IF(AND(SnapshotTable[[#This Row],[LP Exp Date]]&gt;0,SnapshotTable[[#This Row],[LP Strike Price]]&gt;0), [1]!ToOptionSymbol(SnapshotTable[[#This Row],[Symbol]], SnapshotTable[[#This Row],[LP Strike Price]],SnapshotTable[[#This Row],[LP Exp Date]],1), "")</f>
        <v/>
      </c>
      <c r="GM66" s="30" t="str">
        <f>IF(LEN(SnapshotTable[[#This Row],[LP Symbol]])&gt;0, 1, "")</f>
        <v/>
      </c>
      <c r="GN66" s="43" t="str">
        <f>IF(AND(SnapshotTable[[#This Row],[SP Exp Date]]&gt;0,SnapshotTable[[#This Row],[SP Strike Price]]&gt;0), [1]!ToOptionSymbol(SnapshotTable[[#This Row],[Symbol]], SnapshotTable[[#This Row],[SP Strike Price]],SnapshotTable[[#This Row],[SP Exp Date]],1), "")</f>
        <v/>
      </c>
      <c r="GO66" s="30" t="str">
        <f>IF(LEN(SnapshotTable[[#This Row],[SP Symbol]])&gt;0, 1, "")</f>
        <v/>
      </c>
      <c r="GP66" s="43" t="str">
        <f>IF(AND(SnapshotTable[[#This Row],[LC Exp Date]]&gt;0,SnapshotTable[[#This Row],[LC Strike Price]]&gt;0), [1]!ToOptionSymbol(SnapshotTable[[#This Row],[Symbol]], SnapshotTable[[#This Row],[LC Strike Price]],SnapshotTable[[#This Row],[LC Exp Date]],0), "")</f>
        <v/>
      </c>
      <c r="GQ66" s="30" t="str">
        <f>IF(LEN(SnapshotTable[[#This Row],[LC Symbol]])&gt;0, 1, "")</f>
        <v/>
      </c>
      <c r="GR66" s="43" t="str">
        <f>IF(AND(SnapshotTable[[#This Row],[SC Exp Date]]&gt;0,SnapshotTable[[#This Row],[SC Strike Price]]&gt;0), [1]!ToOptionSymbol(SnapshotTable[[#This Row],[Symbol]], SnapshotTable[[#This Row],[SC Strike Price]],SnapshotTable[[#This Row],[SC Exp Date]],0), "")</f>
        <v/>
      </c>
      <c r="GS66" s="30" t="str">
        <f>IF(LEN(SnapshotTable[[#This Row],[SC Symbol]])&gt;0, 1, "")</f>
        <v/>
      </c>
      <c r="GT66" s="29" t="str">
        <f>IF(COUNT(SnapshotTable[[#This Row],[LP Symbol Count]],SnapshotTable[[#This Row],[SP Symbol Count]],SnapshotTable[[#This Row],[LC Symbol Count]],SnapshotTable[[#This Row],[SC Symbol Count]])&gt;0, "Y", "")</f>
        <v/>
      </c>
      <c r="GU6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6" s="231" t="e">
        <f>MAX(SnapshotTable[[#This Row],[Equity Basis Total]],SnapshotTable[[#This Row],[Equity Value]]) + (SnapshotTable[[#This Row],[SP Potential Spend]]- SnapshotTable[[#This Row],[SP Premium]] + SnapshotTable[[#This Row],[LP Premium]])+ (SnapshotTable[[#This Row],[LC Premium]] - SnapshotTable[[#This Row],[SC Premium]])</f>
        <v>#VALUE!</v>
      </c>
      <c r="GW66" s="139" t="e">
        <f>IF(AND(SnapshotTable[[#This Row],[Exposure]] &lt;&gt; 0),SnapshotTable[[#This Row],[Exposure]] / SnapshotTable[[#Totals],[Exposure]], "")</f>
        <v>#VALUE!</v>
      </c>
      <c r="HE66" s="268"/>
      <c r="HF66" s="268"/>
      <c r="HK66" s="1"/>
      <c r="HL66" s="1"/>
      <c r="HM66" s="1"/>
      <c r="HN66" s="1"/>
      <c r="HO66" s="1"/>
      <c r="HP66" s="1"/>
    </row>
    <row r="67" spans="2:224" ht="12.75" hidden="1" customHeight="1" x14ac:dyDescent="0.25">
      <c r="B67" s="12" t="s">
        <v>1023</v>
      </c>
      <c r="C67" s="422">
        <v>23.88</v>
      </c>
      <c r="D67" s="208"/>
      <c r="E67" s="39">
        <f>SnapshotTable[[#This Row],[Last Price]]*(1 -CrashDiscount)</f>
        <v>20.297999999999998</v>
      </c>
      <c r="F67" s="26" t="s">
        <v>1024</v>
      </c>
      <c r="G67" s="325" t="s">
        <v>822</v>
      </c>
      <c r="H67" s="149"/>
      <c r="I67" s="194">
        <v>45062.333333333336</v>
      </c>
      <c r="J67" s="195">
        <v>45062.333333333336</v>
      </c>
      <c r="K67" s="196"/>
      <c r="L67" s="327"/>
      <c r="M67" s="140"/>
      <c r="N67" s="140"/>
      <c r="O67" s="140"/>
      <c r="P67" s="328"/>
      <c r="Q67" s="25"/>
      <c r="R67" s="4" t="str">
        <f>IF(SnapshotTable[[#This Row],[Equity Basis Total]] &gt; 0, SnapshotTable[[#This Row],[Equity Basis Total]] / SnapshotTable[[#This Row],[Equity Shares]], "")</f>
        <v/>
      </c>
      <c r="S67" s="329">
        <f>SnapshotTable[[#This Row],[Last Price]] * SnapshotTable[[#This Row],[Equity Shares]]</f>
        <v>0</v>
      </c>
      <c r="T67" s="269">
        <f>SnapshotTable[[#This Row],[Equity Value]] - SnapshotTable[[#This Row],[Equity Basis Total]]</f>
        <v>0</v>
      </c>
      <c r="U67" s="270" t="str">
        <f>IF(SnapshotTable[[#This Row],[Equity Basis Total]] &gt; 0, SnapshotTable[[#This Row],[Equity G/L]] / SnapshotTable[[#This Row],[Equity Basis Total]], "")</f>
        <v/>
      </c>
      <c r="V67" s="268"/>
      <c r="W67" s="268"/>
      <c r="X67" s="4" t="str">
        <f>IF(AND(ISNUMBER(SnapshotTable[[#This Row],[Equity Basis Per Share]]),ISNUMBER(SnapshotTable[[#This Row],[Equity Target]])),SnapshotTable[[#This Row],[Equity Target]]-SnapshotTable[[#This Row],[Equity Basis Per Share]],"")</f>
        <v/>
      </c>
      <c r="Y67" s="4" t="str">
        <f>IF(AND(ISNUMBER(SnapshotTable[[#This Row],[Equity Basis Per Share]]),ISNUMBER(SnapshotTable[[#This Row],[Equity Stop Loss]])),SnapshotTable[[#This Row],[Equity Stop Loss]]-SnapshotTable[[#This Row],[Equity Basis Per Share]],"")</f>
        <v/>
      </c>
      <c r="Z67" s="275" t="str">
        <f>IFERROR( TEXT(SnapshotTable[[#This Row],[Equity Max Gain Per Share]] /ABS( SnapshotTable[[#This Row],[Equity Max Loss Per Share]]),"0.0 " ) &amp; " : 1", "")</f>
        <v/>
      </c>
      <c r="AA67" s="31" t="str">
        <f>IF(ISNUMBER(SnapshotTable[[#This Row],[Equity Max Gain Per Share]]),SnapshotTable[[#This Row],[Equity Max Gain Per Share]] * SnapshotTable[[#This Row],[Equity Shares]],"")</f>
        <v/>
      </c>
      <c r="AB67" s="31" t="str">
        <f>IF(ISNUMBER(SnapshotTable[[#This Row],[Equity Max Loss Per Share]]),SnapshotTable[[#This Row],[Equity Max Loss Per Share]] * SnapshotTable[[#This Row],[Equity Shares]],"")</f>
        <v/>
      </c>
      <c r="AC67" s="150"/>
      <c r="AD67" s="151"/>
      <c r="AE67" s="31">
        <f>(SnapshotTable[[#This Row],[Annual Dividend Per Share]] / 4) * SnapshotTable[[#This Row],[Equity Shares]]</f>
        <v>0</v>
      </c>
      <c r="AF67" s="31">
        <f>SnapshotTable[[#This Row],[Quarterly Div $]] * 4</f>
        <v>0</v>
      </c>
      <c r="AG67" s="7">
        <f>IF(SnapshotTable[[#This Row],[Annual Dividend Per Share]]&gt;0, SnapshotTable[[#This Row],[Annual Dividend Per Share]]  / SnapshotTable[[#This Row],[Last Price]], 0)</f>
        <v>0</v>
      </c>
      <c r="AH67" s="151"/>
      <c r="AI67" s="330"/>
      <c r="AJ67" s="138">
        <v>33.200000000000003</v>
      </c>
      <c r="AK67" s="152" t="str">
        <f>IF(ISNUMBER( SnapshotTable[[#This Row],[EBF Target]]),(SnapshotTable[[#This Row],[EBF Target]] - SnapshotTable[[#This Row],[Last Price]]) / SnapshotTable[[#This Row],[Last Price]], "")</f>
        <v/>
      </c>
      <c r="AL67" s="152" t="str">
        <f>IF(AND(SnapshotTable[[#This Row],[Equity Basis Total]] &gt; 0,ISNUMBER( SnapshotTable[[#This Row],[Long Term Target]])), SnapshotTable[[#This Row],[From Basis $]] / SnapshotTable[[#This Row],[Equity Basis Total]], "")</f>
        <v/>
      </c>
      <c r="AM67" s="9">
        <f>IF( AND(SnapshotTable[[#This Row],[Equity Shares]] &gt;0,ISNUMBER( SnapshotTable[[#This Row],[Long Term Target]])),(SnapshotTable[[#This Row],[Equity Shares]] * SnapshotTable[[#This Row],[Long Term Target]]) - SnapshotTable[[#This Row],[Equity Basis Total]],0)</f>
        <v>0</v>
      </c>
      <c r="AN67" s="9">
        <f>IF( AND(SnapshotTable[[#This Row],[Equity Shares]] &gt;0,ISNUMBER( SnapshotTable[[#This Row],[Long Term Target]])),(SnapshotTable[[#This Row],[Equity Shares]]*SnapshotTable[[#This Row],[Long Term Target]]) - SnapshotTable[[#This Row],[Equity Value]],0)</f>
        <v>0</v>
      </c>
      <c r="AO67" s="152">
        <f>IF(AND(ISNUMBER( SnapshotTable[[#This Row],[Long Term Target]]), ISNUMBER(SnapshotTable[[#This Row],[Last Price]])),(SnapshotTable[[#This Row],[Long Term Target]] - SnapshotTable[[#This Row],[Last Price]]) / SnapshotTable[[#This Row],[Last Price]], "")</f>
        <v>0.39028475711892813</v>
      </c>
      <c r="AP67" s="5">
        <v>25</v>
      </c>
      <c r="AQ67" s="38" t="s">
        <v>38</v>
      </c>
      <c r="AR67" s="5">
        <v>25</v>
      </c>
      <c r="AS67" s="38" t="s">
        <v>26</v>
      </c>
      <c r="AT67" s="146" t="s">
        <v>538</v>
      </c>
      <c r="AU67" s="187" t="str">
        <f>IF(OR(SnapshotTable[[#This Row],[LP No Fill]]="Y",SnapshotTable[[#This Row],[SP Is Filled]],SnapshotTable[[#This Row],[LC Not Filled]]="Y",SnapshotTable[[#This Row],[SC Is Filled]]),"Y","")</f>
        <v/>
      </c>
      <c r="AV67" s="338"/>
      <c r="AW67" s="339"/>
      <c r="AX67" s="220"/>
      <c r="AY67" s="219" t="str">
        <f>IF(SnapshotTable[[#This Row],[Implied Move]]&gt;0, SnapshotTable[[#This Row],[Last Price]]-SnapshotTable[[#This Row],[Implied Move]],"")</f>
        <v/>
      </c>
      <c r="AZ67" s="219" t="str">
        <f>IF(SnapshotTable[[#This Row],[Implied Move]]&gt;0, SnapshotTable[[#This Row],[Last Price]] + SnapshotTable[[#This Row],[Implied Move]],"")</f>
        <v/>
      </c>
      <c r="BA67" s="331">
        <v>13.58</v>
      </c>
      <c r="BB67" s="347"/>
      <c r="BC6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7" s="351"/>
      <c r="BE67" s="340"/>
      <c r="BF67" s="341"/>
      <c r="BG67" s="342"/>
      <c r="BH67" s="342"/>
      <c r="BI67" s="343"/>
      <c r="BJ67" s="153">
        <f>IF(SnapshotTable[[#This Row],[LP Qty]] &gt; 0, SnapshotTable[[#This Row],[LP Qty]] * SnapshotTable[[#This Row],[LP Book Price]] * 100,0)</f>
        <v>0</v>
      </c>
      <c r="BK67" s="136">
        <f>IF(SnapshotTable[[#This Row],[LP Premium]] &gt; 0, SnapshotTable[[#This Row],[LP Qty]] * SnapshotTable[[#This Row],[LP Strike Price]] * 100,0)</f>
        <v>0</v>
      </c>
      <c r="BL67" s="154"/>
      <c r="BM67" s="385" t="str">
        <f>IF(SnapshotTable[[#This Row],[LP Premium]] &gt; 0,SnapshotTable[[#This Row],[LP Exp Date]]-MAX(SnapshotTable[[#This Row],[LP Book Date]], SnapshotTable[[#This Row],[LP Fill Date]]),"")</f>
        <v/>
      </c>
      <c r="BN67" s="385" t="str">
        <f>IF(ISNUMBER( SnapshotTable[[#This Row],[LP Term]]), SnapshotTable[[#This Row],[LP Exp Date]] - MockToday,"")</f>
        <v/>
      </c>
      <c r="BO67" s="163" t="str">
        <f>IF(AND(SnapshotTable[[#This Row],[LP Exp Date]]&gt;0, SnapshotTable[[#This Row],[LP Strike Price]]&gt;0,SnapshotTable[[#This Row],[LP Qty]]&gt;0,SnapshotTable[[#This Row],[LP Book Date]]&gt;0,SnapshotTable[[#This Row],[LP Book Price]]&gt;0,SnapshotTable[[#This Row],[LP Fill Date]]=0),"Y","")</f>
        <v/>
      </c>
      <c r="BP67" s="31" t="str">
        <f>IF(AND(SnapshotTable[[#This Row],[LP No Fill]]&lt;&gt;"Y",SnapshotTable[[#This Row],[LP Contract Value]]&gt;0, SnapshotTable[[#This Row],[LP Qty]]&gt;0), SnapshotTable[[#This Row],[LP Contract Value]]*SnapshotTable[[#This Row],[LP Qty]]*100,"")</f>
        <v/>
      </c>
      <c r="BQ67" s="13"/>
      <c r="BR67" s="5" t="str">
        <f>IF(SnapshotTable[[#This Row],[SP Exp Date]]&lt;&gt;"",TRUNC(SnapshotTable[[#This Row],[Last Price]]),"")</f>
        <v/>
      </c>
      <c r="BS67" s="36"/>
      <c r="BT67" s="147"/>
      <c r="BU67" s="13"/>
      <c r="BV67" s="5"/>
      <c r="BW67" s="419" t="b">
        <f>AND(ISNUMBER(SnapshotTable[[#This Row],[SP Exp Date]]), ISNUMBER(SnapshotTable[[#This Row],[SP Strike Price]]), ISNUMBER(SnapshotTable[[#This Row],[SP Qty]]), ISNUMBER(SnapshotTable[[#This Row],[SP Book Date]]), ISNUMBER(SnapshotTable[[#This Row],[SP Book Price]]))</f>
        <v>0</v>
      </c>
      <c r="BX67" s="419" t="b">
        <f>AND(SnapshotTable[[#This Row],[SP Is Booked]], NOT(ISBLANK(SnapshotTable[[#This Row],[SP Fill Date]])))</f>
        <v>0</v>
      </c>
      <c r="BY67" s="33">
        <f>IF(SnapshotTable[[#This Row],[SP Is Booked]], SnapshotTable[[#This Row],[SP Qty]] * SnapshotTable[[#This Row],[SP Book Price]] * 100, 0)</f>
        <v>0</v>
      </c>
      <c r="BZ67" s="369"/>
      <c r="CA67" s="368">
        <f>SnapshotTable[[#This Row],[LP Qty]]</f>
        <v>0</v>
      </c>
      <c r="CB67" s="4" t="str">
        <f>IF(SnapshotTable[[#This Row],[SP Is Booked]], SnapshotTable[[#This Row],[SP Strike Price]] - SnapshotTable[[#This Row],[SP Book Price]], "")</f>
        <v/>
      </c>
      <c r="CC67" s="19" t="str">
        <f>IF(SnapshotTable[[#This Row],[SP Is Booked]],SnapshotTable[[#This Row],[SP Exp Date]]-MAX(SnapshotTable[[#This Row],[SP Book Date]], SnapshotTable[[#This Row],[SP Fill Date]]),"")</f>
        <v/>
      </c>
      <c r="CD67" s="7" t="str">
        <f>IF(SnapshotTable[[#This Row],[SP Is Booked]], SnapshotTable[[#This Row],[SP Book Price]]/SnapshotTable[[#This Row],[SP Strike Price]], "")</f>
        <v/>
      </c>
      <c r="CE67" s="7" t="str">
        <f>IF(ISNUMBER(SnapshotTable[[#This Row],[SP ROO Term]]),SnapshotTable[[#This Row],[SP ROO Term]]*(365/SnapshotTable[[#This Row],[SP Term]]),"")</f>
        <v/>
      </c>
      <c r="CF67" s="236">
        <f>SnapshotTable[[#This Row],[LP Strike Price]] * SnapshotTable[[#This Row],[LP Qty]] * 100</f>
        <v>0</v>
      </c>
      <c r="CG67" s="31" t="e">
        <f>IF(ISNUMBER(SnapshotTable[[#This Row],[SP Premium]]), (SnapshotTable[[#This Row],[SP Qty]] * SnapshotTable[[#This Row],[SP Strike Price]]* 100) - SnapshotTable[[#This Row],[LP Protection]], 0)</f>
        <v>#VALUE!</v>
      </c>
      <c r="CH67" s="7" t="str">
        <f>IF(ISNUMBER(SnapshotTable[[#This Row],[SP Break Even]]),-1 * (SnapshotTable[[#This Row],[SP Break Even]] - SnapshotTable[[#This Row],[Last Price]]) / SnapshotTable[[#This Row],[Last Price]], "")</f>
        <v/>
      </c>
      <c r="CI67" s="31">
        <f>IF(AND(ISNUMBER((SnapshotTable[[#This Row],[SP Potential Spend]])), SnapshotTable[[#This Row],[SP Strike Price]] &gt; SnapshotTable[[#This Row],[Last Price]], SnapshotTable[[#This Row],[SP Is Filled]]), SnapshotTable[[#This Row],[SP Potential Spend]] -  SnapshotTable[[#This Row],[LP Max Value]], 0)</f>
        <v>0</v>
      </c>
      <c r="CJ67" s="244"/>
      <c r="CK67" s="31" t="str">
        <f>IF(ISNUMBER(SnapshotTable[[#This Row],[SP Potential Spend]]),IF(ISNUMBER(SnapshotTable[[#This Row],[SP POW]]), SnapshotTable[[#This Row],[SP POW]] * SnapshotTable[[#This Row],[SP Potential Spend]], SnapshotTable[[#This Row],[SP Potential Spend]]), "")</f>
        <v/>
      </c>
      <c r="CL67" s="164" t="e">
        <f>IF(NOT(SnapshotTable[[#This Row],[SP Is Filled]]),(SnapshotTable[[#This Row],[SP Qty]] * SnapshotTable[[#This Row],[SP Strike Price]] * 100) - SnapshotTable[[#This Row],[LP Max Value]],"")</f>
        <v>#VALUE!</v>
      </c>
      <c r="CM67" s="31" t="str">
        <f>IF(SnapshotTable[[#This Row],[SP Actual Spend]]&lt;&gt;0, ((SnapshotTable[[#This Row],[SP Strike Price]]-SnapshotTable[[#This Row],[Last Price]]) *(SnapshotTable[[#This Row],[SP Qty]]*100) - SnapshotTable[[#This Row],[SP Premium]]) * - 1, "")</f>
        <v/>
      </c>
      <c r="CN67" s="154"/>
      <c r="CO67" s="369"/>
      <c r="CP67" s="320" t="str">
        <f>IF(SnapshotTable[[#This Row],[SP Is Filled]], btc_max_buyback_amount(SnapshotTable[[#This Row],[SP Fill Date]],SnapshotTable[[#This Row],[SP Exp Date]], SnapshotTable[[#This Row],[SP Book Price]]),"")</f>
        <v/>
      </c>
      <c r="CQ67" s="78"/>
      <c r="CR67" s="76"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7" s="155" t="str">
        <f>IF(SnapshotTable[[#This Row],[SP Is Filled]], btc_next_cutoff_date(SnapshotTable[[#This Row],[SP Fill Date]],SnapshotTable[[#This Row],[SP Exp Date]]),"")</f>
        <v/>
      </c>
      <c r="CT67" s="235" t="str" cm="1">
        <f t="array" ref="CT67">IF(SnapshotTable[[#This Row],[SP Is Filled]], btc_should_buy_back(SnapshotTable[[#This Row],[SP Fill Date]], SnapshotTable[[#This Row],[SP Exp Date]], SnapshotTable[[#This Row],[SP Book Price]], SnapshotTable[[#This Row],[SP Current Ask]], MockToday, SnapshotTable[[#This Row],[SP Buyback Override]]),"")</f>
        <v/>
      </c>
      <c r="CU67" s="156"/>
      <c r="CV67" s="235"/>
      <c r="CW67" s="378" t="str">
        <f>IF(ISNUMBER( SnapshotTable[[#This Row],[SP Term]]), SnapshotTable[[#This Row],[SP Exp Date]] - MockToday,"")</f>
        <v/>
      </c>
      <c r="CX67" s="31" t="str">
        <f>IF(SnapshotTable[[#This Row],[SP Is Filled]],SnapshotTable[[#This Row],[SP Buyback Price to Use]] * 100 * SnapshotTable[[#This Row],[SP Qty]], "")</f>
        <v/>
      </c>
      <c r="CY67" s="4" t="str">
        <f>IF(ISNUMBER(SnapshotTable[[#This Row],[SP Strike Price]]), SnapshotTable[[#This Row],[SP Strike Price]] * (1 - SP_MaxLoss_StrikePct), "")</f>
        <v/>
      </c>
      <c r="CZ67" s="31" t="str">
        <f>IF(ISNUMBER(SnapshotTable[[#This Row],[SP Strike  Stop Per Share]]),SnapshotTable[[#This Row],[SP Premium]] - ((SnapshotTable[[#This Row],[SP Strike Price]]-SnapshotTable[[#This Row],[SP Strike  Stop Per Share]]) *(SnapshotTable[[#This Row],[SP Qty]] * 100)),"")</f>
        <v/>
      </c>
      <c r="DA67" s="4" t="str">
        <f>IF(AND(ISNUMBER(SnapshotTable[[#This Row],[SP Premium]]),SnapshotTable[[#This Row],[SP Premium]]&gt;0), SnapshotTable[[#This Row],[SP Book Price]] * (1 + SP_MaxLoss_OptionPct), "")</f>
        <v/>
      </c>
      <c r="DB67" s="31" t="str">
        <f>IF(ISNUMBER(SnapshotTable[[#This Row],[SP Option  Stop Contract]]),(SnapshotTable[[#This Row],[SP Option  Stop Contract]] *(SnapshotTable[[#This Row],[SP Qty]] * 100) - SnapshotTable[[#This Row],[SP Premium]]),"")</f>
        <v/>
      </c>
      <c r="DC67" s="4"/>
      <c r="DD67" s="4"/>
      <c r="DE67" s="4" t="str">
        <f>IF(AND(SnapshotTable[[#This Row],[SP Qty]]&gt;0, SnapshotTable[[#This Row],[SP Stop To Use]]&gt;0),SnapshotTable[[#This Row],[SP Premium]] - ( SnapshotTable[[#This Row],[SP Qty]] * SnapshotTable[[#This Row],[SP Stop To Use]] * 100), "")</f>
        <v/>
      </c>
      <c r="DF67" s="31" t="str">
        <f>IF(AND(SnapshotTable[[#This Row],[SP Qty]]&gt;0,SnapshotTable[[#This Row],[SP Current Ask]]&gt;0), SnapshotTable[[#This Row],[SP Qty]] * SnapshotTable[[#This Row],[SP Current Ask]] * -100, "")</f>
        <v/>
      </c>
      <c r="DG67" s="31" t="str">
        <f>IF(ISNUMBER((SnapshotTable[[#This Row],[SP Total Value]])), SnapshotTable[[#This Row],[SP Premium]] + SnapshotTable[[#This Row],[SP Total Value]], "")</f>
        <v/>
      </c>
      <c r="DH67" s="294" t="str">
        <f>IF(ISNUMBER((SnapshotTable[[#This Row],[SP Total Value]])), SnapshotTable[[#This Row],[SP Gain Loss]] / SnapshotTable[[#This Row],[SP Premium]], "")</f>
        <v/>
      </c>
      <c r="DI67" s="406"/>
      <c r="DJ67" s="138"/>
      <c r="DK67" s="148"/>
      <c r="DL67" s="147"/>
      <c r="DM67" s="147"/>
      <c r="DO67" s="31">
        <f>IF(SnapshotTable[[#This Row],[LC Symbol Count]]=1, SnapshotTable[[#This Row],[LC Qty]] * SnapshotTable[[#This Row],[LC Book Price]] * 100, 0)</f>
        <v>0</v>
      </c>
      <c r="DP67" s="289" t="str">
        <f>IF(AND(SnapshotTable[[#This Row],[LC Exp Date]]&gt;0, SnapshotTable[[#This Row],[LC Strike Price]]&gt;0,SnapshotTable[[#This Row],[LC Qty]]&gt;0,SnapshotTable[[#This Row],[LC Book Date]]&gt;0,SnapshotTable[[#This Row],[LC Book Price]]&gt;0,SnapshotTable[[#This Row],[LC Fill Date]]=0),"Y","")</f>
        <v/>
      </c>
      <c r="DQ67" s="386" t="str">
        <f>IF(SnapshotTable[[#This Row],[LC Premium]] &gt; 0,SnapshotTable[[#This Row],[LC Exp Date]]-MAX(SnapshotTable[[#This Row],[LC Book Date]], SnapshotTable[[#This Row],[LC Fill Date]]),"")</f>
        <v/>
      </c>
      <c r="DR67" s="386" t="str">
        <f>IF(ISNUMBER(SnapshotTable[[#This Row],[LC Term]]), SnapshotTable[[#This Row],[LC Exp Date]] - MockToday, "")</f>
        <v/>
      </c>
      <c r="DS67" s="234" t="str">
        <f>IF(SnapshotTable[[#This Row],[LC Premium]]&gt;0,SnapshotTable[[#This Row],[LC Strike Price]] + SnapshotTable[[#This Row],[LC Book Price]],"")</f>
        <v/>
      </c>
      <c r="DT67" s="5">
        <v>1.1599999999999999</v>
      </c>
      <c r="DU67" s="9">
        <f>IF(AND(SnapshotTable[[#This Row],[LC Symbol Count]]&gt;0, SnapshotTable[[#This Row],[LC Contract Value]]&gt;0), SnapshotTable[[#This Row],[LC Contract Value]] * SnapshotTable[[#This Row],[LC Qty]] * 100, "")</f>
        <v>0</v>
      </c>
      <c r="DV67" s="9">
        <f>IF(AND(ISNUMBER(SnapshotTable[[#This Row],[LC Total Value]]), SnapshotTable[[#This Row],[LC Not Filled]]&lt;&gt;"Y"), SnapshotTable[[#This Row],[LC Total Value]]-SnapshotTable[[#This Row],[LC Premium]],"")</f>
        <v>0</v>
      </c>
      <c r="DW67" s="240" t="e">
        <f>IF(ISNUMBER(SnapshotTable[[#This Row],[LC Actual Gain Loss]]), SnapshotTable[[#This Row],[LC Actual Gain Loss]] / SnapshotTable[[#This Row],[LC Premium]],"")</f>
        <v>#DIV/0!</v>
      </c>
      <c r="DX67" s="284" t="str">
        <f>IF(ISNUMBER(SnapshotTable[[#This Row],[LC Book Price]]),SnapshotTable[[#This Row],[LC Book Price]] * 1.5,"")</f>
        <v/>
      </c>
      <c r="DY67" s="265" t="str">
        <f>IF(SnapshotTable[[#This Row],[LC Premium]]&gt;0, SnapshotTable[[#This Row],[LC Next Target]] * SnapshotTable[[#This Row],[LC Qty]] * 100,"")</f>
        <v/>
      </c>
      <c r="DZ67" s="265" t="str">
        <f>IF(ISNUMBER(SnapshotTable[[#This Row],[LC Target Gross]]), SnapshotTable[[#This Row],[LC Target Gross]] - SnapshotTable[[#This Row],[LC Premium]], "")</f>
        <v/>
      </c>
      <c r="EA67" s="305" t="str">
        <f>IF(ISNUMBER(SnapshotTable[[#This Row],[LC Target Gain Loss]]), SnapshotTable[[#This Row],[LC Target Gain Loss]]/SnapshotTable[[#This Row],[LC Premium]], "")</f>
        <v/>
      </c>
      <c r="EB67" s="262"/>
      <c r="EC67" s="290" t="str">
        <f>IF(SnapshotTable[[#This Row],[LC Premium]]&gt;0, SnapshotTable[[#This Row],[LC Book Price]] * (1 - LC_StopLoss_Pct),"")</f>
        <v/>
      </c>
      <c r="ED67" s="284"/>
      <c r="EE67" s="290" t="str">
        <f>IF(ISNUMBER(SnapshotTable[[#This Row],[LC Contract Value]]),IF(ISNUMBER(SnapshotTable[[#This Row],[LC Stop Loss Override]]), SnapshotTable[[#This Row],[LC Stop Loss Override]],SnapshotTable[[#This Row],[LC Stop Loss Calc Target]]),"")</f>
        <v/>
      </c>
      <c r="EF67" s="321" t="str">
        <f>IF(ISNUMBER(SnapshotTable[[#This Row],[LC Stop  To Use]]), (SnapshotTable[[#This Row],[LC Stop  To Use]] * SnapshotTable[[#This Row],[LC Qty]] * 100),"")</f>
        <v/>
      </c>
      <c r="EG67" s="9" t="e">
        <f>IF(ISNUMBER(SnapshotTable[[#This Row],[LC Total Value]]),SnapshotTable[[#This Row],[LC Stop Loss Amount]] - SnapshotTable[[#This Row],[LC Premium]],"")</f>
        <v>#VALUE!</v>
      </c>
      <c r="EH67" s="9">
        <f>IF(ISNUMBER(SnapshotTable[[#This Row],[LC Premium]]), SnapshotTable[[#This Row],[LC Qty]] * 100 * SnapshotTable[[#This Row],[LC Strike Price]], "")</f>
        <v>0</v>
      </c>
      <c r="EI67" s="240" t="str">
        <f>IF(AND(ISNUMBER(SnapshotTable[[#This Row],[LC Total Value]]),SnapshotTable[[#This Row],[LC Total Value]]&gt;0),SnapshotTable[[#This Row],[LC Stop Gain Loss]]  / SnapshotTable[[#This Row],[LC Premium]],"")</f>
        <v/>
      </c>
      <c r="EJ67" s="35">
        <f>IF(ISNUMBER(SnapshotTable[[#This Row],[Equity Shares]]),TRUNC(SnapshotTable[[#This Row],[Equity Shares]] / 100),0) + SnapshotTable[[#This Row],[LC Qty]]</f>
        <v>0</v>
      </c>
      <c r="EK67" s="147"/>
      <c r="EL67" s="138" t="str">
        <f>IF(SnapshotTable[[#This Row],[SC Exp Date]]&lt;&gt;"",TRUNC(SnapshotTable[[#This Row],[Last Price]]),"")</f>
        <v/>
      </c>
      <c r="EM67" s="148"/>
      <c r="EN67" s="147"/>
      <c r="EO67" s="147"/>
      <c r="EP67" s="138"/>
      <c r="EQ67" s="419" t="b">
        <f>AND(ISNUMBER(SnapshotTable[[#This Row],[SC Exp Date]]), ISNUMBER(SnapshotTable[[#This Row],[SC Strike Price]]), ISNUMBER(SnapshotTable[[#This Row],[SC Qty]]), ISNUMBER(SnapshotTable[[#This Row],[SC Book Date]]), ISNUMBER(SnapshotTable[[#This Row],[SC Book Price]]))</f>
        <v>0</v>
      </c>
      <c r="ER67" s="419" t="b">
        <f>AND(SnapshotTable[[#This Row],[SC Is Booked]], NOT(ISBLANK(SnapshotTable[[#This Row],[SC Fill Date]])))</f>
        <v>0</v>
      </c>
      <c r="ES67" s="370"/>
      <c r="ET67" s="34" t="str">
        <f>IF(AND(ISNUMBER(SnapshotTable[[#This Row],[SC Exp Date]]), ISNUMBER(SnapshotTable[[#This Row],[SC Book Date]])), SnapshotTable[[#This Row],[SC Exp Date]] - MAX(SnapshotTable[[#This Row],[SC Book Date]], SnapshotTable[[#This Row],[SC Fill Date]]) + 1, "")</f>
        <v/>
      </c>
      <c r="EU67" s="34" t="str">
        <f>IF(ISNUMBER(SnapshotTable[[#This Row],[SC Term]]), SnapshotTable[[#This Row],[SC Exp Date]]- MockToday, "")</f>
        <v/>
      </c>
      <c r="EV67" s="31">
        <f>IF(SnapshotTable[[#This Row],[SC Is Booked]], SnapshotTable[[#This Row],[SC Qty]] * SnapshotTable[[#This Row],[SC Book Price]] * 100, 0)</f>
        <v>0</v>
      </c>
      <c r="EW67" s="4" t="str">
        <f>IF(AND(ISNUMBER(SnapshotTable[[#This Row],[Last Price]]), ISNUMBER( SnapshotTable[[#This Row],[SC Book Price]])), SnapshotTable[[#This Row],[Last Price]] - SnapshotTable[[#This Row],[SC Book Price]],"")</f>
        <v/>
      </c>
      <c r="EX67" s="234" t="str">
        <f>IF(SnapshotTable[[#This Row],[SC Is Booked]],IF(SnapshotTable[[#This Row],[SC Intrinsic Value]] &gt; 0, SnapshotTable[[#This Row],[SC Strike Price]], SnapshotTable[[#This Row],[Last Price]]), "")</f>
        <v/>
      </c>
      <c r="EY67" s="4">
        <f>IF(SnapshotTable[[#This Row],[SC Is Booked]], (MinimumPremiumRequired * SnapshotTable[[#This Row],[SC Basis]] * SnapshotTable[[#This Row],[SC Term]]), 0)</f>
        <v>0</v>
      </c>
      <c r="EZ67" s="283"/>
      <c r="FA67" s="218"/>
      <c r="FB67" s="370"/>
      <c r="FC67" s="4">
        <f>IF(SnapshotTable[[#This Row],[SC Is Filled]], btc_max_buyback_amount(SnapshotTable[[#This Row],[SC Fill Date]],SnapshotTable[[#This Row],[SC Exp Date]], SnapshotTable[[#This Row],[SC Book Price]]),0)</f>
        <v>0</v>
      </c>
      <c r="FD67" s="5"/>
      <c r="FE67" s="144" t="str">
        <f>IF(SnapshotTable[[#This Row],[SC Is Filled]], btc_next_cutoff_date(SnapshotTable[[#This Row],[SC Fill Date]],SnapshotTable[[#This Row],[SC Exp Date]]),"")</f>
        <v/>
      </c>
      <c r="FF67" s="4" t="str" cm="1">
        <f t="array" ref="FF67">IF(SnapshotTable[[#This Row],[SC Is Filled]], btc_should_buy_back(SnapshotTable[[#This Row],[SC Fill Date]], SnapshotTable[[#This Row],[SC Exp Date]], SnapshotTable[[#This Row],[SC Book Price]], SnapshotTable[[#This Row],[SC Current Ask]], MockToday, SnapshotTable[[#This Row],[SC Buyback Override]]),"")</f>
        <v/>
      </c>
      <c r="FG67" s="4">
        <f>IF(SnapshotTable[[#This Row],[SC Is Filled]], MAX(0,SnapshotTable[[#This Row],[Last Price]]  - SnapshotTable[[#This Row],[SC Strike Price]]), 0)</f>
        <v>0</v>
      </c>
      <c r="FH67" s="382">
        <f>IF(SnapshotTable[[#This Row],[SC Is Filled]], IF(ISNUMBER(SnapshotTable[[#This Row],[SC Current Ask]]), SnapshotTable[[#This Row],[SC Current Ask]], SnapshotTable[[#This Row],[SC Book Price]]) - SnapshotTable[[#This Row],[SC Intrinsic Value]], 0)</f>
        <v>0</v>
      </c>
      <c r="FI67" s="143"/>
      <c r="FJ67" s="32" t="str">
        <f>IF(SnapshotTable[[#This Row],[SC Is Filled]],100 * SnapshotTable[[#This Row],[SC Qty]] * IF(ISNUMBER(SnapshotTable[[#This Row],[SC Buyback Override]]), SnapshotTable[[#This Row],[SC Buyback Override]], SnapshotTable[[#This Row],[SC Current Ask]]), "")</f>
        <v/>
      </c>
      <c r="FK67" s="250" t="str">
        <f>IF(SnapshotTable[[#This Row],[SC Time Val]]&gt;0, SnapshotTable[[#This Row],[SC Time Val]] / SnapshotTable[[#This Row],[Last Price]],"")</f>
        <v/>
      </c>
      <c r="FL67" s="302" t="str">
        <f>IF(SnapshotTable[[#This Row],[SC Is Booked]], ((SnapshotTable[[#This Row],[Last Price]] -SnapshotTable[[#This Row],[SC Strike Price]]) / SnapshotTable[[#This Row],[Last Price]]) * -1, "")</f>
        <v/>
      </c>
      <c r="FM67" s="157" t="str">
        <f>IF(SnapshotTable[[#This Row],[SC Is Booked]],  (SnapshotTable[[#This Row],[SC Qty]] * 100 * SnapshotTable[[#This Row],[SC Strike Price]]) - SnapshotTable[[#This Row],[SC Current Ask]], "")</f>
        <v/>
      </c>
      <c r="FN67"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7" s="157" t="str">
        <f>IF(AND(ISNUMBER(SnapshotTable[[#This Row],[SC Exercise Gross]]), ISNUMBER(SnapshotTable[[#This Row],[Equity Basis Per Share]] )), SnapshotTable[[#This Row],[SC Exercise Gross]] - SnapshotTable[[#This Row],[Equity Basis Total]] +  SnapshotTable[[#This Row],[SC Premium]], "")</f>
        <v/>
      </c>
      <c r="FP67" s="5" t="str">
        <f>IF(ISNUMBER(SnapshotTable[[#This Row],[SC Exercise Gross]]), (SnapshotTable[[#This Row],[SC Exercise Gross]]) / (SnapshotTable[[#This Row],[SC Qty]] * 100), "")</f>
        <v/>
      </c>
      <c r="FQ67" s="27" t="str">
        <f>IF(SnapshotTable[[#This Row],[SC Is Booked]],SnapshotTable[[#This Row],[SC Time Val]] /SnapshotTable[[#This Row],[SC Basis]], "")</f>
        <v/>
      </c>
      <c r="FR67" s="27" t="str" cm="1">
        <f t="array" ref="FR67">IF(AND(ISNUMBER(SnapshotTable[[#This Row],[SC Term]]),ISNUMBER(SnapshotTable[[#This Row],[SC Simple ROO]])), EllmanAnnualize(SnapshotTable[[#This Row],[SC DTE]], SnapshotTable[[#This Row],[SC Simple ROO]] ),"")</f>
        <v/>
      </c>
      <c r="FS67" s="4" t="e">
        <f>IF(SnapshotTable[[#This Row],[SC Strike Price]] &gt; SnapshotTable[[#This Row],[Last Price]], SnapshotTable[[#This Row],[SC Strike Price]] - SnapshotTable[[#This Row],[Last Price]],0)</f>
        <v>#VALUE!</v>
      </c>
      <c r="FT67" s="27" t="e">
        <f>IF(AND(ISNUMBER(SnapshotTable[[#This Row],[SC Upside Potential]]), SnapshotTable[[#This Row],[SC Upside Potential]] &gt; 0),(SnapshotTable[[#This Row],[SC Upside Potential]]/ SnapshotTable[[#This Row],[ACB]]),"")</f>
        <v>#VALUE!</v>
      </c>
      <c r="FU67" s="333" t="str">
        <f>IF(SnapshotTable[[#This Row],[SC Intrinsic Value]] &gt; 0,SnapshotTable[[#This Row],[SC Intrinsic Value]],"")</f>
        <v/>
      </c>
      <c r="FV67" s="27" t="str">
        <f>IF(AND( ISNUMBER( SnapshotTable[[#This Row],[ACB]]),ISNUMBER(SnapshotTable[[#This Row],[SC Downside Protect]])),SnapshotTable[[#This Row],[SC Downside Protect]] / SnapshotTable[[#This Row],[ACB]],"")</f>
        <v/>
      </c>
      <c r="FW67" s="236" t="str">
        <f>IF(AND(ISNUMBER(SnapshotTable[[#This Row],[SC Simple ROO]]),SnapshotTable[[#This Row],[SC Simple ROO]] &gt; 0), SnapshotTable[[#This Row],[SC Premium]] + (SnapshotTable[[#This Row],[SC Qty]] * SnapshotTable[[#This Row],[SC Upside Potential]]), "")</f>
        <v/>
      </c>
      <c r="FX67" s="302" t="str" cm="1">
        <f t="array" ref="FX67">IF(ISNUMBER(SnapshotTable[[#This Row],[SC Max Dollars]]), annualize(SnapshotTable[[#This Row],[SC Term]],(SnapshotTable[[#This Row],[SC Max Dollars]]/SnapshotTable[[#This Row],[SC Basis]])),"")</f>
        <v/>
      </c>
      <c r="FY67" s="236" t="str">
        <f>IF(AND(SnapshotTable[[#This Row],[SC Qty]]&gt;0,SnapshotTable[[#This Row],[SC Current Ask]]&gt;0), SnapshotTable[[#This Row],[SC Qty]] * SnapshotTable[[#This Row],[SC Current Ask]] * -100, "")</f>
        <v/>
      </c>
      <c r="FZ67" s="235" t="str">
        <f>IF(ISNUMBER((SnapshotTable[[#This Row],[SC Current Value]])), SnapshotTable[[#This Row],[SC Premium]] + SnapshotTable[[#This Row],[SC Current Value]], "")</f>
        <v/>
      </c>
      <c r="GA67" s="294" t="str">
        <f>IFERROR( IF(ISNUMBER((SnapshotTable[[#This Row],[SC Current Value]])), SnapshotTable[[#This Row],[SC Gain Loss]] / SnapshotTable[[#This Row],[SC Premium]], ""), "")</f>
        <v/>
      </c>
      <c r="GB67" s="344">
        <f>SnapshotTable[[#This Row],[Equity Shares]] * SaleSharesToConsiderPercentage</f>
        <v>0</v>
      </c>
      <c r="GC67" s="345">
        <f>SnapshotTable[[#This Row],[Long Term Target]] * SellingPriceToConsiderBasedOnTargetPercentage</f>
        <v>31.540000000000003</v>
      </c>
      <c r="GD67" s="345">
        <f>SnapshotTable[[#This Row],[Last Price]] * (1+ SellingPriceToConsiderBasedOnTargetPercentage)</f>
        <v>46.565999999999995</v>
      </c>
      <c r="GE67" s="346"/>
      <c r="GF67" s="345"/>
      <c r="GG67" s="31">
        <f>SnapshotTable[[#This Row],[Booked Sale Shares]] * SnapshotTable[[#This Row],[Booked Sale Price]]</f>
        <v>0</v>
      </c>
      <c r="GH67" s="31" t="str">
        <f>IF(SnapshotTable[[#This Row],[Equity Basis Total]] &gt; 0, SnapshotTable[[#This Row],[Equity Basis Per Share]] * SnapshotTable[[#This Row],[Booked Sale Shares]], "")</f>
        <v/>
      </c>
      <c r="GI67" s="31">
        <f>IF(SnapshotTable[[#This Row],[Sale Proceeds]]&gt;0, SnapshotTable[[#This Row],[Sale Proceeds]] - SnapshotTable[[#This Row],[Sale Basis]], 0)</f>
        <v>0</v>
      </c>
      <c r="GJ67" s="158" t="str">
        <f>IF(SnapshotTable[[#This Row],[Sale G/L]]&gt;0, SnapshotTable[[#This Row],[Sale G/L]] / SnapshotTable[[#This Row],[Sale Basis]], IF(ISNUMBER(SnapshotTable[[#This Row],[SC Exercise P&amp;L (TAX)]]), SnapshotTable[[#This Row],[SC Exercise P&amp;L (TAX)]] / SnapshotTable[[#This Row],[SC Basis]], ""))</f>
        <v/>
      </c>
      <c r="GK67" s="27"/>
      <c r="GL67" s="159" t="str">
        <f>IF(AND(SnapshotTable[[#This Row],[LP Exp Date]]&gt;0,SnapshotTable[[#This Row],[LP Strike Price]]&gt;0), [1]!ToOptionSymbol(SnapshotTable[[#This Row],[Symbol]], SnapshotTable[[#This Row],[LP Strike Price]],SnapshotTable[[#This Row],[LP Exp Date]],1), "")</f>
        <v/>
      </c>
      <c r="GM67" s="30" t="str">
        <f>IF(LEN(SnapshotTable[[#This Row],[LP Symbol]])&gt;0, 1, "")</f>
        <v/>
      </c>
      <c r="GN67" s="43" t="str">
        <f>IF(AND(SnapshotTable[[#This Row],[SP Exp Date]]&gt;0,SnapshotTable[[#This Row],[SP Strike Price]]&gt;0), [1]!ToOptionSymbol(SnapshotTable[[#This Row],[Symbol]], SnapshotTable[[#This Row],[SP Strike Price]],SnapshotTable[[#This Row],[SP Exp Date]],1), "")</f>
        <v/>
      </c>
      <c r="GO67" s="30" t="str">
        <f>IF(LEN(SnapshotTable[[#This Row],[SP Symbol]])&gt;0, 1, "")</f>
        <v/>
      </c>
      <c r="GP67" s="159" t="str">
        <f>IF(AND(SnapshotTable[[#This Row],[LC Exp Date]]&gt;0,SnapshotTable[[#This Row],[LC Strike Price]]&gt;0), [1]!ToOptionSymbol(SnapshotTable[[#This Row],[Symbol]], SnapshotTable[[#This Row],[LC Strike Price]],SnapshotTable[[#This Row],[LC Exp Date]],0), "")</f>
        <v/>
      </c>
      <c r="GQ67" s="160" t="str">
        <f>IF(LEN(SnapshotTable[[#This Row],[LC Symbol]])&gt;0, 1, "")</f>
        <v/>
      </c>
      <c r="GR67" s="159" t="str">
        <f>IF(AND(SnapshotTable[[#This Row],[SC Exp Date]]&gt;0,SnapshotTable[[#This Row],[SC Strike Price]]&gt;0), [1]!ToOptionSymbol(SnapshotTable[[#This Row],[Symbol]], SnapshotTable[[#This Row],[SC Strike Price]],SnapshotTable[[#This Row],[SC Exp Date]],0), "")</f>
        <v/>
      </c>
      <c r="GS67" s="160" t="str">
        <f>IF(LEN(SnapshotTable[[#This Row],[SC Symbol]])&gt;0, 1, "")</f>
        <v/>
      </c>
      <c r="GT67" s="161" t="str">
        <f>IF(COUNT(SnapshotTable[[#This Row],[LP Symbol Count]],SnapshotTable[[#This Row],[SP Symbol Count]],SnapshotTable[[#This Row],[LC Symbol Count]],SnapshotTable[[#This Row],[SC Symbol Count]])&gt;0, "Y", "")</f>
        <v/>
      </c>
      <c r="GU6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7" s="231" t="e">
        <f>MAX(SnapshotTable[[#This Row],[Equity Basis Total]],SnapshotTable[[#This Row],[Equity Value]]) + (SnapshotTable[[#This Row],[SP Potential Spend]]- SnapshotTable[[#This Row],[SP Premium]] + SnapshotTable[[#This Row],[LP Premium]])+ (SnapshotTable[[#This Row],[LC Premium]] - SnapshotTable[[#This Row],[SC Premium]])</f>
        <v>#VALUE!</v>
      </c>
      <c r="GW67" s="139" t="e">
        <f>IF(AND(SnapshotTable[[#This Row],[Exposure]] &lt;&gt; 0),SnapshotTable[[#This Row],[Exposure]] / SnapshotTable[[#Totals],[Exposure]], "")</f>
        <v>#VALUE!</v>
      </c>
      <c r="HE67" s="268"/>
      <c r="HF67" s="268"/>
      <c r="HK67" s="1"/>
      <c r="HL67" s="1"/>
      <c r="HM67" s="1"/>
      <c r="HN67" s="1"/>
      <c r="HO67" s="1"/>
      <c r="HP67" s="1"/>
    </row>
    <row r="68" spans="2:224" ht="12.75" hidden="1" customHeight="1" x14ac:dyDescent="0.25">
      <c r="B68" s="12" t="s">
        <v>233</v>
      </c>
      <c r="C68" s="422">
        <v>83.08</v>
      </c>
      <c r="D68" s="208"/>
      <c r="E68" s="39">
        <f>SnapshotTable[[#This Row],[Last Price]]*(1 -CrashDiscount)</f>
        <v>70.617999999999995</v>
      </c>
      <c r="F68" s="26" t="s">
        <v>232</v>
      </c>
      <c r="G68" s="26" t="s">
        <v>17</v>
      </c>
      <c r="H68" s="149"/>
      <c r="I68" s="194">
        <v>44777.392361111109</v>
      </c>
      <c r="J68" s="195">
        <v>44777.392361111109</v>
      </c>
      <c r="K68" s="196"/>
      <c r="L68" s="326"/>
      <c r="M68" s="140"/>
      <c r="N68" s="140"/>
      <c r="O68" s="140"/>
      <c r="P68" s="22"/>
      <c r="Q68" s="25"/>
      <c r="R68" s="4" t="str">
        <f>IF(SnapshotTable[[#This Row],[Equity Basis Total]] &gt; 0, SnapshotTable[[#This Row],[Equity Basis Total]] / SnapshotTable[[#This Row],[Equity Shares]], "")</f>
        <v/>
      </c>
      <c r="S68" s="269">
        <f>SnapshotTable[[#This Row],[Last Price]] * SnapshotTable[[#This Row],[Equity Shares]]</f>
        <v>0</v>
      </c>
      <c r="T68" s="269">
        <f>SnapshotTable[[#This Row],[Equity Value]] - SnapshotTable[[#This Row],[Equity Basis Total]]</f>
        <v>0</v>
      </c>
      <c r="U68" s="270" t="str">
        <f>IF(SnapshotTable[[#This Row],[Equity Basis Total]] &gt; 0, SnapshotTable[[#This Row],[Equity G/L]] / SnapshotTable[[#This Row],[Equity Basis Total]], "")</f>
        <v/>
      </c>
      <c r="V68" s="268"/>
      <c r="W68" s="268"/>
      <c r="X68" s="4" t="str">
        <f>IF(AND(ISNUMBER(SnapshotTable[[#This Row],[Equity Basis Per Share]]),ISNUMBER(SnapshotTable[[#This Row],[Equity Target]])),SnapshotTable[[#This Row],[Equity Target]]-SnapshotTable[[#This Row],[Equity Basis Per Share]],"")</f>
        <v/>
      </c>
      <c r="Y68" s="4" t="str">
        <f>IF(AND(ISNUMBER(SnapshotTable[[#This Row],[Equity Basis Per Share]]),ISNUMBER(SnapshotTable[[#This Row],[Equity Stop Loss]])),SnapshotTable[[#This Row],[Equity Stop Loss]]-SnapshotTable[[#This Row],[Equity Basis Per Share]],"")</f>
        <v/>
      </c>
      <c r="Z68" s="275" t="str">
        <f>IFERROR( TEXT(SnapshotTable[[#This Row],[Equity Max Gain Per Share]] /ABS( SnapshotTable[[#This Row],[Equity Max Loss Per Share]]),"0.0 " ) &amp; " : 1", "")</f>
        <v/>
      </c>
      <c r="AA68" s="31" t="str">
        <f>IF(ISNUMBER(SnapshotTable[[#This Row],[Equity Max Gain Per Share]]),SnapshotTable[[#This Row],[Equity Max Gain Per Share]] * SnapshotTable[[#This Row],[Equity Shares]],"")</f>
        <v/>
      </c>
      <c r="AB68" s="31" t="str">
        <f>IF(ISNUMBER(SnapshotTable[[#This Row],[Equity Max Loss Per Share]]),SnapshotTable[[#This Row],[Equity Max Loss Per Share]] * SnapshotTable[[#This Row],[Equity Shares]],"")</f>
        <v/>
      </c>
      <c r="AC68" s="150">
        <v>4.5999999999999996</v>
      </c>
      <c r="AD68" s="151">
        <v>42704</v>
      </c>
      <c r="AE68" s="31">
        <f>(SnapshotTable[[#This Row],[Annual Dividend Per Share]] / 4) * SnapshotTable[[#This Row],[Equity Shares]]</f>
        <v>0</v>
      </c>
      <c r="AF68" s="31">
        <f>SnapshotTable[[#This Row],[Quarterly Div $]] * 4</f>
        <v>0</v>
      </c>
      <c r="AG68" s="7">
        <f>IF(SnapshotTable[[#This Row],[Annual Dividend Per Share]]&gt;0, SnapshotTable[[#This Row],[Annual Dividend Per Share]]  / SnapshotTable[[#This Row],[Last Price]], 0)</f>
        <v>5.536831969186326E-2</v>
      </c>
      <c r="AH68" s="151">
        <v>42577</v>
      </c>
      <c r="AI68" s="5"/>
      <c r="AJ68" s="138">
        <v>77.75</v>
      </c>
      <c r="AK68" s="152" t="str">
        <f>IF(ISNUMBER( SnapshotTable[[#This Row],[EBF Target]]),(SnapshotTable[[#This Row],[EBF Target]] - SnapshotTable[[#This Row],[Last Price]]) / SnapshotTable[[#This Row],[Last Price]], "")</f>
        <v/>
      </c>
      <c r="AL68" s="152" t="str">
        <f>IF(AND(SnapshotTable[[#This Row],[Equity Basis Total]] &gt; 0,ISNUMBER( SnapshotTable[[#This Row],[Long Term Target]])), SnapshotTable[[#This Row],[From Basis $]] / SnapshotTable[[#This Row],[Equity Basis Total]], "")</f>
        <v/>
      </c>
      <c r="AM68" s="9">
        <f>IF( AND(SnapshotTable[[#This Row],[Equity Shares]] &gt;0,ISNUMBER( SnapshotTable[[#This Row],[Long Term Target]])),(SnapshotTable[[#This Row],[Equity Shares]] * SnapshotTable[[#This Row],[Long Term Target]]) - SnapshotTable[[#This Row],[Equity Basis Total]],0)</f>
        <v>0</v>
      </c>
      <c r="AN68" s="9">
        <f>IF( AND(SnapshotTable[[#This Row],[Equity Shares]] &gt;0,ISNUMBER( SnapshotTable[[#This Row],[Long Term Target]])),(SnapshotTable[[#This Row],[Equity Shares]]*SnapshotTable[[#This Row],[Long Term Target]]) - SnapshotTable[[#This Row],[Equity Value]],0)</f>
        <v>0</v>
      </c>
      <c r="AO68" s="152">
        <f>IF(AND(ISNUMBER( SnapshotTable[[#This Row],[Long Term Target]]), ISNUMBER(SnapshotTable[[#This Row],[Last Price]])),(SnapshotTable[[#This Row],[Long Term Target]] - SnapshotTable[[#This Row],[Last Price]]) / SnapshotTable[[#This Row],[Last Price]], "")</f>
        <v>-6.4155031295137194E-2</v>
      </c>
      <c r="AP68" s="5"/>
      <c r="AQ68" s="38"/>
      <c r="AR68" s="5"/>
      <c r="AS68" s="38"/>
      <c r="AT68" s="146"/>
      <c r="AU68" s="187" t="str">
        <f>IF(OR(SnapshotTable[[#This Row],[LP No Fill]]="Y",SnapshotTable[[#This Row],[SP Is Filled]],SnapshotTable[[#This Row],[LC Not Filled]]="Y",SnapshotTable[[#This Row],[SC Is Filled]]),"Y","")</f>
        <v/>
      </c>
      <c r="AV68" s="219"/>
      <c r="AW68" s="225"/>
      <c r="AX68" s="220"/>
      <c r="AY68" s="219" t="str">
        <f>IF(SnapshotTable[[#This Row],[Implied Move]]&gt;0, SnapshotTable[[#This Row],[Last Price]]-SnapshotTable[[#This Row],[Implied Move]],"")</f>
        <v/>
      </c>
      <c r="AZ68" s="219" t="str">
        <f>IF(SnapshotTable[[#This Row],[Implied Move]]&gt;0, SnapshotTable[[#This Row],[Last Price]] + SnapshotTable[[#This Row],[Implied Move]],"")</f>
        <v/>
      </c>
      <c r="BA68" s="331"/>
      <c r="BB68" s="347"/>
      <c r="BC6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8" s="351"/>
      <c r="BE68" s="5"/>
      <c r="BF68" s="14"/>
      <c r="BG68" s="13"/>
      <c r="BH68" s="13"/>
      <c r="BI68" s="5"/>
      <c r="BJ68" s="136">
        <f>IF(SnapshotTable[[#This Row],[LP Qty]] &gt; 0, SnapshotTable[[#This Row],[LP Qty]] * SnapshotTable[[#This Row],[LP Book Price]] * 100,0)</f>
        <v>0</v>
      </c>
      <c r="BK68" s="136">
        <f>IF(SnapshotTable[[#This Row],[LP Premium]] &gt; 0, SnapshotTable[[#This Row],[LP Qty]] * SnapshotTable[[#This Row],[LP Strike Price]] * 100,0)</f>
        <v>0</v>
      </c>
      <c r="BL68" s="154"/>
      <c r="BM68" s="385" t="str">
        <f>IF(SnapshotTable[[#This Row],[LP Premium]] &gt; 0,SnapshotTable[[#This Row],[LP Exp Date]]-MAX(SnapshotTable[[#This Row],[LP Book Date]], SnapshotTable[[#This Row],[LP Fill Date]]),"")</f>
        <v/>
      </c>
      <c r="BN68" s="385" t="str">
        <f>IF(ISNUMBER( SnapshotTable[[#This Row],[LP Term]]), SnapshotTable[[#This Row],[LP Exp Date]] - MockToday,"")</f>
        <v/>
      </c>
      <c r="BO68" s="163" t="str">
        <f>IF(AND(SnapshotTable[[#This Row],[LP Exp Date]]&gt;0, SnapshotTable[[#This Row],[LP Strike Price]]&gt;0,SnapshotTable[[#This Row],[LP Qty]]&gt;0,SnapshotTable[[#This Row],[LP Book Date]]&gt;0,SnapshotTable[[#This Row],[LP Book Price]]&gt;0,SnapshotTable[[#This Row],[LP Fill Date]]=0),"Y","")</f>
        <v/>
      </c>
      <c r="BP68" s="31" t="str">
        <f>IF(AND(SnapshotTable[[#This Row],[LP No Fill]]&lt;&gt;"Y",SnapshotTable[[#This Row],[LP Contract Value]]&gt;0, SnapshotTable[[#This Row],[LP Qty]]&gt;0), SnapshotTable[[#This Row],[LP Contract Value]]*SnapshotTable[[#This Row],[LP Qty]]*100,"")</f>
        <v/>
      </c>
      <c r="BQ68" s="13"/>
      <c r="BR68" s="5" t="str">
        <f>IF(SnapshotTable[[#This Row],[SP Exp Date]]&lt;&gt;"",TRUNC(SnapshotTable[[#This Row],[Last Price]]),"")</f>
        <v/>
      </c>
      <c r="BS68" s="36"/>
      <c r="BT68" s="147"/>
      <c r="BU68" s="13"/>
      <c r="BV68" s="5"/>
      <c r="BW68" s="419" t="b">
        <f>AND(ISNUMBER(SnapshotTable[[#This Row],[SP Exp Date]]), ISNUMBER(SnapshotTable[[#This Row],[SP Strike Price]]), ISNUMBER(SnapshotTable[[#This Row],[SP Qty]]), ISNUMBER(SnapshotTable[[#This Row],[SP Book Date]]), ISNUMBER(SnapshotTable[[#This Row],[SP Book Price]]))</f>
        <v>0</v>
      </c>
      <c r="BX68" s="419" t="b">
        <f>AND(SnapshotTable[[#This Row],[SP Is Booked]], NOT(ISBLANK(SnapshotTable[[#This Row],[SP Fill Date]])))</f>
        <v>0</v>
      </c>
      <c r="BY68" s="33">
        <f>IF(SnapshotTable[[#This Row],[SP Is Booked]], SnapshotTable[[#This Row],[SP Qty]] * SnapshotTable[[#This Row],[SP Book Price]] * 100, 0)</f>
        <v>0</v>
      </c>
      <c r="BZ68" s="369"/>
      <c r="CA68" s="368">
        <f>SnapshotTable[[#This Row],[LP Qty]]</f>
        <v>0</v>
      </c>
      <c r="CB68" s="4" t="str">
        <f>IF(SnapshotTable[[#This Row],[SP Is Booked]], SnapshotTable[[#This Row],[SP Strike Price]] - SnapshotTable[[#This Row],[SP Book Price]], "")</f>
        <v/>
      </c>
      <c r="CC68" s="19" t="str">
        <f>IF(SnapshotTable[[#This Row],[SP Is Booked]],SnapshotTable[[#This Row],[SP Exp Date]]-MAX(SnapshotTable[[#This Row],[SP Book Date]], SnapshotTable[[#This Row],[SP Fill Date]]),"")</f>
        <v/>
      </c>
      <c r="CD68" s="7" t="str">
        <f>IF(SnapshotTable[[#This Row],[SP Is Booked]], SnapshotTable[[#This Row],[SP Book Price]]/SnapshotTable[[#This Row],[SP Strike Price]], "")</f>
        <v/>
      </c>
      <c r="CE68" s="7" t="str">
        <f>IF(ISNUMBER(SnapshotTable[[#This Row],[SP ROO Term]]),SnapshotTable[[#This Row],[SP ROO Term]]*(365/SnapshotTable[[#This Row],[SP Term]]),"")</f>
        <v/>
      </c>
      <c r="CF68" s="236">
        <f>SnapshotTable[[#This Row],[LP Strike Price]] * SnapshotTable[[#This Row],[LP Qty]] * 100</f>
        <v>0</v>
      </c>
      <c r="CG68" s="31" t="e">
        <f>IF(ISNUMBER(SnapshotTable[[#This Row],[SP Premium]]), (SnapshotTable[[#This Row],[SP Qty]] * SnapshotTable[[#This Row],[SP Strike Price]]* 100) - SnapshotTable[[#This Row],[LP Protection]], 0)</f>
        <v>#VALUE!</v>
      </c>
      <c r="CH68" s="7" t="str">
        <f>IF(ISNUMBER(SnapshotTable[[#This Row],[SP Break Even]]),-1 * (SnapshotTable[[#This Row],[SP Break Even]] - SnapshotTable[[#This Row],[Last Price]]) / SnapshotTable[[#This Row],[Last Price]], "")</f>
        <v/>
      </c>
      <c r="CI68" s="31">
        <f>IF(AND(ISNUMBER((SnapshotTable[[#This Row],[SP Potential Spend]])), SnapshotTable[[#This Row],[SP Strike Price]] &gt; SnapshotTable[[#This Row],[Last Price]], SnapshotTable[[#This Row],[SP Is Filled]]), SnapshotTable[[#This Row],[SP Potential Spend]] -  SnapshotTable[[#This Row],[LP Max Value]], 0)</f>
        <v>0</v>
      </c>
      <c r="CJ68" s="244"/>
      <c r="CK68" s="31" t="str">
        <f>IF(ISNUMBER(SnapshotTable[[#This Row],[SP Potential Spend]]),IF(ISNUMBER(SnapshotTable[[#This Row],[SP POW]]), SnapshotTable[[#This Row],[SP POW]] * SnapshotTable[[#This Row],[SP Potential Spend]], SnapshotTable[[#This Row],[SP Potential Spend]]), "")</f>
        <v/>
      </c>
      <c r="CL68" s="164" t="e">
        <f>IF(NOT(SnapshotTable[[#This Row],[SP Is Filled]]),(SnapshotTable[[#This Row],[SP Qty]] * SnapshotTable[[#This Row],[SP Strike Price]] * 100) - SnapshotTable[[#This Row],[LP Max Value]],"")</f>
        <v>#VALUE!</v>
      </c>
      <c r="CM68" s="31" t="str">
        <f>IF(SnapshotTable[[#This Row],[SP Actual Spend]]&lt;&gt;0, ((SnapshotTable[[#This Row],[SP Strike Price]]-SnapshotTable[[#This Row],[Last Price]]) *(SnapshotTable[[#This Row],[SP Qty]]*100) - SnapshotTable[[#This Row],[SP Premium]]) * - 1, "")</f>
        <v/>
      </c>
      <c r="CN68" s="78"/>
      <c r="CO68" s="369"/>
      <c r="CP68" s="4" t="str">
        <f>IF(SnapshotTable[[#This Row],[SP Is Filled]], btc_max_buyback_amount(SnapshotTable[[#This Row],[SP Fill Date]],SnapshotTable[[#This Row],[SP Exp Date]], SnapshotTable[[#This Row],[SP Book Price]]),"")</f>
        <v/>
      </c>
      <c r="CQ68" s="78"/>
      <c r="CR6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8" s="155" t="str">
        <f>IF(SnapshotTable[[#This Row],[SP Is Filled]], btc_next_cutoff_date(SnapshotTable[[#This Row],[SP Fill Date]],SnapshotTable[[#This Row],[SP Exp Date]]),"")</f>
        <v/>
      </c>
      <c r="CT68" s="235" t="str" cm="1">
        <f t="array" ref="CT68">IF(SnapshotTable[[#This Row],[SP Is Filled]], btc_should_buy_back(SnapshotTable[[#This Row],[SP Fill Date]], SnapshotTable[[#This Row],[SP Exp Date]], SnapshotTable[[#This Row],[SP Book Price]], SnapshotTable[[#This Row],[SP Current Ask]], MockToday, SnapshotTable[[#This Row],[SP Buyback Override]]),"")</f>
        <v/>
      </c>
      <c r="CU68" s="143"/>
      <c r="CV68" s="235"/>
      <c r="CW68" s="378" t="str">
        <f>IF(ISNUMBER( SnapshotTable[[#This Row],[SP Term]]), SnapshotTable[[#This Row],[SP Exp Date]] - MockToday,"")</f>
        <v/>
      </c>
      <c r="CX68" s="31" t="str">
        <f>IF(SnapshotTable[[#This Row],[SP Is Filled]],SnapshotTable[[#This Row],[SP Buyback Price to Use]] * 100 * SnapshotTable[[#This Row],[SP Qty]], "")</f>
        <v/>
      </c>
      <c r="CY68" s="4" t="str">
        <f>IF(ISNUMBER(SnapshotTable[[#This Row],[SP Strike Price]]), SnapshotTable[[#This Row],[SP Strike Price]] * (1 - SP_MaxLoss_StrikePct), "")</f>
        <v/>
      </c>
      <c r="CZ68" s="31" t="str">
        <f>IF(ISNUMBER(SnapshotTable[[#This Row],[SP Strike  Stop Per Share]]),SnapshotTable[[#This Row],[SP Premium]] - ((SnapshotTable[[#This Row],[SP Strike Price]]-SnapshotTable[[#This Row],[SP Strike  Stop Per Share]]) *(SnapshotTable[[#This Row],[SP Qty]] * 100)),"")</f>
        <v/>
      </c>
      <c r="DA68" s="4" t="str">
        <f>IF(AND(ISNUMBER(SnapshotTable[[#This Row],[SP Premium]]),SnapshotTable[[#This Row],[SP Premium]]&gt;0), SnapshotTable[[#This Row],[SP Book Price]] * (1 + SP_MaxLoss_OptionPct), "")</f>
        <v/>
      </c>
      <c r="DB68" s="31" t="str">
        <f>IF(ISNUMBER(SnapshotTable[[#This Row],[SP Option  Stop Contract]]),(SnapshotTable[[#This Row],[SP Option  Stop Contract]] *(SnapshotTable[[#This Row],[SP Qty]] * 100) - SnapshotTable[[#This Row],[SP Premium]]),"")</f>
        <v/>
      </c>
      <c r="DC68" s="4"/>
      <c r="DD68" s="4"/>
      <c r="DE68" s="4" t="str">
        <f>IF(AND(SnapshotTable[[#This Row],[SP Qty]]&gt;0, SnapshotTable[[#This Row],[SP Stop To Use]]&gt;0),SnapshotTable[[#This Row],[SP Premium]] - ( SnapshotTable[[#This Row],[SP Qty]] * SnapshotTable[[#This Row],[SP Stop To Use]] * 100), "")</f>
        <v/>
      </c>
      <c r="DF68" s="31" t="str">
        <f>IF(AND(SnapshotTable[[#This Row],[SP Qty]]&gt;0,SnapshotTable[[#This Row],[SP Current Ask]]&gt;0), SnapshotTable[[#This Row],[SP Qty]] * SnapshotTable[[#This Row],[SP Current Ask]] * -100, "")</f>
        <v/>
      </c>
      <c r="DG68" s="31" t="str">
        <f>IF(ISNUMBER((SnapshotTable[[#This Row],[SP Total Value]])), SnapshotTable[[#This Row],[SP Premium]] + SnapshotTable[[#This Row],[SP Total Value]], "")</f>
        <v/>
      </c>
      <c r="DH68" s="294" t="str">
        <f>IF(ISNUMBER((SnapshotTable[[#This Row],[SP Total Value]])), SnapshotTable[[#This Row],[SP Gain Loss]] / SnapshotTable[[#This Row],[SP Premium]], "")</f>
        <v/>
      </c>
      <c r="DI68" s="406"/>
      <c r="DJ68" s="138"/>
      <c r="DK68" s="148"/>
      <c r="DL68" s="13"/>
      <c r="DM68" s="13"/>
      <c r="DO68" s="31">
        <f>IF(SnapshotTable[[#This Row],[LC Symbol Count]]=1, SnapshotTable[[#This Row],[LC Qty]] * SnapshotTable[[#This Row],[LC Book Price]] * 100, 0)</f>
        <v>0</v>
      </c>
      <c r="DP68" s="163" t="str">
        <f>IF(AND(SnapshotTable[[#This Row],[LC Exp Date]]&gt;0, SnapshotTable[[#This Row],[LC Strike Price]]&gt;0,SnapshotTable[[#This Row],[LC Qty]]&gt;0,SnapshotTable[[#This Row],[LC Book Date]]&gt;0,SnapshotTable[[#This Row],[LC Book Price]]&gt;0,SnapshotTable[[#This Row],[LC Fill Date]]=0),"Y","")</f>
        <v/>
      </c>
      <c r="DQ68" s="386" t="str">
        <f>IF(SnapshotTable[[#This Row],[LC Premium]] &gt; 0,SnapshotTable[[#This Row],[LC Exp Date]]-MAX(SnapshotTable[[#This Row],[LC Book Date]], SnapshotTable[[#This Row],[LC Fill Date]]),"")</f>
        <v/>
      </c>
      <c r="DR68" s="386" t="str">
        <f>IF(ISNUMBER(SnapshotTable[[#This Row],[LC Term]]), SnapshotTable[[#This Row],[LC Exp Date]] - MockToday, "")</f>
        <v/>
      </c>
      <c r="DS68" s="234" t="str">
        <f>IF(SnapshotTable[[#This Row],[LC Premium]]&gt;0,SnapshotTable[[#This Row],[LC Strike Price]] + SnapshotTable[[#This Row],[LC Book Price]],"")</f>
        <v/>
      </c>
      <c r="DU68" s="9" t="str">
        <f>IF(AND(SnapshotTable[[#This Row],[LC Symbol Count]]&gt;0, SnapshotTable[[#This Row],[LC Contract Value]]&gt;0), SnapshotTable[[#This Row],[LC Contract Value]] * SnapshotTable[[#This Row],[LC Qty]] * 100, "")</f>
        <v/>
      </c>
      <c r="DV68" s="9" t="str">
        <f>IF(AND(ISNUMBER(SnapshotTable[[#This Row],[LC Total Value]]), SnapshotTable[[#This Row],[LC Not Filled]]&lt;&gt;"Y"), SnapshotTable[[#This Row],[LC Total Value]]-SnapshotTable[[#This Row],[LC Premium]],"")</f>
        <v/>
      </c>
      <c r="DW68" s="240" t="str">
        <f>IF(ISNUMBER(SnapshotTable[[#This Row],[LC Actual Gain Loss]]), SnapshotTable[[#This Row],[LC Actual Gain Loss]] / SnapshotTable[[#This Row],[LC Premium]],"")</f>
        <v/>
      </c>
      <c r="DX68" s="284" t="str">
        <f>IF(ISNUMBER(SnapshotTable[[#This Row],[LC Book Price]]),SnapshotTable[[#This Row],[LC Book Price]] * 1.5,"")</f>
        <v/>
      </c>
      <c r="DY68" s="265" t="str">
        <f>IF(SnapshotTable[[#This Row],[LC Premium]]&gt;0, SnapshotTable[[#This Row],[LC Next Target]] * SnapshotTable[[#This Row],[LC Qty]] * 100,"")</f>
        <v/>
      </c>
      <c r="DZ68" s="265" t="str">
        <f>IF(ISNUMBER(SnapshotTable[[#This Row],[LC Target Gross]]), SnapshotTable[[#This Row],[LC Target Gross]] - SnapshotTable[[#This Row],[LC Premium]], "")</f>
        <v/>
      </c>
      <c r="EA68" s="305" t="str">
        <f>IF(ISNUMBER(SnapshotTable[[#This Row],[LC Target Gain Loss]]), SnapshotTable[[#This Row],[LC Target Gain Loss]]/SnapshotTable[[#This Row],[LC Premium]], "")</f>
        <v/>
      </c>
      <c r="EB68" s="262"/>
      <c r="EC68" s="283" t="str">
        <f>IF(SnapshotTable[[#This Row],[LC Premium]]&gt;0, SnapshotTable[[#This Row],[LC Book Price]] * (1 - LC_StopLoss_Pct),"")</f>
        <v/>
      </c>
      <c r="ED68" s="284"/>
      <c r="EE68" s="283" t="str">
        <f>IF(ISNUMBER(SnapshotTable[[#This Row],[LC Contract Value]]),IF(ISNUMBER(SnapshotTable[[#This Row],[LC Stop Loss Override]]), SnapshotTable[[#This Row],[LC Stop Loss Override]],SnapshotTable[[#This Row],[LC Stop Loss Calc Target]]),"")</f>
        <v/>
      </c>
      <c r="EF68" s="31" t="str">
        <f>IF(ISNUMBER(SnapshotTable[[#This Row],[LC Stop  To Use]]), (SnapshotTable[[#This Row],[LC Stop  To Use]] * SnapshotTable[[#This Row],[LC Qty]] * 100),"")</f>
        <v/>
      </c>
      <c r="EG68" s="9" t="str">
        <f>IF(ISNUMBER(SnapshotTable[[#This Row],[LC Total Value]]),SnapshotTable[[#This Row],[LC Stop Loss Amount]] - SnapshotTable[[#This Row],[LC Premium]],"")</f>
        <v/>
      </c>
      <c r="EH68" s="9">
        <f>IF(ISNUMBER(SnapshotTable[[#This Row],[LC Premium]]), SnapshotTable[[#This Row],[LC Qty]] * 100 * SnapshotTable[[#This Row],[LC Strike Price]], "")</f>
        <v>0</v>
      </c>
      <c r="EI68" s="240" t="str">
        <f>IF(AND(ISNUMBER(SnapshotTable[[#This Row],[LC Total Value]]),SnapshotTable[[#This Row],[LC Total Value]]&gt;0),SnapshotTable[[#This Row],[LC Stop Gain Loss]]  / SnapshotTable[[#This Row],[LC Premium]],"")</f>
        <v/>
      </c>
      <c r="EJ68" s="35">
        <f>IF(ISNUMBER(SnapshotTable[[#This Row],[Equity Shares]]),TRUNC(SnapshotTable[[#This Row],[Equity Shares]] / 100),0) + SnapshotTable[[#This Row],[LC Qty]]</f>
        <v>0</v>
      </c>
      <c r="EK68" s="147"/>
      <c r="EL68" s="138" t="str">
        <f>IF(SnapshotTable[[#This Row],[SC Exp Date]]&lt;&gt;"",TRUNC(SnapshotTable[[#This Row],[Last Price]]),"")</f>
        <v/>
      </c>
      <c r="EM68" s="148"/>
      <c r="EN68" s="147"/>
      <c r="EO68" s="147"/>
      <c r="EP68" s="138"/>
      <c r="EQ68" s="419" t="b">
        <f>AND(ISNUMBER(SnapshotTable[[#This Row],[SC Exp Date]]), ISNUMBER(SnapshotTable[[#This Row],[SC Strike Price]]), ISNUMBER(SnapshotTable[[#This Row],[SC Qty]]), ISNUMBER(SnapshotTable[[#This Row],[SC Book Date]]), ISNUMBER(SnapshotTable[[#This Row],[SC Book Price]]))</f>
        <v>0</v>
      </c>
      <c r="ER68" s="419" t="b">
        <f>AND(SnapshotTable[[#This Row],[SC Is Booked]], NOT(ISBLANK(SnapshotTable[[#This Row],[SC Fill Date]])))</f>
        <v>0</v>
      </c>
      <c r="ES68" s="370"/>
      <c r="ET68" s="34" t="str">
        <f>IF(AND(ISNUMBER(SnapshotTable[[#This Row],[SC Exp Date]]), ISNUMBER(SnapshotTable[[#This Row],[SC Book Date]])), SnapshotTable[[#This Row],[SC Exp Date]] - MAX(SnapshotTable[[#This Row],[SC Book Date]], SnapshotTable[[#This Row],[SC Fill Date]]) + 1, "")</f>
        <v/>
      </c>
      <c r="EU68" s="34" t="str">
        <f>IF(ISNUMBER(SnapshotTable[[#This Row],[SC Term]]), SnapshotTable[[#This Row],[SC Exp Date]]- MockToday, "")</f>
        <v/>
      </c>
      <c r="EV68" s="31">
        <f>IF(SnapshotTable[[#This Row],[SC Is Booked]], SnapshotTable[[#This Row],[SC Qty]] * SnapshotTable[[#This Row],[SC Book Price]] * 100, 0)</f>
        <v>0</v>
      </c>
      <c r="EW68" s="4" t="str">
        <f>IF(AND(ISNUMBER(SnapshotTable[[#This Row],[Last Price]]), ISNUMBER( SnapshotTable[[#This Row],[SC Book Price]])), SnapshotTable[[#This Row],[Last Price]] - SnapshotTable[[#This Row],[SC Book Price]],"")</f>
        <v/>
      </c>
      <c r="EX68" s="234" t="str">
        <f>IF(SnapshotTable[[#This Row],[SC Is Booked]],IF(SnapshotTable[[#This Row],[SC Intrinsic Value]] &gt; 0, SnapshotTable[[#This Row],[SC Strike Price]], SnapshotTable[[#This Row],[Last Price]]), "")</f>
        <v/>
      </c>
      <c r="EY68" s="4">
        <f>IF(SnapshotTable[[#This Row],[SC Is Booked]], (MinimumPremiumRequired * SnapshotTable[[#This Row],[SC Basis]] * SnapshotTable[[#This Row],[SC Term]]), 0)</f>
        <v>0</v>
      </c>
      <c r="EZ68" s="283"/>
      <c r="FA68" s="218"/>
      <c r="FB68" s="370"/>
      <c r="FC68" s="4">
        <f>IF(SnapshotTable[[#This Row],[SC Is Filled]], btc_max_buyback_amount(SnapshotTable[[#This Row],[SC Fill Date]],SnapshotTable[[#This Row],[SC Exp Date]], SnapshotTable[[#This Row],[SC Book Price]]),0)</f>
        <v>0</v>
      </c>
      <c r="FD68" s="5"/>
      <c r="FE68" s="144" t="str">
        <f>IF(SnapshotTable[[#This Row],[SC Is Filled]], btc_next_cutoff_date(SnapshotTable[[#This Row],[SC Fill Date]],SnapshotTable[[#This Row],[SC Exp Date]]),"")</f>
        <v/>
      </c>
      <c r="FF68" s="4" t="str" cm="1">
        <f t="array" ref="FF68">IF(SnapshotTable[[#This Row],[SC Is Filled]], btc_should_buy_back(SnapshotTable[[#This Row],[SC Fill Date]], SnapshotTable[[#This Row],[SC Exp Date]], SnapshotTable[[#This Row],[SC Book Price]], SnapshotTable[[#This Row],[SC Current Ask]], MockToday, SnapshotTable[[#This Row],[SC Buyback Override]]),"")</f>
        <v/>
      </c>
      <c r="FG68" s="4">
        <f>IF(SnapshotTable[[#This Row],[SC Is Filled]], MAX(0,SnapshotTable[[#This Row],[Last Price]]  - SnapshotTable[[#This Row],[SC Strike Price]]), 0)</f>
        <v>0</v>
      </c>
      <c r="FH68" s="382">
        <f>IF(SnapshotTable[[#This Row],[SC Is Filled]], IF(ISNUMBER(SnapshotTable[[#This Row],[SC Current Ask]]), SnapshotTable[[#This Row],[SC Current Ask]], SnapshotTable[[#This Row],[SC Book Price]]) - SnapshotTable[[#This Row],[SC Intrinsic Value]], 0)</f>
        <v>0</v>
      </c>
      <c r="FI68" s="143"/>
      <c r="FJ68" s="32" t="str">
        <f>IF(SnapshotTable[[#This Row],[SC Is Filled]],100 * SnapshotTable[[#This Row],[SC Qty]] * IF(ISNUMBER(SnapshotTable[[#This Row],[SC Buyback Override]]), SnapshotTable[[#This Row],[SC Buyback Override]], SnapshotTable[[#This Row],[SC Current Ask]]), "")</f>
        <v/>
      </c>
      <c r="FK68" s="250" t="str">
        <f>IF(SnapshotTable[[#This Row],[SC Time Val]]&gt;0, SnapshotTable[[#This Row],[SC Time Val]] / SnapshotTable[[#This Row],[Last Price]],"")</f>
        <v/>
      </c>
      <c r="FL68" s="302" t="str">
        <f>IF(SnapshotTable[[#This Row],[SC Is Booked]], ((SnapshotTable[[#This Row],[Last Price]] -SnapshotTable[[#This Row],[SC Strike Price]]) / SnapshotTable[[#This Row],[Last Price]]) * -1, "")</f>
        <v/>
      </c>
      <c r="FM68" s="157" t="str">
        <f>IF(SnapshotTable[[#This Row],[SC Is Booked]],  (SnapshotTable[[#This Row],[SC Qty]] * 100 * SnapshotTable[[#This Row],[SC Strike Price]]) - SnapshotTable[[#This Row],[SC Current Ask]], "")</f>
        <v/>
      </c>
      <c r="FN6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8" s="31" t="str">
        <f>IF(AND(ISNUMBER(SnapshotTable[[#This Row],[SC Exercise Gross]]), ISNUMBER(SnapshotTable[[#This Row],[Equity Basis Per Share]] )), SnapshotTable[[#This Row],[SC Exercise Gross]] - SnapshotTable[[#This Row],[Equity Basis Total]] +  SnapshotTable[[#This Row],[SC Premium]], "")</f>
        <v/>
      </c>
      <c r="FP68" s="5" t="str">
        <f>IF(ISNUMBER(SnapshotTable[[#This Row],[SC Exercise Gross]]), (SnapshotTable[[#This Row],[SC Exercise Gross]]) / (SnapshotTable[[#This Row],[SC Qty]] * 100), "")</f>
        <v/>
      </c>
      <c r="FQ68" s="27" t="str">
        <f>IF(SnapshotTable[[#This Row],[SC Is Booked]],SnapshotTable[[#This Row],[SC Time Val]] /SnapshotTable[[#This Row],[SC Basis]], "")</f>
        <v/>
      </c>
      <c r="FR68" s="27" t="str" cm="1">
        <f t="array" ref="FR68">IF(AND(ISNUMBER(SnapshotTable[[#This Row],[SC Term]]),ISNUMBER(SnapshotTable[[#This Row],[SC Simple ROO]])), EllmanAnnualize(SnapshotTable[[#This Row],[SC DTE]], SnapshotTable[[#This Row],[SC Simple ROO]] ),"")</f>
        <v/>
      </c>
      <c r="FS68" s="4" t="e">
        <f>IF(SnapshotTable[[#This Row],[SC Strike Price]] &gt; SnapshotTable[[#This Row],[Last Price]], SnapshotTable[[#This Row],[SC Strike Price]] - SnapshotTable[[#This Row],[Last Price]],0)</f>
        <v>#VALUE!</v>
      </c>
      <c r="FT68" s="27" t="e">
        <f>IF(AND(ISNUMBER(SnapshotTable[[#This Row],[SC Upside Potential]]), SnapshotTable[[#This Row],[SC Upside Potential]] &gt; 0),(SnapshotTable[[#This Row],[SC Upside Potential]]/ SnapshotTable[[#This Row],[ACB]]),"")</f>
        <v>#VALUE!</v>
      </c>
      <c r="FU68" s="333" t="str">
        <f>IF(SnapshotTable[[#This Row],[SC Intrinsic Value]] &gt; 0,SnapshotTable[[#This Row],[SC Intrinsic Value]],"")</f>
        <v/>
      </c>
      <c r="FV68" s="27" t="str">
        <f>IF(AND( ISNUMBER( SnapshotTable[[#This Row],[ACB]]),ISNUMBER(SnapshotTable[[#This Row],[SC Downside Protect]])),SnapshotTable[[#This Row],[SC Downside Protect]] / SnapshotTable[[#This Row],[ACB]],"")</f>
        <v/>
      </c>
      <c r="FW68" s="236" t="str">
        <f>IF(AND(ISNUMBER(SnapshotTable[[#This Row],[SC Simple ROO]]),SnapshotTable[[#This Row],[SC Simple ROO]] &gt; 0), SnapshotTable[[#This Row],[SC Premium]] + (SnapshotTable[[#This Row],[SC Qty]] * SnapshotTable[[#This Row],[SC Upside Potential]]), "")</f>
        <v/>
      </c>
      <c r="FX68" s="302" t="str" cm="1">
        <f t="array" ref="FX68">IF(ISNUMBER(SnapshotTable[[#This Row],[SC Max Dollars]]), annualize(SnapshotTable[[#This Row],[SC Term]],(SnapshotTable[[#This Row],[SC Max Dollars]]/SnapshotTable[[#This Row],[SC Basis]])),"")</f>
        <v/>
      </c>
      <c r="FY68" s="236" t="str">
        <f>IF(AND(SnapshotTable[[#This Row],[SC Qty]]&gt;0,SnapshotTable[[#This Row],[SC Current Ask]]&gt;0), SnapshotTable[[#This Row],[SC Qty]] * SnapshotTable[[#This Row],[SC Current Ask]] * -100, "")</f>
        <v/>
      </c>
      <c r="FZ68" s="31" t="str">
        <f>IF(ISNUMBER((SnapshotTable[[#This Row],[SC Current Value]])), SnapshotTable[[#This Row],[SC Premium]] + SnapshotTable[[#This Row],[SC Current Value]], "")</f>
        <v/>
      </c>
      <c r="GA68" s="294" t="str">
        <f>IFERROR( IF(ISNUMBER((SnapshotTable[[#This Row],[SC Current Value]])), SnapshotTable[[#This Row],[SC Gain Loss]] / SnapshotTable[[#This Row],[SC Premium]], ""), "")</f>
        <v/>
      </c>
      <c r="GB68" s="42">
        <f>SnapshotTable[[#This Row],[Equity Shares]] * SaleSharesToConsiderPercentage</f>
        <v>0</v>
      </c>
      <c r="GC68" s="40">
        <f>SnapshotTable[[#This Row],[Long Term Target]] * SellingPriceToConsiderBasedOnTargetPercentage</f>
        <v>73.862499999999997</v>
      </c>
      <c r="GD68" s="40">
        <f>SnapshotTable[[#This Row],[Last Price]] * (1+ SellingPriceToConsiderBasedOnTargetPercentage)</f>
        <v>162.006</v>
      </c>
      <c r="GE68" s="41"/>
      <c r="GF68" s="40"/>
      <c r="GG68" s="31">
        <f>SnapshotTable[[#This Row],[Booked Sale Shares]] * SnapshotTable[[#This Row],[Booked Sale Price]]</f>
        <v>0</v>
      </c>
      <c r="GH68" s="31" t="str">
        <f>IF(SnapshotTable[[#This Row],[Equity Basis Total]] &gt; 0, SnapshotTable[[#This Row],[Equity Basis Per Share]] * SnapshotTable[[#This Row],[Booked Sale Shares]], "")</f>
        <v/>
      </c>
      <c r="GI68" s="31">
        <f>IF(SnapshotTable[[#This Row],[Sale Proceeds]]&gt;0, SnapshotTable[[#This Row],[Sale Proceeds]] - SnapshotTable[[#This Row],[Sale Basis]], 0)</f>
        <v>0</v>
      </c>
      <c r="GJ68" s="27" t="str">
        <f>IF(SnapshotTable[[#This Row],[Sale G/L]]&gt;0, SnapshotTable[[#This Row],[Sale G/L]] / SnapshotTable[[#This Row],[Sale Basis]], IF(ISNUMBER(SnapshotTable[[#This Row],[SC Exercise P&amp;L (TAX)]]), SnapshotTable[[#This Row],[SC Exercise P&amp;L (TAX)]] / SnapshotTable[[#This Row],[SC Basis]], ""))</f>
        <v/>
      </c>
      <c r="GK68" s="27" t="s">
        <v>651</v>
      </c>
      <c r="GL68" s="43" t="str">
        <f>IF(AND(SnapshotTable[[#This Row],[LP Exp Date]]&gt;0,SnapshotTable[[#This Row],[LP Strike Price]]&gt;0), [1]!ToOptionSymbol(SnapshotTable[[#This Row],[Symbol]], SnapshotTable[[#This Row],[LP Strike Price]],SnapshotTable[[#This Row],[LP Exp Date]],1), "")</f>
        <v/>
      </c>
      <c r="GM68" s="30" t="str">
        <f>IF(LEN(SnapshotTable[[#This Row],[LP Symbol]])&gt;0, 1, "")</f>
        <v/>
      </c>
      <c r="GN68" s="43" t="str">
        <f>IF(AND(SnapshotTable[[#This Row],[SP Exp Date]]&gt;0,SnapshotTable[[#This Row],[SP Strike Price]]&gt;0), [1]!ToOptionSymbol(SnapshotTable[[#This Row],[Symbol]], SnapshotTable[[#This Row],[SP Strike Price]],SnapshotTable[[#This Row],[SP Exp Date]],1), "")</f>
        <v/>
      </c>
      <c r="GO68" s="30" t="str">
        <f>IF(LEN(SnapshotTable[[#This Row],[SP Symbol]])&gt;0, 1, "")</f>
        <v/>
      </c>
      <c r="GP68" s="43" t="str">
        <f>IF(AND(SnapshotTable[[#This Row],[LC Exp Date]]&gt;0,SnapshotTable[[#This Row],[LC Strike Price]]&gt;0), [1]!ToOptionSymbol(SnapshotTable[[#This Row],[Symbol]], SnapshotTable[[#This Row],[LC Strike Price]],SnapshotTable[[#This Row],[LC Exp Date]],0), "")</f>
        <v/>
      </c>
      <c r="GQ68" s="30" t="str">
        <f>IF(LEN(SnapshotTable[[#This Row],[LC Symbol]])&gt;0, 1, "")</f>
        <v/>
      </c>
      <c r="GR68" s="43" t="str">
        <f>IF(AND(SnapshotTable[[#This Row],[SC Exp Date]]&gt;0,SnapshotTable[[#This Row],[SC Strike Price]]&gt;0), [1]!ToOptionSymbol(SnapshotTable[[#This Row],[Symbol]], SnapshotTable[[#This Row],[SC Strike Price]],SnapshotTable[[#This Row],[SC Exp Date]],0), "")</f>
        <v/>
      </c>
      <c r="GS68" s="30" t="str">
        <f>IF(LEN(SnapshotTable[[#This Row],[SC Symbol]])&gt;0, 1, "")</f>
        <v/>
      </c>
      <c r="GT68" s="29" t="str">
        <f>IF(COUNT(SnapshotTable[[#This Row],[LP Symbol Count]],SnapshotTable[[#This Row],[SP Symbol Count]],SnapshotTable[[#This Row],[LC Symbol Count]],SnapshotTable[[#This Row],[SC Symbol Count]])&gt;0, "Y", "")</f>
        <v/>
      </c>
      <c r="GU6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8" s="231" t="e">
        <f>MAX(SnapshotTable[[#This Row],[Equity Basis Total]],SnapshotTable[[#This Row],[Equity Value]]) + (SnapshotTable[[#This Row],[SP Potential Spend]]- SnapshotTable[[#This Row],[SP Premium]] + SnapshotTable[[#This Row],[LP Premium]])+ (SnapshotTable[[#This Row],[LC Premium]] - SnapshotTable[[#This Row],[SC Premium]])</f>
        <v>#VALUE!</v>
      </c>
      <c r="GW68" s="139" t="e">
        <f>IF(AND(SnapshotTable[[#This Row],[Exposure]] &lt;&gt; 0),SnapshotTable[[#This Row],[Exposure]] / SnapshotTable[[#Totals],[Exposure]], "")</f>
        <v>#VALUE!</v>
      </c>
      <c r="HE68" s="268"/>
      <c r="HF68" s="268"/>
      <c r="HK68" s="1"/>
      <c r="HL68" s="1"/>
      <c r="HM68" s="1"/>
      <c r="HN68" s="1"/>
      <c r="HO68" s="1"/>
      <c r="HP68" s="1"/>
    </row>
    <row r="69" spans="2:224" ht="12.75" hidden="1" customHeight="1" x14ac:dyDescent="0.25">
      <c r="B69" s="12" t="s">
        <v>540</v>
      </c>
      <c r="C69" s="422">
        <v>353.98</v>
      </c>
      <c r="D69" s="208"/>
      <c r="E69" s="39">
        <f>SnapshotTable[[#This Row],[Last Price]]*(1 -CrashDiscount)</f>
        <v>300.88299999999998</v>
      </c>
      <c r="F69" s="26" t="s">
        <v>124</v>
      </c>
      <c r="G69" s="26" t="s">
        <v>14</v>
      </c>
      <c r="H69" s="149"/>
      <c r="I69" s="194">
        <v>44798.28125</v>
      </c>
      <c r="J69" s="195">
        <v>44798.28125</v>
      </c>
      <c r="K69" s="196"/>
      <c r="L69" s="326"/>
      <c r="M69" s="140"/>
      <c r="N69" s="140"/>
      <c r="O69" s="140"/>
      <c r="P69" s="22"/>
      <c r="Q69" s="25"/>
      <c r="R69" s="4" t="str">
        <f>IF(SnapshotTable[[#This Row],[Equity Basis Total]] &gt; 0, SnapshotTable[[#This Row],[Equity Basis Total]] / SnapshotTable[[#This Row],[Equity Shares]], "")</f>
        <v/>
      </c>
      <c r="S69" s="269">
        <f>SnapshotTable[[#This Row],[Last Price]] * SnapshotTable[[#This Row],[Equity Shares]]</f>
        <v>0</v>
      </c>
      <c r="T69" s="269">
        <f>SnapshotTable[[#This Row],[Equity Value]] - SnapshotTable[[#This Row],[Equity Basis Total]]</f>
        <v>0</v>
      </c>
      <c r="U69" s="270" t="str">
        <f>IF(SnapshotTable[[#This Row],[Equity Basis Total]] &gt; 0, SnapshotTable[[#This Row],[Equity G/L]] / SnapshotTable[[#This Row],[Equity Basis Total]], "")</f>
        <v/>
      </c>
      <c r="V69" s="268"/>
      <c r="W69" s="268"/>
      <c r="X69" s="4" t="str">
        <f>IF(AND(ISNUMBER(SnapshotTable[[#This Row],[Equity Basis Per Share]]),ISNUMBER(SnapshotTable[[#This Row],[Equity Target]])),SnapshotTable[[#This Row],[Equity Target]]-SnapshotTable[[#This Row],[Equity Basis Per Share]],"")</f>
        <v/>
      </c>
      <c r="Y69" s="4" t="str">
        <f>IF(AND(ISNUMBER(SnapshotTable[[#This Row],[Equity Basis Per Share]]),ISNUMBER(SnapshotTable[[#This Row],[Equity Stop Loss]])),SnapshotTable[[#This Row],[Equity Stop Loss]]-SnapshotTable[[#This Row],[Equity Basis Per Share]],"")</f>
        <v/>
      </c>
      <c r="Z69" s="275" t="str">
        <f>IFERROR( TEXT(SnapshotTable[[#This Row],[Equity Max Gain Per Share]] /ABS( SnapshotTable[[#This Row],[Equity Max Loss Per Share]]),"0.0 " ) &amp; " : 1", "")</f>
        <v/>
      </c>
      <c r="AA69" s="31" t="str">
        <f>IF(ISNUMBER(SnapshotTable[[#This Row],[Equity Max Gain Per Share]]),SnapshotTable[[#This Row],[Equity Max Gain Per Share]] * SnapshotTable[[#This Row],[Equity Shares]],"")</f>
        <v/>
      </c>
      <c r="AB69" s="31" t="str">
        <f>IF(ISNUMBER(SnapshotTable[[#This Row],[Equity Max Loss Per Share]]),SnapshotTable[[#This Row],[Equity Max Loss Per Share]] * SnapshotTable[[#This Row],[Equity Shares]],"")</f>
        <v/>
      </c>
      <c r="AC69" s="150"/>
      <c r="AD69" s="151"/>
      <c r="AE69" s="31">
        <f>(SnapshotTable[[#This Row],[Annual Dividend Per Share]] / 4) * SnapshotTable[[#This Row],[Equity Shares]]</f>
        <v>0</v>
      </c>
      <c r="AF69" s="31">
        <f>SnapshotTable[[#This Row],[Quarterly Div $]] * 4</f>
        <v>0</v>
      </c>
      <c r="AG69" s="7">
        <f>IF(SnapshotTable[[#This Row],[Annual Dividend Per Share]]&gt;0, SnapshotTable[[#This Row],[Annual Dividend Per Share]]  / SnapshotTable[[#This Row],[Last Price]], 0)</f>
        <v>0</v>
      </c>
      <c r="AH69" s="151"/>
      <c r="AI69" s="5">
        <v>220</v>
      </c>
      <c r="AJ69" s="138">
        <v>269.67</v>
      </c>
      <c r="AK69" s="152">
        <f>IF(ISNUMBER( SnapshotTable[[#This Row],[EBF Target]]),(SnapshotTable[[#This Row],[EBF Target]] - SnapshotTable[[#This Row],[Last Price]]) / SnapshotTable[[#This Row],[Last Price]], "")</f>
        <v>-0.37849596022374149</v>
      </c>
      <c r="AL69" s="152" t="str">
        <f>IF(AND(SnapshotTable[[#This Row],[Equity Basis Total]] &gt; 0,ISNUMBER( SnapshotTable[[#This Row],[Long Term Target]])), SnapshotTable[[#This Row],[From Basis $]] / SnapshotTable[[#This Row],[Equity Basis Total]], "")</f>
        <v/>
      </c>
      <c r="AM69" s="9">
        <f>IF( AND(SnapshotTable[[#This Row],[Equity Shares]] &gt;0,ISNUMBER( SnapshotTable[[#This Row],[Long Term Target]])),(SnapshotTable[[#This Row],[Equity Shares]] * SnapshotTable[[#This Row],[Long Term Target]]) - SnapshotTable[[#This Row],[Equity Basis Total]],0)</f>
        <v>0</v>
      </c>
      <c r="AN69" s="9">
        <f>IF( AND(SnapshotTable[[#This Row],[Equity Shares]] &gt;0,ISNUMBER( SnapshotTable[[#This Row],[Long Term Target]])),(SnapshotTable[[#This Row],[Equity Shares]]*SnapshotTable[[#This Row],[Long Term Target]]) - SnapshotTable[[#This Row],[Equity Value]],0)</f>
        <v>0</v>
      </c>
      <c r="AO69" s="152">
        <f>IF(AND(ISNUMBER( SnapshotTable[[#This Row],[Long Term Target]]), ISNUMBER(SnapshotTable[[#This Row],[Last Price]])),(SnapshotTable[[#This Row],[Long Term Target]] - SnapshotTable[[#This Row],[Last Price]]) / SnapshotTable[[#This Row],[Last Price]], "")</f>
        <v>-0.23817729815243799</v>
      </c>
      <c r="AP69" s="5"/>
      <c r="AQ69" s="38"/>
      <c r="AR69" s="5">
        <v>306</v>
      </c>
      <c r="AS69" s="38"/>
      <c r="AT69" s="146"/>
      <c r="AU69" s="187" t="str">
        <f>IF(OR(SnapshotTable[[#This Row],[LP No Fill]]="Y",SnapshotTable[[#This Row],[SP Is Filled]],SnapshotTable[[#This Row],[LC Not Filled]]="Y",SnapshotTable[[#This Row],[SC Is Filled]]),"Y","")</f>
        <v/>
      </c>
      <c r="AV69" s="219"/>
      <c r="AW69" s="225"/>
      <c r="AX69" s="220"/>
      <c r="AY69" s="219" t="str">
        <f>IF(SnapshotTable[[#This Row],[Implied Move]]&gt;0, SnapshotTable[[#This Row],[Last Price]]-SnapshotTable[[#This Row],[Implied Move]],"")</f>
        <v/>
      </c>
      <c r="AZ69" s="219" t="str">
        <f>IF(SnapshotTable[[#This Row],[Implied Move]]&gt;0, SnapshotTable[[#This Row],[Last Price]] + SnapshotTable[[#This Row],[Implied Move]],"")</f>
        <v/>
      </c>
      <c r="BA69" s="331"/>
      <c r="BB69" s="347"/>
      <c r="BC6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9" s="351"/>
      <c r="BE69" s="5"/>
      <c r="BF69" s="14"/>
      <c r="BG69" s="13"/>
      <c r="BH69" s="13"/>
      <c r="BI69" s="5"/>
      <c r="BJ69" s="136">
        <f>IF(SnapshotTable[[#This Row],[LP Qty]] &gt; 0, SnapshotTable[[#This Row],[LP Qty]] * SnapshotTable[[#This Row],[LP Book Price]] * 100,0)</f>
        <v>0</v>
      </c>
      <c r="BK69" s="136">
        <f>IF(SnapshotTable[[#This Row],[LP Premium]] &gt; 0, SnapshotTable[[#This Row],[LP Qty]] * SnapshotTable[[#This Row],[LP Strike Price]] * 100,0)</f>
        <v>0</v>
      </c>
      <c r="BL69" s="154"/>
      <c r="BM69" s="385" t="str">
        <f>IF(SnapshotTable[[#This Row],[LP Premium]] &gt; 0,SnapshotTable[[#This Row],[LP Exp Date]]-MAX(SnapshotTable[[#This Row],[LP Book Date]], SnapshotTable[[#This Row],[LP Fill Date]]),"")</f>
        <v/>
      </c>
      <c r="BN69" s="385" t="str">
        <f>IF(ISNUMBER( SnapshotTable[[#This Row],[LP Term]]), SnapshotTable[[#This Row],[LP Exp Date]] - MockToday,"")</f>
        <v/>
      </c>
      <c r="BO69" s="163" t="str">
        <f>IF(AND(SnapshotTable[[#This Row],[LP Exp Date]]&gt;0, SnapshotTable[[#This Row],[LP Strike Price]]&gt;0,SnapshotTable[[#This Row],[LP Qty]]&gt;0,SnapshotTable[[#This Row],[LP Book Date]]&gt;0,SnapshotTable[[#This Row],[LP Book Price]]&gt;0,SnapshotTable[[#This Row],[LP Fill Date]]=0),"Y","")</f>
        <v/>
      </c>
      <c r="BP69" s="31" t="str">
        <f>IF(AND(SnapshotTable[[#This Row],[LP No Fill]]&lt;&gt;"Y",SnapshotTable[[#This Row],[LP Contract Value]]&gt;0, SnapshotTable[[#This Row],[LP Qty]]&gt;0), SnapshotTable[[#This Row],[LP Contract Value]]*SnapshotTable[[#This Row],[LP Qty]]*100,"")</f>
        <v/>
      </c>
      <c r="BQ69" s="13"/>
      <c r="BR69" s="5" t="str">
        <f>IF(SnapshotTable[[#This Row],[SP Exp Date]]&lt;&gt;"",TRUNC(SnapshotTable[[#This Row],[Last Price]]),"")</f>
        <v/>
      </c>
      <c r="BS69" s="36"/>
      <c r="BT69" s="147"/>
      <c r="BU69" s="13"/>
      <c r="BV69" s="5"/>
      <c r="BW69" s="419" t="b">
        <f>AND(ISNUMBER(SnapshotTable[[#This Row],[SP Exp Date]]), ISNUMBER(SnapshotTable[[#This Row],[SP Strike Price]]), ISNUMBER(SnapshotTable[[#This Row],[SP Qty]]), ISNUMBER(SnapshotTable[[#This Row],[SP Book Date]]), ISNUMBER(SnapshotTable[[#This Row],[SP Book Price]]))</f>
        <v>0</v>
      </c>
      <c r="BX69" s="419" t="b">
        <f>AND(SnapshotTable[[#This Row],[SP Is Booked]], NOT(ISBLANK(SnapshotTable[[#This Row],[SP Fill Date]])))</f>
        <v>0</v>
      </c>
      <c r="BY69" s="33">
        <f>IF(SnapshotTable[[#This Row],[SP Is Booked]], SnapshotTable[[#This Row],[SP Qty]] * SnapshotTable[[#This Row],[SP Book Price]] * 100, 0)</f>
        <v>0</v>
      </c>
      <c r="BZ69" s="369"/>
      <c r="CA69" s="368">
        <f>SnapshotTable[[#This Row],[LP Qty]]</f>
        <v>0</v>
      </c>
      <c r="CB69" s="4" t="str">
        <f>IF(SnapshotTable[[#This Row],[SP Is Booked]], SnapshotTable[[#This Row],[SP Strike Price]] - SnapshotTable[[#This Row],[SP Book Price]], "")</f>
        <v/>
      </c>
      <c r="CC69" s="19" t="str">
        <f>IF(SnapshotTable[[#This Row],[SP Is Booked]],SnapshotTable[[#This Row],[SP Exp Date]]-MAX(SnapshotTable[[#This Row],[SP Book Date]], SnapshotTable[[#This Row],[SP Fill Date]]),"")</f>
        <v/>
      </c>
      <c r="CD69" s="7" t="str">
        <f>IF(SnapshotTable[[#This Row],[SP Is Booked]], SnapshotTable[[#This Row],[SP Book Price]]/SnapshotTable[[#This Row],[SP Strike Price]], "")</f>
        <v/>
      </c>
      <c r="CE69" s="7" t="str">
        <f>IF(ISNUMBER(SnapshotTable[[#This Row],[SP ROO Term]]),SnapshotTable[[#This Row],[SP ROO Term]]*(365/SnapshotTable[[#This Row],[SP Term]]),"")</f>
        <v/>
      </c>
      <c r="CF69" s="236">
        <f>SnapshotTable[[#This Row],[LP Strike Price]] * SnapshotTable[[#This Row],[LP Qty]] * 100</f>
        <v>0</v>
      </c>
      <c r="CG69" s="31" t="e">
        <f>IF(ISNUMBER(SnapshotTable[[#This Row],[SP Premium]]), (SnapshotTable[[#This Row],[SP Qty]] * SnapshotTable[[#This Row],[SP Strike Price]]* 100) - SnapshotTable[[#This Row],[LP Protection]], 0)</f>
        <v>#VALUE!</v>
      </c>
      <c r="CH69" s="7" t="str">
        <f>IF(ISNUMBER(SnapshotTable[[#This Row],[SP Break Even]]),-1 * (SnapshotTable[[#This Row],[SP Break Even]] - SnapshotTable[[#This Row],[Last Price]]) / SnapshotTable[[#This Row],[Last Price]], "")</f>
        <v/>
      </c>
      <c r="CI69" s="31">
        <f>IF(AND(ISNUMBER((SnapshotTable[[#This Row],[SP Potential Spend]])), SnapshotTable[[#This Row],[SP Strike Price]] &gt; SnapshotTable[[#This Row],[Last Price]], SnapshotTable[[#This Row],[SP Is Filled]]), SnapshotTable[[#This Row],[SP Potential Spend]] -  SnapshotTable[[#This Row],[LP Max Value]], 0)</f>
        <v>0</v>
      </c>
      <c r="CJ69" s="244"/>
      <c r="CK69" s="31" t="str">
        <f>IF(ISNUMBER(SnapshotTable[[#This Row],[SP Potential Spend]]),IF(ISNUMBER(SnapshotTable[[#This Row],[SP POW]]), SnapshotTable[[#This Row],[SP POW]] * SnapshotTable[[#This Row],[SP Potential Spend]], SnapshotTable[[#This Row],[SP Potential Spend]]), "")</f>
        <v/>
      </c>
      <c r="CL69" s="164" t="e">
        <f>IF(NOT(SnapshotTable[[#This Row],[SP Is Filled]]),(SnapshotTable[[#This Row],[SP Qty]] * SnapshotTable[[#This Row],[SP Strike Price]] * 100) - SnapshotTable[[#This Row],[LP Max Value]],"")</f>
        <v>#VALUE!</v>
      </c>
      <c r="CM69" s="31" t="str">
        <f>IF(SnapshotTable[[#This Row],[SP Actual Spend]]&lt;&gt;0, ((SnapshotTable[[#This Row],[SP Strike Price]]-SnapshotTable[[#This Row],[Last Price]]) *(SnapshotTable[[#This Row],[SP Qty]]*100) - SnapshotTable[[#This Row],[SP Premium]]) * - 1, "")</f>
        <v/>
      </c>
      <c r="CN69" s="78"/>
      <c r="CO69" s="369"/>
      <c r="CP69" s="4" t="str">
        <f>IF(SnapshotTable[[#This Row],[SP Is Filled]], btc_max_buyback_amount(SnapshotTable[[#This Row],[SP Fill Date]],SnapshotTable[[#This Row],[SP Exp Date]], SnapshotTable[[#This Row],[SP Book Price]]),"")</f>
        <v/>
      </c>
      <c r="CQ69" s="78"/>
      <c r="CR6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9" s="155" t="str">
        <f>IF(SnapshotTable[[#This Row],[SP Is Filled]], btc_next_cutoff_date(SnapshotTable[[#This Row],[SP Fill Date]],SnapshotTable[[#This Row],[SP Exp Date]]),"")</f>
        <v/>
      </c>
      <c r="CT69" s="235" t="str" cm="1">
        <f t="array" ref="CT69">IF(SnapshotTable[[#This Row],[SP Is Filled]], btc_should_buy_back(SnapshotTable[[#This Row],[SP Fill Date]], SnapshotTable[[#This Row],[SP Exp Date]], SnapshotTable[[#This Row],[SP Book Price]], SnapshotTable[[#This Row],[SP Current Ask]], MockToday, SnapshotTable[[#This Row],[SP Buyback Override]]),"")</f>
        <v/>
      </c>
      <c r="CU69" s="143"/>
      <c r="CV69" s="235"/>
      <c r="CW69" s="378" t="str">
        <f>IF(ISNUMBER( SnapshotTable[[#This Row],[SP Term]]), SnapshotTable[[#This Row],[SP Exp Date]] - MockToday,"")</f>
        <v/>
      </c>
      <c r="CX69" s="31" t="str">
        <f>IF(SnapshotTable[[#This Row],[SP Is Filled]],SnapshotTable[[#This Row],[SP Buyback Price to Use]] * 100 * SnapshotTable[[#This Row],[SP Qty]], "")</f>
        <v/>
      </c>
      <c r="CY69" s="4" t="str">
        <f>IF(ISNUMBER(SnapshotTable[[#This Row],[SP Strike Price]]), SnapshotTable[[#This Row],[SP Strike Price]] * (1 - SP_MaxLoss_StrikePct), "")</f>
        <v/>
      </c>
      <c r="CZ69" s="31" t="str">
        <f>IF(ISNUMBER(SnapshotTable[[#This Row],[SP Strike  Stop Per Share]]),SnapshotTable[[#This Row],[SP Premium]] - ((SnapshotTable[[#This Row],[SP Strike Price]]-SnapshotTable[[#This Row],[SP Strike  Stop Per Share]]) *(SnapshotTable[[#This Row],[SP Qty]] * 100)),"")</f>
        <v/>
      </c>
      <c r="DA69" s="4" t="str">
        <f>IF(AND(ISNUMBER(SnapshotTable[[#This Row],[SP Premium]]),SnapshotTable[[#This Row],[SP Premium]]&gt;0), SnapshotTable[[#This Row],[SP Book Price]] * (1 + SP_MaxLoss_OptionPct), "")</f>
        <v/>
      </c>
      <c r="DB69" s="31" t="str">
        <f>IF(ISNUMBER(SnapshotTable[[#This Row],[SP Option  Stop Contract]]),(SnapshotTable[[#This Row],[SP Option  Stop Contract]] *(SnapshotTable[[#This Row],[SP Qty]] * 100) - SnapshotTable[[#This Row],[SP Premium]]),"")</f>
        <v/>
      </c>
      <c r="DC69" s="4"/>
      <c r="DD69" s="4"/>
      <c r="DE69" s="4" t="str">
        <f>IF(AND(SnapshotTable[[#This Row],[SP Qty]]&gt;0, SnapshotTable[[#This Row],[SP Stop To Use]]&gt;0),SnapshotTable[[#This Row],[SP Premium]] - ( SnapshotTable[[#This Row],[SP Qty]] * SnapshotTable[[#This Row],[SP Stop To Use]] * 100), "")</f>
        <v/>
      </c>
      <c r="DF69" s="31" t="str">
        <f>IF(AND(SnapshotTable[[#This Row],[SP Qty]]&gt;0,SnapshotTable[[#This Row],[SP Current Ask]]&gt;0), SnapshotTable[[#This Row],[SP Qty]] * SnapshotTable[[#This Row],[SP Current Ask]] * -100, "")</f>
        <v/>
      </c>
      <c r="DG69" s="31" t="str">
        <f>IF(ISNUMBER((SnapshotTable[[#This Row],[SP Total Value]])), SnapshotTable[[#This Row],[SP Premium]] + SnapshotTable[[#This Row],[SP Total Value]], "")</f>
        <v/>
      </c>
      <c r="DH69" s="294" t="str">
        <f>IF(ISNUMBER((SnapshotTable[[#This Row],[SP Total Value]])), SnapshotTable[[#This Row],[SP Gain Loss]] / SnapshotTable[[#This Row],[SP Premium]], "")</f>
        <v/>
      </c>
      <c r="DI69" s="406"/>
      <c r="DJ69" s="138"/>
      <c r="DK69" s="148"/>
      <c r="DL69" s="13"/>
      <c r="DM69" s="13"/>
      <c r="DO69" s="31">
        <f>IF(SnapshotTable[[#This Row],[LC Symbol Count]]=1, SnapshotTable[[#This Row],[LC Qty]] * SnapshotTable[[#This Row],[LC Book Price]] * 100, 0)</f>
        <v>0</v>
      </c>
      <c r="DP69" s="163" t="str">
        <f>IF(AND(SnapshotTable[[#This Row],[LC Exp Date]]&gt;0, SnapshotTable[[#This Row],[LC Strike Price]]&gt;0,SnapshotTable[[#This Row],[LC Qty]]&gt;0,SnapshotTable[[#This Row],[LC Book Date]]&gt;0,SnapshotTable[[#This Row],[LC Book Price]]&gt;0,SnapshotTable[[#This Row],[LC Fill Date]]=0),"Y","")</f>
        <v/>
      </c>
      <c r="DQ69" s="386" t="str">
        <f>IF(SnapshotTable[[#This Row],[LC Premium]] &gt; 0,SnapshotTable[[#This Row],[LC Exp Date]]-MAX(SnapshotTable[[#This Row],[LC Book Date]], SnapshotTable[[#This Row],[LC Fill Date]]),"")</f>
        <v/>
      </c>
      <c r="DR69" s="386" t="str">
        <f>IF(ISNUMBER(SnapshotTable[[#This Row],[LC Term]]), SnapshotTable[[#This Row],[LC Exp Date]] - MockToday, "")</f>
        <v/>
      </c>
      <c r="DS69" s="234" t="str">
        <f>IF(SnapshotTable[[#This Row],[LC Premium]]&gt;0,SnapshotTable[[#This Row],[LC Strike Price]] + SnapshotTable[[#This Row],[LC Book Price]],"")</f>
        <v/>
      </c>
      <c r="DU69" s="9" t="str">
        <f>IF(AND(SnapshotTable[[#This Row],[LC Symbol Count]]&gt;0, SnapshotTable[[#This Row],[LC Contract Value]]&gt;0), SnapshotTable[[#This Row],[LC Contract Value]] * SnapshotTable[[#This Row],[LC Qty]] * 100, "")</f>
        <v/>
      </c>
      <c r="DV69" s="9" t="str">
        <f>IF(AND(ISNUMBER(SnapshotTable[[#This Row],[LC Total Value]]), SnapshotTable[[#This Row],[LC Not Filled]]&lt;&gt;"Y"), SnapshotTable[[#This Row],[LC Total Value]]-SnapshotTable[[#This Row],[LC Premium]],"")</f>
        <v/>
      </c>
      <c r="DW69" s="240" t="str">
        <f>IF(ISNUMBER(SnapshotTable[[#This Row],[LC Actual Gain Loss]]), SnapshotTable[[#This Row],[LC Actual Gain Loss]] / SnapshotTable[[#This Row],[LC Premium]],"")</f>
        <v/>
      </c>
      <c r="DX69" s="284" t="str">
        <f>IF(ISNUMBER(SnapshotTable[[#This Row],[LC Book Price]]),SnapshotTable[[#This Row],[LC Book Price]] * 1.5,"")</f>
        <v/>
      </c>
      <c r="DY69" s="265" t="str">
        <f>IF(SnapshotTable[[#This Row],[LC Premium]]&gt;0, SnapshotTable[[#This Row],[LC Next Target]] * SnapshotTable[[#This Row],[LC Qty]] * 100,"")</f>
        <v/>
      </c>
      <c r="DZ69" s="265" t="str">
        <f>IF(ISNUMBER(SnapshotTable[[#This Row],[LC Target Gross]]), SnapshotTable[[#This Row],[LC Target Gross]] - SnapshotTable[[#This Row],[LC Premium]], "")</f>
        <v/>
      </c>
      <c r="EA69" s="305" t="str">
        <f>IF(ISNUMBER(SnapshotTable[[#This Row],[LC Target Gain Loss]]), SnapshotTable[[#This Row],[LC Target Gain Loss]]/SnapshotTable[[#This Row],[LC Premium]], "")</f>
        <v/>
      </c>
      <c r="EB69" s="262"/>
      <c r="EC69" s="283" t="str">
        <f>IF(SnapshotTable[[#This Row],[LC Premium]]&gt;0, SnapshotTable[[#This Row],[LC Book Price]] * (1 - LC_StopLoss_Pct),"")</f>
        <v/>
      </c>
      <c r="ED69" s="284"/>
      <c r="EE69" s="283" t="str">
        <f>IF(ISNUMBER(SnapshotTable[[#This Row],[LC Contract Value]]),IF(ISNUMBER(SnapshotTable[[#This Row],[LC Stop Loss Override]]), SnapshotTable[[#This Row],[LC Stop Loss Override]],SnapshotTable[[#This Row],[LC Stop Loss Calc Target]]),"")</f>
        <v/>
      </c>
      <c r="EF69" s="31" t="str">
        <f>IF(ISNUMBER(SnapshotTable[[#This Row],[LC Stop  To Use]]), (SnapshotTable[[#This Row],[LC Stop  To Use]] * SnapshotTable[[#This Row],[LC Qty]] * 100),"")</f>
        <v/>
      </c>
      <c r="EG69" s="9" t="str">
        <f>IF(ISNUMBER(SnapshotTable[[#This Row],[LC Total Value]]),SnapshotTable[[#This Row],[LC Stop Loss Amount]] - SnapshotTable[[#This Row],[LC Premium]],"")</f>
        <v/>
      </c>
      <c r="EH69" s="9">
        <f>IF(ISNUMBER(SnapshotTable[[#This Row],[LC Premium]]), SnapshotTable[[#This Row],[LC Qty]] * 100 * SnapshotTable[[#This Row],[LC Strike Price]], "")</f>
        <v>0</v>
      </c>
      <c r="EI69" s="240" t="str">
        <f>IF(AND(ISNUMBER(SnapshotTable[[#This Row],[LC Total Value]]),SnapshotTable[[#This Row],[LC Total Value]]&gt;0),SnapshotTable[[#This Row],[LC Stop Gain Loss]]  / SnapshotTable[[#This Row],[LC Premium]],"")</f>
        <v/>
      </c>
      <c r="EJ69" s="35">
        <f>IF(ISNUMBER(SnapshotTable[[#This Row],[Equity Shares]]),TRUNC(SnapshotTable[[#This Row],[Equity Shares]] / 100),0) + SnapshotTable[[#This Row],[LC Qty]]</f>
        <v>0</v>
      </c>
      <c r="EK69" s="147"/>
      <c r="EL69" s="138" t="str">
        <f>IF(SnapshotTable[[#This Row],[SC Exp Date]]&lt;&gt;"",TRUNC(SnapshotTable[[#This Row],[Last Price]]),"")</f>
        <v/>
      </c>
      <c r="EM69" s="148"/>
      <c r="EN69" s="147"/>
      <c r="EO69" s="147"/>
      <c r="EP69" s="138"/>
      <c r="EQ69" s="419" t="b">
        <f>AND(ISNUMBER(SnapshotTable[[#This Row],[SC Exp Date]]), ISNUMBER(SnapshotTable[[#This Row],[SC Strike Price]]), ISNUMBER(SnapshotTable[[#This Row],[SC Qty]]), ISNUMBER(SnapshotTable[[#This Row],[SC Book Date]]), ISNUMBER(SnapshotTable[[#This Row],[SC Book Price]]))</f>
        <v>0</v>
      </c>
      <c r="ER69" s="419" t="b">
        <f>AND(SnapshotTable[[#This Row],[SC Is Booked]], NOT(ISBLANK(SnapshotTable[[#This Row],[SC Fill Date]])))</f>
        <v>0</v>
      </c>
      <c r="ES69" s="370"/>
      <c r="ET69" s="34" t="str">
        <f>IF(AND(ISNUMBER(SnapshotTable[[#This Row],[SC Exp Date]]), ISNUMBER(SnapshotTable[[#This Row],[SC Book Date]])), SnapshotTable[[#This Row],[SC Exp Date]] - MAX(SnapshotTable[[#This Row],[SC Book Date]], SnapshotTable[[#This Row],[SC Fill Date]]) + 1, "")</f>
        <v/>
      </c>
      <c r="EU69" s="34" t="str">
        <f>IF(ISNUMBER(SnapshotTable[[#This Row],[SC Term]]), SnapshotTable[[#This Row],[SC Exp Date]]- MockToday, "")</f>
        <v/>
      </c>
      <c r="EV69" s="31">
        <f>IF(SnapshotTable[[#This Row],[SC Is Booked]], SnapshotTable[[#This Row],[SC Qty]] * SnapshotTable[[#This Row],[SC Book Price]] * 100, 0)</f>
        <v>0</v>
      </c>
      <c r="EW69" s="4" t="str">
        <f>IF(AND(ISNUMBER(SnapshotTable[[#This Row],[Last Price]]), ISNUMBER( SnapshotTable[[#This Row],[SC Book Price]])), SnapshotTable[[#This Row],[Last Price]] - SnapshotTable[[#This Row],[SC Book Price]],"")</f>
        <v/>
      </c>
      <c r="EX69" s="234" t="str">
        <f>IF(SnapshotTable[[#This Row],[SC Is Booked]],IF(SnapshotTable[[#This Row],[SC Intrinsic Value]] &gt; 0, SnapshotTable[[#This Row],[SC Strike Price]], SnapshotTable[[#This Row],[Last Price]]), "")</f>
        <v/>
      </c>
      <c r="EY69" s="4">
        <f>IF(SnapshotTable[[#This Row],[SC Is Booked]], (MinimumPremiumRequired * SnapshotTable[[#This Row],[SC Basis]] * SnapshotTable[[#This Row],[SC Term]]), 0)</f>
        <v>0</v>
      </c>
      <c r="EZ69" s="283"/>
      <c r="FA69" s="218"/>
      <c r="FB69" s="370"/>
      <c r="FC69" s="4">
        <f>IF(SnapshotTable[[#This Row],[SC Is Filled]], btc_max_buyback_amount(SnapshotTable[[#This Row],[SC Fill Date]],SnapshotTable[[#This Row],[SC Exp Date]], SnapshotTable[[#This Row],[SC Book Price]]),0)</f>
        <v>0</v>
      </c>
      <c r="FD69" s="5"/>
      <c r="FE69" s="144" t="str">
        <f>IF(SnapshotTable[[#This Row],[SC Is Filled]], btc_next_cutoff_date(SnapshotTable[[#This Row],[SC Fill Date]],SnapshotTable[[#This Row],[SC Exp Date]]),"")</f>
        <v/>
      </c>
      <c r="FF69" s="4" t="str" cm="1">
        <f t="array" ref="FF69">IF(SnapshotTable[[#This Row],[SC Is Filled]], btc_should_buy_back(SnapshotTable[[#This Row],[SC Fill Date]], SnapshotTable[[#This Row],[SC Exp Date]], SnapshotTable[[#This Row],[SC Book Price]], SnapshotTable[[#This Row],[SC Current Ask]], MockToday, SnapshotTable[[#This Row],[SC Buyback Override]]),"")</f>
        <v/>
      </c>
      <c r="FG69" s="4">
        <f>IF(SnapshotTable[[#This Row],[SC Is Filled]], MAX(0,SnapshotTable[[#This Row],[Last Price]]  - SnapshotTable[[#This Row],[SC Strike Price]]), 0)</f>
        <v>0</v>
      </c>
      <c r="FH69" s="382">
        <f>IF(SnapshotTable[[#This Row],[SC Is Filled]], IF(ISNUMBER(SnapshotTable[[#This Row],[SC Current Ask]]), SnapshotTable[[#This Row],[SC Current Ask]], SnapshotTable[[#This Row],[SC Book Price]]) - SnapshotTable[[#This Row],[SC Intrinsic Value]], 0)</f>
        <v>0</v>
      </c>
      <c r="FI69" s="143"/>
      <c r="FJ69" s="32" t="str">
        <f>IF(SnapshotTable[[#This Row],[SC Is Filled]],100 * SnapshotTable[[#This Row],[SC Qty]] * IF(ISNUMBER(SnapshotTable[[#This Row],[SC Buyback Override]]), SnapshotTable[[#This Row],[SC Buyback Override]], SnapshotTable[[#This Row],[SC Current Ask]]), "")</f>
        <v/>
      </c>
      <c r="FK69" s="250" t="str">
        <f>IF(SnapshotTable[[#This Row],[SC Time Val]]&gt;0, SnapshotTable[[#This Row],[SC Time Val]] / SnapshotTable[[#This Row],[Last Price]],"")</f>
        <v/>
      </c>
      <c r="FL69" s="302" t="str">
        <f>IF(SnapshotTable[[#This Row],[SC Is Booked]], ((SnapshotTable[[#This Row],[Last Price]] -SnapshotTable[[#This Row],[SC Strike Price]]) / SnapshotTable[[#This Row],[Last Price]]) * -1, "")</f>
        <v/>
      </c>
      <c r="FM69" s="157" t="str">
        <f>IF(SnapshotTable[[#This Row],[SC Is Booked]],  (SnapshotTable[[#This Row],[SC Qty]] * 100 * SnapshotTable[[#This Row],[SC Strike Price]]) - SnapshotTable[[#This Row],[SC Current Ask]], "")</f>
        <v/>
      </c>
      <c r="FN6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9" s="31" t="str">
        <f>IF(AND(ISNUMBER(SnapshotTable[[#This Row],[SC Exercise Gross]]), ISNUMBER(SnapshotTable[[#This Row],[Equity Basis Per Share]] )), SnapshotTable[[#This Row],[SC Exercise Gross]] - SnapshotTable[[#This Row],[Equity Basis Total]] +  SnapshotTable[[#This Row],[SC Premium]], "")</f>
        <v/>
      </c>
      <c r="FP69" s="5" t="str">
        <f>IF(ISNUMBER(SnapshotTable[[#This Row],[SC Exercise Gross]]), (SnapshotTable[[#This Row],[SC Exercise Gross]]) / (SnapshotTable[[#This Row],[SC Qty]] * 100), "")</f>
        <v/>
      </c>
      <c r="FQ69" s="27" t="str">
        <f>IF(SnapshotTable[[#This Row],[SC Is Booked]],SnapshotTable[[#This Row],[SC Time Val]] /SnapshotTable[[#This Row],[SC Basis]], "")</f>
        <v/>
      </c>
      <c r="FR69" s="27" t="str" cm="1">
        <f t="array" ref="FR69">IF(AND(ISNUMBER(SnapshotTable[[#This Row],[SC Term]]),ISNUMBER(SnapshotTable[[#This Row],[SC Simple ROO]])), EllmanAnnualize(SnapshotTable[[#This Row],[SC DTE]], SnapshotTable[[#This Row],[SC Simple ROO]] ),"")</f>
        <v/>
      </c>
      <c r="FS69" s="4" t="e">
        <f>IF(SnapshotTable[[#This Row],[SC Strike Price]] &gt; SnapshotTable[[#This Row],[Last Price]], SnapshotTable[[#This Row],[SC Strike Price]] - SnapshotTable[[#This Row],[Last Price]],0)</f>
        <v>#VALUE!</v>
      </c>
      <c r="FT69" s="27" t="e">
        <f>IF(AND(ISNUMBER(SnapshotTable[[#This Row],[SC Upside Potential]]), SnapshotTable[[#This Row],[SC Upside Potential]] &gt; 0),(SnapshotTable[[#This Row],[SC Upside Potential]]/ SnapshotTable[[#This Row],[ACB]]),"")</f>
        <v>#VALUE!</v>
      </c>
      <c r="FU69" s="333" t="str">
        <f>IF(SnapshotTable[[#This Row],[SC Intrinsic Value]] &gt; 0,SnapshotTable[[#This Row],[SC Intrinsic Value]],"")</f>
        <v/>
      </c>
      <c r="FV69" s="27" t="str">
        <f>IF(AND( ISNUMBER( SnapshotTable[[#This Row],[ACB]]),ISNUMBER(SnapshotTable[[#This Row],[SC Downside Protect]])),SnapshotTable[[#This Row],[SC Downside Protect]] / SnapshotTable[[#This Row],[ACB]],"")</f>
        <v/>
      </c>
      <c r="FW69" s="236" t="str">
        <f>IF(AND(ISNUMBER(SnapshotTable[[#This Row],[SC Simple ROO]]),SnapshotTable[[#This Row],[SC Simple ROO]] &gt; 0), SnapshotTable[[#This Row],[SC Premium]] + (SnapshotTable[[#This Row],[SC Qty]] * SnapshotTable[[#This Row],[SC Upside Potential]]), "")</f>
        <v/>
      </c>
      <c r="FX69" s="302" t="str" cm="1">
        <f t="array" ref="FX69">IF(ISNUMBER(SnapshotTable[[#This Row],[SC Max Dollars]]), annualize(SnapshotTable[[#This Row],[SC Term]],(SnapshotTable[[#This Row],[SC Max Dollars]]/SnapshotTable[[#This Row],[SC Basis]])),"")</f>
        <v/>
      </c>
      <c r="FY69" s="236" t="str">
        <f>IF(AND(SnapshotTable[[#This Row],[SC Qty]]&gt;0,SnapshotTable[[#This Row],[SC Current Ask]]&gt;0), SnapshotTable[[#This Row],[SC Qty]] * SnapshotTable[[#This Row],[SC Current Ask]] * -100, "")</f>
        <v/>
      </c>
      <c r="FZ69" s="31" t="str">
        <f>IF(ISNUMBER((SnapshotTable[[#This Row],[SC Current Value]])), SnapshotTable[[#This Row],[SC Premium]] + SnapshotTable[[#This Row],[SC Current Value]], "")</f>
        <v/>
      </c>
      <c r="GA69" s="294" t="str">
        <f>IFERROR( IF(ISNUMBER((SnapshotTable[[#This Row],[SC Current Value]])), SnapshotTable[[#This Row],[SC Gain Loss]] / SnapshotTable[[#This Row],[SC Premium]], ""), "")</f>
        <v/>
      </c>
      <c r="GB69" s="42">
        <f>SnapshotTable[[#This Row],[Equity Shares]] * SaleSharesToConsiderPercentage</f>
        <v>0</v>
      </c>
      <c r="GC69" s="40">
        <f>SnapshotTable[[#This Row],[Long Term Target]] * SellingPriceToConsiderBasedOnTargetPercentage</f>
        <v>256.18650000000002</v>
      </c>
      <c r="GD69" s="40">
        <f>SnapshotTable[[#This Row],[Last Price]] * (1+ SellingPriceToConsiderBasedOnTargetPercentage)</f>
        <v>690.26099999999997</v>
      </c>
      <c r="GE69" s="41"/>
      <c r="GF69" s="40"/>
      <c r="GG69" s="31">
        <f>SnapshotTable[[#This Row],[Booked Sale Shares]] * SnapshotTable[[#This Row],[Booked Sale Price]]</f>
        <v>0</v>
      </c>
      <c r="GH69" s="31" t="str">
        <f>IF(SnapshotTable[[#This Row],[Equity Basis Total]] &gt; 0, SnapshotTable[[#This Row],[Equity Basis Per Share]] * SnapshotTable[[#This Row],[Booked Sale Shares]], "")</f>
        <v/>
      </c>
      <c r="GI69" s="31">
        <f>IF(SnapshotTable[[#This Row],[Sale Proceeds]]&gt;0, SnapshotTable[[#This Row],[Sale Proceeds]] - SnapshotTable[[#This Row],[Sale Basis]], 0)</f>
        <v>0</v>
      </c>
      <c r="GJ69" s="27" t="str">
        <f>IF(SnapshotTable[[#This Row],[Sale G/L]]&gt;0, SnapshotTable[[#This Row],[Sale G/L]] / SnapshotTable[[#This Row],[Sale Basis]], IF(ISNUMBER(SnapshotTable[[#This Row],[SC Exercise P&amp;L (TAX)]]), SnapshotTable[[#This Row],[SC Exercise P&amp;L (TAX)]] / SnapshotTable[[#This Row],[SC Basis]], ""))</f>
        <v/>
      </c>
      <c r="GK69" s="27" t="s">
        <v>652</v>
      </c>
      <c r="GL69" s="43" t="str">
        <f>IF(AND(SnapshotTable[[#This Row],[LP Exp Date]]&gt;0,SnapshotTable[[#This Row],[LP Strike Price]]&gt;0), [1]!ToOptionSymbol(SnapshotTable[[#This Row],[Symbol]], SnapshotTable[[#This Row],[LP Strike Price]],SnapshotTable[[#This Row],[LP Exp Date]],1), "")</f>
        <v/>
      </c>
      <c r="GM69" s="30" t="str">
        <f>IF(LEN(SnapshotTable[[#This Row],[LP Symbol]])&gt;0, 1, "")</f>
        <v/>
      </c>
      <c r="GN69" s="43" t="str">
        <f>IF(AND(SnapshotTable[[#This Row],[SP Exp Date]]&gt;0,SnapshotTable[[#This Row],[SP Strike Price]]&gt;0), [1]!ToOptionSymbol(SnapshotTable[[#This Row],[Symbol]], SnapshotTable[[#This Row],[SP Strike Price]],SnapshotTable[[#This Row],[SP Exp Date]],1), "")</f>
        <v/>
      </c>
      <c r="GO69" s="30" t="str">
        <f>IF(LEN(SnapshotTable[[#This Row],[SP Symbol]])&gt;0, 1, "")</f>
        <v/>
      </c>
      <c r="GP69" s="43" t="str">
        <f>IF(AND(SnapshotTable[[#This Row],[LC Exp Date]]&gt;0,SnapshotTable[[#This Row],[LC Strike Price]]&gt;0), [1]!ToOptionSymbol(SnapshotTable[[#This Row],[Symbol]], SnapshotTable[[#This Row],[LC Strike Price]],SnapshotTable[[#This Row],[LC Exp Date]],0), "")</f>
        <v/>
      </c>
      <c r="GQ69" s="30" t="str">
        <f>IF(LEN(SnapshotTable[[#This Row],[LC Symbol]])&gt;0, 1, "")</f>
        <v/>
      </c>
      <c r="GR69" s="43" t="str">
        <f>IF(AND(SnapshotTable[[#This Row],[SC Exp Date]]&gt;0,SnapshotTable[[#This Row],[SC Strike Price]]&gt;0), [1]!ToOptionSymbol(SnapshotTable[[#This Row],[Symbol]], SnapshotTable[[#This Row],[SC Strike Price]],SnapshotTable[[#This Row],[SC Exp Date]],0), "")</f>
        <v/>
      </c>
      <c r="GS69" s="30" t="str">
        <f>IF(LEN(SnapshotTable[[#This Row],[SC Symbol]])&gt;0, 1, "")</f>
        <v/>
      </c>
      <c r="GT69" s="29" t="str">
        <f>IF(COUNT(SnapshotTable[[#This Row],[LP Symbol Count]],SnapshotTable[[#This Row],[SP Symbol Count]],SnapshotTable[[#This Row],[LC Symbol Count]],SnapshotTable[[#This Row],[SC Symbol Count]])&gt;0, "Y", "")</f>
        <v/>
      </c>
      <c r="GU6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9" s="231" t="e">
        <f>MAX(SnapshotTable[[#This Row],[Equity Basis Total]],SnapshotTable[[#This Row],[Equity Value]]) + (SnapshotTable[[#This Row],[SP Potential Spend]]- SnapshotTable[[#This Row],[SP Premium]] + SnapshotTable[[#This Row],[LP Premium]])+ (SnapshotTable[[#This Row],[LC Premium]] - SnapshotTable[[#This Row],[SC Premium]])</f>
        <v>#VALUE!</v>
      </c>
      <c r="GW69" s="139" t="e">
        <f>IF(AND(SnapshotTable[[#This Row],[Exposure]] &lt;&gt; 0),SnapshotTable[[#This Row],[Exposure]] / SnapshotTable[[#Totals],[Exposure]], "")</f>
        <v>#VALUE!</v>
      </c>
      <c r="HE69" s="268"/>
      <c r="HF69" s="268"/>
      <c r="HK69" s="1"/>
      <c r="HL69" s="1"/>
      <c r="HM69" s="1"/>
      <c r="HN69" s="1"/>
      <c r="HO69" s="1"/>
      <c r="HP69" s="1"/>
    </row>
    <row r="70" spans="2:224" s="47" customFormat="1" ht="12.75" hidden="1" customHeight="1" x14ac:dyDescent="0.25">
      <c r="B70" s="12" t="s">
        <v>579</v>
      </c>
      <c r="C70" s="422">
        <v>0.6</v>
      </c>
      <c r="D70" s="208"/>
      <c r="E70" s="39">
        <f>SnapshotTable[[#This Row],[Last Price]]*(1 -CrashDiscount)</f>
        <v>0.51</v>
      </c>
      <c r="F70" s="26" t="s">
        <v>552</v>
      </c>
      <c r="G70" s="26" t="s">
        <v>17</v>
      </c>
      <c r="H70" s="149"/>
      <c r="I70" s="194">
        <v>44783.670138888891</v>
      </c>
      <c r="J70" s="195">
        <v>44783.670138888891</v>
      </c>
      <c r="K70" s="196"/>
      <c r="L70" s="326"/>
      <c r="M70" s="140"/>
      <c r="N70" s="140"/>
      <c r="O70" s="140"/>
      <c r="P70" s="22"/>
      <c r="Q70" s="25"/>
      <c r="R70" s="4" t="str">
        <f>IF(SnapshotTable[[#This Row],[Equity Basis Total]] &gt; 0, SnapshotTable[[#This Row],[Equity Basis Total]] / SnapshotTable[[#This Row],[Equity Shares]], "")</f>
        <v/>
      </c>
      <c r="S70" s="269">
        <f>SnapshotTable[[#This Row],[Last Price]] * SnapshotTable[[#This Row],[Equity Shares]]</f>
        <v>0</v>
      </c>
      <c r="T70" s="269">
        <f>SnapshotTable[[#This Row],[Equity Value]] - SnapshotTable[[#This Row],[Equity Basis Total]]</f>
        <v>0</v>
      </c>
      <c r="U70" s="270" t="str">
        <f>IF(SnapshotTable[[#This Row],[Equity Basis Total]] &gt; 0, SnapshotTable[[#This Row],[Equity G/L]] / SnapshotTable[[#This Row],[Equity Basis Total]], "")</f>
        <v/>
      </c>
      <c r="V70" s="268"/>
      <c r="W70" s="268"/>
      <c r="X70" s="4" t="str">
        <f>IF(AND(ISNUMBER(SnapshotTable[[#This Row],[Equity Basis Per Share]]),ISNUMBER(SnapshotTable[[#This Row],[Equity Target]])),SnapshotTable[[#This Row],[Equity Target]]-SnapshotTable[[#This Row],[Equity Basis Per Share]],"")</f>
        <v/>
      </c>
      <c r="Y70" s="4" t="str">
        <f>IF(AND(ISNUMBER(SnapshotTable[[#This Row],[Equity Basis Per Share]]),ISNUMBER(SnapshotTable[[#This Row],[Equity Stop Loss]])),SnapshotTable[[#This Row],[Equity Stop Loss]]-SnapshotTable[[#This Row],[Equity Basis Per Share]],"")</f>
        <v/>
      </c>
      <c r="Z70" s="275" t="str">
        <f>IFERROR( TEXT(SnapshotTable[[#This Row],[Equity Max Gain Per Share]] /ABS( SnapshotTable[[#This Row],[Equity Max Loss Per Share]]),"0.0 " ) &amp; " : 1", "")</f>
        <v/>
      </c>
      <c r="AA70" s="31" t="str">
        <f>IF(ISNUMBER(SnapshotTable[[#This Row],[Equity Max Gain Per Share]]),SnapshotTable[[#This Row],[Equity Max Gain Per Share]] * SnapshotTable[[#This Row],[Equity Shares]],"")</f>
        <v/>
      </c>
      <c r="AB70" s="31" t="str">
        <f>IF(ISNUMBER(SnapshotTable[[#This Row],[Equity Max Loss Per Share]]),SnapshotTable[[#This Row],[Equity Max Loss Per Share]] * SnapshotTable[[#This Row],[Equity Shares]],"")</f>
        <v/>
      </c>
      <c r="AC70" s="150"/>
      <c r="AD70" s="151"/>
      <c r="AE70" s="31">
        <f>(SnapshotTable[[#This Row],[Annual Dividend Per Share]] / 4) * SnapshotTable[[#This Row],[Equity Shares]]</f>
        <v>0</v>
      </c>
      <c r="AF70" s="31">
        <f>SnapshotTable[[#This Row],[Quarterly Div $]] * 4</f>
        <v>0</v>
      </c>
      <c r="AG70" s="7">
        <f>IF(SnapshotTable[[#This Row],[Annual Dividend Per Share]]&gt;0, SnapshotTable[[#This Row],[Annual Dividend Per Share]]  / SnapshotTable[[#This Row],[Last Price]], 0)</f>
        <v>0</v>
      </c>
      <c r="AH70" s="151"/>
      <c r="AI70" s="5"/>
      <c r="AJ70" s="138">
        <v>119.06</v>
      </c>
      <c r="AK70" s="152" t="str">
        <f>IF(ISNUMBER( SnapshotTable[[#This Row],[EBF Target]]),(SnapshotTable[[#This Row],[EBF Target]] - SnapshotTable[[#This Row],[Last Price]]) / SnapshotTable[[#This Row],[Last Price]], "")</f>
        <v/>
      </c>
      <c r="AL70" s="152" t="str">
        <f>IF(AND(SnapshotTable[[#This Row],[Equity Basis Total]] &gt; 0,ISNUMBER( SnapshotTable[[#This Row],[Long Term Target]])), SnapshotTable[[#This Row],[From Basis $]] / SnapshotTable[[#This Row],[Equity Basis Total]], "")</f>
        <v/>
      </c>
      <c r="AM70" s="9">
        <f>IF( AND(SnapshotTable[[#This Row],[Equity Shares]] &gt;0,ISNUMBER( SnapshotTable[[#This Row],[Long Term Target]])),(SnapshotTable[[#This Row],[Equity Shares]] * SnapshotTable[[#This Row],[Long Term Target]]) - SnapshotTable[[#This Row],[Equity Basis Total]],0)</f>
        <v>0</v>
      </c>
      <c r="AN70" s="9">
        <f>IF( AND(SnapshotTable[[#This Row],[Equity Shares]] &gt;0,ISNUMBER( SnapshotTable[[#This Row],[Long Term Target]])),(SnapshotTable[[#This Row],[Equity Shares]]*SnapshotTable[[#This Row],[Long Term Target]]) - SnapshotTable[[#This Row],[Equity Value]],0)</f>
        <v>0</v>
      </c>
      <c r="AO70" s="152">
        <f>IF(AND(ISNUMBER( SnapshotTable[[#This Row],[Long Term Target]]), ISNUMBER(SnapshotTable[[#This Row],[Last Price]])),(SnapshotTable[[#This Row],[Long Term Target]] - SnapshotTable[[#This Row],[Last Price]]) / SnapshotTable[[#This Row],[Last Price]], "")</f>
        <v>197.43333333333337</v>
      </c>
      <c r="AP70" s="5">
        <v>155</v>
      </c>
      <c r="AQ70" s="38" t="s">
        <v>38</v>
      </c>
      <c r="AR70" s="5">
        <v>140</v>
      </c>
      <c r="AS70" s="38" t="s">
        <v>109</v>
      </c>
      <c r="AT70" s="146" t="s">
        <v>532</v>
      </c>
      <c r="AU70" s="187" t="str">
        <f>IF(OR(SnapshotTable[[#This Row],[LP No Fill]]="Y",SnapshotTable[[#This Row],[SP Is Filled]],SnapshotTable[[#This Row],[LC Not Filled]]="Y",SnapshotTable[[#This Row],[SC Is Filled]]),"Y","")</f>
        <v/>
      </c>
      <c r="AV70" s="219"/>
      <c r="AW70" s="225"/>
      <c r="AX70" s="220"/>
      <c r="AY70" s="219" t="str">
        <f>IF(SnapshotTable[[#This Row],[Implied Move]]&gt;0, SnapshotTable[[#This Row],[Last Price]]-SnapshotTable[[#This Row],[Implied Move]],"")</f>
        <v/>
      </c>
      <c r="AZ70" s="219" t="str">
        <f>IF(SnapshotTable[[#This Row],[Implied Move]]&gt;0, SnapshotTable[[#This Row],[Last Price]] + SnapshotTable[[#This Row],[Implied Move]],"")</f>
        <v/>
      </c>
      <c r="BA70" s="331"/>
      <c r="BB70" s="347"/>
      <c r="BC7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0" s="351"/>
      <c r="BE70" s="138"/>
      <c r="BF70" s="166"/>
      <c r="BG70" s="167"/>
      <c r="BH70" s="167"/>
      <c r="BI70" s="5"/>
      <c r="BJ70" s="153">
        <f>IF(SnapshotTable[[#This Row],[LP Qty]] &gt; 0, SnapshotTable[[#This Row],[LP Qty]] * SnapshotTable[[#This Row],[LP Book Price]] * 100,0)</f>
        <v>0</v>
      </c>
      <c r="BK70" s="136">
        <f>IF(SnapshotTable[[#This Row],[LP Premium]] &gt; 0, SnapshotTable[[#This Row],[LP Qty]] * SnapshotTable[[#This Row],[LP Strike Price]] * 100,0)</f>
        <v>0</v>
      </c>
      <c r="BL70" s="154"/>
      <c r="BM70" s="385" t="str">
        <f>IF(SnapshotTable[[#This Row],[LP Premium]] &gt; 0,SnapshotTable[[#This Row],[LP Exp Date]]-MAX(SnapshotTable[[#This Row],[LP Book Date]], SnapshotTable[[#This Row],[LP Fill Date]]),"")</f>
        <v/>
      </c>
      <c r="BN70" s="385" t="str">
        <f>IF(ISNUMBER( SnapshotTable[[#This Row],[LP Term]]), SnapshotTable[[#This Row],[LP Exp Date]] - MockToday,"")</f>
        <v/>
      </c>
      <c r="BO70" s="163" t="str">
        <f>IF(AND(SnapshotTable[[#This Row],[LP Exp Date]]&gt;0, SnapshotTable[[#This Row],[LP Strike Price]]&gt;0,SnapshotTable[[#This Row],[LP Qty]]&gt;0,SnapshotTable[[#This Row],[LP Book Date]]&gt;0,SnapshotTable[[#This Row],[LP Book Price]]&gt;0,SnapshotTable[[#This Row],[LP Fill Date]]=0),"Y","")</f>
        <v/>
      </c>
      <c r="BP70" s="31" t="str">
        <f>IF(AND(SnapshotTable[[#This Row],[LP No Fill]]&lt;&gt;"Y",SnapshotTable[[#This Row],[LP Contract Value]]&gt;0, SnapshotTable[[#This Row],[LP Qty]]&gt;0), SnapshotTable[[#This Row],[LP Contract Value]]*SnapshotTable[[#This Row],[LP Qty]]*100,"")</f>
        <v/>
      </c>
      <c r="BQ70" s="13"/>
      <c r="BR70" s="5" t="str">
        <f>IF(SnapshotTable[[#This Row],[SP Exp Date]]&lt;&gt;"",TRUNC(SnapshotTable[[#This Row],[Last Price]]),"")</f>
        <v/>
      </c>
      <c r="BS70" s="36"/>
      <c r="BT70" s="147"/>
      <c r="BU70" s="13"/>
      <c r="BV70" s="5"/>
      <c r="BW70" s="419" t="b">
        <f>AND(ISNUMBER(SnapshotTable[[#This Row],[SP Exp Date]]), ISNUMBER(SnapshotTable[[#This Row],[SP Strike Price]]), ISNUMBER(SnapshotTable[[#This Row],[SP Qty]]), ISNUMBER(SnapshotTable[[#This Row],[SP Book Date]]), ISNUMBER(SnapshotTable[[#This Row],[SP Book Price]]))</f>
        <v>0</v>
      </c>
      <c r="BX70" s="419" t="b">
        <f>AND(SnapshotTable[[#This Row],[SP Is Booked]], NOT(ISBLANK(SnapshotTable[[#This Row],[SP Fill Date]])))</f>
        <v>0</v>
      </c>
      <c r="BY70" s="33">
        <f>IF(SnapshotTable[[#This Row],[SP Is Booked]], SnapshotTable[[#This Row],[SP Qty]] * SnapshotTable[[#This Row],[SP Book Price]] * 100, 0)</f>
        <v>0</v>
      </c>
      <c r="BZ70" s="369"/>
      <c r="CA70" s="368">
        <f>SnapshotTable[[#This Row],[LP Qty]]</f>
        <v>0</v>
      </c>
      <c r="CB70" s="4" t="str">
        <f>IF(SnapshotTable[[#This Row],[SP Is Booked]], SnapshotTable[[#This Row],[SP Strike Price]] - SnapshotTable[[#This Row],[SP Book Price]], "")</f>
        <v/>
      </c>
      <c r="CC70" s="19" t="str">
        <f>IF(SnapshotTable[[#This Row],[SP Is Booked]],SnapshotTable[[#This Row],[SP Exp Date]]-MAX(SnapshotTable[[#This Row],[SP Book Date]], SnapshotTable[[#This Row],[SP Fill Date]]),"")</f>
        <v/>
      </c>
      <c r="CD70" s="7" t="str">
        <f>IF(SnapshotTable[[#This Row],[SP Is Booked]], SnapshotTable[[#This Row],[SP Book Price]]/SnapshotTable[[#This Row],[SP Strike Price]], "")</f>
        <v/>
      </c>
      <c r="CE70" s="7" t="str">
        <f>IF(ISNUMBER(SnapshotTable[[#This Row],[SP ROO Term]]),SnapshotTable[[#This Row],[SP ROO Term]]*(365/SnapshotTable[[#This Row],[SP Term]]),"")</f>
        <v/>
      </c>
      <c r="CF70" s="236">
        <f>SnapshotTable[[#This Row],[LP Strike Price]] * SnapshotTable[[#This Row],[LP Qty]] * 100</f>
        <v>0</v>
      </c>
      <c r="CG70" s="31" t="e">
        <f>IF(ISNUMBER(SnapshotTable[[#This Row],[SP Premium]]), (SnapshotTable[[#This Row],[SP Qty]] * SnapshotTable[[#This Row],[SP Strike Price]]* 100) - SnapshotTable[[#This Row],[LP Protection]], 0)</f>
        <v>#VALUE!</v>
      </c>
      <c r="CH70" s="7" t="str">
        <f>IF(ISNUMBER(SnapshotTable[[#This Row],[SP Break Even]]),-1 * (SnapshotTable[[#This Row],[SP Break Even]] - SnapshotTable[[#This Row],[Last Price]]) / SnapshotTable[[#This Row],[Last Price]], "")</f>
        <v/>
      </c>
      <c r="CI70" s="31">
        <f>IF(AND(ISNUMBER((SnapshotTable[[#This Row],[SP Potential Spend]])), SnapshotTable[[#This Row],[SP Strike Price]] &gt; SnapshotTable[[#This Row],[Last Price]], SnapshotTable[[#This Row],[SP Is Filled]]), SnapshotTable[[#This Row],[SP Potential Spend]] -  SnapshotTable[[#This Row],[LP Max Value]], 0)</f>
        <v>0</v>
      </c>
      <c r="CJ70" s="244"/>
      <c r="CK70" s="31" t="str">
        <f>IF(ISNUMBER(SnapshotTable[[#This Row],[SP Potential Spend]]),IF(ISNUMBER(SnapshotTable[[#This Row],[SP POW]]), SnapshotTable[[#This Row],[SP POW]] * SnapshotTable[[#This Row],[SP Potential Spend]], SnapshotTable[[#This Row],[SP Potential Spend]]), "")</f>
        <v/>
      </c>
      <c r="CL70" s="164" t="e">
        <f>IF(NOT(SnapshotTable[[#This Row],[SP Is Filled]]),(SnapshotTable[[#This Row],[SP Qty]] * SnapshotTable[[#This Row],[SP Strike Price]] * 100) - SnapshotTable[[#This Row],[LP Max Value]],"")</f>
        <v>#VALUE!</v>
      </c>
      <c r="CM70" s="31" t="str">
        <f>IF(SnapshotTable[[#This Row],[SP Actual Spend]]&lt;&gt;0, ((SnapshotTable[[#This Row],[SP Strike Price]]-SnapshotTable[[#This Row],[Last Price]]) *(SnapshotTable[[#This Row],[SP Qty]]*100) - SnapshotTable[[#This Row],[SP Premium]]) * - 1, "")</f>
        <v/>
      </c>
      <c r="CN70" s="154"/>
      <c r="CO70" s="369"/>
      <c r="CP70" s="4" t="str">
        <f>IF(SnapshotTable[[#This Row],[SP Is Filled]], btc_max_buyback_amount(SnapshotTable[[#This Row],[SP Fill Date]],SnapshotTable[[#This Row],[SP Exp Date]], SnapshotTable[[#This Row],[SP Book Price]]),"")</f>
        <v/>
      </c>
      <c r="CQ70" s="78"/>
      <c r="CR7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0" s="155" t="str">
        <f>IF(SnapshotTable[[#This Row],[SP Is Filled]], btc_next_cutoff_date(SnapshotTable[[#This Row],[SP Fill Date]],SnapshotTable[[#This Row],[SP Exp Date]]),"")</f>
        <v/>
      </c>
      <c r="CT70" s="235" t="str" cm="1">
        <f t="array" ref="CT70">IF(SnapshotTable[[#This Row],[SP Is Filled]], btc_should_buy_back(SnapshotTable[[#This Row],[SP Fill Date]], SnapshotTable[[#This Row],[SP Exp Date]], SnapshotTable[[#This Row],[SP Book Price]], SnapshotTable[[#This Row],[SP Current Ask]], MockToday, SnapshotTable[[#This Row],[SP Buyback Override]]),"")</f>
        <v/>
      </c>
      <c r="CU70" s="156"/>
      <c r="CV70" s="235"/>
      <c r="CW70" s="378" t="str">
        <f>IF(ISNUMBER( SnapshotTable[[#This Row],[SP Term]]), SnapshotTable[[#This Row],[SP Exp Date]] - MockToday,"")</f>
        <v/>
      </c>
      <c r="CX70" s="31" t="str">
        <f>IF(SnapshotTable[[#This Row],[SP Is Filled]],SnapshotTable[[#This Row],[SP Buyback Price to Use]] * 100 * SnapshotTable[[#This Row],[SP Qty]], "")</f>
        <v/>
      </c>
      <c r="CY70" s="4" t="str">
        <f>IF(ISNUMBER(SnapshotTable[[#This Row],[SP Strike Price]]), SnapshotTable[[#This Row],[SP Strike Price]] * (1 - SP_MaxLoss_StrikePct), "")</f>
        <v/>
      </c>
      <c r="CZ70" s="31" t="str">
        <f>IF(ISNUMBER(SnapshotTable[[#This Row],[SP Strike  Stop Per Share]]),SnapshotTable[[#This Row],[SP Premium]] - ((SnapshotTable[[#This Row],[SP Strike Price]]-SnapshotTable[[#This Row],[SP Strike  Stop Per Share]]) *(SnapshotTable[[#This Row],[SP Qty]] * 100)),"")</f>
        <v/>
      </c>
      <c r="DA70" s="4" t="str">
        <f>IF(AND(ISNUMBER(SnapshotTable[[#This Row],[SP Premium]]),SnapshotTable[[#This Row],[SP Premium]]&gt;0), SnapshotTable[[#This Row],[SP Book Price]] * (1 + SP_MaxLoss_OptionPct), "")</f>
        <v/>
      </c>
      <c r="DB70" s="31" t="str">
        <f>IF(ISNUMBER(SnapshotTable[[#This Row],[SP Option  Stop Contract]]),(SnapshotTable[[#This Row],[SP Option  Stop Contract]] *(SnapshotTable[[#This Row],[SP Qty]] * 100) - SnapshotTable[[#This Row],[SP Premium]]),"")</f>
        <v/>
      </c>
      <c r="DC70" s="4"/>
      <c r="DD70" s="4"/>
      <c r="DE70" s="4" t="str">
        <f>IF(AND(SnapshotTable[[#This Row],[SP Qty]]&gt;0, SnapshotTable[[#This Row],[SP Stop To Use]]&gt;0),SnapshotTable[[#This Row],[SP Premium]] - ( SnapshotTable[[#This Row],[SP Qty]] * SnapshotTable[[#This Row],[SP Stop To Use]] * 100), "")</f>
        <v/>
      </c>
      <c r="DF70" s="31" t="str">
        <f>IF(AND(SnapshotTable[[#This Row],[SP Qty]]&gt;0,SnapshotTable[[#This Row],[SP Current Ask]]&gt;0), SnapshotTable[[#This Row],[SP Qty]] * SnapshotTable[[#This Row],[SP Current Ask]] * -100, "")</f>
        <v/>
      </c>
      <c r="DG70" s="31" t="str">
        <f>IF(ISNUMBER((SnapshotTable[[#This Row],[SP Total Value]])), SnapshotTable[[#This Row],[SP Premium]] + SnapshotTable[[#This Row],[SP Total Value]], "")</f>
        <v/>
      </c>
      <c r="DH70" s="294" t="str">
        <f>IF(ISNUMBER((SnapshotTable[[#This Row],[SP Total Value]])), SnapshotTable[[#This Row],[SP Gain Loss]] / SnapshotTable[[#This Row],[SP Premium]], "")</f>
        <v/>
      </c>
      <c r="DI70" s="406"/>
      <c r="DJ70" s="138"/>
      <c r="DK70" s="148"/>
      <c r="DL70" s="13"/>
      <c r="DM70" s="13"/>
      <c r="DN70" s="5"/>
      <c r="DO70" s="31">
        <f>IF(SnapshotTable[[#This Row],[LC Symbol Count]]=1, SnapshotTable[[#This Row],[LC Qty]] * SnapshotTable[[#This Row],[LC Book Price]] * 100, 0)</f>
        <v>0</v>
      </c>
      <c r="DP70" s="163" t="str">
        <f>IF(AND(SnapshotTable[[#This Row],[LC Exp Date]]&gt;0, SnapshotTable[[#This Row],[LC Strike Price]]&gt;0,SnapshotTable[[#This Row],[LC Qty]]&gt;0,SnapshotTable[[#This Row],[LC Book Date]]&gt;0,SnapshotTable[[#This Row],[LC Book Price]]&gt;0,SnapshotTable[[#This Row],[LC Fill Date]]=0),"Y","")</f>
        <v/>
      </c>
      <c r="DQ70" s="386" t="str">
        <f>IF(SnapshotTable[[#This Row],[LC Premium]] &gt; 0,SnapshotTable[[#This Row],[LC Exp Date]]-MAX(SnapshotTable[[#This Row],[LC Book Date]], SnapshotTable[[#This Row],[LC Fill Date]]),"")</f>
        <v/>
      </c>
      <c r="DR70" s="386" t="str">
        <f>IF(ISNUMBER(SnapshotTable[[#This Row],[LC Term]]), SnapshotTable[[#This Row],[LC Exp Date]] - MockToday, "")</f>
        <v/>
      </c>
      <c r="DS70" s="234" t="str">
        <f>IF(SnapshotTable[[#This Row],[LC Premium]]&gt;0,SnapshotTable[[#This Row],[LC Strike Price]] + SnapshotTable[[#This Row],[LC Book Price]],"")</f>
        <v/>
      </c>
      <c r="DT70" s="5"/>
      <c r="DU70" s="9" t="str">
        <f>IF(AND(SnapshotTable[[#This Row],[LC Symbol Count]]&gt;0, SnapshotTable[[#This Row],[LC Contract Value]]&gt;0), SnapshotTable[[#This Row],[LC Contract Value]] * SnapshotTable[[#This Row],[LC Qty]] * 100, "")</f>
        <v/>
      </c>
      <c r="DV70" s="9" t="str">
        <f>IF(AND(ISNUMBER(SnapshotTable[[#This Row],[LC Total Value]]), SnapshotTable[[#This Row],[LC Not Filled]]&lt;&gt;"Y"), SnapshotTable[[#This Row],[LC Total Value]]-SnapshotTable[[#This Row],[LC Premium]],"")</f>
        <v/>
      </c>
      <c r="DW70" s="240" t="str">
        <f>IF(ISNUMBER(SnapshotTable[[#This Row],[LC Actual Gain Loss]]), SnapshotTable[[#This Row],[LC Actual Gain Loss]] / SnapshotTable[[#This Row],[LC Premium]],"")</f>
        <v/>
      </c>
      <c r="DX70" s="284" t="str">
        <f>IF(ISNUMBER(SnapshotTable[[#This Row],[LC Book Price]]),SnapshotTable[[#This Row],[LC Book Price]] * 1.5,"")</f>
        <v/>
      </c>
      <c r="DY70" s="265" t="str">
        <f>IF(SnapshotTable[[#This Row],[LC Premium]]&gt;0, SnapshotTable[[#This Row],[LC Next Target]] * SnapshotTable[[#This Row],[LC Qty]] * 100,"")</f>
        <v/>
      </c>
      <c r="DZ70" s="265" t="str">
        <f>IF(ISNUMBER(SnapshotTable[[#This Row],[LC Target Gross]]), SnapshotTable[[#This Row],[LC Target Gross]] - SnapshotTable[[#This Row],[LC Premium]], "")</f>
        <v/>
      </c>
      <c r="EA70" s="305" t="str">
        <f>IF(ISNUMBER(SnapshotTable[[#This Row],[LC Target Gain Loss]]), SnapshotTable[[#This Row],[LC Target Gain Loss]]/SnapshotTable[[#This Row],[LC Premium]], "")</f>
        <v/>
      </c>
      <c r="EB70" s="262"/>
      <c r="EC70" s="283" t="str">
        <f>IF(SnapshotTable[[#This Row],[LC Premium]]&gt;0, SnapshotTable[[#This Row],[LC Book Price]] * (1 - LC_StopLoss_Pct),"")</f>
        <v/>
      </c>
      <c r="ED70" s="284"/>
      <c r="EE70" s="283" t="str">
        <f>IF(ISNUMBER(SnapshotTable[[#This Row],[LC Contract Value]]),IF(ISNUMBER(SnapshotTable[[#This Row],[LC Stop Loss Override]]), SnapshotTable[[#This Row],[LC Stop Loss Override]],SnapshotTable[[#This Row],[LC Stop Loss Calc Target]]),"")</f>
        <v/>
      </c>
      <c r="EF70" s="31" t="str">
        <f>IF(ISNUMBER(SnapshotTable[[#This Row],[LC Stop  To Use]]), (SnapshotTable[[#This Row],[LC Stop  To Use]] * SnapshotTable[[#This Row],[LC Qty]] * 100),"")</f>
        <v/>
      </c>
      <c r="EG70" s="9" t="str">
        <f>IF(ISNUMBER(SnapshotTable[[#This Row],[LC Total Value]]),SnapshotTable[[#This Row],[LC Stop Loss Amount]] - SnapshotTable[[#This Row],[LC Premium]],"")</f>
        <v/>
      </c>
      <c r="EH70" s="9">
        <f>IF(ISNUMBER(SnapshotTable[[#This Row],[LC Premium]]), SnapshotTable[[#This Row],[LC Qty]] * 100 * SnapshotTable[[#This Row],[LC Strike Price]], "")</f>
        <v>0</v>
      </c>
      <c r="EI70" s="240" t="str">
        <f>IF(AND(ISNUMBER(SnapshotTable[[#This Row],[LC Total Value]]),SnapshotTable[[#This Row],[LC Total Value]]&gt;0),SnapshotTable[[#This Row],[LC Stop Gain Loss]]  / SnapshotTable[[#This Row],[LC Premium]],"")</f>
        <v/>
      </c>
      <c r="EJ70" s="35">
        <f>IF(ISNUMBER(SnapshotTable[[#This Row],[Equity Shares]]),TRUNC(SnapshotTable[[#This Row],[Equity Shares]] / 100),0) + SnapshotTable[[#This Row],[LC Qty]]</f>
        <v>0</v>
      </c>
      <c r="EK70" s="147"/>
      <c r="EL70" s="138" t="str">
        <f>IF(SnapshotTable[[#This Row],[SC Exp Date]]&lt;&gt;"",TRUNC(SnapshotTable[[#This Row],[Last Price]]),"")</f>
        <v/>
      </c>
      <c r="EM70" s="148"/>
      <c r="EN70" s="147"/>
      <c r="EO70" s="147"/>
      <c r="EP70" s="138"/>
      <c r="EQ70" s="419" t="b">
        <f>AND(ISNUMBER(SnapshotTable[[#This Row],[SC Exp Date]]), ISNUMBER(SnapshotTable[[#This Row],[SC Strike Price]]), ISNUMBER(SnapshotTable[[#This Row],[SC Qty]]), ISNUMBER(SnapshotTable[[#This Row],[SC Book Date]]), ISNUMBER(SnapshotTable[[#This Row],[SC Book Price]]))</f>
        <v>0</v>
      </c>
      <c r="ER70" s="419" t="b">
        <f>AND(SnapshotTable[[#This Row],[SC Is Booked]], NOT(ISBLANK(SnapshotTable[[#This Row],[SC Fill Date]])))</f>
        <v>0</v>
      </c>
      <c r="ES70" s="370"/>
      <c r="ET70" s="34" t="str">
        <f>IF(AND(ISNUMBER(SnapshotTable[[#This Row],[SC Exp Date]]), ISNUMBER(SnapshotTable[[#This Row],[SC Book Date]])), SnapshotTable[[#This Row],[SC Exp Date]] - MAX(SnapshotTable[[#This Row],[SC Book Date]], SnapshotTable[[#This Row],[SC Fill Date]]) + 1, "")</f>
        <v/>
      </c>
      <c r="EU70" s="34" t="str">
        <f>IF(ISNUMBER(SnapshotTable[[#This Row],[SC Term]]), SnapshotTable[[#This Row],[SC Exp Date]]- MockToday, "")</f>
        <v/>
      </c>
      <c r="EV70" s="31">
        <f>IF(SnapshotTable[[#This Row],[SC Is Booked]], SnapshotTable[[#This Row],[SC Qty]] * SnapshotTable[[#This Row],[SC Book Price]] * 100, 0)</f>
        <v>0</v>
      </c>
      <c r="EW70" s="4" t="str">
        <f>IF(AND(ISNUMBER(SnapshotTable[[#This Row],[Last Price]]), ISNUMBER( SnapshotTable[[#This Row],[SC Book Price]])), SnapshotTable[[#This Row],[Last Price]] - SnapshotTable[[#This Row],[SC Book Price]],"")</f>
        <v/>
      </c>
      <c r="EX70" s="234" t="str">
        <f>IF(SnapshotTable[[#This Row],[SC Is Booked]],IF(SnapshotTable[[#This Row],[SC Intrinsic Value]] &gt; 0, SnapshotTable[[#This Row],[SC Strike Price]], SnapshotTable[[#This Row],[Last Price]]), "")</f>
        <v/>
      </c>
      <c r="EY70" s="4">
        <f>IF(SnapshotTable[[#This Row],[SC Is Booked]], (MinimumPremiumRequired * SnapshotTable[[#This Row],[SC Basis]] * SnapshotTable[[#This Row],[SC Term]]), 0)</f>
        <v>0</v>
      </c>
      <c r="EZ70" s="283"/>
      <c r="FA70" s="218"/>
      <c r="FB70" s="370"/>
      <c r="FC70" s="4">
        <f>IF(SnapshotTable[[#This Row],[SC Is Filled]], btc_max_buyback_amount(SnapshotTable[[#This Row],[SC Fill Date]],SnapshotTable[[#This Row],[SC Exp Date]], SnapshotTable[[#This Row],[SC Book Price]]),0)</f>
        <v>0</v>
      </c>
      <c r="FD70" s="5"/>
      <c r="FE70" s="144" t="str">
        <f>IF(SnapshotTable[[#This Row],[SC Is Filled]], btc_next_cutoff_date(SnapshotTable[[#This Row],[SC Fill Date]],SnapshotTable[[#This Row],[SC Exp Date]]),"")</f>
        <v/>
      </c>
      <c r="FF70" s="4" t="str" cm="1">
        <f t="array" ref="FF70">IF(SnapshotTable[[#This Row],[SC Is Filled]], btc_should_buy_back(SnapshotTable[[#This Row],[SC Fill Date]], SnapshotTable[[#This Row],[SC Exp Date]], SnapshotTable[[#This Row],[SC Book Price]], SnapshotTable[[#This Row],[SC Current Ask]], MockToday, SnapshotTable[[#This Row],[SC Buyback Override]]),"")</f>
        <v/>
      </c>
      <c r="FG70" s="4">
        <f>IF(SnapshotTable[[#This Row],[SC Is Filled]], MAX(0,SnapshotTable[[#This Row],[Last Price]]  - SnapshotTable[[#This Row],[SC Strike Price]]), 0)</f>
        <v>0</v>
      </c>
      <c r="FH70" s="382">
        <f>IF(SnapshotTable[[#This Row],[SC Is Filled]], IF(ISNUMBER(SnapshotTable[[#This Row],[SC Current Ask]]), SnapshotTable[[#This Row],[SC Current Ask]], SnapshotTable[[#This Row],[SC Book Price]]) - SnapshotTable[[#This Row],[SC Intrinsic Value]], 0)</f>
        <v>0</v>
      </c>
      <c r="FI70" s="143"/>
      <c r="FJ70" s="32" t="str">
        <f>IF(SnapshotTable[[#This Row],[SC Is Filled]],100 * SnapshotTable[[#This Row],[SC Qty]] * IF(ISNUMBER(SnapshotTable[[#This Row],[SC Buyback Override]]), SnapshotTable[[#This Row],[SC Buyback Override]], SnapshotTable[[#This Row],[SC Current Ask]]), "")</f>
        <v/>
      </c>
      <c r="FK70" s="250" t="str">
        <f>IF(SnapshotTable[[#This Row],[SC Time Val]]&gt;0, SnapshotTable[[#This Row],[SC Time Val]] / SnapshotTable[[#This Row],[Last Price]],"")</f>
        <v/>
      </c>
      <c r="FL70" s="302" t="str">
        <f>IF(SnapshotTable[[#This Row],[SC Is Booked]], ((SnapshotTable[[#This Row],[Last Price]] -SnapshotTable[[#This Row],[SC Strike Price]]) / SnapshotTable[[#This Row],[Last Price]]) * -1, "")</f>
        <v/>
      </c>
      <c r="FM70" s="157" t="str">
        <f>IF(SnapshotTable[[#This Row],[SC Is Booked]],  (SnapshotTable[[#This Row],[SC Qty]] * 100 * SnapshotTable[[#This Row],[SC Strike Price]]) - SnapshotTable[[#This Row],[SC Current Ask]], "")</f>
        <v/>
      </c>
      <c r="FN70"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0" s="157" t="str">
        <f>IF(AND(ISNUMBER(SnapshotTable[[#This Row],[SC Exercise Gross]]), ISNUMBER(SnapshotTable[[#This Row],[Equity Basis Per Share]] )), SnapshotTable[[#This Row],[SC Exercise Gross]] - SnapshotTable[[#This Row],[Equity Basis Total]] +  SnapshotTable[[#This Row],[SC Premium]], "")</f>
        <v/>
      </c>
      <c r="FP70" s="5" t="str">
        <f>IF(ISNUMBER(SnapshotTable[[#This Row],[SC Exercise Gross]]), (SnapshotTable[[#This Row],[SC Exercise Gross]]) / (SnapshotTable[[#This Row],[SC Qty]] * 100), "")</f>
        <v/>
      </c>
      <c r="FQ70" s="27" t="str">
        <f>IF(SnapshotTable[[#This Row],[SC Is Booked]],SnapshotTable[[#This Row],[SC Time Val]] /SnapshotTable[[#This Row],[SC Basis]], "")</f>
        <v/>
      </c>
      <c r="FR70" s="27" t="str" cm="1">
        <f t="array" ref="FR70">IF(AND(ISNUMBER(SnapshotTable[[#This Row],[SC Term]]),ISNUMBER(SnapshotTable[[#This Row],[SC Simple ROO]])), EllmanAnnualize(SnapshotTable[[#This Row],[SC DTE]], SnapshotTable[[#This Row],[SC Simple ROO]] ),"")</f>
        <v/>
      </c>
      <c r="FS70" s="4" t="e">
        <f>IF(SnapshotTable[[#This Row],[SC Strike Price]] &gt; SnapshotTable[[#This Row],[Last Price]], SnapshotTable[[#This Row],[SC Strike Price]] - SnapshotTable[[#This Row],[Last Price]],0)</f>
        <v>#VALUE!</v>
      </c>
      <c r="FT70" s="27" t="e">
        <f>IF(AND(ISNUMBER(SnapshotTable[[#This Row],[SC Upside Potential]]), SnapshotTable[[#This Row],[SC Upside Potential]] &gt; 0),(SnapshotTable[[#This Row],[SC Upside Potential]]/ SnapshotTable[[#This Row],[ACB]]),"")</f>
        <v>#VALUE!</v>
      </c>
      <c r="FU70" s="333" t="str">
        <f>IF(SnapshotTable[[#This Row],[SC Intrinsic Value]] &gt; 0,SnapshotTable[[#This Row],[SC Intrinsic Value]],"")</f>
        <v/>
      </c>
      <c r="FV70" s="27" t="str">
        <f>IF(AND( ISNUMBER( SnapshotTable[[#This Row],[ACB]]),ISNUMBER(SnapshotTable[[#This Row],[SC Downside Protect]])),SnapshotTable[[#This Row],[SC Downside Protect]] / SnapshotTable[[#This Row],[ACB]],"")</f>
        <v/>
      </c>
      <c r="FW70" s="236" t="str">
        <f>IF(AND(ISNUMBER(SnapshotTable[[#This Row],[SC Simple ROO]]),SnapshotTable[[#This Row],[SC Simple ROO]] &gt; 0), SnapshotTable[[#This Row],[SC Premium]] + (SnapshotTable[[#This Row],[SC Qty]] * SnapshotTable[[#This Row],[SC Upside Potential]]), "")</f>
        <v/>
      </c>
      <c r="FX70" s="302" t="str" cm="1">
        <f t="array" ref="FX70">IF(ISNUMBER(SnapshotTable[[#This Row],[SC Max Dollars]]), annualize(SnapshotTable[[#This Row],[SC Term]],(SnapshotTable[[#This Row],[SC Max Dollars]]/SnapshotTable[[#This Row],[SC Basis]])),"")</f>
        <v/>
      </c>
      <c r="FY70" s="236" t="str">
        <f>IF(AND(SnapshotTable[[#This Row],[SC Qty]]&gt;0,SnapshotTable[[#This Row],[SC Current Ask]]&gt;0), SnapshotTable[[#This Row],[SC Qty]] * SnapshotTable[[#This Row],[SC Current Ask]] * -100, "")</f>
        <v/>
      </c>
      <c r="FZ70" s="31" t="str">
        <f>IF(ISNUMBER((SnapshotTable[[#This Row],[SC Current Value]])), SnapshotTable[[#This Row],[SC Premium]] + SnapshotTable[[#This Row],[SC Current Value]], "")</f>
        <v/>
      </c>
      <c r="GA70" s="294" t="str">
        <f>IFERROR( IF(ISNUMBER((SnapshotTable[[#This Row],[SC Current Value]])), SnapshotTable[[#This Row],[SC Gain Loss]] / SnapshotTable[[#This Row],[SC Premium]], ""), "")</f>
        <v/>
      </c>
      <c r="GB70" s="42">
        <f>SnapshotTable[[#This Row],[Equity Shares]] * SaleSharesToConsiderPercentage</f>
        <v>0</v>
      </c>
      <c r="GC70" s="40">
        <f>SnapshotTable[[#This Row],[Long Term Target]] * SellingPriceToConsiderBasedOnTargetPercentage</f>
        <v>113.107</v>
      </c>
      <c r="GD70" s="40">
        <f>SnapshotTable[[#This Row],[Last Price]] * (1+ SellingPriceToConsiderBasedOnTargetPercentage)</f>
        <v>1.17</v>
      </c>
      <c r="GE70" s="41"/>
      <c r="GF70" s="40"/>
      <c r="GG70" s="31">
        <f>SnapshotTable[[#This Row],[Booked Sale Shares]] * SnapshotTable[[#This Row],[Booked Sale Price]]</f>
        <v>0</v>
      </c>
      <c r="GH70" s="31" t="str">
        <f>IF(SnapshotTable[[#This Row],[Equity Basis Total]] &gt; 0, SnapshotTable[[#This Row],[Equity Basis Per Share]] * SnapshotTable[[#This Row],[Booked Sale Shares]], "")</f>
        <v/>
      </c>
      <c r="GI70" s="31">
        <f>IF(SnapshotTable[[#This Row],[Sale Proceeds]]&gt;0, SnapshotTable[[#This Row],[Sale Proceeds]] - SnapshotTable[[#This Row],[Sale Basis]], 0)</f>
        <v>0</v>
      </c>
      <c r="GJ70" s="158" t="str">
        <f>IF(SnapshotTable[[#This Row],[Sale G/L]]&gt;0, SnapshotTable[[#This Row],[Sale G/L]] / SnapshotTable[[#This Row],[Sale Basis]], IF(ISNUMBER(SnapshotTable[[#This Row],[SC Exercise P&amp;L (TAX)]]), SnapshotTable[[#This Row],[SC Exercise P&amp;L (TAX)]] / SnapshotTable[[#This Row],[SC Basis]], ""))</f>
        <v/>
      </c>
      <c r="GK70" s="158" t="s">
        <v>653</v>
      </c>
      <c r="GL70" s="159" t="str">
        <f>IF(AND(SnapshotTable[[#This Row],[LP Exp Date]]&gt;0,SnapshotTable[[#This Row],[LP Strike Price]]&gt;0), [1]!ToOptionSymbol(SnapshotTable[[#This Row],[Symbol]], SnapshotTable[[#This Row],[LP Strike Price]],SnapshotTable[[#This Row],[LP Exp Date]],1), "")</f>
        <v/>
      </c>
      <c r="GM70" s="30" t="str">
        <f>IF(LEN(SnapshotTable[[#This Row],[LP Symbol]])&gt;0, 1, "")</f>
        <v/>
      </c>
      <c r="GN70" s="43" t="str">
        <f>IF(AND(SnapshotTable[[#This Row],[SP Exp Date]]&gt;0,SnapshotTable[[#This Row],[SP Strike Price]]&gt;0), [1]!ToOptionSymbol(SnapshotTable[[#This Row],[Symbol]], SnapshotTable[[#This Row],[SP Strike Price]],SnapshotTable[[#This Row],[SP Exp Date]],1), "")</f>
        <v/>
      </c>
      <c r="GO70" s="30" t="str">
        <f>IF(LEN(SnapshotTable[[#This Row],[SP Symbol]])&gt;0, 1, "")</f>
        <v/>
      </c>
      <c r="GP70" s="159" t="str">
        <f>IF(AND(SnapshotTable[[#This Row],[LC Exp Date]]&gt;0,SnapshotTable[[#This Row],[LC Strike Price]]&gt;0), [1]!ToOptionSymbol(SnapshotTable[[#This Row],[Symbol]], SnapshotTable[[#This Row],[LC Strike Price]],SnapshotTable[[#This Row],[LC Exp Date]],0), "")</f>
        <v/>
      </c>
      <c r="GQ70" s="160" t="str">
        <f>IF(LEN(SnapshotTable[[#This Row],[LC Symbol]])&gt;0, 1, "")</f>
        <v/>
      </c>
      <c r="GR70" s="159" t="str">
        <f>IF(AND(SnapshotTable[[#This Row],[SC Exp Date]]&gt;0,SnapshotTable[[#This Row],[SC Strike Price]]&gt;0), [1]!ToOptionSymbol(SnapshotTable[[#This Row],[Symbol]], SnapshotTable[[#This Row],[SC Strike Price]],SnapshotTable[[#This Row],[SC Exp Date]],0), "")</f>
        <v/>
      </c>
      <c r="GS70" s="160" t="str">
        <f>IF(LEN(SnapshotTable[[#This Row],[SC Symbol]])&gt;0, 1, "")</f>
        <v/>
      </c>
      <c r="GT70" s="161" t="str">
        <f>IF(COUNT(SnapshotTable[[#This Row],[LP Symbol Count]],SnapshotTable[[#This Row],[SP Symbol Count]],SnapshotTable[[#This Row],[LC Symbol Count]],SnapshotTable[[#This Row],[SC Symbol Count]])&gt;0, "Y", "")</f>
        <v/>
      </c>
      <c r="GU7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0" s="231" t="e">
        <f>MAX(SnapshotTable[[#This Row],[Equity Basis Total]],SnapshotTable[[#This Row],[Equity Value]]) + (SnapshotTable[[#This Row],[SP Potential Spend]]- SnapshotTable[[#This Row],[SP Premium]] + SnapshotTable[[#This Row],[LP Premium]])+ (SnapshotTable[[#This Row],[LC Premium]] - SnapshotTable[[#This Row],[SC Premium]])</f>
        <v>#VALUE!</v>
      </c>
      <c r="GW70" s="139" t="e">
        <f>IF(AND(SnapshotTable[[#This Row],[Exposure]] &lt;&gt; 0),SnapshotTable[[#This Row],[Exposure]] / SnapshotTable[[#Totals],[Exposure]], "")</f>
        <v>#VALUE!</v>
      </c>
      <c r="GY70" s="381"/>
      <c r="HE70" s="268"/>
      <c r="HF70" s="268"/>
      <c r="HG70" s="381"/>
      <c r="HH70" s="381"/>
      <c r="HI70" s="381"/>
      <c r="HJ70" s="381"/>
    </row>
    <row r="71" spans="2:224" ht="12.75" hidden="1" customHeight="1" x14ac:dyDescent="0.25">
      <c r="B71" s="12" t="s">
        <v>217</v>
      </c>
      <c r="C71" s="422">
        <v>132.25</v>
      </c>
      <c r="D71" s="208" t="s">
        <v>850</v>
      </c>
      <c r="E71" s="39">
        <f>SnapshotTable[[#This Row],[Last Price]]*(1 -CrashDiscount)</f>
        <v>112.41249999999999</v>
      </c>
      <c r="F71" s="26" t="s">
        <v>942</v>
      </c>
      <c r="G71" s="26" t="s">
        <v>4</v>
      </c>
      <c r="H71" s="149"/>
      <c r="I71" s="194">
        <v>44939</v>
      </c>
      <c r="J71" s="195">
        <v>44939</v>
      </c>
      <c r="K71" s="196" t="s">
        <v>3</v>
      </c>
      <c r="L71" s="326"/>
      <c r="M71" s="140"/>
      <c r="N71" s="140"/>
      <c r="O71" s="140"/>
      <c r="P71" s="22"/>
      <c r="Q71" s="25"/>
      <c r="R71" s="4" t="str">
        <f>IF(SnapshotTable[[#This Row],[Equity Basis Total]] &gt; 0, SnapshotTable[[#This Row],[Equity Basis Total]] / SnapshotTable[[#This Row],[Equity Shares]], "")</f>
        <v/>
      </c>
      <c r="S71" s="269">
        <f>SnapshotTable[[#This Row],[Last Price]] * SnapshotTable[[#This Row],[Equity Shares]]</f>
        <v>0</v>
      </c>
      <c r="T71" s="269">
        <f>SnapshotTable[[#This Row],[Equity Value]] - SnapshotTable[[#This Row],[Equity Basis Total]]</f>
        <v>0</v>
      </c>
      <c r="U71" s="270" t="str">
        <f>IF(SnapshotTable[[#This Row],[Equity Basis Total]] &gt; 0, SnapshotTable[[#This Row],[Equity G/L]] / SnapshotTable[[#This Row],[Equity Basis Total]], "")</f>
        <v/>
      </c>
      <c r="V71" s="268"/>
      <c r="W71" s="268"/>
      <c r="X71" s="4" t="str">
        <f>IF(AND(ISNUMBER(SnapshotTable[[#This Row],[Equity Basis Per Share]]),ISNUMBER(SnapshotTable[[#This Row],[Equity Target]])),SnapshotTable[[#This Row],[Equity Target]]-SnapshotTable[[#This Row],[Equity Basis Per Share]],"")</f>
        <v/>
      </c>
      <c r="Y71" s="4" t="str">
        <f>IF(AND(ISNUMBER(SnapshotTable[[#This Row],[Equity Basis Per Share]]),ISNUMBER(SnapshotTable[[#This Row],[Equity Stop Loss]])),SnapshotTable[[#This Row],[Equity Stop Loss]]-SnapshotTable[[#This Row],[Equity Basis Per Share]],"")</f>
        <v/>
      </c>
      <c r="Z71" s="275" t="str">
        <f>IFERROR( TEXT(SnapshotTable[[#This Row],[Equity Max Gain Per Share]] /ABS( SnapshotTable[[#This Row],[Equity Max Loss Per Share]]),"0.0 " ) &amp; " : 1", "")</f>
        <v/>
      </c>
      <c r="AA71" s="31" t="str">
        <f>IF(ISNUMBER(SnapshotTable[[#This Row],[Equity Max Gain Per Share]]),SnapshotTable[[#This Row],[Equity Max Gain Per Share]] * SnapshotTable[[#This Row],[Equity Shares]],"")</f>
        <v/>
      </c>
      <c r="AB71" s="31" t="str">
        <f>IF(ISNUMBER(SnapshotTable[[#This Row],[Equity Max Loss Per Share]]),SnapshotTable[[#This Row],[Equity Max Loss Per Share]] * SnapshotTable[[#This Row],[Equity Shares]],"")</f>
        <v/>
      </c>
      <c r="AC71" s="150">
        <v>0.95750000000000002</v>
      </c>
      <c r="AD71" s="151">
        <v>42972</v>
      </c>
      <c r="AE71" s="31">
        <f>(SnapshotTable[[#This Row],[Annual Dividend Per Share]] / 4) * SnapshotTable[[#This Row],[Equity Shares]]</f>
        <v>0</v>
      </c>
      <c r="AF71" s="31">
        <f>SnapshotTable[[#This Row],[Quarterly Div $]] * 4</f>
        <v>0</v>
      </c>
      <c r="AG71" s="7">
        <f>IF(SnapshotTable[[#This Row],[Annual Dividend Per Share]]&gt;0, SnapshotTable[[#This Row],[Annual Dividend Per Share]]  / SnapshotTable[[#This Row],[Last Price]], 0)</f>
        <v>7.2400756143667297E-3</v>
      </c>
      <c r="AH71" s="151">
        <v>43772</v>
      </c>
      <c r="AI71" s="5">
        <v>92</v>
      </c>
      <c r="AJ71" s="138">
        <v>85.23</v>
      </c>
      <c r="AK71" s="152">
        <f>IF(ISNUMBER( SnapshotTable[[#This Row],[EBF Target]]),(SnapshotTable[[#This Row],[EBF Target]] - SnapshotTable[[#This Row],[Last Price]]) / SnapshotTable[[#This Row],[Last Price]], "")</f>
        <v>-0.30434782608695654</v>
      </c>
      <c r="AL71" s="152" t="str">
        <f>IF(AND(SnapshotTable[[#This Row],[Equity Basis Total]] &gt; 0,ISNUMBER( SnapshotTable[[#This Row],[Long Term Target]])), SnapshotTable[[#This Row],[From Basis $]] / SnapshotTable[[#This Row],[Equity Basis Total]], "")</f>
        <v/>
      </c>
      <c r="AM71" s="9">
        <f>IF( AND(SnapshotTable[[#This Row],[Equity Shares]] &gt;0,ISNUMBER( SnapshotTable[[#This Row],[Long Term Target]])),(SnapshotTable[[#This Row],[Equity Shares]] * SnapshotTable[[#This Row],[Long Term Target]]) - SnapshotTable[[#This Row],[Equity Basis Total]],0)</f>
        <v>0</v>
      </c>
      <c r="AN71" s="9">
        <f>IF( AND(SnapshotTable[[#This Row],[Equity Shares]] &gt;0,ISNUMBER( SnapshotTable[[#This Row],[Long Term Target]])),(SnapshotTable[[#This Row],[Equity Shares]]*SnapshotTable[[#This Row],[Long Term Target]]) - SnapshotTable[[#This Row],[Equity Value]],0)</f>
        <v>0</v>
      </c>
      <c r="AO71" s="152">
        <f>IF(AND(ISNUMBER( SnapshotTable[[#This Row],[Long Term Target]]), ISNUMBER(SnapshotTable[[#This Row],[Last Price]])),(SnapshotTable[[#This Row],[Long Term Target]] - SnapshotTable[[#This Row],[Last Price]]) / SnapshotTable[[#This Row],[Last Price]], "")</f>
        <v>-0.35553875236294891</v>
      </c>
      <c r="AP71" s="5">
        <v>76.150000000000006</v>
      </c>
      <c r="AQ71" s="38" t="s">
        <v>46</v>
      </c>
      <c r="AR71" s="5">
        <v>76.150000000000006</v>
      </c>
      <c r="AS71" s="38" t="s">
        <v>45</v>
      </c>
      <c r="AT71" s="146" t="s">
        <v>575</v>
      </c>
      <c r="AU71" s="187" t="str">
        <f>IF(OR(SnapshotTable[[#This Row],[LP No Fill]]="Y",SnapshotTable[[#This Row],[SP Is Filled]],SnapshotTable[[#This Row],[LC Not Filled]]="Y",SnapshotTable[[#This Row],[SC Is Filled]]),"Y","")</f>
        <v/>
      </c>
      <c r="AV71" s="219">
        <f>72.5 + SnapshotTable[[#This Row],[ACB]]</f>
        <v>76.150000000000006</v>
      </c>
      <c r="AW71" s="225"/>
      <c r="AX71" s="220"/>
      <c r="AY71" s="219" t="str">
        <f>IF(SnapshotTable[[#This Row],[Implied Move]]&gt;0, SnapshotTable[[#This Row],[Last Price]]-SnapshotTable[[#This Row],[Implied Move]],"")</f>
        <v/>
      </c>
      <c r="AZ71" s="219" t="str">
        <f>IF(SnapshotTable[[#This Row],[Implied Move]]&gt;0, SnapshotTable[[#This Row],[Last Price]] + SnapshotTable[[#This Row],[Implied Move]],"")</f>
        <v/>
      </c>
      <c r="BA71" s="331">
        <v>3.65</v>
      </c>
      <c r="BB71" s="347"/>
      <c r="BC7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1" s="351"/>
      <c r="BE71" s="5"/>
      <c r="BF71" s="14"/>
      <c r="BG71" s="13"/>
      <c r="BH71" s="13"/>
      <c r="BI71" s="5"/>
      <c r="BJ71" s="136">
        <f>IF(SnapshotTable[[#This Row],[LP Qty]] &gt; 0, SnapshotTable[[#This Row],[LP Qty]] * SnapshotTable[[#This Row],[LP Book Price]] * 100,0)</f>
        <v>0</v>
      </c>
      <c r="BK71" s="136">
        <f>IF(SnapshotTable[[#This Row],[LP Premium]] &gt; 0, SnapshotTable[[#This Row],[LP Qty]] * SnapshotTable[[#This Row],[LP Strike Price]] * 100,0)</f>
        <v>0</v>
      </c>
      <c r="BL71" s="154"/>
      <c r="BM71" s="385" t="str">
        <f>IF(SnapshotTable[[#This Row],[LP Premium]] &gt; 0,SnapshotTable[[#This Row],[LP Exp Date]]-MAX(SnapshotTable[[#This Row],[LP Book Date]], SnapshotTable[[#This Row],[LP Fill Date]]),"")</f>
        <v/>
      </c>
      <c r="BN71" s="385" t="str">
        <f>IF(ISNUMBER( SnapshotTable[[#This Row],[LP Term]]), SnapshotTable[[#This Row],[LP Exp Date]] - MockToday,"")</f>
        <v/>
      </c>
      <c r="BO71" s="163" t="str">
        <f>IF(AND(SnapshotTable[[#This Row],[LP Exp Date]]&gt;0, SnapshotTable[[#This Row],[LP Strike Price]]&gt;0,SnapshotTable[[#This Row],[LP Qty]]&gt;0,SnapshotTable[[#This Row],[LP Book Date]]&gt;0,SnapshotTable[[#This Row],[LP Book Price]]&gt;0,SnapshotTable[[#This Row],[LP Fill Date]]=0),"Y","")</f>
        <v/>
      </c>
      <c r="BP71" s="31" t="str">
        <f>IF(AND(SnapshotTable[[#This Row],[LP No Fill]]&lt;&gt;"Y",SnapshotTable[[#This Row],[LP Contract Value]]&gt;0, SnapshotTable[[#This Row],[LP Qty]]&gt;0), SnapshotTable[[#This Row],[LP Contract Value]]*SnapshotTable[[#This Row],[LP Qty]]*100,"")</f>
        <v/>
      </c>
      <c r="BQ71" s="13"/>
      <c r="BR71" s="5" t="str">
        <f>IF(SnapshotTable[[#This Row],[SP Exp Date]]&lt;&gt;"",TRUNC(SnapshotTable[[#This Row],[Last Price]]),"")</f>
        <v/>
      </c>
      <c r="BS71" s="36"/>
      <c r="BT71" s="147"/>
      <c r="BU71" s="13"/>
      <c r="BV71" s="5"/>
      <c r="BW71" s="419" t="b">
        <f>AND(ISNUMBER(SnapshotTable[[#This Row],[SP Exp Date]]), ISNUMBER(SnapshotTable[[#This Row],[SP Strike Price]]), ISNUMBER(SnapshotTable[[#This Row],[SP Qty]]), ISNUMBER(SnapshotTable[[#This Row],[SP Book Date]]), ISNUMBER(SnapshotTable[[#This Row],[SP Book Price]]))</f>
        <v>0</v>
      </c>
      <c r="BX71" s="419" t="b">
        <f>AND(SnapshotTable[[#This Row],[SP Is Booked]], NOT(ISBLANK(SnapshotTable[[#This Row],[SP Fill Date]])))</f>
        <v>0</v>
      </c>
      <c r="BY71" s="33">
        <f>IF(SnapshotTable[[#This Row],[SP Is Booked]], SnapshotTable[[#This Row],[SP Qty]] * SnapshotTable[[#This Row],[SP Book Price]] * 100, 0)</f>
        <v>0</v>
      </c>
      <c r="BZ71" s="369"/>
      <c r="CA71" s="368">
        <f>SnapshotTable[[#This Row],[LP Qty]]</f>
        <v>0</v>
      </c>
      <c r="CB71" s="4" t="str">
        <f>IF(SnapshotTable[[#This Row],[SP Is Booked]], SnapshotTable[[#This Row],[SP Strike Price]] - SnapshotTable[[#This Row],[SP Book Price]], "")</f>
        <v/>
      </c>
      <c r="CC71" s="19" t="str">
        <f>IF(SnapshotTable[[#This Row],[SP Is Booked]],SnapshotTable[[#This Row],[SP Exp Date]]-MAX(SnapshotTable[[#This Row],[SP Book Date]], SnapshotTable[[#This Row],[SP Fill Date]]),"")</f>
        <v/>
      </c>
      <c r="CD71" s="7" t="str">
        <f>IF(SnapshotTable[[#This Row],[SP Is Booked]], SnapshotTable[[#This Row],[SP Book Price]]/SnapshotTable[[#This Row],[SP Strike Price]], "")</f>
        <v/>
      </c>
      <c r="CE71" s="7" t="str">
        <f>IF(ISNUMBER(SnapshotTable[[#This Row],[SP ROO Term]]),SnapshotTable[[#This Row],[SP ROO Term]]*(365/SnapshotTable[[#This Row],[SP Term]]),"")</f>
        <v/>
      </c>
      <c r="CF71" s="236">
        <f>SnapshotTable[[#This Row],[LP Strike Price]] * SnapshotTable[[#This Row],[LP Qty]] * 100</f>
        <v>0</v>
      </c>
      <c r="CG71" s="31" t="e">
        <f>IF(ISNUMBER(SnapshotTable[[#This Row],[SP Premium]]), (SnapshotTable[[#This Row],[SP Qty]] * SnapshotTable[[#This Row],[SP Strike Price]]* 100) - SnapshotTable[[#This Row],[LP Protection]], 0)</f>
        <v>#VALUE!</v>
      </c>
      <c r="CH71" s="7" t="str">
        <f>IF(ISNUMBER(SnapshotTable[[#This Row],[SP Break Even]]),-1 * (SnapshotTable[[#This Row],[SP Break Even]] - SnapshotTable[[#This Row],[Last Price]]) / SnapshotTable[[#This Row],[Last Price]], "")</f>
        <v/>
      </c>
      <c r="CI71" s="31">
        <f>IF(AND(ISNUMBER((SnapshotTable[[#This Row],[SP Potential Spend]])), SnapshotTable[[#This Row],[SP Strike Price]] &gt; SnapshotTable[[#This Row],[Last Price]], SnapshotTable[[#This Row],[SP Is Filled]]), SnapshotTable[[#This Row],[SP Potential Spend]] -  SnapshotTable[[#This Row],[LP Max Value]], 0)</f>
        <v>0</v>
      </c>
      <c r="CJ71" s="244"/>
      <c r="CK71" s="31" t="str">
        <f>IF(ISNUMBER(SnapshotTable[[#This Row],[SP Potential Spend]]),IF(ISNUMBER(SnapshotTable[[#This Row],[SP POW]]), SnapshotTable[[#This Row],[SP POW]] * SnapshotTable[[#This Row],[SP Potential Spend]], SnapshotTable[[#This Row],[SP Potential Spend]]), "")</f>
        <v/>
      </c>
      <c r="CL71" s="164" t="e">
        <f>IF(NOT(SnapshotTable[[#This Row],[SP Is Filled]]),(SnapshotTable[[#This Row],[SP Qty]] * SnapshotTable[[#This Row],[SP Strike Price]] * 100) - SnapshotTable[[#This Row],[LP Max Value]],"")</f>
        <v>#VALUE!</v>
      </c>
      <c r="CM71" s="31" t="str">
        <f>IF(SnapshotTable[[#This Row],[SP Actual Spend]]&lt;&gt;0, ((SnapshotTable[[#This Row],[SP Strike Price]]-SnapshotTable[[#This Row],[Last Price]]) *(SnapshotTable[[#This Row],[SP Qty]]*100) - SnapshotTable[[#This Row],[SP Premium]]) * - 1, "")</f>
        <v/>
      </c>
      <c r="CN71" s="78"/>
      <c r="CO71" s="369"/>
      <c r="CP71" s="4" t="str">
        <f>IF(SnapshotTable[[#This Row],[SP Is Filled]], btc_max_buyback_amount(SnapshotTable[[#This Row],[SP Fill Date]],SnapshotTable[[#This Row],[SP Exp Date]], SnapshotTable[[#This Row],[SP Book Price]]),"")</f>
        <v/>
      </c>
      <c r="CQ71" s="78"/>
      <c r="CR7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1" s="155" t="str">
        <f>IF(SnapshotTable[[#This Row],[SP Is Filled]], btc_next_cutoff_date(SnapshotTable[[#This Row],[SP Fill Date]],SnapshotTable[[#This Row],[SP Exp Date]]),"")</f>
        <v/>
      </c>
      <c r="CT71" s="235" t="str" cm="1">
        <f t="array" ref="CT71">IF(SnapshotTable[[#This Row],[SP Is Filled]], btc_should_buy_back(SnapshotTable[[#This Row],[SP Fill Date]], SnapshotTable[[#This Row],[SP Exp Date]], SnapshotTable[[#This Row],[SP Book Price]], SnapshotTable[[#This Row],[SP Current Ask]], MockToday, SnapshotTable[[#This Row],[SP Buyback Override]]),"")</f>
        <v/>
      </c>
      <c r="CU71" s="143"/>
      <c r="CV71" s="235"/>
      <c r="CW71" s="378" t="str">
        <f>IF(ISNUMBER( SnapshotTable[[#This Row],[SP Term]]), SnapshotTable[[#This Row],[SP Exp Date]] - MockToday,"")</f>
        <v/>
      </c>
      <c r="CX71" s="31" t="str">
        <f>IF(SnapshotTable[[#This Row],[SP Is Filled]],SnapshotTable[[#This Row],[SP Buyback Price to Use]] * 100 * SnapshotTable[[#This Row],[SP Qty]], "")</f>
        <v/>
      </c>
      <c r="CY71" s="4" t="str">
        <f>IF(ISNUMBER(SnapshotTable[[#This Row],[SP Strike Price]]), SnapshotTable[[#This Row],[SP Strike Price]] * (1 - SP_MaxLoss_StrikePct), "")</f>
        <v/>
      </c>
      <c r="CZ71" s="31" t="str">
        <f>IF(ISNUMBER(SnapshotTable[[#This Row],[SP Strike  Stop Per Share]]),SnapshotTable[[#This Row],[SP Premium]] - ((SnapshotTable[[#This Row],[SP Strike Price]]-SnapshotTable[[#This Row],[SP Strike  Stop Per Share]]) *(SnapshotTable[[#This Row],[SP Qty]] * 100)),"")</f>
        <v/>
      </c>
      <c r="DA71" s="4" t="str">
        <f>IF(AND(ISNUMBER(SnapshotTable[[#This Row],[SP Premium]]),SnapshotTable[[#This Row],[SP Premium]]&gt;0), SnapshotTable[[#This Row],[SP Book Price]] * (1 + SP_MaxLoss_OptionPct), "")</f>
        <v/>
      </c>
      <c r="DB71" s="31" t="str">
        <f>IF(ISNUMBER(SnapshotTable[[#This Row],[SP Option  Stop Contract]]),(SnapshotTable[[#This Row],[SP Option  Stop Contract]] *(SnapshotTable[[#This Row],[SP Qty]] * 100) - SnapshotTable[[#This Row],[SP Premium]]),"")</f>
        <v/>
      </c>
      <c r="DC71" s="4"/>
      <c r="DD71" s="4"/>
      <c r="DE71" s="4" t="str">
        <f>IF(AND(SnapshotTable[[#This Row],[SP Qty]]&gt;0, SnapshotTable[[#This Row],[SP Stop To Use]]&gt;0),SnapshotTable[[#This Row],[SP Premium]] - ( SnapshotTable[[#This Row],[SP Qty]] * SnapshotTable[[#This Row],[SP Stop To Use]] * 100), "")</f>
        <v/>
      </c>
      <c r="DF71" s="31" t="str">
        <f>IF(AND(SnapshotTable[[#This Row],[SP Qty]]&gt;0,SnapshotTable[[#This Row],[SP Current Ask]]&gt;0), SnapshotTable[[#This Row],[SP Qty]] * SnapshotTable[[#This Row],[SP Current Ask]] * -100, "")</f>
        <v/>
      </c>
      <c r="DG71" s="31" t="str">
        <f>IF(ISNUMBER((SnapshotTable[[#This Row],[SP Total Value]])), SnapshotTable[[#This Row],[SP Premium]] + SnapshotTable[[#This Row],[SP Total Value]], "")</f>
        <v/>
      </c>
      <c r="DH71" s="294" t="str">
        <f>IF(ISNUMBER((SnapshotTable[[#This Row],[SP Total Value]])), SnapshotTable[[#This Row],[SP Gain Loss]] / SnapshotTable[[#This Row],[SP Premium]], "")</f>
        <v/>
      </c>
      <c r="DI71" s="406"/>
      <c r="DJ71" s="138"/>
      <c r="DK71" s="148"/>
      <c r="DL71" s="13"/>
      <c r="DM71" s="13"/>
      <c r="DO71" s="31">
        <f>IF(SnapshotTable[[#This Row],[LC Symbol Count]]=1, SnapshotTable[[#This Row],[LC Qty]] * SnapshotTable[[#This Row],[LC Book Price]] * 100, 0)</f>
        <v>0</v>
      </c>
      <c r="DP71" s="163" t="str">
        <f>IF(AND(SnapshotTable[[#This Row],[LC Exp Date]]&gt;0, SnapshotTable[[#This Row],[LC Strike Price]]&gt;0,SnapshotTable[[#This Row],[LC Qty]]&gt;0,SnapshotTable[[#This Row],[LC Book Date]]&gt;0,SnapshotTable[[#This Row],[LC Book Price]]&gt;0,SnapshotTable[[#This Row],[LC Fill Date]]=0),"Y","")</f>
        <v/>
      </c>
      <c r="DQ71" s="386" t="str">
        <f>IF(SnapshotTable[[#This Row],[LC Premium]] &gt; 0,SnapshotTable[[#This Row],[LC Exp Date]]-MAX(SnapshotTable[[#This Row],[LC Book Date]], SnapshotTable[[#This Row],[LC Fill Date]]),"")</f>
        <v/>
      </c>
      <c r="DR71" s="386" t="str">
        <f>IF(ISNUMBER(SnapshotTable[[#This Row],[LC Term]]), SnapshotTable[[#This Row],[LC Exp Date]] - MockToday, "")</f>
        <v/>
      </c>
      <c r="DS71" s="234" t="str">
        <f>IF(SnapshotTable[[#This Row],[LC Premium]]&gt;0,SnapshotTable[[#This Row],[LC Strike Price]] + SnapshotTable[[#This Row],[LC Book Price]],"")</f>
        <v/>
      </c>
      <c r="DU71" s="9" t="str">
        <f>IF(AND(SnapshotTable[[#This Row],[LC Symbol Count]]&gt;0, SnapshotTable[[#This Row],[LC Contract Value]]&gt;0), SnapshotTable[[#This Row],[LC Contract Value]] * SnapshotTable[[#This Row],[LC Qty]] * 100, "")</f>
        <v/>
      </c>
      <c r="DV71" s="9" t="str">
        <f>IF(AND(ISNUMBER(SnapshotTable[[#This Row],[LC Total Value]]), SnapshotTable[[#This Row],[LC Not Filled]]&lt;&gt;"Y"), SnapshotTable[[#This Row],[LC Total Value]]-SnapshotTable[[#This Row],[LC Premium]],"")</f>
        <v/>
      </c>
      <c r="DW71" s="240" t="str">
        <f>IF(ISNUMBER(SnapshotTable[[#This Row],[LC Actual Gain Loss]]), SnapshotTable[[#This Row],[LC Actual Gain Loss]] / SnapshotTable[[#This Row],[LC Premium]],"")</f>
        <v/>
      </c>
      <c r="DX71" s="284" t="str">
        <f>IF(ISNUMBER(SnapshotTable[[#This Row],[LC Book Price]]),SnapshotTable[[#This Row],[LC Book Price]] * 1.5,"")</f>
        <v/>
      </c>
      <c r="DY71" s="265" t="str">
        <f>IF(SnapshotTable[[#This Row],[LC Premium]]&gt;0, SnapshotTable[[#This Row],[LC Next Target]] * SnapshotTable[[#This Row],[LC Qty]] * 100,"")</f>
        <v/>
      </c>
      <c r="DZ71" s="265" t="str">
        <f>IF(ISNUMBER(SnapshotTable[[#This Row],[LC Target Gross]]), SnapshotTable[[#This Row],[LC Target Gross]] - SnapshotTable[[#This Row],[LC Premium]], "")</f>
        <v/>
      </c>
      <c r="EA71" s="305" t="str">
        <f>IF(ISNUMBER(SnapshotTable[[#This Row],[LC Target Gain Loss]]), SnapshotTable[[#This Row],[LC Target Gain Loss]]/SnapshotTable[[#This Row],[LC Premium]], "")</f>
        <v/>
      </c>
      <c r="EB71" s="262"/>
      <c r="EC71" s="283" t="str">
        <f>IF(SnapshotTable[[#This Row],[LC Premium]]&gt;0, SnapshotTable[[#This Row],[LC Book Price]] * (1 - LC_StopLoss_Pct),"")</f>
        <v/>
      </c>
      <c r="ED71" s="284"/>
      <c r="EE71" s="283" t="str">
        <f>IF(ISNUMBER(SnapshotTable[[#This Row],[LC Contract Value]]),IF(ISNUMBER(SnapshotTable[[#This Row],[LC Stop Loss Override]]), SnapshotTable[[#This Row],[LC Stop Loss Override]],SnapshotTable[[#This Row],[LC Stop Loss Calc Target]]),"")</f>
        <v/>
      </c>
      <c r="EF71" s="31" t="str">
        <f>IF(ISNUMBER(SnapshotTable[[#This Row],[LC Stop  To Use]]), (SnapshotTable[[#This Row],[LC Stop  To Use]] * SnapshotTable[[#This Row],[LC Qty]] * 100),"")</f>
        <v/>
      </c>
      <c r="EG71" s="9" t="str">
        <f>IF(ISNUMBER(SnapshotTable[[#This Row],[LC Total Value]]),SnapshotTable[[#This Row],[LC Stop Loss Amount]] - SnapshotTable[[#This Row],[LC Premium]],"")</f>
        <v/>
      </c>
      <c r="EH71" s="9">
        <f>IF(ISNUMBER(SnapshotTable[[#This Row],[LC Premium]]), SnapshotTable[[#This Row],[LC Qty]] * 100 * SnapshotTable[[#This Row],[LC Strike Price]], "")</f>
        <v>0</v>
      </c>
      <c r="EI71" s="240" t="str">
        <f>IF(AND(ISNUMBER(SnapshotTable[[#This Row],[LC Total Value]]),SnapshotTable[[#This Row],[LC Total Value]]&gt;0),SnapshotTable[[#This Row],[LC Stop Gain Loss]]  / SnapshotTable[[#This Row],[LC Premium]],"")</f>
        <v/>
      </c>
      <c r="EJ71" s="35">
        <f>IF(ISNUMBER(SnapshotTable[[#This Row],[Equity Shares]]),TRUNC(SnapshotTable[[#This Row],[Equity Shares]] / 100),0) + SnapshotTable[[#This Row],[LC Qty]]</f>
        <v>0</v>
      </c>
      <c r="EK71" s="147"/>
      <c r="EL71" s="138" t="str">
        <f>IF(SnapshotTable[[#This Row],[SC Exp Date]]&lt;&gt;"",TRUNC(SnapshotTable[[#This Row],[Last Price]]),"")</f>
        <v/>
      </c>
      <c r="EM71" s="148"/>
      <c r="EN71" s="147"/>
      <c r="EO71" s="147"/>
      <c r="EP71" s="138"/>
      <c r="EQ71" s="419" t="b">
        <f>AND(ISNUMBER(SnapshotTable[[#This Row],[SC Exp Date]]), ISNUMBER(SnapshotTable[[#This Row],[SC Strike Price]]), ISNUMBER(SnapshotTable[[#This Row],[SC Qty]]), ISNUMBER(SnapshotTable[[#This Row],[SC Book Date]]), ISNUMBER(SnapshotTable[[#This Row],[SC Book Price]]))</f>
        <v>0</v>
      </c>
      <c r="ER71" s="419" t="b">
        <f>AND(SnapshotTable[[#This Row],[SC Is Booked]], NOT(ISBLANK(SnapshotTable[[#This Row],[SC Fill Date]])))</f>
        <v>0</v>
      </c>
      <c r="ES71" s="370"/>
      <c r="ET71" s="34" t="str">
        <f>IF(AND(ISNUMBER(SnapshotTable[[#This Row],[SC Exp Date]]), ISNUMBER(SnapshotTable[[#This Row],[SC Book Date]])), SnapshotTable[[#This Row],[SC Exp Date]] - MAX(SnapshotTable[[#This Row],[SC Book Date]], SnapshotTable[[#This Row],[SC Fill Date]]) + 1, "")</f>
        <v/>
      </c>
      <c r="EU71" s="34" t="str">
        <f>IF(ISNUMBER(SnapshotTable[[#This Row],[SC Term]]), SnapshotTable[[#This Row],[SC Exp Date]]- MockToday, "")</f>
        <v/>
      </c>
      <c r="EV71" s="31">
        <f>IF(SnapshotTable[[#This Row],[SC Is Booked]], SnapshotTable[[#This Row],[SC Qty]] * SnapshotTable[[#This Row],[SC Book Price]] * 100, 0)</f>
        <v>0</v>
      </c>
      <c r="EW71" s="4" t="str">
        <f>IF(AND(ISNUMBER(SnapshotTable[[#This Row],[Last Price]]), ISNUMBER( SnapshotTable[[#This Row],[SC Book Price]])), SnapshotTable[[#This Row],[Last Price]] - SnapshotTable[[#This Row],[SC Book Price]],"")</f>
        <v/>
      </c>
      <c r="EX71" s="234" t="str">
        <f>IF(SnapshotTable[[#This Row],[SC Is Booked]],IF(SnapshotTable[[#This Row],[SC Intrinsic Value]] &gt; 0, SnapshotTable[[#This Row],[SC Strike Price]], SnapshotTable[[#This Row],[Last Price]]), "")</f>
        <v/>
      </c>
      <c r="EY71" s="4">
        <f>IF(SnapshotTable[[#This Row],[SC Is Booked]], (MinimumPremiumRequired * SnapshotTable[[#This Row],[SC Basis]] * SnapshotTable[[#This Row],[SC Term]]), 0)</f>
        <v>0</v>
      </c>
      <c r="EZ71" s="283"/>
      <c r="FA71" s="218"/>
      <c r="FB71" s="370"/>
      <c r="FC71" s="4">
        <f>IF(SnapshotTable[[#This Row],[SC Is Filled]], btc_max_buyback_amount(SnapshotTable[[#This Row],[SC Fill Date]],SnapshotTable[[#This Row],[SC Exp Date]], SnapshotTable[[#This Row],[SC Book Price]]),0)</f>
        <v>0</v>
      </c>
      <c r="FD71" s="5"/>
      <c r="FE71" s="144" t="str">
        <f>IF(SnapshotTable[[#This Row],[SC Is Filled]], btc_next_cutoff_date(SnapshotTable[[#This Row],[SC Fill Date]],SnapshotTable[[#This Row],[SC Exp Date]]),"")</f>
        <v/>
      </c>
      <c r="FF71" s="4" t="str" cm="1">
        <f t="array" ref="FF71">IF(SnapshotTable[[#This Row],[SC Is Filled]], btc_should_buy_back(SnapshotTable[[#This Row],[SC Fill Date]], SnapshotTable[[#This Row],[SC Exp Date]], SnapshotTable[[#This Row],[SC Book Price]], SnapshotTable[[#This Row],[SC Current Ask]], MockToday, SnapshotTable[[#This Row],[SC Buyback Override]]),"")</f>
        <v/>
      </c>
      <c r="FG71" s="4">
        <f>IF(SnapshotTable[[#This Row],[SC Is Filled]], MAX(0,SnapshotTable[[#This Row],[Last Price]]  - SnapshotTable[[#This Row],[SC Strike Price]]), 0)</f>
        <v>0</v>
      </c>
      <c r="FH71" s="382">
        <f>IF(SnapshotTable[[#This Row],[SC Is Filled]], IF(ISNUMBER(SnapshotTable[[#This Row],[SC Current Ask]]), SnapshotTable[[#This Row],[SC Current Ask]], SnapshotTable[[#This Row],[SC Book Price]]) - SnapshotTable[[#This Row],[SC Intrinsic Value]], 0)</f>
        <v>0</v>
      </c>
      <c r="FI71" s="143"/>
      <c r="FJ71" s="32" t="str">
        <f>IF(SnapshotTable[[#This Row],[SC Is Filled]],100 * SnapshotTable[[#This Row],[SC Qty]] * IF(ISNUMBER(SnapshotTable[[#This Row],[SC Buyback Override]]), SnapshotTable[[#This Row],[SC Buyback Override]], SnapshotTable[[#This Row],[SC Current Ask]]), "")</f>
        <v/>
      </c>
      <c r="FK71" s="250" t="str">
        <f>IF(SnapshotTable[[#This Row],[SC Time Val]]&gt;0, SnapshotTable[[#This Row],[SC Time Val]] / SnapshotTable[[#This Row],[Last Price]],"")</f>
        <v/>
      </c>
      <c r="FL71" s="302" t="str">
        <f>IF(SnapshotTable[[#This Row],[SC Is Booked]], ((SnapshotTable[[#This Row],[Last Price]] -SnapshotTable[[#This Row],[SC Strike Price]]) / SnapshotTable[[#This Row],[Last Price]]) * -1, "")</f>
        <v/>
      </c>
      <c r="FM71" s="157" t="str">
        <f>IF(SnapshotTable[[#This Row],[SC Is Booked]],  (SnapshotTable[[#This Row],[SC Qty]] * 100 * SnapshotTable[[#This Row],[SC Strike Price]]) - SnapshotTable[[#This Row],[SC Current Ask]], "")</f>
        <v/>
      </c>
      <c r="FN7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1" s="31" t="str">
        <f>IF(AND(ISNUMBER(SnapshotTable[[#This Row],[SC Exercise Gross]]), ISNUMBER(SnapshotTable[[#This Row],[Equity Basis Per Share]] )), SnapshotTable[[#This Row],[SC Exercise Gross]] - SnapshotTable[[#This Row],[Equity Basis Total]] +  SnapshotTable[[#This Row],[SC Premium]], "")</f>
        <v/>
      </c>
      <c r="FP71" s="5" t="str">
        <f>IF(ISNUMBER(SnapshotTable[[#This Row],[SC Exercise Gross]]), (SnapshotTable[[#This Row],[SC Exercise Gross]]) / (SnapshotTable[[#This Row],[SC Qty]] * 100), "")</f>
        <v/>
      </c>
      <c r="FQ71" s="27" t="str">
        <f>IF(SnapshotTable[[#This Row],[SC Is Booked]],SnapshotTable[[#This Row],[SC Time Val]] /SnapshotTable[[#This Row],[SC Basis]], "")</f>
        <v/>
      </c>
      <c r="FR71" s="27" t="str" cm="1">
        <f t="array" ref="FR71">IF(AND(ISNUMBER(SnapshotTable[[#This Row],[SC Term]]),ISNUMBER(SnapshotTable[[#This Row],[SC Simple ROO]])), EllmanAnnualize(SnapshotTable[[#This Row],[SC DTE]], SnapshotTable[[#This Row],[SC Simple ROO]] ),"")</f>
        <v/>
      </c>
      <c r="FS71" s="4" t="e">
        <f>IF(SnapshotTable[[#This Row],[SC Strike Price]] &gt; SnapshotTable[[#This Row],[Last Price]], SnapshotTable[[#This Row],[SC Strike Price]] - SnapshotTable[[#This Row],[Last Price]],0)</f>
        <v>#VALUE!</v>
      </c>
      <c r="FT71" s="27" t="e">
        <f>IF(AND(ISNUMBER(SnapshotTable[[#This Row],[SC Upside Potential]]), SnapshotTable[[#This Row],[SC Upside Potential]] &gt; 0),(SnapshotTable[[#This Row],[SC Upside Potential]]/ SnapshotTable[[#This Row],[ACB]]),"")</f>
        <v>#VALUE!</v>
      </c>
      <c r="FU71" s="333" t="str">
        <f>IF(SnapshotTable[[#This Row],[SC Intrinsic Value]] &gt; 0,SnapshotTable[[#This Row],[SC Intrinsic Value]],"")</f>
        <v/>
      </c>
      <c r="FV71" s="27" t="str">
        <f>IF(AND( ISNUMBER( SnapshotTable[[#This Row],[ACB]]),ISNUMBER(SnapshotTable[[#This Row],[SC Downside Protect]])),SnapshotTable[[#This Row],[SC Downside Protect]] / SnapshotTable[[#This Row],[ACB]],"")</f>
        <v/>
      </c>
      <c r="FW71" s="236" t="str">
        <f>IF(AND(ISNUMBER(SnapshotTable[[#This Row],[SC Simple ROO]]),SnapshotTable[[#This Row],[SC Simple ROO]] &gt; 0), SnapshotTable[[#This Row],[SC Premium]] + (SnapshotTable[[#This Row],[SC Qty]] * SnapshotTable[[#This Row],[SC Upside Potential]]), "")</f>
        <v/>
      </c>
      <c r="FX71" s="302" t="str" cm="1">
        <f t="array" ref="FX71">IF(ISNUMBER(SnapshotTable[[#This Row],[SC Max Dollars]]), annualize(SnapshotTable[[#This Row],[SC Term]],(SnapshotTable[[#This Row],[SC Max Dollars]]/SnapshotTable[[#This Row],[SC Basis]])),"")</f>
        <v/>
      </c>
      <c r="FY71" s="236" t="str">
        <f>IF(AND(SnapshotTable[[#This Row],[SC Qty]]&gt;0,SnapshotTable[[#This Row],[SC Current Ask]]&gt;0), SnapshotTable[[#This Row],[SC Qty]] * SnapshotTable[[#This Row],[SC Current Ask]] * -100, "")</f>
        <v/>
      </c>
      <c r="FZ71" s="31" t="str">
        <f>IF(ISNUMBER((SnapshotTable[[#This Row],[SC Current Value]])), SnapshotTable[[#This Row],[SC Premium]] + SnapshotTable[[#This Row],[SC Current Value]], "")</f>
        <v/>
      </c>
      <c r="GA71" s="294" t="str">
        <f>IFERROR( IF(ISNUMBER((SnapshotTable[[#This Row],[SC Current Value]])), SnapshotTable[[#This Row],[SC Gain Loss]] / SnapshotTable[[#This Row],[SC Premium]], ""), "")</f>
        <v/>
      </c>
      <c r="GB71" s="42">
        <f>SnapshotTable[[#This Row],[Equity Shares]] * SaleSharesToConsiderPercentage</f>
        <v>0</v>
      </c>
      <c r="GC71" s="40">
        <f>SnapshotTable[[#This Row],[Long Term Target]] * SellingPriceToConsiderBasedOnTargetPercentage</f>
        <v>80.968500000000006</v>
      </c>
      <c r="GD71" s="40">
        <f>SnapshotTable[[#This Row],[Last Price]] * (1+ SellingPriceToConsiderBasedOnTargetPercentage)</f>
        <v>257.88749999999999</v>
      </c>
      <c r="GE71" s="41"/>
      <c r="GF71" s="40"/>
      <c r="GG71" s="31">
        <f>SnapshotTable[[#This Row],[Booked Sale Shares]] * SnapshotTable[[#This Row],[Booked Sale Price]]</f>
        <v>0</v>
      </c>
      <c r="GH71" s="31" t="str">
        <f>IF(SnapshotTable[[#This Row],[Equity Basis Total]] &gt; 0, SnapshotTable[[#This Row],[Equity Basis Per Share]] * SnapshotTable[[#This Row],[Booked Sale Shares]], "")</f>
        <v/>
      </c>
      <c r="GI71" s="31">
        <f>IF(SnapshotTable[[#This Row],[Sale Proceeds]]&gt;0, SnapshotTable[[#This Row],[Sale Proceeds]] - SnapshotTable[[#This Row],[Sale Basis]], 0)</f>
        <v>0</v>
      </c>
      <c r="GJ71" s="27" t="str">
        <f>IF(SnapshotTable[[#This Row],[Sale G/L]]&gt;0, SnapshotTable[[#This Row],[Sale G/L]] / SnapshotTable[[#This Row],[Sale Basis]], IF(ISNUMBER(SnapshotTable[[#This Row],[SC Exercise P&amp;L (TAX)]]), SnapshotTable[[#This Row],[SC Exercise P&amp;L (TAX)]] / SnapshotTable[[#This Row],[SC Basis]], ""))</f>
        <v/>
      </c>
      <c r="GK71" s="27" t="s">
        <v>617</v>
      </c>
      <c r="GL71" s="43" t="str">
        <f>IF(AND(SnapshotTable[[#This Row],[LP Exp Date]]&gt;0,SnapshotTable[[#This Row],[LP Strike Price]]&gt;0), [1]!ToOptionSymbol(SnapshotTable[[#This Row],[Symbol]], SnapshotTable[[#This Row],[LP Strike Price]],SnapshotTable[[#This Row],[LP Exp Date]],1), "")</f>
        <v/>
      </c>
      <c r="GM71" s="30" t="str">
        <f>IF(LEN(SnapshotTable[[#This Row],[LP Symbol]])&gt;0, 1, "")</f>
        <v/>
      </c>
      <c r="GN71" s="43" t="str">
        <f>IF(AND(SnapshotTable[[#This Row],[SP Exp Date]]&gt;0,SnapshotTable[[#This Row],[SP Strike Price]]&gt;0), [1]!ToOptionSymbol(SnapshotTable[[#This Row],[Symbol]], SnapshotTable[[#This Row],[SP Strike Price]],SnapshotTable[[#This Row],[SP Exp Date]],1), "")</f>
        <v/>
      </c>
      <c r="GO71" s="30" t="str">
        <f>IF(LEN(SnapshotTable[[#This Row],[SP Symbol]])&gt;0, 1, "")</f>
        <v/>
      </c>
      <c r="GP71" s="43" t="str">
        <f>IF(AND(SnapshotTable[[#This Row],[LC Exp Date]]&gt;0,SnapshotTable[[#This Row],[LC Strike Price]]&gt;0), [1]!ToOptionSymbol(SnapshotTable[[#This Row],[Symbol]], SnapshotTable[[#This Row],[LC Strike Price]],SnapshotTable[[#This Row],[LC Exp Date]],0), "")</f>
        <v/>
      </c>
      <c r="GQ71" s="30" t="str">
        <f>IF(LEN(SnapshotTable[[#This Row],[LC Symbol]])&gt;0, 1, "")</f>
        <v/>
      </c>
      <c r="GR71" s="43" t="str">
        <f>IF(AND(SnapshotTable[[#This Row],[SC Exp Date]]&gt;0,SnapshotTable[[#This Row],[SC Strike Price]]&gt;0), [1]!ToOptionSymbol(SnapshotTable[[#This Row],[Symbol]], SnapshotTable[[#This Row],[SC Strike Price]],SnapshotTable[[#This Row],[SC Exp Date]],0), "")</f>
        <v/>
      </c>
      <c r="GS71" s="30" t="str">
        <f>IF(LEN(SnapshotTable[[#This Row],[SC Symbol]])&gt;0, 1, "")</f>
        <v/>
      </c>
      <c r="GT71" s="29" t="str">
        <f>IF(COUNT(SnapshotTable[[#This Row],[LP Symbol Count]],SnapshotTable[[#This Row],[SP Symbol Count]],SnapshotTable[[#This Row],[LC Symbol Count]],SnapshotTable[[#This Row],[SC Symbol Count]])&gt;0, "Y", "")</f>
        <v/>
      </c>
      <c r="GU7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1" s="231" t="e">
        <f>MAX(SnapshotTable[[#This Row],[Equity Basis Total]],SnapshotTable[[#This Row],[Equity Value]]) + (SnapshotTable[[#This Row],[SP Potential Spend]]- SnapshotTable[[#This Row],[SP Premium]] + SnapshotTable[[#This Row],[LP Premium]])+ (SnapshotTable[[#This Row],[LC Premium]] - SnapshotTable[[#This Row],[SC Premium]])</f>
        <v>#VALUE!</v>
      </c>
      <c r="GW71" s="139" t="e">
        <f>IF(AND(SnapshotTable[[#This Row],[Exposure]] &lt;&gt; 0),SnapshotTable[[#This Row],[Exposure]] / SnapshotTable[[#Totals],[Exposure]], "")</f>
        <v>#VALUE!</v>
      </c>
      <c r="HE71" s="268"/>
      <c r="HF71" s="268"/>
      <c r="HK71" s="1"/>
      <c r="HL71" s="1"/>
      <c r="HM71" s="1"/>
      <c r="HN71" s="1"/>
      <c r="HO71" s="1"/>
      <c r="HP71" s="1"/>
    </row>
    <row r="72" spans="2:224" ht="12.75" hidden="1" customHeight="1" x14ac:dyDescent="0.25">
      <c r="B72" s="12" t="s">
        <v>67</v>
      </c>
      <c r="C72" s="422">
        <v>164.36</v>
      </c>
      <c r="D72" s="208"/>
      <c r="E72" s="39">
        <f>SnapshotTable[[#This Row],[Last Price]]*(1 -CrashDiscount)</f>
        <v>139.70600000000002</v>
      </c>
      <c r="F72" s="26" t="s">
        <v>66</v>
      </c>
      <c r="G72" s="26" t="s">
        <v>14</v>
      </c>
      <c r="H72" s="149"/>
      <c r="I72" s="194">
        <v>44774.666666666664</v>
      </c>
      <c r="J72" s="195">
        <v>44774.666666666664</v>
      </c>
      <c r="K72" s="196"/>
      <c r="L72" s="326"/>
      <c r="M72" s="140"/>
      <c r="N72" s="140"/>
      <c r="O72" s="140"/>
      <c r="P72" s="22"/>
      <c r="Q72" s="25"/>
      <c r="R72" s="4" t="str">
        <f>IF(SnapshotTable[[#This Row],[Equity Basis Total]] &gt; 0, SnapshotTable[[#This Row],[Equity Basis Total]] / SnapshotTable[[#This Row],[Equity Shares]], "")</f>
        <v/>
      </c>
      <c r="S72" s="269">
        <f>SnapshotTable[[#This Row],[Last Price]] * SnapshotTable[[#This Row],[Equity Shares]]</f>
        <v>0</v>
      </c>
      <c r="T72" s="269">
        <f>SnapshotTable[[#This Row],[Equity Value]] - SnapshotTable[[#This Row],[Equity Basis Total]]</f>
        <v>0</v>
      </c>
      <c r="U72" s="270" t="str">
        <f>IF(SnapshotTable[[#This Row],[Equity Basis Total]] &gt; 0, SnapshotTable[[#This Row],[Equity G/L]] / SnapshotTable[[#This Row],[Equity Basis Total]], "")</f>
        <v/>
      </c>
      <c r="V72" s="268"/>
      <c r="W72" s="268"/>
      <c r="X72" s="4" t="str">
        <f>IF(AND(ISNUMBER(SnapshotTable[[#This Row],[Equity Basis Per Share]]),ISNUMBER(SnapshotTable[[#This Row],[Equity Target]])),SnapshotTable[[#This Row],[Equity Target]]-SnapshotTable[[#This Row],[Equity Basis Per Share]],"")</f>
        <v/>
      </c>
      <c r="Y72" s="4" t="str">
        <f>IF(AND(ISNUMBER(SnapshotTable[[#This Row],[Equity Basis Per Share]]),ISNUMBER(SnapshotTable[[#This Row],[Equity Stop Loss]])),SnapshotTable[[#This Row],[Equity Stop Loss]]-SnapshotTable[[#This Row],[Equity Basis Per Share]],"")</f>
        <v/>
      </c>
      <c r="Z72" s="275" t="str">
        <f>IFERROR( TEXT(SnapshotTable[[#This Row],[Equity Max Gain Per Share]] /ABS( SnapshotTable[[#This Row],[Equity Max Loss Per Share]]),"0.0 " ) &amp; " : 1", "")</f>
        <v/>
      </c>
      <c r="AA72" s="31" t="str">
        <f>IF(ISNUMBER(SnapshotTable[[#This Row],[Equity Max Gain Per Share]]),SnapshotTable[[#This Row],[Equity Max Gain Per Share]] * SnapshotTable[[#This Row],[Equity Shares]],"")</f>
        <v/>
      </c>
      <c r="AB72" s="31" t="str">
        <f>IF(ISNUMBER(SnapshotTable[[#This Row],[Equity Max Loss Per Share]]),SnapshotTable[[#This Row],[Equity Max Loss Per Share]] * SnapshotTable[[#This Row],[Equity Shares]],"")</f>
        <v/>
      </c>
      <c r="AC72" s="150">
        <v>0</v>
      </c>
      <c r="AD72" s="151" t="s">
        <v>2</v>
      </c>
      <c r="AE72" s="31">
        <f>(SnapshotTable[[#This Row],[Annual Dividend Per Share]] / 4) * SnapshotTable[[#This Row],[Equity Shares]]</f>
        <v>0</v>
      </c>
      <c r="AF72" s="31">
        <f>SnapshotTable[[#This Row],[Quarterly Div $]] * 4</f>
        <v>0</v>
      </c>
      <c r="AG72" s="7">
        <f>IF(SnapshotTable[[#This Row],[Annual Dividend Per Share]]&gt;0, SnapshotTable[[#This Row],[Annual Dividend Per Share]]  / SnapshotTable[[#This Row],[Last Price]], 0)</f>
        <v>0</v>
      </c>
      <c r="AH72" s="151">
        <v>38769</v>
      </c>
      <c r="AI72" s="5"/>
      <c r="AJ72" s="138">
        <v>51.5</v>
      </c>
      <c r="AK72" s="152" t="str">
        <f>IF(ISNUMBER( SnapshotTable[[#This Row],[EBF Target]]),(SnapshotTable[[#This Row],[EBF Target]] - SnapshotTable[[#This Row],[Last Price]]) / SnapshotTable[[#This Row],[Last Price]], "")</f>
        <v/>
      </c>
      <c r="AL72" s="152" t="str">
        <f>IF(AND(SnapshotTable[[#This Row],[Equity Basis Total]] &gt; 0,ISNUMBER( SnapshotTable[[#This Row],[Long Term Target]])), SnapshotTable[[#This Row],[From Basis $]] / SnapshotTable[[#This Row],[Equity Basis Total]], "")</f>
        <v/>
      </c>
      <c r="AM72" s="9">
        <f>IF( AND(SnapshotTable[[#This Row],[Equity Shares]] &gt;0,ISNUMBER( SnapshotTable[[#This Row],[Long Term Target]])),(SnapshotTable[[#This Row],[Equity Shares]] * SnapshotTable[[#This Row],[Long Term Target]]) - SnapshotTable[[#This Row],[Equity Basis Total]],0)</f>
        <v>0</v>
      </c>
      <c r="AN72" s="9">
        <f>IF( AND(SnapshotTable[[#This Row],[Equity Shares]] &gt;0,ISNUMBER( SnapshotTable[[#This Row],[Long Term Target]])),(SnapshotTable[[#This Row],[Equity Shares]]*SnapshotTable[[#This Row],[Long Term Target]]) - SnapshotTable[[#This Row],[Equity Value]],0)</f>
        <v>0</v>
      </c>
      <c r="AO72" s="152">
        <f>IF(AND(ISNUMBER( SnapshotTable[[#This Row],[Long Term Target]]), ISNUMBER(SnapshotTable[[#This Row],[Last Price]])),(SnapshotTable[[#This Row],[Long Term Target]] - SnapshotTable[[#This Row],[Last Price]]) / SnapshotTable[[#This Row],[Last Price]], "")</f>
        <v>-0.68666342175711859</v>
      </c>
      <c r="AP72" s="5"/>
      <c r="AQ72" s="38"/>
      <c r="AR72" s="5"/>
      <c r="AS72" s="38"/>
      <c r="AT72" s="146"/>
      <c r="AU72" s="187" t="str">
        <f>IF(OR(SnapshotTable[[#This Row],[LP No Fill]]="Y",SnapshotTable[[#This Row],[SP Is Filled]],SnapshotTable[[#This Row],[LC Not Filled]]="Y",SnapshotTable[[#This Row],[SC Is Filled]]),"Y","")</f>
        <v/>
      </c>
      <c r="AV72" s="219"/>
      <c r="AW72" s="225"/>
      <c r="AX72" s="220"/>
      <c r="AY72" s="219" t="str">
        <f>IF(SnapshotTable[[#This Row],[Implied Move]]&gt;0, SnapshotTable[[#This Row],[Last Price]]-SnapshotTable[[#This Row],[Implied Move]],"")</f>
        <v/>
      </c>
      <c r="AZ72" s="219" t="str">
        <f>IF(SnapshotTable[[#This Row],[Implied Move]]&gt;0, SnapshotTable[[#This Row],[Last Price]] + SnapshotTable[[#This Row],[Implied Move]],"")</f>
        <v/>
      </c>
      <c r="BA72" s="331"/>
      <c r="BB72" s="347"/>
      <c r="BC7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2" s="351"/>
      <c r="BE72" s="5"/>
      <c r="BF72" s="14"/>
      <c r="BG72" s="13"/>
      <c r="BH72" s="13"/>
      <c r="BI72" s="5"/>
      <c r="BJ72" s="136">
        <f>IF(SnapshotTable[[#This Row],[LP Qty]] &gt; 0, SnapshotTable[[#This Row],[LP Qty]] * SnapshotTable[[#This Row],[LP Book Price]] * 100,0)</f>
        <v>0</v>
      </c>
      <c r="BK72" s="136">
        <f>IF(SnapshotTable[[#This Row],[LP Premium]] &gt; 0, SnapshotTable[[#This Row],[LP Qty]] * SnapshotTable[[#This Row],[LP Strike Price]] * 100,0)</f>
        <v>0</v>
      </c>
      <c r="BL72" s="154"/>
      <c r="BM72" s="385" t="str">
        <f>IF(SnapshotTable[[#This Row],[LP Premium]] &gt; 0,SnapshotTable[[#This Row],[LP Exp Date]]-MAX(SnapshotTable[[#This Row],[LP Book Date]], SnapshotTable[[#This Row],[LP Fill Date]]),"")</f>
        <v/>
      </c>
      <c r="BN72" s="385" t="str">
        <f>IF(ISNUMBER( SnapshotTable[[#This Row],[LP Term]]), SnapshotTable[[#This Row],[LP Exp Date]] - MockToday,"")</f>
        <v/>
      </c>
      <c r="BO72" s="163" t="str">
        <f>IF(AND(SnapshotTable[[#This Row],[LP Exp Date]]&gt;0, SnapshotTable[[#This Row],[LP Strike Price]]&gt;0,SnapshotTable[[#This Row],[LP Qty]]&gt;0,SnapshotTable[[#This Row],[LP Book Date]]&gt;0,SnapshotTable[[#This Row],[LP Book Price]]&gt;0,SnapshotTable[[#This Row],[LP Fill Date]]=0),"Y","")</f>
        <v/>
      </c>
      <c r="BP72" s="31" t="str">
        <f>IF(AND(SnapshotTable[[#This Row],[LP No Fill]]&lt;&gt;"Y",SnapshotTable[[#This Row],[LP Contract Value]]&gt;0, SnapshotTable[[#This Row],[LP Qty]]&gt;0), SnapshotTable[[#This Row],[LP Contract Value]]*SnapshotTable[[#This Row],[LP Qty]]*100,"")</f>
        <v/>
      </c>
      <c r="BQ72" s="13"/>
      <c r="BR72" s="5" t="str">
        <f>IF(SnapshotTable[[#This Row],[SP Exp Date]]&lt;&gt;"",TRUNC(SnapshotTable[[#This Row],[Last Price]]),"")</f>
        <v/>
      </c>
      <c r="BS72" s="36"/>
      <c r="BT72" s="147"/>
      <c r="BU72" s="13"/>
      <c r="BV72" s="5"/>
      <c r="BW72" s="419" t="b">
        <f>AND(ISNUMBER(SnapshotTable[[#This Row],[SP Exp Date]]), ISNUMBER(SnapshotTable[[#This Row],[SP Strike Price]]), ISNUMBER(SnapshotTable[[#This Row],[SP Qty]]), ISNUMBER(SnapshotTable[[#This Row],[SP Book Date]]), ISNUMBER(SnapshotTable[[#This Row],[SP Book Price]]))</f>
        <v>0</v>
      </c>
      <c r="BX72" s="419" t="b">
        <f>AND(SnapshotTable[[#This Row],[SP Is Booked]], NOT(ISBLANK(SnapshotTable[[#This Row],[SP Fill Date]])))</f>
        <v>0</v>
      </c>
      <c r="BY72" s="33">
        <f>IF(SnapshotTable[[#This Row],[SP Is Booked]], SnapshotTable[[#This Row],[SP Qty]] * SnapshotTable[[#This Row],[SP Book Price]] * 100, 0)</f>
        <v>0</v>
      </c>
      <c r="BZ72" s="369"/>
      <c r="CA72" s="368">
        <f>SnapshotTable[[#This Row],[LP Qty]]</f>
        <v>0</v>
      </c>
      <c r="CB72" s="4" t="str">
        <f>IF(SnapshotTable[[#This Row],[SP Is Booked]], SnapshotTable[[#This Row],[SP Strike Price]] - SnapshotTable[[#This Row],[SP Book Price]], "")</f>
        <v/>
      </c>
      <c r="CC72" s="19" t="str">
        <f>IF(SnapshotTable[[#This Row],[SP Is Booked]],SnapshotTable[[#This Row],[SP Exp Date]]-MAX(SnapshotTable[[#This Row],[SP Book Date]], SnapshotTable[[#This Row],[SP Fill Date]]),"")</f>
        <v/>
      </c>
      <c r="CD72" s="7" t="str">
        <f>IF(SnapshotTable[[#This Row],[SP Is Booked]], SnapshotTable[[#This Row],[SP Book Price]]/SnapshotTable[[#This Row],[SP Strike Price]], "")</f>
        <v/>
      </c>
      <c r="CE72" s="7" t="str">
        <f>IF(ISNUMBER(SnapshotTable[[#This Row],[SP ROO Term]]),SnapshotTable[[#This Row],[SP ROO Term]]*(365/SnapshotTable[[#This Row],[SP Term]]),"")</f>
        <v/>
      </c>
      <c r="CF72" s="236">
        <f>SnapshotTable[[#This Row],[LP Strike Price]] * SnapshotTable[[#This Row],[LP Qty]] * 100</f>
        <v>0</v>
      </c>
      <c r="CG72" s="31" t="e">
        <f>IF(ISNUMBER(SnapshotTable[[#This Row],[SP Premium]]), (SnapshotTable[[#This Row],[SP Qty]] * SnapshotTable[[#This Row],[SP Strike Price]]* 100) - SnapshotTable[[#This Row],[LP Protection]], 0)</f>
        <v>#VALUE!</v>
      </c>
      <c r="CH72" s="7" t="str">
        <f>IF(ISNUMBER(SnapshotTable[[#This Row],[SP Break Even]]),-1 * (SnapshotTable[[#This Row],[SP Break Even]] - SnapshotTable[[#This Row],[Last Price]]) / SnapshotTable[[#This Row],[Last Price]], "")</f>
        <v/>
      </c>
      <c r="CI72" s="31">
        <f>IF(AND(ISNUMBER((SnapshotTable[[#This Row],[SP Potential Spend]])), SnapshotTable[[#This Row],[SP Strike Price]] &gt; SnapshotTable[[#This Row],[Last Price]], SnapshotTable[[#This Row],[SP Is Filled]]), SnapshotTable[[#This Row],[SP Potential Spend]] -  SnapshotTable[[#This Row],[LP Max Value]], 0)</f>
        <v>0</v>
      </c>
      <c r="CJ72" s="244"/>
      <c r="CK72" s="31" t="str">
        <f>IF(ISNUMBER(SnapshotTable[[#This Row],[SP Potential Spend]]),IF(ISNUMBER(SnapshotTable[[#This Row],[SP POW]]), SnapshotTable[[#This Row],[SP POW]] * SnapshotTable[[#This Row],[SP Potential Spend]], SnapshotTable[[#This Row],[SP Potential Spend]]), "")</f>
        <v/>
      </c>
      <c r="CL72" s="164" t="e">
        <f>IF(NOT(SnapshotTable[[#This Row],[SP Is Filled]]),(SnapshotTable[[#This Row],[SP Qty]] * SnapshotTable[[#This Row],[SP Strike Price]] * 100) - SnapshotTable[[#This Row],[LP Max Value]],"")</f>
        <v>#VALUE!</v>
      </c>
      <c r="CM72" s="31" t="str">
        <f>IF(SnapshotTable[[#This Row],[SP Actual Spend]]&lt;&gt;0, ((SnapshotTable[[#This Row],[SP Strike Price]]-SnapshotTable[[#This Row],[Last Price]]) *(SnapshotTable[[#This Row],[SP Qty]]*100) - SnapshotTable[[#This Row],[SP Premium]]) * - 1, "")</f>
        <v/>
      </c>
      <c r="CN72" s="78"/>
      <c r="CO72" s="369"/>
      <c r="CP72" s="4" t="str">
        <f>IF(SnapshotTable[[#This Row],[SP Is Filled]], btc_max_buyback_amount(SnapshotTable[[#This Row],[SP Fill Date]],SnapshotTable[[#This Row],[SP Exp Date]], SnapshotTable[[#This Row],[SP Book Price]]),"")</f>
        <v/>
      </c>
      <c r="CQ72" s="78"/>
      <c r="CR7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2" s="155" t="str">
        <f>IF(SnapshotTable[[#This Row],[SP Is Filled]], btc_next_cutoff_date(SnapshotTable[[#This Row],[SP Fill Date]],SnapshotTable[[#This Row],[SP Exp Date]]),"")</f>
        <v/>
      </c>
      <c r="CT72" s="235" t="str" cm="1">
        <f t="array" ref="CT72">IF(SnapshotTable[[#This Row],[SP Is Filled]], btc_should_buy_back(SnapshotTable[[#This Row],[SP Fill Date]], SnapshotTable[[#This Row],[SP Exp Date]], SnapshotTable[[#This Row],[SP Book Price]], SnapshotTable[[#This Row],[SP Current Ask]], MockToday, SnapshotTable[[#This Row],[SP Buyback Override]]),"")</f>
        <v/>
      </c>
      <c r="CU72" s="143"/>
      <c r="CV72" s="235"/>
      <c r="CW72" s="378" t="str">
        <f>IF(ISNUMBER( SnapshotTable[[#This Row],[SP Term]]), SnapshotTable[[#This Row],[SP Exp Date]] - MockToday,"")</f>
        <v/>
      </c>
      <c r="CX72" s="31" t="str">
        <f>IF(SnapshotTable[[#This Row],[SP Is Filled]],SnapshotTable[[#This Row],[SP Buyback Price to Use]] * 100 * SnapshotTable[[#This Row],[SP Qty]], "")</f>
        <v/>
      </c>
      <c r="CY72" s="4" t="str">
        <f>IF(ISNUMBER(SnapshotTable[[#This Row],[SP Strike Price]]), SnapshotTable[[#This Row],[SP Strike Price]] * (1 - SP_MaxLoss_StrikePct), "")</f>
        <v/>
      </c>
      <c r="CZ72" s="31" t="str">
        <f>IF(ISNUMBER(SnapshotTable[[#This Row],[SP Strike  Stop Per Share]]),SnapshotTable[[#This Row],[SP Premium]] - ((SnapshotTable[[#This Row],[SP Strike Price]]-SnapshotTable[[#This Row],[SP Strike  Stop Per Share]]) *(SnapshotTable[[#This Row],[SP Qty]] * 100)),"")</f>
        <v/>
      </c>
      <c r="DA72" s="4" t="str">
        <f>IF(AND(ISNUMBER(SnapshotTable[[#This Row],[SP Premium]]),SnapshotTable[[#This Row],[SP Premium]]&gt;0), SnapshotTable[[#This Row],[SP Book Price]] * (1 + SP_MaxLoss_OptionPct), "")</f>
        <v/>
      </c>
      <c r="DB72" s="31" t="str">
        <f>IF(ISNUMBER(SnapshotTable[[#This Row],[SP Option  Stop Contract]]),(SnapshotTable[[#This Row],[SP Option  Stop Contract]] *(SnapshotTable[[#This Row],[SP Qty]] * 100) - SnapshotTable[[#This Row],[SP Premium]]),"")</f>
        <v/>
      </c>
      <c r="DC72" s="4"/>
      <c r="DD72" s="4"/>
      <c r="DE72" s="4" t="str">
        <f>IF(AND(SnapshotTable[[#This Row],[SP Qty]]&gt;0, SnapshotTable[[#This Row],[SP Stop To Use]]&gt;0),SnapshotTable[[#This Row],[SP Premium]] - ( SnapshotTable[[#This Row],[SP Qty]] * SnapshotTable[[#This Row],[SP Stop To Use]] * 100), "")</f>
        <v/>
      </c>
      <c r="DF72" s="31" t="str">
        <f>IF(AND(SnapshotTable[[#This Row],[SP Qty]]&gt;0,SnapshotTable[[#This Row],[SP Current Ask]]&gt;0), SnapshotTable[[#This Row],[SP Qty]] * SnapshotTable[[#This Row],[SP Current Ask]] * -100, "")</f>
        <v/>
      </c>
      <c r="DG72" s="31" t="str">
        <f>IF(ISNUMBER((SnapshotTable[[#This Row],[SP Total Value]])), SnapshotTable[[#This Row],[SP Premium]] + SnapshotTable[[#This Row],[SP Total Value]], "")</f>
        <v/>
      </c>
      <c r="DH72" s="294" t="str">
        <f>IF(ISNUMBER((SnapshotTable[[#This Row],[SP Total Value]])), SnapshotTable[[#This Row],[SP Gain Loss]] / SnapshotTable[[#This Row],[SP Premium]], "")</f>
        <v/>
      </c>
      <c r="DI72" s="406"/>
      <c r="DJ72" s="138"/>
      <c r="DK72" s="148"/>
      <c r="DL72" s="13"/>
      <c r="DM72" s="13"/>
      <c r="DO72" s="31">
        <f>IF(SnapshotTable[[#This Row],[LC Symbol Count]]=1, SnapshotTable[[#This Row],[LC Qty]] * SnapshotTable[[#This Row],[LC Book Price]] * 100, 0)</f>
        <v>0</v>
      </c>
      <c r="DP72" s="163" t="str">
        <f>IF(AND(SnapshotTable[[#This Row],[LC Exp Date]]&gt;0, SnapshotTable[[#This Row],[LC Strike Price]]&gt;0,SnapshotTable[[#This Row],[LC Qty]]&gt;0,SnapshotTable[[#This Row],[LC Book Date]]&gt;0,SnapshotTable[[#This Row],[LC Book Price]]&gt;0,SnapshotTable[[#This Row],[LC Fill Date]]=0),"Y","")</f>
        <v/>
      </c>
      <c r="DQ72" s="386" t="str">
        <f>IF(SnapshotTable[[#This Row],[LC Premium]] &gt; 0,SnapshotTable[[#This Row],[LC Exp Date]]-MAX(SnapshotTable[[#This Row],[LC Book Date]], SnapshotTable[[#This Row],[LC Fill Date]]),"")</f>
        <v/>
      </c>
      <c r="DR72" s="386" t="str">
        <f>IF(ISNUMBER(SnapshotTable[[#This Row],[LC Term]]), SnapshotTable[[#This Row],[LC Exp Date]] - MockToday, "")</f>
        <v/>
      </c>
      <c r="DS72" s="234" t="str">
        <f>IF(SnapshotTable[[#This Row],[LC Premium]]&gt;0,SnapshotTable[[#This Row],[LC Strike Price]] + SnapshotTable[[#This Row],[LC Book Price]],"")</f>
        <v/>
      </c>
      <c r="DU72" s="9" t="str">
        <f>IF(AND(SnapshotTable[[#This Row],[LC Symbol Count]]&gt;0, SnapshotTable[[#This Row],[LC Contract Value]]&gt;0), SnapshotTable[[#This Row],[LC Contract Value]] * SnapshotTable[[#This Row],[LC Qty]] * 100, "")</f>
        <v/>
      </c>
      <c r="DV72" s="9" t="str">
        <f>IF(AND(ISNUMBER(SnapshotTable[[#This Row],[LC Total Value]]), SnapshotTable[[#This Row],[LC Not Filled]]&lt;&gt;"Y"), SnapshotTable[[#This Row],[LC Total Value]]-SnapshotTable[[#This Row],[LC Premium]],"")</f>
        <v/>
      </c>
      <c r="DW72" s="240" t="str">
        <f>IF(ISNUMBER(SnapshotTable[[#This Row],[LC Actual Gain Loss]]), SnapshotTable[[#This Row],[LC Actual Gain Loss]] / SnapshotTable[[#This Row],[LC Premium]],"")</f>
        <v/>
      </c>
      <c r="DX72" s="284" t="str">
        <f>IF(ISNUMBER(SnapshotTable[[#This Row],[LC Book Price]]),SnapshotTable[[#This Row],[LC Book Price]] * 1.5,"")</f>
        <v/>
      </c>
      <c r="DY72" s="265" t="str">
        <f>IF(SnapshotTable[[#This Row],[LC Premium]]&gt;0, SnapshotTable[[#This Row],[LC Next Target]] * SnapshotTable[[#This Row],[LC Qty]] * 100,"")</f>
        <v/>
      </c>
      <c r="DZ72" s="265" t="str">
        <f>IF(ISNUMBER(SnapshotTable[[#This Row],[LC Target Gross]]), SnapshotTable[[#This Row],[LC Target Gross]] - SnapshotTable[[#This Row],[LC Premium]], "")</f>
        <v/>
      </c>
      <c r="EA72" s="305" t="str">
        <f>IF(ISNUMBER(SnapshotTable[[#This Row],[LC Target Gain Loss]]), SnapshotTable[[#This Row],[LC Target Gain Loss]]/SnapshotTable[[#This Row],[LC Premium]], "")</f>
        <v/>
      </c>
      <c r="EB72" s="262"/>
      <c r="EC72" s="283" t="str">
        <f>IF(SnapshotTable[[#This Row],[LC Premium]]&gt;0, SnapshotTable[[#This Row],[LC Book Price]] * (1 - LC_StopLoss_Pct),"")</f>
        <v/>
      </c>
      <c r="ED72" s="284"/>
      <c r="EE72" s="283" t="str">
        <f>IF(ISNUMBER(SnapshotTable[[#This Row],[LC Contract Value]]),IF(ISNUMBER(SnapshotTable[[#This Row],[LC Stop Loss Override]]), SnapshotTable[[#This Row],[LC Stop Loss Override]],SnapshotTable[[#This Row],[LC Stop Loss Calc Target]]),"")</f>
        <v/>
      </c>
      <c r="EF72" s="31" t="str">
        <f>IF(ISNUMBER(SnapshotTable[[#This Row],[LC Stop  To Use]]), (SnapshotTable[[#This Row],[LC Stop  To Use]] * SnapshotTable[[#This Row],[LC Qty]] * 100),"")</f>
        <v/>
      </c>
      <c r="EG72" s="9" t="str">
        <f>IF(ISNUMBER(SnapshotTable[[#This Row],[LC Total Value]]),SnapshotTable[[#This Row],[LC Stop Loss Amount]] - SnapshotTable[[#This Row],[LC Premium]],"")</f>
        <v/>
      </c>
      <c r="EH72" s="9">
        <f>IF(ISNUMBER(SnapshotTable[[#This Row],[LC Premium]]), SnapshotTable[[#This Row],[LC Qty]] * 100 * SnapshotTable[[#This Row],[LC Strike Price]], "")</f>
        <v>0</v>
      </c>
      <c r="EI72" s="240" t="str">
        <f>IF(AND(ISNUMBER(SnapshotTable[[#This Row],[LC Total Value]]),SnapshotTable[[#This Row],[LC Total Value]]&gt;0),SnapshotTable[[#This Row],[LC Stop Gain Loss]]  / SnapshotTable[[#This Row],[LC Premium]],"")</f>
        <v/>
      </c>
      <c r="EJ72" s="35">
        <f>IF(ISNUMBER(SnapshotTable[[#This Row],[Equity Shares]]),TRUNC(SnapshotTable[[#This Row],[Equity Shares]] / 100),0) + SnapshotTable[[#This Row],[LC Qty]]</f>
        <v>0</v>
      </c>
      <c r="EK72" s="147"/>
      <c r="EL72" s="138" t="str">
        <f>IF(SnapshotTable[[#This Row],[SC Exp Date]]&lt;&gt;"",TRUNC(SnapshotTable[[#This Row],[Last Price]]),"")</f>
        <v/>
      </c>
      <c r="EM72" s="148"/>
      <c r="EN72" s="147"/>
      <c r="EO72" s="147"/>
      <c r="EP72" s="138"/>
      <c r="EQ72" s="419" t="b">
        <f>AND(ISNUMBER(SnapshotTable[[#This Row],[SC Exp Date]]), ISNUMBER(SnapshotTable[[#This Row],[SC Strike Price]]), ISNUMBER(SnapshotTable[[#This Row],[SC Qty]]), ISNUMBER(SnapshotTable[[#This Row],[SC Book Date]]), ISNUMBER(SnapshotTable[[#This Row],[SC Book Price]]))</f>
        <v>0</v>
      </c>
      <c r="ER72" s="419" t="b">
        <f>AND(SnapshotTable[[#This Row],[SC Is Booked]], NOT(ISBLANK(SnapshotTable[[#This Row],[SC Fill Date]])))</f>
        <v>0</v>
      </c>
      <c r="ES72" s="370"/>
      <c r="ET72" s="34" t="str">
        <f>IF(AND(ISNUMBER(SnapshotTable[[#This Row],[SC Exp Date]]), ISNUMBER(SnapshotTable[[#This Row],[SC Book Date]])), SnapshotTable[[#This Row],[SC Exp Date]] - MAX(SnapshotTable[[#This Row],[SC Book Date]], SnapshotTable[[#This Row],[SC Fill Date]]) + 1, "")</f>
        <v/>
      </c>
      <c r="EU72" s="34" t="str">
        <f>IF(ISNUMBER(SnapshotTable[[#This Row],[SC Term]]), SnapshotTable[[#This Row],[SC Exp Date]]- MockToday, "")</f>
        <v/>
      </c>
      <c r="EV72" s="31">
        <f>IF(SnapshotTable[[#This Row],[SC Is Booked]], SnapshotTable[[#This Row],[SC Qty]] * SnapshotTable[[#This Row],[SC Book Price]] * 100, 0)</f>
        <v>0</v>
      </c>
      <c r="EW72" s="4" t="str">
        <f>IF(AND(ISNUMBER(SnapshotTable[[#This Row],[Last Price]]), ISNUMBER( SnapshotTable[[#This Row],[SC Book Price]])), SnapshotTable[[#This Row],[Last Price]] - SnapshotTable[[#This Row],[SC Book Price]],"")</f>
        <v/>
      </c>
      <c r="EX72" s="234" t="str">
        <f>IF(SnapshotTable[[#This Row],[SC Is Booked]],IF(SnapshotTable[[#This Row],[SC Intrinsic Value]] &gt; 0, SnapshotTable[[#This Row],[SC Strike Price]], SnapshotTable[[#This Row],[Last Price]]), "")</f>
        <v/>
      </c>
      <c r="EY72" s="4">
        <f>IF(SnapshotTable[[#This Row],[SC Is Booked]], (MinimumPremiumRequired * SnapshotTable[[#This Row],[SC Basis]] * SnapshotTable[[#This Row],[SC Term]]), 0)</f>
        <v>0</v>
      </c>
      <c r="EZ72" s="283"/>
      <c r="FA72" s="218"/>
      <c r="FB72" s="370"/>
      <c r="FC72" s="4">
        <f>IF(SnapshotTable[[#This Row],[SC Is Filled]], btc_max_buyback_amount(SnapshotTable[[#This Row],[SC Fill Date]],SnapshotTable[[#This Row],[SC Exp Date]], SnapshotTable[[#This Row],[SC Book Price]]),0)</f>
        <v>0</v>
      </c>
      <c r="FD72" s="5"/>
      <c r="FE72" s="144" t="str">
        <f>IF(SnapshotTable[[#This Row],[SC Is Filled]], btc_next_cutoff_date(SnapshotTable[[#This Row],[SC Fill Date]],SnapshotTable[[#This Row],[SC Exp Date]]),"")</f>
        <v/>
      </c>
      <c r="FF72" s="4" t="str" cm="1">
        <f t="array" ref="FF72">IF(SnapshotTable[[#This Row],[SC Is Filled]], btc_should_buy_back(SnapshotTable[[#This Row],[SC Fill Date]], SnapshotTable[[#This Row],[SC Exp Date]], SnapshotTable[[#This Row],[SC Book Price]], SnapshotTable[[#This Row],[SC Current Ask]], MockToday, SnapshotTable[[#This Row],[SC Buyback Override]]),"")</f>
        <v/>
      </c>
      <c r="FG72" s="4">
        <f>IF(SnapshotTable[[#This Row],[SC Is Filled]], MAX(0,SnapshotTable[[#This Row],[Last Price]]  - SnapshotTable[[#This Row],[SC Strike Price]]), 0)</f>
        <v>0</v>
      </c>
      <c r="FH72" s="382">
        <f>IF(SnapshotTable[[#This Row],[SC Is Filled]], IF(ISNUMBER(SnapshotTable[[#This Row],[SC Current Ask]]), SnapshotTable[[#This Row],[SC Current Ask]], SnapshotTable[[#This Row],[SC Book Price]]) - SnapshotTable[[#This Row],[SC Intrinsic Value]], 0)</f>
        <v>0</v>
      </c>
      <c r="FI72" s="143"/>
      <c r="FJ72" s="32" t="str">
        <f>IF(SnapshotTable[[#This Row],[SC Is Filled]],100 * SnapshotTable[[#This Row],[SC Qty]] * IF(ISNUMBER(SnapshotTable[[#This Row],[SC Buyback Override]]), SnapshotTable[[#This Row],[SC Buyback Override]], SnapshotTable[[#This Row],[SC Current Ask]]), "")</f>
        <v/>
      </c>
      <c r="FK72" s="250" t="str">
        <f>IF(SnapshotTable[[#This Row],[SC Time Val]]&gt;0, SnapshotTable[[#This Row],[SC Time Val]] / SnapshotTable[[#This Row],[Last Price]],"")</f>
        <v/>
      </c>
      <c r="FL72" s="302" t="str">
        <f>IF(SnapshotTable[[#This Row],[SC Is Booked]], ((SnapshotTable[[#This Row],[Last Price]] -SnapshotTable[[#This Row],[SC Strike Price]]) / SnapshotTable[[#This Row],[Last Price]]) * -1, "")</f>
        <v/>
      </c>
      <c r="FM72" s="157" t="str">
        <f>IF(SnapshotTable[[#This Row],[SC Is Booked]],  (SnapshotTable[[#This Row],[SC Qty]] * 100 * SnapshotTable[[#This Row],[SC Strike Price]]) - SnapshotTable[[#This Row],[SC Current Ask]], "")</f>
        <v/>
      </c>
      <c r="FN7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2" s="31" t="str">
        <f>IF(AND(ISNUMBER(SnapshotTable[[#This Row],[SC Exercise Gross]]), ISNUMBER(SnapshotTable[[#This Row],[Equity Basis Per Share]] )), SnapshotTable[[#This Row],[SC Exercise Gross]] - SnapshotTable[[#This Row],[Equity Basis Total]] +  SnapshotTable[[#This Row],[SC Premium]], "")</f>
        <v/>
      </c>
      <c r="FP72" s="5" t="str">
        <f>IF(ISNUMBER(SnapshotTable[[#This Row],[SC Exercise Gross]]), (SnapshotTable[[#This Row],[SC Exercise Gross]]) / (SnapshotTable[[#This Row],[SC Qty]] * 100), "")</f>
        <v/>
      </c>
      <c r="FQ72" s="27" t="str">
        <f>IF(SnapshotTable[[#This Row],[SC Is Booked]],SnapshotTable[[#This Row],[SC Time Val]] /SnapshotTable[[#This Row],[SC Basis]], "")</f>
        <v/>
      </c>
      <c r="FR72" s="27" t="str" cm="1">
        <f t="array" ref="FR72">IF(AND(ISNUMBER(SnapshotTable[[#This Row],[SC Term]]),ISNUMBER(SnapshotTable[[#This Row],[SC Simple ROO]])), EllmanAnnualize(SnapshotTable[[#This Row],[SC DTE]], SnapshotTable[[#This Row],[SC Simple ROO]] ),"")</f>
        <v/>
      </c>
      <c r="FS72" s="4" t="e">
        <f>IF(SnapshotTable[[#This Row],[SC Strike Price]] &gt; SnapshotTable[[#This Row],[Last Price]], SnapshotTable[[#This Row],[SC Strike Price]] - SnapshotTable[[#This Row],[Last Price]],0)</f>
        <v>#VALUE!</v>
      </c>
      <c r="FT72" s="27" t="e">
        <f>IF(AND(ISNUMBER(SnapshotTable[[#This Row],[SC Upside Potential]]), SnapshotTable[[#This Row],[SC Upside Potential]] &gt; 0),(SnapshotTable[[#This Row],[SC Upside Potential]]/ SnapshotTable[[#This Row],[ACB]]),"")</f>
        <v>#VALUE!</v>
      </c>
      <c r="FU72" s="333" t="str">
        <f>IF(SnapshotTable[[#This Row],[SC Intrinsic Value]] &gt; 0,SnapshotTable[[#This Row],[SC Intrinsic Value]],"")</f>
        <v/>
      </c>
      <c r="FV72" s="27" t="str">
        <f>IF(AND( ISNUMBER( SnapshotTable[[#This Row],[ACB]]),ISNUMBER(SnapshotTable[[#This Row],[SC Downside Protect]])),SnapshotTable[[#This Row],[SC Downside Protect]] / SnapshotTable[[#This Row],[ACB]],"")</f>
        <v/>
      </c>
      <c r="FW72" s="236" t="str">
        <f>IF(AND(ISNUMBER(SnapshotTable[[#This Row],[SC Simple ROO]]),SnapshotTable[[#This Row],[SC Simple ROO]] &gt; 0), SnapshotTable[[#This Row],[SC Premium]] + (SnapshotTable[[#This Row],[SC Qty]] * SnapshotTable[[#This Row],[SC Upside Potential]]), "")</f>
        <v/>
      </c>
      <c r="FX72" s="302" t="str" cm="1">
        <f t="array" ref="FX72">IF(ISNUMBER(SnapshotTable[[#This Row],[SC Max Dollars]]), annualize(SnapshotTable[[#This Row],[SC Term]],(SnapshotTable[[#This Row],[SC Max Dollars]]/SnapshotTable[[#This Row],[SC Basis]])),"")</f>
        <v/>
      </c>
      <c r="FY72" s="236" t="str">
        <f>IF(AND(SnapshotTable[[#This Row],[SC Qty]]&gt;0,SnapshotTable[[#This Row],[SC Current Ask]]&gt;0), SnapshotTable[[#This Row],[SC Qty]] * SnapshotTable[[#This Row],[SC Current Ask]] * -100, "")</f>
        <v/>
      </c>
      <c r="FZ72" s="31" t="str">
        <f>IF(ISNUMBER((SnapshotTable[[#This Row],[SC Current Value]])), SnapshotTable[[#This Row],[SC Premium]] + SnapshotTable[[#This Row],[SC Current Value]], "")</f>
        <v/>
      </c>
      <c r="GA72" s="294" t="str">
        <f>IFERROR( IF(ISNUMBER((SnapshotTable[[#This Row],[SC Current Value]])), SnapshotTable[[#This Row],[SC Gain Loss]] / SnapshotTable[[#This Row],[SC Premium]], ""), "")</f>
        <v/>
      </c>
      <c r="GB72" s="42">
        <f>SnapshotTable[[#This Row],[Equity Shares]] * SaleSharesToConsiderPercentage</f>
        <v>0</v>
      </c>
      <c r="GC72" s="40">
        <f>SnapshotTable[[#This Row],[Long Term Target]] * SellingPriceToConsiderBasedOnTargetPercentage</f>
        <v>48.924999999999997</v>
      </c>
      <c r="GD72" s="40">
        <f>SnapshotTable[[#This Row],[Last Price]] * (1+ SellingPriceToConsiderBasedOnTargetPercentage)</f>
        <v>320.50200000000001</v>
      </c>
      <c r="GE72" s="41"/>
      <c r="GF72" s="40"/>
      <c r="GG72" s="31">
        <f>SnapshotTable[[#This Row],[Booked Sale Shares]] * SnapshotTable[[#This Row],[Booked Sale Price]]</f>
        <v>0</v>
      </c>
      <c r="GH72" s="31" t="str">
        <f>IF(SnapshotTable[[#This Row],[Equity Basis Total]] &gt; 0, SnapshotTable[[#This Row],[Equity Basis Per Share]] * SnapshotTable[[#This Row],[Booked Sale Shares]], "")</f>
        <v/>
      </c>
      <c r="GI72" s="31">
        <f>IF(SnapshotTable[[#This Row],[Sale Proceeds]]&gt;0, SnapshotTable[[#This Row],[Sale Proceeds]] - SnapshotTable[[#This Row],[Sale Basis]], 0)</f>
        <v>0</v>
      </c>
      <c r="GJ72" s="27" t="str">
        <f>IF(SnapshotTable[[#This Row],[Sale G/L]]&gt;0, SnapshotTable[[#This Row],[Sale G/L]] / SnapshotTable[[#This Row],[Sale Basis]], IF(ISNUMBER(SnapshotTable[[#This Row],[SC Exercise P&amp;L (TAX)]]), SnapshotTable[[#This Row],[SC Exercise P&amp;L (TAX)]] / SnapshotTable[[#This Row],[SC Basis]], ""))</f>
        <v/>
      </c>
      <c r="GK72" s="27" t="s">
        <v>654</v>
      </c>
      <c r="GL72" s="43" t="str">
        <f>IF(AND(SnapshotTable[[#This Row],[LP Exp Date]]&gt;0,SnapshotTable[[#This Row],[LP Strike Price]]&gt;0), [1]!ToOptionSymbol(SnapshotTable[[#This Row],[Symbol]], SnapshotTable[[#This Row],[LP Strike Price]],SnapshotTable[[#This Row],[LP Exp Date]],1), "")</f>
        <v/>
      </c>
      <c r="GM72" s="30" t="str">
        <f>IF(LEN(SnapshotTable[[#This Row],[LP Symbol]])&gt;0, 1, "")</f>
        <v/>
      </c>
      <c r="GN72" s="43" t="str">
        <f>IF(AND(SnapshotTable[[#This Row],[SP Exp Date]]&gt;0,SnapshotTable[[#This Row],[SP Strike Price]]&gt;0), [1]!ToOptionSymbol(SnapshotTable[[#This Row],[Symbol]], SnapshotTable[[#This Row],[SP Strike Price]],SnapshotTable[[#This Row],[SP Exp Date]],1), "")</f>
        <v/>
      </c>
      <c r="GO72" s="30" t="str">
        <f>IF(LEN(SnapshotTable[[#This Row],[SP Symbol]])&gt;0, 1, "")</f>
        <v/>
      </c>
      <c r="GP72" s="43" t="str">
        <f>IF(AND(SnapshotTable[[#This Row],[LC Exp Date]]&gt;0,SnapshotTable[[#This Row],[LC Strike Price]]&gt;0), [1]!ToOptionSymbol(SnapshotTable[[#This Row],[Symbol]], SnapshotTable[[#This Row],[LC Strike Price]],SnapshotTable[[#This Row],[LC Exp Date]],0), "")</f>
        <v/>
      </c>
      <c r="GQ72" s="30" t="str">
        <f>IF(LEN(SnapshotTable[[#This Row],[LC Symbol]])&gt;0, 1, "")</f>
        <v/>
      </c>
      <c r="GR72" s="43" t="str">
        <f>IF(AND(SnapshotTable[[#This Row],[SC Exp Date]]&gt;0,SnapshotTable[[#This Row],[SC Strike Price]]&gt;0), [1]!ToOptionSymbol(SnapshotTable[[#This Row],[Symbol]], SnapshotTable[[#This Row],[SC Strike Price]],SnapshotTable[[#This Row],[SC Exp Date]],0), "")</f>
        <v/>
      </c>
      <c r="GS72" s="30" t="str">
        <f>IF(LEN(SnapshotTable[[#This Row],[SC Symbol]])&gt;0, 1, "")</f>
        <v/>
      </c>
      <c r="GT72" s="29" t="str">
        <f>IF(COUNT(SnapshotTable[[#This Row],[LP Symbol Count]],SnapshotTable[[#This Row],[SP Symbol Count]],SnapshotTable[[#This Row],[LC Symbol Count]],SnapshotTable[[#This Row],[SC Symbol Count]])&gt;0, "Y", "")</f>
        <v/>
      </c>
      <c r="GU7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2" s="231" t="e">
        <f>MAX(SnapshotTable[[#This Row],[Equity Basis Total]],SnapshotTable[[#This Row],[Equity Value]]) + (SnapshotTable[[#This Row],[SP Potential Spend]]- SnapshotTable[[#This Row],[SP Premium]] + SnapshotTable[[#This Row],[LP Premium]])+ (SnapshotTable[[#This Row],[LC Premium]] - SnapshotTable[[#This Row],[SC Premium]])</f>
        <v>#VALUE!</v>
      </c>
      <c r="GW72" s="139" t="e">
        <f>IF(AND(SnapshotTable[[#This Row],[Exposure]] &lt;&gt; 0),SnapshotTable[[#This Row],[Exposure]] / SnapshotTable[[#Totals],[Exposure]], "")</f>
        <v>#VALUE!</v>
      </c>
      <c r="HE72" s="268"/>
      <c r="HF72" s="268"/>
      <c r="HK72" s="1"/>
      <c r="HL72" s="1"/>
      <c r="HM72" s="1"/>
      <c r="HN72" s="1"/>
      <c r="HO72" s="1"/>
      <c r="HP72" s="1"/>
    </row>
    <row r="73" spans="2:224" ht="12.75" hidden="1" customHeight="1" x14ac:dyDescent="0.25">
      <c r="B73" s="12" t="s">
        <v>541</v>
      </c>
      <c r="C73" s="422">
        <v>889.31</v>
      </c>
      <c r="D73" s="208"/>
      <c r="E73" s="39">
        <f>SnapshotTable[[#This Row],[Last Price]]*(1 -CrashDiscount)</f>
        <v>755.91349999999989</v>
      </c>
      <c r="F73" s="26" t="s">
        <v>1136</v>
      </c>
      <c r="G73" s="26" t="s">
        <v>872</v>
      </c>
      <c r="H73" s="149"/>
      <c r="I73" s="194">
        <v>44770.270833333336</v>
      </c>
      <c r="J73" s="195">
        <v>44770.270833333336</v>
      </c>
      <c r="K73" s="196"/>
      <c r="L73" s="326"/>
      <c r="M73" s="140"/>
      <c r="N73" s="140"/>
      <c r="O73" s="140"/>
      <c r="P73" s="22"/>
      <c r="Q73" s="25"/>
      <c r="R73" s="4" t="str">
        <f>IF(SnapshotTable[[#This Row],[Equity Basis Total]] &gt; 0, SnapshotTable[[#This Row],[Equity Basis Total]] / SnapshotTable[[#This Row],[Equity Shares]], "")</f>
        <v/>
      </c>
      <c r="S73" s="269">
        <f>SnapshotTable[[#This Row],[Last Price]] * SnapshotTable[[#This Row],[Equity Shares]]</f>
        <v>0</v>
      </c>
      <c r="T73" s="269">
        <f>SnapshotTable[[#This Row],[Equity Value]] - SnapshotTable[[#This Row],[Equity Basis Total]]</f>
        <v>0</v>
      </c>
      <c r="U73" s="270" t="str">
        <f>IF(SnapshotTable[[#This Row],[Equity Basis Total]] &gt; 0, SnapshotTable[[#This Row],[Equity G/L]] / SnapshotTable[[#This Row],[Equity Basis Total]], "")</f>
        <v/>
      </c>
      <c r="V73" s="268"/>
      <c r="W73" s="268"/>
      <c r="X73" s="4" t="str">
        <f>IF(AND(ISNUMBER(SnapshotTable[[#This Row],[Equity Basis Per Share]]),ISNUMBER(SnapshotTable[[#This Row],[Equity Target]])),SnapshotTable[[#This Row],[Equity Target]]-SnapshotTable[[#This Row],[Equity Basis Per Share]],"")</f>
        <v/>
      </c>
      <c r="Y73" s="4" t="str">
        <f>IF(AND(ISNUMBER(SnapshotTable[[#This Row],[Equity Basis Per Share]]),ISNUMBER(SnapshotTable[[#This Row],[Equity Stop Loss]])),SnapshotTable[[#This Row],[Equity Stop Loss]]-SnapshotTable[[#This Row],[Equity Basis Per Share]],"")</f>
        <v/>
      </c>
      <c r="Z73" s="275" t="str">
        <f>IFERROR( TEXT(SnapshotTable[[#This Row],[Equity Max Gain Per Share]] /ABS( SnapshotTable[[#This Row],[Equity Max Loss Per Share]]),"0.0 " ) &amp; " : 1", "")</f>
        <v/>
      </c>
      <c r="AA73" s="31" t="str">
        <f>IF(ISNUMBER(SnapshotTable[[#This Row],[Equity Max Gain Per Share]]),SnapshotTable[[#This Row],[Equity Max Gain Per Share]] * SnapshotTable[[#This Row],[Equity Shares]],"")</f>
        <v/>
      </c>
      <c r="AB73" s="31" t="str">
        <f>IF(ISNUMBER(SnapshotTable[[#This Row],[Equity Max Loss Per Share]]),SnapshotTable[[#This Row],[Equity Max Loss Per Share]] * SnapshotTable[[#This Row],[Equity Shares]],"")</f>
        <v/>
      </c>
      <c r="AC73" s="150">
        <v>4.12</v>
      </c>
      <c r="AD73" s="151" t="s">
        <v>558</v>
      </c>
      <c r="AE73" s="31">
        <f>(SnapshotTable[[#This Row],[Annual Dividend Per Share]] / 4) * SnapshotTable[[#This Row],[Equity Shares]]</f>
        <v>0</v>
      </c>
      <c r="AF73" s="31">
        <f>SnapshotTable[[#This Row],[Quarterly Div $]] * 4</f>
        <v>0</v>
      </c>
      <c r="AG73" s="7">
        <f>IF(SnapshotTable[[#This Row],[Annual Dividend Per Share]]&gt;0, SnapshotTable[[#This Row],[Annual Dividend Per Share]]  / SnapshotTable[[#This Row],[Last Price]], 0)</f>
        <v>4.6328052085324581E-3</v>
      </c>
      <c r="AH73" s="151">
        <v>43848</v>
      </c>
      <c r="AI73" s="5">
        <v>150</v>
      </c>
      <c r="AJ73" s="138">
        <v>201.25</v>
      </c>
      <c r="AK73" s="152">
        <f>IF(ISNUMBER( SnapshotTable[[#This Row],[EBF Target]]),(SnapshotTable[[#This Row],[EBF Target]] - SnapshotTable[[#This Row],[Last Price]]) / SnapshotTable[[#This Row],[Last Price]], "")</f>
        <v>-0.8313299074563425</v>
      </c>
      <c r="AL73" s="152" t="str">
        <f>IF(AND(SnapshotTable[[#This Row],[Equity Basis Total]] &gt; 0,ISNUMBER( SnapshotTable[[#This Row],[Long Term Target]])), SnapshotTable[[#This Row],[From Basis $]] / SnapshotTable[[#This Row],[Equity Basis Total]], "")</f>
        <v/>
      </c>
      <c r="AM73" s="9">
        <f>IF( AND(SnapshotTable[[#This Row],[Equity Shares]] &gt;0,ISNUMBER( SnapshotTable[[#This Row],[Long Term Target]])),(SnapshotTable[[#This Row],[Equity Shares]] * SnapshotTable[[#This Row],[Long Term Target]]) - SnapshotTable[[#This Row],[Equity Basis Total]],0)</f>
        <v>0</v>
      </c>
      <c r="AN73" s="9">
        <f>IF( AND(SnapshotTable[[#This Row],[Equity Shares]] &gt;0,ISNUMBER( SnapshotTable[[#This Row],[Long Term Target]])),(SnapshotTable[[#This Row],[Equity Shares]]*SnapshotTable[[#This Row],[Long Term Target]]) - SnapshotTable[[#This Row],[Equity Value]],0)</f>
        <v>0</v>
      </c>
      <c r="AO73" s="152">
        <f>IF(AND(ISNUMBER( SnapshotTable[[#This Row],[Long Term Target]]), ISNUMBER(SnapshotTable[[#This Row],[Last Price]])),(SnapshotTable[[#This Row],[Long Term Target]] - SnapshotTable[[#This Row],[Last Price]]) / SnapshotTable[[#This Row],[Last Price]], "")</f>
        <v>-0.77370095917059289</v>
      </c>
      <c r="AP73" s="5">
        <v>260</v>
      </c>
      <c r="AQ73" s="38" t="s">
        <v>109</v>
      </c>
      <c r="AR73" s="5">
        <v>250</v>
      </c>
      <c r="AS73" s="38" t="s">
        <v>1083</v>
      </c>
      <c r="AT73" s="146" t="s">
        <v>549</v>
      </c>
      <c r="AU73" s="187" t="str">
        <f>IF(OR(SnapshotTable[[#This Row],[LP No Fill]]="Y",SnapshotTable[[#This Row],[SP Is Filled]],SnapshotTable[[#This Row],[LC Not Filled]]="Y",SnapshotTable[[#This Row],[SC Is Filled]]),"Y","")</f>
        <v/>
      </c>
      <c r="AV73" s="219"/>
      <c r="AW73" s="225"/>
      <c r="AX73" s="220"/>
      <c r="AY73" s="219" t="str">
        <f>IF(SnapshotTable[[#This Row],[Implied Move]]&gt;0, SnapshotTable[[#This Row],[Last Price]]-SnapshotTable[[#This Row],[Implied Move]],"")</f>
        <v/>
      </c>
      <c r="AZ73" s="219" t="str">
        <f>IF(SnapshotTable[[#This Row],[Implied Move]]&gt;0, SnapshotTable[[#This Row],[Last Price]] + SnapshotTable[[#This Row],[Implied Move]],"")</f>
        <v/>
      </c>
      <c r="BA73" s="331">
        <v>-2.5</v>
      </c>
      <c r="BB73" s="347"/>
      <c r="BC7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3" s="351"/>
      <c r="BE73" s="5"/>
      <c r="BF73" s="14"/>
      <c r="BG73" s="13"/>
      <c r="BH73" s="13"/>
      <c r="BI73" s="5"/>
      <c r="BJ73" s="136">
        <f>IF(SnapshotTable[[#This Row],[LP Qty]] &gt; 0, SnapshotTable[[#This Row],[LP Qty]] * SnapshotTable[[#This Row],[LP Book Price]] * 100,0)</f>
        <v>0</v>
      </c>
      <c r="BK73" s="136">
        <f>IF(SnapshotTable[[#This Row],[LP Premium]] &gt; 0, SnapshotTable[[#This Row],[LP Qty]] * SnapshotTable[[#This Row],[LP Strike Price]] * 100,0)</f>
        <v>0</v>
      </c>
      <c r="BL73" s="154"/>
      <c r="BM73" s="385" t="str">
        <f>IF(SnapshotTable[[#This Row],[LP Premium]] &gt; 0,SnapshotTable[[#This Row],[LP Exp Date]]-MAX(SnapshotTable[[#This Row],[LP Book Date]], SnapshotTable[[#This Row],[LP Fill Date]]),"")</f>
        <v/>
      </c>
      <c r="BN73" s="385" t="str">
        <f>IF(ISNUMBER( SnapshotTable[[#This Row],[LP Term]]), SnapshotTable[[#This Row],[LP Exp Date]] - MockToday,"")</f>
        <v/>
      </c>
      <c r="BO73" s="163" t="str">
        <f>IF(AND(SnapshotTable[[#This Row],[LP Exp Date]]&gt;0, SnapshotTable[[#This Row],[LP Strike Price]]&gt;0,SnapshotTable[[#This Row],[LP Qty]]&gt;0,SnapshotTable[[#This Row],[LP Book Date]]&gt;0,SnapshotTable[[#This Row],[LP Book Price]]&gt;0,SnapshotTable[[#This Row],[LP Fill Date]]=0),"Y","")</f>
        <v/>
      </c>
      <c r="BP73" s="31" t="str">
        <f>IF(AND(SnapshotTable[[#This Row],[LP No Fill]]&lt;&gt;"Y",SnapshotTable[[#This Row],[LP Contract Value]]&gt;0, SnapshotTable[[#This Row],[LP Qty]]&gt;0), SnapshotTable[[#This Row],[LP Contract Value]]*SnapshotTable[[#This Row],[LP Qty]]*100,"")</f>
        <v/>
      </c>
      <c r="BQ73" s="13"/>
      <c r="BR73" s="5" t="str">
        <f>IF(SnapshotTable[[#This Row],[SP Exp Date]]&lt;&gt;"",TRUNC(SnapshotTable[[#This Row],[Last Price]]),"")</f>
        <v/>
      </c>
      <c r="BS73" s="36"/>
      <c r="BT73" s="147"/>
      <c r="BU73" s="13"/>
      <c r="BV73" s="5"/>
      <c r="BW73" s="419" t="b">
        <f>AND(ISNUMBER(SnapshotTable[[#This Row],[SP Exp Date]]), ISNUMBER(SnapshotTable[[#This Row],[SP Strike Price]]), ISNUMBER(SnapshotTable[[#This Row],[SP Qty]]), ISNUMBER(SnapshotTable[[#This Row],[SP Book Date]]), ISNUMBER(SnapshotTable[[#This Row],[SP Book Price]]))</f>
        <v>0</v>
      </c>
      <c r="BX73" s="419" t="b">
        <f>AND(SnapshotTable[[#This Row],[SP Is Booked]], NOT(ISBLANK(SnapshotTable[[#This Row],[SP Fill Date]])))</f>
        <v>0</v>
      </c>
      <c r="BY73" s="33">
        <f>IF(SnapshotTable[[#This Row],[SP Is Booked]], SnapshotTable[[#This Row],[SP Qty]] * SnapshotTable[[#This Row],[SP Book Price]] * 100, 0)</f>
        <v>0</v>
      </c>
      <c r="BZ73" s="369"/>
      <c r="CA73" s="368">
        <f>SnapshotTable[[#This Row],[LP Qty]]</f>
        <v>0</v>
      </c>
      <c r="CB73" s="4" t="str">
        <f>IF(SnapshotTable[[#This Row],[SP Is Booked]], SnapshotTable[[#This Row],[SP Strike Price]] - SnapshotTable[[#This Row],[SP Book Price]], "")</f>
        <v/>
      </c>
      <c r="CC73" s="19" t="str">
        <f>IF(SnapshotTable[[#This Row],[SP Is Booked]],SnapshotTable[[#This Row],[SP Exp Date]]-MAX(SnapshotTable[[#This Row],[SP Book Date]], SnapshotTable[[#This Row],[SP Fill Date]]),"")</f>
        <v/>
      </c>
      <c r="CD73" s="7" t="str">
        <f>IF(SnapshotTable[[#This Row],[SP Is Booked]], SnapshotTable[[#This Row],[SP Book Price]]/SnapshotTable[[#This Row],[SP Strike Price]], "")</f>
        <v/>
      </c>
      <c r="CE73" s="7" t="str">
        <f>IF(ISNUMBER(SnapshotTable[[#This Row],[SP ROO Term]]),SnapshotTable[[#This Row],[SP ROO Term]]*(365/SnapshotTable[[#This Row],[SP Term]]),"")</f>
        <v/>
      </c>
      <c r="CF73" s="236">
        <f>SnapshotTable[[#This Row],[LP Strike Price]] * SnapshotTable[[#This Row],[LP Qty]] * 100</f>
        <v>0</v>
      </c>
      <c r="CG73" s="31" t="e">
        <f>IF(ISNUMBER(SnapshotTable[[#This Row],[SP Premium]]), (SnapshotTable[[#This Row],[SP Qty]] * SnapshotTable[[#This Row],[SP Strike Price]]* 100) - SnapshotTable[[#This Row],[LP Protection]], 0)</f>
        <v>#VALUE!</v>
      </c>
      <c r="CH73" s="7" t="str">
        <f>IF(ISNUMBER(SnapshotTable[[#This Row],[SP Break Even]]),-1 * (SnapshotTable[[#This Row],[SP Break Even]] - SnapshotTable[[#This Row],[Last Price]]) / SnapshotTable[[#This Row],[Last Price]], "")</f>
        <v/>
      </c>
      <c r="CI73" s="31">
        <f>IF(AND(ISNUMBER((SnapshotTable[[#This Row],[SP Potential Spend]])), SnapshotTable[[#This Row],[SP Strike Price]] &gt; SnapshotTable[[#This Row],[Last Price]], SnapshotTable[[#This Row],[SP Is Filled]]), SnapshotTable[[#This Row],[SP Potential Spend]] -  SnapshotTable[[#This Row],[LP Max Value]], 0)</f>
        <v>0</v>
      </c>
      <c r="CJ73" s="244"/>
      <c r="CK73" s="31" t="str">
        <f>IF(ISNUMBER(SnapshotTable[[#This Row],[SP Potential Spend]]),IF(ISNUMBER(SnapshotTable[[#This Row],[SP POW]]), SnapshotTable[[#This Row],[SP POW]] * SnapshotTable[[#This Row],[SP Potential Spend]], SnapshotTable[[#This Row],[SP Potential Spend]]), "")</f>
        <v/>
      </c>
      <c r="CL73" s="164" t="e">
        <f>IF(NOT(SnapshotTable[[#This Row],[SP Is Filled]]),(SnapshotTable[[#This Row],[SP Qty]] * SnapshotTable[[#This Row],[SP Strike Price]] * 100) - SnapshotTable[[#This Row],[LP Max Value]],"")</f>
        <v>#VALUE!</v>
      </c>
      <c r="CM73" s="31" t="str">
        <f>IF(SnapshotTable[[#This Row],[SP Actual Spend]]&lt;&gt;0, ((SnapshotTable[[#This Row],[SP Strike Price]]-SnapshotTable[[#This Row],[Last Price]]) *(SnapshotTable[[#This Row],[SP Qty]]*100) - SnapshotTable[[#This Row],[SP Premium]]) * - 1, "")</f>
        <v/>
      </c>
      <c r="CN73" s="78"/>
      <c r="CO73" s="369"/>
      <c r="CP73" s="4" t="str">
        <f>IF(SnapshotTable[[#This Row],[SP Is Filled]], btc_max_buyback_amount(SnapshotTable[[#This Row],[SP Fill Date]],SnapshotTable[[#This Row],[SP Exp Date]], SnapshotTable[[#This Row],[SP Book Price]]),"")</f>
        <v/>
      </c>
      <c r="CQ73" s="78"/>
      <c r="CR7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3" s="155" t="str">
        <f>IF(SnapshotTable[[#This Row],[SP Is Filled]], btc_next_cutoff_date(SnapshotTable[[#This Row],[SP Fill Date]],SnapshotTable[[#This Row],[SP Exp Date]]),"")</f>
        <v/>
      </c>
      <c r="CT73" s="235" t="str" cm="1">
        <f t="array" ref="CT73">IF(SnapshotTable[[#This Row],[SP Is Filled]], btc_should_buy_back(SnapshotTable[[#This Row],[SP Fill Date]], SnapshotTable[[#This Row],[SP Exp Date]], SnapshotTable[[#This Row],[SP Book Price]], SnapshotTable[[#This Row],[SP Current Ask]], MockToday, SnapshotTable[[#This Row],[SP Buyback Override]]),"")</f>
        <v/>
      </c>
      <c r="CU73" s="143"/>
      <c r="CV73" s="235"/>
      <c r="CW73" s="378" t="str">
        <f>IF(ISNUMBER( SnapshotTable[[#This Row],[SP Term]]), SnapshotTable[[#This Row],[SP Exp Date]] - MockToday,"")</f>
        <v/>
      </c>
      <c r="CX73" s="31" t="str">
        <f>IF(SnapshotTable[[#This Row],[SP Is Filled]],SnapshotTable[[#This Row],[SP Buyback Price to Use]] * 100 * SnapshotTable[[#This Row],[SP Qty]], "")</f>
        <v/>
      </c>
      <c r="CY73" s="4" t="str">
        <f>IF(ISNUMBER(SnapshotTable[[#This Row],[SP Strike Price]]), SnapshotTable[[#This Row],[SP Strike Price]] * (1 - SP_MaxLoss_StrikePct), "")</f>
        <v/>
      </c>
      <c r="CZ73" s="31" t="str">
        <f>IF(ISNUMBER(SnapshotTable[[#This Row],[SP Strike  Stop Per Share]]),SnapshotTable[[#This Row],[SP Premium]] - ((SnapshotTable[[#This Row],[SP Strike Price]]-SnapshotTable[[#This Row],[SP Strike  Stop Per Share]]) *(SnapshotTable[[#This Row],[SP Qty]] * 100)),"")</f>
        <v/>
      </c>
      <c r="DA73" s="4" t="str">
        <f>IF(AND(ISNUMBER(SnapshotTable[[#This Row],[SP Premium]]),SnapshotTable[[#This Row],[SP Premium]]&gt;0), SnapshotTable[[#This Row],[SP Book Price]] * (1 + SP_MaxLoss_OptionPct), "")</f>
        <v/>
      </c>
      <c r="DB73" s="31" t="str">
        <f>IF(ISNUMBER(SnapshotTable[[#This Row],[SP Option  Stop Contract]]),(SnapshotTable[[#This Row],[SP Option  Stop Contract]] *(SnapshotTable[[#This Row],[SP Qty]] * 100) - SnapshotTable[[#This Row],[SP Premium]]),"")</f>
        <v/>
      </c>
      <c r="DC73" s="4"/>
      <c r="DD73" s="4"/>
      <c r="DE73" s="4" t="str">
        <f>IF(AND(SnapshotTable[[#This Row],[SP Qty]]&gt;0, SnapshotTable[[#This Row],[SP Stop To Use]]&gt;0),SnapshotTable[[#This Row],[SP Premium]] - ( SnapshotTable[[#This Row],[SP Qty]] * SnapshotTable[[#This Row],[SP Stop To Use]] * 100), "")</f>
        <v/>
      </c>
      <c r="DF73" s="31" t="str">
        <f>IF(AND(SnapshotTable[[#This Row],[SP Qty]]&gt;0,SnapshotTable[[#This Row],[SP Current Ask]]&gt;0), SnapshotTable[[#This Row],[SP Qty]] * SnapshotTable[[#This Row],[SP Current Ask]] * -100, "")</f>
        <v/>
      </c>
      <c r="DG73" s="31" t="str">
        <f>IF(ISNUMBER((SnapshotTable[[#This Row],[SP Total Value]])), SnapshotTable[[#This Row],[SP Premium]] + SnapshotTable[[#This Row],[SP Total Value]], "")</f>
        <v/>
      </c>
      <c r="DH73" s="294" t="str">
        <f>IF(ISNUMBER((SnapshotTable[[#This Row],[SP Total Value]])), SnapshotTable[[#This Row],[SP Gain Loss]] / SnapshotTable[[#This Row],[SP Premium]], "")</f>
        <v/>
      </c>
      <c r="DI73" s="406"/>
      <c r="DJ73" s="138"/>
      <c r="DK73" s="148"/>
      <c r="DL73" s="13"/>
      <c r="DM73" s="13"/>
      <c r="DO73" s="31">
        <f>IF(SnapshotTable[[#This Row],[LC Symbol Count]]=1, SnapshotTable[[#This Row],[LC Qty]] * SnapshotTable[[#This Row],[LC Book Price]] * 100, 0)</f>
        <v>0</v>
      </c>
      <c r="DP73" s="163" t="str">
        <f>IF(AND(SnapshotTable[[#This Row],[LC Exp Date]]&gt;0, SnapshotTable[[#This Row],[LC Strike Price]]&gt;0,SnapshotTable[[#This Row],[LC Qty]]&gt;0,SnapshotTable[[#This Row],[LC Book Date]]&gt;0,SnapshotTable[[#This Row],[LC Book Price]]&gt;0,SnapshotTable[[#This Row],[LC Fill Date]]=0),"Y","")</f>
        <v/>
      </c>
      <c r="DQ73" s="386" t="str">
        <f>IF(SnapshotTable[[#This Row],[LC Premium]] &gt; 0,SnapshotTable[[#This Row],[LC Exp Date]]-MAX(SnapshotTable[[#This Row],[LC Book Date]], SnapshotTable[[#This Row],[LC Fill Date]]),"")</f>
        <v/>
      </c>
      <c r="DR73" s="386" t="str">
        <f>IF(ISNUMBER(SnapshotTable[[#This Row],[LC Term]]), SnapshotTable[[#This Row],[LC Exp Date]] - MockToday, "")</f>
        <v/>
      </c>
      <c r="DS73" s="234" t="str">
        <f>IF(SnapshotTable[[#This Row],[LC Premium]]&gt;0,SnapshotTable[[#This Row],[LC Strike Price]] + SnapshotTable[[#This Row],[LC Book Price]],"")</f>
        <v/>
      </c>
      <c r="DU73" s="9" t="str">
        <f>IF(AND(SnapshotTable[[#This Row],[LC Symbol Count]]&gt;0, SnapshotTable[[#This Row],[LC Contract Value]]&gt;0), SnapshotTable[[#This Row],[LC Contract Value]] * SnapshotTable[[#This Row],[LC Qty]] * 100, "")</f>
        <v/>
      </c>
      <c r="DV73" s="9" t="str">
        <f>IF(AND(ISNUMBER(SnapshotTable[[#This Row],[LC Total Value]]), SnapshotTable[[#This Row],[LC Not Filled]]&lt;&gt;"Y"), SnapshotTable[[#This Row],[LC Total Value]]-SnapshotTable[[#This Row],[LC Premium]],"")</f>
        <v/>
      </c>
      <c r="DW73" s="240" t="str">
        <f>IF(ISNUMBER(SnapshotTable[[#This Row],[LC Actual Gain Loss]]), SnapshotTable[[#This Row],[LC Actual Gain Loss]] / SnapshotTable[[#This Row],[LC Premium]],"")</f>
        <v/>
      </c>
      <c r="DX73" s="284" t="str">
        <f>IF(ISNUMBER(SnapshotTable[[#This Row],[LC Book Price]]),SnapshotTable[[#This Row],[LC Book Price]] * 1.5,"")</f>
        <v/>
      </c>
      <c r="DY73" s="265" t="str">
        <f>IF(SnapshotTable[[#This Row],[LC Premium]]&gt;0, SnapshotTable[[#This Row],[LC Next Target]] * SnapshotTable[[#This Row],[LC Qty]] * 100,"")</f>
        <v/>
      </c>
      <c r="DZ73" s="265" t="str">
        <f>IF(ISNUMBER(SnapshotTable[[#This Row],[LC Target Gross]]), SnapshotTable[[#This Row],[LC Target Gross]] - SnapshotTable[[#This Row],[LC Premium]], "")</f>
        <v/>
      </c>
      <c r="EA73" s="305" t="str">
        <f>IF(ISNUMBER(SnapshotTable[[#This Row],[LC Target Gain Loss]]), SnapshotTable[[#This Row],[LC Target Gain Loss]]/SnapshotTable[[#This Row],[LC Premium]], "")</f>
        <v/>
      </c>
      <c r="EB73" s="262"/>
      <c r="EC73" s="283" t="str">
        <f>IF(SnapshotTable[[#This Row],[LC Premium]]&gt;0, SnapshotTable[[#This Row],[LC Book Price]] * (1 - LC_StopLoss_Pct),"")</f>
        <v/>
      </c>
      <c r="ED73" s="284"/>
      <c r="EE73" s="283" t="str">
        <f>IF(ISNUMBER(SnapshotTable[[#This Row],[LC Contract Value]]),IF(ISNUMBER(SnapshotTable[[#This Row],[LC Stop Loss Override]]), SnapshotTable[[#This Row],[LC Stop Loss Override]],SnapshotTable[[#This Row],[LC Stop Loss Calc Target]]),"")</f>
        <v/>
      </c>
      <c r="EF73" s="31" t="str">
        <f>IF(ISNUMBER(SnapshotTable[[#This Row],[LC Stop  To Use]]), (SnapshotTable[[#This Row],[LC Stop  To Use]] * SnapshotTable[[#This Row],[LC Qty]] * 100),"")</f>
        <v/>
      </c>
      <c r="EG73" s="9" t="str">
        <f>IF(ISNUMBER(SnapshotTable[[#This Row],[LC Total Value]]),SnapshotTable[[#This Row],[LC Stop Loss Amount]] - SnapshotTable[[#This Row],[LC Premium]],"")</f>
        <v/>
      </c>
      <c r="EH73" s="9">
        <f>IF(ISNUMBER(SnapshotTable[[#This Row],[LC Premium]]), SnapshotTable[[#This Row],[LC Qty]] * 100 * SnapshotTable[[#This Row],[LC Strike Price]], "")</f>
        <v>0</v>
      </c>
      <c r="EI73" s="240" t="str">
        <f>IF(AND(ISNUMBER(SnapshotTable[[#This Row],[LC Total Value]]),SnapshotTable[[#This Row],[LC Total Value]]&gt;0),SnapshotTable[[#This Row],[LC Stop Gain Loss]]  / SnapshotTable[[#This Row],[LC Premium]],"")</f>
        <v/>
      </c>
      <c r="EJ73" s="35">
        <f>IF(ISNUMBER(SnapshotTable[[#This Row],[Equity Shares]]),TRUNC(SnapshotTable[[#This Row],[Equity Shares]] / 100),0) + SnapshotTable[[#This Row],[LC Qty]]</f>
        <v>0</v>
      </c>
      <c r="EK73" s="147"/>
      <c r="EL73" s="138" t="str">
        <f>IF(SnapshotTable[[#This Row],[SC Exp Date]]&lt;&gt;"",TRUNC(SnapshotTable[[#This Row],[Last Price]]),"")</f>
        <v/>
      </c>
      <c r="EM73" s="148"/>
      <c r="EN73" s="147"/>
      <c r="EO73" s="147"/>
      <c r="EP73" s="138"/>
      <c r="EQ73" s="419" t="b">
        <f>AND(ISNUMBER(SnapshotTable[[#This Row],[SC Exp Date]]), ISNUMBER(SnapshotTable[[#This Row],[SC Strike Price]]), ISNUMBER(SnapshotTable[[#This Row],[SC Qty]]), ISNUMBER(SnapshotTable[[#This Row],[SC Book Date]]), ISNUMBER(SnapshotTable[[#This Row],[SC Book Price]]))</f>
        <v>0</v>
      </c>
      <c r="ER73" s="419" t="b">
        <f>AND(SnapshotTable[[#This Row],[SC Is Booked]], NOT(ISBLANK(SnapshotTable[[#This Row],[SC Fill Date]])))</f>
        <v>0</v>
      </c>
      <c r="ES73" s="370"/>
      <c r="ET73" s="34" t="str">
        <f>IF(AND(ISNUMBER(SnapshotTable[[#This Row],[SC Exp Date]]), ISNUMBER(SnapshotTable[[#This Row],[SC Book Date]])), SnapshotTable[[#This Row],[SC Exp Date]] - MAX(SnapshotTable[[#This Row],[SC Book Date]], SnapshotTable[[#This Row],[SC Fill Date]]) + 1, "")</f>
        <v/>
      </c>
      <c r="EU73" s="34" t="str">
        <f>IF(ISNUMBER(SnapshotTable[[#This Row],[SC Term]]), SnapshotTable[[#This Row],[SC Exp Date]]- MockToday, "")</f>
        <v/>
      </c>
      <c r="EV73" s="31">
        <f>IF(SnapshotTable[[#This Row],[SC Is Booked]], SnapshotTable[[#This Row],[SC Qty]] * SnapshotTable[[#This Row],[SC Book Price]] * 100, 0)</f>
        <v>0</v>
      </c>
      <c r="EW73" s="4" t="str">
        <f>IF(AND(ISNUMBER(SnapshotTable[[#This Row],[Last Price]]), ISNUMBER( SnapshotTable[[#This Row],[SC Book Price]])), SnapshotTable[[#This Row],[Last Price]] - SnapshotTable[[#This Row],[SC Book Price]],"")</f>
        <v/>
      </c>
      <c r="EX73" s="234" t="str">
        <f>IF(SnapshotTable[[#This Row],[SC Is Booked]],IF(SnapshotTable[[#This Row],[SC Intrinsic Value]] &gt; 0, SnapshotTable[[#This Row],[SC Strike Price]], SnapshotTable[[#This Row],[Last Price]]), "")</f>
        <v/>
      </c>
      <c r="EY73" s="4">
        <f>IF(SnapshotTable[[#This Row],[SC Is Booked]], (MinimumPremiumRequired * SnapshotTable[[#This Row],[SC Basis]] * SnapshotTable[[#This Row],[SC Term]]), 0)</f>
        <v>0</v>
      </c>
      <c r="EZ73" s="283"/>
      <c r="FA73" s="218"/>
      <c r="FB73" s="370"/>
      <c r="FC73" s="4">
        <f>IF(SnapshotTable[[#This Row],[SC Is Filled]], btc_max_buyback_amount(SnapshotTable[[#This Row],[SC Fill Date]],SnapshotTable[[#This Row],[SC Exp Date]], SnapshotTable[[#This Row],[SC Book Price]]),0)</f>
        <v>0</v>
      </c>
      <c r="FD73" s="5"/>
      <c r="FE73" s="144" t="str">
        <f>IF(SnapshotTable[[#This Row],[SC Is Filled]], btc_next_cutoff_date(SnapshotTable[[#This Row],[SC Fill Date]],SnapshotTable[[#This Row],[SC Exp Date]]),"")</f>
        <v/>
      </c>
      <c r="FF73" s="4" t="str" cm="1">
        <f t="array" ref="FF73">IF(SnapshotTable[[#This Row],[SC Is Filled]], btc_should_buy_back(SnapshotTable[[#This Row],[SC Fill Date]], SnapshotTable[[#This Row],[SC Exp Date]], SnapshotTable[[#This Row],[SC Book Price]], SnapshotTable[[#This Row],[SC Current Ask]], MockToday, SnapshotTable[[#This Row],[SC Buyback Override]]),"")</f>
        <v/>
      </c>
      <c r="FG73" s="4">
        <f>IF(SnapshotTable[[#This Row],[SC Is Filled]], MAX(0,SnapshotTable[[#This Row],[Last Price]]  - SnapshotTable[[#This Row],[SC Strike Price]]), 0)</f>
        <v>0</v>
      </c>
      <c r="FH73" s="382">
        <f>IF(SnapshotTable[[#This Row],[SC Is Filled]], IF(ISNUMBER(SnapshotTable[[#This Row],[SC Current Ask]]), SnapshotTable[[#This Row],[SC Current Ask]], SnapshotTable[[#This Row],[SC Book Price]]) - SnapshotTable[[#This Row],[SC Intrinsic Value]], 0)</f>
        <v>0</v>
      </c>
      <c r="FI73" s="143"/>
      <c r="FJ73" s="32" t="str">
        <f>IF(SnapshotTable[[#This Row],[SC Is Filled]],100 * SnapshotTable[[#This Row],[SC Qty]] * IF(ISNUMBER(SnapshotTable[[#This Row],[SC Buyback Override]]), SnapshotTable[[#This Row],[SC Buyback Override]], SnapshotTable[[#This Row],[SC Current Ask]]), "")</f>
        <v/>
      </c>
      <c r="FK73" s="250" t="str">
        <f>IF(SnapshotTable[[#This Row],[SC Time Val]]&gt;0, SnapshotTable[[#This Row],[SC Time Val]] / SnapshotTable[[#This Row],[Last Price]],"")</f>
        <v/>
      </c>
      <c r="FL73" s="302" t="str">
        <f>IF(SnapshotTable[[#This Row],[SC Is Booked]], ((SnapshotTable[[#This Row],[Last Price]] -SnapshotTable[[#This Row],[SC Strike Price]]) / SnapshotTable[[#This Row],[Last Price]]) * -1, "")</f>
        <v/>
      </c>
      <c r="FM73" s="157" t="str">
        <f>IF(SnapshotTable[[#This Row],[SC Is Booked]],  (SnapshotTable[[#This Row],[SC Qty]] * 100 * SnapshotTable[[#This Row],[SC Strike Price]]) - SnapshotTable[[#This Row],[SC Current Ask]], "")</f>
        <v/>
      </c>
      <c r="FN7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3" s="31" t="str">
        <f>IF(AND(ISNUMBER(SnapshotTable[[#This Row],[SC Exercise Gross]]), ISNUMBER(SnapshotTable[[#This Row],[Equity Basis Per Share]] )), SnapshotTable[[#This Row],[SC Exercise Gross]] - SnapshotTable[[#This Row],[Equity Basis Total]] +  SnapshotTable[[#This Row],[SC Premium]], "")</f>
        <v/>
      </c>
      <c r="FP73" s="5" t="str">
        <f>IF(ISNUMBER(SnapshotTable[[#This Row],[SC Exercise Gross]]), (SnapshotTable[[#This Row],[SC Exercise Gross]]) / (SnapshotTable[[#This Row],[SC Qty]] * 100), "")</f>
        <v/>
      </c>
      <c r="FQ73" s="27" t="str">
        <f>IF(SnapshotTable[[#This Row],[SC Is Booked]],SnapshotTable[[#This Row],[SC Time Val]] /SnapshotTable[[#This Row],[SC Basis]], "")</f>
        <v/>
      </c>
      <c r="FR73" s="27" t="str" cm="1">
        <f t="array" ref="FR73">IF(AND(ISNUMBER(SnapshotTable[[#This Row],[SC Term]]),ISNUMBER(SnapshotTable[[#This Row],[SC Simple ROO]])), EllmanAnnualize(SnapshotTable[[#This Row],[SC DTE]], SnapshotTable[[#This Row],[SC Simple ROO]] ),"")</f>
        <v/>
      </c>
      <c r="FS73" s="4" t="e">
        <f>IF(SnapshotTable[[#This Row],[SC Strike Price]] &gt; SnapshotTable[[#This Row],[Last Price]], SnapshotTable[[#This Row],[SC Strike Price]] - SnapshotTable[[#This Row],[Last Price]],0)</f>
        <v>#VALUE!</v>
      </c>
      <c r="FT73" s="27" t="e">
        <f>IF(AND(ISNUMBER(SnapshotTable[[#This Row],[SC Upside Potential]]), SnapshotTable[[#This Row],[SC Upside Potential]] &gt; 0),(SnapshotTable[[#This Row],[SC Upside Potential]]/ SnapshotTable[[#This Row],[ACB]]),"")</f>
        <v>#VALUE!</v>
      </c>
      <c r="FU73" s="333" t="str">
        <f>IF(SnapshotTable[[#This Row],[SC Intrinsic Value]] &gt; 0,SnapshotTable[[#This Row],[SC Intrinsic Value]],"")</f>
        <v/>
      </c>
      <c r="FV73" s="27" t="str">
        <f>IF(AND( ISNUMBER( SnapshotTable[[#This Row],[ACB]]),ISNUMBER(SnapshotTable[[#This Row],[SC Downside Protect]])),SnapshotTable[[#This Row],[SC Downside Protect]] / SnapshotTable[[#This Row],[ACB]],"")</f>
        <v/>
      </c>
      <c r="FW73" s="236" t="str">
        <f>IF(AND(ISNUMBER(SnapshotTable[[#This Row],[SC Simple ROO]]),SnapshotTable[[#This Row],[SC Simple ROO]] &gt; 0), SnapshotTable[[#This Row],[SC Premium]] + (SnapshotTable[[#This Row],[SC Qty]] * SnapshotTable[[#This Row],[SC Upside Potential]]), "")</f>
        <v/>
      </c>
      <c r="FX73" s="302" t="str" cm="1">
        <f t="array" ref="FX73">IF(ISNUMBER(SnapshotTable[[#This Row],[SC Max Dollars]]), annualize(SnapshotTable[[#This Row],[SC Term]],(SnapshotTable[[#This Row],[SC Max Dollars]]/SnapshotTable[[#This Row],[SC Basis]])),"")</f>
        <v/>
      </c>
      <c r="FY73" s="236" t="str">
        <f>IF(AND(SnapshotTable[[#This Row],[SC Qty]]&gt;0,SnapshotTable[[#This Row],[SC Current Ask]]&gt;0), SnapshotTable[[#This Row],[SC Qty]] * SnapshotTable[[#This Row],[SC Current Ask]] * -100, "")</f>
        <v/>
      </c>
      <c r="FZ73" s="31" t="str">
        <f>IF(ISNUMBER((SnapshotTable[[#This Row],[SC Current Value]])), SnapshotTable[[#This Row],[SC Premium]] + SnapshotTable[[#This Row],[SC Current Value]], "")</f>
        <v/>
      </c>
      <c r="GA73" s="294" t="str">
        <f>IFERROR( IF(ISNUMBER((SnapshotTable[[#This Row],[SC Current Value]])), SnapshotTable[[#This Row],[SC Gain Loss]] / SnapshotTable[[#This Row],[SC Premium]], ""), "")</f>
        <v/>
      </c>
      <c r="GB73" s="42">
        <f>SnapshotTable[[#This Row],[Equity Shares]] * SaleSharesToConsiderPercentage</f>
        <v>0</v>
      </c>
      <c r="GC73" s="40">
        <f>SnapshotTable[[#This Row],[Long Term Target]] * SellingPriceToConsiderBasedOnTargetPercentage</f>
        <v>191.1875</v>
      </c>
      <c r="GD73" s="40">
        <f>SnapshotTable[[#This Row],[Last Price]] * (1+ SellingPriceToConsiderBasedOnTargetPercentage)</f>
        <v>1734.1544999999999</v>
      </c>
      <c r="GE73" s="41"/>
      <c r="GF73" s="40"/>
      <c r="GG73" s="31">
        <f>SnapshotTable[[#This Row],[Booked Sale Shares]] * SnapshotTable[[#This Row],[Booked Sale Price]]</f>
        <v>0</v>
      </c>
      <c r="GH73" s="31" t="str">
        <f>IF(SnapshotTable[[#This Row],[Equity Basis Total]] &gt; 0, SnapshotTable[[#This Row],[Equity Basis Per Share]] * SnapshotTable[[#This Row],[Booked Sale Shares]], "")</f>
        <v/>
      </c>
      <c r="GI73" s="31">
        <f>IF(SnapshotTable[[#This Row],[Sale Proceeds]]&gt;0, SnapshotTable[[#This Row],[Sale Proceeds]] - SnapshotTable[[#This Row],[Sale Basis]], 0)</f>
        <v>0</v>
      </c>
      <c r="GJ73" s="27" t="str">
        <f>IF(SnapshotTable[[#This Row],[Sale G/L]]&gt;0, SnapshotTable[[#This Row],[Sale G/L]] / SnapshotTable[[#This Row],[Sale Basis]], IF(ISNUMBER(SnapshotTable[[#This Row],[SC Exercise P&amp;L (TAX)]]), SnapshotTable[[#This Row],[SC Exercise P&amp;L (TAX)]] / SnapshotTable[[#This Row],[SC Basis]], ""))</f>
        <v/>
      </c>
      <c r="GK73" s="27" t="s">
        <v>655</v>
      </c>
      <c r="GL73" s="43" t="str">
        <f>IF(AND(SnapshotTable[[#This Row],[LP Exp Date]]&gt;0,SnapshotTable[[#This Row],[LP Strike Price]]&gt;0), [1]!ToOptionSymbol(SnapshotTable[[#This Row],[Symbol]], SnapshotTable[[#This Row],[LP Strike Price]],SnapshotTable[[#This Row],[LP Exp Date]],1), "")</f>
        <v/>
      </c>
      <c r="GM73" s="30" t="str">
        <f>IF(LEN(SnapshotTable[[#This Row],[LP Symbol]])&gt;0, 1, "")</f>
        <v/>
      </c>
      <c r="GN73" s="43" t="str">
        <f>IF(AND(SnapshotTable[[#This Row],[SP Exp Date]]&gt;0,SnapshotTable[[#This Row],[SP Strike Price]]&gt;0), [1]!ToOptionSymbol(SnapshotTable[[#This Row],[Symbol]], SnapshotTable[[#This Row],[SP Strike Price]],SnapshotTable[[#This Row],[SP Exp Date]],1), "")</f>
        <v/>
      </c>
      <c r="GO73" s="30" t="str">
        <f>IF(LEN(SnapshotTable[[#This Row],[SP Symbol]])&gt;0, 1, "")</f>
        <v/>
      </c>
      <c r="GP73" s="43" t="str">
        <f>IF(AND(SnapshotTable[[#This Row],[LC Exp Date]]&gt;0,SnapshotTable[[#This Row],[LC Strike Price]]&gt;0), [1]!ToOptionSymbol(SnapshotTable[[#This Row],[Symbol]], SnapshotTable[[#This Row],[LC Strike Price]],SnapshotTable[[#This Row],[LC Exp Date]],0), "")</f>
        <v/>
      </c>
      <c r="GQ73" s="30" t="str">
        <f>IF(LEN(SnapshotTable[[#This Row],[LC Symbol]])&gt;0, 1, "")</f>
        <v/>
      </c>
      <c r="GR73" s="43" t="str">
        <f>IF(AND(SnapshotTable[[#This Row],[SC Exp Date]]&gt;0,SnapshotTable[[#This Row],[SC Strike Price]]&gt;0), [1]!ToOptionSymbol(SnapshotTable[[#This Row],[Symbol]], SnapshotTable[[#This Row],[SC Strike Price]],SnapshotTable[[#This Row],[SC Exp Date]],0), "")</f>
        <v/>
      </c>
      <c r="GS73" s="30" t="str">
        <f>IF(LEN(SnapshotTable[[#This Row],[SC Symbol]])&gt;0, 1, "")</f>
        <v/>
      </c>
      <c r="GT73" s="29" t="str">
        <f>IF(COUNT(SnapshotTable[[#This Row],[LP Symbol Count]],SnapshotTable[[#This Row],[SP Symbol Count]],SnapshotTable[[#This Row],[LC Symbol Count]],SnapshotTable[[#This Row],[SC Symbol Count]])&gt;0, "Y", "")</f>
        <v/>
      </c>
      <c r="GU7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3" s="231" t="e">
        <f>MAX(SnapshotTable[[#This Row],[Equity Basis Total]],SnapshotTable[[#This Row],[Equity Value]]) + (SnapshotTable[[#This Row],[SP Potential Spend]]- SnapshotTable[[#This Row],[SP Premium]] + SnapshotTable[[#This Row],[LP Premium]])+ (SnapshotTable[[#This Row],[LC Premium]] - SnapshotTable[[#This Row],[SC Premium]])</f>
        <v>#VALUE!</v>
      </c>
      <c r="GW73" s="139" t="e">
        <f>IF(AND(SnapshotTable[[#This Row],[Exposure]] &lt;&gt; 0),SnapshotTable[[#This Row],[Exposure]] / SnapshotTable[[#Totals],[Exposure]], "")</f>
        <v>#VALUE!</v>
      </c>
      <c r="HE73" s="268"/>
      <c r="HF73" s="268"/>
      <c r="HK73" s="1"/>
      <c r="HL73" s="1"/>
      <c r="HM73" s="1"/>
      <c r="HN73" s="1"/>
      <c r="HO73" s="1"/>
      <c r="HP73" s="1"/>
    </row>
    <row r="74" spans="2:224" s="47" customFormat="1" ht="12.75" hidden="1" customHeight="1" x14ac:dyDescent="0.25">
      <c r="B74" s="12" t="s">
        <v>174</v>
      </c>
      <c r="C74" s="422">
        <v>1</v>
      </c>
      <c r="D74" s="208"/>
      <c r="E74" s="39">
        <f>SnapshotTable[[#This Row],[Last Price]]*(1 -CrashDiscount)</f>
        <v>0.85</v>
      </c>
      <c r="F74" s="26" t="s">
        <v>105</v>
      </c>
      <c r="G74" s="26" t="s">
        <v>14</v>
      </c>
      <c r="H74" s="149"/>
      <c r="I74" s="194">
        <v>44770.270833333336</v>
      </c>
      <c r="J74" s="195">
        <v>44770.270833333336</v>
      </c>
      <c r="K74" s="196"/>
      <c r="L74" s="326"/>
      <c r="M74" s="140"/>
      <c r="N74" s="140"/>
      <c r="O74" s="140"/>
      <c r="P74" s="22"/>
      <c r="Q74" s="25"/>
      <c r="R74" s="4" t="str">
        <f>IF(SnapshotTable[[#This Row],[Equity Basis Total]] &gt; 0, SnapshotTable[[#This Row],[Equity Basis Total]] / SnapshotTable[[#This Row],[Equity Shares]], "")</f>
        <v/>
      </c>
      <c r="S74" s="269">
        <f>SnapshotTable[[#This Row],[Last Price]] * SnapshotTable[[#This Row],[Equity Shares]]</f>
        <v>0</v>
      </c>
      <c r="T74" s="269">
        <f>SnapshotTable[[#This Row],[Equity Value]] - SnapshotTable[[#This Row],[Equity Basis Total]]</f>
        <v>0</v>
      </c>
      <c r="U74" s="270" t="str">
        <f>IF(SnapshotTable[[#This Row],[Equity Basis Total]] &gt; 0, SnapshotTable[[#This Row],[Equity G/L]] / SnapshotTable[[#This Row],[Equity Basis Total]], "")</f>
        <v/>
      </c>
      <c r="V74" s="268"/>
      <c r="W74" s="268"/>
      <c r="X74" s="4" t="str">
        <f>IF(AND(ISNUMBER(SnapshotTable[[#This Row],[Equity Basis Per Share]]),ISNUMBER(SnapshotTable[[#This Row],[Equity Target]])),SnapshotTable[[#This Row],[Equity Target]]-SnapshotTable[[#This Row],[Equity Basis Per Share]],"")</f>
        <v/>
      </c>
      <c r="Y74" s="4" t="str">
        <f>IF(AND(ISNUMBER(SnapshotTable[[#This Row],[Equity Basis Per Share]]),ISNUMBER(SnapshotTable[[#This Row],[Equity Stop Loss]])),SnapshotTable[[#This Row],[Equity Stop Loss]]-SnapshotTable[[#This Row],[Equity Basis Per Share]],"")</f>
        <v/>
      </c>
      <c r="Z74" s="275" t="str">
        <f>IFERROR( TEXT(SnapshotTable[[#This Row],[Equity Max Gain Per Share]] /ABS( SnapshotTable[[#This Row],[Equity Max Loss Per Share]]),"0.0 " ) &amp; " : 1", "")</f>
        <v/>
      </c>
      <c r="AA74" s="31" t="str">
        <f>IF(ISNUMBER(SnapshotTable[[#This Row],[Equity Max Gain Per Share]]),SnapshotTable[[#This Row],[Equity Max Gain Per Share]] * SnapshotTable[[#This Row],[Equity Shares]],"")</f>
        <v/>
      </c>
      <c r="AB74" s="31" t="str">
        <f>IF(ISNUMBER(SnapshotTable[[#This Row],[Equity Max Loss Per Share]]),SnapshotTable[[#This Row],[Equity Max Loss Per Share]] * SnapshotTable[[#This Row],[Equity Shares]],"")</f>
        <v/>
      </c>
      <c r="AC74" s="150"/>
      <c r="AD74" s="151"/>
      <c r="AE74" s="31">
        <f>(SnapshotTable[[#This Row],[Annual Dividend Per Share]] / 4) * SnapshotTable[[#This Row],[Equity Shares]]</f>
        <v>0</v>
      </c>
      <c r="AF74" s="31">
        <f>SnapshotTable[[#This Row],[Quarterly Div $]] * 4</f>
        <v>0</v>
      </c>
      <c r="AG74" s="7">
        <f>IF(SnapshotTable[[#This Row],[Annual Dividend Per Share]]&gt;0, SnapshotTable[[#This Row],[Annual Dividend Per Share]]  / SnapshotTable[[#This Row],[Last Price]], 0)</f>
        <v>0</v>
      </c>
      <c r="AH74" s="151"/>
      <c r="AI74" s="5"/>
      <c r="AJ74" s="138">
        <v>69.540000000000006</v>
      </c>
      <c r="AK74" s="152" t="str">
        <f>IF(ISNUMBER( SnapshotTable[[#This Row],[EBF Target]]),(SnapshotTable[[#This Row],[EBF Target]] - SnapshotTable[[#This Row],[Last Price]]) / SnapshotTable[[#This Row],[Last Price]], "")</f>
        <v/>
      </c>
      <c r="AL74" s="152" t="str">
        <f>IF(AND(SnapshotTable[[#This Row],[Equity Basis Total]] &gt; 0,ISNUMBER( SnapshotTable[[#This Row],[Long Term Target]])), SnapshotTable[[#This Row],[From Basis $]] / SnapshotTable[[#This Row],[Equity Basis Total]], "")</f>
        <v/>
      </c>
      <c r="AM74" s="9">
        <f>IF( AND(SnapshotTable[[#This Row],[Equity Shares]] &gt;0,ISNUMBER( SnapshotTable[[#This Row],[Long Term Target]])),(SnapshotTable[[#This Row],[Equity Shares]] * SnapshotTable[[#This Row],[Long Term Target]]) - SnapshotTable[[#This Row],[Equity Basis Total]],0)</f>
        <v>0</v>
      </c>
      <c r="AN74" s="9">
        <f>IF( AND(SnapshotTable[[#This Row],[Equity Shares]] &gt;0,ISNUMBER( SnapshotTable[[#This Row],[Long Term Target]])),(SnapshotTable[[#This Row],[Equity Shares]]*SnapshotTable[[#This Row],[Long Term Target]]) - SnapshotTable[[#This Row],[Equity Value]],0)</f>
        <v>0</v>
      </c>
      <c r="AO74" s="152">
        <f>IF(AND(ISNUMBER( SnapshotTable[[#This Row],[Long Term Target]]), ISNUMBER(SnapshotTable[[#This Row],[Last Price]])),(SnapshotTable[[#This Row],[Long Term Target]] - SnapshotTable[[#This Row],[Last Price]]) / SnapshotTable[[#This Row],[Last Price]], "")</f>
        <v>68.540000000000006</v>
      </c>
      <c r="AP74" s="5"/>
      <c r="AQ74" s="38"/>
      <c r="AR74" s="5"/>
      <c r="AS74" s="38"/>
      <c r="AT74" s="146"/>
      <c r="AU74" s="187" t="str">
        <f>IF(OR(SnapshotTable[[#This Row],[LP No Fill]]="Y",SnapshotTable[[#This Row],[SP Is Filled]],SnapshotTable[[#This Row],[LC Not Filled]]="Y",SnapshotTable[[#This Row],[SC Is Filled]]),"Y","")</f>
        <v/>
      </c>
      <c r="AV74" s="219"/>
      <c r="AW74" s="225"/>
      <c r="AX74" s="220"/>
      <c r="AY74" s="219" t="str">
        <f>IF(SnapshotTable[[#This Row],[Implied Move]]&gt;0, SnapshotTable[[#This Row],[Last Price]]-SnapshotTable[[#This Row],[Implied Move]],"")</f>
        <v/>
      </c>
      <c r="AZ74" s="219" t="str">
        <f>IF(SnapshotTable[[#This Row],[Implied Move]]&gt;0, SnapshotTable[[#This Row],[Last Price]] + SnapshotTable[[#This Row],[Implied Move]],"")</f>
        <v/>
      </c>
      <c r="BA74" s="331"/>
      <c r="BB74" s="347"/>
      <c r="BC7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4" s="351"/>
      <c r="BE74" s="5"/>
      <c r="BF74" s="14"/>
      <c r="BG74" s="13"/>
      <c r="BH74" s="13"/>
      <c r="BI74" s="5"/>
      <c r="BJ74" s="136">
        <f>IF(SnapshotTable[[#This Row],[LP Qty]] &gt; 0, SnapshotTable[[#This Row],[LP Qty]] * SnapshotTable[[#This Row],[LP Book Price]] * 100,0)</f>
        <v>0</v>
      </c>
      <c r="BK74" s="136">
        <f>IF(SnapshotTable[[#This Row],[LP Premium]] &gt; 0, SnapshotTable[[#This Row],[LP Qty]] * SnapshotTable[[#This Row],[LP Strike Price]] * 100,0)</f>
        <v>0</v>
      </c>
      <c r="BL74" s="154"/>
      <c r="BM74" s="385" t="str">
        <f>IF(SnapshotTable[[#This Row],[LP Premium]] &gt; 0,SnapshotTable[[#This Row],[LP Exp Date]]-MAX(SnapshotTable[[#This Row],[LP Book Date]], SnapshotTable[[#This Row],[LP Fill Date]]),"")</f>
        <v/>
      </c>
      <c r="BN74" s="385" t="str">
        <f>IF(ISNUMBER( SnapshotTable[[#This Row],[LP Term]]), SnapshotTable[[#This Row],[LP Exp Date]] - MockToday,"")</f>
        <v/>
      </c>
      <c r="BO74" s="163" t="str">
        <f>IF(AND(SnapshotTable[[#This Row],[LP Exp Date]]&gt;0, SnapshotTable[[#This Row],[LP Strike Price]]&gt;0,SnapshotTable[[#This Row],[LP Qty]]&gt;0,SnapshotTable[[#This Row],[LP Book Date]]&gt;0,SnapshotTable[[#This Row],[LP Book Price]]&gt;0,SnapshotTable[[#This Row],[LP Fill Date]]=0),"Y","")</f>
        <v/>
      </c>
      <c r="BP74" s="31" t="str">
        <f>IF(AND(SnapshotTable[[#This Row],[LP No Fill]]&lt;&gt;"Y",SnapshotTable[[#This Row],[LP Contract Value]]&gt;0, SnapshotTable[[#This Row],[LP Qty]]&gt;0), SnapshotTable[[#This Row],[LP Contract Value]]*SnapshotTable[[#This Row],[LP Qty]]*100,"")</f>
        <v/>
      </c>
      <c r="BQ74" s="13"/>
      <c r="BR74" s="5" t="str">
        <f>IF(SnapshotTable[[#This Row],[SP Exp Date]]&lt;&gt;"",TRUNC(SnapshotTable[[#This Row],[Last Price]]),"")</f>
        <v/>
      </c>
      <c r="BS74" s="36"/>
      <c r="BT74" s="147"/>
      <c r="BU74" s="13"/>
      <c r="BV74" s="5"/>
      <c r="BW74" s="419" t="b">
        <f>AND(ISNUMBER(SnapshotTable[[#This Row],[SP Exp Date]]), ISNUMBER(SnapshotTable[[#This Row],[SP Strike Price]]), ISNUMBER(SnapshotTable[[#This Row],[SP Qty]]), ISNUMBER(SnapshotTable[[#This Row],[SP Book Date]]), ISNUMBER(SnapshotTable[[#This Row],[SP Book Price]]))</f>
        <v>0</v>
      </c>
      <c r="BX74" s="419" t="b">
        <f>AND(SnapshotTable[[#This Row],[SP Is Booked]], NOT(ISBLANK(SnapshotTable[[#This Row],[SP Fill Date]])))</f>
        <v>0</v>
      </c>
      <c r="BY74" s="33">
        <f>IF(SnapshotTable[[#This Row],[SP Is Booked]], SnapshotTable[[#This Row],[SP Qty]] * SnapshotTable[[#This Row],[SP Book Price]] * 100, 0)</f>
        <v>0</v>
      </c>
      <c r="BZ74" s="369"/>
      <c r="CA74" s="368">
        <f>SnapshotTable[[#This Row],[LP Qty]]</f>
        <v>0</v>
      </c>
      <c r="CB74" s="4" t="str">
        <f>IF(SnapshotTable[[#This Row],[SP Is Booked]], SnapshotTable[[#This Row],[SP Strike Price]] - SnapshotTable[[#This Row],[SP Book Price]], "")</f>
        <v/>
      </c>
      <c r="CC74" s="19" t="str">
        <f>IF(SnapshotTable[[#This Row],[SP Is Booked]],SnapshotTable[[#This Row],[SP Exp Date]]-MAX(SnapshotTable[[#This Row],[SP Book Date]], SnapshotTable[[#This Row],[SP Fill Date]]),"")</f>
        <v/>
      </c>
      <c r="CD74" s="7" t="str">
        <f>IF(SnapshotTable[[#This Row],[SP Is Booked]], SnapshotTable[[#This Row],[SP Book Price]]/SnapshotTable[[#This Row],[SP Strike Price]], "")</f>
        <v/>
      </c>
      <c r="CE74" s="7" t="str">
        <f>IF(ISNUMBER(SnapshotTable[[#This Row],[SP ROO Term]]),SnapshotTable[[#This Row],[SP ROO Term]]*(365/SnapshotTable[[#This Row],[SP Term]]),"")</f>
        <v/>
      </c>
      <c r="CF74" s="236">
        <f>SnapshotTable[[#This Row],[LP Strike Price]] * SnapshotTable[[#This Row],[LP Qty]] * 100</f>
        <v>0</v>
      </c>
      <c r="CG74" s="31" t="e">
        <f>IF(ISNUMBER(SnapshotTable[[#This Row],[SP Premium]]), (SnapshotTable[[#This Row],[SP Qty]] * SnapshotTable[[#This Row],[SP Strike Price]]* 100) - SnapshotTable[[#This Row],[LP Protection]], 0)</f>
        <v>#VALUE!</v>
      </c>
      <c r="CH74" s="7" t="str">
        <f>IF(ISNUMBER(SnapshotTable[[#This Row],[SP Break Even]]),-1 * (SnapshotTable[[#This Row],[SP Break Even]] - SnapshotTable[[#This Row],[Last Price]]) / SnapshotTable[[#This Row],[Last Price]], "")</f>
        <v/>
      </c>
      <c r="CI74" s="31">
        <f>IF(AND(ISNUMBER((SnapshotTable[[#This Row],[SP Potential Spend]])), SnapshotTable[[#This Row],[SP Strike Price]] &gt; SnapshotTable[[#This Row],[Last Price]], SnapshotTable[[#This Row],[SP Is Filled]]), SnapshotTable[[#This Row],[SP Potential Spend]] -  SnapshotTable[[#This Row],[LP Max Value]], 0)</f>
        <v>0</v>
      </c>
      <c r="CJ74" s="244"/>
      <c r="CK74" s="31" t="str">
        <f>IF(ISNUMBER(SnapshotTable[[#This Row],[SP Potential Spend]]),IF(ISNUMBER(SnapshotTable[[#This Row],[SP POW]]), SnapshotTable[[#This Row],[SP POW]] * SnapshotTable[[#This Row],[SP Potential Spend]], SnapshotTable[[#This Row],[SP Potential Spend]]), "")</f>
        <v/>
      </c>
      <c r="CL74" s="164" t="e">
        <f>IF(NOT(SnapshotTable[[#This Row],[SP Is Filled]]),(SnapshotTable[[#This Row],[SP Qty]] * SnapshotTable[[#This Row],[SP Strike Price]] * 100) - SnapshotTable[[#This Row],[LP Max Value]],"")</f>
        <v>#VALUE!</v>
      </c>
      <c r="CM74" s="31" t="str">
        <f>IF(SnapshotTable[[#This Row],[SP Actual Spend]]&lt;&gt;0, ((SnapshotTable[[#This Row],[SP Strike Price]]-SnapshotTable[[#This Row],[Last Price]]) *(SnapshotTable[[#This Row],[SP Qty]]*100) - SnapshotTable[[#This Row],[SP Premium]]) * - 1, "")</f>
        <v/>
      </c>
      <c r="CN74" s="78"/>
      <c r="CO74" s="369"/>
      <c r="CP74" s="4" t="str">
        <f>IF(SnapshotTable[[#This Row],[SP Is Filled]], btc_max_buyback_amount(SnapshotTable[[#This Row],[SP Fill Date]],SnapshotTable[[#This Row],[SP Exp Date]], SnapshotTable[[#This Row],[SP Book Price]]),"")</f>
        <v/>
      </c>
      <c r="CQ74" s="78"/>
      <c r="CR7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4" s="155" t="str">
        <f>IF(SnapshotTable[[#This Row],[SP Is Filled]], btc_next_cutoff_date(SnapshotTable[[#This Row],[SP Fill Date]],SnapshotTable[[#This Row],[SP Exp Date]]),"")</f>
        <v/>
      </c>
      <c r="CT74" s="235" t="str" cm="1">
        <f t="array" ref="CT74">IF(SnapshotTable[[#This Row],[SP Is Filled]], btc_should_buy_back(SnapshotTable[[#This Row],[SP Fill Date]], SnapshotTable[[#This Row],[SP Exp Date]], SnapshotTable[[#This Row],[SP Book Price]], SnapshotTable[[#This Row],[SP Current Ask]], MockToday, SnapshotTable[[#This Row],[SP Buyback Override]]),"")</f>
        <v/>
      </c>
      <c r="CU74" s="143"/>
      <c r="CV74" s="235"/>
      <c r="CW74" s="378" t="str">
        <f>IF(ISNUMBER( SnapshotTable[[#This Row],[SP Term]]), SnapshotTable[[#This Row],[SP Exp Date]] - MockToday,"")</f>
        <v/>
      </c>
      <c r="CX74" s="31" t="str">
        <f>IF(SnapshotTable[[#This Row],[SP Is Filled]],SnapshotTable[[#This Row],[SP Buyback Price to Use]] * 100 * SnapshotTable[[#This Row],[SP Qty]], "")</f>
        <v/>
      </c>
      <c r="CY74" s="4" t="str">
        <f>IF(ISNUMBER(SnapshotTable[[#This Row],[SP Strike Price]]), SnapshotTable[[#This Row],[SP Strike Price]] * (1 - SP_MaxLoss_StrikePct), "")</f>
        <v/>
      </c>
      <c r="CZ74" s="31" t="str">
        <f>IF(ISNUMBER(SnapshotTable[[#This Row],[SP Strike  Stop Per Share]]),SnapshotTable[[#This Row],[SP Premium]] - ((SnapshotTable[[#This Row],[SP Strike Price]]-SnapshotTable[[#This Row],[SP Strike  Stop Per Share]]) *(SnapshotTable[[#This Row],[SP Qty]] * 100)),"")</f>
        <v/>
      </c>
      <c r="DA74" s="4" t="str">
        <f>IF(AND(ISNUMBER(SnapshotTable[[#This Row],[SP Premium]]),SnapshotTable[[#This Row],[SP Premium]]&gt;0), SnapshotTable[[#This Row],[SP Book Price]] * (1 + SP_MaxLoss_OptionPct), "")</f>
        <v/>
      </c>
      <c r="DB74" s="31" t="str">
        <f>IF(ISNUMBER(SnapshotTable[[#This Row],[SP Option  Stop Contract]]),(SnapshotTable[[#This Row],[SP Option  Stop Contract]] *(SnapshotTable[[#This Row],[SP Qty]] * 100) - SnapshotTable[[#This Row],[SP Premium]]),"")</f>
        <v/>
      </c>
      <c r="DC74" s="4"/>
      <c r="DD74" s="4"/>
      <c r="DE74" s="4" t="str">
        <f>IF(AND(SnapshotTable[[#This Row],[SP Qty]]&gt;0, SnapshotTable[[#This Row],[SP Stop To Use]]&gt;0),SnapshotTable[[#This Row],[SP Premium]] - ( SnapshotTable[[#This Row],[SP Qty]] * SnapshotTable[[#This Row],[SP Stop To Use]] * 100), "")</f>
        <v/>
      </c>
      <c r="DF74" s="31" t="str">
        <f>IF(AND(SnapshotTable[[#This Row],[SP Qty]]&gt;0,SnapshotTable[[#This Row],[SP Current Ask]]&gt;0), SnapshotTable[[#This Row],[SP Qty]] * SnapshotTable[[#This Row],[SP Current Ask]] * -100, "")</f>
        <v/>
      </c>
      <c r="DG74" s="31" t="str">
        <f>IF(ISNUMBER((SnapshotTable[[#This Row],[SP Total Value]])), SnapshotTable[[#This Row],[SP Premium]] + SnapshotTable[[#This Row],[SP Total Value]], "")</f>
        <v/>
      </c>
      <c r="DH74" s="294" t="str">
        <f>IF(ISNUMBER((SnapshotTable[[#This Row],[SP Total Value]])), SnapshotTable[[#This Row],[SP Gain Loss]] / SnapshotTable[[#This Row],[SP Premium]], "")</f>
        <v/>
      </c>
      <c r="DI74" s="406"/>
      <c r="DJ74" s="138"/>
      <c r="DK74" s="148"/>
      <c r="DL74" s="13"/>
      <c r="DM74" s="13"/>
      <c r="DN74" s="5"/>
      <c r="DO74" s="31">
        <f>IF(SnapshotTable[[#This Row],[LC Symbol Count]]=1, SnapshotTable[[#This Row],[LC Qty]] * SnapshotTable[[#This Row],[LC Book Price]] * 100, 0)</f>
        <v>0</v>
      </c>
      <c r="DP74" s="163" t="str">
        <f>IF(AND(SnapshotTable[[#This Row],[LC Exp Date]]&gt;0, SnapshotTable[[#This Row],[LC Strike Price]]&gt;0,SnapshotTable[[#This Row],[LC Qty]]&gt;0,SnapshotTable[[#This Row],[LC Book Date]]&gt;0,SnapshotTable[[#This Row],[LC Book Price]]&gt;0,SnapshotTable[[#This Row],[LC Fill Date]]=0),"Y","")</f>
        <v/>
      </c>
      <c r="DQ74" s="386" t="str">
        <f>IF(SnapshotTable[[#This Row],[LC Premium]] &gt; 0,SnapshotTable[[#This Row],[LC Exp Date]]-MAX(SnapshotTable[[#This Row],[LC Book Date]], SnapshotTable[[#This Row],[LC Fill Date]]),"")</f>
        <v/>
      </c>
      <c r="DR74" s="386" t="str">
        <f>IF(ISNUMBER(SnapshotTable[[#This Row],[LC Term]]), SnapshotTable[[#This Row],[LC Exp Date]] - MockToday, "")</f>
        <v/>
      </c>
      <c r="DS74" s="234" t="str">
        <f>IF(SnapshotTable[[#This Row],[LC Premium]]&gt;0,SnapshotTable[[#This Row],[LC Strike Price]] + SnapshotTable[[#This Row],[LC Book Price]],"")</f>
        <v/>
      </c>
      <c r="DT74" s="5"/>
      <c r="DU74" s="9" t="str">
        <f>IF(AND(SnapshotTable[[#This Row],[LC Symbol Count]]&gt;0, SnapshotTable[[#This Row],[LC Contract Value]]&gt;0), SnapshotTable[[#This Row],[LC Contract Value]] * SnapshotTable[[#This Row],[LC Qty]] * 100, "")</f>
        <v/>
      </c>
      <c r="DV74" s="9" t="str">
        <f>IF(AND(ISNUMBER(SnapshotTable[[#This Row],[LC Total Value]]), SnapshotTable[[#This Row],[LC Not Filled]]&lt;&gt;"Y"), SnapshotTable[[#This Row],[LC Total Value]]-SnapshotTable[[#This Row],[LC Premium]],"")</f>
        <v/>
      </c>
      <c r="DW74" s="240" t="str">
        <f>IF(ISNUMBER(SnapshotTable[[#This Row],[LC Actual Gain Loss]]), SnapshotTable[[#This Row],[LC Actual Gain Loss]] / SnapshotTable[[#This Row],[LC Premium]],"")</f>
        <v/>
      </c>
      <c r="DX74" s="284" t="str">
        <f>IF(ISNUMBER(SnapshotTable[[#This Row],[LC Book Price]]),SnapshotTable[[#This Row],[LC Book Price]] * 1.5,"")</f>
        <v/>
      </c>
      <c r="DY74" s="265" t="str">
        <f>IF(SnapshotTable[[#This Row],[LC Premium]]&gt;0, SnapshotTable[[#This Row],[LC Next Target]] * SnapshotTable[[#This Row],[LC Qty]] * 100,"")</f>
        <v/>
      </c>
      <c r="DZ74" s="265" t="str">
        <f>IF(ISNUMBER(SnapshotTable[[#This Row],[LC Target Gross]]), SnapshotTable[[#This Row],[LC Target Gross]] - SnapshotTable[[#This Row],[LC Premium]], "")</f>
        <v/>
      </c>
      <c r="EA74" s="305" t="str">
        <f>IF(ISNUMBER(SnapshotTable[[#This Row],[LC Target Gain Loss]]), SnapshotTable[[#This Row],[LC Target Gain Loss]]/SnapshotTable[[#This Row],[LC Premium]], "")</f>
        <v/>
      </c>
      <c r="EB74" s="262"/>
      <c r="EC74" s="283" t="str">
        <f>IF(SnapshotTable[[#This Row],[LC Premium]]&gt;0, SnapshotTable[[#This Row],[LC Book Price]] * (1 - LC_StopLoss_Pct),"")</f>
        <v/>
      </c>
      <c r="ED74" s="284"/>
      <c r="EE74" s="283" t="str">
        <f>IF(ISNUMBER(SnapshotTable[[#This Row],[LC Contract Value]]),IF(ISNUMBER(SnapshotTable[[#This Row],[LC Stop Loss Override]]), SnapshotTable[[#This Row],[LC Stop Loss Override]],SnapshotTable[[#This Row],[LC Stop Loss Calc Target]]),"")</f>
        <v/>
      </c>
      <c r="EF74" s="31" t="str">
        <f>IF(ISNUMBER(SnapshotTable[[#This Row],[LC Stop  To Use]]), (SnapshotTable[[#This Row],[LC Stop  To Use]] * SnapshotTable[[#This Row],[LC Qty]] * 100),"")</f>
        <v/>
      </c>
      <c r="EG74" s="9" t="str">
        <f>IF(ISNUMBER(SnapshotTable[[#This Row],[LC Total Value]]),SnapshotTable[[#This Row],[LC Stop Loss Amount]] - SnapshotTable[[#This Row],[LC Premium]],"")</f>
        <v/>
      </c>
      <c r="EH74" s="9">
        <f>IF(ISNUMBER(SnapshotTable[[#This Row],[LC Premium]]), SnapshotTable[[#This Row],[LC Qty]] * 100 * SnapshotTable[[#This Row],[LC Strike Price]], "")</f>
        <v>0</v>
      </c>
      <c r="EI74" s="240" t="str">
        <f>IF(AND(ISNUMBER(SnapshotTable[[#This Row],[LC Total Value]]),SnapshotTable[[#This Row],[LC Total Value]]&gt;0),SnapshotTable[[#This Row],[LC Stop Gain Loss]]  / SnapshotTable[[#This Row],[LC Premium]],"")</f>
        <v/>
      </c>
      <c r="EJ74" s="35">
        <f>IF(ISNUMBER(SnapshotTable[[#This Row],[Equity Shares]]),TRUNC(SnapshotTable[[#This Row],[Equity Shares]] / 100),0) + SnapshotTable[[#This Row],[LC Qty]]</f>
        <v>0</v>
      </c>
      <c r="EK74" s="147"/>
      <c r="EL74" s="138" t="str">
        <f>IF(SnapshotTable[[#This Row],[SC Exp Date]]&lt;&gt;"",TRUNC(SnapshotTable[[#This Row],[Last Price]]),"")</f>
        <v/>
      </c>
      <c r="EM74" s="148"/>
      <c r="EN74" s="147"/>
      <c r="EO74" s="147"/>
      <c r="EP74" s="138"/>
      <c r="EQ74" s="419" t="b">
        <f>AND(ISNUMBER(SnapshotTable[[#This Row],[SC Exp Date]]), ISNUMBER(SnapshotTable[[#This Row],[SC Strike Price]]), ISNUMBER(SnapshotTable[[#This Row],[SC Qty]]), ISNUMBER(SnapshotTable[[#This Row],[SC Book Date]]), ISNUMBER(SnapshotTable[[#This Row],[SC Book Price]]))</f>
        <v>0</v>
      </c>
      <c r="ER74" s="419" t="b">
        <f>AND(SnapshotTable[[#This Row],[SC Is Booked]], NOT(ISBLANK(SnapshotTable[[#This Row],[SC Fill Date]])))</f>
        <v>0</v>
      </c>
      <c r="ES74" s="370"/>
      <c r="ET74" s="34" t="str">
        <f>IF(AND(ISNUMBER(SnapshotTable[[#This Row],[SC Exp Date]]), ISNUMBER(SnapshotTable[[#This Row],[SC Book Date]])), SnapshotTable[[#This Row],[SC Exp Date]] - MAX(SnapshotTable[[#This Row],[SC Book Date]], SnapshotTable[[#This Row],[SC Fill Date]]) + 1, "")</f>
        <v/>
      </c>
      <c r="EU74" s="34" t="str">
        <f>IF(ISNUMBER(SnapshotTable[[#This Row],[SC Term]]), SnapshotTable[[#This Row],[SC Exp Date]]- MockToday, "")</f>
        <v/>
      </c>
      <c r="EV74" s="31">
        <f>IF(SnapshotTable[[#This Row],[SC Is Booked]], SnapshotTable[[#This Row],[SC Qty]] * SnapshotTable[[#This Row],[SC Book Price]] * 100, 0)</f>
        <v>0</v>
      </c>
      <c r="EW74" s="4" t="str">
        <f>IF(AND(ISNUMBER(SnapshotTable[[#This Row],[Last Price]]), ISNUMBER( SnapshotTable[[#This Row],[SC Book Price]])), SnapshotTable[[#This Row],[Last Price]] - SnapshotTable[[#This Row],[SC Book Price]],"")</f>
        <v/>
      </c>
      <c r="EX74" s="234" t="str">
        <f>IF(SnapshotTable[[#This Row],[SC Is Booked]],IF(SnapshotTable[[#This Row],[SC Intrinsic Value]] &gt; 0, SnapshotTable[[#This Row],[SC Strike Price]], SnapshotTable[[#This Row],[Last Price]]), "")</f>
        <v/>
      </c>
      <c r="EY74" s="4">
        <f>IF(SnapshotTable[[#This Row],[SC Is Booked]], (MinimumPremiumRequired * SnapshotTable[[#This Row],[SC Basis]] * SnapshotTable[[#This Row],[SC Term]]), 0)</f>
        <v>0</v>
      </c>
      <c r="EZ74" s="283"/>
      <c r="FA74" s="218"/>
      <c r="FB74" s="370"/>
      <c r="FC74" s="4">
        <f>IF(SnapshotTable[[#This Row],[SC Is Filled]], btc_max_buyback_amount(SnapshotTable[[#This Row],[SC Fill Date]],SnapshotTable[[#This Row],[SC Exp Date]], SnapshotTable[[#This Row],[SC Book Price]]),0)</f>
        <v>0</v>
      </c>
      <c r="FD74" s="5"/>
      <c r="FE74" s="144" t="str">
        <f>IF(SnapshotTable[[#This Row],[SC Is Filled]], btc_next_cutoff_date(SnapshotTable[[#This Row],[SC Fill Date]],SnapshotTable[[#This Row],[SC Exp Date]]),"")</f>
        <v/>
      </c>
      <c r="FF74" s="4" t="str" cm="1">
        <f t="array" ref="FF74">IF(SnapshotTable[[#This Row],[SC Is Filled]], btc_should_buy_back(SnapshotTable[[#This Row],[SC Fill Date]], SnapshotTable[[#This Row],[SC Exp Date]], SnapshotTable[[#This Row],[SC Book Price]], SnapshotTable[[#This Row],[SC Current Ask]], MockToday, SnapshotTable[[#This Row],[SC Buyback Override]]),"")</f>
        <v/>
      </c>
      <c r="FG74" s="4">
        <f>IF(SnapshotTable[[#This Row],[SC Is Filled]], MAX(0,SnapshotTable[[#This Row],[Last Price]]  - SnapshotTable[[#This Row],[SC Strike Price]]), 0)</f>
        <v>0</v>
      </c>
      <c r="FH74" s="382">
        <f>IF(SnapshotTable[[#This Row],[SC Is Filled]], IF(ISNUMBER(SnapshotTable[[#This Row],[SC Current Ask]]), SnapshotTable[[#This Row],[SC Current Ask]], SnapshotTable[[#This Row],[SC Book Price]]) - SnapshotTable[[#This Row],[SC Intrinsic Value]], 0)</f>
        <v>0</v>
      </c>
      <c r="FI74" s="143"/>
      <c r="FJ74" s="32" t="str">
        <f>IF(SnapshotTable[[#This Row],[SC Is Filled]],100 * SnapshotTable[[#This Row],[SC Qty]] * IF(ISNUMBER(SnapshotTable[[#This Row],[SC Buyback Override]]), SnapshotTable[[#This Row],[SC Buyback Override]], SnapshotTable[[#This Row],[SC Current Ask]]), "")</f>
        <v/>
      </c>
      <c r="FK74" s="250" t="str">
        <f>IF(SnapshotTable[[#This Row],[SC Time Val]]&gt;0, SnapshotTable[[#This Row],[SC Time Val]] / SnapshotTable[[#This Row],[Last Price]],"")</f>
        <v/>
      </c>
      <c r="FL74" s="302" t="str">
        <f>IF(SnapshotTable[[#This Row],[SC Is Booked]], ((SnapshotTable[[#This Row],[Last Price]] -SnapshotTable[[#This Row],[SC Strike Price]]) / SnapshotTable[[#This Row],[Last Price]]) * -1, "")</f>
        <v/>
      </c>
      <c r="FM74" s="157" t="str">
        <f>IF(SnapshotTable[[#This Row],[SC Is Booked]],  (SnapshotTable[[#This Row],[SC Qty]] * 100 * SnapshotTable[[#This Row],[SC Strike Price]]) - SnapshotTable[[#This Row],[SC Current Ask]], "")</f>
        <v/>
      </c>
      <c r="FN7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4" s="31" t="str">
        <f>IF(AND(ISNUMBER(SnapshotTable[[#This Row],[SC Exercise Gross]]), ISNUMBER(SnapshotTable[[#This Row],[Equity Basis Per Share]] )), SnapshotTable[[#This Row],[SC Exercise Gross]] - SnapshotTable[[#This Row],[Equity Basis Total]] +  SnapshotTable[[#This Row],[SC Premium]], "")</f>
        <v/>
      </c>
      <c r="FP74" s="5" t="str">
        <f>IF(ISNUMBER(SnapshotTable[[#This Row],[SC Exercise Gross]]), (SnapshotTable[[#This Row],[SC Exercise Gross]]) / (SnapshotTable[[#This Row],[SC Qty]] * 100), "")</f>
        <v/>
      </c>
      <c r="FQ74" s="27" t="str">
        <f>IF(SnapshotTable[[#This Row],[SC Is Booked]],SnapshotTable[[#This Row],[SC Time Val]] /SnapshotTable[[#This Row],[SC Basis]], "")</f>
        <v/>
      </c>
      <c r="FR74" s="27" t="str" cm="1">
        <f t="array" ref="FR74">IF(AND(ISNUMBER(SnapshotTable[[#This Row],[SC Term]]),ISNUMBER(SnapshotTable[[#This Row],[SC Simple ROO]])), EllmanAnnualize(SnapshotTable[[#This Row],[SC DTE]], SnapshotTable[[#This Row],[SC Simple ROO]] ),"")</f>
        <v/>
      </c>
      <c r="FS74" s="4" t="e">
        <f>IF(SnapshotTable[[#This Row],[SC Strike Price]] &gt; SnapshotTable[[#This Row],[Last Price]], SnapshotTable[[#This Row],[SC Strike Price]] - SnapshotTable[[#This Row],[Last Price]],0)</f>
        <v>#VALUE!</v>
      </c>
      <c r="FT74" s="27" t="e">
        <f>IF(AND(ISNUMBER(SnapshotTable[[#This Row],[SC Upside Potential]]), SnapshotTable[[#This Row],[SC Upside Potential]] &gt; 0),(SnapshotTable[[#This Row],[SC Upside Potential]]/ SnapshotTable[[#This Row],[ACB]]),"")</f>
        <v>#VALUE!</v>
      </c>
      <c r="FU74" s="333" t="str">
        <f>IF(SnapshotTable[[#This Row],[SC Intrinsic Value]] &gt; 0,SnapshotTable[[#This Row],[SC Intrinsic Value]],"")</f>
        <v/>
      </c>
      <c r="FV74" s="27" t="str">
        <f>IF(AND( ISNUMBER( SnapshotTable[[#This Row],[ACB]]),ISNUMBER(SnapshotTable[[#This Row],[SC Downside Protect]])),SnapshotTable[[#This Row],[SC Downside Protect]] / SnapshotTable[[#This Row],[ACB]],"")</f>
        <v/>
      </c>
      <c r="FW74" s="236" t="str">
        <f>IF(AND(ISNUMBER(SnapshotTable[[#This Row],[SC Simple ROO]]),SnapshotTable[[#This Row],[SC Simple ROO]] &gt; 0), SnapshotTable[[#This Row],[SC Premium]] + (SnapshotTable[[#This Row],[SC Qty]] * SnapshotTable[[#This Row],[SC Upside Potential]]), "")</f>
        <v/>
      </c>
      <c r="FX74" s="302" t="str" cm="1">
        <f t="array" ref="FX74">IF(ISNUMBER(SnapshotTable[[#This Row],[SC Max Dollars]]), annualize(SnapshotTable[[#This Row],[SC Term]],(SnapshotTable[[#This Row],[SC Max Dollars]]/SnapshotTable[[#This Row],[SC Basis]])),"")</f>
        <v/>
      </c>
      <c r="FY74" s="236" t="str">
        <f>IF(AND(SnapshotTable[[#This Row],[SC Qty]]&gt;0,SnapshotTable[[#This Row],[SC Current Ask]]&gt;0), SnapshotTable[[#This Row],[SC Qty]] * SnapshotTable[[#This Row],[SC Current Ask]] * -100, "")</f>
        <v/>
      </c>
      <c r="FZ74" s="31" t="str">
        <f>IF(ISNUMBER((SnapshotTable[[#This Row],[SC Current Value]])), SnapshotTable[[#This Row],[SC Premium]] + SnapshotTable[[#This Row],[SC Current Value]], "")</f>
        <v/>
      </c>
      <c r="GA74" s="294" t="str">
        <f>IFERROR( IF(ISNUMBER((SnapshotTable[[#This Row],[SC Current Value]])), SnapshotTable[[#This Row],[SC Gain Loss]] / SnapshotTable[[#This Row],[SC Premium]], ""), "")</f>
        <v/>
      </c>
      <c r="GB74" s="42">
        <f>SnapshotTable[[#This Row],[Equity Shares]] * SaleSharesToConsiderPercentage</f>
        <v>0</v>
      </c>
      <c r="GC74" s="40">
        <f>SnapshotTable[[#This Row],[Long Term Target]] * SellingPriceToConsiderBasedOnTargetPercentage</f>
        <v>66.063000000000002</v>
      </c>
      <c r="GD74" s="40">
        <f>SnapshotTable[[#This Row],[Last Price]] * (1+ SellingPriceToConsiderBasedOnTargetPercentage)</f>
        <v>1.95</v>
      </c>
      <c r="GE74" s="41"/>
      <c r="GF74" s="40"/>
      <c r="GG74" s="31">
        <f>SnapshotTable[[#This Row],[Booked Sale Shares]] * SnapshotTable[[#This Row],[Booked Sale Price]]</f>
        <v>0</v>
      </c>
      <c r="GH74" s="31" t="str">
        <f>IF(SnapshotTable[[#This Row],[Equity Basis Total]] &gt; 0, SnapshotTable[[#This Row],[Equity Basis Per Share]] * SnapshotTable[[#This Row],[Booked Sale Shares]], "")</f>
        <v/>
      </c>
      <c r="GI74" s="31">
        <f>IF(SnapshotTable[[#This Row],[Sale Proceeds]]&gt;0, SnapshotTable[[#This Row],[Sale Proceeds]] - SnapshotTable[[#This Row],[Sale Basis]], 0)</f>
        <v>0</v>
      </c>
      <c r="GJ74" s="27" t="str">
        <f>IF(SnapshotTable[[#This Row],[Sale G/L]]&gt;0, SnapshotTable[[#This Row],[Sale G/L]] / SnapshotTable[[#This Row],[Sale Basis]], IF(ISNUMBER(SnapshotTable[[#This Row],[SC Exercise P&amp;L (TAX)]]), SnapshotTable[[#This Row],[SC Exercise P&amp;L (TAX)]] / SnapshotTable[[#This Row],[SC Basis]], ""))</f>
        <v/>
      </c>
      <c r="GK74" s="27" t="s">
        <v>656</v>
      </c>
      <c r="GL74" s="43" t="str">
        <f>IF(AND(SnapshotTable[[#This Row],[LP Exp Date]]&gt;0,SnapshotTable[[#This Row],[LP Strike Price]]&gt;0), [1]!ToOptionSymbol(SnapshotTable[[#This Row],[Symbol]], SnapshotTable[[#This Row],[LP Strike Price]],SnapshotTable[[#This Row],[LP Exp Date]],1), "")</f>
        <v/>
      </c>
      <c r="GM74" s="30" t="str">
        <f>IF(LEN(SnapshotTable[[#This Row],[LP Symbol]])&gt;0, 1, "")</f>
        <v/>
      </c>
      <c r="GN74" s="43" t="str">
        <f>IF(AND(SnapshotTable[[#This Row],[SP Exp Date]]&gt;0,SnapshotTable[[#This Row],[SP Strike Price]]&gt;0), [1]!ToOptionSymbol(SnapshotTable[[#This Row],[Symbol]], SnapshotTable[[#This Row],[SP Strike Price]],SnapshotTable[[#This Row],[SP Exp Date]],1), "")</f>
        <v/>
      </c>
      <c r="GO74" s="30" t="str">
        <f>IF(LEN(SnapshotTable[[#This Row],[SP Symbol]])&gt;0, 1, "")</f>
        <v/>
      </c>
      <c r="GP74" s="43" t="str">
        <f>IF(AND(SnapshotTable[[#This Row],[LC Exp Date]]&gt;0,SnapshotTable[[#This Row],[LC Strike Price]]&gt;0), [1]!ToOptionSymbol(SnapshotTable[[#This Row],[Symbol]], SnapshotTable[[#This Row],[LC Strike Price]],SnapshotTable[[#This Row],[LC Exp Date]],0), "")</f>
        <v/>
      </c>
      <c r="GQ74" s="30" t="str">
        <f>IF(LEN(SnapshotTable[[#This Row],[LC Symbol]])&gt;0, 1, "")</f>
        <v/>
      </c>
      <c r="GR74" s="43" t="str">
        <f>IF(AND(SnapshotTable[[#This Row],[SC Exp Date]]&gt;0,SnapshotTable[[#This Row],[SC Strike Price]]&gt;0), [1]!ToOptionSymbol(SnapshotTable[[#This Row],[Symbol]], SnapshotTable[[#This Row],[SC Strike Price]],SnapshotTable[[#This Row],[SC Exp Date]],0), "")</f>
        <v/>
      </c>
      <c r="GS74" s="30" t="str">
        <f>IF(LEN(SnapshotTable[[#This Row],[SC Symbol]])&gt;0, 1, "")</f>
        <v/>
      </c>
      <c r="GT74" s="29" t="str">
        <f>IF(COUNT(SnapshotTable[[#This Row],[LP Symbol Count]],SnapshotTable[[#This Row],[SP Symbol Count]],SnapshotTable[[#This Row],[LC Symbol Count]],SnapshotTable[[#This Row],[SC Symbol Count]])&gt;0, "Y", "")</f>
        <v/>
      </c>
      <c r="GU7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4" s="231" t="e">
        <f>MAX(SnapshotTable[[#This Row],[Equity Basis Total]],SnapshotTable[[#This Row],[Equity Value]]) + (SnapshotTable[[#This Row],[SP Potential Spend]]- SnapshotTable[[#This Row],[SP Premium]] + SnapshotTable[[#This Row],[LP Premium]])+ (SnapshotTable[[#This Row],[LC Premium]] - SnapshotTable[[#This Row],[SC Premium]])</f>
        <v>#VALUE!</v>
      </c>
      <c r="GW74" s="139" t="e">
        <f>IF(AND(SnapshotTable[[#This Row],[Exposure]] &lt;&gt; 0),SnapshotTable[[#This Row],[Exposure]] / SnapshotTable[[#Totals],[Exposure]], "")</f>
        <v>#VALUE!</v>
      </c>
      <c r="GY74" s="381"/>
      <c r="HE74" s="268"/>
      <c r="HF74" s="268"/>
      <c r="HG74" s="381"/>
      <c r="HH74" s="381"/>
      <c r="HI74" s="381"/>
      <c r="HJ74" s="381"/>
    </row>
    <row r="75" spans="2:224" ht="12.75" hidden="1" customHeight="1" x14ac:dyDescent="0.25">
      <c r="B75" s="12" t="s">
        <v>174</v>
      </c>
      <c r="C75" s="422">
        <v>48.91</v>
      </c>
      <c r="D75" s="208"/>
      <c r="E75" s="39">
        <f>SnapshotTable[[#This Row],[Last Price]]*(1 -CrashDiscount)</f>
        <v>41.573499999999996</v>
      </c>
      <c r="F75" s="26" t="s">
        <v>105</v>
      </c>
      <c r="G75" s="26" t="s">
        <v>14</v>
      </c>
      <c r="H75" s="149"/>
      <c r="I75" s="194">
        <v>44770.270833333336</v>
      </c>
      <c r="J75" s="195">
        <v>44770.270833333336</v>
      </c>
      <c r="K75" s="196"/>
      <c r="L75" s="326"/>
      <c r="M75" s="140"/>
      <c r="N75" s="140"/>
      <c r="O75" s="140"/>
      <c r="P75" s="22"/>
      <c r="Q75" s="25"/>
      <c r="R75" s="4" t="str">
        <f>IF(SnapshotTable[[#This Row],[Equity Basis Total]] &gt; 0, SnapshotTable[[#This Row],[Equity Basis Total]] / SnapshotTable[[#This Row],[Equity Shares]], "")</f>
        <v/>
      </c>
      <c r="S75" s="269">
        <f>SnapshotTable[[#This Row],[Last Price]] * SnapshotTable[[#This Row],[Equity Shares]]</f>
        <v>0</v>
      </c>
      <c r="T75" s="269">
        <f>SnapshotTable[[#This Row],[Equity Value]] - SnapshotTable[[#This Row],[Equity Basis Total]]</f>
        <v>0</v>
      </c>
      <c r="U75" s="270" t="str">
        <f>IF(SnapshotTable[[#This Row],[Equity Basis Total]] &gt; 0, SnapshotTable[[#This Row],[Equity G/L]] / SnapshotTable[[#This Row],[Equity Basis Total]], "")</f>
        <v/>
      </c>
      <c r="V75" s="268"/>
      <c r="W75" s="268"/>
      <c r="X75" s="4" t="str">
        <f>IF(AND(ISNUMBER(SnapshotTable[[#This Row],[Equity Basis Per Share]]),ISNUMBER(SnapshotTable[[#This Row],[Equity Target]])),SnapshotTable[[#This Row],[Equity Target]]-SnapshotTable[[#This Row],[Equity Basis Per Share]],"")</f>
        <v/>
      </c>
      <c r="Y75" s="4" t="str">
        <f>IF(AND(ISNUMBER(SnapshotTable[[#This Row],[Equity Basis Per Share]]),ISNUMBER(SnapshotTable[[#This Row],[Equity Stop Loss]])),SnapshotTable[[#This Row],[Equity Stop Loss]]-SnapshotTable[[#This Row],[Equity Basis Per Share]],"")</f>
        <v/>
      </c>
      <c r="Z75" s="275" t="str">
        <f>IFERROR( TEXT(SnapshotTable[[#This Row],[Equity Max Gain Per Share]] /ABS( SnapshotTable[[#This Row],[Equity Max Loss Per Share]]),"0.0 " ) &amp; " : 1", "")</f>
        <v/>
      </c>
      <c r="AA75" s="31" t="str">
        <f>IF(ISNUMBER(SnapshotTable[[#This Row],[Equity Max Gain Per Share]]),SnapshotTable[[#This Row],[Equity Max Gain Per Share]] * SnapshotTable[[#This Row],[Equity Shares]],"")</f>
        <v/>
      </c>
      <c r="AB75" s="31" t="str">
        <f>IF(ISNUMBER(SnapshotTable[[#This Row],[Equity Max Loss Per Share]]),SnapshotTable[[#This Row],[Equity Max Loss Per Share]] * SnapshotTable[[#This Row],[Equity Shares]],"")</f>
        <v/>
      </c>
      <c r="AC75" s="150"/>
      <c r="AD75" s="151"/>
      <c r="AE75" s="31">
        <f>(SnapshotTable[[#This Row],[Annual Dividend Per Share]] / 4) * SnapshotTable[[#This Row],[Equity Shares]]</f>
        <v>0</v>
      </c>
      <c r="AF75" s="31">
        <f>SnapshotTable[[#This Row],[Quarterly Div $]] * 4</f>
        <v>0</v>
      </c>
      <c r="AG75" s="7">
        <f>IF(SnapshotTable[[#This Row],[Annual Dividend Per Share]]&gt;0, SnapshotTable[[#This Row],[Annual Dividend Per Share]]  / SnapshotTable[[#This Row],[Last Price]], 0)</f>
        <v>0</v>
      </c>
      <c r="AH75" s="151"/>
      <c r="AI75" s="5">
        <v>0.01</v>
      </c>
      <c r="AJ75" s="138">
        <v>62.89</v>
      </c>
      <c r="AK75" s="152">
        <f>IF(ISNUMBER( SnapshotTable[[#This Row],[EBF Target]]),(SnapshotTable[[#This Row],[EBF Target]] - SnapshotTable[[#This Row],[Last Price]]) / SnapshotTable[[#This Row],[Last Price]], "")</f>
        <v>-0.99979554283377636</v>
      </c>
      <c r="AL75" s="152" t="str">
        <f>IF(AND(SnapshotTable[[#This Row],[Equity Basis Total]] &gt; 0,ISNUMBER( SnapshotTable[[#This Row],[Long Term Target]])), SnapshotTable[[#This Row],[From Basis $]] / SnapshotTable[[#This Row],[Equity Basis Total]], "")</f>
        <v/>
      </c>
      <c r="AM75" s="9">
        <f>IF( AND(SnapshotTable[[#This Row],[Equity Shares]] &gt;0,ISNUMBER( SnapshotTable[[#This Row],[Long Term Target]])),(SnapshotTable[[#This Row],[Equity Shares]] * SnapshotTable[[#This Row],[Long Term Target]]) - SnapshotTable[[#This Row],[Equity Basis Total]],0)</f>
        <v>0</v>
      </c>
      <c r="AN75" s="9">
        <f>IF( AND(SnapshotTable[[#This Row],[Equity Shares]] &gt;0,ISNUMBER( SnapshotTable[[#This Row],[Long Term Target]])),(SnapshotTable[[#This Row],[Equity Shares]]*SnapshotTable[[#This Row],[Long Term Target]]) - SnapshotTable[[#This Row],[Equity Value]],0)</f>
        <v>0</v>
      </c>
      <c r="AO75" s="152">
        <f>IF(AND(ISNUMBER( SnapshotTable[[#This Row],[Long Term Target]]), ISNUMBER(SnapshotTable[[#This Row],[Last Price]])),(SnapshotTable[[#This Row],[Long Term Target]] - SnapshotTable[[#This Row],[Last Price]]) / SnapshotTable[[#This Row],[Last Price]], "")</f>
        <v>0.28583111838069936</v>
      </c>
      <c r="AP75" s="5"/>
      <c r="AQ75" s="38"/>
      <c r="AR75" s="5"/>
      <c r="AS75" s="38"/>
      <c r="AT75" s="146"/>
      <c r="AU75" s="187" t="str">
        <f>IF(OR(SnapshotTable[[#This Row],[LP No Fill]]="Y",SnapshotTable[[#This Row],[SP Is Filled]],SnapshotTable[[#This Row],[LC Not Filled]]="Y",SnapshotTable[[#This Row],[SC Is Filled]]),"Y","")</f>
        <v/>
      </c>
      <c r="AV75" s="219"/>
      <c r="AW75" s="225"/>
      <c r="AX75" s="220"/>
      <c r="AY75" s="219" t="str">
        <f>IF(SnapshotTable[[#This Row],[Implied Move]]&gt;0, SnapshotTable[[#This Row],[Last Price]]-SnapshotTable[[#This Row],[Implied Move]],"")</f>
        <v/>
      </c>
      <c r="AZ75" s="219" t="str">
        <f>IF(SnapshotTable[[#This Row],[Implied Move]]&gt;0, SnapshotTable[[#This Row],[Last Price]] + SnapshotTable[[#This Row],[Implied Move]],"")</f>
        <v/>
      </c>
      <c r="BA75" s="331"/>
      <c r="BB75" s="347"/>
      <c r="BC7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5" s="351"/>
      <c r="BE75" s="5"/>
      <c r="BF75" s="14"/>
      <c r="BG75" s="13"/>
      <c r="BH75" s="13"/>
      <c r="BI75" s="5"/>
      <c r="BJ75" s="136">
        <f>IF(SnapshotTable[[#This Row],[LP Qty]] &gt; 0, SnapshotTable[[#This Row],[LP Qty]] * SnapshotTable[[#This Row],[LP Book Price]] * 100,0)</f>
        <v>0</v>
      </c>
      <c r="BK75" s="136">
        <f>IF(SnapshotTable[[#This Row],[LP Premium]] &gt; 0, SnapshotTable[[#This Row],[LP Qty]] * SnapshotTable[[#This Row],[LP Strike Price]] * 100,0)</f>
        <v>0</v>
      </c>
      <c r="BL75" s="154"/>
      <c r="BM75" s="385" t="str">
        <f>IF(SnapshotTable[[#This Row],[LP Premium]] &gt; 0,SnapshotTable[[#This Row],[LP Exp Date]]-MAX(SnapshotTable[[#This Row],[LP Book Date]], SnapshotTable[[#This Row],[LP Fill Date]]),"")</f>
        <v/>
      </c>
      <c r="BN75" s="385" t="str">
        <f>IF(ISNUMBER( SnapshotTable[[#This Row],[LP Term]]), SnapshotTable[[#This Row],[LP Exp Date]] - MockToday,"")</f>
        <v/>
      </c>
      <c r="BO75" s="163" t="str">
        <f>IF(AND(SnapshotTable[[#This Row],[LP Exp Date]]&gt;0, SnapshotTable[[#This Row],[LP Strike Price]]&gt;0,SnapshotTable[[#This Row],[LP Qty]]&gt;0,SnapshotTable[[#This Row],[LP Book Date]]&gt;0,SnapshotTable[[#This Row],[LP Book Price]]&gt;0,SnapshotTable[[#This Row],[LP Fill Date]]=0),"Y","")</f>
        <v/>
      </c>
      <c r="BP75" s="31" t="str">
        <f>IF(AND(SnapshotTable[[#This Row],[LP No Fill]]&lt;&gt;"Y",SnapshotTable[[#This Row],[LP Contract Value]]&gt;0, SnapshotTable[[#This Row],[LP Qty]]&gt;0), SnapshotTable[[#This Row],[LP Contract Value]]*SnapshotTable[[#This Row],[LP Qty]]*100,"")</f>
        <v/>
      </c>
      <c r="BQ75" s="13"/>
      <c r="BR75" s="5" t="str">
        <f>IF(SnapshotTable[[#This Row],[SP Exp Date]]&lt;&gt;"",TRUNC(SnapshotTable[[#This Row],[Last Price]]),"")</f>
        <v/>
      </c>
      <c r="BS75" s="36"/>
      <c r="BT75" s="147"/>
      <c r="BU75" s="13"/>
      <c r="BV75" s="5"/>
      <c r="BW75" s="419" t="b">
        <f>AND(ISNUMBER(SnapshotTable[[#This Row],[SP Exp Date]]), ISNUMBER(SnapshotTable[[#This Row],[SP Strike Price]]), ISNUMBER(SnapshotTable[[#This Row],[SP Qty]]), ISNUMBER(SnapshotTable[[#This Row],[SP Book Date]]), ISNUMBER(SnapshotTable[[#This Row],[SP Book Price]]))</f>
        <v>0</v>
      </c>
      <c r="BX75" s="419" t="b">
        <f>AND(SnapshotTable[[#This Row],[SP Is Booked]], NOT(ISBLANK(SnapshotTable[[#This Row],[SP Fill Date]])))</f>
        <v>0</v>
      </c>
      <c r="BY75" s="33">
        <f>IF(SnapshotTable[[#This Row],[SP Is Booked]], SnapshotTable[[#This Row],[SP Qty]] * SnapshotTable[[#This Row],[SP Book Price]] * 100, 0)</f>
        <v>0</v>
      </c>
      <c r="BZ75" s="369"/>
      <c r="CA75" s="368">
        <f>SnapshotTable[[#This Row],[LP Qty]]</f>
        <v>0</v>
      </c>
      <c r="CB75" s="4" t="str">
        <f>IF(SnapshotTable[[#This Row],[SP Is Booked]], SnapshotTable[[#This Row],[SP Strike Price]] - SnapshotTable[[#This Row],[SP Book Price]], "")</f>
        <v/>
      </c>
      <c r="CC75" s="19" t="str">
        <f>IF(SnapshotTable[[#This Row],[SP Is Booked]],SnapshotTable[[#This Row],[SP Exp Date]]-MAX(SnapshotTable[[#This Row],[SP Book Date]], SnapshotTable[[#This Row],[SP Fill Date]]),"")</f>
        <v/>
      </c>
      <c r="CD75" s="7" t="str">
        <f>IF(SnapshotTable[[#This Row],[SP Is Booked]], SnapshotTable[[#This Row],[SP Book Price]]/SnapshotTable[[#This Row],[SP Strike Price]], "")</f>
        <v/>
      </c>
      <c r="CE75" s="7" t="str">
        <f>IF(ISNUMBER(SnapshotTable[[#This Row],[SP ROO Term]]),SnapshotTable[[#This Row],[SP ROO Term]]*(365/SnapshotTable[[#This Row],[SP Term]]),"")</f>
        <v/>
      </c>
      <c r="CF75" s="236">
        <f>SnapshotTable[[#This Row],[LP Strike Price]] * SnapshotTable[[#This Row],[LP Qty]] * 100</f>
        <v>0</v>
      </c>
      <c r="CG75" s="31" t="e">
        <f>IF(ISNUMBER(SnapshotTable[[#This Row],[SP Premium]]), (SnapshotTable[[#This Row],[SP Qty]] * SnapshotTable[[#This Row],[SP Strike Price]]* 100) - SnapshotTable[[#This Row],[LP Protection]], 0)</f>
        <v>#VALUE!</v>
      </c>
      <c r="CH75" s="7" t="str">
        <f>IF(ISNUMBER(SnapshotTable[[#This Row],[SP Break Even]]),-1 * (SnapshotTable[[#This Row],[SP Break Even]] - SnapshotTable[[#This Row],[Last Price]]) / SnapshotTable[[#This Row],[Last Price]], "")</f>
        <v/>
      </c>
      <c r="CI75" s="31">
        <f>IF(AND(ISNUMBER((SnapshotTable[[#This Row],[SP Potential Spend]])), SnapshotTable[[#This Row],[SP Strike Price]] &gt; SnapshotTable[[#This Row],[Last Price]], SnapshotTable[[#This Row],[SP Is Filled]]), SnapshotTable[[#This Row],[SP Potential Spend]] -  SnapshotTable[[#This Row],[LP Max Value]], 0)</f>
        <v>0</v>
      </c>
      <c r="CJ75" s="244"/>
      <c r="CK75" s="31" t="str">
        <f>IF(ISNUMBER(SnapshotTable[[#This Row],[SP Potential Spend]]),IF(ISNUMBER(SnapshotTable[[#This Row],[SP POW]]), SnapshotTable[[#This Row],[SP POW]] * SnapshotTable[[#This Row],[SP Potential Spend]], SnapshotTable[[#This Row],[SP Potential Spend]]), "")</f>
        <v/>
      </c>
      <c r="CL75" s="164" t="e">
        <f>IF(NOT(SnapshotTable[[#This Row],[SP Is Filled]]),(SnapshotTable[[#This Row],[SP Qty]] * SnapshotTable[[#This Row],[SP Strike Price]] * 100) - SnapshotTable[[#This Row],[LP Max Value]],"")</f>
        <v>#VALUE!</v>
      </c>
      <c r="CM75" s="31" t="str">
        <f>IF(SnapshotTable[[#This Row],[SP Actual Spend]]&lt;&gt;0, ((SnapshotTable[[#This Row],[SP Strike Price]]-SnapshotTable[[#This Row],[Last Price]]) *(SnapshotTable[[#This Row],[SP Qty]]*100) - SnapshotTable[[#This Row],[SP Premium]]) * - 1, "")</f>
        <v/>
      </c>
      <c r="CN75" s="78"/>
      <c r="CO75" s="369"/>
      <c r="CP75" s="4" t="str">
        <f>IF(SnapshotTable[[#This Row],[SP Is Filled]], btc_max_buyback_amount(SnapshotTable[[#This Row],[SP Fill Date]],SnapshotTable[[#This Row],[SP Exp Date]], SnapshotTable[[#This Row],[SP Book Price]]),"")</f>
        <v/>
      </c>
      <c r="CQ75" s="78"/>
      <c r="CR7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5" s="155" t="str">
        <f>IF(SnapshotTable[[#This Row],[SP Is Filled]], btc_next_cutoff_date(SnapshotTable[[#This Row],[SP Fill Date]],SnapshotTable[[#This Row],[SP Exp Date]]),"")</f>
        <v/>
      </c>
      <c r="CT75" s="235" t="str" cm="1">
        <f t="array" ref="CT75">IF(SnapshotTable[[#This Row],[SP Is Filled]], btc_should_buy_back(SnapshotTable[[#This Row],[SP Fill Date]], SnapshotTable[[#This Row],[SP Exp Date]], SnapshotTable[[#This Row],[SP Book Price]], SnapshotTable[[#This Row],[SP Current Ask]], MockToday, SnapshotTable[[#This Row],[SP Buyback Override]]),"")</f>
        <v/>
      </c>
      <c r="CU75" s="143"/>
      <c r="CV75" s="235"/>
      <c r="CW75" s="378" t="str">
        <f>IF(ISNUMBER( SnapshotTable[[#This Row],[SP Term]]), SnapshotTable[[#This Row],[SP Exp Date]] - MockToday,"")</f>
        <v/>
      </c>
      <c r="CX75" s="31" t="str">
        <f>IF(SnapshotTable[[#This Row],[SP Is Filled]],SnapshotTable[[#This Row],[SP Buyback Price to Use]] * 100 * SnapshotTable[[#This Row],[SP Qty]], "")</f>
        <v/>
      </c>
      <c r="CY75" s="4" t="str">
        <f>IF(ISNUMBER(SnapshotTable[[#This Row],[SP Strike Price]]), SnapshotTable[[#This Row],[SP Strike Price]] * (1 - SP_MaxLoss_StrikePct), "")</f>
        <v/>
      </c>
      <c r="CZ75" s="31" t="str">
        <f>IF(ISNUMBER(SnapshotTable[[#This Row],[SP Strike  Stop Per Share]]),SnapshotTable[[#This Row],[SP Premium]] - ((SnapshotTable[[#This Row],[SP Strike Price]]-SnapshotTable[[#This Row],[SP Strike  Stop Per Share]]) *(SnapshotTable[[#This Row],[SP Qty]] * 100)),"")</f>
        <v/>
      </c>
      <c r="DA75" s="4" t="str">
        <f>IF(AND(ISNUMBER(SnapshotTable[[#This Row],[SP Premium]]),SnapshotTable[[#This Row],[SP Premium]]&gt;0), SnapshotTable[[#This Row],[SP Book Price]] * (1 + SP_MaxLoss_OptionPct), "")</f>
        <v/>
      </c>
      <c r="DB75" s="31" t="str">
        <f>IF(ISNUMBER(SnapshotTable[[#This Row],[SP Option  Stop Contract]]),(SnapshotTable[[#This Row],[SP Option  Stop Contract]] *(SnapshotTable[[#This Row],[SP Qty]] * 100) - SnapshotTable[[#This Row],[SP Premium]]),"")</f>
        <v/>
      </c>
      <c r="DC75" s="4"/>
      <c r="DD75" s="4"/>
      <c r="DE75" s="4" t="str">
        <f>IF(AND(SnapshotTable[[#This Row],[SP Qty]]&gt;0, SnapshotTable[[#This Row],[SP Stop To Use]]&gt;0),SnapshotTable[[#This Row],[SP Premium]] - ( SnapshotTable[[#This Row],[SP Qty]] * SnapshotTable[[#This Row],[SP Stop To Use]] * 100), "")</f>
        <v/>
      </c>
      <c r="DF75" s="31" t="str">
        <f>IF(AND(SnapshotTable[[#This Row],[SP Qty]]&gt;0,SnapshotTable[[#This Row],[SP Current Ask]]&gt;0), SnapshotTable[[#This Row],[SP Qty]] * SnapshotTable[[#This Row],[SP Current Ask]] * -100, "")</f>
        <v/>
      </c>
      <c r="DG75" s="31" t="str">
        <f>IF(ISNUMBER((SnapshotTable[[#This Row],[SP Total Value]])), SnapshotTable[[#This Row],[SP Premium]] + SnapshotTable[[#This Row],[SP Total Value]], "")</f>
        <v/>
      </c>
      <c r="DH75" s="294" t="str">
        <f>IF(ISNUMBER((SnapshotTable[[#This Row],[SP Total Value]])), SnapshotTable[[#This Row],[SP Gain Loss]] / SnapshotTable[[#This Row],[SP Premium]], "")</f>
        <v/>
      </c>
      <c r="DI75" s="406"/>
      <c r="DJ75" s="138"/>
      <c r="DK75" s="148"/>
      <c r="DL75" s="13"/>
      <c r="DM75" s="13"/>
      <c r="DO75" s="31">
        <f>IF(SnapshotTable[[#This Row],[LC Symbol Count]]=1, SnapshotTable[[#This Row],[LC Qty]] * SnapshotTable[[#This Row],[LC Book Price]] * 100, 0)</f>
        <v>0</v>
      </c>
      <c r="DP75" s="163" t="str">
        <f>IF(AND(SnapshotTable[[#This Row],[LC Exp Date]]&gt;0, SnapshotTable[[#This Row],[LC Strike Price]]&gt;0,SnapshotTable[[#This Row],[LC Qty]]&gt;0,SnapshotTable[[#This Row],[LC Book Date]]&gt;0,SnapshotTable[[#This Row],[LC Book Price]]&gt;0,SnapshotTable[[#This Row],[LC Fill Date]]=0),"Y","")</f>
        <v/>
      </c>
      <c r="DQ75" s="386" t="str">
        <f>IF(SnapshotTable[[#This Row],[LC Premium]] &gt; 0,SnapshotTable[[#This Row],[LC Exp Date]]-MAX(SnapshotTable[[#This Row],[LC Book Date]], SnapshotTable[[#This Row],[LC Fill Date]]),"")</f>
        <v/>
      </c>
      <c r="DR75" s="386" t="str">
        <f>IF(ISNUMBER(SnapshotTable[[#This Row],[LC Term]]), SnapshotTable[[#This Row],[LC Exp Date]] - MockToday, "")</f>
        <v/>
      </c>
      <c r="DS75" s="234" t="str">
        <f>IF(SnapshotTable[[#This Row],[LC Premium]]&gt;0,SnapshotTable[[#This Row],[LC Strike Price]] + SnapshotTable[[#This Row],[LC Book Price]],"")</f>
        <v/>
      </c>
      <c r="DU75" s="9" t="str">
        <f>IF(AND(SnapshotTable[[#This Row],[LC Symbol Count]]&gt;0, SnapshotTable[[#This Row],[LC Contract Value]]&gt;0), SnapshotTable[[#This Row],[LC Contract Value]] * SnapshotTable[[#This Row],[LC Qty]] * 100, "")</f>
        <v/>
      </c>
      <c r="DV75" s="9" t="str">
        <f>IF(AND(ISNUMBER(SnapshotTable[[#This Row],[LC Total Value]]), SnapshotTable[[#This Row],[LC Not Filled]]&lt;&gt;"Y"), SnapshotTable[[#This Row],[LC Total Value]]-SnapshotTable[[#This Row],[LC Premium]],"")</f>
        <v/>
      </c>
      <c r="DW75" s="240" t="str">
        <f>IF(ISNUMBER(SnapshotTable[[#This Row],[LC Actual Gain Loss]]), SnapshotTable[[#This Row],[LC Actual Gain Loss]] / SnapshotTable[[#This Row],[LC Premium]],"")</f>
        <v/>
      </c>
      <c r="DX75" s="284" t="str">
        <f>IF(ISNUMBER(SnapshotTable[[#This Row],[LC Book Price]]),SnapshotTable[[#This Row],[LC Book Price]] * 1.5,"")</f>
        <v/>
      </c>
      <c r="DY75" s="265" t="str">
        <f>IF(SnapshotTable[[#This Row],[LC Premium]]&gt;0, SnapshotTable[[#This Row],[LC Next Target]] * SnapshotTable[[#This Row],[LC Qty]] * 100,"")</f>
        <v/>
      </c>
      <c r="DZ75" s="265" t="str">
        <f>IF(ISNUMBER(SnapshotTable[[#This Row],[LC Target Gross]]), SnapshotTable[[#This Row],[LC Target Gross]] - SnapshotTable[[#This Row],[LC Premium]], "")</f>
        <v/>
      </c>
      <c r="EA75" s="305" t="str">
        <f>IF(ISNUMBER(SnapshotTable[[#This Row],[LC Target Gain Loss]]), SnapshotTable[[#This Row],[LC Target Gain Loss]]/SnapshotTable[[#This Row],[LC Premium]], "")</f>
        <v/>
      </c>
      <c r="EB75" s="262"/>
      <c r="EC75" s="283" t="str">
        <f>IF(SnapshotTable[[#This Row],[LC Premium]]&gt;0, SnapshotTable[[#This Row],[LC Book Price]] * (1 - LC_StopLoss_Pct),"")</f>
        <v/>
      </c>
      <c r="ED75" s="284"/>
      <c r="EE75" s="283" t="str">
        <f>IF(ISNUMBER(SnapshotTable[[#This Row],[LC Contract Value]]),IF(ISNUMBER(SnapshotTable[[#This Row],[LC Stop Loss Override]]), SnapshotTable[[#This Row],[LC Stop Loss Override]],SnapshotTable[[#This Row],[LC Stop Loss Calc Target]]),"")</f>
        <v/>
      </c>
      <c r="EF75" s="31" t="str">
        <f>IF(ISNUMBER(SnapshotTable[[#This Row],[LC Stop  To Use]]), (SnapshotTable[[#This Row],[LC Stop  To Use]] * SnapshotTable[[#This Row],[LC Qty]] * 100),"")</f>
        <v/>
      </c>
      <c r="EG75" s="9" t="str">
        <f>IF(ISNUMBER(SnapshotTable[[#This Row],[LC Total Value]]),SnapshotTable[[#This Row],[LC Stop Loss Amount]] - SnapshotTable[[#This Row],[LC Premium]],"")</f>
        <v/>
      </c>
      <c r="EH75" s="9">
        <f>IF(ISNUMBER(SnapshotTable[[#This Row],[LC Premium]]), SnapshotTable[[#This Row],[LC Qty]] * 100 * SnapshotTable[[#This Row],[LC Strike Price]], "")</f>
        <v>0</v>
      </c>
      <c r="EI75" s="240" t="str">
        <f>IF(AND(ISNUMBER(SnapshotTable[[#This Row],[LC Total Value]]),SnapshotTable[[#This Row],[LC Total Value]]&gt;0),SnapshotTable[[#This Row],[LC Stop Gain Loss]]  / SnapshotTable[[#This Row],[LC Premium]],"")</f>
        <v/>
      </c>
      <c r="EJ75" s="35">
        <f>IF(ISNUMBER(SnapshotTable[[#This Row],[Equity Shares]]),TRUNC(SnapshotTable[[#This Row],[Equity Shares]] / 100),0) + SnapshotTable[[#This Row],[LC Qty]]</f>
        <v>0</v>
      </c>
      <c r="EK75" s="147"/>
      <c r="EL75" s="138" t="str">
        <f>IF(SnapshotTable[[#This Row],[SC Exp Date]]&lt;&gt;"",TRUNC(SnapshotTable[[#This Row],[Last Price]]),"")</f>
        <v/>
      </c>
      <c r="EM75" s="148"/>
      <c r="EN75" s="147"/>
      <c r="EO75" s="147"/>
      <c r="EP75" s="138"/>
      <c r="EQ75" s="419" t="b">
        <f>AND(ISNUMBER(SnapshotTable[[#This Row],[SC Exp Date]]), ISNUMBER(SnapshotTable[[#This Row],[SC Strike Price]]), ISNUMBER(SnapshotTable[[#This Row],[SC Qty]]), ISNUMBER(SnapshotTable[[#This Row],[SC Book Date]]), ISNUMBER(SnapshotTable[[#This Row],[SC Book Price]]))</f>
        <v>0</v>
      </c>
      <c r="ER75" s="419" t="b">
        <f>AND(SnapshotTable[[#This Row],[SC Is Booked]], NOT(ISBLANK(SnapshotTable[[#This Row],[SC Fill Date]])))</f>
        <v>0</v>
      </c>
      <c r="ES75" s="370"/>
      <c r="ET75" s="34" t="str">
        <f>IF(AND(ISNUMBER(SnapshotTable[[#This Row],[SC Exp Date]]), ISNUMBER(SnapshotTable[[#This Row],[SC Book Date]])), SnapshotTable[[#This Row],[SC Exp Date]] - MAX(SnapshotTable[[#This Row],[SC Book Date]], SnapshotTable[[#This Row],[SC Fill Date]]) + 1, "")</f>
        <v/>
      </c>
      <c r="EU75" s="34" t="str">
        <f>IF(ISNUMBER(SnapshotTable[[#This Row],[SC Term]]), SnapshotTable[[#This Row],[SC Exp Date]]- MockToday, "")</f>
        <v/>
      </c>
      <c r="EV75" s="31">
        <f>IF(SnapshotTable[[#This Row],[SC Is Booked]], SnapshotTable[[#This Row],[SC Qty]] * SnapshotTable[[#This Row],[SC Book Price]] * 100, 0)</f>
        <v>0</v>
      </c>
      <c r="EW75" s="4" t="str">
        <f>IF(AND(ISNUMBER(SnapshotTable[[#This Row],[Last Price]]), ISNUMBER( SnapshotTable[[#This Row],[SC Book Price]])), SnapshotTable[[#This Row],[Last Price]] - SnapshotTable[[#This Row],[SC Book Price]],"")</f>
        <v/>
      </c>
      <c r="EX75" s="234" t="str">
        <f>IF(SnapshotTable[[#This Row],[SC Is Booked]],IF(SnapshotTable[[#This Row],[SC Intrinsic Value]] &gt; 0, SnapshotTable[[#This Row],[SC Strike Price]], SnapshotTable[[#This Row],[Last Price]]), "")</f>
        <v/>
      </c>
      <c r="EY75" s="4">
        <f>IF(SnapshotTable[[#This Row],[SC Is Booked]], (MinimumPremiumRequired * SnapshotTable[[#This Row],[SC Basis]] * SnapshotTable[[#This Row],[SC Term]]), 0)</f>
        <v>0</v>
      </c>
      <c r="EZ75" s="283"/>
      <c r="FA75" s="218"/>
      <c r="FB75" s="370"/>
      <c r="FC75" s="4">
        <f>IF(SnapshotTable[[#This Row],[SC Is Filled]], btc_max_buyback_amount(SnapshotTable[[#This Row],[SC Fill Date]],SnapshotTable[[#This Row],[SC Exp Date]], SnapshotTable[[#This Row],[SC Book Price]]),0)</f>
        <v>0</v>
      </c>
      <c r="FD75" s="5"/>
      <c r="FE75" s="144" t="str">
        <f>IF(SnapshotTable[[#This Row],[SC Is Filled]], btc_next_cutoff_date(SnapshotTable[[#This Row],[SC Fill Date]],SnapshotTable[[#This Row],[SC Exp Date]]),"")</f>
        <v/>
      </c>
      <c r="FF75" s="4" t="str" cm="1">
        <f t="array" ref="FF75">IF(SnapshotTable[[#This Row],[SC Is Filled]], btc_should_buy_back(SnapshotTable[[#This Row],[SC Fill Date]], SnapshotTable[[#This Row],[SC Exp Date]], SnapshotTable[[#This Row],[SC Book Price]], SnapshotTable[[#This Row],[SC Current Ask]], MockToday, SnapshotTable[[#This Row],[SC Buyback Override]]),"")</f>
        <v/>
      </c>
      <c r="FG75" s="4">
        <f>IF(SnapshotTable[[#This Row],[SC Is Filled]], MAX(0,SnapshotTable[[#This Row],[Last Price]]  - SnapshotTable[[#This Row],[SC Strike Price]]), 0)</f>
        <v>0</v>
      </c>
      <c r="FH75" s="382">
        <f>IF(SnapshotTable[[#This Row],[SC Is Filled]], IF(ISNUMBER(SnapshotTable[[#This Row],[SC Current Ask]]), SnapshotTable[[#This Row],[SC Current Ask]], SnapshotTable[[#This Row],[SC Book Price]]) - SnapshotTable[[#This Row],[SC Intrinsic Value]], 0)</f>
        <v>0</v>
      </c>
      <c r="FI75" s="143"/>
      <c r="FJ75" s="32" t="str">
        <f>IF(SnapshotTable[[#This Row],[SC Is Filled]],100 * SnapshotTable[[#This Row],[SC Qty]] * IF(ISNUMBER(SnapshotTable[[#This Row],[SC Buyback Override]]), SnapshotTable[[#This Row],[SC Buyback Override]], SnapshotTable[[#This Row],[SC Current Ask]]), "")</f>
        <v/>
      </c>
      <c r="FK75" s="250" t="str">
        <f>IF(SnapshotTable[[#This Row],[SC Time Val]]&gt;0, SnapshotTable[[#This Row],[SC Time Val]] / SnapshotTable[[#This Row],[Last Price]],"")</f>
        <v/>
      </c>
      <c r="FL75" s="302" t="str">
        <f>IF(SnapshotTable[[#This Row],[SC Is Booked]], ((SnapshotTable[[#This Row],[Last Price]] -SnapshotTable[[#This Row],[SC Strike Price]]) / SnapshotTable[[#This Row],[Last Price]]) * -1, "")</f>
        <v/>
      </c>
      <c r="FM75" s="157" t="str">
        <f>IF(SnapshotTable[[#This Row],[SC Is Booked]],  (SnapshotTable[[#This Row],[SC Qty]] * 100 * SnapshotTable[[#This Row],[SC Strike Price]]) - SnapshotTable[[#This Row],[SC Current Ask]], "")</f>
        <v/>
      </c>
      <c r="FN7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5" s="31" t="str">
        <f>IF(AND(ISNUMBER(SnapshotTable[[#This Row],[SC Exercise Gross]]), ISNUMBER(SnapshotTable[[#This Row],[Equity Basis Per Share]] )), SnapshotTable[[#This Row],[SC Exercise Gross]] - SnapshotTable[[#This Row],[Equity Basis Total]] +  SnapshotTable[[#This Row],[SC Premium]], "")</f>
        <v/>
      </c>
      <c r="FP75" s="5" t="str">
        <f>IF(ISNUMBER(SnapshotTable[[#This Row],[SC Exercise Gross]]), (SnapshotTable[[#This Row],[SC Exercise Gross]]) / (SnapshotTable[[#This Row],[SC Qty]] * 100), "")</f>
        <v/>
      </c>
      <c r="FQ75" s="27" t="str">
        <f>IF(SnapshotTable[[#This Row],[SC Is Booked]],SnapshotTable[[#This Row],[SC Time Val]] /SnapshotTable[[#This Row],[SC Basis]], "")</f>
        <v/>
      </c>
      <c r="FR75" s="27" t="str" cm="1">
        <f t="array" ref="FR75">IF(AND(ISNUMBER(SnapshotTable[[#This Row],[SC Term]]),ISNUMBER(SnapshotTable[[#This Row],[SC Simple ROO]])), EllmanAnnualize(SnapshotTable[[#This Row],[SC DTE]], SnapshotTable[[#This Row],[SC Simple ROO]] ),"")</f>
        <v/>
      </c>
      <c r="FS75" s="4" t="e">
        <f>IF(SnapshotTable[[#This Row],[SC Strike Price]] &gt; SnapshotTable[[#This Row],[Last Price]], SnapshotTable[[#This Row],[SC Strike Price]] - SnapshotTable[[#This Row],[Last Price]],0)</f>
        <v>#VALUE!</v>
      </c>
      <c r="FT75" s="27" t="e">
        <f>IF(AND(ISNUMBER(SnapshotTable[[#This Row],[SC Upside Potential]]), SnapshotTable[[#This Row],[SC Upside Potential]] &gt; 0),(SnapshotTable[[#This Row],[SC Upside Potential]]/ SnapshotTable[[#This Row],[ACB]]),"")</f>
        <v>#VALUE!</v>
      </c>
      <c r="FU75" s="333" t="str">
        <f>IF(SnapshotTable[[#This Row],[SC Intrinsic Value]] &gt; 0,SnapshotTable[[#This Row],[SC Intrinsic Value]],"")</f>
        <v/>
      </c>
      <c r="FV75" s="27" t="str">
        <f>IF(AND( ISNUMBER( SnapshotTable[[#This Row],[ACB]]),ISNUMBER(SnapshotTable[[#This Row],[SC Downside Protect]])),SnapshotTable[[#This Row],[SC Downside Protect]] / SnapshotTable[[#This Row],[ACB]],"")</f>
        <v/>
      </c>
      <c r="FW75" s="236" t="str">
        <f>IF(AND(ISNUMBER(SnapshotTable[[#This Row],[SC Simple ROO]]),SnapshotTable[[#This Row],[SC Simple ROO]] &gt; 0), SnapshotTable[[#This Row],[SC Premium]] + (SnapshotTable[[#This Row],[SC Qty]] * SnapshotTable[[#This Row],[SC Upside Potential]]), "")</f>
        <v/>
      </c>
      <c r="FX75" s="302" t="str" cm="1">
        <f t="array" ref="FX75">IF(ISNUMBER(SnapshotTable[[#This Row],[SC Max Dollars]]), annualize(SnapshotTable[[#This Row],[SC Term]],(SnapshotTable[[#This Row],[SC Max Dollars]]/SnapshotTable[[#This Row],[SC Basis]])),"")</f>
        <v/>
      </c>
      <c r="FY75" s="236" t="str">
        <f>IF(AND(SnapshotTable[[#This Row],[SC Qty]]&gt;0,SnapshotTable[[#This Row],[SC Current Ask]]&gt;0), SnapshotTable[[#This Row],[SC Qty]] * SnapshotTable[[#This Row],[SC Current Ask]] * -100, "")</f>
        <v/>
      </c>
      <c r="FZ75" s="31" t="str">
        <f>IF(ISNUMBER((SnapshotTable[[#This Row],[SC Current Value]])), SnapshotTable[[#This Row],[SC Premium]] + SnapshotTable[[#This Row],[SC Current Value]], "")</f>
        <v/>
      </c>
      <c r="GA75" s="294" t="str">
        <f>IFERROR( IF(ISNUMBER((SnapshotTable[[#This Row],[SC Current Value]])), SnapshotTable[[#This Row],[SC Gain Loss]] / SnapshotTable[[#This Row],[SC Premium]], ""), "")</f>
        <v/>
      </c>
      <c r="GB75" s="42">
        <f>SnapshotTable[[#This Row],[Equity Shares]] * SaleSharesToConsiderPercentage</f>
        <v>0</v>
      </c>
      <c r="GC75" s="40">
        <f>SnapshotTable[[#This Row],[Long Term Target]] * SellingPriceToConsiderBasedOnTargetPercentage</f>
        <v>59.7455</v>
      </c>
      <c r="GD75" s="40">
        <f>SnapshotTable[[#This Row],[Last Price]] * (1+ SellingPriceToConsiderBasedOnTargetPercentage)</f>
        <v>95.374499999999998</v>
      </c>
      <c r="GE75" s="41"/>
      <c r="GF75" s="40"/>
      <c r="GG75" s="31">
        <f>SnapshotTable[[#This Row],[Booked Sale Shares]] * SnapshotTable[[#This Row],[Booked Sale Price]]</f>
        <v>0</v>
      </c>
      <c r="GH75" s="31" t="str">
        <f>IF(SnapshotTable[[#This Row],[Equity Basis Total]] &gt; 0, SnapshotTable[[#This Row],[Equity Basis Per Share]] * SnapshotTable[[#This Row],[Booked Sale Shares]], "")</f>
        <v/>
      </c>
      <c r="GI75" s="31">
        <f>IF(SnapshotTable[[#This Row],[Sale Proceeds]]&gt;0, SnapshotTable[[#This Row],[Sale Proceeds]] - SnapshotTable[[#This Row],[Sale Basis]], 0)</f>
        <v>0</v>
      </c>
      <c r="GJ75" s="27" t="str">
        <f>IF(SnapshotTable[[#This Row],[Sale G/L]]&gt;0, SnapshotTable[[#This Row],[Sale G/L]] / SnapshotTable[[#This Row],[Sale Basis]], IF(ISNUMBER(SnapshotTable[[#This Row],[SC Exercise P&amp;L (TAX)]]), SnapshotTable[[#This Row],[SC Exercise P&amp;L (TAX)]] / SnapshotTable[[#This Row],[SC Basis]], ""))</f>
        <v/>
      </c>
      <c r="GK75" s="27" t="s">
        <v>657</v>
      </c>
      <c r="GL75" s="43" t="str">
        <f>IF(AND(SnapshotTable[[#This Row],[LP Exp Date]]&gt;0,SnapshotTable[[#This Row],[LP Strike Price]]&gt;0), [1]!ToOptionSymbol(SnapshotTable[[#This Row],[Symbol]], SnapshotTable[[#This Row],[LP Strike Price]],SnapshotTable[[#This Row],[LP Exp Date]],1), "")</f>
        <v/>
      </c>
      <c r="GM75" s="30" t="str">
        <f>IF(LEN(SnapshotTable[[#This Row],[LP Symbol]])&gt;0, 1, "")</f>
        <v/>
      </c>
      <c r="GN75" s="43" t="str">
        <f>IF(AND(SnapshotTable[[#This Row],[SP Exp Date]]&gt;0,SnapshotTable[[#This Row],[SP Strike Price]]&gt;0), [1]!ToOptionSymbol(SnapshotTable[[#This Row],[Symbol]], SnapshotTable[[#This Row],[SP Strike Price]],SnapshotTable[[#This Row],[SP Exp Date]],1), "")</f>
        <v/>
      </c>
      <c r="GO75" s="30" t="str">
        <f>IF(LEN(SnapshotTable[[#This Row],[SP Symbol]])&gt;0, 1, "")</f>
        <v/>
      </c>
      <c r="GP75" s="43" t="str">
        <f>IF(AND(SnapshotTable[[#This Row],[LC Exp Date]]&gt;0,SnapshotTable[[#This Row],[LC Strike Price]]&gt;0), [1]!ToOptionSymbol(SnapshotTable[[#This Row],[Symbol]], SnapshotTable[[#This Row],[LC Strike Price]],SnapshotTable[[#This Row],[LC Exp Date]],0), "")</f>
        <v/>
      </c>
      <c r="GQ75" s="30" t="str">
        <f>IF(LEN(SnapshotTable[[#This Row],[LC Symbol]])&gt;0, 1, "")</f>
        <v/>
      </c>
      <c r="GR75" s="43" t="str">
        <f>IF(AND(SnapshotTable[[#This Row],[SC Exp Date]]&gt;0,SnapshotTable[[#This Row],[SC Strike Price]]&gt;0), [1]!ToOptionSymbol(SnapshotTable[[#This Row],[Symbol]], SnapshotTable[[#This Row],[SC Strike Price]],SnapshotTable[[#This Row],[SC Exp Date]],0), "")</f>
        <v/>
      </c>
      <c r="GS75" s="30" t="str">
        <f>IF(LEN(SnapshotTable[[#This Row],[SC Symbol]])&gt;0, 1, "")</f>
        <v/>
      </c>
      <c r="GT75" s="29" t="str">
        <f>IF(COUNT(SnapshotTable[[#This Row],[LP Symbol Count]],SnapshotTable[[#This Row],[SP Symbol Count]],SnapshotTable[[#This Row],[LC Symbol Count]],SnapshotTable[[#This Row],[SC Symbol Count]])&gt;0, "Y", "")</f>
        <v/>
      </c>
      <c r="GU7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5" s="231" t="e">
        <f>MAX(SnapshotTable[[#This Row],[Equity Basis Total]],SnapshotTable[[#This Row],[Equity Value]]) + (SnapshotTable[[#This Row],[SP Potential Spend]]- SnapshotTable[[#This Row],[SP Premium]] + SnapshotTable[[#This Row],[LP Premium]])+ (SnapshotTable[[#This Row],[LC Premium]] - SnapshotTable[[#This Row],[SC Premium]])</f>
        <v>#VALUE!</v>
      </c>
      <c r="GW75" s="139" t="e">
        <f>IF(AND(SnapshotTable[[#This Row],[Exposure]] &lt;&gt; 0),SnapshotTable[[#This Row],[Exposure]] / SnapshotTable[[#Totals],[Exposure]], "")</f>
        <v>#VALUE!</v>
      </c>
      <c r="HE75" s="268"/>
      <c r="HF75" s="268"/>
      <c r="HK75" s="1"/>
      <c r="HL75" s="1"/>
      <c r="HM75" s="1"/>
      <c r="HN75" s="1"/>
      <c r="HO75" s="1"/>
      <c r="HP75" s="1"/>
    </row>
    <row r="76" spans="2:224" ht="12.75" hidden="1" customHeight="1" x14ac:dyDescent="0.25">
      <c r="B76" s="12" t="s">
        <v>1166</v>
      </c>
      <c r="C76" s="422">
        <v>44.5</v>
      </c>
      <c r="D76" s="208"/>
      <c r="E76" s="39">
        <f>SnapshotTable[[#This Row],[Last Price]]*(1 -CrashDiscount)</f>
        <v>37.824999999999996</v>
      </c>
      <c r="F76" s="26" t="s">
        <v>1167</v>
      </c>
      <c r="G76" s="325" t="s">
        <v>178</v>
      </c>
      <c r="H76" s="149"/>
      <c r="I76" s="194">
        <v>45713</v>
      </c>
      <c r="J76" s="195"/>
      <c r="K76" s="196"/>
      <c r="L76" s="326"/>
      <c r="M76" s="140"/>
      <c r="N76" s="140"/>
      <c r="O76" s="140"/>
      <c r="P76" s="22"/>
      <c r="Q76" s="25"/>
      <c r="R76" s="4" t="str">
        <f>IF(SnapshotTable[[#This Row],[Equity Basis Total]] &gt; 0, SnapshotTable[[#This Row],[Equity Basis Total]] / SnapshotTable[[#This Row],[Equity Shares]], "")</f>
        <v/>
      </c>
      <c r="S76" s="269">
        <f>SnapshotTable[[#This Row],[Last Price]] * SnapshotTable[[#This Row],[Equity Shares]]</f>
        <v>0</v>
      </c>
      <c r="T76" s="269">
        <f>SnapshotTable[[#This Row],[Equity Value]] - SnapshotTable[[#This Row],[Equity Basis Total]]</f>
        <v>0</v>
      </c>
      <c r="U76" s="270" t="str">
        <f>IF(SnapshotTable[[#This Row],[Equity Basis Total]] &gt; 0, SnapshotTable[[#This Row],[Equity G/L]] / SnapshotTable[[#This Row],[Equity Basis Total]], "")</f>
        <v/>
      </c>
      <c r="V76" s="268">
        <v>60</v>
      </c>
      <c r="W76" s="268"/>
      <c r="X76" s="4" t="str">
        <f>IF(AND(ISNUMBER(SnapshotTable[[#This Row],[Equity Basis Per Share]]),ISNUMBER(SnapshotTable[[#This Row],[Equity Target]])),SnapshotTable[[#This Row],[Equity Target]]-SnapshotTable[[#This Row],[Equity Basis Per Share]],"")</f>
        <v/>
      </c>
      <c r="Y76" s="4" t="str">
        <f>IF(AND(ISNUMBER(SnapshotTable[[#This Row],[Equity Basis Per Share]]),ISNUMBER(SnapshotTable[[#This Row],[Equity Stop Loss]])),SnapshotTable[[#This Row],[Equity Stop Loss]]-SnapshotTable[[#This Row],[Equity Basis Per Share]],"")</f>
        <v/>
      </c>
      <c r="Z76" s="275" t="str">
        <f>IFERROR( TEXT(SnapshotTable[[#This Row],[Equity Max Gain Per Share]] /ABS( SnapshotTable[[#This Row],[Equity Max Loss Per Share]]),"0.0 " ) &amp; " : 1", "")</f>
        <v/>
      </c>
      <c r="AA76" s="31" t="str">
        <f>IF(ISNUMBER(SnapshotTable[[#This Row],[Equity Max Gain Per Share]]),SnapshotTable[[#This Row],[Equity Max Gain Per Share]] * SnapshotTable[[#This Row],[Equity Shares]],"")</f>
        <v/>
      </c>
      <c r="AB76" s="31" t="str">
        <f>IF(ISNUMBER(SnapshotTable[[#This Row],[Equity Max Loss Per Share]]),SnapshotTable[[#This Row],[Equity Max Loss Per Share]] * SnapshotTable[[#This Row],[Equity Shares]],"")</f>
        <v/>
      </c>
      <c r="AC76" s="150"/>
      <c r="AD76" s="151"/>
      <c r="AE76" s="31">
        <f>(SnapshotTable[[#This Row],[Annual Dividend Per Share]] / 4) * SnapshotTable[[#This Row],[Equity Shares]]</f>
        <v>0</v>
      </c>
      <c r="AF76" s="31">
        <f>SnapshotTable[[#This Row],[Quarterly Div $]] * 4</f>
        <v>0</v>
      </c>
      <c r="AG76" s="7">
        <f>IF(SnapshotTable[[#This Row],[Annual Dividend Per Share]]&gt;0, SnapshotTable[[#This Row],[Annual Dividend Per Share]]  / SnapshotTable[[#This Row],[Last Price]], 0)</f>
        <v>0</v>
      </c>
      <c r="AH76" s="151"/>
      <c r="AI76" s="5"/>
      <c r="AJ76" s="138">
        <v>50</v>
      </c>
      <c r="AK76" s="152" t="str">
        <f>IF(ISNUMBER( SnapshotTable[[#This Row],[EBF Target]]),(SnapshotTable[[#This Row],[EBF Target]] - SnapshotTable[[#This Row],[Last Price]]) / SnapshotTable[[#This Row],[Last Price]], "")</f>
        <v/>
      </c>
      <c r="AL76" s="152" t="str">
        <f>IF(AND(SnapshotTable[[#This Row],[Equity Basis Total]] &gt; 0,ISNUMBER( SnapshotTable[[#This Row],[Long Term Target]])), SnapshotTable[[#This Row],[From Basis $]] / SnapshotTable[[#This Row],[Equity Basis Total]], "")</f>
        <v/>
      </c>
      <c r="AM76" s="9">
        <f>IF( AND(SnapshotTable[[#This Row],[Equity Shares]] &gt;0,ISNUMBER( SnapshotTable[[#This Row],[Long Term Target]])),(SnapshotTable[[#This Row],[Equity Shares]] * SnapshotTable[[#This Row],[Long Term Target]]) - SnapshotTable[[#This Row],[Equity Basis Total]],0)</f>
        <v>0</v>
      </c>
      <c r="AN76" s="9">
        <f>IF( AND(SnapshotTable[[#This Row],[Equity Shares]] &gt;0,ISNUMBER( SnapshotTable[[#This Row],[Long Term Target]])),(SnapshotTable[[#This Row],[Equity Shares]]*SnapshotTable[[#This Row],[Long Term Target]]) - SnapshotTable[[#This Row],[Equity Value]],0)</f>
        <v>0</v>
      </c>
      <c r="AO76" s="152">
        <f>IF(AND(ISNUMBER( SnapshotTable[[#This Row],[Long Term Target]]), ISNUMBER(SnapshotTable[[#This Row],[Last Price]])),(SnapshotTable[[#This Row],[Long Term Target]] - SnapshotTable[[#This Row],[Last Price]]) / SnapshotTable[[#This Row],[Last Price]], "")</f>
        <v>0.12359550561797752</v>
      </c>
      <c r="AP76" s="330"/>
      <c r="AQ76" s="388"/>
      <c r="AR76" s="330"/>
      <c r="AS76" s="388"/>
      <c r="AT76" s="146"/>
      <c r="AU76" s="187" t="str">
        <f>IF(OR(SnapshotTable[[#This Row],[LP No Fill]]="Y",SnapshotTable[[#This Row],[SP Is Filled]],SnapshotTable[[#This Row],[LC Not Filled]]="Y",SnapshotTable[[#This Row],[SC Is Filled]]),"Y","")</f>
        <v/>
      </c>
      <c r="AV76" s="219"/>
      <c r="AW76" s="225"/>
      <c r="AX76" s="220"/>
      <c r="AY76" s="219" t="str">
        <f>IF(SnapshotTable[[#This Row],[Implied Move]]&gt;0, SnapshotTable[[#This Row],[Last Price]]-SnapshotTable[[#This Row],[Implied Move]],"")</f>
        <v/>
      </c>
      <c r="AZ76" s="219" t="str">
        <f>IF(SnapshotTable[[#This Row],[Implied Move]]&gt;0, SnapshotTable[[#This Row],[Last Price]] + SnapshotTable[[#This Row],[Implied Move]],"")</f>
        <v/>
      </c>
      <c r="BA76" s="331">
        <v>-15.58</v>
      </c>
      <c r="BB76" s="347"/>
      <c r="BC7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6" s="351"/>
      <c r="BE76" s="5"/>
      <c r="BF76" s="14"/>
      <c r="BG76" s="13"/>
      <c r="BH76" s="13"/>
      <c r="BI76" s="5"/>
      <c r="BJ76" s="136">
        <f>IF(SnapshotTable[[#This Row],[LP Qty]] &gt; 0, SnapshotTable[[#This Row],[LP Qty]] * SnapshotTable[[#This Row],[LP Book Price]] * 100,0)</f>
        <v>0</v>
      </c>
      <c r="BK76" s="136">
        <f>IF(SnapshotTable[[#This Row],[LP Premium]] &gt; 0, SnapshotTable[[#This Row],[LP Qty]] * SnapshotTable[[#This Row],[LP Strike Price]] * 100,0)</f>
        <v>0</v>
      </c>
      <c r="BL76" s="154"/>
      <c r="BM76" s="385" t="str">
        <f>IF(SnapshotTable[[#This Row],[LP Premium]] &gt; 0,SnapshotTable[[#This Row],[LP Exp Date]]-MAX(SnapshotTable[[#This Row],[LP Book Date]], SnapshotTable[[#This Row],[LP Fill Date]]),"")</f>
        <v/>
      </c>
      <c r="BN76" s="385" t="str">
        <f>IF(ISNUMBER( SnapshotTable[[#This Row],[LP Term]]), SnapshotTable[[#This Row],[LP Exp Date]] - MockToday,"")</f>
        <v/>
      </c>
      <c r="BO76" s="163" t="str">
        <f>IF(AND(SnapshotTable[[#This Row],[LP Exp Date]]&gt;0, SnapshotTable[[#This Row],[LP Strike Price]]&gt;0,SnapshotTable[[#This Row],[LP Qty]]&gt;0,SnapshotTable[[#This Row],[LP Book Date]]&gt;0,SnapshotTable[[#This Row],[LP Book Price]]&gt;0,SnapshotTable[[#This Row],[LP Fill Date]]=0),"Y","")</f>
        <v/>
      </c>
      <c r="BP76" s="31" t="str">
        <f>IF(AND(SnapshotTable[[#This Row],[LP No Fill]]&lt;&gt;"Y",SnapshotTable[[#This Row],[LP Contract Value]]&gt;0, SnapshotTable[[#This Row],[LP Qty]]&gt;0), SnapshotTable[[#This Row],[LP Contract Value]]*SnapshotTable[[#This Row],[LP Qty]]*100,"")</f>
        <v/>
      </c>
      <c r="BQ76" s="13"/>
      <c r="BR76" s="5" t="str">
        <f>IF(SnapshotTable[[#This Row],[SP Exp Date]]&lt;&gt;"",TRUNC(SnapshotTable[[#This Row],[Last Price]]),"")</f>
        <v/>
      </c>
      <c r="BS76" s="36"/>
      <c r="BT76" s="147"/>
      <c r="BU76" s="13"/>
      <c r="BV76" s="5"/>
      <c r="BW76" s="419" t="b">
        <f>AND(ISNUMBER(SnapshotTable[[#This Row],[SP Exp Date]]), ISNUMBER(SnapshotTable[[#This Row],[SP Strike Price]]), ISNUMBER(SnapshotTable[[#This Row],[SP Qty]]), ISNUMBER(SnapshotTable[[#This Row],[SP Book Date]]), ISNUMBER(SnapshotTable[[#This Row],[SP Book Price]]))</f>
        <v>0</v>
      </c>
      <c r="BX76" s="419" t="b">
        <f>AND(SnapshotTable[[#This Row],[SP Is Booked]], NOT(ISBLANK(SnapshotTable[[#This Row],[SP Fill Date]])))</f>
        <v>0</v>
      </c>
      <c r="BY76" s="33">
        <f>IF(SnapshotTable[[#This Row],[SP Is Booked]], SnapshotTable[[#This Row],[SP Qty]] * SnapshotTable[[#This Row],[SP Book Price]] * 100, 0)</f>
        <v>0</v>
      </c>
      <c r="BZ76" s="369"/>
      <c r="CA76" s="368">
        <f>SnapshotTable[[#This Row],[LP Qty]]</f>
        <v>0</v>
      </c>
      <c r="CB76" s="4" t="str">
        <f>IF(SnapshotTable[[#This Row],[SP Is Booked]], SnapshotTable[[#This Row],[SP Strike Price]] - SnapshotTable[[#This Row],[SP Book Price]], "")</f>
        <v/>
      </c>
      <c r="CC76" s="19" t="str">
        <f>IF(SnapshotTable[[#This Row],[SP Is Booked]],SnapshotTable[[#This Row],[SP Exp Date]]-MAX(SnapshotTable[[#This Row],[SP Book Date]], SnapshotTable[[#This Row],[SP Fill Date]]),"")</f>
        <v/>
      </c>
      <c r="CD76" s="7" t="str">
        <f>IF(SnapshotTable[[#This Row],[SP Is Booked]], SnapshotTable[[#This Row],[SP Book Price]]/SnapshotTable[[#This Row],[SP Strike Price]], "")</f>
        <v/>
      </c>
      <c r="CE76" s="7" t="str">
        <f>IF(ISNUMBER(SnapshotTable[[#This Row],[SP ROO Term]]),SnapshotTable[[#This Row],[SP ROO Term]]*(365/SnapshotTable[[#This Row],[SP Term]]),"")</f>
        <v/>
      </c>
      <c r="CF76" s="236">
        <f>SnapshotTable[[#This Row],[LP Strike Price]] * SnapshotTable[[#This Row],[LP Qty]] * 100</f>
        <v>0</v>
      </c>
      <c r="CG76" s="31" t="e">
        <f>IF(ISNUMBER(SnapshotTable[[#This Row],[SP Premium]]), (SnapshotTable[[#This Row],[SP Qty]] * SnapshotTable[[#This Row],[SP Strike Price]]* 100) - SnapshotTable[[#This Row],[LP Protection]], 0)</f>
        <v>#VALUE!</v>
      </c>
      <c r="CH76" s="7" t="str">
        <f>IF(ISNUMBER(SnapshotTable[[#This Row],[SP Break Even]]),-1 * (SnapshotTable[[#This Row],[SP Break Even]] - SnapshotTable[[#This Row],[Last Price]]) / SnapshotTable[[#This Row],[Last Price]], "")</f>
        <v/>
      </c>
      <c r="CI76" s="31">
        <f>IF(AND(ISNUMBER((SnapshotTable[[#This Row],[SP Potential Spend]])), SnapshotTable[[#This Row],[SP Strike Price]] &gt; SnapshotTable[[#This Row],[Last Price]], SnapshotTable[[#This Row],[SP Is Filled]]), SnapshotTable[[#This Row],[SP Potential Spend]] -  SnapshotTable[[#This Row],[LP Max Value]], 0)</f>
        <v>0</v>
      </c>
      <c r="CJ76" s="244">
        <v>0</v>
      </c>
      <c r="CK76" s="31" t="str">
        <f>IF(ISNUMBER(SnapshotTable[[#This Row],[SP Potential Spend]]),IF(ISNUMBER(SnapshotTable[[#This Row],[SP POW]]), SnapshotTable[[#This Row],[SP POW]] * SnapshotTable[[#This Row],[SP Potential Spend]], SnapshotTable[[#This Row],[SP Potential Spend]]), "")</f>
        <v/>
      </c>
      <c r="CL76" s="164" t="e">
        <f>IF(NOT(SnapshotTable[[#This Row],[SP Is Filled]]),(SnapshotTable[[#This Row],[SP Qty]] * SnapshotTable[[#This Row],[SP Strike Price]] * 100) - SnapshotTable[[#This Row],[LP Max Value]],"")</f>
        <v>#VALUE!</v>
      </c>
      <c r="CM76" s="31" t="str">
        <f>IF(SnapshotTable[[#This Row],[SP Actual Spend]]&lt;&gt;0, ((SnapshotTable[[#This Row],[SP Strike Price]]-SnapshotTable[[#This Row],[Last Price]]) *(SnapshotTable[[#This Row],[SP Qty]]*100) - SnapshotTable[[#This Row],[SP Premium]]) * - 1, "")</f>
        <v/>
      </c>
      <c r="CN76" s="78"/>
      <c r="CO76" s="369"/>
      <c r="CP76" s="4" t="str">
        <f>IF(SnapshotTable[[#This Row],[SP Is Filled]], btc_max_buyback_amount(SnapshotTable[[#This Row],[SP Fill Date]],SnapshotTable[[#This Row],[SP Exp Date]], SnapshotTable[[#This Row],[SP Book Price]]),"")</f>
        <v/>
      </c>
      <c r="CQ76" s="78"/>
      <c r="CR7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6" s="155" t="str">
        <f>IF(SnapshotTable[[#This Row],[SP Is Filled]], btc_next_cutoff_date(SnapshotTable[[#This Row],[SP Fill Date]],SnapshotTable[[#This Row],[SP Exp Date]]),"")</f>
        <v/>
      </c>
      <c r="CT76" s="235" t="str" cm="1">
        <f t="array" ref="CT76">IF(SnapshotTable[[#This Row],[SP Is Filled]], btc_should_buy_back(SnapshotTable[[#This Row],[SP Fill Date]], SnapshotTable[[#This Row],[SP Exp Date]], SnapshotTable[[#This Row],[SP Book Price]], SnapshotTable[[#This Row],[SP Current Ask]], MockToday, SnapshotTable[[#This Row],[SP Buyback Override]]),"")</f>
        <v/>
      </c>
      <c r="CU76" s="143"/>
      <c r="CV76" s="235"/>
      <c r="CW76" s="378" t="str">
        <f>IF(ISNUMBER( SnapshotTable[[#This Row],[SP Term]]), SnapshotTable[[#This Row],[SP Exp Date]] - MockToday,"")</f>
        <v/>
      </c>
      <c r="CX76" s="31" t="str">
        <f>IF(SnapshotTable[[#This Row],[SP Is Filled]],SnapshotTable[[#This Row],[SP Buyback Price to Use]] * 100 * SnapshotTable[[#This Row],[SP Qty]], "")</f>
        <v/>
      </c>
      <c r="CY76" s="4" t="str">
        <f>IF(ISNUMBER(SnapshotTable[[#This Row],[SP Strike Price]]), SnapshotTable[[#This Row],[SP Strike Price]] * (1 - SP_MaxLoss_StrikePct), "")</f>
        <v/>
      </c>
      <c r="CZ76" s="31" t="str">
        <f>IF(ISNUMBER(SnapshotTable[[#This Row],[SP Strike  Stop Per Share]]),SnapshotTable[[#This Row],[SP Premium]] - ((SnapshotTable[[#This Row],[SP Strike Price]]-SnapshotTable[[#This Row],[SP Strike  Stop Per Share]]) *(SnapshotTable[[#This Row],[SP Qty]] * 100)),"")</f>
        <v/>
      </c>
      <c r="DA76" s="4" t="str">
        <f>IF(AND(ISNUMBER(SnapshotTable[[#This Row],[SP Premium]]),SnapshotTable[[#This Row],[SP Premium]]&gt;0), SnapshotTable[[#This Row],[SP Book Price]] * (1 + SP_MaxLoss_OptionPct), "")</f>
        <v/>
      </c>
      <c r="DB76" s="31" t="str">
        <f>IF(ISNUMBER(SnapshotTable[[#This Row],[SP Option  Stop Contract]]),(SnapshotTable[[#This Row],[SP Option  Stop Contract]] *(SnapshotTable[[#This Row],[SP Qty]] * 100) - SnapshotTable[[#This Row],[SP Premium]]),"")</f>
        <v/>
      </c>
      <c r="DC76" s="4"/>
      <c r="DD76" s="4"/>
      <c r="DE76" s="4" t="str">
        <f>IF(AND(SnapshotTable[[#This Row],[SP Qty]]&gt;0, SnapshotTable[[#This Row],[SP Stop To Use]]&gt;0),SnapshotTable[[#This Row],[SP Premium]] - ( SnapshotTable[[#This Row],[SP Qty]] * SnapshotTable[[#This Row],[SP Stop To Use]] * 100), "")</f>
        <v/>
      </c>
      <c r="DF76" s="31" t="str">
        <f>IF(AND(SnapshotTable[[#This Row],[SP Qty]]&gt;0,SnapshotTable[[#This Row],[SP Current Ask]]&gt;0), SnapshotTable[[#This Row],[SP Qty]] * SnapshotTable[[#This Row],[SP Current Ask]] * -100, "")</f>
        <v/>
      </c>
      <c r="DG76" s="31" t="str">
        <f>IF(ISNUMBER((SnapshotTable[[#This Row],[SP Total Value]])), SnapshotTable[[#This Row],[SP Premium]] + SnapshotTable[[#This Row],[SP Total Value]], "")</f>
        <v/>
      </c>
      <c r="DH76" s="294" t="str">
        <f>IF(ISNUMBER((SnapshotTable[[#This Row],[SP Total Value]])), SnapshotTable[[#This Row],[SP Gain Loss]] / SnapshotTable[[#This Row],[SP Premium]], "")</f>
        <v/>
      </c>
      <c r="DI76" s="406"/>
      <c r="DJ76" s="138"/>
      <c r="DK76" s="148"/>
      <c r="DL76" s="13"/>
      <c r="DM76" s="13"/>
      <c r="DO76" s="31">
        <f>IF(SnapshotTable[[#This Row],[LC Symbol Count]]=1, SnapshotTable[[#This Row],[LC Qty]] * SnapshotTable[[#This Row],[LC Book Price]] * 100, 0)</f>
        <v>0</v>
      </c>
      <c r="DP76" s="163" t="str">
        <f>IF(AND(SnapshotTable[[#This Row],[LC Exp Date]]&gt;0, SnapshotTable[[#This Row],[LC Strike Price]]&gt;0,SnapshotTable[[#This Row],[LC Qty]]&gt;0,SnapshotTable[[#This Row],[LC Book Date]]&gt;0,SnapshotTable[[#This Row],[LC Book Price]]&gt;0,SnapshotTable[[#This Row],[LC Fill Date]]=0),"Y","")</f>
        <v/>
      </c>
      <c r="DQ76" s="386" t="str">
        <f>IF(SnapshotTable[[#This Row],[LC Premium]] &gt; 0,SnapshotTable[[#This Row],[LC Exp Date]]-MAX(SnapshotTable[[#This Row],[LC Book Date]], SnapshotTable[[#This Row],[LC Fill Date]]),"")</f>
        <v/>
      </c>
      <c r="DR76" s="386" t="str">
        <f>IF(ISNUMBER(SnapshotTable[[#This Row],[LC Term]]), SnapshotTable[[#This Row],[LC Exp Date]] - MockToday, "")</f>
        <v/>
      </c>
      <c r="DS76" s="234" t="str">
        <f>IF(SnapshotTable[[#This Row],[LC Premium]]&gt;0,SnapshotTable[[#This Row],[LC Strike Price]] + SnapshotTable[[#This Row],[LC Book Price]],"")</f>
        <v/>
      </c>
      <c r="DU76" s="9" t="str">
        <f>IF(AND(SnapshotTable[[#This Row],[LC Symbol Count]]&gt;0, SnapshotTable[[#This Row],[LC Contract Value]]&gt;0), SnapshotTable[[#This Row],[LC Contract Value]] * SnapshotTable[[#This Row],[LC Qty]] * 100, "")</f>
        <v/>
      </c>
      <c r="DV76" s="9" t="str">
        <f>IF(AND(ISNUMBER(SnapshotTable[[#This Row],[LC Total Value]]), SnapshotTable[[#This Row],[LC Not Filled]]&lt;&gt;"Y"), SnapshotTable[[#This Row],[LC Total Value]]-SnapshotTable[[#This Row],[LC Premium]],"")</f>
        <v/>
      </c>
      <c r="DW76" s="240" t="str">
        <f>IF(ISNUMBER(SnapshotTable[[#This Row],[LC Actual Gain Loss]]), SnapshotTable[[#This Row],[LC Actual Gain Loss]] / SnapshotTable[[#This Row],[LC Premium]],"")</f>
        <v/>
      </c>
      <c r="DX76" s="284" t="str">
        <f>IF(ISNUMBER(SnapshotTable[[#This Row],[LC Book Price]]),SnapshotTable[[#This Row],[LC Book Price]] * 1.5,"")</f>
        <v/>
      </c>
      <c r="DY76" s="265" t="str">
        <f>IF(SnapshotTable[[#This Row],[LC Premium]]&gt;0, SnapshotTable[[#This Row],[LC Next Target]] * SnapshotTable[[#This Row],[LC Qty]] * 100,"")</f>
        <v/>
      </c>
      <c r="DZ76" s="265" t="str">
        <f>IF(ISNUMBER(SnapshotTable[[#This Row],[LC Target Gross]]), SnapshotTable[[#This Row],[LC Target Gross]] - SnapshotTable[[#This Row],[LC Premium]], "")</f>
        <v/>
      </c>
      <c r="EA76" s="305" t="str">
        <f>IF(ISNUMBER(SnapshotTable[[#This Row],[LC Target Gain Loss]]), SnapshotTable[[#This Row],[LC Target Gain Loss]]/SnapshotTable[[#This Row],[LC Premium]], "")</f>
        <v/>
      </c>
      <c r="EB76" s="262"/>
      <c r="EC76" s="283" t="str">
        <f>IF(SnapshotTable[[#This Row],[LC Premium]]&gt;0, SnapshotTable[[#This Row],[LC Book Price]] * (1 - LC_StopLoss_Pct),"")</f>
        <v/>
      </c>
      <c r="ED76" s="284"/>
      <c r="EE76" s="283" t="str">
        <f>IF(ISNUMBER(SnapshotTable[[#This Row],[LC Contract Value]]),IF(ISNUMBER(SnapshotTable[[#This Row],[LC Stop Loss Override]]), SnapshotTable[[#This Row],[LC Stop Loss Override]],SnapshotTable[[#This Row],[LC Stop Loss Calc Target]]),"")</f>
        <v/>
      </c>
      <c r="EF76" s="31" t="str">
        <f>IF(ISNUMBER(SnapshotTable[[#This Row],[LC Stop  To Use]]), (SnapshotTable[[#This Row],[LC Stop  To Use]] * SnapshotTable[[#This Row],[LC Qty]] * 100),"")</f>
        <v/>
      </c>
      <c r="EG76" s="9" t="str">
        <f>IF(ISNUMBER(SnapshotTable[[#This Row],[LC Total Value]]),SnapshotTable[[#This Row],[LC Stop Loss Amount]] - SnapshotTable[[#This Row],[LC Premium]],"")</f>
        <v/>
      </c>
      <c r="EH76" s="9">
        <f>IF(ISNUMBER(SnapshotTable[[#This Row],[LC Premium]]), SnapshotTable[[#This Row],[LC Qty]] * 100 * SnapshotTable[[#This Row],[LC Strike Price]], "")</f>
        <v>0</v>
      </c>
      <c r="EI76" s="240" t="str">
        <f>IF(AND(ISNUMBER(SnapshotTable[[#This Row],[LC Total Value]]),SnapshotTable[[#This Row],[LC Total Value]]&gt;0),SnapshotTable[[#This Row],[LC Stop Gain Loss]]  / SnapshotTable[[#This Row],[LC Premium]],"")</f>
        <v/>
      </c>
      <c r="EJ76" s="35">
        <f>IF(ISNUMBER(SnapshotTable[[#This Row],[Equity Shares]]),TRUNC(SnapshotTable[[#This Row],[Equity Shares]] / 100),0) + SnapshotTable[[#This Row],[LC Qty]]</f>
        <v>0</v>
      </c>
      <c r="EK76" s="147"/>
      <c r="EL76" s="138" t="str">
        <f>IF(SnapshotTable[[#This Row],[SC Exp Date]]&lt;&gt;"",TRUNC(SnapshotTable[[#This Row],[Last Price]]),"")</f>
        <v/>
      </c>
      <c r="EM76" s="148"/>
      <c r="EN76" s="147"/>
      <c r="EO76" s="147"/>
      <c r="EP76" s="138"/>
      <c r="EQ76" s="419" t="b">
        <f>AND(ISNUMBER(SnapshotTable[[#This Row],[SC Exp Date]]), ISNUMBER(SnapshotTable[[#This Row],[SC Strike Price]]), ISNUMBER(SnapshotTable[[#This Row],[SC Qty]]), ISNUMBER(SnapshotTable[[#This Row],[SC Book Date]]), ISNUMBER(SnapshotTable[[#This Row],[SC Book Price]]))</f>
        <v>0</v>
      </c>
      <c r="ER76" s="419" t="b">
        <f>AND(SnapshotTable[[#This Row],[SC Is Booked]], NOT(ISBLANK(SnapshotTable[[#This Row],[SC Fill Date]])))</f>
        <v>0</v>
      </c>
      <c r="ES76" s="370"/>
      <c r="ET76" s="34" t="str">
        <f>IF(AND(ISNUMBER(SnapshotTable[[#This Row],[SC Exp Date]]), ISNUMBER(SnapshotTable[[#This Row],[SC Book Date]])), SnapshotTable[[#This Row],[SC Exp Date]] - MAX(SnapshotTable[[#This Row],[SC Book Date]], SnapshotTable[[#This Row],[SC Fill Date]]) + 1, "")</f>
        <v/>
      </c>
      <c r="EU76" s="34" t="str">
        <f>IF(ISNUMBER(SnapshotTable[[#This Row],[SC Term]]), SnapshotTable[[#This Row],[SC Exp Date]]- MockToday, "")</f>
        <v/>
      </c>
      <c r="EV76" s="31">
        <f>IF(SnapshotTable[[#This Row],[SC Is Booked]], SnapshotTable[[#This Row],[SC Qty]] * SnapshotTable[[#This Row],[SC Book Price]] * 100, 0)</f>
        <v>0</v>
      </c>
      <c r="EW76" s="4" t="str">
        <f>IF(AND(ISNUMBER(SnapshotTable[[#This Row],[Last Price]]), ISNUMBER( SnapshotTable[[#This Row],[SC Book Price]])), SnapshotTable[[#This Row],[Last Price]] - SnapshotTable[[#This Row],[SC Book Price]],"")</f>
        <v/>
      </c>
      <c r="EX76" s="234" t="str">
        <f>IF(SnapshotTable[[#This Row],[SC Is Booked]],IF(SnapshotTable[[#This Row],[SC Intrinsic Value]] &gt; 0, SnapshotTable[[#This Row],[SC Strike Price]], SnapshotTable[[#This Row],[Last Price]]), "")</f>
        <v/>
      </c>
      <c r="EY76" s="4">
        <f>IF(SnapshotTable[[#This Row],[SC Is Booked]], (MinimumPremiumRequired * SnapshotTable[[#This Row],[SC Basis]] * SnapshotTable[[#This Row],[SC Term]]), 0)</f>
        <v>0</v>
      </c>
      <c r="EZ76" s="283"/>
      <c r="FA76" s="218"/>
      <c r="FB76" s="370"/>
      <c r="FC76" s="4">
        <f>IF(SnapshotTable[[#This Row],[SC Is Filled]], btc_max_buyback_amount(SnapshotTable[[#This Row],[SC Fill Date]],SnapshotTable[[#This Row],[SC Exp Date]], SnapshotTable[[#This Row],[SC Book Price]]),0)</f>
        <v>0</v>
      </c>
      <c r="FD76" s="5"/>
      <c r="FE76" s="144" t="str">
        <f>IF(SnapshotTable[[#This Row],[SC Is Filled]], btc_next_cutoff_date(SnapshotTable[[#This Row],[SC Fill Date]],SnapshotTable[[#This Row],[SC Exp Date]]),"")</f>
        <v/>
      </c>
      <c r="FF76" s="4" t="str" cm="1">
        <f t="array" ref="FF76">IF(SnapshotTable[[#This Row],[SC Is Filled]], btc_should_buy_back(SnapshotTable[[#This Row],[SC Fill Date]], SnapshotTable[[#This Row],[SC Exp Date]], SnapshotTable[[#This Row],[SC Book Price]], SnapshotTable[[#This Row],[SC Current Ask]], MockToday, SnapshotTable[[#This Row],[SC Buyback Override]]),"")</f>
        <v/>
      </c>
      <c r="FG76" s="4">
        <f>IF(SnapshotTable[[#This Row],[SC Is Filled]], MAX(0,SnapshotTable[[#This Row],[Last Price]]  - SnapshotTable[[#This Row],[SC Strike Price]]), 0)</f>
        <v>0</v>
      </c>
      <c r="FH76" s="382">
        <f>IF(SnapshotTable[[#This Row],[SC Is Filled]], IF(ISNUMBER(SnapshotTable[[#This Row],[SC Current Ask]]), SnapshotTable[[#This Row],[SC Current Ask]], SnapshotTable[[#This Row],[SC Book Price]]) - SnapshotTable[[#This Row],[SC Intrinsic Value]], 0)</f>
        <v>0</v>
      </c>
      <c r="FI76" s="143"/>
      <c r="FJ76" s="32" t="str">
        <f>IF(SnapshotTable[[#This Row],[SC Is Filled]],100 * SnapshotTable[[#This Row],[SC Qty]] * IF(ISNUMBER(SnapshotTable[[#This Row],[SC Buyback Override]]), SnapshotTable[[#This Row],[SC Buyback Override]], SnapshotTable[[#This Row],[SC Current Ask]]), "")</f>
        <v/>
      </c>
      <c r="FK76" s="250" t="str">
        <f>IF(SnapshotTable[[#This Row],[SC Time Val]]&gt;0, SnapshotTable[[#This Row],[SC Time Val]] / SnapshotTable[[#This Row],[Last Price]],"")</f>
        <v/>
      </c>
      <c r="FL76" s="302" t="str">
        <f>IF(SnapshotTable[[#This Row],[SC Is Booked]], ((SnapshotTable[[#This Row],[Last Price]] -SnapshotTable[[#This Row],[SC Strike Price]]) / SnapshotTable[[#This Row],[Last Price]]) * -1, "")</f>
        <v/>
      </c>
      <c r="FM76" s="157" t="str">
        <f>IF(SnapshotTable[[#This Row],[SC Is Booked]],  (SnapshotTable[[#This Row],[SC Qty]] * 100 * SnapshotTable[[#This Row],[SC Strike Price]]) - SnapshotTable[[#This Row],[SC Current Ask]], "")</f>
        <v/>
      </c>
      <c r="FN7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6" s="31" t="str">
        <f>IF(AND(ISNUMBER(SnapshotTable[[#This Row],[SC Exercise Gross]]), ISNUMBER(SnapshotTable[[#This Row],[Equity Basis Per Share]] )), SnapshotTable[[#This Row],[SC Exercise Gross]] - SnapshotTable[[#This Row],[Equity Basis Total]] +  SnapshotTable[[#This Row],[SC Premium]], "")</f>
        <v/>
      </c>
      <c r="FP76" s="5" t="str">
        <f>IF(ISNUMBER(SnapshotTable[[#This Row],[SC Exercise Gross]]), (SnapshotTable[[#This Row],[SC Exercise Gross]]) / (SnapshotTable[[#This Row],[SC Qty]] * 100), "")</f>
        <v/>
      </c>
      <c r="FQ76" s="27" t="str">
        <f>IF(SnapshotTable[[#This Row],[SC Is Booked]],SnapshotTable[[#This Row],[SC Time Val]] /SnapshotTable[[#This Row],[SC Basis]], "")</f>
        <v/>
      </c>
      <c r="FR76" s="27" t="str" cm="1">
        <f t="array" ref="FR76">IF(AND(ISNUMBER(SnapshotTable[[#This Row],[SC Term]]),ISNUMBER(SnapshotTable[[#This Row],[SC Simple ROO]])), EllmanAnnualize(SnapshotTable[[#This Row],[SC DTE]], SnapshotTable[[#This Row],[SC Simple ROO]] ),"")</f>
        <v/>
      </c>
      <c r="FS76" s="4" t="e">
        <f>IF(SnapshotTable[[#This Row],[SC Strike Price]] &gt; SnapshotTable[[#This Row],[Last Price]], SnapshotTable[[#This Row],[SC Strike Price]] - SnapshotTable[[#This Row],[Last Price]],0)</f>
        <v>#VALUE!</v>
      </c>
      <c r="FT76" s="27" t="e">
        <f>IF(AND(ISNUMBER(SnapshotTable[[#This Row],[SC Upside Potential]]), SnapshotTable[[#This Row],[SC Upside Potential]] &gt; 0),(SnapshotTable[[#This Row],[SC Upside Potential]]/ SnapshotTable[[#This Row],[ACB]]),"")</f>
        <v>#VALUE!</v>
      </c>
      <c r="FU76" s="333" t="str">
        <f>IF(SnapshotTable[[#This Row],[SC Intrinsic Value]] &gt; 0,SnapshotTable[[#This Row],[SC Intrinsic Value]],"")</f>
        <v/>
      </c>
      <c r="FV76" s="27" t="str">
        <f>IF(AND( ISNUMBER( SnapshotTable[[#This Row],[ACB]]),ISNUMBER(SnapshotTable[[#This Row],[SC Downside Protect]])),SnapshotTable[[#This Row],[SC Downside Protect]] / SnapshotTable[[#This Row],[ACB]],"")</f>
        <v/>
      </c>
      <c r="FW76" s="236" t="str">
        <f>IF(AND(ISNUMBER(SnapshotTable[[#This Row],[SC Simple ROO]]),SnapshotTable[[#This Row],[SC Simple ROO]] &gt; 0), SnapshotTable[[#This Row],[SC Premium]] + (SnapshotTable[[#This Row],[SC Qty]] * SnapshotTable[[#This Row],[SC Upside Potential]]), "")</f>
        <v/>
      </c>
      <c r="FX76" s="302" t="str" cm="1">
        <f t="array" ref="FX76">IF(ISNUMBER(SnapshotTable[[#This Row],[SC Max Dollars]]), annualize(SnapshotTable[[#This Row],[SC Term]],(SnapshotTable[[#This Row],[SC Max Dollars]]/SnapshotTable[[#This Row],[SC Basis]])),"")</f>
        <v/>
      </c>
      <c r="FY76" s="236" t="str">
        <f>IF(AND(SnapshotTable[[#This Row],[SC Qty]]&gt;0,SnapshotTable[[#This Row],[SC Current Ask]]&gt;0), SnapshotTable[[#This Row],[SC Qty]] * SnapshotTable[[#This Row],[SC Current Ask]] * -100, "")</f>
        <v/>
      </c>
      <c r="FZ76" s="31" t="str">
        <f>IF(ISNUMBER((SnapshotTable[[#This Row],[SC Current Value]])), SnapshotTable[[#This Row],[SC Premium]] + SnapshotTable[[#This Row],[SC Current Value]], "")</f>
        <v/>
      </c>
      <c r="GA76" s="294" t="str">
        <f>IFERROR( IF(ISNUMBER((SnapshotTable[[#This Row],[SC Current Value]])), SnapshotTable[[#This Row],[SC Gain Loss]] / SnapshotTable[[#This Row],[SC Premium]], ""), "")</f>
        <v/>
      </c>
      <c r="GB76" s="42">
        <f>SnapshotTable[[#This Row],[Equity Shares]] * SaleSharesToConsiderPercentage</f>
        <v>0</v>
      </c>
      <c r="GC76" s="40">
        <f>SnapshotTable[[#This Row],[Long Term Target]] * SellingPriceToConsiderBasedOnTargetPercentage</f>
        <v>47.5</v>
      </c>
      <c r="GD76" s="40">
        <f>SnapshotTable[[#This Row],[Last Price]] * (1+ SellingPriceToConsiderBasedOnTargetPercentage)</f>
        <v>86.774999999999991</v>
      </c>
      <c r="GE76" s="41"/>
      <c r="GF76" s="40"/>
      <c r="GG76" s="31">
        <f>SnapshotTable[[#This Row],[Booked Sale Shares]] * SnapshotTable[[#This Row],[Booked Sale Price]]</f>
        <v>0</v>
      </c>
      <c r="GH76" s="31" t="str">
        <f>IF(SnapshotTable[[#This Row],[Equity Basis Total]] &gt; 0, SnapshotTable[[#This Row],[Equity Basis Per Share]] * SnapshotTable[[#This Row],[Booked Sale Shares]], "")</f>
        <v/>
      </c>
      <c r="GI76" s="31">
        <f>IF(SnapshotTable[[#This Row],[Sale Proceeds]]&gt;0, SnapshotTable[[#This Row],[Sale Proceeds]] - SnapshotTable[[#This Row],[Sale Basis]], 0)</f>
        <v>0</v>
      </c>
      <c r="GJ76" s="27" t="str">
        <f>IF(SnapshotTable[[#This Row],[Sale G/L]]&gt;0, SnapshotTable[[#This Row],[Sale G/L]] / SnapshotTable[[#This Row],[Sale Basis]], IF(ISNUMBER(SnapshotTable[[#This Row],[SC Exercise P&amp;L (TAX)]]), SnapshotTable[[#This Row],[SC Exercise P&amp;L (TAX)]] / SnapshotTable[[#This Row],[SC Basis]], ""))</f>
        <v/>
      </c>
      <c r="GK76" s="27" t="s">
        <v>1194</v>
      </c>
      <c r="GL76" s="43" t="str">
        <f>IF(AND(SnapshotTable[[#This Row],[LP Exp Date]]&gt;0,SnapshotTable[[#This Row],[LP Strike Price]]&gt;0), [1]!ToOptionSymbol(SnapshotTable[[#This Row],[Symbol]], SnapshotTable[[#This Row],[LP Strike Price]],SnapshotTable[[#This Row],[LP Exp Date]],1), "")</f>
        <v/>
      </c>
      <c r="GM76" s="30" t="str">
        <f>IF(LEN(SnapshotTable[[#This Row],[LP Symbol]])&gt;0, 1, "")</f>
        <v/>
      </c>
      <c r="GN76" s="43" t="str">
        <f>IF(AND(SnapshotTable[[#This Row],[SP Exp Date]]&gt;0,SnapshotTable[[#This Row],[SP Strike Price]]&gt;0), [1]!ToOptionSymbol(SnapshotTable[[#This Row],[Symbol]], SnapshotTable[[#This Row],[SP Strike Price]],SnapshotTable[[#This Row],[SP Exp Date]],1), "")</f>
        <v/>
      </c>
      <c r="GO76" s="30" t="str">
        <f>IF(LEN(SnapshotTable[[#This Row],[SP Symbol]])&gt;0, 1, "")</f>
        <v/>
      </c>
      <c r="GP76" s="43" t="str">
        <f>IF(AND(SnapshotTable[[#This Row],[LC Exp Date]]&gt;0,SnapshotTable[[#This Row],[LC Strike Price]]&gt;0), [1]!ToOptionSymbol(SnapshotTable[[#This Row],[Symbol]], SnapshotTable[[#This Row],[LC Strike Price]],SnapshotTable[[#This Row],[LC Exp Date]],0), "")</f>
        <v/>
      </c>
      <c r="GQ76" s="30" t="str">
        <f>IF(LEN(SnapshotTable[[#This Row],[LC Symbol]])&gt;0, 1, "")</f>
        <v/>
      </c>
      <c r="GR76" s="43" t="str">
        <f>IF(AND(SnapshotTable[[#This Row],[SC Exp Date]]&gt;0,SnapshotTable[[#This Row],[SC Strike Price]]&gt;0), [1]!ToOptionSymbol(SnapshotTable[[#This Row],[Symbol]], SnapshotTable[[#This Row],[SC Strike Price]],SnapshotTable[[#This Row],[SC Exp Date]],0), "")</f>
        <v/>
      </c>
      <c r="GS76" s="30" t="str">
        <f>IF(LEN(SnapshotTable[[#This Row],[SC Symbol]])&gt;0, 1, "")</f>
        <v/>
      </c>
      <c r="GT76" s="29" t="str">
        <f>IF(COUNT(SnapshotTable[[#This Row],[LP Symbol Count]],SnapshotTable[[#This Row],[SP Symbol Count]],SnapshotTable[[#This Row],[LC Symbol Count]],SnapshotTable[[#This Row],[SC Symbol Count]])&gt;0, "Y", "")</f>
        <v/>
      </c>
      <c r="GU7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6" s="231" t="e">
        <f>MAX(SnapshotTable[[#This Row],[Equity Basis Total]],SnapshotTable[[#This Row],[Equity Value]]) + (SnapshotTable[[#This Row],[SP Potential Spend]]- SnapshotTable[[#This Row],[SP Premium]] + SnapshotTable[[#This Row],[LP Premium]])+ (SnapshotTable[[#This Row],[LC Premium]] - SnapshotTable[[#This Row],[SC Premium]])</f>
        <v>#VALUE!</v>
      </c>
      <c r="GW76" s="139" t="e">
        <f>IF(AND(SnapshotTable[[#This Row],[Exposure]] &lt;&gt; 0),SnapshotTable[[#This Row],[Exposure]] / SnapshotTable[[#Totals],[Exposure]], "")</f>
        <v>#VALUE!</v>
      </c>
      <c r="HE76" s="268"/>
      <c r="HF76" s="268"/>
      <c r="HK76" s="1"/>
      <c r="HL76" s="1"/>
      <c r="HM76" s="1"/>
      <c r="HN76" s="1"/>
      <c r="HO76" s="1"/>
      <c r="HP76" s="1"/>
    </row>
    <row r="77" spans="2:224" ht="12.75" hidden="1" customHeight="1" x14ac:dyDescent="0.25">
      <c r="B77" s="12" t="s">
        <v>590</v>
      </c>
      <c r="C77" s="422">
        <v>26.1</v>
      </c>
      <c r="D77" s="208" t="s">
        <v>578</v>
      </c>
      <c r="E77" s="39">
        <f>SnapshotTable[[#This Row],[Last Price]]*(1 -CrashDiscount)</f>
        <v>22.185000000000002</v>
      </c>
      <c r="F77" s="26" t="s">
        <v>64</v>
      </c>
      <c r="G77" s="26" t="s">
        <v>14</v>
      </c>
      <c r="H77" s="149"/>
      <c r="I77" s="194">
        <v>44739.385416666664</v>
      </c>
      <c r="J77" s="195">
        <v>44739.385416666664</v>
      </c>
      <c r="K77" s="196"/>
      <c r="L77" s="326"/>
      <c r="M77" s="140"/>
      <c r="N77" s="140"/>
      <c r="O77" s="140"/>
      <c r="P77" s="22"/>
      <c r="Q77" s="25"/>
      <c r="R77" s="4" t="str">
        <f>IF(SnapshotTable[[#This Row],[Equity Basis Total]] &gt; 0, SnapshotTable[[#This Row],[Equity Basis Total]] / SnapshotTable[[#This Row],[Equity Shares]], "")</f>
        <v/>
      </c>
      <c r="S77" s="269">
        <f>SnapshotTable[[#This Row],[Last Price]] * SnapshotTable[[#This Row],[Equity Shares]]</f>
        <v>0</v>
      </c>
      <c r="T77" s="269">
        <f>SnapshotTable[[#This Row],[Equity Value]] - SnapshotTable[[#This Row],[Equity Basis Total]]</f>
        <v>0</v>
      </c>
      <c r="U77" s="270" t="str">
        <f>IF(SnapshotTable[[#This Row],[Equity Basis Total]] &gt; 0, SnapshotTable[[#This Row],[Equity G/L]] / SnapshotTable[[#This Row],[Equity Basis Total]], "")</f>
        <v/>
      </c>
      <c r="V77" s="268">
        <v>18</v>
      </c>
      <c r="W77" s="268">
        <v>15.5</v>
      </c>
      <c r="X77" s="4" t="str">
        <f>IF(AND(ISNUMBER(SnapshotTable[[#This Row],[Equity Basis Per Share]]),ISNUMBER(SnapshotTable[[#This Row],[Equity Target]])),SnapshotTable[[#This Row],[Equity Target]]-SnapshotTable[[#This Row],[Equity Basis Per Share]],"")</f>
        <v/>
      </c>
      <c r="Y77" s="4" t="str">
        <f>IF(AND(ISNUMBER(SnapshotTable[[#This Row],[Equity Basis Per Share]]),ISNUMBER(SnapshotTable[[#This Row],[Equity Stop Loss]])),SnapshotTable[[#This Row],[Equity Stop Loss]]-SnapshotTable[[#This Row],[Equity Basis Per Share]],"")</f>
        <v/>
      </c>
      <c r="Z77" s="275" t="str">
        <f>IFERROR( TEXT(SnapshotTable[[#This Row],[Equity Max Gain Per Share]] /ABS( SnapshotTable[[#This Row],[Equity Max Loss Per Share]]),"0.0 " ) &amp; " : 1", "")</f>
        <v/>
      </c>
      <c r="AA77" s="31" t="str">
        <f>IF(ISNUMBER(SnapshotTable[[#This Row],[Equity Max Gain Per Share]]),SnapshotTable[[#This Row],[Equity Max Gain Per Share]] * SnapshotTable[[#This Row],[Equity Shares]],"")</f>
        <v/>
      </c>
      <c r="AB77" s="31" t="str">
        <f>IF(ISNUMBER(SnapshotTable[[#This Row],[Equity Max Loss Per Share]]),SnapshotTable[[#This Row],[Equity Max Loss Per Share]] * SnapshotTable[[#This Row],[Equity Shares]],"")</f>
        <v/>
      </c>
      <c r="AC77" s="150"/>
      <c r="AD77" s="151"/>
      <c r="AE77" s="31">
        <f>(SnapshotTable[[#This Row],[Annual Dividend Per Share]] / 4) * SnapshotTable[[#This Row],[Equity Shares]]</f>
        <v>0</v>
      </c>
      <c r="AF77" s="31">
        <f>SnapshotTable[[#This Row],[Quarterly Div $]] * 4</f>
        <v>0</v>
      </c>
      <c r="AG77" s="7">
        <f>IF(SnapshotTable[[#This Row],[Annual Dividend Per Share]]&gt;0, SnapshotTable[[#This Row],[Annual Dividend Per Share]]  / SnapshotTable[[#This Row],[Last Price]], 0)</f>
        <v>0</v>
      </c>
      <c r="AH77" s="151"/>
      <c r="AI77" s="5">
        <f>SnapshotTable[[#This Row],[Equity Target]]</f>
        <v>18</v>
      </c>
      <c r="AJ77" s="138">
        <v>24.73</v>
      </c>
      <c r="AK77" s="152">
        <f>IF(ISNUMBER( SnapshotTable[[#This Row],[EBF Target]]),(SnapshotTable[[#This Row],[EBF Target]] - SnapshotTable[[#This Row],[Last Price]]) / SnapshotTable[[#This Row],[Last Price]], "")</f>
        <v>-0.31034482758620696</v>
      </c>
      <c r="AL77" s="152" t="str">
        <f>IF(AND(SnapshotTable[[#This Row],[Equity Basis Total]] &gt; 0,ISNUMBER( SnapshotTable[[#This Row],[Long Term Target]])), SnapshotTable[[#This Row],[From Basis $]] / SnapshotTable[[#This Row],[Equity Basis Total]], "")</f>
        <v/>
      </c>
      <c r="AM77" s="9">
        <f>IF( AND(SnapshotTable[[#This Row],[Equity Shares]] &gt;0,ISNUMBER( SnapshotTable[[#This Row],[Long Term Target]])),(SnapshotTable[[#This Row],[Equity Shares]] * SnapshotTable[[#This Row],[Long Term Target]]) - SnapshotTable[[#This Row],[Equity Basis Total]],0)</f>
        <v>0</v>
      </c>
      <c r="AN77" s="9">
        <f>IF( AND(SnapshotTable[[#This Row],[Equity Shares]] &gt;0,ISNUMBER( SnapshotTable[[#This Row],[Long Term Target]])),(SnapshotTable[[#This Row],[Equity Shares]]*SnapshotTable[[#This Row],[Long Term Target]]) - SnapshotTable[[#This Row],[Equity Value]],0)</f>
        <v>0</v>
      </c>
      <c r="AO77" s="152">
        <f>IF(AND(ISNUMBER( SnapshotTable[[#This Row],[Long Term Target]]), ISNUMBER(SnapshotTable[[#This Row],[Last Price]])),(SnapshotTable[[#This Row],[Long Term Target]] - SnapshotTable[[#This Row],[Last Price]]) / SnapshotTable[[#This Row],[Last Price]], "")</f>
        <v>-5.2490421455938734E-2</v>
      </c>
      <c r="AP77" s="5"/>
      <c r="AQ77" s="38" t="s">
        <v>27</v>
      </c>
      <c r="AR77" s="5"/>
      <c r="AS77" s="38" t="s">
        <v>38</v>
      </c>
      <c r="AT77" s="146" t="s">
        <v>538</v>
      </c>
      <c r="AU77" s="187" t="str">
        <f>IF(OR(SnapshotTable[[#This Row],[LP No Fill]]="Y",SnapshotTable[[#This Row],[SP Is Filled]],SnapshotTable[[#This Row],[LC Not Filled]]="Y",SnapshotTable[[#This Row],[SC Is Filled]]),"Y","")</f>
        <v/>
      </c>
      <c r="AV77" s="219"/>
      <c r="AW77" s="225"/>
      <c r="AX77" s="220"/>
      <c r="AY77" s="219" t="str">
        <f>IF(SnapshotTable[[#This Row],[Implied Move]]&gt;0, SnapshotTable[[#This Row],[Last Price]]-SnapshotTable[[#This Row],[Implied Move]],"")</f>
        <v/>
      </c>
      <c r="AZ77" s="219" t="str">
        <f>IF(SnapshotTable[[#This Row],[Implied Move]]&gt;0, SnapshotTable[[#This Row],[Last Price]] + SnapshotTable[[#This Row],[Implied Move]],"")</f>
        <v/>
      </c>
      <c r="BA77" s="331">
        <v>15.33</v>
      </c>
      <c r="BB77" s="347" t="s">
        <v>1165</v>
      </c>
      <c r="BC7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7" s="351"/>
      <c r="BE77" s="5"/>
      <c r="BF77" s="14"/>
      <c r="BG77" s="13"/>
      <c r="BH77" s="13"/>
      <c r="BI77" s="5"/>
      <c r="BJ77" s="136">
        <f>IF(SnapshotTable[[#This Row],[LP Qty]] &gt; 0, SnapshotTable[[#This Row],[LP Qty]] * SnapshotTable[[#This Row],[LP Book Price]] * 100,0)</f>
        <v>0</v>
      </c>
      <c r="BK77" s="136">
        <f>IF(SnapshotTable[[#This Row],[LP Premium]] &gt; 0, SnapshotTable[[#This Row],[LP Qty]] * SnapshotTable[[#This Row],[LP Strike Price]] * 100,0)</f>
        <v>0</v>
      </c>
      <c r="BL77" s="154"/>
      <c r="BM77" s="385" t="str">
        <f>IF(SnapshotTable[[#This Row],[LP Premium]] &gt; 0,SnapshotTable[[#This Row],[LP Exp Date]]-MAX(SnapshotTable[[#This Row],[LP Book Date]], SnapshotTable[[#This Row],[LP Fill Date]]),"")</f>
        <v/>
      </c>
      <c r="BN77" s="385" t="str">
        <f>IF(ISNUMBER( SnapshotTable[[#This Row],[LP Term]]), SnapshotTable[[#This Row],[LP Exp Date]] - MockToday,"")</f>
        <v/>
      </c>
      <c r="BO77" s="163" t="str">
        <f>IF(AND(SnapshotTable[[#This Row],[LP Exp Date]]&gt;0, SnapshotTable[[#This Row],[LP Strike Price]]&gt;0,SnapshotTable[[#This Row],[LP Qty]]&gt;0,SnapshotTable[[#This Row],[LP Book Date]]&gt;0,SnapshotTable[[#This Row],[LP Book Price]]&gt;0,SnapshotTable[[#This Row],[LP Fill Date]]=0),"Y","")</f>
        <v/>
      </c>
      <c r="BP77" s="31"/>
      <c r="BQ77" s="13"/>
      <c r="BR77" s="5" t="str">
        <f>IF(SnapshotTable[[#This Row],[SP Exp Date]]&lt;&gt;"",TRUNC(SnapshotTable[[#This Row],[Last Price]]),"")</f>
        <v/>
      </c>
      <c r="BS77" s="36"/>
      <c r="BT77" s="147"/>
      <c r="BU77" s="13"/>
      <c r="BV77" s="5"/>
      <c r="BW77" s="419" t="b">
        <f>AND(ISNUMBER(SnapshotTable[[#This Row],[SP Exp Date]]), ISNUMBER(SnapshotTable[[#This Row],[SP Strike Price]]), ISNUMBER(SnapshotTable[[#This Row],[SP Qty]]), ISNUMBER(SnapshotTable[[#This Row],[SP Book Date]]), ISNUMBER(SnapshotTable[[#This Row],[SP Book Price]]))</f>
        <v>0</v>
      </c>
      <c r="BX77" s="419" t="b">
        <f>AND(SnapshotTable[[#This Row],[SP Is Booked]], NOT(ISBLANK(SnapshotTable[[#This Row],[SP Fill Date]])))</f>
        <v>0</v>
      </c>
      <c r="BY77" s="33">
        <f>IF(SnapshotTable[[#This Row],[SP Is Booked]], SnapshotTable[[#This Row],[SP Qty]] * SnapshotTable[[#This Row],[SP Book Price]] * 100, 0)</f>
        <v>0</v>
      </c>
      <c r="BZ77" s="369"/>
      <c r="CA77" s="368">
        <f>SnapshotTable[[#This Row],[LP Qty]]</f>
        <v>0</v>
      </c>
      <c r="CB77" s="4" t="str">
        <f>IF(SnapshotTable[[#This Row],[SP Is Booked]], SnapshotTable[[#This Row],[SP Strike Price]] - SnapshotTable[[#This Row],[SP Book Price]], "")</f>
        <v/>
      </c>
      <c r="CC77" s="19" t="str">
        <f>IF(SnapshotTable[[#This Row],[SP Is Booked]],SnapshotTable[[#This Row],[SP Exp Date]]-MAX(SnapshotTable[[#This Row],[SP Book Date]], SnapshotTable[[#This Row],[SP Fill Date]]),"")</f>
        <v/>
      </c>
      <c r="CD77" s="7" t="str">
        <f>IF(SnapshotTable[[#This Row],[SP Is Booked]], SnapshotTable[[#This Row],[SP Book Price]]/SnapshotTable[[#This Row],[SP Strike Price]], "")</f>
        <v/>
      </c>
      <c r="CE77" s="7" t="str">
        <f>IF(ISNUMBER(SnapshotTable[[#This Row],[SP ROO Term]]),SnapshotTable[[#This Row],[SP ROO Term]]*(365/SnapshotTable[[#This Row],[SP Term]]),"")</f>
        <v/>
      </c>
      <c r="CF77" s="236">
        <f>SnapshotTable[[#This Row],[LP Strike Price]] * SnapshotTable[[#This Row],[LP Qty]] * 100</f>
        <v>0</v>
      </c>
      <c r="CG77" s="31" t="e">
        <f>IF(ISNUMBER(SnapshotTable[[#This Row],[SP Premium]]), (SnapshotTable[[#This Row],[SP Qty]] * SnapshotTable[[#This Row],[SP Strike Price]]* 100) - SnapshotTable[[#This Row],[LP Protection]], 0)</f>
        <v>#VALUE!</v>
      </c>
      <c r="CH77" s="7" t="str">
        <f>IF(ISNUMBER(SnapshotTable[[#This Row],[SP Break Even]]),-1 * (SnapshotTable[[#This Row],[SP Break Even]] - SnapshotTable[[#This Row],[Last Price]]) / SnapshotTable[[#This Row],[Last Price]], "")</f>
        <v/>
      </c>
      <c r="CI77" s="31">
        <f>IF(AND(ISNUMBER((SnapshotTable[[#This Row],[SP Potential Spend]])), SnapshotTable[[#This Row],[SP Strike Price]] &gt; SnapshotTable[[#This Row],[Last Price]], SnapshotTable[[#This Row],[SP Is Filled]]), SnapshotTable[[#This Row],[SP Potential Spend]] -  SnapshotTable[[#This Row],[LP Max Value]], 0)</f>
        <v>0</v>
      </c>
      <c r="CJ77" s="244"/>
      <c r="CK77" s="31" t="str">
        <f>IF(ISNUMBER(SnapshotTable[[#This Row],[SP Potential Spend]]),IF(ISNUMBER(SnapshotTable[[#This Row],[SP POW]]), SnapshotTable[[#This Row],[SP POW]] * SnapshotTable[[#This Row],[SP Potential Spend]], SnapshotTable[[#This Row],[SP Potential Spend]]), "")</f>
        <v/>
      </c>
      <c r="CL77" s="164" t="e">
        <f>IF(NOT(SnapshotTable[[#This Row],[SP Is Filled]]),(SnapshotTable[[#This Row],[SP Qty]] * SnapshotTable[[#This Row],[SP Strike Price]] * 100) - SnapshotTable[[#This Row],[LP Max Value]],"")</f>
        <v>#VALUE!</v>
      </c>
      <c r="CM77" s="31" t="str">
        <f>IF(SnapshotTable[[#This Row],[SP Actual Spend]]&lt;&gt;0, ((SnapshotTable[[#This Row],[SP Strike Price]]-SnapshotTable[[#This Row],[Last Price]]) *(SnapshotTable[[#This Row],[SP Qty]]*100) - SnapshotTable[[#This Row],[SP Premium]]) * - 1, "")</f>
        <v/>
      </c>
      <c r="CN77" s="218"/>
      <c r="CO77" s="369"/>
      <c r="CP77" s="4" t="str">
        <f>IF(SnapshotTable[[#This Row],[SP Is Filled]], btc_max_buyback_amount(SnapshotTable[[#This Row],[SP Fill Date]],SnapshotTable[[#This Row],[SP Exp Date]], SnapshotTable[[#This Row],[SP Book Price]]),"")</f>
        <v/>
      </c>
      <c r="CQ77" s="78"/>
      <c r="CR7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7" s="155" t="str">
        <f>IF(SnapshotTable[[#This Row],[SP Is Filled]], btc_next_cutoff_date(SnapshotTable[[#This Row],[SP Fill Date]],SnapshotTable[[#This Row],[SP Exp Date]]),"")</f>
        <v/>
      </c>
      <c r="CT77" s="235" t="str" cm="1">
        <f t="array" ref="CT77">IF(SnapshotTable[[#This Row],[SP Is Filled]], btc_should_buy_back(SnapshotTable[[#This Row],[SP Fill Date]], SnapshotTable[[#This Row],[SP Exp Date]], SnapshotTable[[#This Row],[SP Book Price]], SnapshotTable[[#This Row],[SP Current Ask]], MockToday, SnapshotTable[[#This Row],[SP Buyback Override]]),"")</f>
        <v/>
      </c>
      <c r="CU77" s="143"/>
      <c r="CV77" s="235"/>
      <c r="CW77" s="378" t="str">
        <f>IF(ISNUMBER( SnapshotTable[[#This Row],[SP Term]]), SnapshotTable[[#This Row],[SP Exp Date]] - MockToday,"")</f>
        <v/>
      </c>
      <c r="CX77" s="31" t="str">
        <f>IF(SnapshotTable[[#This Row],[SP Is Filled]],SnapshotTable[[#This Row],[SP Buyback Price to Use]] * 100 * SnapshotTable[[#This Row],[SP Qty]], "")</f>
        <v/>
      </c>
      <c r="CY77" s="4" t="str">
        <f>IF(ISNUMBER(SnapshotTable[[#This Row],[SP Strike Price]]), SnapshotTable[[#This Row],[SP Strike Price]] * (1 - SP_MaxLoss_StrikePct), "")</f>
        <v/>
      </c>
      <c r="CZ77" s="31" t="str">
        <f>IF(ISNUMBER(SnapshotTable[[#This Row],[SP Strike  Stop Per Share]]),SnapshotTable[[#This Row],[SP Premium]] - ((SnapshotTable[[#This Row],[SP Strike Price]]-SnapshotTable[[#This Row],[SP Strike  Stop Per Share]]) *(SnapshotTable[[#This Row],[SP Qty]] * 100)),"")</f>
        <v/>
      </c>
      <c r="DA77" s="4" t="str">
        <f>IF(AND(ISNUMBER(SnapshotTable[[#This Row],[SP Premium]]),SnapshotTable[[#This Row],[SP Premium]]&gt;0), SnapshotTable[[#This Row],[SP Book Price]] * (1 + SP_MaxLoss_OptionPct), "")</f>
        <v/>
      </c>
      <c r="DB77" s="31" t="str">
        <f>IF(ISNUMBER(SnapshotTable[[#This Row],[SP Option  Stop Contract]]),(SnapshotTable[[#This Row],[SP Option  Stop Contract]] *(SnapshotTable[[#This Row],[SP Qty]] * 100) - SnapshotTable[[#This Row],[SP Premium]]),"")</f>
        <v/>
      </c>
      <c r="DC77" s="4"/>
      <c r="DD77" s="4"/>
      <c r="DE77" s="4" t="str">
        <f>IF(AND(SnapshotTable[[#This Row],[SP Qty]]&gt;0, SnapshotTable[[#This Row],[SP Stop To Use]]&gt;0),SnapshotTable[[#This Row],[SP Premium]] - ( SnapshotTable[[#This Row],[SP Qty]] * SnapshotTable[[#This Row],[SP Stop To Use]] * 100), "")</f>
        <v/>
      </c>
      <c r="DF77" s="31" t="str">
        <f>IF(AND(SnapshotTable[[#This Row],[SP Qty]]&gt;0,SnapshotTable[[#This Row],[SP Current Ask]]&gt;0), SnapshotTable[[#This Row],[SP Qty]] * SnapshotTable[[#This Row],[SP Current Ask]] * -100, "")</f>
        <v/>
      </c>
      <c r="DG77" s="31" t="str">
        <f>IF(ISNUMBER((SnapshotTable[[#This Row],[SP Total Value]])), SnapshotTable[[#This Row],[SP Premium]] + SnapshotTable[[#This Row],[SP Total Value]], "")</f>
        <v/>
      </c>
      <c r="DH77" s="294" t="str">
        <f>IF(ISNUMBER((SnapshotTable[[#This Row],[SP Total Value]])), SnapshotTable[[#This Row],[SP Gain Loss]] / SnapshotTable[[#This Row],[SP Premium]], "")</f>
        <v/>
      </c>
      <c r="DI77" s="406"/>
      <c r="DJ77" s="138"/>
      <c r="DK77" s="148"/>
      <c r="DL77" s="13"/>
      <c r="DM77" s="13"/>
      <c r="DO77" s="31">
        <f>IF(SnapshotTable[[#This Row],[LC Symbol Count]]=1, SnapshotTable[[#This Row],[LC Qty]] * SnapshotTable[[#This Row],[LC Book Price]] * 100, 0)</f>
        <v>0</v>
      </c>
      <c r="DP77" s="163" t="str">
        <f>IF(AND(SnapshotTable[[#This Row],[LC Exp Date]]&gt;0, SnapshotTable[[#This Row],[LC Strike Price]]&gt;0,SnapshotTable[[#This Row],[LC Qty]]&gt;0,SnapshotTable[[#This Row],[LC Book Date]]&gt;0,SnapshotTable[[#This Row],[LC Book Price]]&gt;0,SnapshotTable[[#This Row],[LC Fill Date]]=0),"Y","")</f>
        <v/>
      </c>
      <c r="DQ77" s="386" t="str">
        <f>IF(SnapshotTable[[#This Row],[LC Premium]] &gt; 0,SnapshotTable[[#This Row],[LC Exp Date]]-MAX(SnapshotTable[[#This Row],[LC Book Date]], SnapshotTable[[#This Row],[LC Fill Date]]),"")</f>
        <v/>
      </c>
      <c r="DR77" s="386" t="str">
        <f>IF(ISNUMBER(SnapshotTable[[#This Row],[LC Term]]), SnapshotTable[[#This Row],[LC Exp Date]] - MockToday, "")</f>
        <v/>
      </c>
      <c r="DS77" s="234" t="str">
        <f>IF(SnapshotTable[[#This Row],[LC Premium]]&gt;0,SnapshotTable[[#This Row],[LC Strike Price]] + SnapshotTable[[#This Row],[LC Book Price]],"")</f>
        <v/>
      </c>
      <c r="DU77" s="9" t="str">
        <f>IF(AND(SnapshotTable[[#This Row],[LC Symbol Count]]&gt;0, SnapshotTable[[#This Row],[LC Contract Value]]&gt;0), SnapshotTable[[#This Row],[LC Contract Value]] * SnapshotTable[[#This Row],[LC Qty]] * 100, "")</f>
        <v/>
      </c>
      <c r="DV77" s="9" t="str">
        <f>IF(AND(ISNUMBER(SnapshotTable[[#This Row],[LC Total Value]]), SnapshotTable[[#This Row],[LC Not Filled]]&lt;&gt;"Y"), SnapshotTable[[#This Row],[LC Total Value]]-SnapshotTable[[#This Row],[LC Premium]],"")</f>
        <v/>
      </c>
      <c r="DW77" s="240" t="str">
        <f>IF(ISNUMBER(SnapshotTable[[#This Row],[LC Actual Gain Loss]]), SnapshotTable[[#This Row],[LC Actual Gain Loss]] / SnapshotTable[[#This Row],[LC Premium]],"")</f>
        <v/>
      </c>
      <c r="DX77" s="284" t="str">
        <f>IF(ISNUMBER(SnapshotTable[[#This Row],[LC Book Price]]),SnapshotTable[[#This Row],[LC Book Price]] * 1.5,"")</f>
        <v/>
      </c>
      <c r="DY77" s="265" t="str">
        <f>IF(SnapshotTable[[#This Row],[LC Premium]]&gt;0, SnapshotTable[[#This Row],[LC Next Target]] * SnapshotTable[[#This Row],[LC Qty]] * 100,"")</f>
        <v/>
      </c>
      <c r="DZ77" s="265" t="str">
        <f>IF(ISNUMBER(SnapshotTable[[#This Row],[LC Target Gross]]), SnapshotTable[[#This Row],[LC Target Gross]] - SnapshotTable[[#This Row],[LC Premium]], "")</f>
        <v/>
      </c>
      <c r="EA77" s="305" t="str">
        <f>IF(ISNUMBER(SnapshotTable[[#This Row],[LC Target Gain Loss]]), SnapshotTable[[#This Row],[LC Target Gain Loss]]/SnapshotTable[[#This Row],[LC Premium]], "")</f>
        <v/>
      </c>
      <c r="EB77" s="262"/>
      <c r="EC77" s="283" t="str">
        <f>IF(SnapshotTable[[#This Row],[LC Premium]]&gt;0, SnapshotTable[[#This Row],[LC Book Price]] * (1 - LC_StopLoss_Pct),"")</f>
        <v/>
      </c>
      <c r="ED77" s="284"/>
      <c r="EE77" s="283" t="str">
        <f>IF(ISNUMBER(SnapshotTable[[#This Row],[LC Contract Value]]),IF(ISNUMBER(SnapshotTable[[#This Row],[LC Stop Loss Override]]), SnapshotTable[[#This Row],[LC Stop Loss Override]],SnapshotTable[[#This Row],[LC Stop Loss Calc Target]]),"")</f>
        <v/>
      </c>
      <c r="EF77" s="31" t="str">
        <f>IF(ISNUMBER(SnapshotTable[[#This Row],[LC Stop  To Use]]), (SnapshotTable[[#This Row],[LC Stop  To Use]] * SnapshotTable[[#This Row],[LC Qty]] * 100),"")</f>
        <v/>
      </c>
      <c r="EG77" s="9" t="str">
        <f>IF(ISNUMBER(SnapshotTable[[#This Row],[LC Total Value]]),SnapshotTable[[#This Row],[LC Stop Loss Amount]] - SnapshotTable[[#This Row],[LC Premium]],"")</f>
        <v/>
      </c>
      <c r="EH77" s="9">
        <f>IF(ISNUMBER(SnapshotTable[[#This Row],[LC Premium]]), SnapshotTable[[#This Row],[LC Qty]] * 100 * SnapshotTable[[#This Row],[LC Strike Price]], "")</f>
        <v>0</v>
      </c>
      <c r="EI77" s="240" t="str">
        <f>IF(AND(ISNUMBER(SnapshotTable[[#This Row],[LC Total Value]]),SnapshotTable[[#This Row],[LC Total Value]]&gt;0),SnapshotTable[[#This Row],[LC Stop Gain Loss]]  / SnapshotTable[[#This Row],[LC Premium]],"")</f>
        <v/>
      </c>
      <c r="EJ77" s="35">
        <f>IF(ISNUMBER(SnapshotTable[[#This Row],[Equity Shares]]),TRUNC(SnapshotTable[[#This Row],[Equity Shares]] / 100),0) + SnapshotTable[[#This Row],[LC Qty]]</f>
        <v>0</v>
      </c>
      <c r="EK77" s="147"/>
      <c r="EL77" s="138" t="str">
        <f>IF(SnapshotTable[[#This Row],[SC Exp Date]]&lt;&gt;"",TRUNC(SnapshotTable[[#This Row],[Last Price]]),"")</f>
        <v/>
      </c>
      <c r="EM77" s="148"/>
      <c r="EN77" s="147"/>
      <c r="EO77" s="147"/>
      <c r="EP77" s="138"/>
      <c r="EQ77" s="419" t="b">
        <f>AND(ISNUMBER(SnapshotTable[[#This Row],[SC Exp Date]]), ISNUMBER(SnapshotTable[[#This Row],[SC Strike Price]]), ISNUMBER(SnapshotTable[[#This Row],[SC Qty]]), ISNUMBER(SnapshotTable[[#This Row],[SC Book Date]]), ISNUMBER(SnapshotTable[[#This Row],[SC Book Price]]))</f>
        <v>0</v>
      </c>
      <c r="ER77" s="419" t="b">
        <f>AND(SnapshotTable[[#This Row],[SC Is Booked]], NOT(ISBLANK(SnapshotTable[[#This Row],[SC Fill Date]])))</f>
        <v>0</v>
      </c>
      <c r="ES77" s="370"/>
      <c r="ET77" s="34" t="str">
        <f>IF(AND(ISNUMBER(SnapshotTable[[#This Row],[SC Exp Date]]), ISNUMBER(SnapshotTable[[#This Row],[SC Book Date]])), SnapshotTable[[#This Row],[SC Exp Date]] - MAX(SnapshotTable[[#This Row],[SC Book Date]], SnapshotTable[[#This Row],[SC Fill Date]]) + 1, "")</f>
        <v/>
      </c>
      <c r="EU77" s="34" t="str">
        <f>IF(ISNUMBER(SnapshotTable[[#This Row],[SC Term]]), SnapshotTable[[#This Row],[SC Exp Date]]- MockToday, "")</f>
        <v/>
      </c>
      <c r="EV77" s="31">
        <f>IF(SnapshotTable[[#This Row],[SC Is Booked]], SnapshotTable[[#This Row],[SC Qty]] * SnapshotTable[[#This Row],[SC Book Price]] * 100, 0)</f>
        <v>0</v>
      </c>
      <c r="EW77" s="4" t="str">
        <f>IF(AND(ISNUMBER(SnapshotTable[[#This Row],[Last Price]]), ISNUMBER( SnapshotTable[[#This Row],[SC Book Price]])), SnapshotTable[[#This Row],[Last Price]] - SnapshotTable[[#This Row],[SC Book Price]],"")</f>
        <v/>
      </c>
      <c r="EX77" s="234" t="str">
        <f>IF(SnapshotTable[[#This Row],[SC Is Booked]],IF(SnapshotTable[[#This Row],[SC Intrinsic Value]] &gt; 0, SnapshotTable[[#This Row],[SC Strike Price]], SnapshotTable[[#This Row],[Last Price]]), "")</f>
        <v/>
      </c>
      <c r="EY77" s="4">
        <f>IF(SnapshotTable[[#This Row],[SC Is Booked]], (MinimumPremiumRequired * SnapshotTable[[#This Row],[SC Basis]] * SnapshotTable[[#This Row],[SC Term]]), 0)</f>
        <v>0</v>
      </c>
      <c r="EZ77" s="283"/>
      <c r="FA77" s="218"/>
      <c r="FB77" s="370"/>
      <c r="FC77" s="4">
        <f>IF(SnapshotTable[[#This Row],[SC Is Filled]], btc_max_buyback_amount(SnapshotTable[[#This Row],[SC Fill Date]],SnapshotTable[[#This Row],[SC Exp Date]], SnapshotTable[[#This Row],[SC Book Price]]),0)</f>
        <v>0</v>
      </c>
      <c r="FD77" s="5"/>
      <c r="FE77" s="144" t="str">
        <f>IF(SnapshotTable[[#This Row],[SC Is Filled]], btc_next_cutoff_date(SnapshotTable[[#This Row],[SC Fill Date]],SnapshotTable[[#This Row],[SC Exp Date]]),"")</f>
        <v/>
      </c>
      <c r="FF77" s="4" t="str" cm="1">
        <f t="array" ref="FF77">IF(SnapshotTable[[#This Row],[SC Is Filled]], btc_should_buy_back(SnapshotTable[[#This Row],[SC Fill Date]], SnapshotTable[[#This Row],[SC Exp Date]], SnapshotTable[[#This Row],[SC Book Price]], SnapshotTable[[#This Row],[SC Current Ask]], MockToday, SnapshotTable[[#This Row],[SC Buyback Override]]),"")</f>
        <v/>
      </c>
      <c r="FG77" s="4">
        <f>IF(SnapshotTable[[#This Row],[SC Is Filled]], MAX(0,SnapshotTable[[#This Row],[Last Price]]  - SnapshotTable[[#This Row],[SC Strike Price]]), 0)</f>
        <v>0</v>
      </c>
      <c r="FH77" s="382">
        <f>IF(SnapshotTable[[#This Row],[SC Is Filled]], IF(ISNUMBER(SnapshotTable[[#This Row],[SC Current Ask]]), SnapshotTable[[#This Row],[SC Current Ask]], SnapshotTable[[#This Row],[SC Book Price]]) - SnapshotTable[[#This Row],[SC Intrinsic Value]], 0)</f>
        <v>0</v>
      </c>
      <c r="FI77" s="143"/>
      <c r="FJ77" s="32" t="str">
        <f>IF(SnapshotTable[[#This Row],[SC Is Filled]],100 * SnapshotTable[[#This Row],[SC Qty]] * IF(ISNUMBER(SnapshotTable[[#This Row],[SC Buyback Override]]), SnapshotTable[[#This Row],[SC Buyback Override]], SnapshotTable[[#This Row],[SC Current Ask]]), "")</f>
        <v/>
      </c>
      <c r="FK77" s="250" t="str">
        <f>IF(SnapshotTable[[#This Row],[SC Time Val]]&gt;0, SnapshotTable[[#This Row],[SC Time Val]] / SnapshotTable[[#This Row],[Last Price]],"")</f>
        <v/>
      </c>
      <c r="FL77" s="302" t="str">
        <f>IF(SnapshotTable[[#This Row],[SC Is Booked]], ((SnapshotTable[[#This Row],[Last Price]] -SnapshotTable[[#This Row],[SC Strike Price]]) / SnapshotTable[[#This Row],[Last Price]]) * -1, "")</f>
        <v/>
      </c>
      <c r="FM77" s="157" t="str">
        <f>IF(SnapshotTable[[#This Row],[SC Is Booked]],  (SnapshotTable[[#This Row],[SC Qty]] * 100 * SnapshotTable[[#This Row],[SC Strike Price]]) - SnapshotTable[[#This Row],[SC Current Ask]], "")</f>
        <v/>
      </c>
      <c r="FN7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7" s="31" t="str">
        <f>IF(AND(ISNUMBER(SnapshotTable[[#This Row],[SC Exercise Gross]]), ISNUMBER(SnapshotTable[[#This Row],[Equity Basis Per Share]] )), SnapshotTable[[#This Row],[SC Exercise Gross]] - SnapshotTable[[#This Row],[Equity Basis Total]] +  SnapshotTable[[#This Row],[SC Premium]], "")</f>
        <v/>
      </c>
      <c r="FP77" s="5" t="str">
        <f>IF(ISNUMBER(SnapshotTable[[#This Row],[SC Exercise Gross]]), (SnapshotTable[[#This Row],[SC Exercise Gross]]) / (SnapshotTable[[#This Row],[SC Qty]] * 100), "")</f>
        <v/>
      </c>
      <c r="FQ77" s="27" t="str">
        <f>IF(SnapshotTable[[#This Row],[SC Is Booked]],SnapshotTable[[#This Row],[SC Time Val]] /SnapshotTable[[#This Row],[SC Basis]], "")</f>
        <v/>
      </c>
      <c r="FR77" s="27" t="str" cm="1">
        <f t="array" ref="FR77">IF(AND(ISNUMBER(SnapshotTable[[#This Row],[SC Term]]),ISNUMBER(SnapshotTable[[#This Row],[SC Simple ROO]])), EllmanAnnualize(SnapshotTable[[#This Row],[SC DTE]], SnapshotTable[[#This Row],[SC Simple ROO]] ),"")</f>
        <v/>
      </c>
      <c r="FS77" s="4" t="e">
        <f>IF(SnapshotTable[[#This Row],[SC Strike Price]] &gt; SnapshotTable[[#This Row],[Last Price]], SnapshotTable[[#This Row],[SC Strike Price]] - SnapshotTable[[#This Row],[Last Price]],0)</f>
        <v>#VALUE!</v>
      </c>
      <c r="FT77" s="27" t="e">
        <f>IF(AND(ISNUMBER(SnapshotTable[[#This Row],[SC Upside Potential]]), SnapshotTable[[#This Row],[SC Upside Potential]] &gt; 0),(SnapshotTable[[#This Row],[SC Upside Potential]]/ SnapshotTable[[#This Row],[ACB]]),"")</f>
        <v>#VALUE!</v>
      </c>
      <c r="FU77" s="333" t="str">
        <f>IF(SnapshotTable[[#This Row],[SC Intrinsic Value]] &gt; 0,SnapshotTable[[#This Row],[SC Intrinsic Value]],"")</f>
        <v/>
      </c>
      <c r="FV77" s="27" t="str">
        <f>IF(AND( ISNUMBER( SnapshotTable[[#This Row],[ACB]]),ISNUMBER(SnapshotTable[[#This Row],[SC Downside Protect]])),SnapshotTable[[#This Row],[SC Downside Protect]] / SnapshotTable[[#This Row],[ACB]],"")</f>
        <v/>
      </c>
      <c r="FW77" s="236" t="str">
        <f>IF(AND(ISNUMBER(SnapshotTable[[#This Row],[SC Simple ROO]]),SnapshotTable[[#This Row],[SC Simple ROO]] &gt; 0), SnapshotTable[[#This Row],[SC Premium]] + (SnapshotTable[[#This Row],[SC Qty]] * SnapshotTable[[#This Row],[SC Upside Potential]]), "")</f>
        <v/>
      </c>
      <c r="FX77" s="302" t="str" cm="1">
        <f t="array" ref="FX77">IF(ISNUMBER(SnapshotTable[[#This Row],[SC Max Dollars]]), annualize(SnapshotTable[[#This Row],[SC Term]],(SnapshotTable[[#This Row],[SC Max Dollars]]/SnapshotTable[[#This Row],[SC Basis]])),"")</f>
        <v/>
      </c>
      <c r="FY77" s="236" t="str">
        <f>IF(AND(SnapshotTable[[#This Row],[SC Qty]]&gt;0,SnapshotTable[[#This Row],[SC Current Ask]]&gt;0), SnapshotTable[[#This Row],[SC Qty]] * SnapshotTable[[#This Row],[SC Current Ask]] * -100, "")</f>
        <v/>
      </c>
      <c r="FZ77" s="31" t="str">
        <f>IF(ISNUMBER((SnapshotTable[[#This Row],[SC Current Value]])), SnapshotTable[[#This Row],[SC Premium]] + SnapshotTable[[#This Row],[SC Current Value]], "")</f>
        <v/>
      </c>
      <c r="GA77" s="294" t="str">
        <f>IFERROR( IF(ISNUMBER((SnapshotTable[[#This Row],[SC Current Value]])), SnapshotTable[[#This Row],[SC Gain Loss]] / SnapshotTable[[#This Row],[SC Premium]], ""), "")</f>
        <v/>
      </c>
      <c r="GB77" s="42">
        <f>SnapshotTable[[#This Row],[Equity Shares]] * SaleSharesToConsiderPercentage</f>
        <v>0</v>
      </c>
      <c r="GC77" s="40">
        <f>SnapshotTable[[#This Row],[Long Term Target]] * SellingPriceToConsiderBasedOnTargetPercentage</f>
        <v>23.493500000000001</v>
      </c>
      <c r="GD77" s="40">
        <f>SnapshotTable[[#This Row],[Last Price]] * (1+ SellingPriceToConsiderBasedOnTargetPercentage)</f>
        <v>50.895000000000003</v>
      </c>
      <c r="GE77" s="41"/>
      <c r="GF77" s="40"/>
      <c r="GG77" s="31">
        <f>SnapshotTable[[#This Row],[Booked Sale Shares]] * SnapshotTable[[#This Row],[Booked Sale Price]]</f>
        <v>0</v>
      </c>
      <c r="GH77" s="31" t="str">
        <f>IF(SnapshotTable[[#This Row],[Equity Basis Total]] &gt; 0, SnapshotTable[[#This Row],[Equity Basis Per Share]] * SnapshotTable[[#This Row],[Booked Sale Shares]], "")</f>
        <v/>
      </c>
      <c r="GI77" s="31">
        <f>IF(SnapshotTable[[#This Row],[Sale Proceeds]]&gt;0, SnapshotTable[[#This Row],[Sale Proceeds]] - SnapshotTable[[#This Row],[Sale Basis]], 0)</f>
        <v>0</v>
      </c>
      <c r="GJ77" s="27" t="str">
        <f>IF(SnapshotTable[[#This Row],[Sale G/L]]&gt;0, SnapshotTable[[#This Row],[Sale G/L]] / SnapshotTable[[#This Row],[Sale Basis]], IF(ISNUMBER(SnapshotTable[[#This Row],[SC Exercise P&amp;L (TAX)]]), SnapshotTable[[#This Row],[SC Exercise P&amp;L (TAX)]] / SnapshotTable[[#This Row],[SC Basis]], ""))</f>
        <v/>
      </c>
      <c r="GK77" s="27" t="s">
        <v>658</v>
      </c>
      <c r="GL77" s="43" t="str">
        <f>IF(AND(SnapshotTable[[#This Row],[LP Exp Date]]&gt;0,SnapshotTable[[#This Row],[LP Strike Price]]&gt;0), [1]!ToOptionSymbol(SnapshotTable[[#This Row],[Symbol]], SnapshotTable[[#This Row],[LP Strike Price]],SnapshotTable[[#This Row],[LP Exp Date]],1), "")</f>
        <v/>
      </c>
      <c r="GM77" s="30" t="str">
        <f>IF(LEN(SnapshotTable[[#This Row],[LP Symbol]])&gt;0, 1, "")</f>
        <v/>
      </c>
      <c r="GN77" s="43" t="str">
        <f>IF(AND(SnapshotTable[[#This Row],[SP Exp Date]]&gt;0,SnapshotTable[[#This Row],[SP Strike Price]]&gt;0), [1]!ToOptionSymbol(SnapshotTable[[#This Row],[Symbol]], SnapshotTable[[#This Row],[SP Strike Price]],SnapshotTable[[#This Row],[SP Exp Date]],1), "")</f>
        <v/>
      </c>
      <c r="GO77" s="30" t="str">
        <f>IF(LEN(SnapshotTable[[#This Row],[SP Symbol]])&gt;0, 1, "")</f>
        <v/>
      </c>
      <c r="GP77" s="43" t="str">
        <f>IF(AND(SnapshotTable[[#This Row],[LC Exp Date]]&gt;0,SnapshotTable[[#This Row],[LC Strike Price]]&gt;0), [1]!ToOptionSymbol(SnapshotTable[[#This Row],[Symbol]], SnapshotTable[[#This Row],[LC Strike Price]],SnapshotTable[[#This Row],[LC Exp Date]],0), "")</f>
        <v/>
      </c>
      <c r="GQ77" s="30" t="str">
        <f>IF(LEN(SnapshotTable[[#This Row],[LC Symbol]])&gt;0, 1, "")</f>
        <v/>
      </c>
      <c r="GR77" s="43" t="str">
        <f>IF(AND(SnapshotTable[[#This Row],[SC Exp Date]]&gt;0,SnapshotTable[[#This Row],[SC Strike Price]]&gt;0), [1]!ToOptionSymbol(SnapshotTable[[#This Row],[Symbol]], SnapshotTable[[#This Row],[SC Strike Price]],SnapshotTable[[#This Row],[SC Exp Date]],0), "")</f>
        <v/>
      </c>
      <c r="GS77" s="30" t="str">
        <f>IF(LEN(SnapshotTable[[#This Row],[SC Symbol]])&gt;0, 1, "")</f>
        <v/>
      </c>
      <c r="GT77" s="29" t="str">
        <f>IF(COUNT(SnapshotTable[[#This Row],[LP Symbol Count]],SnapshotTable[[#This Row],[SP Symbol Count]],SnapshotTable[[#This Row],[LC Symbol Count]],SnapshotTable[[#This Row],[SC Symbol Count]])&gt;0, "Y", "")</f>
        <v/>
      </c>
      <c r="GU7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7" s="231" t="e">
        <f>MAX(SnapshotTable[[#This Row],[Equity Basis Total]],SnapshotTable[[#This Row],[Equity Value]]) + (SnapshotTable[[#This Row],[SP Potential Spend]]- SnapshotTable[[#This Row],[SP Premium]] + SnapshotTable[[#This Row],[LP Premium]])+ (SnapshotTable[[#This Row],[LC Premium]] - SnapshotTable[[#This Row],[SC Premium]])</f>
        <v>#VALUE!</v>
      </c>
      <c r="GW77" s="139" t="e">
        <f>IF(AND(SnapshotTable[[#This Row],[Exposure]] &lt;&gt; 0),SnapshotTable[[#This Row],[Exposure]] / SnapshotTable[[#Totals],[Exposure]], "")</f>
        <v>#VALUE!</v>
      </c>
      <c r="HE77" s="268"/>
      <c r="HF77" s="268"/>
      <c r="HK77" s="1"/>
      <c r="HL77" s="1"/>
      <c r="HM77" s="1"/>
      <c r="HN77" s="1"/>
      <c r="HO77" s="1"/>
      <c r="HP77" s="1"/>
    </row>
    <row r="78" spans="2:224" ht="12.75" hidden="1" customHeight="1" x14ac:dyDescent="0.25">
      <c r="B78" s="12" t="s">
        <v>1212</v>
      </c>
      <c r="C78" s="422">
        <v>17.309999999999999</v>
      </c>
      <c r="D78" s="208" t="s">
        <v>885</v>
      </c>
      <c r="E78" s="39">
        <f>SnapshotTable[[#This Row],[Last Price]]*(1 -CrashDiscount)</f>
        <v>14.713499999999998</v>
      </c>
      <c r="F78" s="26" t="s">
        <v>54</v>
      </c>
      <c r="G78" s="26" t="s">
        <v>41</v>
      </c>
      <c r="H78" s="149"/>
      <c r="I78" s="194">
        <v>45708</v>
      </c>
      <c r="J78" s="195">
        <v>0.25</v>
      </c>
      <c r="K78" s="196"/>
      <c r="L78" s="326"/>
      <c r="M78" s="140"/>
      <c r="N78" s="140"/>
      <c r="O78" s="140"/>
      <c r="P78" s="22"/>
      <c r="Q78" s="25"/>
      <c r="R78" s="4" t="str">
        <f>IF(SnapshotTable[[#This Row],[Equity Basis Total]] &gt; 0, SnapshotTable[[#This Row],[Equity Basis Total]] / SnapshotTable[[#This Row],[Equity Shares]], "")</f>
        <v/>
      </c>
      <c r="S78" s="269">
        <f>SnapshotTable[[#This Row],[Last Price]] * SnapshotTable[[#This Row],[Equity Shares]]</f>
        <v>0</v>
      </c>
      <c r="T78" s="269">
        <f>SnapshotTable[[#This Row],[Equity Value]] - SnapshotTable[[#This Row],[Equity Basis Total]]</f>
        <v>0</v>
      </c>
      <c r="U78" s="270" t="str">
        <f>IF(SnapshotTable[[#This Row],[Equity Basis Total]] &gt; 0, SnapshotTable[[#This Row],[Equity G/L]] / SnapshotTable[[#This Row],[Equity Basis Total]], "")</f>
        <v/>
      </c>
      <c r="V78" s="268"/>
      <c r="W78" s="268"/>
      <c r="X78" s="4" t="str">
        <f>IF(AND(ISNUMBER(SnapshotTable[[#This Row],[Equity Basis Per Share]]),ISNUMBER(SnapshotTable[[#This Row],[Equity Target]])),SnapshotTable[[#This Row],[Equity Target]]-SnapshotTable[[#This Row],[Equity Basis Per Share]],"")</f>
        <v/>
      </c>
      <c r="Y78" s="4" t="str">
        <f>IF(AND(ISNUMBER(SnapshotTable[[#This Row],[Equity Basis Per Share]]),ISNUMBER(SnapshotTable[[#This Row],[Equity Stop Loss]])),SnapshotTable[[#This Row],[Equity Stop Loss]]-SnapshotTable[[#This Row],[Equity Basis Per Share]],"")</f>
        <v/>
      </c>
      <c r="Z78" s="275" t="str">
        <f>IFERROR( TEXT(SnapshotTable[[#This Row],[Equity Max Gain Per Share]] /ABS( SnapshotTable[[#This Row],[Equity Max Loss Per Share]]),"0.0 " ) &amp; " : 1", "")</f>
        <v/>
      </c>
      <c r="AA78" s="31" t="str">
        <f>IF(ISNUMBER(SnapshotTable[[#This Row],[Equity Max Gain Per Share]]),SnapshotTable[[#This Row],[Equity Max Gain Per Share]] * SnapshotTable[[#This Row],[Equity Shares]],"")</f>
        <v/>
      </c>
      <c r="AB78" s="31" t="str">
        <f>IF(ISNUMBER(SnapshotTable[[#This Row],[Equity Max Loss Per Share]]),SnapshotTable[[#This Row],[Equity Max Loss Per Share]] * SnapshotTable[[#This Row],[Equity Shares]],"")</f>
        <v/>
      </c>
      <c r="AC78" s="150"/>
      <c r="AD78" s="151"/>
      <c r="AE78" s="31">
        <f>(SnapshotTable[[#This Row],[Annual Dividend Per Share]] / 4) * SnapshotTable[[#This Row],[Equity Shares]]</f>
        <v>0</v>
      </c>
      <c r="AF78" s="31">
        <f>SnapshotTable[[#This Row],[Quarterly Div $]] * 4</f>
        <v>0</v>
      </c>
      <c r="AG78" s="7">
        <f>IF(SnapshotTable[[#This Row],[Annual Dividend Per Share]]&gt;0, SnapshotTable[[#This Row],[Annual Dividend Per Share]]  / SnapshotTable[[#This Row],[Last Price]], 0)</f>
        <v>0</v>
      </c>
      <c r="AH78" s="151"/>
      <c r="AI78" s="5"/>
      <c r="AJ78" s="138"/>
      <c r="AK78" s="152" t="str">
        <f>IF(ISNUMBER( SnapshotTable[[#This Row],[EBF Target]]),(SnapshotTable[[#This Row],[EBF Target]] - SnapshotTable[[#This Row],[Last Price]]) / SnapshotTable[[#This Row],[Last Price]], "")</f>
        <v/>
      </c>
      <c r="AL78" s="152" t="str">
        <f>IF(AND(SnapshotTable[[#This Row],[Equity Basis Total]] &gt; 0,ISNUMBER( SnapshotTable[[#This Row],[Long Term Target]])), SnapshotTable[[#This Row],[From Basis $]] / SnapshotTable[[#This Row],[Equity Basis Total]], "")</f>
        <v/>
      </c>
      <c r="AM78" s="9">
        <f>IF( AND(SnapshotTable[[#This Row],[Equity Shares]] &gt;0,ISNUMBER( SnapshotTable[[#This Row],[Long Term Target]])),(SnapshotTable[[#This Row],[Equity Shares]] * SnapshotTable[[#This Row],[Long Term Target]]) - SnapshotTable[[#This Row],[Equity Basis Total]],0)</f>
        <v>0</v>
      </c>
      <c r="AN78" s="9">
        <f>IF( AND(SnapshotTable[[#This Row],[Equity Shares]] &gt;0,ISNUMBER( SnapshotTable[[#This Row],[Long Term Target]])),(SnapshotTable[[#This Row],[Equity Shares]]*SnapshotTable[[#This Row],[Long Term Target]]) - SnapshotTable[[#This Row],[Equity Value]],0)</f>
        <v>0</v>
      </c>
      <c r="AO78" s="152" t="str">
        <f>IF(AND(ISNUMBER( SnapshotTable[[#This Row],[Long Term Target]]), ISNUMBER(SnapshotTable[[#This Row],[Last Price]])),(SnapshotTable[[#This Row],[Long Term Target]] - SnapshotTable[[#This Row],[Last Price]]) / SnapshotTable[[#This Row],[Last Price]], "")</f>
        <v/>
      </c>
      <c r="AP78" s="5"/>
      <c r="AQ78" s="38" t="s">
        <v>27</v>
      </c>
      <c r="AR78" s="5"/>
      <c r="AS78" s="38" t="s">
        <v>26</v>
      </c>
      <c r="AT78" s="146" t="s">
        <v>538</v>
      </c>
      <c r="AU78" s="187" t="str">
        <f>IF(OR(SnapshotTable[[#This Row],[LP No Fill]]="Y",SnapshotTable[[#This Row],[SP Is Filled]],SnapshotTable[[#This Row],[LC Not Filled]]="Y",SnapshotTable[[#This Row],[SC Is Filled]]),"Y","")</f>
        <v/>
      </c>
      <c r="AV78" s="405"/>
      <c r="AW78" s="225"/>
      <c r="AX78" s="220"/>
      <c r="AY78" s="219" t="str">
        <f>IF(SnapshotTable[[#This Row],[Implied Move]]&gt;0, SnapshotTable[[#This Row],[Last Price]]-SnapshotTable[[#This Row],[Implied Move]],"")</f>
        <v/>
      </c>
      <c r="AZ78" s="219" t="str">
        <f>IF(SnapshotTable[[#This Row],[Implied Move]]&gt;0, SnapshotTable[[#This Row],[Last Price]] + SnapshotTable[[#This Row],[Implied Move]],"")</f>
        <v/>
      </c>
      <c r="BA78" s="331">
        <v>15.69</v>
      </c>
      <c r="BB78" s="347" t="s">
        <v>1143</v>
      </c>
      <c r="BC7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8" s="351"/>
      <c r="BE78" s="138"/>
      <c r="BF78" s="166"/>
      <c r="BG78" s="167"/>
      <c r="BH78" s="167"/>
      <c r="BI78" s="221"/>
      <c r="BJ78" s="153">
        <f>IF(SnapshotTable[[#This Row],[LP Qty]] &gt; 0, SnapshotTable[[#This Row],[LP Qty]] * SnapshotTable[[#This Row],[LP Book Price]] * 100,0)</f>
        <v>0</v>
      </c>
      <c r="BK78" s="136">
        <f>IF(SnapshotTable[[#This Row],[LP Premium]] &gt; 0, SnapshotTable[[#This Row],[LP Qty]] * SnapshotTable[[#This Row],[LP Strike Price]] * 100,0)</f>
        <v>0</v>
      </c>
      <c r="BL78" s="154"/>
      <c r="BM78" s="385" t="str">
        <f>IF(SnapshotTable[[#This Row],[LP Premium]] &gt; 0,SnapshotTable[[#This Row],[LP Exp Date]]-MAX(SnapshotTable[[#This Row],[LP Book Date]], SnapshotTable[[#This Row],[LP Fill Date]]),"")</f>
        <v/>
      </c>
      <c r="BN78" s="385" t="str">
        <f>IF(ISNUMBER( SnapshotTable[[#This Row],[LP Term]]), SnapshotTable[[#This Row],[LP Exp Date]] - MockToday,"")</f>
        <v/>
      </c>
      <c r="BO78" s="163" t="str">
        <f>IF(AND(SnapshotTable[[#This Row],[LP Exp Date]]&gt;0, SnapshotTable[[#This Row],[LP Strike Price]]&gt;0,SnapshotTable[[#This Row],[LP Qty]]&gt;0,SnapshotTable[[#This Row],[LP Book Date]]&gt;0,SnapshotTable[[#This Row],[LP Book Price]]&gt;0,SnapshotTable[[#This Row],[LP Fill Date]]=0),"Y","")</f>
        <v/>
      </c>
      <c r="BP78" s="31" t="str">
        <f>IF(AND(SnapshotTable[[#This Row],[LP No Fill]]&lt;&gt;"Y",SnapshotTable[[#This Row],[LP Contract Value]]&gt;0, SnapshotTable[[#This Row],[LP Qty]]&gt;0), SnapshotTable[[#This Row],[LP Contract Value]]*SnapshotTable[[#This Row],[LP Qty]]*100,"")</f>
        <v/>
      </c>
      <c r="BQ78" s="13"/>
      <c r="BR78" s="5" t="str">
        <f>IF(SnapshotTable[[#This Row],[SP Exp Date]]&lt;&gt;"",TRUNC(SnapshotTable[[#This Row],[Last Price]]),"")</f>
        <v/>
      </c>
      <c r="BS78" s="36"/>
      <c r="BT78" s="147"/>
      <c r="BU78" s="13"/>
      <c r="BV78" s="5"/>
      <c r="BW78" s="419" t="b">
        <f>AND(ISNUMBER(SnapshotTable[[#This Row],[SP Exp Date]]), ISNUMBER(SnapshotTable[[#This Row],[SP Strike Price]]), ISNUMBER(SnapshotTable[[#This Row],[SP Qty]]), ISNUMBER(SnapshotTable[[#This Row],[SP Book Date]]), ISNUMBER(SnapshotTable[[#This Row],[SP Book Price]]))</f>
        <v>0</v>
      </c>
      <c r="BX78" s="419" t="b">
        <f>AND(SnapshotTable[[#This Row],[SP Is Booked]], NOT(ISBLANK(SnapshotTable[[#This Row],[SP Fill Date]])))</f>
        <v>0</v>
      </c>
      <c r="BY78" s="33">
        <f>IF(SnapshotTable[[#This Row],[SP Is Booked]], SnapshotTable[[#This Row],[SP Qty]] * SnapshotTable[[#This Row],[SP Book Price]] * 100, 0)</f>
        <v>0</v>
      </c>
      <c r="BZ78" s="369"/>
      <c r="CA78" s="368">
        <f>SnapshotTable[[#This Row],[LP Qty]]</f>
        <v>0</v>
      </c>
      <c r="CB78" s="4" t="str">
        <f>IF(SnapshotTable[[#This Row],[SP Is Booked]], SnapshotTable[[#This Row],[SP Strike Price]] - SnapshotTable[[#This Row],[SP Book Price]], "")</f>
        <v/>
      </c>
      <c r="CC78" s="19" t="str">
        <f>IF(SnapshotTable[[#This Row],[SP Is Booked]],SnapshotTable[[#This Row],[SP Exp Date]]-MAX(SnapshotTable[[#This Row],[SP Book Date]], SnapshotTable[[#This Row],[SP Fill Date]]),"")</f>
        <v/>
      </c>
      <c r="CD78" s="7" t="str">
        <f>IF(SnapshotTable[[#This Row],[SP Is Booked]], SnapshotTable[[#This Row],[SP Book Price]]/SnapshotTable[[#This Row],[SP Strike Price]], "")</f>
        <v/>
      </c>
      <c r="CE78" s="7" t="str">
        <f>IF(ISNUMBER(SnapshotTable[[#This Row],[SP ROO Term]]),SnapshotTable[[#This Row],[SP ROO Term]]*(365/SnapshotTable[[#This Row],[SP Term]]),"")</f>
        <v/>
      </c>
      <c r="CF78" s="236">
        <f>SnapshotTable[[#This Row],[LP Strike Price]] * SnapshotTable[[#This Row],[LP Qty]] * 100</f>
        <v>0</v>
      </c>
      <c r="CG78" s="31" t="e">
        <f>IF(ISNUMBER(SnapshotTable[[#This Row],[SP Premium]]), (SnapshotTable[[#This Row],[SP Qty]] * SnapshotTable[[#This Row],[SP Strike Price]]* 100) - SnapshotTable[[#This Row],[LP Protection]], 0)</f>
        <v>#VALUE!</v>
      </c>
      <c r="CH78" s="7" t="str">
        <f>IF(ISNUMBER(SnapshotTable[[#This Row],[SP Break Even]]),-1 * (SnapshotTable[[#This Row],[SP Break Even]] - SnapshotTable[[#This Row],[Last Price]]) / SnapshotTable[[#This Row],[Last Price]], "")</f>
        <v/>
      </c>
      <c r="CI78" s="31">
        <f>IF(AND(ISNUMBER((SnapshotTable[[#This Row],[SP Potential Spend]])), SnapshotTable[[#This Row],[SP Strike Price]] &gt; SnapshotTable[[#This Row],[Last Price]], SnapshotTable[[#This Row],[SP Is Filled]]), SnapshotTable[[#This Row],[SP Potential Spend]] -  SnapshotTable[[#This Row],[LP Max Value]], 0)</f>
        <v>0</v>
      </c>
      <c r="CJ78" s="244"/>
      <c r="CK78" s="31" t="str">
        <f>IF(ISNUMBER(SnapshotTable[[#This Row],[SP Potential Spend]]),IF(ISNUMBER(SnapshotTable[[#This Row],[SP POW]]), SnapshotTable[[#This Row],[SP POW]] * SnapshotTable[[#This Row],[SP Potential Spend]], SnapshotTable[[#This Row],[SP Potential Spend]]), "")</f>
        <v/>
      </c>
      <c r="CL78" s="164" t="e">
        <f>IF(NOT(SnapshotTable[[#This Row],[SP Is Filled]]),(SnapshotTable[[#This Row],[SP Qty]] * SnapshotTable[[#This Row],[SP Strike Price]] * 100) - SnapshotTable[[#This Row],[LP Max Value]],"")</f>
        <v>#VALUE!</v>
      </c>
      <c r="CM78" s="31" t="str">
        <f>IF(SnapshotTable[[#This Row],[SP Actual Spend]]&lt;&gt;0, ((SnapshotTable[[#This Row],[SP Strike Price]]-SnapshotTable[[#This Row],[Last Price]]) *(SnapshotTable[[#This Row],[SP Qty]]*100) - SnapshotTable[[#This Row],[SP Premium]]) * - 1, "")</f>
        <v/>
      </c>
      <c r="CN78" s="154"/>
      <c r="CO78" s="369"/>
      <c r="CP78" s="4" t="str">
        <f>IF(SnapshotTable[[#This Row],[SP Is Filled]], btc_max_buyback_amount(SnapshotTable[[#This Row],[SP Fill Date]],SnapshotTable[[#This Row],[SP Exp Date]], SnapshotTable[[#This Row],[SP Book Price]]),"")</f>
        <v/>
      </c>
      <c r="CQ78" s="78"/>
      <c r="CR7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8" s="155" t="str">
        <f>IF(SnapshotTable[[#This Row],[SP Is Filled]], btc_next_cutoff_date(SnapshotTable[[#This Row],[SP Fill Date]],SnapshotTable[[#This Row],[SP Exp Date]]),"")</f>
        <v/>
      </c>
      <c r="CT78" s="235" t="str" cm="1">
        <f t="array" ref="CT78">IF(SnapshotTable[[#This Row],[SP Is Filled]], btc_should_buy_back(SnapshotTable[[#This Row],[SP Fill Date]], SnapshotTable[[#This Row],[SP Exp Date]], SnapshotTable[[#This Row],[SP Book Price]], SnapshotTable[[#This Row],[SP Current Ask]], MockToday, SnapshotTable[[#This Row],[SP Buyback Override]]),"")</f>
        <v/>
      </c>
      <c r="CU78" s="156"/>
      <c r="CV78" s="235"/>
      <c r="CW78" s="378" t="str">
        <f>IF(ISNUMBER( SnapshotTable[[#This Row],[SP Term]]), SnapshotTable[[#This Row],[SP Exp Date]] - MockToday,"")</f>
        <v/>
      </c>
      <c r="CX78" s="31" t="str">
        <f>IF(SnapshotTable[[#This Row],[SP Is Filled]],SnapshotTable[[#This Row],[SP Buyback Price to Use]] * 100 * SnapshotTable[[#This Row],[SP Qty]], "")</f>
        <v/>
      </c>
      <c r="CY78" s="4" t="str">
        <f>IF(ISNUMBER(SnapshotTable[[#This Row],[SP Strike Price]]), SnapshotTable[[#This Row],[SP Strike Price]] * (1 - SP_MaxLoss_StrikePct), "")</f>
        <v/>
      </c>
      <c r="CZ78" s="31" t="str">
        <f>IF(ISNUMBER(SnapshotTable[[#This Row],[SP Strike  Stop Per Share]]),SnapshotTable[[#This Row],[SP Premium]] - ((SnapshotTable[[#This Row],[SP Strike Price]]-SnapshotTable[[#This Row],[SP Strike  Stop Per Share]]) *(SnapshotTable[[#This Row],[SP Qty]] * 100)),"")</f>
        <v/>
      </c>
      <c r="DA78" s="4" t="str">
        <f>IF(AND(ISNUMBER(SnapshotTable[[#This Row],[SP Premium]]),SnapshotTable[[#This Row],[SP Premium]]&gt;0), SnapshotTable[[#This Row],[SP Book Price]] * (1 + SP_MaxLoss_OptionPct), "")</f>
        <v/>
      </c>
      <c r="DB78" s="31" t="str">
        <f>IF(ISNUMBER(SnapshotTable[[#This Row],[SP Option  Stop Contract]]),(SnapshotTable[[#This Row],[SP Option  Stop Contract]] *(SnapshotTable[[#This Row],[SP Qty]] * 100) - SnapshotTable[[#This Row],[SP Premium]]),"")</f>
        <v/>
      </c>
      <c r="DC78" s="4"/>
      <c r="DD78" s="4"/>
      <c r="DE78" s="4" t="str">
        <f>IF(AND(SnapshotTable[[#This Row],[SP Qty]]&gt;0, SnapshotTable[[#This Row],[SP Stop To Use]]&gt;0),SnapshotTable[[#This Row],[SP Premium]] - ( SnapshotTable[[#This Row],[SP Qty]] * SnapshotTable[[#This Row],[SP Stop To Use]] * 100), "")</f>
        <v/>
      </c>
      <c r="DF78" s="31" t="str">
        <f>IF(AND(SnapshotTable[[#This Row],[SP Qty]]&gt;0,SnapshotTable[[#This Row],[SP Current Ask]]&gt;0), SnapshotTable[[#This Row],[SP Qty]] * SnapshotTable[[#This Row],[SP Current Ask]] * -100, "")</f>
        <v/>
      </c>
      <c r="DG78" s="31" t="str">
        <f>IF(ISNUMBER((SnapshotTable[[#This Row],[SP Total Value]])), SnapshotTable[[#This Row],[SP Premium]] + SnapshotTable[[#This Row],[SP Total Value]], "")</f>
        <v/>
      </c>
      <c r="DH78" s="294" t="str">
        <f>IF(ISNUMBER((SnapshotTable[[#This Row],[SP Total Value]])), SnapshotTable[[#This Row],[SP Gain Loss]] / SnapshotTable[[#This Row],[SP Premium]], "")</f>
        <v/>
      </c>
      <c r="DI78" s="406"/>
      <c r="DJ78" s="138"/>
      <c r="DK78" s="148"/>
      <c r="DL78" s="147"/>
      <c r="DM78" s="147"/>
      <c r="DO78" s="31">
        <f>IF(SnapshotTable[[#This Row],[LC Symbol Count]]=1, SnapshotTable[[#This Row],[LC Qty]] * SnapshotTable[[#This Row],[LC Book Price]] * 100, 0)</f>
        <v>0</v>
      </c>
      <c r="DP78" s="289" t="str">
        <f>IF(AND(SnapshotTable[[#This Row],[LC Exp Date]]&gt;0, SnapshotTable[[#This Row],[LC Strike Price]]&gt;0,SnapshotTable[[#This Row],[LC Qty]]&gt;0,SnapshotTable[[#This Row],[LC Book Date]]&gt;0,SnapshotTable[[#This Row],[LC Book Price]]&gt;0,SnapshotTable[[#This Row],[LC Fill Date]]=0),"Y","")</f>
        <v/>
      </c>
      <c r="DQ78" s="386" t="str">
        <f>IF(SnapshotTable[[#This Row],[LC Premium]] &gt; 0,SnapshotTable[[#This Row],[LC Exp Date]]-MAX(SnapshotTable[[#This Row],[LC Book Date]], SnapshotTable[[#This Row],[LC Fill Date]]),"")</f>
        <v/>
      </c>
      <c r="DR78" s="386" t="str">
        <f>IF(ISNUMBER(SnapshotTable[[#This Row],[LC Term]]), SnapshotTable[[#This Row],[LC Exp Date]] - MockToday, "")</f>
        <v/>
      </c>
      <c r="DS78" s="234" t="str">
        <f>IF(SnapshotTable[[#This Row],[LC Premium]]&gt;0,SnapshotTable[[#This Row],[LC Strike Price]] + SnapshotTable[[#This Row],[LC Book Price]],"")</f>
        <v/>
      </c>
      <c r="DU78" s="9" t="str">
        <f>IF(AND(SnapshotTable[[#This Row],[LC Symbol Count]]&gt;0, SnapshotTable[[#This Row],[LC Contract Value]]&gt;0), SnapshotTable[[#This Row],[LC Contract Value]] * SnapshotTable[[#This Row],[LC Qty]] * 100, "")</f>
        <v/>
      </c>
      <c r="DV78" s="9" t="str">
        <f>IF(AND(ISNUMBER(SnapshotTable[[#This Row],[LC Total Value]]), SnapshotTable[[#This Row],[LC Not Filled]]&lt;&gt;"Y"), SnapshotTable[[#This Row],[LC Total Value]]-SnapshotTable[[#This Row],[LC Premium]],"")</f>
        <v/>
      </c>
      <c r="DW78" s="240" t="str">
        <f>IF(ISNUMBER(SnapshotTable[[#This Row],[LC Actual Gain Loss]]), SnapshotTable[[#This Row],[LC Actual Gain Loss]] / SnapshotTable[[#This Row],[LC Premium]],"")</f>
        <v/>
      </c>
      <c r="DX78" s="284" t="str">
        <f>IF(ISNUMBER(SnapshotTable[[#This Row],[LC Book Price]]),SnapshotTable[[#This Row],[LC Book Price]] * 1.5,"")</f>
        <v/>
      </c>
      <c r="DY78" s="265" t="str">
        <f>IF(SnapshotTable[[#This Row],[LC Premium]]&gt;0, SnapshotTable[[#This Row],[LC Next Target]] * SnapshotTable[[#This Row],[LC Qty]] * 100,"")</f>
        <v/>
      </c>
      <c r="DZ78" s="265" t="str">
        <f>IF(ISNUMBER(SnapshotTable[[#This Row],[LC Target Gross]]), SnapshotTable[[#This Row],[LC Target Gross]] - SnapshotTable[[#This Row],[LC Premium]], "")</f>
        <v/>
      </c>
      <c r="EA78" s="305" t="str">
        <f>IF(ISNUMBER(SnapshotTable[[#This Row],[LC Target Gain Loss]]), SnapshotTable[[#This Row],[LC Target Gain Loss]]/SnapshotTable[[#This Row],[LC Premium]], "")</f>
        <v/>
      </c>
      <c r="EB78" s="262"/>
      <c r="EC78" s="283" t="str">
        <f>IF(SnapshotTable[[#This Row],[LC Premium]]&gt;0, SnapshotTable[[#This Row],[LC Book Price]] * (1 - LC_StopLoss_Pct),"")</f>
        <v/>
      </c>
      <c r="ED78" s="284"/>
      <c r="EE78" s="283" t="str">
        <f>IF(ISNUMBER(SnapshotTable[[#This Row],[LC Contract Value]]),IF(ISNUMBER(SnapshotTable[[#This Row],[LC Stop Loss Override]]), SnapshotTable[[#This Row],[LC Stop Loss Override]],SnapshotTable[[#This Row],[LC Stop Loss Calc Target]]),"")</f>
        <v/>
      </c>
      <c r="EF78" s="31" t="str">
        <f>IF(ISNUMBER(SnapshotTable[[#This Row],[LC Stop  To Use]]), (SnapshotTable[[#This Row],[LC Stop  To Use]] * SnapshotTable[[#This Row],[LC Qty]] * 100),"")</f>
        <v/>
      </c>
      <c r="EG78" s="9" t="str">
        <f>IF(ISNUMBER(SnapshotTable[[#This Row],[LC Total Value]]),SnapshotTable[[#This Row],[LC Stop Loss Amount]] - SnapshotTable[[#This Row],[LC Premium]],"")</f>
        <v/>
      </c>
      <c r="EH78" s="9">
        <f>IF(ISNUMBER(SnapshotTable[[#This Row],[LC Premium]]), SnapshotTable[[#This Row],[LC Qty]] * 100 * SnapshotTable[[#This Row],[LC Strike Price]], "")</f>
        <v>0</v>
      </c>
      <c r="EI78" s="240" t="str">
        <f>IF(AND(ISNUMBER(SnapshotTable[[#This Row],[LC Total Value]]),SnapshotTable[[#This Row],[LC Total Value]]&gt;0),SnapshotTable[[#This Row],[LC Stop Gain Loss]]  / SnapshotTable[[#This Row],[LC Premium]],"")</f>
        <v/>
      </c>
      <c r="EJ78" s="35">
        <f>IF(ISNUMBER(SnapshotTable[[#This Row],[Equity Shares]]),TRUNC(SnapshotTable[[#This Row],[Equity Shares]] / 100),0) + SnapshotTable[[#This Row],[LC Qty]]</f>
        <v>0</v>
      </c>
      <c r="EK78" s="147"/>
      <c r="EL78" s="138" t="str">
        <f>IF(SnapshotTable[[#This Row],[SC Exp Date]]&lt;&gt;"",TRUNC(SnapshotTable[[#This Row],[Last Price]]),"")</f>
        <v/>
      </c>
      <c r="EM78" s="148"/>
      <c r="EN78" s="147"/>
      <c r="EO78" s="147"/>
      <c r="EP78" s="138"/>
      <c r="EQ78" s="419" t="b">
        <f>AND(ISNUMBER(SnapshotTable[[#This Row],[SC Exp Date]]), ISNUMBER(SnapshotTable[[#This Row],[SC Strike Price]]), ISNUMBER(SnapshotTable[[#This Row],[SC Qty]]), ISNUMBER(SnapshotTable[[#This Row],[SC Book Date]]), ISNUMBER(SnapshotTable[[#This Row],[SC Book Price]]))</f>
        <v>0</v>
      </c>
      <c r="ER78" s="419" t="b">
        <f>AND(SnapshotTable[[#This Row],[SC Is Booked]], NOT(ISBLANK(SnapshotTable[[#This Row],[SC Fill Date]])))</f>
        <v>0</v>
      </c>
      <c r="ES78" s="370"/>
      <c r="ET78" s="34" t="str">
        <f>IF(AND(ISNUMBER(SnapshotTable[[#This Row],[SC Exp Date]]), ISNUMBER(SnapshotTable[[#This Row],[SC Book Date]])), SnapshotTable[[#This Row],[SC Exp Date]] - MAX(SnapshotTable[[#This Row],[SC Book Date]], SnapshotTable[[#This Row],[SC Fill Date]]) + 1, "")</f>
        <v/>
      </c>
      <c r="EU78" s="34" t="str">
        <f>IF(ISNUMBER(SnapshotTable[[#This Row],[SC Term]]), SnapshotTable[[#This Row],[SC Exp Date]]- MockToday, "")</f>
        <v/>
      </c>
      <c r="EV78" s="31">
        <f>IF(SnapshotTable[[#This Row],[SC Is Booked]], SnapshotTable[[#This Row],[SC Qty]] * SnapshotTable[[#This Row],[SC Book Price]] * 100, 0)</f>
        <v>0</v>
      </c>
      <c r="EW78" s="4" t="str">
        <f>IF(AND(ISNUMBER(SnapshotTable[[#This Row],[Last Price]]), ISNUMBER( SnapshotTable[[#This Row],[SC Book Price]])), SnapshotTable[[#This Row],[Last Price]] - SnapshotTable[[#This Row],[SC Book Price]],"")</f>
        <v/>
      </c>
      <c r="EX78" s="234" t="str">
        <f>IF(SnapshotTable[[#This Row],[SC Is Booked]],IF(SnapshotTable[[#This Row],[SC Intrinsic Value]] &gt; 0, SnapshotTable[[#This Row],[SC Strike Price]], SnapshotTable[[#This Row],[Last Price]]), "")</f>
        <v/>
      </c>
      <c r="EY78" s="4">
        <f>IF(SnapshotTable[[#This Row],[SC Is Booked]], (MinimumPremiumRequired * SnapshotTable[[#This Row],[SC Basis]] * SnapshotTable[[#This Row],[SC Term]]), 0)</f>
        <v>0</v>
      </c>
      <c r="EZ78" s="283"/>
      <c r="FA78" s="218"/>
      <c r="FB78" s="370"/>
      <c r="FC78" s="4">
        <f>IF(SnapshotTable[[#This Row],[SC Is Filled]], btc_max_buyback_amount(SnapshotTable[[#This Row],[SC Fill Date]],SnapshotTable[[#This Row],[SC Exp Date]], SnapshotTable[[#This Row],[SC Book Price]]),0)</f>
        <v>0</v>
      </c>
      <c r="FD78" s="5"/>
      <c r="FE78" s="144" t="str">
        <f>IF(SnapshotTable[[#This Row],[SC Is Filled]], btc_next_cutoff_date(SnapshotTable[[#This Row],[SC Fill Date]],SnapshotTable[[#This Row],[SC Exp Date]]),"")</f>
        <v/>
      </c>
      <c r="FF78" s="4" t="str" cm="1">
        <f t="array" ref="FF78">IF(SnapshotTable[[#This Row],[SC Is Filled]], btc_should_buy_back(SnapshotTable[[#This Row],[SC Fill Date]], SnapshotTable[[#This Row],[SC Exp Date]], SnapshotTable[[#This Row],[SC Book Price]], SnapshotTable[[#This Row],[SC Current Ask]], MockToday, SnapshotTable[[#This Row],[SC Buyback Override]]),"")</f>
        <v/>
      </c>
      <c r="FG78" s="4">
        <f>IF(SnapshotTable[[#This Row],[SC Is Filled]], MAX(0,SnapshotTable[[#This Row],[Last Price]]  - SnapshotTable[[#This Row],[SC Strike Price]]), 0)</f>
        <v>0</v>
      </c>
      <c r="FH78" s="382">
        <f>IF(SnapshotTable[[#This Row],[SC Is Filled]], IF(ISNUMBER(SnapshotTable[[#This Row],[SC Current Ask]]), SnapshotTable[[#This Row],[SC Current Ask]], SnapshotTable[[#This Row],[SC Book Price]]) - SnapshotTable[[#This Row],[SC Intrinsic Value]], 0)</f>
        <v>0</v>
      </c>
      <c r="FI78" s="143"/>
      <c r="FJ78" s="32" t="str">
        <f>IF(SnapshotTable[[#This Row],[SC Is Filled]],100 * SnapshotTable[[#This Row],[SC Qty]] * IF(ISNUMBER(SnapshotTable[[#This Row],[SC Buyback Override]]), SnapshotTable[[#This Row],[SC Buyback Override]], SnapshotTable[[#This Row],[SC Current Ask]]), "")</f>
        <v/>
      </c>
      <c r="FK78" s="250" t="str">
        <f>IF(SnapshotTable[[#This Row],[SC Time Val]]&gt;0, SnapshotTable[[#This Row],[SC Time Val]] / SnapshotTable[[#This Row],[Last Price]],"")</f>
        <v/>
      </c>
      <c r="FL78" s="302" t="str">
        <f>IF(SnapshotTable[[#This Row],[SC Is Booked]], ((SnapshotTable[[#This Row],[Last Price]] -SnapshotTable[[#This Row],[SC Strike Price]]) / SnapshotTable[[#This Row],[Last Price]]) * -1, "")</f>
        <v/>
      </c>
      <c r="FM78" s="157" t="str">
        <f>IF(SnapshotTable[[#This Row],[SC Is Booked]],  (SnapshotTable[[#This Row],[SC Qty]] * 100 * SnapshotTable[[#This Row],[SC Strike Price]]) - SnapshotTable[[#This Row],[SC Current Ask]], "")</f>
        <v/>
      </c>
      <c r="FN78"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8" s="157" t="str">
        <f>IF(AND(ISNUMBER(SnapshotTable[[#This Row],[SC Exercise Gross]]), ISNUMBER(SnapshotTable[[#This Row],[Equity Basis Per Share]] )), SnapshotTable[[#This Row],[SC Exercise Gross]] - SnapshotTable[[#This Row],[Equity Basis Total]] +  SnapshotTable[[#This Row],[SC Premium]], "")</f>
        <v/>
      </c>
      <c r="FP78" s="5" t="str">
        <f>IF(ISNUMBER(SnapshotTable[[#This Row],[SC Exercise Gross]]), (SnapshotTable[[#This Row],[SC Exercise Gross]]) / (SnapshotTable[[#This Row],[SC Qty]] * 100), "")</f>
        <v/>
      </c>
      <c r="FQ78" s="27" t="str">
        <f>IF(SnapshotTable[[#This Row],[SC Is Booked]],SnapshotTable[[#This Row],[SC Time Val]] /SnapshotTable[[#This Row],[SC Basis]], "")</f>
        <v/>
      </c>
      <c r="FR78" s="27" t="str" cm="1">
        <f t="array" ref="FR78">IF(AND(ISNUMBER(SnapshotTable[[#This Row],[SC Term]]),ISNUMBER(SnapshotTable[[#This Row],[SC Simple ROO]])), EllmanAnnualize(SnapshotTable[[#This Row],[SC DTE]], SnapshotTable[[#This Row],[SC Simple ROO]] ),"")</f>
        <v/>
      </c>
      <c r="FS78" s="4" t="e">
        <f>IF(SnapshotTable[[#This Row],[SC Strike Price]] &gt; SnapshotTable[[#This Row],[Last Price]], SnapshotTable[[#This Row],[SC Strike Price]] - SnapshotTable[[#This Row],[Last Price]],0)</f>
        <v>#VALUE!</v>
      </c>
      <c r="FT78" s="27" t="e">
        <f>IF(AND(ISNUMBER(SnapshotTable[[#This Row],[SC Upside Potential]]), SnapshotTable[[#This Row],[SC Upside Potential]] &gt; 0),(SnapshotTable[[#This Row],[SC Upside Potential]]/ SnapshotTable[[#This Row],[ACB]]),"")</f>
        <v>#VALUE!</v>
      </c>
      <c r="FU78" s="333" t="str">
        <f>IF(SnapshotTable[[#This Row],[SC Intrinsic Value]] &gt; 0,SnapshotTable[[#This Row],[SC Intrinsic Value]],"")</f>
        <v/>
      </c>
      <c r="FV78" s="27" t="str">
        <f>IF(AND( ISNUMBER( SnapshotTable[[#This Row],[ACB]]),ISNUMBER(SnapshotTable[[#This Row],[SC Downside Protect]])),SnapshotTable[[#This Row],[SC Downside Protect]] / SnapshotTable[[#This Row],[ACB]],"")</f>
        <v/>
      </c>
      <c r="FW78" s="236" t="str">
        <f>IF(AND(ISNUMBER(SnapshotTable[[#This Row],[SC Simple ROO]]),SnapshotTable[[#This Row],[SC Simple ROO]] &gt; 0), SnapshotTable[[#This Row],[SC Premium]] + (SnapshotTable[[#This Row],[SC Qty]] * SnapshotTable[[#This Row],[SC Upside Potential]]), "")</f>
        <v/>
      </c>
      <c r="FX78" s="302" t="str" cm="1">
        <f t="array" ref="FX78">IF(ISNUMBER(SnapshotTable[[#This Row],[SC Max Dollars]]), annualize(SnapshotTable[[#This Row],[SC Term]],(SnapshotTable[[#This Row],[SC Max Dollars]]/SnapshotTable[[#This Row],[SC Basis]])),"")</f>
        <v/>
      </c>
      <c r="FY78" s="236" t="str">
        <f>IF(AND(SnapshotTable[[#This Row],[SC Qty]]&gt;0,SnapshotTable[[#This Row],[SC Current Ask]]&gt;0), SnapshotTable[[#This Row],[SC Qty]] * SnapshotTable[[#This Row],[SC Current Ask]] * -100, "")</f>
        <v/>
      </c>
      <c r="FZ78" s="235" t="str">
        <f>IF(ISNUMBER((SnapshotTable[[#This Row],[SC Current Value]])), SnapshotTable[[#This Row],[SC Premium]] + SnapshotTable[[#This Row],[SC Current Value]], "")</f>
        <v/>
      </c>
      <c r="GA78" s="294" t="str">
        <f>IFERROR( IF(ISNUMBER((SnapshotTable[[#This Row],[SC Current Value]])), SnapshotTable[[#This Row],[SC Gain Loss]] / SnapshotTable[[#This Row],[SC Premium]], ""), "")</f>
        <v/>
      </c>
      <c r="GB78" s="42">
        <f>SnapshotTable[[#This Row],[Equity Shares]] * SaleSharesToConsiderPercentage</f>
        <v>0</v>
      </c>
      <c r="GC78" s="40">
        <f>SnapshotTable[[#This Row],[Long Term Target]] * SellingPriceToConsiderBasedOnTargetPercentage</f>
        <v>0</v>
      </c>
      <c r="GD78" s="40">
        <f>SnapshotTable[[#This Row],[Last Price]] * (1+ SellingPriceToConsiderBasedOnTargetPercentage)</f>
        <v>33.7545</v>
      </c>
      <c r="GE78" s="41"/>
      <c r="GF78" s="40"/>
      <c r="GG78" s="31">
        <f>SnapshotTable[[#This Row],[Booked Sale Shares]] * SnapshotTable[[#This Row],[Booked Sale Price]]</f>
        <v>0</v>
      </c>
      <c r="GH78" s="31" t="str">
        <f>IF(SnapshotTable[[#This Row],[Equity Basis Total]] &gt; 0, SnapshotTable[[#This Row],[Equity Basis Per Share]] * SnapshotTable[[#This Row],[Booked Sale Shares]], "")</f>
        <v/>
      </c>
      <c r="GI78" s="31">
        <f>IF(SnapshotTable[[#This Row],[Sale Proceeds]]&gt;0, SnapshotTable[[#This Row],[Sale Proceeds]] - SnapshotTable[[#This Row],[Sale Basis]], 0)</f>
        <v>0</v>
      </c>
      <c r="GJ78" s="158" t="str">
        <f>IF(SnapshotTable[[#This Row],[Sale G/L]]&gt;0, SnapshotTable[[#This Row],[Sale G/L]] / SnapshotTable[[#This Row],[Sale Basis]], IF(ISNUMBER(SnapshotTable[[#This Row],[SC Exercise P&amp;L (TAX)]]), SnapshotTable[[#This Row],[SC Exercise P&amp;L (TAX)]] / SnapshotTable[[#This Row],[SC Basis]], ""))</f>
        <v/>
      </c>
      <c r="GK78" s="27" t="s">
        <v>1110</v>
      </c>
      <c r="GL78" s="159" t="str">
        <f>IF(AND(SnapshotTable[[#This Row],[LP Exp Date]]&gt;0,SnapshotTable[[#This Row],[LP Strike Price]]&gt;0), [1]!ToOptionSymbol(SnapshotTable[[#This Row],[Symbol]], SnapshotTable[[#This Row],[LP Strike Price]],SnapshotTable[[#This Row],[LP Exp Date]],1), "")</f>
        <v/>
      </c>
      <c r="GM78" s="30" t="str">
        <f>IF(LEN(SnapshotTable[[#This Row],[LP Symbol]])&gt;0, 1, "")</f>
        <v/>
      </c>
      <c r="GN78" s="43" t="str">
        <f>IF(AND(SnapshotTable[[#This Row],[SP Exp Date]]&gt;0,SnapshotTable[[#This Row],[SP Strike Price]]&gt;0), [1]!ToOptionSymbol(SnapshotTable[[#This Row],[Symbol]], SnapshotTable[[#This Row],[SP Strike Price]],SnapshotTable[[#This Row],[SP Exp Date]],1), "")</f>
        <v/>
      </c>
      <c r="GO78" s="30" t="str">
        <f>IF(LEN(SnapshotTable[[#This Row],[SP Symbol]])&gt;0, 1, "")</f>
        <v/>
      </c>
      <c r="GP78" s="159" t="str">
        <f>IF(AND(SnapshotTable[[#This Row],[LC Exp Date]]&gt;0,SnapshotTable[[#This Row],[LC Strike Price]]&gt;0), [1]!ToOptionSymbol(SnapshotTable[[#This Row],[Symbol]], SnapshotTable[[#This Row],[LC Strike Price]],SnapshotTable[[#This Row],[LC Exp Date]],0), "")</f>
        <v/>
      </c>
      <c r="GQ78" s="160" t="str">
        <f>IF(LEN(SnapshotTable[[#This Row],[LC Symbol]])&gt;0, 1, "")</f>
        <v/>
      </c>
      <c r="GR78" s="159" t="str">
        <f>IF(AND(SnapshotTable[[#This Row],[SC Exp Date]]&gt;0,SnapshotTable[[#This Row],[SC Strike Price]]&gt;0), [1]!ToOptionSymbol(SnapshotTable[[#This Row],[Symbol]], SnapshotTable[[#This Row],[SC Strike Price]],SnapshotTable[[#This Row],[SC Exp Date]],0), "")</f>
        <v/>
      </c>
      <c r="GS78" s="160" t="str">
        <f>IF(LEN(SnapshotTable[[#This Row],[SC Symbol]])&gt;0, 1, "")</f>
        <v/>
      </c>
      <c r="GT78" s="161" t="str">
        <f>IF(COUNT(SnapshotTable[[#This Row],[LP Symbol Count]],SnapshotTable[[#This Row],[SP Symbol Count]],SnapshotTable[[#This Row],[LC Symbol Count]],SnapshotTable[[#This Row],[SC Symbol Count]])&gt;0, "Y", "")</f>
        <v/>
      </c>
      <c r="GU7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8" s="231" t="e">
        <f>MAX(SnapshotTable[[#This Row],[Equity Basis Total]],SnapshotTable[[#This Row],[Equity Value]]) + (SnapshotTable[[#This Row],[SP Potential Spend]]- SnapshotTable[[#This Row],[SP Premium]] + SnapshotTable[[#This Row],[LP Premium]])+ (SnapshotTable[[#This Row],[LC Premium]] - SnapshotTable[[#This Row],[SC Premium]])</f>
        <v>#VALUE!</v>
      </c>
      <c r="GW78" s="139" t="e">
        <f>IF(AND(SnapshotTable[[#This Row],[Exposure]] &lt;&gt; 0),SnapshotTable[[#This Row],[Exposure]] / SnapshotTable[[#Totals],[Exposure]], "")</f>
        <v>#VALUE!</v>
      </c>
      <c r="HE78" s="268"/>
      <c r="HF78" s="268"/>
      <c r="HK78" s="1"/>
      <c r="HL78" s="1"/>
      <c r="HM78" s="1"/>
      <c r="HN78" s="1"/>
      <c r="HO78" s="1"/>
      <c r="HP78" s="1"/>
    </row>
    <row r="79" spans="2:224" ht="12.75" hidden="1" customHeight="1" x14ac:dyDescent="0.25">
      <c r="B79" s="12" t="s">
        <v>984</v>
      </c>
      <c r="C79" s="422">
        <v>959.48</v>
      </c>
      <c r="D79" s="208"/>
      <c r="E79" s="39">
        <f>SnapshotTable[[#This Row],[Last Price]]*(1 -CrashDiscount)</f>
        <v>815.55799999999999</v>
      </c>
      <c r="F79" s="26" t="s">
        <v>614</v>
      </c>
      <c r="G79" s="26" t="s">
        <v>9</v>
      </c>
      <c r="H79" s="149"/>
      <c r="I79" s="194">
        <v>44742.670138888891</v>
      </c>
      <c r="J79" s="195">
        <v>44742.670138888891</v>
      </c>
      <c r="K79" s="196" t="s">
        <v>3</v>
      </c>
      <c r="L79" s="326"/>
      <c r="M79" s="140"/>
      <c r="N79" s="140"/>
      <c r="O79" s="140"/>
      <c r="P79" s="22"/>
      <c r="Q79" s="25"/>
      <c r="R79" s="4" t="str">
        <f>IF(SnapshotTable[[#This Row],[Equity Basis Total]] &gt; 0, SnapshotTable[[#This Row],[Equity Basis Total]] / SnapshotTable[[#This Row],[Equity Shares]], "")</f>
        <v/>
      </c>
      <c r="S79" s="269">
        <f>SnapshotTable[[#This Row],[Last Price]] * SnapshotTable[[#This Row],[Equity Shares]]</f>
        <v>0</v>
      </c>
      <c r="T79" s="269">
        <f>SnapshotTable[[#This Row],[Equity Value]] - SnapshotTable[[#This Row],[Equity Basis Total]]</f>
        <v>0</v>
      </c>
      <c r="U79" s="270" t="str">
        <f>IF(SnapshotTable[[#This Row],[Equity Basis Total]] &gt; 0, SnapshotTable[[#This Row],[Equity G/L]] / SnapshotTable[[#This Row],[Equity Basis Total]], "")</f>
        <v/>
      </c>
      <c r="V79" s="268"/>
      <c r="W79" s="268"/>
      <c r="X79" s="4" t="str">
        <f>IF(AND(ISNUMBER(SnapshotTable[[#This Row],[Equity Basis Per Share]]),ISNUMBER(SnapshotTable[[#This Row],[Equity Target]])),SnapshotTable[[#This Row],[Equity Target]]-SnapshotTable[[#This Row],[Equity Basis Per Share]],"")</f>
        <v/>
      </c>
      <c r="Y79" s="4" t="str">
        <f>IF(AND(ISNUMBER(SnapshotTable[[#This Row],[Equity Basis Per Share]]),ISNUMBER(SnapshotTable[[#This Row],[Equity Stop Loss]])),SnapshotTable[[#This Row],[Equity Stop Loss]]-SnapshotTable[[#This Row],[Equity Basis Per Share]],"")</f>
        <v/>
      </c>
      <c r="Z79" s="275" t="str">
        <f>IFERROR( TEXT(SnapshotTable[[#This Row],[Equity Max Gain Per Share]] /ABS( SnapshotTable[[#This Row],[Equity Max Loss Per Share]]),"0.0 " ) &amp; " : 1", "")</f>
        <v/>
      </c>
      <c r="AA79" s="31" t="str">
        <f>IF(ISNUMBER(SnapshotTable[[#This Row],[Equity Max Gain Per Share]]),SnapshotTable[[#This Row],[Equity Max Gain Per Share]] * SnapshotTable[[#This Row],[Equity Shares]],"")</f>
        <v/>
      </c>
      <c r="AB79" s="31" t="str">
        <f>IF(ISNUMBER(SnapshotTable[[#This Row],[Equity Max Loss Per Share]]),SnapshotTable[[#This Row],[Equity Max Loss Per Share]] * SnapshotTable[[#This Row],[Equity Shares]],"")</f>
        <v/>
      </c>
      <c r="AC79" s="150"/>
      <c r="AD79" s="151"/>
      <c r="AE79" s="31">
        <f>(SnapshotTable[[#This Row],[Annual Dividend Per Share]] / 4) * SnapshotTable[[#This Row],[Equity Shares]]</f>
        <v>0</v>
      </c>
      <c r="AF79" s="31">
        <f>SnapshotTable[[#This Row],[Quarterly Div $]] * 4</f>
        <v>0</v>
      </c>
      <c r="AG79" s="7">
        <f>IF(SnapshotTable[[#This Row],[Annual Dividend Per Share]]&gt;0, SnapshotTable[[#This Row],[Annual Dividend Per Share]]  / SnapshotTable[[#This Row],[Last Price]], 0)</f>
        <v>0</v>
      </c>
      <c r="AH79" s="151"/>
      <c r="AI79" s="5"/>
      <c r="AJ79" s="138">
        <v>113.3</v>
      </c>
      <c r="AK79" s="152" t="str">
        <f>IF(ISNUMBER( SnapshotTable[[#This Row],[EBF Target]]),(SnapshotTable[[#This Row],[EBF Target]] - SnapshotTable[[#This Row],[Last Price]]) / SnapshotTable[[#This Row],[Last Price]], "")</f>
        <v/>
      </c>
      <c r="AL79" s="152" t="str">
        <f>IF(AND(SnapshotTable[[#This Row],[Equity Basis Total]] &gt; 0,ISNUMBER( SnapshotTable[[#This Row],[Long Term Target]])), SnapshotTable[[#This Row],[From Basis $]] / SnapshotTable[[#This Row],[Equity Basis Total]], "")</f>
        <v/>
      </c>
      <c r="AM79" s="9">
        <f>IF( AND(SnapshotTable[[#This Row],[Equity Shares]] &gt;0,ISNUMBER( SnapshotTable[[#This Row],[Long Term Target]])),(SnapshotTable[[#This Row],[Equity Shares]] * SnapshotTable[[#This Row],[Long Term Target]]) - SnapshotTable[[#This Row],[Equity Basis Total]],0)</f>
        <v>0</v>
      </c>
      <c r="AN79" s="9">
        <f>IF( AND(SnapshotTable[[#This Row],[Equity Shares]] &gt;0,ISNUMBER( SnapshotTable[[#This Row],[Long Term Target]])),(SnapshotTable[[#This Row],[Equity Shares]]*SnapshotTable[[#This Row],[Long Term Target]]) - SnapshotTable[[#This Row],[Equity Value]],0)</f>
        <v>0</v>
      </c>
      <c r="AO79" s="152">
        <f>IF(AND(ISNUMBER( SnapshotTable[[#This Row],[Long Term Target]]), ISNUMBER(SnapshotTable[[#This Row],[Last Price]])),(SnapshotTable[[#This Row],[Long Term Target]] - SnapshotTable[[#This Row],[Last Price]]) / SnapshotTable[[#This Row],[Last Price]], "")</f>
        <v>-0.8819152040688707</v>
      </c>
      <c r="AP79" s="5">
        <v>85</v>
      </c>
      <c r="AQ79" s="38" t="s">
        <v>38</v>
      </c>
      <c r="AR79" s="5">
        <v>85</v>
      </c>
      <c r="AS79" s="38" t="s">
        <v>45</v>
      </c>
      <c r="AT79" s="146" t="s">
        <v>532</v>
      </c>
      <c r="AU79" s="187" t="str">
        <f>IF(OR(SnapshotTable[[#This Row],[LP No Fill]]="Y",SnapshotTable[[#This Row],[SP Is Filled]],SnapshotTable[[#This Row],[LC Not Filled]]="Y",SnapshotTable[[#This Row],[SC Is Filled]]),"Y","")</f>
        <v/>
      </c>
      <c r="AV79" s="219"/>
      <c r="AW79" s="225"/>
      <c r="AX79" s="220"/>
      <c r="AY79" s="219" t="str">
        <f>IF(SnapshotTable[[#This Row],[Implied Move]]&gt;0, SnapshotTable[[#This Row],[Last Price]]-SnapshotTable[[#This Row],[Implied Move]],"")</f>
        <v/>
      </c>
      <c r="AZ79" s="219" t="str">
        <f>IF(SnapshotTable[[#This Row],[Implied Move]]&gt;0, SnapshotTable[[#This Row],[Last Price]] + SnapshotTable[[#This Row],[Implied Move]],"")</f>
        <v/>
      </c>
      <c r="BA79" s="331">
        <v>342.2</v>
      </c>
      <c r="BB79" s="347"/>
      <c r="BC7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9" s="351"/>
      <c r="BE79" s="138"/>
      <c r="BF79" s="166"/>
      <c r="BG79" s="167"/>
      <c r="BH79" s="167"/>
      <c r="BI79" s="221"/>
      <c r="BJ79" s="153">
        <f>IF(SnapshotTable[[#This Row],[LP Qty]] &gt; 0, SnapshotTable[[#This Row],[LP Qty]] * SnapshotTable[[#This Row],[LP Book Price]] * 100,0)</f>
        <v>0</v>
      </c>
      <c r="BK79" s="136">
        <f>IF(SnapshotTable[[#This Row],[LP Premium]] &gt; 0, SnapshotTable[[#This Row],[LP Qty]] * SnapshotTable[[#This Row],[LP Strike Price]] * 100,0)</f>
        <v>0</v>
      </c>
      <c r="BL79" s="154"/>
      <c r="BM79" s="385" t="str">
        <f>IF(SnapshotTable[[#This Row],[LP Premium]] &gt; 0,SnapshotTable[[#This Row],[LP Exp Date]]-MAX(SnapshotTable[[#This Row],[LP Book Date]], SnapshotTable[[#This Row],[LP Fill Date]]),"")</f>
        <v/>
      </c>
      <c r="BN79" s="385" t="str">
        <f>IF(ISNUMBER( SnapshotTable[[#This Row],[LP Term]]), SnapshotTable[[#This Row],[LP Exp Date]] - MockToday,"")</f>
        <v/>
      </c>
      <c r="BO79" s="163" t="str">
        <f>IF(AND(SnapshotTable[[#This Row],[LP Exp Date]]&gt;0, SnapshotTable[[#This Row],[LP Strike Price]]&gt;0,SnapshotTable[[#This Row],[LP Qty]]&gt;0,SnapshotTable[[#This Row],[LP Book Date]]&gt;0,SnapshotTable[[#This Row],[LP Book Price]]&gt;0,SnapshotTable[[#This Row],[LP Fill Date]]=0),"Y","")</f>
        <v/>
      </c>
      <c r="BP79" s="31" t="str">
        <f>IF(AND(SnapshotTable[[#This Row],[LP No Fill]]&lt;&gt;"Y",SnapshotTable[[#This Row],[LP Contract Value]]&gt;0, SnapshotTable[[#This Row],[LP Qty]]&gt;0), SnapshotTable[[#This Row],[LP Contract Value]]*SnapshotTable[[#This Row],[LP Qty]]*100,"")</f>
        <v/>
      </c>
      <c r="BQ79" s="13"/>
      <c r="BR79" s="5" t="str">
        <f>IF(SnapshotTable[[#This Row],[SP Exp Date]]&lt;&gt;"",TRUNC(SnapshotTable[[#This Row],[Last Price]]),"")</f>
        <v/>
      </c>
      <c r="BS79" s="36"/>
      <c r="BT79" s="147"/>
      <c r="BU79" s="13"/>
      <c r="BV79" s="5"/>
      <c r="BW79" s="419" t="b">
        <f>AND(ISNUMBER(SnapshotTable[[#This Row],[SP Exp Date]]), ISNUMBER(SnapshotTable[[#This Row],[SP Strike Price]]), ISNUMBER(SnapshotTable[[#This Row],[SP Qty]]), ISNUMBER(SnapshotTable[[#This Row],[SP Book Date]]), ISNUMBER(SnapshotTable[[#This Row],[SP Book Price]]))</f>
        <v>0</v>
      </c>
      <c r="BX79" s="419" t="b">
        <f>AND(SnapshotTable[[#This Row],[SP Is Booked]], NOT(ISBLANK(SnapshotTable[[#This Row],[SP Fill Date]])))</f>
        <v>0</v>
      </c>
      <c r="BY79" s="33">
        <f>IF(SnapshotTable[[#This Row],[SP Is Booked]], SnapshotTable[[#This Row],[SP Qty]] * SnapshotTable[[#This Row],[SP Book Price]] * 100, 0)</f>
        <v>0</v>
      </c>
      <c r="BZ79" s="369"/>
      <c r="CA79" s="368">
        <f>SnapshotTable[[#This Row],[LP Qty]]</f>
        <v>0</v>
      </c>
      <c r="CB79" s="4" t="str">
        <f>IF(SnapshotTable[[#This Row],[SP Is Booked]], SnapshotTable[[#This Row],[SP Strike Price]] - SnapshotTable[[#This Row],[SP Book Price]], "")</f>
        <v/>
      </c>
      <c r="CC79" s="19" t="str">
        <f>IF(SnapshotTable[[#This Row],[SP Is Booked]],SnapshotTable[[#This Row],[SP Exp Date]]-MAX(SnapshotTable[[#This Row],[SP Book Date]], SnapshotTable[[#This Row],[SP Fill Date]]),"")</f>
        <v/>
      </c>
      <c r="CD79" s="7" t="str">
        <f>IF(SnapshotTable[[#This Row],[SP Is Booked]], SnapshotTable[[#This Row],[SP Book Price]]/SnapshotTable[[#This Row],[SP Strike Price]], "")</f>
        <v/>
      </c>
      <c r="CE79" s="7" t="str">
        <f>IF(ISNUMBER(SnapshotTable[[#This Row],[SP ROO Term]]),SnapshotTable[[#This Row],[SP ROO Term]]*(365/SnapshotTable[[#This Row],[SP Term]]),"")</f>
        <v/>
      </c>
      <c r="CF79" s="236">
        <f>SnapshotTable[[#This Row],[LP Strike Price]] * SnapshotTable[[#This Row],[LP Qty]] * 100</f>
        <v>0</v>
      </c>
      <c r="CG79" s="31" t="e">
        <f>IF(ISNUMBER(SnapshotTable[[#This Row],[SP Premium]]), (SnapshotTable[[#This Row],[SP Qty]] * SnapshotTable[[#This Row],[SP Strike Price]]* 100) - SnapshotTable[[#This Row],[LP Protection]], 0)</f>
        <v>#VALUE!</v>
      </c>
      <c r="CH79" s="7" t="str">
        <f>IF(ISNUMBER(SnapshotTable[[#This Row],[SP Break Even]]),-1 * (SnapshotTable[[#This Row],[SP Break Even]] - SnapshotTable[[#This Row],[Last Price]]) / SnapshotTable[[#This Row],[Last Price]], "")</f>
        <v/>
      </c>
      <c r="CI79" s="31">
        <f>IF(AND(ISNUMBER((SnapshotTable[[#This Row],[SP Potential Spend]])), SnapshotTable[[#This Row],[SP Strike Price]] &gt; SnapshotTable[[#This Row],[Last Price]], SnapshotTable[[#This Row],[SP Is Filled]]), SnapshotTable[[#This Row],[SP Potential Spend]] -  SnapshotTable[[#This Row],[LP Max Value]], 0)</f>
        <v>0</v>
      </c>
      <c r="CJ79" s="244">
        <v>0.01</v>
      </c>
      <c r="CK79" s="31" t="str">
        <f>IF(ISNUMBER(SnapshotTable[[#This Row],[SP Potential Spend]]),IF(ISNUMBER(SnapshotTable[[#This Row],[SP POW]]), SnapshotTable[[#This Row],[SP POW]] * SnapshotTable[[#This Row],[SP Potential Spend]], SnapshotTable[[#This Row],[SP Potential Spend]]), "")</f>
        <v/>
      </c>
      <c r="CL79" s="164" t="e">
        <f>IF(NOT(SnapshotTable[[#This Row],[SP Is Filled]]),(SnapshotTable[[#This Row],[SP Qty]] * SnapshotTable[[#This Row],[SP Strike Price]] * 100) - SnapshotTable[[#This Row],[LP Max Value]],"")</f>
        <v>#VALUE!</v>
      </c>
      <c r="CM79" s="31" t="str">
        <f>IF(SnapshotTable[[#This Row],[SP Actual Spend]]&lt;&gt;0, ((SnapshotTable[[#This Row],[SP Strike Price]]-SnapshotTable[[#This Row],[Last Price]]) *(SnapshotTable[[#This Row],[SP Qty]]*100) - SnapshotTable[[#This Row],[SP Premium]]) * - 1, "")</f>
        <v/>
      </c>
      <c r="CN79" s="227"/>
      <c r="CO79" s="369"/>
      <c r="CP79" s="4" t="str">
        <f>IF(SnapshotTable[[#This Row],[SP Is Filled]], btc_max_buyback_amount(SnapshotTable[[#This Row],[SP Fill Date]],SnapshotTable[[#This Row],[SP Exp Date]], SnapshotTable[[#This Row],[SP Book Price]]),"")</f>
        <v/>
      </c>
      <c r="CQ79" s="78"/>
      <c r="CR7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9" s="155" t="str">
        <f>IF(SnapshotTable[[#This Row],[SP Is Filled]], btc_next_cutoff_date(SnapshotTable[[#This Row],[SP Fill Date]],SnapshotTable[[#This Row],[SP Exp Date]]),"")</f>
        <v/>
      </c>
      <c r="CT79" s="235" t="str" cm="1">
        <f t="array" ref="CT79">IF(SnapshotTable[[#This Row],[SP Is Filled]], btc_should_buy_back(SnapshotTable[[#This Row],[SP Fill Date]], SnapshotTable[[#This Row],[SP Exp Date]], SnapshotTable[[#This Row],[SP Book Price]], SnapshotTable[[#This Row],[SP Current Ask]], MockToday, SnapshotTable[[#This Row],[SP Buyback Override]]),"")</f>
        <v/>
      </c>
      <c r="CU79" s="156"/>
      <c r="CV79" s="235"/>
      <c r="CW79" s="378" t="str">
        <f>IF(ISNUMBER( SnapshotTable[[#This Row],[SP Term]]), SnapshotTable[[#This Row],[SP Exp Date]] - MockToday,"")</f>
        <v/>
      </c>
      <c r="CX79" s="31" t="str">
        <f>IF(SnapshotTable[[#This Row],[SP Is Filled]],SnapshotTable[[#This Row],[SP Buyback Price to Use]] * 100 * SnapshotTable[[#This Row],[SP Qty]], "")</f>
        <v/>
      </c>
      <c r="CY79" s="4" t="str">
        <f>IF(ISNUMBER(SnapshotTable[[#This Row],[SP Strike Price]]), SnapshotTable[[#This Row],[SP Strike Price]] * (1 - SP_MaxLoss_StrikePct), "")</f>
        <v/>
      </c>
      <c r="CZ79" s="31" t="str">
        <f>IF(ISNUMBER(SnapshotTable[[#This Row],[SP Strike  Stop Per Share]]),SnapshotTable[[#This Row],[SP Premium]] - ((SnapshotTable[[#This Row],[SP Strike Price]]-SnapshotTable[[#This Row],[SP Strike  Stop Per Share]]) *(SnapshotTable[[#This Row],[SP Qty]] * 100)),"")</f>
        <v/>
      </c>
      <c r="DA79" s="4" t="str">
        <f>IF(AND(ISNUMBER(SnapshotTable[[#This Row],[SP Premium]]),SnapshotTable[[#This Row],[SP Premium]]&gt;0), SnapshotTable[[#This Row],[SP Book Price]] * (1 + SP_MaxLoss_OptionPct), "")</f>
        <v/>
      </c>
      <c r="DB79" s="31" t="str">
        <f>IF(ISNUMBER(SnapshotTable[[#This Row],[SP Option  Stop Contract]]),(SnapshotTable[[#This Row],[SP Option  Stop Contract]] *(SnapshotTable[[#This Row],[SP Qty]] * 100) - SnapshotTable[[#This Row],[SP Premium]]),"")</f>
        <v/>
      </c>
      <c r="DC79" s="4"/>
      <c r="DD79" s="4"/>
      <c r="DE79" s="4" t="str">
        <f>IF(AND(SnapshotTable[[#This Row],[SP Qty]]&gt;0, SnapshotTable[[#This Row],[SP Stop To Use]]&gt;0),SnapshotTable[[#This Row],[SP Premium]] - ( SnapshotTable[[#This Row],[SP Qty]] * SnapshotTable[[#This Row],[SP Stop To Use]] * 100), "")</f>
        <v/>
      </c>
      <c r="DF79" s="31" t="str">
        <f>IF(AND(SnapshotTable[[#This Row],[SP Qty]]&gt;0,SnapshotTable[[#This Row],[SP Current Ask]]&gt;0), SnapshotTable[[#This Row],[SP Qty]] * SnapshotTable[[#This Row],[SP Current Ask]] * -100, "")</f>
        <v/>
      </c>
      <c r="DG79" s="31" t="str">
        <f>IF(ISNUMBER((SnapshotTable[[#This Row],[SP Total Value]])), SnapshotTable[[#This Row],[SP Premium]] + SnapshotTable[[#This Row],[SP Total Value]], "")</f>
        <v/>
      </c>
      <c r="DH79" s="294" t="str">
        <f>IF(ISNUMBER((SnapshotTable[[#This Row],[SP Total Value]])), SnapshotTable[[#This Row],[SP Gain Loss]] / SnapshotTable[[#This Row],[SP Premium]], "")</f>
        <v/>
      </c>
      <c r="DI79" s="406"/>
      <c r="DJ79" s="138"/>
      <c r="DK79" s="148"/>
      <c r="DL79" s="147"/>
      <c r="DM79" s="147"/>
      <c r="DO79" s="31">
        <f>IF(SnapshotTable[[#This Row],[LC Symbol Count]]=1, SnapshotTable[[#This Row],[LC Qty]] * SnapshotTable[[#This Row],[LC Book Price]] * 100, 0)</f>
        <v>0</v>
      </c>
      <c r="DP79" s="163" t="str">
        <f>IF(AND(SnapshotTable[[#This Row],[LC Exp Date]]&gt;0, SnapshotTable[[#This Row],[LC Strike Price]]&gt;0,SnapshotTable[[#This Row],[LC Qty]]&gt;0,SnapshotTable[[#This Row],[LC Book Date]]&gt;0,SnapshotTable[[#This Row],[LC Book Price]]&gt;0,SnapshotTable[[#This Row],[LC Fill Date]]=0),"Y","")</f>
        <v/>
      </c>
      <c r="DQ79" s="386" t="str">
        <f>IF(SnapshotTable[[#This Row],[LC Premium]] &gt; 0,SnapshotTable[[#This Row],[LC Exp Date]]-MAX(SnapshotTable[[#This Row],[LC Book Date]], SnapshotTable[[#This Row],[LC Fill Date]]),"")</f>
        <v/>
      </c>
      <c r="DR79" s="386" t="str">
        <f>IF(ISNUMBER(SnapshotTable[[#This Row],[LC Term]]), SnapshotTable[[#This Row],[LC Exp Date]] - MockToday, "")</f>
        <v/>
      </c>
      <c r="DS79" s="234" t="str">
        <f>IF(SnapshotTable[[#This Row],[LC Premium]]&gt;0,SnapshotTable[[#This Row],[LC Strike Price]] + SnapshotTable[[#This Row],[LC Book Price]],"")</f>
        <v/>
      </c>
      <c r="DU79" s="9" t="str">
        <f>IF(AND(SnapshotTable[[#This Row],[LC Symbol Count]]&gt;0, SnapshotTable[[#This Row],[LC Contract Value]]&gt;0), SnapshotTable[[#This Row],[LC Contract Value]] * SnapshotTable[[#This Row],[LC Qty]] * 100, "")</f>
        <v/>
      </c>
      <c r="DV79" s="9" t="str">
        <f>IF(AND(ISNUMBER(SnapshotTable[[#This Row],[LC Total Value]]), SnapshotTable[[#This Row],[LC Not Filled]]&lt;&gt;"Y"), SnapshotTable[[#This Row],[LC Total Value]]-SnapshotTable[[#This Row],[LC Premium]],"")</f>
        <v/>
      </c>
      <c r="DW79" s="240" t="str">
        <f>IF(ISNUMBER(SnapshotTable[[#This Row],[LC Actual Gain Loss]]), SnapshotTable[[#This Row],[LC Actual Gain Loss]] / SnapshotTable[[#This Row],[LC Premium]],"")</f>
        <v/>
      </c>
      <c r="DX79" s="284" t="str">
        <f>IF(ISNUMBER(SnapshotTable[[#This Row],[LC Book Price]]),SnapshotTable[[#This Row],[LC Book Price]] * 1.5,"")</f>
        <v/>
      </c>
      <c r="DY79" s="265" t="str">
        <f>IF(SnapshotTable[[#This Row],[LC Premium]]&gt;0, SnapshotTable[[#This Row],[LC Next Target]] * SnapshotTable[[#This Row],[LC Qty]] * 100,"")</f>
        <v/>
      </c>
      <c r="DZ79" s="265" t="str">
        <f>IF(ISNUMBER(SnapshotTable[[#This Row],[LC Target Gross]]), SnapshotTable[[#This Row],[LC Target Gross]] - SnapshotTable[[#This Row],[LC Premium]], "")</f>
        <v/>
      </c>
      <c r="EA79" s="305" t="str">
        <f>IF(ISNUMBER(SnapshotTable[[#This Row],[LC Target Gain Loss]]), SnapshotTable[[#This Row],[LC Target Gain Loss]]/SnapshotTable[[#This Row],[LC Premium]], "")</f>
        <v/>
      </c>
      <c r="EB79" s="262"/>
      <c r="EC79" s="283" t="str">
        <f>IF(SnapshotTable[[#This Row],[LC Premium]]&gt;0, SnapshotTable[[#This Row],[LC Book Price]] * (1 - LC_StopLoss_Pct),"")</f>
        <v/>
      </c>
      <c r="ED79" s="284"/>
      <c r="EE79" s="283" t="str">
        <f>IF(ISNUMBER(SnapshotTable[[#This Row],[LC Contract Value]]),IF(ISNUMBER(SnapshotTable[[#This Row],[LC Stop Loss Override]]), SnapshotTable[[#This Row],[LC Stop Loss Override]],SnapshotTable[[#This Row],[LC Stop Loss Calc Target]]),"")</f>
        <v/>
      </c>
      <c r="EF79" s="31" t="str">
        <f>IF(ISNUMBER(SnapshotTable[[#This Row],[LC Stop  To Use]]), (SnapshotTable[[#This Row],[LC Stop  To Use]] * SnapshotTable[[#This Row],[LC Qty]] * 100),"")</f>
        <v/>
      </c>
      <c r="EG79" s="9" t="str">
        <f>IF(ISNUMBER(SnapshotTable[[#This Row],[LC Total Value]]),SnapshotTable[[#This Row],[LC Stop Loss Amount]] - SnapshotTable[[#This Row],[LC Premium]],"")</f>
        <v/>
      </c>
      <c r="EH79" s="9">
        <f>IF(ISNUMBER(SnapshotTable[[#This Row],[LC Premium]]), SnapshotTable[[#This Row],[LC Qty]] * 100 * SnapshotTable[[#This Row],[LC Strike Price]], "")</f>
        <v>0</v>
      </c>
      <c r="EI79" s="240" t="str">
        <f>IF(AND(ISNUMBER(SnapshotTable[[#This Row],[LC Total Value]]),SnapshotTable[[#This Row],[LC Total Value]]&gt;0),SnapshotTable[[#This Row],[LC Stop Gain Loss]]  / SnapshotTable[[#This Row],[LC Premium]],"")</f>
        <v/>
      </c>
      <c r="EJ79" s="35">
        <f>IF(ISNUMBER(SnapshotTable[[#This Row],[Equity Shares]]),TRUNC(SnapshotTable[[#This Row],[Equity Shares]] / 100),0) + SnapshotTable[[#This Row],[LC Qty]]</f>
        <v>0</v>
      </c>
      <c r="EK79" s="147"/>
      <c r="EL79" s="138" t="str">
        <f>IF(SnapshotTable[[#This Row],[SC Exp Date]]&lt;&gt;"",TRUNC(SnapshotTable[[#This Row],[Last Price]]),"")</f>
        <v/>
      </c>
      <c r="EM79" s="148"/>
      <c r="EN79" s="147"/>
      <c r="EO79" s="147"/>
      <c r="EP79" s="138"/>
      <c r="EQ79" s="419" t="b">
        <f>AND(ISNUMBER(SnapshotTable[[#This Row],[SC Exp Date]]), ISNUMBER(SnapshotTable[[#This Row],[SC Strike Price]]), ISNUMBER(SnapshotTable[[#This Row],[SC Qty]]), ISNUMBER(SnapshotTable[[#This Row],[SC Book Date]]), ISNUMBER(SnapshotTable[[#This Row],[SC Book Price]]))</f>
        <v>0</v>
      </c>
      <c r="ER79" s="419" t="b">
        <f>AND(SnapshotTable[[#This Row],[SC Is Booked]], NOT(ISBLANK(SnapshotTable[[#This Row],[SC Fill Date]])))</f>
        <v>0</v>
      </c>
      <c r="ES79" s="370"/>
      <c r="ET79" s="34" t="str">
        <f>IF(AND(ISNUMBER(SnapshotTable[[#This Row],[SC Exp Date]]), ISNUMBER(SnapshotTable[[#This Row],[SC Book Date]])), SnapshotTable[[#This Row],[SC Exp Date]] - MAX(SnapshotTable[[#This Row],[SC Book Date]], SnapshotTable[[#This Row],[SC Fill Date]]) + 1, "")</f>
        <v/>
      </c>
      <c r="EU79" s="34" t="str">
        <f>IF(ISNUMBER(SnapshotTable[[#This Row],[SC Term]]), SnapshotTable[[#This Row],[SC Exp Date]]- MockToday, "")</f>
        <v/>
      </c>
      <c r="EV79" s="31">
        <f>IF(SnapshotTable[[#This Row],[SC Is Booked]], SnapshotTable[[#This Row],[SC Qty]] * SnapshotTable[[#This Row],[SC Book Price]] * 100, 0)</f>
        <v>0</v>
      </c>
      <c r="EW79" s="4" t="str">
        <f>IF(AND(ISNUMBER(SnapshotTable[[#This Row],[Last Price]]), ISNUMBER( SnapshotTable[[#This Row],[SC Book Price]])), SnapshotTable[[#This Row],[Last Price]] - SnapshotTable[[#This Row],[SC Book Price]],"")</f>
        <v/>
      </c>
      <c r="EX79" s="234" t="str">
        <f>IF(SnapshotTable[[#This Row],[SC Is Booked]],IF(SnapshotTable[[#This Row],[SC Intrinsic Value]] &gt; 0, SnapshotTable[[#This Row],[SC Strike Price]], SnapshotTable[[#This Row],[Last Price]]), "")</f>
        <v/>
      </c>
      <c r="EY79" s="4">
        <f>IF(SnapshotTable[[#This Row],[SC Is Booked]], (MinimumPremiumRequired * SnapshotTable[[#This Row],[SC Basis]] * SnapshotTable[[#This Row],[SC Term]]), 0)</f>
        <v>0</v>
      </c>
      <c r="EZ79" s="283"/>
      <c r="FA79" s="218"/>
      <c r="FB79" s="370"/>
      <c r="FC79" s="4">
        <f>IF(SnapshotTable[[#This Row],[SC Is Filled]], btc_max_buyback_amount(SnapshotTable[[#This Row],[SC Fill Date]],SnapshotTable[[#This Row],[SC Exp Date]], SnapshotTable[[#This Row],[SC Book Price]]),0)</f>
        <v>0</v>
      </c>
      <c r="FD79" s="5"/>
      <c r="FE79" s="144" t="str">
        <f>IF(SnapshotTable[[#This Row],[SC Is Filled]], btc_next_cutoff_date(SnapshotTable[[#This Row],[SC Fill Date]],SnapshotTable[[#This Row],[SC Exp Date]]),"")</f>
        <v/>
      </c>
      <c r="FF79" s="4" t="str" cm="1">
        <f t="array" ref="FF79">IF(SnapshotTable[[#This Row],[SC Is Filled]], btc_should_buy_back(SnapshotTable[[#This Row],[SC Fill Date]], SnapshotTable[[#This Row],[SC Exp Date]], SnapshotTable[[#This Row],[SC Book Price]], SnapshotTable[[#This Row],[SC Current Ask]], MockToday, SnapshotTable[[#This Row],[SC Buyback Override]]),"")</f>
        <v/>
      </c>
      <c r="FG79" s="4">
        <f>IF(SnapshotTable[[#This Row],[SC Is Filled]], MAX(0,SnapshotTable[[#This Row],[Last Price]]  - SnapshotTable[[#This Row],[SC Strike Price]]), 0)</f>
        <v>0</v>
      </c>
      <c r="FH79" s="382">
        <f>IF(SnapshotTable[[#This Row],[SC Is Filled]], IF(ISNUMBER(SnapshotTable[[#This Row],[SC Current Ask]]), SnapshotTable[[#This Row],[SC Current Ask]], SnapshotTable[[#This Row],[SC Book Price]]) - SnapshotTable[[#This Row],[SC Intrinsic Value]], 0)</f>
        <v>0</v>
      </c>
      <c r="FI79" s="143"/>
      <c r="FJ79" s="32" t="str">
        <f>IF(SnapshotTable[[#This Row],[SC Is Filled]],100 * SnapshotTable[[#This Row],[SC Qty]] * IF(ISNUMBER(SnapshotTable[[#This Row],[SC Buyback Override]]), SnapshotTable[[#This Row],[SC Buyback Override]], SnapshotTable[[#This Row],[SC Current Ask]]), "")</f>
        <v/>
      </c>
      <c r="FK79" s="250" t="str">
        <f>IF(SnapshotTable[[#This Row],[SC Time Val]]&gt;0, SnapshotTable[[#This Row],[SC Time Val]] / SnapshotTable[[#This Row],[Last Price]],"")</f>
        <v/>
      </c>
      <c r="FL79" s="302" t="str">
        <f>IF(SnapshotTable[[#This Row],[SC Is Booked]], ((SnapshotTable[[#This Row],[Last Price]] -SnapshotTable[[#This Row],[SC Strike Price]]) / SnapshotTable[[#This Row],[Last Price]]) * -1, "")</f>
        <v/>
      </c>
      <c r="FM79" s="157" t="str">
        <f>IF(SnapshotTable[[#This Row],[SC Is Booked]],  (SnapshotTable[[#This Row],[SC Qty]] * 100 * SnapshotTable[[#This Row],[SC Strike Price]]) - SnapshotTable[[#This Row],[SC Current Ask]], "")</f>
        <v/>
      </c>
      <c r="FN79"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9" s="157" t="str">
        <f>IF(AND(ISNUMBER(SnapshotTable[[#This Row],[SC Exercise Gross]]), ISNUMBER(SnapshotTable[[#This Row],[Equity Basis Per Share]] )), SnapshotTable[[#This Row],[SC Exercise Gross]] - SnapshotTable[[#This Row],[Equity Basis Total]] +  SnapshotTable[[#This Row],[SC Premium]], "")</f>
        <v/>
      </c>
      <c r="FP79" s="5" t="str">
        <f>IF(ISNUMBER(SnapshotTable[[#This Row],[SC Exercise Gross]]), (SnapshotTable[[#This Row],[SC Exercise Gross]]) / (SnapshotTable[[#This Row],[SC Qty]] * 100), "")</f>
        <v/>
      </c>
      <c r="FQ79" s="27" t="str">
        <f>IF(SnapshotTable[[#This Row],[SC Is Booked]],SnapshotTable[[#This Row],[SC Time Val]] /SnapshotTable[[#This Row],[SC Basis]], "")</f>
        <v/>
      </c>
      <c r="FR79" s="27" t="str" cm="1">
        <f t="array" ref="FR79">IF(AND(ISNUMBER(SnapshotTable[[#This Row],[SC Term]]),ISNUMBER(SnapshotTable[[#This Row],[SC Simple ROO]])), EllmanAnnualize(SnapshotTable[[#This Row],[SC DTE]], SnapshotTable[[#This Row],[SC Simple ROO]] ),"")</f>
        <v/>
      </c>
      <c r="FS79" s="4" t="e">
        <f>IF(SnapshotTable[[#This Row],[SC Strike Price]] &gt; SnapshotTable[[#This Row],[Last Price]], SnapshotTable[[#This Row],[SC Strike Price]] - SnapshotTable[[#This Row],[Last Price]],0)</f>
        <v>#VALUE!</v>
      </c>
      <c r="FT79" s="27" t="e">
        <f>IF(AND(ISNUMBER(SnapshotTable[[#This Row],[SC Upside Potential]]), SnapshotTable[[#This Row],[SC Upside Potential]] &gt; 0),(SnapshotTable[[#This Row],[SC Upside Potential]]/ SnapshotTable[[#This Row],[ACB]]),"")</f>
        <v>#VALUE!</v>
      </c>
      <c r="FU79" s="333" t="str">
        <f>IF(SnapshotTable[[#This Row],[SC Intrinsic Value]] &gt; 0,SnapshotTable[[#This Row],[SC Intrinsic Value]],"")</f>
        <v/>
      </c>
      <c r="FV79" s="27" t="str">
        <f>IF(AND( ISNUMBER( SnapshotTable[[#This Row],[ACB]]),ISNUMBER(SnapshotTable[[#This Row],[SC Downside Protect]])),SnapshotTable[[#This Row],[SC Downside Protect]] / SnapshotTable[[#This Row],[ACB]],"")</f>
        <v/>
      </c>
      <c r="FW79" s="236" t="str">
        <f>IF(AND(ISNUMBER(SnapshotTable[[#This Row],[SC Simple ROO]]),SnapshotTable[[#This Row],[SC Simple ROO]] &gt; 0), SnapshotTable[[#This Row],[SC Premium]] + (SnapshotTable[[#This Row],[SC Qty]] * SnapshotTable[[#This Row],[SC Upside Potential]]), "")</f>
        <v/>
      </c>
      <c r="FX79" s="302" t="str" cm="1">
        <f t="array" ref="FX79">IF(ISNUMBER(SnapshotTable[[#This Row],[SC Max Dollars]]), annualize(SnapshotTable[[#This Row],[SC Term]],(SnapshotTable[[#This Row],[SC Max Dollars]]/SnapshotTable[[#This Row],[SC Basis]])),"")</f>
        <v/>
      </c>
      <c r="FY79" s="236" t="str">
        <f>IF(AND(SnapshotTable[[#This Row],[SC Qty]]&gt;0,SnapshotTable[[#This Row],[SC Current Ask]]&gt;0), SnapshotTable[[#This Row],[SC Qty]] * SnapshotTable[[#This Row],[SC Current Ask]] * -100, "")</f>
        <v/>
      </c>
      <c r="FZ79" s="31" t="str">
        <f>IF(ISNUMBER((SnapshotTable[[#This Row],[SC Current Value]])), SnapshotTable[[#This Row],[SC Premium]] + SnapshotTable[[#This Row],[SC Current Value]], "")</f>
        <v/>
      </c>
      <c r="GA79" s="294" t="str">
        <f>IFERROR( IF(ISNUMBER((SnapshotTable[[#This Row],[SC Current Value]])), SnapshotTable[[#This Row],[SC Gain Loss]] / SnapshotTable[[#This Row],[SC Premium]], ""), "")</f>
        <v/>
      </c>
      <c r="GB79" s="42">
        <f>SnapshotTable[[#This Row],[Equity Shares]] * SaleSharesToConsiderPercentage</f>
        <v>0</v>
      </c>
      <c r="GC79" s="40">
        <f>SnapshotTable[[#This Row],[Long Term Target]] * SellingPriceToConsiderBasedOnTargetPercentage</f>
        <v>107.63499999999999</v>
      </c>
      <c r="GD79" s="40">
        <f>SnapshotTable[[#This Row],[Last Price]] * (1+ SellingPriceToConsiderBasedOnTargetPercentage)</f>
        <v>1870.9860000000001</v>
      </c>
      <c r="GE79" s="41"/>
      <c r="GF79" s="40"/>
      <c r="GG79" s="31">
        <f>SnapshotTable[[#This Row],[Booked Sale Shares]] * SnapshotTable[[#This Row],[Booked Sale Price]]</f>
        <v>0</v>
      </c>
      <c r="GH79" s="31" t="str">
        <f>IF(SnapshotTable[[#This Row],[Equity Basis Total]] &gt; 0, SnapshotTable[[#This Row],[Equity Basis Per Share]] * SnapshotTable[[#This Row],[Booked Sale Shares]], "")</f>
        <v/>
      </c>
      <c r="GI79" s="31">
        <f>IF(SnapshotTable[[#This Row],[Sale Proceeds]]&gt;0, SnapshotTable[[#This Row],[Sale Proceeds]] - SnapshotTable[[#This Row],[Sale Basis]], 0)</f>
        <v>0</v>
      </c>
      <c r="GJ79" s="158" t="str">
        <f>IF(SnapshotTable[[#This Row],[Sale G/L]]&gt;0, SnapshotTable[[#This Row],[Sale G/L]] / SnapshotTable[[#This Row],[Sale Basis]], IF(ISNUMBER(SnapshotTable[[#This Row],[SC Exercise P&amp;L (TAX)]]), SnapshotTable[[#This Row],[SC Exercise P&amp;L (TAX)]] / SnapshotTable[[#This Row],[SC Basis]], ""))</f>
        <v/>
      </c>
      <c r="GK79" s="158"/>
      <c r="GL79" s="159" t="str">
        <f>IF(AND(SnapshotTable[[#This Row],[LP Exp Date]]&gt;0,SnapshotTable[[#This Row],[LP Strike Price]]&gt;0), [1]!ToOptionSymbol(SnapshotTable[[#This Row],[Symbol]], SnapshotTable[[#This Row],[LP Strike Price]],SnapshotTable[[#This Row],[LP Exp Date]],1), "")</f>
        <v/>
      </c>
      <c r="GM79" s="30" t="str">
        <f>IF(LEN(SnapshotTable[[#This Row],[LP Symbol]])&gt;0, 1, "")</f>
        <v/>
      </c>
      <c r="GN79" s="43" t="str">
        <f>IF(AND(SnapshotTable[[#This Row],[SP Exp Date]]&gt;0,SnapshotTable[[#This Row],[SP Strike Price]]&gt;0), [1]!ToOptionSymbol(SnapshotTable[[#This Row],[Symbol]], SnapshotTable[[#This Row],[SP Strike Price]],SnapshotTable[[#This Row],[SP Exp Date]],1), "")</f>
        <v/>
      </c>
      <c r="GO79" s="30" t="str">
        <f>IF(LEN(SnapshotTable[[#This Row],[SP Symbol]])&gt;0, 1, "")</f>
        <v/>
      </c>
      <c r="GP79" s="159" t="str">
        <f>IF(AND(SnapshotTable[[#This Row],[LC Exp Date]]&gt;0,SnapshotTable[[#This Row],[LC Strike Price]]&gt;0), [1]!ToOptionSymbol(SnapshotTable[[#This Row],[Symbol]], SnapshotTable[[#This Row],[LC Strike Price]],SnapshotTable[[#This Row],[LC Exp Date]],0), "")</f>
        <v/>
      </c>
      <c r="GQ79" s="160" t="str">
        <f>IF(LEN(SnapshotTable[[#This Row],[LC Symbol]])&gt;0, 1, "")</f>
        <v/>
      </c>
      <c r="GR79" s="159" t="str">
        <f>IF(AND(SnapshotTable[[#This Row],[SC Exp Date]]&gt;0,SnapshotTable[[#This Row],[SC Strike Price]]&gt;0), [1]!ToOptionSymbol(SnapshotTable[[#This Row],[Symbol]], SnapshotTable[[#This Row],[SC Strike Price]],SnapshotTable[[#This Row],[SC Exp Date]],0), "")</f>
        <v/>
      </c>
      <c r="GS79" s="160" t="str">
        <f>IF(LEN(SnapshotTable[[#This Row],[SC Symbol]])&gt;0, 1, "")</f>
        <v/>
      </c>
      <c r="GT79" s="161" t="str">
        <f>IF(COUNT(SnapshotTable[[#This Row],[LP Symbol Count]],SnapshotTable[[#This Row],[SP Symbol Count]],SnapshotTable[[#This Row],[LC Symbol Count]],SnapshotTable[[#This Row],[SC Symbol Count]])&gt;0, "Y", "")</f>
        <v/>
      </c>
      <c r="GU7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9" s="231" t="e">
        <f>MAX(SnapshotTable[[#This Row],[Equity Basis Total]],SnapshotTable[[#This Row],[Equity Value]]) + (SnapshotTable[[#This Row],[SP Potential Spend]]- SnapshotTable[[#This Row],[SP Premium]] + SnapshotTable[[#This Row],[LP Premium]])+ (SnapshotTable[[#This Row],[LC Premium]] - SnapshotTable[[#This Row],[SC Premium]])</f>
        <v>#VALUE!</v>
      </c>
      <c r="GW79" s="139" t="e">
        <f>IF(AND(SnapshotTable[[#This Row],[Exposure]] &lt;&gt; 0),SnapshotTable[[#This Row],[Exposure]] / SnapshotTable[[#Totals],[Exposure]], "")</f>
        <v>#VALUE!</v>
      </c>
      <c r="HE79" s="268"/>
      <c r="HF79" s="268"/>
      <c r="HK79" s="1"/>
      <c r="HL79" s="1"/>
      <c r="HM79" s="1"/>
      <c r="HN79" s="1"/>
      <c r="HO79" s="1"/>
      <c r="HP79" s="1"/>
    </row>
    <row r="80" spans="2:224" ht="12.75" hidden="1" customHeight="1" x14ac:dyDescent="0.25">
      <c r="B80" s="12" t="s">
        <v>225</v>
      </c>
      <c r="C80" s="422">
        <v>95.14</v>
      </c>
      <c r="D80" s="208"/>
      <c r="E80" s="39">
        <f>SnapshotTable[[#This Row],[Last Price]]*(1 -CrashDiscount)</f>
        <v>80.869</v>
      </c>
      <c r="F80" s="26" t="s">
        <v>223</v>
      </c>
      <c r="G80" s="26" t="s">
        <v>49</v>
      </c>
      <c r="H80" s="149"/>
      <c r="I80" s="194">
        <v>44739.385416666664</v>
      </c>
      <c r="J80" s="195">
        <v>44739.385416666664</v>
      </c>
      <c r="K80" s="196"/>
      <c r="L80" s="326"/>
      <c r="M80" s="140"/>
      <c r="N80" s="140"/>
      <c r="O80" s="140"/>
      <c r="P80" s="22"/>
      <c r="Q80" s="25"/>
      <c r="R80" s="4" t="str">
        <f>IF(SnapshotTable[[#This Row],[Equity Basis Total]] &gt; 0, SnapshotTable[[#This Row],[Equity Basis Total]] / SnapshotTable[[#This Row],[Equity Shares]], "")</f>
        <v/>
      </c>
      <c r="S80" s="269">
        <f>SnapshotTable[[#This Row],[Last Price]] * SnapshotTable[[#This Row],[Equity Shares]]</f>
        <v>0</v>
      </c>
      <c r="T80" s="269">
        <f>SnapshotTable[[#This Row],[Equity Value]] - SnapshotTable[[#This Row],[Equity Basis Total]]</f>
        <v>0</v>
      </c>
      <c r="U80" s="270" t="str">
        <f>IF(SnapshotTable[[#This Row],[Equity Basis Total]] &gt; 0, SnapshotTable[[#This Row],[Equity G/L]] / SnapshotTable[[#This Row],[Equity Basis Total]], "")</f>
        <v/>
      </c>
      <c r="V80" s="268"/>
      <c r="W80" s="268"/>
      <c r="X80" s="4" t="str">
        <f>IF(AND(ISNUMBER(SnapshotTable[[#This Row],[Equity Basis Per Share]]),ISNUMBER(SnapshotTable[[#This Row],[Equity Target]])),SnapshotTable[[#This Row],[Equity Target]]-SnapshotTable[[#This Row],[Equity Basis Per Share]],"")</f>
        <v/>
      </c>
      <c r="Y80" s="4" t="str">
        <f>IF(AND(ISNUMBER(SnapshotTable[[#This Row],[Equity Basis Per Share]]),ISNUMBER(SnapshotTable[[#This Row],[Equity Stop Loss]])),SnapshotTable[[#This Row],[Equity Stop Loss]]-SnapshotTable[[#This Row],[Equity Basis Per Share]],"")</f>
        <v/>
      </c>
      <c r="Z80" s="275" t="str">
        <f>IFERROR( TEXT(SnapshotTable[[#This Row],[Equity Max Gain Per Share]] /ABS( SnapshotTable[[#This Row],[Equity Max Loss Per Share]]),"0.0 " ) &amp; " : 1", "")</f>
        <v/>
      </c>
      <c r="AA80" s="31" t="str">
        <f>IF(ISNUMBER(SnapshotTable[[#This Row],[Equity Max Gain Per Share]]),SnapshotTable[[#This Row],[Equity Max Gain Per Share]] * SnapshotTable[[#This Row],[Equity Shares]],"")</f>
        <v/>
      </c>
      <c r="AB80" s="31" t="str">
        <f>IF(ISNUMBER(SnapshotTable[[#This Row],[Equity Max Loss Per Share]]),SnapshotTable[[#This Row],[Equity Max Loss Per Share]] * SnapshotTable[[#This Row],[Equity Shares]],"")</f>
        <v/>
      </c>
      <c r="AC80" s="150">
        <v>0</v>
      </c>
      <c r="AD80" s="151" t="s">
        <v>2</v>
      </c>
      <c r="AE80" s="31">
        <f>(SnapshotTable[[#This Row],[Annual Dividend Per Share]] / 4) * SnapshotTable[[#This Row],[Equity Shares]]</f>
        <v>0</v>
      </c>
      <c r="AF80" s="31">
        <f>SnapshotTable[[#This Row],[Quarterly Div $]] * 4</f>
        <v>0</v>
      </c>
      <c r="AG80" s="7">
        <f>IF(SnapshotTable[[#This Row],[Annual Dividend Per Share]]&gt;0, SnapshotTable[[#This Row],[Annual Dividend Per Share]]  / SnapshotTable[[#This Row],[Last Price]], 0)</f>
        <v>0</v>
      </c>
      <c r="AH80" s="151" t="s">
        <v>2</v>
      </c>
      <c r="AI80" s="5"/>
      <c r="AJ80" s="138">
        <v>95</v>
      </c>
      <c r="AK80" s="152" t="str">
        <f>IF(ISNUMBER( SnapshotTable[[#This Row],[EBF Target]]),(SnapshotTable[[#This Row],[EBF Target]] - SnapshotTable[[#This Row],[Last Price]]) / SnapshotTable[[#This Row],[Last Price]], "")</f>
        <v/>
      </c>
      <c r="AL80" s="152" t="str">
        <f>IF(AND(SnapshotTable[[#This Row],[Equity Basis Total]] &gt; 0,ISNUMBER( SnapshotTable[[#This Row],[Long Term Target]])), SnapshotTable[[#This Row],[From Basis $]] / SnapshotTable[[#This Row],[Equity Basis Total]], "")</f>
        <v/>
      </c>
      <c r="AM80" s="9">
        <f>IF( AND(SnapshotTable[[#This Row],[Equity Shares]] &gt;0,ISNUMBER( SnapshotTable[[#This Row],[Long Term Target]])),(SnapshotTable[[#This Row],[Equity Shares]] * SnapshotTable[[#This Row],[Long Term Target]]) - SnapshotTable[[#This Row],[Equity Basis Total]],0)</f>
        <v>0</v>
      </c>
      <c r="AN80" s="9">
        <f>IF( AND(SnapshotTable[[#This Row],[Equity Shares]] &gt;0,ISNUMBER( SnapshotTable[[#This Row],[Long Term Target]])),(SnapshotTable[[#This Row],[Equity Shares]]*SnapshotTable[[#This Row],[Long Term Target]]) - SnapshotTable[[#This Row],[Equity Value]],0)</f>
        <v>0</v>
      </c>
      <c r="AO80" s="152">
        <f>IF(AND(ISNUMBER( SnapshotTable[[#This Row],[Long Term Target]]), ISNUMBER(SnapshotTable[[#This Row],[Last Price]])),(SnapshotTable[[#This Row],[Long Term Target]] - SnapshotTable[[#This Row],[Last Price]]) / SnapshotTable[[#This Row],[Last Price]], "")</f>
        <v>-1.4715156611309708E-3</v>
      </c>
      <c r="AP80" s="5"/>
      <c r="AQ80" s="38"/>
      <c r="AR80" s="5"/>
      <c r="AS80" s="38"/>
      <c r="AT80" s="146"/>
      <c r="AU80" s="187" t="str">
        <f>IF(OR(SnapshotTable[[#This Row],[LP No Fill]]="Y",SnapshotTable[[#This Row],[SP Is Filled]],SnapshotTable[[#This Row],[LC Not Filled]]="Y",SnapshotTable[[#This Row],[SC Is Filled]]),"Y","")</f>
        <v/>
      </c>
      <c r="AV80" s="219"/>
      <c r="AW80" s="225"/>
      <c r="AX80" s="220"/>
      <c r="AY80" s="219" t="str">
        <f>IF(SnapshotTable[[#This Row],[Implied Move]]&gt;0, SnapshotTable[[#This Row],[Last Price]]-SnapshotTable[[#This Row],[Implied Move]],"")</f>
        <v/>
      </c>
      <c r="AZ80" s="219" t="str">
        <f>IF(SnapshotTable[[#This Row],[Implied Move]]&gt;0, SnapshotTable[[#This Row],[Last Price]] + SnapshotTable[[#This Row],[Implied Move]],"")</f>
        <v/>
      </c>
      <c r="BA80" s="331"/>
      <c r="BB80" s="347"/>
      <c r="BC8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0" s="351"/>
      <c r="BE80" s="5"/>
      <c r="BF80" s="14"/>
      <c r="BG80" s="13"/>
      <c r="BH80" s="13"/>
      <c r="BI80" s="5"/>
      <c r="BJ80" s="136">
        <f>IF(SnapshotTable[[#This Row],[LP Qty]] &gt; 0, SnapshotTable[[#This Row],[LP Qty]] * SnapshotTable[[#This Row],[LP Book Price]] * 100,0)</f>
        <v>0</v>
      </c>
      <c r="BK80" s="136">
        <f>IF(SnapshotTable[[#This Row],[LP Premium]] &gt; 0, SnapshotTable[[#This Row],[LP Qty]] * SnapshotTable[[#This Row],[LP Strike Price]] * 100,0)</f>
        <v>0</v>
      </c>
      <c r="BL80" s="154"/>
      <c r="BM80" s="385" t="str">
        <f>IF(SnapshotTable[[#This Row],[LP Premium]] &gt; 0,SnapshotTable[[#This Row],[LP Exp Date]]-MAX(SnapshotTable[[#This Row],[LP Book Date]], SnapshotTable[[#This Row],[LP Fill Date]]),"")</f>
        <v/>
      </c>
      <c r="BN80" s="385" t="str">
        <f>IF(ISNUMBER( SnapshotTable[[#This Row],[LP Term]]), SnapshotTable[[#This Row],[LP Exp Date]] - MockToday,"")</f>
        <v/>
      </c>
      <c r="BO80" s="163" t="str">
        <f>IF(AND(SnapshotTable[[#This Row],[LP Exp Date]]&gt;0, SnapshotTable[[#This Row],[LP Strike Price]]&gt;0,SnapshotTable[[#This Row],[LP Qty]]&gt;0,SnapshotTable[[#This Row],[LP Book Date]]&gt;0,SnapshotTable[[#This Row],[LP Book Price]]&gt;0,SnapshotTable[[#This Row],[LP Fill Date]]=0),"Y","")</f>
        <v/>
      </c>
      <c r="BP80" s="31" t="str">
        <f>IF(AND(SnapshotTable[[#This Row],[LP No Fill]]&lt;&gt;"Y",SnapshotTable[[#This Row],[LP Contract Value]]&gt;0, SnapshotTable[[#This Row],[LP Qty]]&gt;0), SnapshotTable[[#This Row],[LP Contract Value]]*SnapshotTable[[#This Row],[LP Qty]]*100,"")</f>
        <v/>
      </c>
      <c r="BQ80" s="13"/>
      <c r="BR80" s="5" t="str">
        <f>IF(SnapshotTable[[#This Row],[SP Exp Date]]&lt;&gt;"",TRUNC(SnapshotTable[[#This Row],[Last Price]]),"")</f>
        <v/>
      </c>
      <c r="BS80" s="36"/>
      <c r="BT80" s="147"/>
      <c r="BU80" s="13"/>
      <c r="BV80" s="5"/>
      <c r="BW80" s="419" t="b">
        <f>AND(ISNUMBER(SnapshotTable[[#This Row],[SP Exp Date]]), ISNUMBER(SnapshotTable[[#This Row],[SP Strike Price]]), ISNUMBER(SnapshotTable[[#This Row],[SP Qty]]), ISNUMBER(SnapshotTable[[#This Row],[SP Book Date]]), ISNUMBER(SnapshotTable[[#This Row],[SP Book Price]]))</f>
        <v>0</v>
      </c>
      <c r="BX80" s="419" t="b">
        <f>AND(SnapshotTable[[#This Row],[SP Is Booked]], NOT(ISBLANK(SnapshotTable[[#This Row],[SP Fill Date]])))</f>
        <v>0</v>
      </c>
      <c r="BY80" s="33">
        <f>IF(SnapshotTable[[#This Row],[SP Is Booked]], SnapshotTable[[#This Row],[SP Qty]] * SnapshotTable[[#This Row],[SP Book Price]] * 100, 0)</f>
        <v>0</v>
      </c>
      <c r="BZ80" s="369"/>
      <c r="CA80" s="368">
        <f>SnapshotTable[[#This Row],[LP Qty]]</f>
        <v>0</v>
      </c>
      <c r="CB80" s="4" t="str">
        <f>IF(SnapshotTable[[#This Row],[SP Is Booked]], SnapshotTable[[#This Row],[SP Strike Price]] - SnapshotTable[[#This Row],[SP Book Price]], "")</f>
        <v/>
      </c>
      <c r="CC80" s="19" t="str">
        <f>IF(SnapshotTable[[#This Row],[SP Is Booked]],SnapshotTable[[#This Row],[SP Exp Date]]-MAX(SnapshotTable[[#This Row],[SP Book Date]], SnapshotTable[[#This Row],[SP Fill Date]]),"")</f>
        <v/>
      </c>
      <c r="CD80" s="7" t="str">
        <f>IF(SnapshotTable[[#This Row],[SP Is Booked]], SnapshotTable[[#This Row],[SP Book Price]]/SnapshotTable[[#This Row],[SP Strike Price]], "")</f>
        <v/>
      </c>
      <c r="CE80" s="7" t="str">
        <f>IF(ISNUMBER(SnapshotTable[[#This Row],[SP ROO Term]]),SnapshotTable[[#This Row],[SP ROO Term]]*(365/SnapshotTable[[#This Row],[SP Term]]),"")</f>
        <v/>
      </c>
      <c r="CF80" s="236">
        <f>SnapshotTable[[#This Row],[LP Strike Price]] * SnapshotTable[[#This Row],[LP Qty]] * 100</f>
        <v>0</v>
      </c>
      <c r="CG80" s="31" t="e">
        <f>IF(ISNUMBER(SnapshotTable[[#This Row],[SP Premium]]), (SnapshotTable[[#This Row],[SP Qty]] * SnapshotTable[[#This Row],[SP Strike Price]]* 100) - SnapshotTable[[#This Row],[LP Protection]], 0)</f>
        <v>#VALUE!</v>
      </c>
      <c r="CH80" s="7" t="str">
        <f>IF(ISNUMBER(SnapshotTable[[#This Row],[SP Break Even]]),-1 * (SnapshotTable[[#This Row],[SP Break Even]] - SnapshotTable[[#This Row],[Last Price]]) / SnapshotTable[[#This Row],[Last Price]], "")</f>
        <v/>
      </c>
      <c r="CI80" s="31">
        <f>IF(AND(ISNUMBER((SnapshotTable[[#This Row],[SP Potential Spend]])), SnapshotTable[[#This Row],[SP Strike Price]] &gt; SnapshotTable[[#This Row],[Last Price]], SnapshotTable[[#This Row],[SP Is Filled]]), SnapshotTable[[#This Row],[SP Potential Spend]] -  SnapshotTable[[#This Row],[LP Max Value]], 0)</f>
        <v>0</v>
      </c>
      <c r="CJ80" s="244"/>
      <c r="CK80" s="31" t="str">
        <f>IF(ISNUMBER(SnapshotTable[[#This Row],[SP Potential Spend]]),IF(ISNUMBER(SnapshotTable[[#This Row],[SP POW]]), SnapshotTable[[#This Row],[SP POW]] * SnapshotTable[[#This Row],[SP Potential Spend]], SnapshotTable[[#This Row],[SP Potential Spend]]), "")</f>
        <v/>
      </c>
      <c r="CL80" s="164" t="e">
        <f>IF(NOT(SnapshotTable[[#This Row],[SP Is Filled]]),(SnapshotTable[[#This Row],[SP Qty]] * SnapshotTable[[#This Row],[SP Strike Price]] * 100) - SnapshotTable[[#This Row],[LP Max Value]],"")</f>
        <v>#VALUE!</v>
      </c>
      <c r="CM80" s="31" t="str">
        <f>IF(SnapshotTable[[#This Row],[SP Actual Spend]]&lt;&gt;0, ((SnapshotTable[[#This Row],[SP Strike Price]]-SnapshotTable[[#This Row],[Last Price]]) *(SnapshotTable[[#This Row],[SP Qty]]*100) - SnapshotTable[[#This Row],[SP Premium]]) * - 1, "")</f>
        <v/>
      </c>
      <c r="CN80" s="78"/>
      <c r="CO80" s="369"/>
      <c r="CP80" s="4" t="str">
        <f>IF(SnapshotTable[[#This Row],[SP Is Filled]], btc_max_buyback_amount(SnapshotTable[[#This Row],[SP Fill Date]],SnapshotTable[[#This Row],[SP Exp Date]], SnapshotTable[[#This Row],[SP Book Price]]),"")</f>
        <v/>
      </c>
      <c r="CQ80" s="78"/>
      <c r="CR8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0" s="155" t="str">
        <f>IF(SnapshotTable[[#This Row],[SP Is Filled]], btc_next_cutoff_date(SnapshotTable[[#This Row],[SP Fill Date]],SnapshotTable[[#This Row],[SP Exp Date]]),"")</f>
        <v/>
      </c>
      <c r="CT80" s="235" t="str" cm="1">
        <f t="array" ref="CT80">IF(SnapshotTable[[#This Row],[SP Is Filled]], btc_should_buy_back(SnapshotTable[[#This Row],[SP Fill Date]], SnapshotTable[[#This Row],[SP Exp Date]], SnapshotTable[[#This Row],[SP Book Price]], SnapshotTable[[#This Row],[SP Current Ask]], MockToday, SnapshotTable[[#This Row],[SP Buyback Override]]),"")</f>
        <v/>
      </c>
      <c r="CU80" s="143"/>
      <c r="CV80" s="235"/>
      <c r="CW80" s="378" t="str">
        <f>IF(ISNUMBER( SnapshotTable[[#This Row],[SP Term]]), SnapshotTable[[#This Row],[SP Exp Date]] - MockToday,"")</f>
        <v/>
      </c>
      <c r="CX80" s="31" t="str">
        <f>IF(SnapshotTable[[#This Row],[SP Is Filled]],SnapshotTable[[#This Row],[SP Buyback Price to Use]] * 100 * SnapshotTable[[#This Row],[SP Qty]], "")</f>
        <v/>
      </c>
      <c r="CY80" s="4" t="str">
        <f>IF(ISNUMBER(SnapshotTable[[#This Row],[SP Strike Price]]), SnapshotTable[[#This Row],[SP Strike Price]] * (1 - SP_MaxLoss_StrikePct), "")</f>
        <v/>
      </c>
      <c r="CZ80" s="31" t="str">
        <f>IF(ISNUMBER(SnapshotTable[[#This Row],[SP Strike  Stop Per Share]]),SnapshotTable[[#This Row],[SP Premium]] - ((SnapshotTable[[#This Row],[SP Strike Price]]-SnapshotTable[[#This Row],[SP Strike  Stop Per Share]]) *(SnapshotTable[[#This Row],[SP Qty]] * 100)),"")</f>
        <v/>
      </c>
      <c r="DA80" s="4" t="str">
        <f>IF(AND(ISNUMBER(SnapshotTable[[#This Row],[SP Premium]]),SnapshotTable[[#This Row],[SP Premium]]&gt;0), SnapshotTable[[#This Row],[SP Book Price]] * (1 + SP_MaxLoss_OptionPct), "")</f>
        <v/>
      </c>
      <c r="DB80" s="31" t="str">
        <f>IF(ISNUMBER(SnapshotTable[[#This Row],[SP Option  Stop Contract]]),(SnapshotTable[[#This Row],[SP Option  Stop Contract]] *(SnapshotTable[[#This Row],[SP Qty]] * 100) - SnapshotTable[[#This Row],[SP Premium]]),"")</f>
        <v/>
      </c>
      <c r="DC80" s="4"/>
      <c r="DD80" s="4"/>
      <c r="DE80" s="4" t="str">
        <f>IF(AND(SnapshotTable[[#This Row],[SP Qty]]&gt;0, SnapshotTable[[#This Row],[SP Stop To Use]]&gt;0),SnapshotTable[[#This Row],[SP Premium]] - ( SnapshotTable[[#This Row],[SP Qty]] * SnapshotTable[[#This Row],[SP Stop To Use]] * 100), "")</f>
        <v/>
      </c>
      <c r="DF80" s="31" t="str">
        <f>IF(AND(SnapshotTable[[#This Row],[SP Qty]]&gt;0,SnapshotTable[[#This Row],[SP Current Ask]]&gt;0), SnapshotTable[[#This Row],[SP Qty]] * SnapshotTable[[#This Row],[SP Current Ask]] * -100, "")</f>
        <v/>
      </c>
      <c r="DG80" s="31" t="str">
        <f>IF(ISNUMBER((SnapshotTable[[#This Row],[SP Total Value]])), SnapshotTable[[#This Row],[SP Premium]] + SnapshotTable[[#This Row],[SP Total Value]], "")</f>
        <v/>
      </c>
      <c r="DH80" s="294" t="str">
        <f>IF(ISNUMBER((SnapshotTable[[#This Row],[SP Total Value]])), SnapshotTable[[#This Row],[SP Gain Loss]] / SnapshotTable[[#This Row],[SP Premium]], "")</f>
        <v/>
      </c>
      <c r="DI80" s="406"/>
      <c r="DJ80" s="138"/>
      <c r="DK80" s="148"/>
      <c r="DL80" s="13"/>
      <c r="DM80" s="13"/>
      <c r="DO80" s="31">
        <f>IF(SnapshotTable[[#This Row],[LC Symbol Count]]=1, SnapshotTable[[#This Row],[LC Qty]] * SnapshotTable[[#This Row],[LC Book Price]] * 100, 0)</f>
        <v>0</v>
      </c>
      <c r="DP80" s="163" t="str">
        <f>IF(AND(SnapshotTable[[#This Row],[LC Exp Date]]&gt;0, SnapshotTable[[#This Row],[LC Strike Price]]&gt;0,SnapshotTable[[#This Row],[LC Qty]]&gt;0,SnapshotTable[[#This Row],[LC Book Date]]&gt;0,SnapshotTable[[#This Row],[LC Book Price]]&gt;0,SnapshotTable[[#This Row],[LC Fill Date]]=0),"Y","")</f>
        <v/>
      </c>
      <c r="DQ80" s="386" t="str">
        <f>IF(SnapshotTable[[#This Row],[LC Premium]] &gt; 0,SnapshotTable[[#This Row],[LC Exp Date]]-MAX(SnapshotTable[[#This Row],[LC Book Date]], SnapshotTable[[#This Row],[LC Fill Date]]),"")</f>
        <v/>
      </c>
      <c r="DR80" s="386" t="str">
        <f>IF(ISNUMBER(SnapshotTable[[#This Row],[LC Term]]), SnapshotTable[[#This Row],[LC Exp Date]] - MockToday, "")</f>
        <v/>
      </c>
      <c r="DS80" s="234" t="str">
        <f>IF(SnapshotTable[[#This Row],[LC Premium]]&gt;0,SnapshotTable[[#This Row],[LC Strike Price]] + SnapshotTable[[#This Row],[LC Book Price]],"")</f>
        <v/>
      </c>
      <c r="DU80" s="9" t="str">
        <f>IF(AND(SnapshotTable[[#This Row],[LC Symbol Count]]&gt;0, SnapshotTable[[#This Row],[LC Contract Value]]&gt;0), SnapshotTable[[#This Row],[LC Contract Value]] * SnapshotTable[[#This Row],[LC Qty]] * 100, "")</f>
        <v/>
      </c>
      <c r="DV80" s="9" t="str">
        <f>IF(AND(ISNUMBER(SnapshotTable[[#This Row],[LC Total Value]]), SnapshotTable[[#This Row],[LC Not Filled]]&lt;&gt;"Y"), SnapshotTable[[#This Row],[LC Total Value]]-SnapshotTable[[#This Row],[LC Premium]],"")</f>
        <v/>
      </c>
      <c r="DW80" s="240" t="str">
        <f>IF(ISNUMBER(SnapshotTable[[#This Row],[LC Actual Gain Loss]]), SnapshotTable[[#This Row],[LC Actual Gain Loss]] / SnapshotTable[[#This Row],[LC Premium]],"")</f>
        <v/>
      </c>
      <c r="DX80" s="284" t="str">
        <f>IF(ISNUMBER(SnapshotTable[[#This Row],[LC Book Price]]),SnapshotTable[[#This Row],[LC Book Price]] * 1.5,"")</f>
        <v/>
      </c>
      <c r="DY80" s="265" t="str">
        <f>IF(SnapshotTable[[#This Row],[LC Premium]]&gt;0, SnapshotTable[[#This Row],[LC Next Target]] * SnapshotTable[[#This Row],[LC Qty]] * 100,"")</f>
        <v/>
      </c>
      <c r="DZ80" s="265" t="str">
        <f>IF(ISNUMBER(SnapshotTable[[#This Row],[LC Target Gross]]), SnapshotTable[[#This Row],[LC Target Gross]] - SnapshotTable[[#This Row],[LC Premium]], "")</f>
        <v/>
      </c>
      <c r="EA80" s="305" t="str">
        <f>IF(ISNUMBER(SnapshotTable[[#This Row],[LC Target Gain Loss]]), SnapshotTable[[#This Row],[LC Target Gain Loss]]/SnapshotTable[[#This Row],[LC Premium]], "")</f>
        <v/>
      </c>
      <c r="EB80" s="262"/>
      <c r="EC80" s="283" t="str">
        <f>IF(SnapshotTable[[#This Row],[LC Premium]]&gt;0, SnapshotTable[[#This Row],[LC Book Price]] * (1 - LC_StopLoss_Pct),"")</f>
        <v/>
      </c>
      <c r="ED80" s="284"/>
      <c r="EE80" s="283" t="str">
        <f>IF(ISNUMBER(SnapshotTable[[#This Row],[LC Contract Value]]),IF(ISNUMBER(SnapshotTable[[#This Row],[LC Stop Loss Override]]), SnapshotTable[[#This Row],[LC Stop Loss Override]],SnapshotTable[[#This Row],[LC Stop Loss Calc Target]]),"")</f>
        <v/>
      </c>
      <c r="EF80" s="31" t="str">
        <f>IF(ISNUMBER(SnapshotTable[[#This Row],[LC Stop  To Use]]), (SnapshotTable[[#This Row],[LC Stop  To Use]] * SnapshotTable[[#This Row],[LC Qty]] * 100),"")</f>
        <v/>
      </c>
      <c r="EG80" s="9" t="str">
        <f>IF(ISNUMBER(SnapshotTable[[#This Row],[LC Total Value]]),SnapshotTable[[#This Row],[LC Stop Loss Amount]] - SnapshotTable[[#This Row],[LC Premium]],"")</f>
        <v/>
      </c>
      <c r="EH80" s="9">
        <f>IF(ISNUMBER(SnapshotTable[[#This Row],[LC Premium]]), SnapshotTable[[#This Row],[LC Qty]] * 100 * SnapshotTable[[#This Row],[LC Strike Price]], "")</f>
        <v>0</v>
      </c>
      <c r="EI80" s="240" t="str">
        <f>IF(AND(ISNUMBER(SnapshotTable[[#This Row],[LC Total Value]]),SnapshotTable[[#This Row],[LC Total Value]]&gt;0),SnapshotTable[[#This Row],[LC Stop Gain Loss]]  / SnapshotTable[[#This Row],[LC Premium]],"")</f>
        <v/>
      </c>
      <c r="EJ80" s="35">
        <f>IF(ISNUMBER(SnapshotTable[[#This Row],[Equity Shares]]),TRUNC(SnapshotTable[[#This Row],[Equity Shares]] / 100),0) + SnapshotTable[[#This Row],[LC Qty]]</f>
        <v>0</v>
      </c>
      <c r="EK80" s="147"/>
      <c r="EL80" s="138" t="str">
        <f>IF(SnapshotTable[[#This Row],[SC Exp Date]]&lt;&gt;"",TRUNC(SnapshotTable[[#This Row],[Last Price]]),"")</f>
        <v/>
      </c>
      <c r="EM80" s="148"/>
      <c r="EN80" s="147"/>
      <c r="EO80" s="147"/>
      <c r="EP80" s="138"/>
      <c r="EQ80" s="419" t="b">
        <f>AND(ISNUMBER(SnapshotTable[[#This Row],[SC Exp Date]]), ISNUMBER(SnapshotTable[[#This Row],[SC Strike Price]]), ISNUMBER(SnapshotTable[[#This Row],[SC Qty]]), ISNUMBER(SnapshotTable[[#This Row],[SC Book Date]]), ISNUMBER(SnapshotTable[[#This Row],[SC Book Price]]))</f>
        <v>0</v>
      </c>
      <c r="ER80" s="419" t="b">
        <f>AND(SnapshotTable[[#This Row],[SC Is Booked]], NOT(ISBLANK(SnapshotTable[[#This Row],[SC Fill Date]])))</f>
        <v>0</v>
      </c>
      <c r="ES80" s="370"/>
      <c r="ET80" s="34" t="str">
        <f>IF(AND(ISNUMBER(SnapshotTable[[#This Row],[SC Exp Date]]), ISNUMBER(SnapshotTable[[#This Row],[SC Book Date]])), SnapshotTable[[#This Row],[SC Exp Date]] - MAX(SnapshotTable[[#This Row],[SC Book Date]], SnapshotTable[[#This Row],[SC Fill Date]]) + 1, "")</f>
        <v/>
      </c>
      <c r="EU80" s="34" t="str">
        <f>IF(ISNUMBER(SnapshotTable[[#This Row],[SC Term]]), SnapshotTable[[#This Row],[SC Exp Date]]- MockToday, "")</f>
        <v/>
      </c>
      <c r="EV80" s="31">
        <f>IF(SnapshotTable[[#This Row],[SC Is Booked]], SnapshotTable[[#This Row],[SC Qty]] * SnapshotTable[[#This Row],[SC Book Price]] * 100, 0)</f>
        <v>0</v>
      </c>
      <c r="EW80" s="4" t="str">
        <f>IF(AND(ISNUMBER(SnapshotTable[[#This Row],[Last Price]]), ISNUMBER( SnapshotTable[[#This Row],[SC Book Price]])), SnapshotTable[[#This Row],[Last Price]] - SnapshotTable[[#This Row],[SC Book Price]],"")</f>
        <v/>
      </c>
      <c r="EX80" s="234" t="str">
        <f>IF(SnapshotTable[[#This Row],[SC Is Booked]],IF(SnapshotTable[[#This Row],[SC Intrinsic Value]] &gt; 0, SnapshotTable[[#This Row],[SC Strike Price]], SnapshotTable[[#This Row],[Last Price]]), "")</f>
        <v/>
      </c>
      <c r="EY80" s="4">
        <f>IF(SnapshotTable[[#This Row],[SC Is Booked]], (MinimumPremiumRequired * SnapshotTable[[#This Row],[SC Basis]] * SnapshotTable[[#This Row],[SC Term]]), 0)</f>
        <v>0</v>
      </c>
      <c r="EZ80" s="283"/>
      <c r="FA80" s="218"/>
      <c r="FB80" s="370"/>
      <c r="FC80" s="4">
        <f>IF(SnapshotTable[[#This Row],[SC Is Filled]], btc_max_buyback_amount(SnapshotTable[[#This Row],[SC Fill Date]],SnapshotTable[[#This Row],[SC Exp Date]], SnapshotTable[[#This Row],[SC Book Price]]),0)</f>
        <v>0</v>
      </c>
      <c r="FD80" s="5"/>
      <c r="FE80" s="144" t="str">
        <f>IF(SnapshotTable[[#This Row],[SC Is Filled]], btc_next_cutoff_date(SnapshotTable[[#This Row],[SC Fill Date]],SnapshotTable[[#This Row],[SC Exp Date]]),"")</f>
        <v/>
      </c>
      <c r="FF80" s="4" t="str" cm="1">
        <f t="array" ref="FF80">IF(SnapshotTable[[#This Row],[SC Is Filled]], btc_should_buy_back(SnapshotTable[[#This Row],[SC Fill Date]], SnapshotTable[[#This Row],[SC Exp Date]], SnapshotTable[[#This Row],[SC Book Price]], SnapshotTable[[#This Row],[SC Current Ask]], MockToday, SnapshotTable[[#This Row],[SC Buyback Override]]),"")</f>
        <v/>
      </c>
      <c r="FG80" s="4">
        <f>IF(SnapshotTable[[#This Row],[SC Is Filled]], MAX(0,SnapshotTable[[#This Row],[Last Price]]  - SnapshotTable[[#This Row],[SC Strike Price]]), 0)</f>
        <v>0</v>
      </c>
      <c r="FH80" s="382">
        <f>IF(SnapshotTable[[#This Row],[SC Is Filled]], IF(ISNUMBER(SnapshotTable[[#This Row],[SC Current Ask]]), SnapshotTable[[#This Row],[SC Current Ask]], SnapshotTable[[#This Row],[SC Book Price]]) - SnapshotTable[[#This Row],[SC Intrinsic Value]], 0)</f>
        <v>0</v>
      </c>
      <c r="FI80" s="143"/>
      <c r="FJ80" s="32" t="str">
        <f>IF(SnapshotTable[[#This Row],[SC Is Filled]],100 * SnapshotTable[[#This Row],[SC Qty]] * IF(ISNUMBER(SnapshotTable[[#This Row],[SC Buyback Override]]), SnapshotTable[[#This Row],[SC Buyback Override]], SnapshotTable[[#This Row],[SC Current Ask]]), "")</f>
        <v/>
      </c>
      <c r="FK80" s="250" t="str">
        <f>IF(SnapshotTable[[#This Row],[SC Time Val]]&gt;0, SnapshotTable[[#This Row],[SC Time Val]] / SnapshotTable[[#This Row],[Last Price]],"")</f>
        <v/>
      </c>
      <c r="FL80" s="302" t="str">
        <f>IF(SnapshotTable[[#This Row],[SC Is Booked]], ((SnapshotTable[[#This Row],[Last Price]] -SnapshotTable[[#This Row],[SC Strike Price]]) / SnapshotTable[[#This Row],[Last Price]]) * -1, "")</f>
        <v/>
      </c>
      <c r="FM80" s="157" t="str">
        <f>IF(SnapshotTable[[#This Row],[SC Is Booked]],  (SnapshotTable[[#This Row],[SC Qty]] * 100 * SnapshotTable[[#This Row],[SC Strike Price]]) - SnapshotTable[[#This Row],[SC Current Ask]], "")</f>
        <v/>
      </c>
      <c r="FN8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0" s="31" t="str">
        <f>IF(AND(ISNUMBER(SnapshotTable[[#This Row],[SC Exercise Gross]]), ISNUMBER(SnapshotTable[[#This Row],[Equity Basis Per Share]] )), SnapshotTable[[#This Row],[SC Exercise Gross]] - SnapshotTable[[#This Row],[Equity Basis Total]] +  SnapshotTable[[#This Row],[SC Premium]], "")</f>
        <v/>
      </c>
      <c r="FP80" s="5" t="str">
        <f>IF(ISNUMBER(SnapshotTable[[#This Row],[SC Exercise Gross]]), (SnapshotTable[[#This Row],[SC Exercise Gross]]) / (SnapshotTable[[#This Row],[SC Qty]] * 100), "")</f>
        <v/>
      </c>
      <c r="FQ80" s="27" t="str">
        <f>IF(SnapshotTable[[#This Row],[SC Is Booked]],SnapshotTable[[#This Row],[SC Time Val]] /SnapshotTable[[#This Row],[SC Basis]], "")</f>
        <v/>
      </c>
      <c r="FR80" s="27" t="str" cm="1">
        <f t="array" ref="FR80">IF(AND(ISNUMBER(SnapshotTable[[#This Row],[SC Term]]),ISNUMBER(SnapshotTable[[#This Row],[SC Simple ROO]])), EllmanAnnualize(SnapshotTable[[#This Row],[SC DTE]], SnapshotTable[[#This Row],[SC Simple ROO]] ),"")</f>
        <v/>
      </c>
      <c r="FS80" s="4" t="e">
        <f>IF(SnapshotTable[[#This Row],[SC Strike Price]] &gt; SnapshotTable[[#This Row],[Last Price]], SnapshotTable[[#This Row],[SC Strike Price]] - SnapshotTable[[#This Row],[Last Price]],0)</f>
        <v>#VALUE!</v>
      </c>
      <c r="FT80" s="27" t="e">
        <f>IF(AND(ISNUMBER(SnapshotTable[[#This Row],[SC Upside Potential]]), SnapshotTable[[#This Row],[SC Upside Potential]] &gt; 0),(SnapshotTable[[#This Row],[SC Upside Potential]]/ SnapshotTable[[#This Row],[ACB]]),"")</f>
        <v>#VALUE!</v>
      </c>
      <c r="FU80" s="333" t="str">
        <f>IF(SnapshotTable[[#This Row],[SC Intrinsic Value]] &gt; 0,SnapshotTable[[#This Row],[SC Intrinsic Value]],"")</f>
        <v/>
      </c>
      <c r="FV80" s="27" t="str">
        <f>IF(AND( ISNUMBER( SnapshotTable[[#This Row],[ACB]]),ISNUMBER(SnapshotTable[[#This Row],[SC Downside Protect]])),SnapshotTable[[#This Row],[SC Downside Protect]] / SnapshotTable[[#This Row],[ACB]],"")</f>
        <v/>
      </c>
      <c r="FW80" s="236" t="str">
        <f>IF(AND(ISNUMBER(SnapshotTable[[#This Row],[SC Simple ROO]]),SnapshotTable[[#This Row],[SC Simple ROO]] &gt; 0), SnapshotTable[[#This Row],[SC Premium]] + (SnapshotTable[[#This Row],[SC Qty]] * SnapshotTable[[#This Row],[SC Upside Potential]]), "")</f>
        <v/>
      </c>
      <c r="FX80" s="302" t="str" cm="1">
        <f t="array" ref="FX80">IF(ISNUMBER(SnapshotTable[[#This Row],[SC Max Dollars]]), annualize(SnapshotTable[[#This Row],[SC Term]],(SnapshotTable[[#This Row],[SC Max Dollars]]/SnapshotTable[[#This Row],[SC Basis]])),"")</f>
        <v/>
      </c>
      <c r="FY80" s="236" t="str">
        <f>IF(AND(SnapshotTable[[#This Row],[SC Qty]]&gt;0,SnapshotTable[[#This Row],[SC Current Ask]]&gt;0), SnapshotTable[[#This Row],[SC Qty]] * SnapshotTable[[#This Row],[SC Current Ask]] * -100, "")</f>
        <v/>
      </c>
      <c r="FZ80" s="31" t="str">
        <f>IF(ISNUMBER((SnapshotTable[[#This Row],[SC Current Value]])), SnapshotTable[[#This Row],[SC Premium]] + SnapshotTable[[#This Row],[SC Current Value]], "")</f>
        <v/>
      </c>
      <c r="GA80" s="294" t="str">
        <f>IFERROR( IF(ISNUMBER((SnapshotTable[[#This Row],[SC Current Value]])), SnapshotTable[[#This Row],[SC Gain Loss]] / SnapshotTable[[#This Row],[SC Premium]], ""), "")</f>
        <v/>
      </c>
      <c r="GB80" s="42">
        <f>SnapshotTable[[#This Row],[Equity Shares]] * SaleSharesToConsiderPercentage</f>
        <v>0</v>
      </c>
      <c r="GC80" s="40">
        <f>SnapshotTable[[#This Row],[Long Term Target]] * SellingPriceToConsiderBasedOnTargetPercentage</f>
        <v>90.25</v>
      </c>
      <c r="GD80" s="40">
        <f>SnapshotTable[[#This Row],[Last Price]] * (1+ SellingPriceToConsiderBasedOnTargetPercentage)</f>
        <v>185.523</v>
      </c>
      <c r="GE80" s="41"/>
      <c r="GF80" s="40">
        <v>85.79</v>
      </c>
      <c r="GG80" s="31">
        <f>SnapshotTable[[#This Row],[Booked Sale Shares]] * SnapshotTable[[#This Row],[Booked Sale Price]]</f>
        <v>0</v>
      </c>
      <c r="GH80" s="31" t="str">
        <f>IF(SnapshotTable[[#This Row],[Equity Basis Total]] &gt; 0, SnapshotTable[[#This Row],[Equity Basis Per Share]] * SnapshotTable[[#This Row],[Booked Sale Shares]], "")</f>
        <v/>
      </c>
      <c r="GI80" s="31">
        <f>IF(SnapshotTable[[#This Row],[Sale Proceeds]]&gt;0, SnapshotTable[[#This Row],[Sale Proceeds]] - SnapshotTable[[#This Row],[Sale Basis]], 0)</f>
        <v>0</v>
      </c>
      <c r="GJ80" s="27" t="str">
        <f>IF(SnapshotTable[[#This Row],[Sale G/L]]&gt;0, SnapshotTable[[#This Row],[Sale G/L]] / SnapshotTable[[#This Row],[Sale Basis]], IF(ISNUMBER(SnapshotTable[[#This Row],[SC Exercise P&amp;L (TAX)]]), SnapshotTable[[#This Row],[SC Exercise P&amp;L (TAX)]] / SnapshotTable[[#This Row],[SC Basis]], ""))</f>
        <v/>
      </c>
      <c r="GK80" s="27" t="s">
        <v>659</v>
      </c>
      <c r="GL80" s="43" t="str">
        <f>IF(AND(SnapshotTable[[#This Row],[LP Exp Date]]&gt;0,SnapshotTable[[#This Row],[LP Strike Price]]&gt;0), [1]!ToOptionSymbol(SnapshotTable[[#This Row],[Symbol]], SnapshotTable[[#This Row],[LP Strike Price]],SnapshotTable[[#This Row],[LP Exp Date]],1), "")</f>
        <v/>
      </c>
      <c r="GM80" s="30" t="str">
        <f>IF(LEN(SnapshotTable[[#This Row],[LP Symbol]])&gt;0, 1, "")</f>
        <v/>
      </c>
      <c r="GN80" s="43" t="str">
        <f>IF(AND(SnapshotTable[[#This Row],[SP Exp Date]]&gt;0,SnapshotTable[[#This Row],[SP Strike Price]]&gt;0), [1]!ToOptionSymbol(SnapshotTable[[#This Row],[Symbol]], SnapshotTable[[#This Row],[SP Strike Price]],SnapshotTable[[#This Row],[SP Exp Date]],1), "")</f>
        <v/>
      </c>
      <c r="GO80" s="30" t="str">
        <f>IF(LEN(SnapshotTable[[#This Row],[SP Symbol]])&gt;0, 1, "")</f>
        <v/>
      </c>
      <c r="GP80" s="43" t="str">
        <f>IF(AND(SnapshotTable[[#This Row],[LC Exp Date]]&gt;0,SnapshotTable[[#This Row],[LC Strike Price]]&gt;0), [1]!ToOptionSymbol(SnapshotTable[[#This Row],[Symbol]], SnapshotTable[[#This Row],[LC Strike Price]],SnapshotTable[[#This Row],[LC Exp Date]],0), "")</f>
        <v/>
      </c>
      <c r="GQ80" s="30" t="str">
        <f>IF(LEN(SnapshotTable[[#This Row],[LC Symbol]])&gt;0, 1, "")</f>
        <v/>
      </c>
      <c r="GR80" s="43" t="str">
        <f>IF(AND(SnapshotTable[[#This Row],[SC Exp Date]]&gt;0,SnapshotTable[[#This Row],[SC Strike Price]]&gt;0), [1]!ToOptionSymbol(SnapshotTable[[#This Row],[Symbol]], SnapshotTable[[#This Row],[SC Strike Price]],SnapshotTable[[#This Row],[SC Exp Date]],0), "")</f>
        <v/>
      </c>
      <c r="GS80" s="30" t="str">
        <f>IF(LEN(SnapshotTable[[#This Row],[SC Symbol]])&gt;0, 1, "")</f>
        <v/>
      </c>
      <c r="GT80" s="29" t="str">
        <f>IF(COUNT(SnapshotTable[[#This Row],[LP Symbol Count]],SnapshotTable[[#This Row],[SP Symbol Count]],SnapshotTable[[#This Row],[LC Symbol Count]],SnapshotTable[[#This Row],[SC Symbol Count]])&gt;0, "Y", "")</f>
        <v/>
      </c>
      <c r="GU8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0" s="231" t="e">
        <f>MAX(SnapshotTable[[#This Row],[Equity Basis Total]],SnapshotTable[[#This Row],[Equity Value]]) + (SnapshotTable[[#This Row],[SP Potential Spend]]- SnapshotTable[[#This Row],[SP Premium]] + SnapshotTable[[#This Row],[LP Premium]])+ (SnapshotTable[[#This Row],[LC Premium]] - SnapshotTable[[#This Row],[SC Premium]])</f>
        <v>#VALUE!</v>
      </c>
      <c r="GW80" s="139" t="e">
        <f>IF(AND(SnapshotTable[[#This Row],[Exposure]] &lt;&gt; 0),SnapshotTable[[#This Row],[Exposure]] / SnapshotTable[[#Totals],[Exposure]], "")</f>
        <v>#VALUE!</v>
      </c>
      <c r="HE80" s="268"/>
      <c r="HF80" s="268"/>
      <c r="HK80" s="1"/>
      <c r="HL80" s="1"/>
      <c r="HM80" s="1"/>
      <c r="HN80" s="1"/>
      <c r="HO80" s="1"/>
      <c r="HP80" s="1"/>
    </row>
    <row r="81" spans="2:224" ht="12.75" hidden="1" customHeight="1" x14ac:dyDescent="0.25">
      <c r="B81" s="12" t="s">
        <v>59</v>
      </c>
      <c r="C81" s="422">
        <v>127.91</v>
      </c>
      <c r="D81" s="208"/>
      <c r="E81" s="39">
        <f>SnapshotTable[[#This Row],[Last Price]]*(1 -CrashDiscount)</f>
        <v>108.7235</v>
      </c>
      <c r="F81" s="26" t="s">
        <v>58</v>
      </c>
      <c r="G81" s="26" t="s">
        <v>9</v>
      </c>
      <c r="H81" s="149"/>
      <c r="I81" s="194">
        <v>44769.208333333336</v>
      </c>
      <c r="J81" s="195">
        <v>44769.208333333336</v>
      </c>
      <c r="K81" s="196"/>
      <c r="L81" s="326"/>
      <c r="M81" s="140"/>
      <c r="N81" s="140"/>
      <c r="O81" s="140"/>
      <c r="P81" s="22"/>
      <c r="Q81" s="25"/>
      <c r="R81" s="4" t="str">
        <f>IF(SnapshotTable[[#This Row],[Equity Basis Total]] &gt; 0, SnapshotTable[[#This Row],[Equity Basis Total]] / SnapshotTable[[#This Row],[Equity Shares]], "")</f>
        <v/>
      </c>
      <c r="S81" s="269">
        <f>SnapshotTable[[#This Row],[Last Price]] * SnapshotTable[[#This Row],[Equity Shares]]</f>
        <v>0</v>
      </c>
      <c r="T81" s="269">
        <f>SnapshotTable[[#This Row],[Equity Value]] - SnapshotTable[[#This Row],[Equity Basis Total]]</f>
        <v>0</v>
      </c>
      <c r="U81" s="270" t="str">
        <f>IF(SnapshotTable[[#This Row],[Equity Basis Total]] &gt; 0, SnapshotTable[[#This Row],[Equity G/L]] / SnapshotTable[[#This Row],[Equity Basis Total]], "")</f>
        <v/>
      </c>
      <c r="V81" s="268"/>
      <c r="W81" s="268"/>
      <c r="X81" s="4" t="str">
        <f>IF(AND(ISNUMBER(SnapshotTable[[#This Row],[Equity Basis Per Share]]),ISNUMBER(SnapshotTable[[#This Row],[Equity Target]])),SnapshotTable[[#This Row],[Equity Target]]-SnapshotTable[[#This Row],[Equity Basis Per Share]],"")</f>
        <v/>
      </c>
      <c r="Y81" s="4" t="str">
        <f>IF(AND(ISNUMBER(SnapshotTable[[#This Row],[Equity Basis Per Share]]),ISNUMBER(SnapshotTable[[#This Row],[Equity Stop Loss]])),SnapshotTable[[#This Row],[Equity Stop Loss]]-SnapshotTable[[#This Row],[Equity Basis Per Share]],"")</f>
        <v/>
      </c>
      <c r="Z81" s="275" t="str">
        <f>IFERROR( TEXT(SnapshotTable[[#This Row],[Equity Max Gain Per Share]] /ABS( SnapshotTable[[#This Row],[Equity Max Loss Per Share]]),"0.0 " ) &amp; " : 1", "")</f>
        <v/>
      </c>
      <c r="AA81" s="31" t="str">
        <f>IF(ISNUMBER(SnapshotTable[[#This Row],[Equity Max Gain Per Share]]),SnapshotTable[[#This Row],[Equity Max Gain Per Share]] * SnapshotTable[[#This Row],[Equity Shares]],"")</f>
        <v/>
      </c>
      <c r="AB81" s="31" t="str">
        <f>IF(ISNUMBER(SnapshotTable[[#This Row],[Equity Max Loss Per Share]]),SnapshotTable[[#This Row],[Equity Max Loss Per Share]] * SnapshotTable[[#This Row],[Equity Shares]],"")</f>
        <v/>
      </c>
      <c r="AC81" s="150">
        <v>0</v>
      </c>
      <c r="AD81" s="151" t="s">
        <v>2</v>
      </c>
      <c r="AE81" s="31">
        <f>(SnapshotTable[[#This Row],[Annual Dividend Per Share]] / 4) * SnapshotTable[[#This Row],[Equity Shares]]</f>
        <v>0</v>
      </c>
      <c r="AF81" s="31">
        <f>SnapshotTable[[#This Row],[Quarterly Div $]] * 4</f>
        <v>0</v>
      </c>
      <c r="AG81" s="7">
        <f>IF(SnapshotTable[[#This Row],[Annual Dividend Per Share]]&gt;0, SnapshotTable[[#This Row],[Annual Dividend Per Share]]  / SnapshotTable[[#This Row],[Last Price]], 0)</f>
        <v>0</v>
      </c>
      <c r="AH81" s="151" t="s">
        <v>2</v>
      </c>
      <c r="AI81" s="5"/>
      <c r="AJ81" s="138">
        <v>105</v>
      </c>
      <c r="AK81" s="152" t="str">
        <f>IF(ISNUMBER( SnapshotTable[[#This Row],[EBF Target]]),(SnapshotTable[[#This Row],[EBF Target]] - SnapshotTable[[#This Row],[Last Price]]) / SnapshotTable[[#This Row],[Last Price]], "")</f>
        <v/>
      </c>
      <c r="AL81" s="152" t="str">
        <f>IF(AND(SnapshotTable[[#This Row],[Equity Basis Total]] &gt; 0,ISNUMBER( SnapshotTable[[#This Row],[Long Term Target]])), SnapshotTable[[#This Row],[From Basis $]] / SnapshotTable[[#This Row],[Equity Basis Total]], "")</f>
        <v/>
      </c>
      <c r="AM81" s="9">
        <f>IF( AND(SnapshotTable[[#This Row],[Equity Shares]] &gt;0,ISNUMBER( SnapshotTable[[#This Row],[Long Term Target]])),(SnapshotTable[[#This Row],[Equity Shares]] * SnapshotTable[[#This Row],[Long Term Target]]) - SnapshotTable[[#This Row],[Equity Basis Total]],0)</f>
        <v>0</v>
      </c>
      <c r="AN81" s="9">
        <f>IF( AND(SnapshotTable[[#This Row],[Equity Shares]] &gt;0,ISNUMBER( SnapshotTable[[#This Row],[Long Term Target]])),(SnapshotTable[[#This Row],[Equity Shares]]*SnapshotTable[[#This Row],[Long Term Target]]) - SnapshotTable[[#This Row],[Equity Value]],0)</f>
        <v>0</v>
      </c>
      <c r="AO81" s="152">
        <f>IF(AND(ISNUMBER( SnapshotTable[[#This Row],[Long Term Target]]), ISNUMBER(SnapshotTable[[#This Row],[Last Price]])),(SnapshotTable[[#This Row],[Long Term Target]] - SnapshotTable[[#This Row],[Last Price]]) / SnapshotTable[[#This Row],[Last Price]], "")</f>
        <v>-0.17911031193808144</v>
      </c>
      <c r="AP81" s="5">
        <v>101.05</v>
      </c>
      <c r="AQ81" s="38" t="s">
        <v>46</v>
      </c>
      <c r="AR81" s="5">
        <v>101.4</v>
      </c>
      <c r="AS81" s="38" t="s">
        <v>45</v>
      </c>
      <c r="AT81" s="146"/>
      <c r="AU81" s="187" t="str">
        <f>IF(OR(SnapshotTable[[#This Row],[LP No Fill]]="Y",SnapshotTable[[#This Row],[SP Is Filled]],SnapshotTable[[#This Row],[LC Not Filled]]="Y",SnapshotTable[[#This Row],[SC Is Filled]]),"Y","")</f>
        <v/>
      </c>
      <c r="AV81" s="219"/>
      <c r="AW81" s="225"/>
      <c r="AX81" s="220"/>
      <c r="AY81" s="219" t="str">
        <f>IF(SnapshotTable[[#This Row],[Implied Move]]&gt;0, SnapshotTable[[#This Row],[Last Price]]-SnapshotTable[[#This Row],[Implied Move]],"")</f>
        <v/>
      </c>
      <c r="AZ81" s="219" t="str">
        <f>IF(SnapshotTable[[#This Row],[Implied Move]]&gt;0, SnapshotTable[[#This Row],[Last Price]] + SnapshotTable[[#This Row],[Implied Move]],"")</f>
        <v/>
      </c>
      <c r="BA81" s="331"/>
      <c r="BB81" s="347"/>
      <c r="BC8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1" s="351"/>
      <c r="BE81" s="5"/>
      <c r="BF81" s="14"/>
      <c r="BG81" s="13"/>
      <c r="BH81" s="13"/>
      <c r="BI81" s="5"/>
      <c r="BJ81" s="136">
        <f>IF(SnapshotTable[[#This Row],[LP Qty]] &gt; 0, SnapshotTable[[#This Row],[LP Qty]] * SnapshotTable[[#This Row],[LP Book Price]] * 100,0)</f>
        <v>0</v>
      </c>
      <c r="BK81" s="136">
        <f>IF(SnapshotTable[[#This Row],[LP Premium]] &gt; 0, SnapshotTable[[#This Row],[LP Qty]] * SnapshotTable[[#This Row],[LP Strike Price]] * 100,0)</f>
        <v>0</v>
      </c>
      <c r="BL81" s="154"/>
      <c r="BM81" s="385" t="str">
        <f>IF(SnapshotTable[[#This Row],[LP Premium]] &gt; 0,SnapshotTable[[#This Row],[LP Exp Date]]-MAX(SnapshotTable[[#This Row],[LP Book Date]], SnapshotTable[[#This Row],[LP Fill Date]]),"")</f>
        <v/>
      </c>
      <c r="BN81" s="385" t="str">
        <f>IF(ISNUMBER( SnapshotTable[[#This Row],[LP Term]]), SnapshotTable[[#This Row],[LP Exp Date]] - MockToday,"")</f>
        <v/>
      </c>
      <c r="BO81" s="163" t="str">
        <f>IF(AND(SnapshotTable[[#This Row],[LP Exp Date]]&gt;0, SnapshotTable[[#This Row],[LP Strike Price]]&gt;0,SnapshotTable[[#This Row],[LP Qty]]&gt;0,SnapshotTable[[#This Row],[LP Book Date]]&gt;0,SnapshotTable[[#This Row],[LP Book Price]]&gt;0,SnapshotTable[[#This Row],[LP Fill Date]]=0),"Y","")</f>
        <v/>
      </c>
      <c r="BP81" s="31" t="str">
        <f>IF(AND(SnapshotTable[[#This Row],[LP No Fill]]&lt;&gt;"Y",SnapshotTable[[#This Row],[LP Contract Value]]&gt;0, SnapshotTable[[#This Row],[LP Qty]]&gt;0), SnapshotTable[[#This Row],[LP Contract Value]]*SnapshotTable[[#This Row],[LP Qty]]*100,"")</f>
        <v/>
      </c>
      <c r="BQ81" s="13"/>
      <c r="BR81" s="5" t="str">
        <f>IF(SnapshotTable[[#This Row],[SP Exp Date]]&lt;&gt;"",TRUNC(SnapshotTable[[#This Row],[Last Price]]),"")</f>
        <v/>
      </c>
      <c r="BS81" s="36"/>
      <c r="BT81" s="147"/>
      <c r="BU81" s="13"/>
      <c r="BV81" s="5"/>
      <c r="BW81" s="419" t="b">
        <f>AND(ISNUMBER(SnapshotTable[[#This Row],[SP Exp Date]]), ISNUMBER(SnapshotTable[[#This Row],[SP Strike Price]]), ISNUMBER(SnapshotTable[[#This Row],[SP Qty]]), ISNUMBER(SnapshotTable[[#This Row],[SP Book Date]]), ISNUMBER(SnapshotTable[[#This Row],[SP Book Price]]))</f>
        <v>0</v>
      </c>
      <c r="BX81" s="419" t="b">
        <f>AND(SnapshotTable[[#This Row],[SP Is Booked]], NOT(ISBLANK(SnapshotTable[[#This Row],[SP Fill Date]])))</f>
        <v>0</v>
      </c>
      <c r="BY81" s="33">
        <f>IF(SnapshotTable[[#This Row],[SP Is Booked]], SnapshotTable[[#This Row],[SP Qty]] * SnapshotTable[[#This Row],[SP Book Price]] * 100, 0)</f>
        <v>0</v>
      </c>
      <c r="BZ81" s="369"/>
      <c r="CA81" s="368">
        <f>SnapshotTable[[#This Row],[LP Qty]]</f>
        <v>0</v>
      </c>
      <c r="CB81" s="4" t="str">
        <f>IF(SnapshotTable[[#This Row],[SP Is Booked]], SnapshotTable[[#This Row],[SP Strike Price]] - SnapshotTable[[#This Row],[SP Book Price]], "")</f>
        <v/>
      </c>
      <c r="CC81" s="19" t="str">
        <f>IF(SnapshotTable[[#This Row],[SP Is Booked]],SnapshotTable[[#This Row],[SP Exp Date]]-MAX(SnapshotTable[[#This Row],[SP Book Date]], SnapshotTable[[#This Row],[SP Fill Date]]),"")</f>
        <v/>
      </c>
      <c r="CD81" s="7" t="str">
        <f>IF(SnapshotTable[[#This Row],[SP Is Booked]], SnapshotTable[[#This Row],[SP Book Price]]/SnapshotTable[[#This Row],[SP Strike Price]], "")</f>
        <v/>
      </c>
      <c r="CE81" s="7" t="str">
        <f>IF(ISNUMBER(SnapshotTable[[#This Row],[SP ROO Term]]),SnapshotTable[[#This Row],[SP ROO Term]]*(365/SnapshotTable[[#This Row],[SP Term]]),"")</f>
        <v/>
      </c>
      <c r="CF81" s="236">
        <f>SnapshotTable[[#This Row],[LP Strike Price]] * SnapshotTable[[#This Row],[LP Qty]] * 100</f>
        <v>0</v>
      </c>
      <c r="CG81" s="31" t="e">
        <f>IF(ISNUMBER(SnapshotTable[[#This Row],[SP Premium]]), (SnapshotTable[[#This Row],[SP Qty]] * SnapshotTable[[#This Row],[SP Strike Price]]* 100) - SnapshotTable[[#This Row],[LP Protection]], 0)</f>
        <v>#VALUE!</v>
      </c>
      <c r="CH81" s="7" t="str">
        <f>IF(ISNUMBER(SnapshotTable[[#This Row],[SP Break Even]]),-1 * (SnapshotTable[[#This Row],[SP Break Even]] - SnapshotTable[[#This Row],[Last Price]]) / SnapshotTable[[#This Row],[Last Price]], "")</f>
        <v/>
      </c>
      <c r="CI81" s="31">
        <f>IF(AND(ISNUMBER((SnapshotTable[[#This Row],[SP Potential Spend]])), SnapshotTable[[#This Row],[SP Strike Price]] &gt; SnapshotTable[[#This Row],[Last Price]], SnapshotTable[[#This Row],[SP Is Filled]]), SnapshotTable[[#This Row],[SP Potential Spend]] -  SnapshotTable[[#This Row],[LP Max Value]], 0)</f>
        <v>0</v>
      </c>
      <c r="CJ81" s="244"/>
      <c r="CK81" s="31" t="str">
        <f>IF(ISNUMBER(SnapshotTable[[#This Row],[SP Potential Spend]]),IF(ISNUMBER(SnapshotTable[[#This Row],[SP POW]]), SnapshotTable[[#This Row],[SP POW]] * SnapshotTable[[#This Row],[SP Potential Spend]], SnapshotTable[[#This Row],[SP Potential Spend]]), "")</f>
        <v/>
      </c>
      <c r="CL81" s="164" t="e">
        <f>IF(NOT(SnapshotTable[[#This Row],[SP Is Filled]]),(SnapshotTable[[#This Row],[SP Qty]] * SnapshotTable[[#This Row],[SP Strike Price]] * 100) - SnapshotTable[[#This Row],[LP Max Value]],"")</f>
        <v>#VALUE!</v>
      </c>
      <c r="CM81" s="31" t="str">
        <f>IF(SnapshotTable[[#This Row],[SP Actual Spend]]&lt;&gt;0, ((SnapshotTable[[#This Row],[SP Strike Price]]-SnapshotTable[[#This Row],[Last Price]]) *(SnapshotTable[[#This Row],[SP Qty]]*100) - SnapshotTable[[#This Row],[SP Premium]]) * - 1, "")</f>
        <v/>
      </c>
      <c r="CN81" s="78"/>
      <c r="CO81" s="369"/>
      <c r="CP81" s="4" t="str">
        <f>IF(SnapshotTable[[#This Row],[SP Is Filled]], btc_max_buyback_amount(SnapshotTable[[#This Row],[SP Fill Date]],SnapshotTable[[#This Row],[SP Exp Date]], SnapshotTable[[#This Row],[SP Book Price]]),"")</f>
        <v/>
      </c>
      <c r="CQ81" s="78"/>
      <c r="CR8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1" s="155" t="str">
        <f>IF(SnapshotTable[[#This Row],[SP Is Filled]], btc_next_cutoff_date(SnapshotTable[[#This Row],[SP Fill Date]],SnapshotTable[[#This Row],[SP Exp Date]]),"")</f>
        <v/>
      </c>
      <c r="CT81" s="235" t="str" cm="1">
        <f t="array" ref="CT81">IF(SnapshotTable[[#This Row],[SP Is Filled]], btc_should_buy_back(SnapshotTable[[#This Row],[SP Fill Date]], SnapshotTable[[#This Row],[SP Exp Date]], SnapshotTable[[#This Row],[SP Book Price]], SnapshotTable[[#This Row],[SP Current Ask]], MockToday, SnapshotTable[[#This Row],[SP Buyback Override]]),"")</f>
        <v/>
      </c>
      <c r="CU81" s="143"/>
      <c r="CV81" s="235"/>
      <c r="CW81" s="378" t="str">
        <f>IF(ISNUMBER( SnapshotTable[[#This Row],[SP Term]]), SnapshotTable[[#This Row],[SP Exp Date]] - MockToday,"")</f>
        <v/>
      </c>
      <c r="CX81" s="31" t="str">
        <f>IF(SnapshotTable[[#This Row],[SP Is Filled]],SnapshotTable[[#This Row],[SP Buyback Price to Use]] * 100 * SnapshotTable[[#This Row],[SP Qty]], "")</f>
        <v/>
      </c>
      <c r="CY81" s="4" t="str">
        <f>IF(ISNUMBER(SnapshotTable[[#This Row],[SP Strike Price]]), SnapshotTable[[#This Row],[SP Strike Price]] * (1 - SP_MaxLoss_StrikePct), "")</f>
        <v/>
      </c>
      <c r="CZ81" s="31" t="str">
        <f>IF(ISNUMBER(SnapshotTable[[#This Row],[SP Strike  Stop Per Share]]),SnapshotTable[[#This Row],[SP Premium]] - ((SnapshotTable[[#This Row],[SP Strike Price]]-SnapshotTable[[#This Row],[SP Strike  Stop Per Share]]) *(SnapshotTable[[#This Row],[SP Qty]] * 100)),"")</f>
        <v/>
      </c>
      <c r="DA81" s="4" t="str">
        <f>IF(AND(ISNUMBER(SnapshotTable[[#This Row],[SP Premium]]),SnapshotTable[[#This Row],[SP Premium]]&gt;0), SnapshotTable[[#This Row],[SP Book Price]] * (1 + SP_MaxLoss_OptionPct), "")</f>
        <v/>
      </c>
      <c r="DB81" s="31" t="str">
        <f>IF(ISNUMBER(SnapshotTable[[#This Row],[SP Option  Stop Contract]]),(SnapshotTable[[#This Row],[SP Option  Stop Contract]] *(SnapshotTable[[#This Row],[SP Qty]] * 100) - SnapshotTable[[#This Row],[SP Premium]]),"")</f>
        <v/>
      </c>
      <c r="DC81" s="4"/>
      <c r="DD81" s="4"/>
      <c r="DE81" s="4" t="str">
        <f>IF(AND(SnapshotTable[[#This Row],[SP Qty]]&gt;0, SnapshotTable[[#This Row],[SP Stop To Use]]&gt;0),SnapshotTable[[#This Row],[SP Premium]] - ( SnapshotTable[[#This Row],[SP Qty]] * SnapshotTable[[#This Row],[SP Stop To Use]] * 100), "")</f>
        <v/>
      </c>
      <c r="DF81" s="31" t="str">
        <f>IF(AND(SnapshotTable[[#This Row],[SP Qty]]&gt;0,SnapshotTable[[#This Row],[SP Current Ask]]&gt;0), SnapshotTable[[#This Row],[SP Qty]] * SnapshotTable[[#This Row],[SP Current Ask]] * -100, "")</f>
        <v/>
      </c>
      <c r="DG81" s="31" t="str">
        <f>IF(ISNUMBER((SnapshotTable[[#This Row],[SP Total Value]])), SnapshotTable[[#This Row],[SP Premium]] + SnapshotTable[[#This Row],[SP Total Value]], "")</f>
        <v/>
      </c>
      <c r="DH81" s="294" t="str">
        <f>IF(ISNUMBER((SnapshotTable[[#This Row],[SP Total Value]])), SnapshotTable[[#This Row],[SP Gain Loss]] / SnapshotTable[[#This Row],[SP Premium]], "")</f>
        <v/>
      </c>
      <c r="DI81" s="406"/>
      <c r="DJ81" s="138"/>
      <c r="DK81" s="148"/>
      <c r="DL81" s="13"/>
      <c r="DM81" s="13"/>
      <c r="DO81" s="31">
        <f>IF(SnapshotTable[[#This Row],[LC Symbol Count]]=1, SnapshotTable[[#This Row],[LC Qty]] * SnapshotTable[[#This Row],[LC Book Price]] * 100, 0)</f>
        <v>0</v>
      </c>
      <c r="DP81" s="163" t="str">
        <f>IF(AND(SnapshotTable[[#This Row],[LC Exp Date]]&gt;0, SnapshotTable[[#This Row],[LC Strike Price]]&gt;0,SnapshotTable[[#This Row],[LC Qty]]&gt;0,SnapshotTable[[#This Row],[LC Book Date]]&gt;0,SnapshotTable[[#This Row],[LC Book Price]]&gt;0,SnapshotTable[[#This Row],[LC Fill Date]]=0),"Y","")</f>
        <v/>
      </c>
      <c r="DQ81" s="386" t="str">
        <f>IF(SnapshotTable[[#This Row],[LC Premium]] &gt; 0,SnapshotTable[[#This Row],[LC Exp Date]]-MAX(SnapshotTable[[#This Row],[LC Book Date]], SnapshotTable[[#This Row],[LC Fill Date]]),"")</f>
        <v/>
      </c>
      <c r="DR81" s="386" t="str">
        <f>IF(ISNUMBER(SnapshotTable[[#This Row],[LC Term]]), SnapshotTable[[#This Row],[LC Exp Date]] - MockToday, "")</f>
        <v/>
      </c>
      <c r="DS81" s="234" t="str">
        <f>IF(SnapshotTable[[#This Row],[LC Premium]]&gt;0,SnapshotTable[[#This Row],[LC Strike Price]] + SnapshotTable[[#This Row],[LC Book Price]],"")</f>
        <v/>
      </c>
      <c r="DU81" s="9" t="str">
        <f>IF(AND(SnapshotTable[[#This Row],[LC Symbol Count]]&gt;0, SnapshotTable[[#This Row],[LC Contract Value]]&gt;0), SnapshotTable[[#This Row],[LC Contract Value]] * SnapshotTable[[#This Row],[LC Qty]] * 100, "")</f>
        <v/>
      </c>
      <c r="DV81" s="9" t="str">
        <f>IF(AND(ISNUMBER(SnapshotTable[[#This Row],[LC Total Value]]), SnapshotTable[[#This Row],[LC Not Filled]]&lt;&gt;"Y"), SnapshotTable[[#This Row],[LC Total Value]]-SnapshotTable[[#This Row],[LC Premium]],"")</f>
        <v/>
      </c>
      <c r="DW81" s="240" t="str">
        <f>IF(ISNUMBER(SnapshotTable[[#This Row],[LC Actual Gain Loss]]), SnapshotTable[[#This Row],[LC Actual Gain Loss]] / SnapshotTable[[#This Row],[LC Premium]],"")</f>
        <v/>
      </c>
      <c r="DX81" s="284" t="str">
        <f>IF(ISNUMBER(SnapshotTable[[#This Row],[LC Book Price]]),SnapshotTable[[#This Row],[LC Book Price]] * 1.5,"")</f>
        <v/>
      </c>
      <c r="DY81" s="265" t="str">
        <f>IF(SnapshotTable[[#This Row],[LC Premium]]&gt;0, SnapshotTable[[#This Row],[LC Next Target]] * SnapshotTable[[#This Row],[LC Qty]] * 100,"")</f>
        <v/>
      </c>
      <c r="DZ81" s="265" t="str">
        <f>IF(ISNUMBER(SnapshotTable[[#This Row],[LC Target Gross]]), SnapshotTable[[#This Row],[LC Target Gross]] - SnapshotTable[[#This Row],[LC Premium]], "")</f>
        <v/>
      </c>
      <c r="EA81" s="305" t="str">
        <f>IF(ISNUMBER(SnapshotTable[[#This Row],[LC Target Gain Loss]]), SnapshotTable[[#This Row],[LC Target Gain Loss]]/SnapshotTable[[#This Row],[LC Premium]], "")</f>
        <v/>
      </c>
      <c r="EB81" s="262"/>
      <c r="EC81" s="283" t="str">
        <f>IF(SnapshotTable[[#This Row],[LC Premium]]&gt;0, SnapshotTable[[#This Row],[LC Book Price]] * (1 - LC_StopLoss_Pct),"")</f>
        <v/>
      </c>
      <c r="ED81" s="284"/>
      <c r="EE81" s="283" t="str">
        <f>IF(ISNUMBER(SnapshotTable[[#This Row],[LC Contract Value]]),IF(ISNUMBER(SnapshotTable[[#This Row],[LC Stop Loss Override]]), SnapshotTable[[#This Row],[LC Stop Loss Override]],SnapshotTable[[#This Row],[LC Stop Loss Calc Target]]),"")</f>
        <v/>
      </c>
      <c r="EF81" s="31" t="str">
        <f>IF(ISNUMBER(SnapshotTable[[#This Row],[LC Stop  To Use]]), (SnapshotTable[[#This Row],[LC Stop  To Use]] * SnapshotTable[[#This Row],[LC Qty]] * 100),"")</f>
        <v/>
      </c>
      <c r="EG81" s="9" t="str">
        <f>IF(ISNUMBER(SnapshotTable[[#This Row],[LC Total Value]]),SnapshotTable[[#This Row],[LC Stop Loss Amount]] - SnapshotTable[[#This Row],[LC Premium]],"")</f>
        <v/>
      </c>
      <c r="EH81" s="9">
        <f>IF(ISNUMBER(SnapshotTable[[#This Row],[LC Premium]]), SnapshotTable[[#This Row],[LC Qty]] * 100 * SnapshotTable[[#This Row],[LC Strike Price]], "")</f>
        <v>0</v>
      </c>
      <c r="EI81" s="240" t="str">
        <f>IF(AND(ISNUMBER(SnapshotTable[[#This Row],[LC Total Value]]),SnapshotTable[[#This Row],[LC Total Value]]&gt;0),SnapshotTable[[#This Row],[LC Stop Gain Loss]]  / SnapshotTable[[#This Row],[LC Premium]],"")</f>
        <v/>
      </c>
      <c r="EJ81" s="35">
        <f>IF(ISNUMBER(SnapshotTable[[#This Row],[Equity Shares]]),TRUNC(SnapshotTable[[#This Row],[Equity Shares]] / 100),0) + SnapshotTable[[#This Row],[LC Qty]]</f>
        <v>0</v>
      </c>
      <c r="EK81" s="147"/>
      <c r="EL81" s="138" t="str">
        <f>IF(SnapshotTable[[#This Row],[SC Exp Date]]&lt;&gt;"",TRUNC(SnapshotTable[[#This Row],[Last Price]]),"")</f>
        <v/>
      </c>
      <c r="EM81" s="148"/>
      <c r="EN81" s="147"/>
      <c r="EO81" s="147"/>
      <c r="EP81" s="138"/>
      <c r="EQ81" s="419" t="b">
        <f>AND(ISNUMBER(SnapshotTable[[#This Row],[SC Exp Date]]), ISNUMBER(SnapshotTable[[#This Row],[SC Strike Price]]), ISNUMBER(SnapshotTable[[#This Row],[SC Qty]]), ISNUMBER(SnapshotTable[[#This Row],[SC Book Date]]), ISNUMBER(SnapshotTable[[#This Row],[SC Book Price]]))</f>
        <v>0</v>
      </c>
      <c r="ER81" s="419" t="b">
        <f>AND(SnapshotTable[[#This Row],[SC Is Booked]], NOT(ISBLANK(SnapshotTable[[#This Row],[SC Fill Date]])))</f>
        <v>0</v>
      </c>
      <c r="ES81" s="370"/>
      <c r="ET81" s="34" t="str">
        <f>IF(AND(ISNUMBER(SnapshotTable[[#This Row],[SC Exp Date]]), ISNUMBER(SnapshotTable[[#This Row],[SC Book Date]])), SnapshotTable[[#This Row],[SC Exp Date]] - MAX(SnapshotTable[[#This Row],[SC Book Date]], SnapshotTable[[#This Row],[SC Fill Date]]) + 1, "")</f>
        <v/>
      </c>
      <c r="EU81" s="34" t="str">
        <f>IF(ISNUMBER(SnapshotTable[[#This Row],[SC Term]]), SnapshotTable[[#This Row],[SC Exp Date]]- MockToday, "")</f>
        <v/>
      </c>
      <c r="EV81" s="31">
        <f>IF(SnapshotTable[[#This Row],[SC Is Booked]], SnapshotTable[[#This Row],[SC Qty]] * SnapshotTable[[#This Row],[SC Book Price]] * 100, 0)</f>
        <v>0</v>
      </c>
      <c r="EW81" s="4" t="str">
        <f>IF(AND(ISNUMBER(SnapshotTable[[#This Row],[Last Price]]), ISNUMBER( SnapshotTable[[#This Row],[SC Book Price]])), SnapshotTable[[#This Row],[Last Price]] - SnapshotTable[[#This Row],[SC Book Price]],"")</f>
        <v/>
      </c>
      <c r="EX81" s="234" t="str">
        <f>IF(SnapshotTable[[#This Row],[SC Is Booked]],IF(SnapshotTable[[#This Row],[SC Intrinsic Value]] &gt; 0, SnapshotTable[[#This Row],[SC Strike Price]], SnapshotTable[[#This Row],[Last Price]]), "")</f>
        <v/>
      </c>
      <c r="EY81" s="4">
        <f>IF(SnapshotTable[[#This Row],[SC Is Booked]], (MinimumPremiumRequired * SnapshotTable[[#This Row],[SC Basis]] * SnapshotTable[[#This Row],[SC Term]]), 0)</f>
        <v>0</v>
      </c>
      <c r="EZ81" s="283"/>
      <c r="FA81" s="218"/>
      <c r="FB81" s="370"/>
      <c r="FC81" s="4">
        <f>IF(SnapshotTable[[#This Row],[SC Is Filled]], btc_max_buyback_amount(SnapshotTable[[#This Row],[SC Fill Date]],SnapshotTable[[#This Row],[SC Exp Date]], SnapshotTable[[#This Row],[SC Book Price]]),0)</f>
        <v>0</v>
      </c>
      <c r="FD81" s="5"/>
      <c r="FE81" s="144" t="str">
        <f>IF(SnapshotTable[[#This Row],[SC Is Filled]], btc_next_cutoff_date(SnapshotTable[[#This Row],[SC Fill Date]],SnapshotTable[[#This Row],[SC Exp Date]]),"")</f>
        <v/>
      </c>
      <c r="FF81" s="4" t="str" cm="1">
        <f t="array" ref="FF81">IF(SnapshotTable[[#This Row],[SC Is Filled]], btc_should_buy_back(SnapshotTable[[#This Row],[SC Fill Date]], SnapshotTable[[#This Row],[SC Exp Date]], SnapshotTable[[#This Row],[SC Book Price]], SnapshotTable[[#This Row],[SC Current Ask]], MockToday, SnapshotTable[[#This Row],[SC Buyback Override]]),"")</f>
        <v/>
      </c>
      <c r="FG81" s="4">
        <f>IF(SnapshotTable[[#This Row],[SC Is Filled]], MAX(0,SnapshotTable[[#This Row],[Last Price]]  - SnapshotTable[[#This Row],[SC Strike Price]]), 0)</f>
        <v>0</v>
      </c>
      <c r="FH81" s="382">
        <f>IF(SnapshotTable[[#This Row],[SC Is Filled]], IF(ISNUMBER(SnapshotTable[[#This Row],[SC Current Ask]]), SnapshotTable[[#This Row],[SC Current Ask]], SnapshotTable[[#This Row],[SC Book Price]]) - SnapshotTable[[#This Row],[SC Intrinsic Value]], 0)</f>
        <v>0</v>
      </c>
      <c r="FI81" s="143"/>
      <c r="FJ81" s="32" t="str">
        <f>IF(SnapshotTable[[#This Row],[SC Is Filled]],100 * SnapshotTable[[#This Row],[SC Qty]] * IF(ISNUMBER(SnapshotTable[[#This Row],[SC Buyback Override]]), SnapshotTable[[#This Row],[SC Buyback Override]], SnapshotTable[[#This Row],[SC Current Ask]]), "")</f>
        <v/>
      </c>
      <c r="FK81" s="250" t="str">
        <f>IF(SnapshotTable[[#This Row],[SC Time Val]]&gt;0, SnapshotTable[[#This Row],[SC Time Val]] / SnapshotTable[[#This Row],[Last Price]],"")</f>
        <v/>
      </c>
      <c r="FL81" s="302" t="str">
        <f>IF(SnapshotTable[[#This Row],[SC Is Booked]], ((SnapshotTable[[#This Row],[Last Price]] -SnapshotTable[[#This Row],[SC Strike Price]]) / SnapshotTable[[#This Row],[Last Price]]) * -1, "")</f>
        <v/>
      </c>
      <c r="FM81" s="157" t="str">
        <f>IF(SnapshotTable[[#This Row],[SC Is Booked]],  (SnapshotTable[[#This Row],[SC Qty]] * 100 * SnapshotTable[[#This Row],[SC Strike Price]]) - SnapshotTable[[#This Row],[SC Current Ask]], "")</f>
        <v/>
      </c>
      <c r="FN8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1" s="31" t="str">
        <f>IF(AND(ISNUMBER(SnapshotTable[[#This Row],[SC Exercise Gross]]), ISNUMBER(SnapshotTable[[#This Row],[Equity Basis Per Share]] )), SnapshotTable[[#This Row],[SC Exercise Gross]] - SnapshotTable[[#This Row],[Equity Basis Total]] +  SnapshotTable[[#This Row],[SC Premium]], "")</f>
        <v/>
      </c>
      <c r="FP81" s="5" t="str">
        <f>IF(ISNUMBER(SnapshotTable[[#This Row],[SC Exercise Gross]]), (SnapshotTable[[#This Row],[SC Exercise Gross]]) / (SnapshotTable[[#This Row],[SC Qty]] * 100), "")</f>
        <v/>
      </c>
      <c r="FQ81" s="27" t="str">
        <f>IF(SnapshotTable[[#This Row],[SC Is Booked]],SnapshotTable[[#This Row],[SC Time Val]] /SnapshotTable[[#This Row],[SC Basis]], "")</f>
        <v/>
      </c>
      <c r="FR81" s="27" t="str" cm="1">
        <f t="array" ref="FR81">IF(AND(ISNUMBER(SnapshotTable[[#This Row],[SC Term]]),ISNUMBER(SnapshotTable[[#This Row],[SC Simple ROO]])), EllmanAnnualize(SnapshotTable[[#This Row],[SC DTE]], SnapshotTable[[#This Row],[SC Simple ROO]] ),"")</f>
        <v/>
      </c>
      <c r="FS81" s="4" t="e">
        <f>IF(SnapshotTable[[#This Row],[SC Strike Price]] &gt; SnapshotTable[[#This Row],[Last Price]], SnapshotTable[[#This Row],[SC Strike Price]] - SnapshotTable[[#This Row],[Last Price]],0)</f>
        <v>#VALUE!</v>
      </c>
      <c r="FT81" s="27" t="e">
        <f>IF(AND(ISNUMBER(SnapshotTable[[#This Row],[SC Upside Potential]]), SnapshotTable[[#This Row],[SC Upside Potential]] &gt; 0),(SnapshotTable[[#This Row],[SC Upside Potential]]/ SnapshotTable[[#This Row],[ACB]]),"")</f>
        <v>#VALUE!</v>
      </c>
      <c r="FU81" s="333" t="str">
        <f>IF(SnapshotTable[[#This Row],[SC Intrinsic Value]] &gt; 0,SnapshotTable[[#This Row],[SC Intrinsic Value]],"")</f>
        <v/>
      </c>
      <c r="FV81" s="27" t="str">
        <f>IF(AND( ISNUMBER( SnapshotTable[[#This Row],[ACB]]),ISNUMBER(SnapshotTable[[#This Row],[SC Downside Protect]])),SnapshotTable[[#This Row],[SC Downside Protect]] / SnapshotTable[[#This Row],[ACB]],"")</f>
        <v/>
      </c>
      <c r="FW81" s="236" t="str">
        <f>IF(AND(ISNUMBER(SnapshotTable[[#This Row],[SC Simple ROO]]),SnapshotTable[[#This Row],[SC Simple ROO]] &gt; 0), SnapshotTable[[#This Row],[SC Premium]] + (SnapshotTable[[#This Row],[SC Qty]] * SnapshotTable[[#This Row],[SC Upside Potential]]), "")</f>
        <v/>
      </c>
      <c r="FX81" s="302" t="str" cm="1">
        <f t="array" ref="FX81">IF(ISNUMBER(SnapshotTable[[#This Row],[SC Max Dollars]]), annualize(SnapshotTable[[#This Row],[SC Term]],(SnapshotTable[[#This Row],[SC Max Dollars]]/SnapshotTable[[#This Row],[SC Basis]])),"")</f>
        <v/>
      </c>
      <c r="FY81" s="236" t="str">
        <f>IF(AND(SnapshotTable[[#This Row],[SC Qty]]&gt;0,SnapshotTable[[#This Row],[SC Current Ask]]&gt;0), SnapshotTable[[#This Row],[SC Qty]] * SnapshotTable[[#This Row],[SC Current Ask]] * -100, "")</f>
        <v/>
      </c>
      <c r="FZ81" s="31" t="str">
        <f>IF(ISNUMBER((SnapshotTable[[#This Row],[SC Current Value]])), SnapshotTable[[#This Row],[SC Premium]] + SnapshotTable[[#This Row],[SC Current Value]], "")</f>
        <v/>
      </c>
      <c r="GA81" s="294" t="str">
        <f>IFERROR( IF(ISNUMBER((SnapshotTable[[#This Row],[SC Current Value]])), SnapshotTable[[#This Row],[SC Gain Loss]] / SnapshotTable[[#This Row],[SC Premium]], ""), "")</f>
        <v/>
      </c>
      <c r="GB81" s="42">
        <f>SnapshotTable[[#This Row],[Equity Shares]] * SaleSharesToConsiderPercentage</f>
        <v>0</v>
      </c>
      <c r="GC81" s="40">
        <f>SnapshotTable[[#This Row],[Long Term Target]] * SellingPriceToConsiderBasedOnTargetPercentage</f>
        <v>99.75</v>
      </c>
      <c r="GD81" s="40">
        <f>SnapshotTable[[#This Row],[Last Price]] * (1+ SellingPriceToConsiderBasedOnTargetPercentage)</f>
        <v>249.42449999999999</v>
      </c>
      <c r="GE81" s="41"/>
      <c r="GF81" s="40"/>
      <c r="GG81" s="31">
        <f>SnapshotTable[[#This Row],[Booked Sale Shares]] * SnapshotTable[[#This Row],[Booked Sale Price]]</f>
        <v>0</v>
      </c>
      <c r="GH81" s="31" t="str">
        <f>IF(SnapshotTable[[#This Row],[Equity Basis Total]] &gt; 0, SnapshotTable[[#This Row],[Equity Basis Per Share]] * SnapshotTable[[#This Row],[Booked Sale Shares]], "")</f>
        <v/>
      </c>
      <c r="GI81" s="31">
        <f>IF(SnapshotTable[[#This Row],[Sale Proceeds]]&gt;0, SnapshotTable[[#This Row],[Sale Proceeds]] - SnapshotTable[[#This Row],[Sale Basis]], 0)</f>
        <v>0</v>
      </c>
      <c r="GJ81" s="27" t="str">
        <f>IF(SnapshotTable[[#This Row],[Sale G/L]]&gt;0, SnapshotTable[[#This Row],[Sale G/L]] / SnapshotTable[[#This Row],[Sale Basis]], IF(ISNUMBER(SnapshotTable[[#This Row],[SC Exercise P&amp;L (TAX)]]), SnapshotTable[[#This Row],[SC Exercise P&amp;L (TAX)]] / SnapshotTable[[#This Row],[SC Basis]], ""))</f>
        <v/>
      </c>
      <c r="GK81" s="27" t="s">
        <v>660</v>
      </c>
      <c r="GL81" s="43" t="str">
        <f>IF(AND(SnapshotTable[[#This Row],[LP Exp Date]]&gt;0,SnapshotTable[[#This Row],[LP Strike Price]]&gt;0), [1]!ToOptionSymbol(SnapshotTable[[#This Row],[Symbol]], SnapshotTable[[#This Row],[LP Strike Price]],SnapshotTable[[#This Row],[LP Exp Date]],1), "")</f>
        <v/>
      </c>
      <c r="GM81" s="30" t="str">
        <f>IF(LEN(SnapshotTable[[#This Row],[LP Symbol]])&gt;0, 1, "")</f>
        <v/>
      </c>
      <c r="GN81" s="43" t="str">
        <f>IF(AND(SnapshotTable[[#This Row],[SP Exp Date]]&gt;0,SnapshotTable[[#This Row],[SP Strike Price]]&gt;0), [1]!ToOptionSymbol(SnapshotTable[[#This Row],[Symbol]], SnapshotTable[[#This Row],[SP Strike Price]],SnapshotTable[[#This Row],[SP Exp Date]],1), "")</f>
        <v/>
      </c>
      <c r="GO81" s="30" t="str">
        <f>IF(LEN(SnapshotTable[[#This Row],[SP Symbol]])&gt;0, 1, "")</f>
        <v/>
      </c>
      <c r="GP81" s="43" t="str">
        <f>IF(AND(SnapshotTable[[#This Row],[LC Exp Date]]&gt;0,SnapshotTable[[#This Row],[LC Strike Price]]&gt;0), [1]!ToOptionSymbol(SnapshotTable[[#This Row],[Symbol]], SnapshotTable[[#This Row],[LC Strike Price]],SnapshotTable[[#This Row],[LC Exp Date]],0), "")</f>
        <v/>
      </c>
      <c r="GQ81" s="30" t="str">
        <f>IF(LEN(SnapshotTable[[#This Row],[LC Symbol]])&gt;0, 1, "")</f>
        <v/>
      </c>
      <c r="GR81" s="43" t="str">
        <f>IF(AND(SnapshotTable[[#This Row],[SC Exp Date]]&gt;0,SnapshotTable[[#This Row],[SC Strike Price]]&gt;0), [1]!ToOptionSymbol(SnapshotTable[[#This Row],[Symbol]], SnapshotTable[[#This Row],[SC Strike Price]],SnapshotTable[[#This Row],[SC Exp Date]],0), "")</f>
        <v/>
      </c>
      <c r="GS81" s="30" t="str">
        <f>IF(LEN(SnapshotTable[[#This Row],[SC Symbol]])&gt;0, 1, "")</f>
        <v/>
      </c>
      <c r="GT81" s="29" t="str">
        <f>IF(COUNT(SnapshotTable[[#This Row],[LP Symbol Count]],SnapshotTable[[#This Row],[SP Symbol Count]],SnapshotTable[[#This Row],[LC Symbol Count]],SnapshotTable[[#This Row],[SC Symbol Count]])&gt;0, "Y", "")</f>
        <v/>
      </c>
      <c r="GU8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1" s="231" t="e">
        <f>MAX(SnapshotTable[[#This Row],[Equity Basis Total]],SnapshotTable[[#This Row],[Equity Value]]) + (SnapshotTable[[#This Row],[SP Potential Spend]]- SnapshotTable[[#This Row],[SP Premium]] + SnapshotTable[[#This Row],[LP Premium]])+ (SnapshotTable[[#This Row],[LC Premium]] - SnapshotTable[[#This Row],[SC Premium]])</f>
        <v>#VALUE!</v>
      </c>
      <c r="GW81" s="139" t="e">
        <f>IF(AND(SnapshotTable[[#This Row],[Exposure]] &lt;&gt; 0),SnapshotTable[[#This Row],[Exposure]] / SnapshotTable[[#Totals],[Exposure]], "")</f>
        <v>#VALUE!</v>
      </c>
      <c r="HE81" s="268"/>
      <c r="HF81" s="268"/>
      <c r="HK81" s="1"/>
      <c r="HL81" s="1"/>
      <c r="HM81" s="1"/>
      <c r="HN81" s="1"/>
      <c r="HO81" s="1"/>
      <c r="HP81" s="1"/>
    </row>
    <row r="82" spans="2:224" ht="12.75" hidden="1" customHeight="1" x14ac:dyDescent="0.25">
      <c r="B82" s="12" t="s">
        <v>965</v>
      </c>
      <c r="C82" s="422">
        <v>21.52</v>
      </c>
      <c r="D82" s="208" t="s">
        <v>578</v>
      </c>
      <c r="E82" s="39">
        <f>SnapshotTable[[#This Row],[Last Price]]*(1 -CrashDiscount)</f>
        <v>18.291999999999998</v>
      </c>
      <c r="F82" s="26" t="s">
        <v>904</v>
      </c>
      <c r="G82" s="26" t="s">
        <v>610</v>
      </c>
      <c r="H82" s="149"/>
      <c r="I82" s="194">
        <v>44804.670138888891</v>
      </c>
      <c r="J82" s="195">
        <v>44804.670138888891</v>
      </c>
      <c r="K82" s="196"/>
      <c r="L82" s="326"/>
      <c r="M82" s="140"/>
      <c r="N82" s="140"/>
      <c r="O82" s="140"/>
      <c r="P82" s="22"/>
      <c r="Q82" s="25"/>
      <c r="R82" s="4" t="str">
        <f>IF(SnapshotTable[[#This Row],[Equity Basis Total]] &gt; 0, SnapshotTable[[#This Row],[Equity Basis Total]] / SnapshotTable[[#This Row],[Equity Shares]], "")</f>
        <v/>
      </c>
      <c r="S82" s="269">
        <f>SnapshotTable[[#This Row],[Last Price]] * SnapshotTable[[#This Row],[Equity Shares]]</f>
        <v>0</v>
      </c>
      <c r="T82" s="269">
        <f>SnapshotTable[[#This Row],[Equity Value]] - SnapshotTable[[#This Row],[Equity Basis Total]]</f>
        <v>0</v>
      </c>
      <c r="U82" s="270" t="str">
        <f>IF(SnapshotTable[[#This Row],[Equity Basis Total]] &gt; 0, SnapshotTable[[#This Row],[Equity G/L]] / SnapshotTable[[#This Row],[Equity Basis Total]], "")</f>
        <v/>
      </c>
      <c r="V82" s="268"/>
      <c r="W82" s="268"/>
      <c r="X82" s="4" t="str">
        <f>IF(AND(ISNUMBER(SnapshotTable[[#This Row],[Equity Basis Per Share]]),ISNUMBER(SnapshotTable[[#This Row],[Equity Target]])),SnapshotTable[[#This Row],[Equity Target]]-SnapshotTable[[#This Row],[Equity Basis Per Share]],"")</f>
        <v/>
      </c>
      <c r="Y82" s="4" t="str">
        <f>IF(AND(ISNUMBER(SnapshotTable[[#This Row],[Equity Basis Per Share]]),ISNUMBER(SnapshotTable[[#This Row],[Equity Stop Loss]])),SnapshotTable[[#This Row],[Equity Stop Loss]]-SnapshotTable[[#This Row],[Equity Basis Per Share]],"")</f>
        <v/>
      </c>
      <c r="Z82" s="275" t="str">
        <f>IFERROR( TEXT(SnapshotTable[[#This Row],[Equity Max Gain Per Share]] /ABS( SnapshotTable[[#This Row],[Equity Max Loss Per Share]]),"0.0 " ) &amp; " : 1", "")</f>
        <v/>
      </c>
      <c r="AA82" s="31" t="str">
        <f>IF(ISNUMBER(SnapshotTable[[#This Row],[Equity Max Gain Per Share]]),SnapshotTable[[#This Row],[Equity Max Gain Per Share]] * SnapshotTable[[#This Row],[Equity Shares]],"")</f>
        <v/>
      </c>
      <c r="AB82" s="31" t="str">
        <f>IF(ISNUMBER(SnapshotTable[[#This Row],[Equity Max Loss Per Share]]),SnapshotTable[[#This Row],[Equity Max Loss Per Share]] * SnapshotTable[[#This Row],[Equity Shares]],"")</f>
        <v/>
      </c>
      <c r="AC82" s="150"/>
      <c r="AD82" s="151"/>
      <c r="AE82" s="31">
        <f>(SnapshotTable[[#This Row],[Annual Dividend Per Share]] / 4) * SnapshotTable[[#This Row],[Equity Shares]]</f>
        <v>0</v>
      </c>
      <c r="AF82" s="31">
        <f>SnapshotTable[[#This Row],[Quarterly Div $]] * 4</f>
        <v>0</v>
      </c>
      <c r="AG82" s="7">
        <f>IF(SnapshotTable[[#This Row],[Annual Dividend Per Share]]&gt;0, SnapshotTable[[#This Row],[Annual Dividend Per Share]]  / SnapshotTable[[#This Row],[Last Price]], 0)</f>
        <v>0</v>
      </c>
      <c r="AH82" s="151"/>
      <c r="AI82" s="5"/>
      <c r="AJ82" s="138">
        <v>101.42</v>
      </c>
      <c r="AK82" s="152" t="str">
        <f>IF(ISNUMBER( SnapshotTable[[#This Row],[EBF Target]]),(SnapshotTable[[#This Row],[EBF Target]] - SnapshotTable[[#This Row],[Last Price]]) / SnapshotTable[[#This Row],[Last Price]], "")</f>
        <v/>
      </c>
      <c r="AL82" s="152" t="str">
        <f>IF(AND(SnapshotTable[[#This Row],[Equity Basis Total]] &gt; 0,ISNUMBER( SnapshotTable[[#This Row],[Long Term Target]])), SnapshotTable[[#This Row],[From Basis $]] / SnapshotTable[[#This Row],[Equity Basis Total]], "")</f>
        <v/>
      </c>
      <c r="AM82" s="9">
        <f>IF( AND(SnapshotTable[[#This Row],[Equity Shares]] &gt;0,ISNUMBER( SnapshotTable[[#This Row],[Long Term Target]])),(SnapshotTable[[#This Row],[Equity Shares]] * SnapshotTable[[#This Row],[Long Term Target]]) - SnapshotTable[[#This Row],[Equity Basis Total]],0)</f>
        <v>0</v>
      </c>
      <c r="AN82" s="9">
        <f>IF( AND(SnapshotTable[[#This Row],[Equity Shares]] &gt;0,ISNUMBER( SnapshotTable[[#This Row],[Long Term Target]])),(SnapshotTable[[#This Row],[Equity Shares]]*SnapshotTable[[#This Row],[Long Term Target]]) - SnapshotTable[[#This Row],[Equity Value]],0)</f>
        <v>0</v>
      </c>
      <c r="AO82" s="152">
        <f>IF(AND(ISNUMBER( SnapshotTable[[#This Row],[Long Term Target]]), ISNUMBER(SnapshotTable[[#This Row],[Last Price]])),(SnapshotTable[[#This Row],[Long Term Target]] - SnapshotTable[[#This Row],[Last Price]]) / SnapshotTable[[#This Row],[Last Price]], "")</f>
        <v>3.7128252788104095</v>
      </c>
      <c r="AP82" s="5">
        <v>120</v>
      </c>
      <c r="AQ82" s="38" t="s">
        <v>46</v>
      </c>
      <c r="AR82" s="5">
        <v>106.83</v>
      </c>
      <c r="AS82" s="38" t="s">
        <v>32</v>
      </c>
      <c r="AT82" s="146"/>
      <c r="AU82" s="187" t="str">
        <f>IF(OR(SnapshotTable[[#This Row],[LP No Fill]]="Y",SnapshotTable[[#This Row],[SP Is Filled]],SnapshotTable[[#This Row],[LC Not Filled]]="Y",SnapshotTable[[#This Row],[SC Is Filled]]),"Y","")</f>
        <v/>
      </c>
      <c r="AV82" s="219"/>
      <c r="AW82" s="225"/>
      <c r="AX82" s="220"/>
      <c r="AY82" s="219" t="str">
        <f>IF(SnapshotTable[[#This Row],[Implied Move]]&gt;0, SnapshotTable[[#This Row],[Last Price]]-SnapshotTable[[#This Row],[Implied Move]],"")</f>
        <v/>
      </c>
      <c r="AZ82" s="219" t="str">
        <f>IF(SnapshotTable[[#This Row],[Implied Move]]&gt;0, SnapshotTable[[#This Row],[Last Price]] + SnapshotTable[[#This Row],[Implied Move]],"")</f>
        <v/>
      </c>
      <c r="BA82" s="331">
        <v>37.56</v>
      </c>
      <c r="BB82" s="347"/>
      <c r="BC8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2" s="351"/>
      <c r="BE82" s="174"/>
      <c r="BF82" s="175"/>
      <c r="BG82" s="176"/>
      <c r="BH82" s="176"/>
      <c r="BI82" s="5"/>
      <c r="BJ82" s="153">
        <f>IF(SnapshotTable[[#This Row],[LP Qty]] &gt; 0, SnapshotTable[[#This Row],[LP Qty]] * SnapshotTable[[#This Row],[LP Book Price]] * 100,0)</f>
        <v>0</v>
      </c>
      <c r="BK82" s="136">
        <f>IF(SnapshotTable[[#This Row],[LP Premium]] &gt; 0, SnapshotTable[[#This Row],[LP Qty]] * SnapshotTable[[#This Row],[LP Strike Price]] * 100,0)</f>
        <v>0</v>
      </c>
      <c r="BL82" s="154"/>
      <c r="BM82" s="385" t="str">
        <f>IF(SnapshotTable[[#This Row],[LP Premium]] &gt; 0,SnapshotTable[[#This Row],[LP Exp Date]]-MAX(SnapshotTable[[#This Row],[LP Book Date]], SnapshotTable[[#This Row],[LP Fill Date]]),"")</f>
        <v/>
      </c>
      <c r="BN82" s="385" t="str">
        <f>IF(ISNUMBER( SnapshotTable[[#This Row],[LP Term]]), SnapshotTable[[#This Row],[LP Exp Date]] - MockToday,"")</f>
        <v/>
      </c>
      <c r="BO82" s="163" t="str">
        <f>IF(AND(SnapshotTable[[#This Row],[LP Exp Date]]&gt;0, SnapshotTable[[#This Row],[LP Strike Price]]&gt;0,SnapshotTable[[#This Row],[LP Qty]]&gt;0,SnapshotTable[[#This Row],[LP Book Date]]&gt;0,SnapshotTable[[#This Row],[LP Book Price]]&gt;0,SnapshotTable[[#This Row],[LP Fill Date]]=0),"Y","")</f>
        <v/>
      </c>
      <c r="BP82" s="31" t="str">
        <f>IF(AND(SnapshotTable[[#This Row],[LP No Fill]]&lt;&gt;"Y",SnapshotTable[[#This Row],[LP Contract Value]]&gt;0, SnapshotTable[[#This Row],[LP Qty]]&gt;0), SnapshotTable[[#This Row],[LP Contract Value]]*SnapshotTable[[#This Row],[LP Qty]]*100,"")</f>
        <v/>
      </c>
      <c r="BQ82" s="13"/>
      <c r="BR82" s="5" t="str">
        <f>IF(SnapshotTable[[#This Row],[SP Exp Date]]&lt;&gt;"",TRUNC(SnapshotTable[[#This Row],[Last Price]]),"")</f>
        <v/>
      </c>
      <c r="BS82" s="36"/>
      <c r="BT82" s="147"/>
      <c r="BU82" s="13"/>
      <c r="BV82" s="5"/>
      <c r="BW82" s="419" t="b">
        <f>AND(ISNUMBER(SnapshotTable[[#This Row],[SP Exp Date]]), ISNUMBER(SnapshotTable[[#This Row],[SP Strike Price]]), ISNUMBER(SnapshotTable[[#This Row],[SP Qty]]), ISNUMBER(SnapshotTable[[#This Row],[SP Book Date]]), ISNUMBER(SnapshotTable[[#This Row],[SP Book Price]]))</f>
        <v>0</v>
      </c>
      <c r="BX82" s="419" t="b">
        <f>AND(SnapshotTable[[#This Row],[SP Is Booked]], NOT(ISBLANK(SnapshotTable[[#This Row],[SP Fill Date]])))</f>
        <v>0</v>
      </c>
      <c r="BY82" s="33">
        <f>IF(SnapshotTable[[#This Row],[SP Is Booked]], SnapshotTable[[#This Row],[SP Qty]] * SnapshotTable[[#This Row],[SP Book Price]] * 100, 0)</f>
        <v>0</v>
      </c>
      <c r="BZ82" s="369"/>
      <c r="CA82" s="368">
        <f>SnapshotTable[[#This Row],[LP Qty]]</f>
        <v>0</v>
      </c>
      <c r="CB82" s="4" t="str">
        <f>IF(SnapshotTable[[#This Row],[SP Is Booked]], SnapshotTable[[#This Row],[SP Strike Price]] - SnapshotTable[[#This Row],[SP Book Price]], "")</f>
        <v/>
      </c>
      <c r="CC82" s="19" t="str">
        <f>IF(SnapshotTable[[#This Row],[SP Is Booked]],SnapshotTable[[#This Row],[SP Exp Date]]-MAX(SnapshotTable[[#This Row],[SP Book Date]], SnapshotTable[[#This Row],[SP Fill Date]]),"")</f>
        <v/>
      </c>
      <c r="CD82" s="7" t="str">
        <f>IF(SnapshotTable[[#This Row],[SP Is Booked]], SnapshotTable[[#This Row],[SP Book Price]]/SnapshotTable[[#This Row],[SP Strike Price]], "")</f>
        <v/>
      </c>
      <c r="CE82" s="7" t="str">
        <f>IF(ISNUMBER(SnapshotTable[[#This Row],[SP ROO Term]]),SnapshotTable[[#This Row],[SP ROO Term]]*(365/SnapshotTable[[#This Row],[SP Term]]),"")</f>
        <v/>
      </c>
      <c r="CF82" s="236">
        <f>SnapshotTable[[#This Row],[LP Strike Price]] * SnapshotTable[[#This Row],[LP Qty]] * 100</f>
        <v>0</v>
      </c>
      <c r="CG82" s="31" t="e">
        <f>IF(ISNUMBER(SnapshotTable[[#This Row],[SP Premium]]), (SnapshotTable[[#This Row],[SP Qty]] * SnapshotTable[[#This Row],[SP Strike Price]]* 100) - SnapshotTable[[#This Row],[LP Protection]], 0)</f>
        <v>#VALUE!</v>
      </c>
      <c r="CH82" s="7" t="str">
        <f>IF(ISNUMBER(SnapshotTable[[#This Row],[SP Break Even]]),-1 * (SnapshotTable[[#This Row],[SP Break Even]] - SnapshotTable[[#This Row],[Last Price]]) / SnapshotTable[[#This Row],[Last Price]], "")</f>
        <v/>
      </c>
      <c r="CI82" s="31">
        <f>IF(AND(ISNUMBER((SnapshotTable[[#This Row],[SP Potential Spend]])), SnapshotTable[[#This Row],[SP Strike Price]] &gt; SnapshotTable[[#This Row],[Last Price]], SnapshotTable[[#This Row],[SP Is Filled]]), SnapshotTable[[#This Row],[SP Potential Spend]] -  SnapshotTable[[#This Row],[LP Max Value]], 0)</f>
        <v>0</v>
      </c>
      <c r="CJ82" s="244"/>
      <c r="CK82" s="31" t="str">
        <f>IF(ISNUMBER(SnapshotTable[[#This Row],[SP Potential Spend]]),IF(ISNUMBER(SnapshotTable[[#This Row],[SP POW]]), SnapshotTable[[#This Row],[SP POW]] * SnapshotTable[[#This Row],[SP Potential Spend]], SnapshotTable[[#This Row],[SP Potential Spend]]), "")</f>
        <v/>
      </c>
      <c r="CL82" s="164" t="e">
        <f>IF(NOT(SnapshotTable[[#This Row],[SP Is Filled]]),(SnapshotTable[[#This Row],[SP Qty]] * SnapshotTable[[#This Row],[SP Strike Price]] * 100) - SnapshotTable[[#This Row],[LP Max Value]],"")</f>
        <v>#VALUE!</v>
      </c>
      <c r="CM82" s="31" t="str">
        <f>IF(SnapshotTable[[#This Row],[SP Actual Spend]]&lt;&gt;0, ((SnapshotTable[[#This Row],[SP Strike Price]]-SnapshotTable[[#This Row],[Last Price]]) *(SnapshotTable[[#This Row],[SP Qty]]*100) - SnapshotTable[[#This Row],[SP Premium]]) * - 1, "")</f>
        <v/>
      </c>
      <c r="CN82" s="154"/>
      <c r="CO82" s="369"/>
      <c r="CP82" s="4" t="str">
        <f>IF(SnapshotTable[[#This Row],[SP Is Filled]], btc_max_buyback_amount(SnapshotTable[[#This Row],[SP Fill Date]],SnapshotTable[[#This Row],[SP Exp Date]], SnapshotTable[[#This Row],[SP Book Price]]),"")</f>
        <v/>
      </c>
      <c r="CQ82" s="78"/>
      <c r="CR8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2" s="155" t="str">
        <f>IF(SnapshotTable[[#This Row],[SP Is Filled]], btc_next_cutoff_date(SnapshotTable[[#This Row],[SP Fill Date]],SnapshotTable[[#This Row],[SP Exp Date]]),"")</f>
        <v/>
      </c>
      <c r="CT82" s="235" t="str" cm="1">
        <f t="array" ref="CT82">IF(SnapshotTable[[#This Row],[SP Is Filled]], btc_should_buy_back(SnapshotTable[[#This Row],[SP Fill Date]], SnapshotTable[[#This Row],[SP Exp Date]], SnapshotTable[[#This Row],[SP Book Price]], SnapshotTable[[#This Row],[SP Current Ask]], MockToday, SnapshotTable[[#This Row],[SP Buyback Override]]),"")</f>
        <v/>
      </c>
      <c r="CU82" s="156"/>
      <c r="CV82" s="235"/>
      <c r="CW82" s="378" t="str">
        <f>IF(ISNUMBER( SnapshotTable[[#This Row],[SP Term]]), SnapshotTable[[#This Row],[SP Exp Date]] - MockToday,"")</f>
        <v/>
      </c>
      <c r="CX82" s="31" t="str">
        <f>IF(SnapshotTable[[#This Row],[SP Is Filled]],SnapshotTable[[#This Row],[SP Buyback Price to Use]] * 100 * SnapshotTable[[#This Row],[SP Qty]], "")</f>
        <v/>
      </c>
      <c r="CY82" s="4" t="str">
        <f>IF(ISNUMBER(SnapshotTable[[#This Row],[SP Strike Price]]), SnapshotTable[[#This Row],[SP Strike Price]] * (1 - SP_MaxLoss_StrikePct), "")</f>
        <v/>
      </c>
      <c r="CZ82" s="31" t="str">
        <f>IF(ISNUMBER(SnapshotTable[[#This Row],[SP Strike  Stop Per Share]]),SnapshotTable[[#This Row],[SP Premium]] - ((SnapshotTable[[#This Row],[SP Strike Price]]-SnapshotTable[[#This Row],[SP Strike  Stop Per Share]]) *(SnapshotTable[[#This Row],[SP Qty]] * 100)),"")</f>
        <v/>
      </c>
      <c r="DA82" s="4" t="str">
        <f>IF(AND(ISNUMBER(SnapshotTable[[#This Row],[SP Premium]]),SnapshotTable[[#This Row],[SP Premium]]&gt;0), SnapshotTable[[#This Row],[SP Book Price]] * (1 + SP_MaxLoss_OptionPct), "")</f>
        <v/>
      </c>
      <c r="DB82" s="31" t="str">
        <f>IF(ISNUMBER(SnapshotTable[[#This Row],[SP Option  Stop Contract]]),(SnapshotTable[[#This Row],[SP Option  Stop Contract]] *(SnapshotTable[[#This Row],[SP Qty]] * 100) - SnapshotTable[[#This Row],[SP Premium]]),"")</f>
        <v/>
      </c>
      <c r="DC82" s="4"/>
      <c r="DD82" s="4"/>
      <c r="DE82" s="4" t="str">
        <f>IF(AND(SnapshotTable[[#This Row],[SP Qty]]&gt;0, SnapshotTable[[#This Row],[SP Stop To Use]]&gt;0),SnapshotTable[[#This Row],[SP Premium]] - ( SnapshotTable[[#This Row],[SP Qty]] * SnapshotTable[[#This Row],[SP Stop To Use]] * 100), "")</f>
        <v/>
      </c>
      <c r="DF82" s="31" t="str">
        <f>IF(AND(SnapshotTable[[#This Row],[SP Qty]]&gt;0,SnapshotTable[[#This Row],[SP Current Ask]]&gt;0), SnapshotTable[[#This Row],[SP Qty]] * SnapshotTable[[#This Row],[SP Current Ask]] * -100, "")</f>
        <v/>
      </c>
      <c r="DG82" s="31" t="str">
        <f>IF(ISNUMBER((SnapshotTable[[#This Row],[SP Total Value]])), SnapshotTable[[#This Row],[SP Premium]] + SnapshotTable[[#This Row],[SP Total Value]], "")</f>
        <v/>
      </c>
      <c r="DH82" s="294" t="str">
        <f>IF(ISNUMBER((SnapshotTable[[#This Row],[SP Total Value]])), SnapshotTable[[#This Row],[SP Gain Loss]] / SnapshotTable[[#This Row],[SP Premium]], "")</f>
        <v/>
      </c>
      <c r="DI82" s="406"/>
      <c r="DJ82" s="138"/>
      <c r="DK82" s="148"/>
      <c r="DL82" s="13"/>
      <c r="DM82" s="13"/>
      <c r="DO82" s="31">
        <f>IF(SnapshotTable[[#This Row],[LC Symbol Count]]=1, SnapshotTable[[#This Row],[LC Qty]] * SnapshotTable[[#This Row],[LC Book Price]] * 100, 0)</f>
        <v>0</v>
      </c>
      <c r="DP82" s="163" t="str">
        <f>IF(AND(SnapshotTable[[#This Row],[LC Exp Date]]&gt;0, SnapshotTable[[#This Row],[LC Strike Price]]&gt;0,SnapshotTable[[#This Row],[LC Qty]]&gt;0,SnapshotTable[[#This Row],[LC Book Date]]&gt;0,SnapshotTable[[#This Row],[LC Book Price]]&gt;0,SnapshotTable[[#This Row],[LC Fill Date]]=0),"Y","")</f>
        <v/>
      </c>
      <c r="DQ82" s="386" t="str">
        <f>IF(SnapshotTable[[#This Row],[LC Premium]] &gt; 0,SnapshotTable[[#This Row],[LC Exp Date]]-MAX(SnapshotTable[[#This Row],[LC Book Date]], SnapshotTable[[#This Row],[LC Fill Date]]),"")</f>
        <v/>
      </c>
      <c r="DR82" s="386" t="str">
        <f>IF(ISNUMBER(SnapshotTable[[#This Row],[LC Term]]), SnapshotTable[[#This Row],[LC Exp Date]] - MockToday, "")</f>
        <v/>
      </c>
      <c r="DS82" s="234" t="str">
        <f>IF(SnapshotTable[[#This Row],[LC Premium]]&gt;0,SnapshotTable[[#This Row],[LC Strike Price]] + SnapshotTable[[#This Row],[LC Book Price]],"")</f>
        <v/>
      </c>
      <c r="DU82" s="9" t="str">
        <f>IF(AND(SnapshotTable[[#This Row],[LC Symbol Count]]&gt;0, SnapshotTable[[#This Row],[LC Contract Value]]&gt;0), SnapshotTable[[#This Row],[LC Contract Value]] * SnapshotTable[[#This Row],[LC Qty]] * 100, "")</f>
        <v/>
      </c>
      <c r="DV82" s="9" t="str">
        <f>IF(AND(ISNUMBER(SnapshotTable[[#This Row],[LC Total Value]]), SnapshotTable[[#This Row],[LC Not Filled]]&lt;&gt;"Y"), SnapshotTable[[#This Row],[LC Total Value]]-SnapshotTable[[#This Row],[LC Premium]],"")</f>
        <v/>
      </c>
      <c r="DW82" s="240" t="str">
        <f>IF(ISNUMBER(SnapshotTable[[#This Row],[LC Actual Gain Loss]]), SnapshotTable[[#This Row],[LC Actual Gain Loss]] / SnapshotTable[[#This Row],[LC Premium]],"")</f>
        <v/>
      </c>
      <c r="DX82" s="284" t="str">
        <f>IF(ISNUMBER(SnapshotTable[[#This Row],[LC Book Price]]),SnapshotTable[[#This Row],[LC Book Price]] * 1.5,"")</f>
        <v/>
      </c>
      <c r="DY82" s="265" t="str">
        <f>IF(SnapshotTable[[#This Row],[LC Premium]]&gt;0, SnapshotTable[[#This Row],[LC Next Target]] * SnapshotTable[[#This Row],[LC Qty]] * 100,"")</f>
        <v/>
      </c>
      <c r="DZ82" s="265" t="str">
        <f>IF(ISNUMBER(SnapshotTable[[#This Row],[LC Target Gross]]), SnapshotTable[[#This Row],[LC Target Gross]] - SnapshotTable[[#This Row],[LC Premium]], "")</f>
        <v/>
      </c>
      <c r="EA82" s="305" t="str">
        <f>IF(ISNUMBER(SnapshotTable[[#This Row],[LC Target Gain Loss]]), SnapshotTable[[#This Row],[LC Target Gain Loss]]/SnapshotTable[[#This Row],[LC Premium]], "")</f>
        <v/>
      </c>
      <c r="EB82" s="262"/>
      <c r="EC82" s="283" t="str">
        <f>IF(SnapshotTable[[#This Row],[LC Premium]]&gt;0, SnapshotTable[[#This Row],[LC Book Price]] * (1 - LC_StopLoss_Pct),"")</f>
        <v/>
      </c>
      <c r="ED82" s="284" t="s">
        <v>966</v>
      </c>
      <c r="EE82" s="283" t="str">
        <f>IF(ISNUMBER(SnapshotTable[[#This Row],[LC Contract Value]]),IF(ISNUMBER(SnapshotTable[[#This Row],[LC Stop Loss Override]]), SnapshotTable[[#This Row],[LC Stop Loss Override]],SnapshotTable[[#This Row],[LC Stop Loss Calc Target]]),"")</f>
        <v/>
      </c>
      <c r="EF82" s="31" t="str">
        <f>IF(ISNUMBER(SnapshotTable[[#This Row],[LC Stop  To Use]]), (SnapshotTable[[#This Row],[LC Stop  To Use]] * SnapshotTable[[#This Row],[LC Qty]] * 100),"")</f>
        <v/>
      </c>
      <c r="EG82" s="9" t="str">
        <f>IF(ISNUMBER(SnapshotTable[[#This Row],[LC Total Value]]),SnapshotTable[[#This Row],[LC Stop Loss Amount]] - SnapshotTable[[#This Row],[LC Premium]],"")</f>
        <v/>
      </c>
      <c r="EH82" s="9">
        <f>IF(ISNUMBER(SnapshotTable[[#This Row],[LC Premium]]), SnapshotTable[[#This Row],[LC Qty]] * 100 * SnapshotTable[[#This Row],[LC Strike Price]], "")</f>
        <v>0</v>
      </c>
      <c r="EI82" s="240" t="str">
        <f>IF(AND(ISNUMBER(SnapshotTable[[#This Row],[LC Total Value]]),SnapshotTable[[#This Row],[LC Total Value]]&gt;0),SnapshotTable[[#This Row],[LC Stop Gain Loss]]  / SnapshotTable[[#This Row],[LC Premium]],"")</f>
        <v/>
      </c>
      <c r="EJ82" s="35">
        <f>IF(ISNUMBER(SnapshotTable[[#This Row],[Equity Shares]]),TRUNC(SnapshotTable[[#This Row],[Equity Shares]] / 100),0) + SnapshotTable[[#This Row],[LC Qty]]</f>
        <v>0</v>
      </c>
      <c r="EK82" s="147"/>
      <c r="EL82" s="138" t="str">
        <f>IF(SnapshotTable[[#This Row],[SC Exp Date]]&lt;&gt;"",TRUNC(SnapshotTable[[#This Row],[Last Price]]),"")</f>
        <v/>
      </c>
      <c r="EM82" s="148"/>
      <c r="EN82" s="147"/>
      <c r="EO82" s="147"/>
      <c r="EP82" s="138"/>
      <c r="EQ82" s="419" t="b">
        <f>AND(ISNUMBER(SnapshotTable[[#This Row],[SC Exp Date]]), ISNUMBER(SnapshotTable[[#This Row],[SC Strike Price]]), ISNUMBER(SnapshotTable[[#This Row],[SC Qty]]), ISNUMBER(SnapshotTable[[#This Row],[SC Book Date]]), ISNUMBER(SnapshotTable[[#This Row],[SC Book Price]]))</f>
        <v>0</v>
      </c>
      <c r="ER82" s="419" t="b">
        <f>AND(SnapshotTable[[#This Row],[SC Is Booked]], NOT(ISBLANK(SnapshotTable[[#This Row],[SC Fill Date]])))</f>
        <v>0</v>
      </c>
      <c r="ES82" s="370"/>
      <c r="ET82" s="34" t="str">
        <f>IF(AND(ISNUMBER(SnapshotTable[[#This Row],[SC Exp Date]]), ISNUMBER(SnapshotTable[[#This Row],[SC Book Date]])), SnapshotTable[[#This Row],[SC Exp Date]] - MAX(SnapshotTable[[#This Row],[SC Book Date]], SnapshotTable[[#This Row],[SC Fill Date]]) + 1, "")</f>
        <v/>
      </c>
      <c r="EU82" s="34" t="str">
        <f>IF(ISNUMBER(SnapshotTable[[#This Row],[SC Term]]), SnapshotTable[[#This Row],[SC Exp Date]]- MockToday, "")</f>
        <v/>
      </c>
      <c r="EV82" s="31">
        <f>IF(SnapshotTable[[#This Row],[SC Is Booked]], SnapshotTable[[#This Row],[SC Qty]] * SnapshotTable[[#This Row],[SC Book Price]] * 100, 0)</f>
        <v>0</v>
      </c>
      <c r="EW82" s="4" t="str">
        <f>IF(AND(ISNUMBER(SnapshotTable[[#This Row],[Last Price]]), ISNUMBER( SnapshotTable[[#This Row],[SC Book Price]])), SnapshotTable[[#This Row],[Last Price]] - SnapshotTable[[#This Row],[SC Book Price]],"")</f>
        <v/>
      </c>
      <c r="EX82" s="234" t="str">
        <f>IF(SnapshotTable[[#This Row],[SC Is Booked]],IF(SnapshotTable[[#This Row],[SC Intrinsic Value]] &gt; 0, SnapshotTable[[#This Row],[SC Strike Price]], SnapshotTable[[#This Row],[Last Price]]), "")</f>
        <v/>
      </c>
      <c r="EY82" s="4">
        <f>IF(SnapshotTable[[#This Row],[SC Is Booked]], (MinimumPremiumRequired * SnapshotTable[[#This Row],[SC Basis]] * SnapshotTable[[#This Row],[SC Term]]), 0)</f>
        <v>0</v>
      </c>
      <c r="EZ82" s="283"/>
      <c r="FA82" s="218"/>
      <c r="FB82" s="370"/>
      <c r="FC82" s="4">
        <f>IF(SnapshotTable[[#This Row],[SC Is Filled]], btc_max_buyback_amount(SnapshotTable[[#This Row],[SC Fill Date]],SnapshotTable[[#This Row],[SC Exp Date]], SnapshotTable[[#This Row],[SC Book Price]]),0)</f>
        <v>0</v>
      </c>
      <c r="FD82" s="5"/>
      <c r="FE82" s="144" t="str">
        <f>IF(SnapshotTable[[#This Row],[SC Is Filled]], btc_next_cutoff_date(SnapshotTable[[#This Row],[SC Fill Date]],SnapshotTable[[#This Row],[SC Exp Date]]),"")</f>
        <v/>
      </c>
      <c r="FF82" s="4" t="str" cm="1">
        <f t="array" ref="FF82">IF(SnapshotTable[[#This Row],[SC Is Filled]], btc_should_buy_back(SnapshotTable[[#This Row],[SC Fill Date]], SnapshotTable[[#This Row],[SC Exp Date]], SnapshotTable[[#This Row],[SC Book Price]], SnapshotTable[[#This Row],[SC Current Ask]], MockToday, SnapshotTable[[#This Row],[SC Buyback Override]]),"")</f>
        <v/>
      </c>
      <c r="FG82" s="4">
        <f>IF(SnapshotTable[[#This Row],[SC Is Filled]], MAX(0,SnapshotTable[[#This Row],[Last Price]]  - SnapshotTable[[#This Row],[SC Strike Price]]), 0)</f>
        <v>0</v>
      </c>
      <c r="FH82" s="382">
        <f>IF(SnapshotTable[[#This Row],[SC Is Filled]], IF(ISNUMBER(SnapshotTable[[#This Row],[SC Current Ask]]), SnapshotTable[[#This Row],[SC Current Ask]], SnapshotTable[[#This Row],[SC Book Price]]) - SnapshotTable[[#This Row],[SC Intrinsic Value]], 0)</f>
        <v>0</v>
      </c>
      <c r="FI82" s="143"/>
      <c r="FJ82" s="32" t="str">
        <f>IF(SnapshotTable[[#This Row],[SC Is Filled]],100 * SnapshotTable[[#This Row],[SC Qty]] * IF(ISNUMBER(SnapshotTable[[#This Row],[SC Buyback Override]]), SnapshotTable[[#This Row],[SC Buyback Override]], SnapshotTable[[#This Row],[SC Current Ask]]), "")</f>
        <v/>
      </c>
      <c r="FK82" s="250" t="str">
        <f>IF(SnapshotTable[[#This Row],[SC Time Val]]&gt;0, SnapshotTable[[#This Row],[SC Time Val]] / SnapshotTable[[#This Row],[Last Price]],"")</f>
        <v/>
      </c>
      <c r="FL82" s="302" t="str">
        <f>IF(SnapshotTable[[#This Row],[SC Is Booked]], ((SnapshotTable[[#This Row],[Last Price]] -SnapshotTable[[#This Row],[SC Strike Price]]) / SnapshotTable[[#This Row],[Last Price]]) * -1, "")</f>
        <v/>
      </c>
      <c r="FM82" s="157" t="str">
        <f>IF(SnapshotTable[[#This Row],[SC Is Booked]],  (SnapshotTable[[#This Row],[SC Qty]] * 100 * SnapshotTable[[#This Row],[SC Strike Price]]) - SnapshotTable[[#This Row],[SC Current Ask]], "")</f>
        <v/>
      </c>
      <c r="FN82"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2" s="157" t="str">
        <f>IF(AND(ISNUMBER(SnapshotTable[[#This Row],[SC Exercise Gross]]), ISNUMBER(SnapshotTable[[#This Row],[Equity Basis Per Share]] )), SnapshotTable[[#This Row],[SC Exercise Gross]] - SnapshotTable[[#This Row],[Equity Basis Total]] +  SnapshotTable[[#This Row],[SC Premium]], "")</f>
        <v/>
      </c>
      <c r="FP82" s="5" t="str">
        <f>IF(ISNUMBER(SnapshotTable[[#This Row],[SC Exercise Gross]]), (SnapshotTable[[#This Row],[SC Exercise Gross]]) / (SnapshotTable[[#This Row],[SC Qty]] * 100), "")</f>
        <v/>
      </c>
      <c r="FQ82" s="27" t="str">
        <f>IF(SnapshotTable[[#This Row],[SC Is Booked]],SnapshotTable[[#This Row],[SC Time Val]] /SnapshotTable[[#This Row],[SC Basis]], "")</f>
        <v/>
      </c>
      <c r="FR82" s="27" t="str" cm="1">
        <f t="array" ref="FR82">IF(AND(ISNUMBER(SnapshotTable[[#This Row],[SC Term]]),ISNUMBER(SnapshotTable[[#This Row],[SC Simple ROO]])), EllmanAnnualize(SnapshotTable[[#This Row],[SC DTE]], SnapshotTable[[#This Row],[SC Simple ROO]] ),"")</f>
        <v/>
      </c>
      <c r="FS82" s="4" t="e">
        <f>IF(SnapshotTable[[#This Row],[SC Strike Price]] &gt; SnapshotTable[[#This Row],[Last Price]], SnapshotTable[[#This Row],[SC Strike Price]] - SnapshotTable[[#This Row],[Last Price]],0)</f>
        <v>#VALUE!</v>
      </c>
      <c r="FT82" s="27" t="e">
        <f>IF(AND(ISNUMBER(SnapshotTable[[#This Row],[SC Upside Potential]]), SnapshotTable[[#This Row],[SC Upside Potential]] &gt; 0),(SnapshotTable[[#This Row],[SC Upside Potential]]/ SnapshotTable[[#This Row],[ACB]]),"")</f>
        <v>#VALUE!</v>
      </c>
      <c r="FU82" s="333" t="str">
        <f>IF(SnapshotTable[[#This Row],[SC Intrinsic Value]] &gt; 0,SnapshotTable[[#This Row],[SC Intrinsic Value]],"")</f>
        <v/>
      </c>
      <c r="FV82" s="27" t="str">
        <f>IF(AND( ISNUMBER( SnapshotTable[[#This Row],[ACB]]),ISNUMBER(SnapshotTable[[#This Row],[SC Downside Protect]])),SnapshotTable[[#This Row],[SC Downside Protect]] / SnapshotTable[[#This Row],[ACB]],"")</f>
        <v/>
      </c>
      <c r="FW82" s="236" t="str">
        <f>IF(AND(ISNUMBER(SnapshotTable[[#This Row],[SC Simple ROO]]),SnapshotTable[[#This Row],[SC Simple ROO]] &gt; 0), SnapshotTable[[#This Row],[SC Premium]] + (SnapshotTable[[#This Row],[SC Qty]] * SnapshotTable[[#This Row],[SC Upside Potential]]), "")</f>
        <v/>
      </c>
      <c r="FX82" s="302" t="str" cm="1">
        <f t="array" ref="FX82">IF(ISNUMBER(SnapshotTable[[#This Row],[SC Max Dollars]]), annualize(SnapshotTable[[#This Row],[SC Term]],(SnapshotTable[[#This Row],[SC Max Dollars]]/SnapshotTable[[#This Row],[SC Basis]])),"")</f>
        <v/>
      </c>
      <c r="FY82" s="236" t="str">
        <f>IF(AND(SnapshotTable[[#This Row],[SC Qty]]&gt;0,SnapshotTable[[#This Row],[SC Current Ask]]&gt;0), SnapshotTable[[#This Row],[SC Qty]] * SnapshotTable[[#This Row],[SC Current Ask]] * -100, "")</f>
        <v/>
      </c>
      <c r="FZ82" s="31" t="str">
        <f>IF(ISNUMBER((SnapshotTable[[#This Row],[SC Current Value]])), SnapshotTable[[#This Row],[SC Premium]] + SnapshotTable[[#This Row],[SC Current Value]], "")</f>
        <v/>
      </c>
      <c r="GA82" s="294" t="str">
        <f>IFERROR( IF(ISNUMBER((SnapshotTable[[#This Row],[SC Current Value]])), SnapshotTable[[#This Row],[SC Gain Loss]] / SnapshotTable[[#This Row],[SC Premium]], ""), "")</f>
        <v/>
      </c>
      <c r="GB82" s="177">
        <f>SnapshotTable[[#This Row],[Equity Shares]] * SaleSharesToConsiderPercentage</f>
        <v>0</v>
      </c>
      <c r="GC82" s="178">
        <f>SnapshotTable[[#This Row],[Long Term Target]] * SellingPriceToConsiderBasedOnTargetPercentage</f>
        <v>96.349000000000004</v>
      </c>
      <c r="GD82" s="178">
        <f>SnapshotTable[[#This Row],[Last Price]] * (1+ SellingPriceToConsiderBasedOnTargetPercentage)</f>
        <v>41.963999999999999</v>
      </c>
      <c r="GE82" s="179"/>
      <c r="GF82" s="178"/>
      <c r="GG82" s="31">
        <f>SnapshotTable[[#This Row],[Booked Sale Shares]] * SnapshotTable[[#This Row],[Booked Sale Price]]</f>
        <v>0</v>
      </c>
      <c r="GH82" s="31" t="str">
        <f>IF(SnapshotTable[[#This Row],[Equity Basis Total]] &gt; 0, SnapshotTable[[#This Row],[Equity Basis Per Share]] * SnapshotTable[[#This Row],[Booked Sale Shares]], "")</f>
        <v/>
      </c>
      <c r="GI82" s="31">
        <f>IF(SnapshotTable[[#This Row],[Sale Proceeds]]&gt;0, SnapshotTable[[#This Row],[Sale Proceeds]] - SnapshotTable[[#This Row],[Sale Basis]], 0)</f>
        <v>0</v>
      </c>
      <c r="GJ82" s="158" t="str">
        <f>IF(SnapshotTable[[#This Row],[Sale G/L]]&gt;0, SnapshotTable[[#This Row],[Sale G/L]] / SnapshotTable[[#This Row],[Sale Basis]], IF(ISNUMBER(SnapshotTable[[#This Row],[SC Exercise P&amp;L (TAX)]]), SnapshotTable[[#This Row],[SC Exercise P&amp;L (TAX)]] / SnapshotTable[[#This Row],[SC Basis]], ""))</f>
        <v/>
      </c>
      <c r="GK82" s="158"/>
      <c r="GL82" s="159" t="str">
        <f>IF(AND(SnapshotTable[[#This Row],[LP Exp Date]]&gt;0,SnapshotTable[[#This Row],[LP Strike Price]]&gt;0), [1]!ToOptionSymbol(SnapshotTable[[#This Row],[Symbol]], SnapshotTable[[#This Row],[LP Strike Price]],SnapshotTable[[#This Row],[LP Exp Date]],1), "")</f>
        <v/>
      </c>
      <c r="GM82" s="30" t="str">
        <f>IF(LEN(SnapshotTable[[#This Row],[LP Symbol]])&gt;0, 1, "")</f>
        <v/>
      </c>
      <c r="GN82" s="43" t="str">
        <f>IF(AND(SnapshotTable[[#This Row],[SP Exp Date]]&gt;0,SnapshotTable[[#This Row],[SP Strike Price]]&gt;0), [1]!ToOptionSymbol(SnapshotTable[[#This Row],[Symbol]], SnapshotTable[[#This Row],[SP Strike Price]],SnapshotTable[[#This Row],[SP Exp Date]],1), "")</f>
        <v/>
      </c>
      <c r="GO82" s="30" t="str">
        <f>IF(LEN(SnapshotTable[[#This Row],[SP Symbol]])&gt;0, 1, "")</f>
        <v/>
      </c>
      <c r="GP82" s="159" t="str">
        <f>IF(AND(SnapshotTable[[#This Row],[LC Exp Date]]&gt;0,SnapshotTable[[#This Row],[LC Strike Price]]&gt;0), [1]!ToOptionSymbol(SnapshotTable[[#This Row],[Symbol]], SnapshotTable[[#This Row],[LC Strike Price]],SnapshotTable[[#This Row],[LC Exp Date]],0), "")</f>
        <v/>
      </c>
      <c r="GQ82" s="160" t="str">
        <f>IF(LEN(SnapshotTable[[#This Row],[LC Symbol]])&gt;0, 1, "")</f>
        <v/>
      </c>
      <c r="GR82" s="159" t="str">
        <f>IF(AND(SnapshotTable[[#This Row],[SC Exp Date]]&gt;0,SnapshotTable[[#This Row],[SC Strike Price]]&gt;0), [1]!ToOptionSymbol(SnapshotTable[[#This Row],[Symbol]], SnapshotTable[[#This Row],[SC Strike Price]],SnapshotTable[[#This Row],[SC Exp Date]],0), "")</f>
        <v/>
      </c>
      <c r="GS82" s="160" t="str">
        <f>IF(LEN(SnapshotTable[[#This Row],[SC Symbol]])&gt;0, 1, "")</f>
        <v/>
      </c>
      <c r="GT82" s="161" t="str">
        <f>IF(COUNT(SnapshotTable[[#This Row],[LP Symbol Count]],SnapshotTable[[#This Row],[SP Symbol Count]],SnapshotTable[[#This Row],[LC Symbol Count]],SnapshotTable[[#This Row],[SC Symbol Count]])&gt;0, "Y", "")</f>
        <v/>
      </c>
      <c r="GU8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2" s="231" t="e">
        <f>MAX(SnapshotTable[[#This Row],[Equity Basis Total]],SnapshotTable[[#This Row],[Equity Value]]) + (SnapshotTable[[#This Row],[SP Potential Spend]]- SnapshotTable[[#This Row],[SP Premium]] + SnapshotTable[[#This Row],[LP Premium]])+ (SnapshotTable[[#This Row],[LC Premium]] - SnapshotTable[[#This Row],[SC Premium]])</f>
        <v>#VALUE!</v>
      </c>
      <c r="GW82" s="139" t="e">
        <f>IF(AND(SnapshotTable[[#This Row],[Exposure]] &lt;&gt; 0),SnapshotTable[[#This Row],[Exposure]] / SnapshotTable[[#Totals],[Exposure]], "")</f>
        <v>#VALUE!</v>
      </c>
      <c r="HE82" s="268"/>
      <c r="HF82" s="268"/>
      <c r="HK82" s="1"/>
      <c r="HL82" s="1"/>
      <c r="HM82" s="1"/>
      <c r="HN82" s="1"/>
      <c r="HO82" s="1"/>
      <c r="HP82" s="1"/>
    </row>
    <row r="83" spans="2:224" ht="12.75" hidden="1" customHeight="1" x14ac:dyDescent="0.25">
      <c r="B83" s="12" t="s">
        <v>149</v>
      </c>
      <c r="C83" s="422">
        <v>284.85000000000002</v>
      </c>
      <c r="D83" s="208"/>
      <c r="E83" s="39">
        <f>SnapshotTable[[#This Row],[Last Price]]*(1 -CrashDiscount)</f>
        <v>242.1225</v>
      </c>
      <c r="F83" s="26" t="s">
        <v>148</v>
      </c>
      <c r="G83" s="26" t="s">
        <v>49</v>
      </c>
      <c r="H83" s="149"/>
      <c r="I83" s="194">
        <v>44778.25</v>
      </c>
      <c r="J83" s="195">
        <v>44778.25</v>
      </c>
      <c r="K83" s="196"/>
      <c r="L83" s="326"/>
      <c r="M83" s="140"/>
      <c r="N83" s="140"/>
      <c r="O83" s="140"/>
      <c r="P83" s="22"/>
      <c r="Q83" s="25"/>
      <c r="R83" s="4" t="str">
        <f>IF(SnapshotTable[[#This Row],[Equity Basis Total]] &gt; 0, SnapshotTable[[#This Row],[Equity Basis Total]] / SnapshotTable[[#This Row],[Equity Shares]], "")</f>
        <v/>
      </c>
      <c r="S83" s="269">
        <f>SnapshotTable[[#This Row],[Last Price]] * SnapshotTable[[#This Row],[Equity Shares]]</f>
        <v>0</v>
      </c>
      <c r="T83" s="269">
        <f>SnapshotTable[[#This Row],[Equity Value]] - SnapshotTable[[#This Row],[Equity Basis Total]]</f>
        <v>0</v>
      </c>
      <c r="U83" s="270" t="str">
        <f>IF(SnapshotTable[[#This Row],[Equity Basis Total]] &gt; 0, SnapshotTable[[#This Row],[Equity G/L]] / SnapshotTable[[#This Row],[Equity Basis Total]], "")</f>
        <v/>
      </c>
      <c r="V83" s="268"/>
      <c r="W83" s="268"/>
      <c r="X83" s="4" t="str">
        <f>IF(AND(ISNUMBER(SnapshotTable[[#This Row],[Equity Basis Per Share]]),ISNUMBER(SnapshotTable[[#This Row],[Equity Target]])),SnapshotTable[[#This Row],[Equity Target]]-SnapshotTable[[#This Row],[Equity Basis Per Share]],"")</f>
        <v/>
      </c>
      <c r="Y83" s="4" t="str">
        <f>IF(AND(ISNUMBER(SnapshotTable[[#This Row],[Equity Basis Per Share]]),ISNUMBER(SnapshotTable[[#This Row],[Equity Stop Loss]])),SnapshotTable[[#This Row],[Equity Stop Loss]]-SnapshotTable[[#This Row],[Equity Basis Per Share]],"")</f>
        <v/>
      </c>
      <c r="Z83" s="275" t="str">
        <f>IFERROR( TEXT(SnapshotTable[[#This Row],[Equity Max Gain Per Share]] /ABS( SnapshotTable[[#This Row],[Equity Max Loss Per Share]]),"0.0 " ) &amp; " : 1", "")</f>
        <v/>
      </c>
      <c r="AA83" s="31" t="str">
        <f>IF(ISNUMBER(SnapshotTable[[#This Row],[Equity Max Gain Per Share]]),SnapshotTable[[#This Row],[Equity Max Gain Per Share]] * SnapshotTable[[#This Row],[Equity Shares]],"")</f>
        <v/>
      </c>
      <c r="AB83" s="31" t="str">
        <f>IF(ISNUMBER(SnapshotTable[[#This Row],[Equity Max Loss Per Share]]),SnapshotTable[[#This Row],[Equity Max Loss Per Share]] * SnapshotTable[[#This Row],[Equity Shares]],"")</f>
        <v/>
      </c>
      <c r="AC83" s="150">
        <v>0.04</v>
      </c>
      <c r="AD83" s="151">
        <v>42470</v>
      </c>
      <c r="AE83" s="31">
        <f>(SnapshotTable[[#This Row],[Annual Dividend Per Share]] / 4) * SnapshotTable[[#This Row],[Equity Shares]]</f>
        <v>0</v>
      </c>
      <c r="AF83" s="31">
        <f>SnapshotTable[[#This Row],[Quarterly Div $]] * 4</f>
        <v>0</v>
      </c>
      <c r="AG83" s="7">
        <f>IF(SnapshotTable[[#This Row],[Annual Dividend Per Share]]&gt;0, SnapshotTable[[#This Row],[Annual Dividend Per Share]]  / SnapshotTable[[#This Row],[Last Price]], 0)</f>
        <v>1.40424784974548E-4</v>
      </c>
      <c r="AH83" s="151">
        <v>42069</v>
      </c>
      <c r="AI83" s="5"/>
      <c r="AJ83" s="138">
        <v>115</v>
      </c>
      <c r="AK83" s="152" t="str">
        <f>IF(ISNUMBER( SnapshotTable[[#This Row],[EBF Target]]),(SnapshotTable[[#This Row],[EBF Target]] - SnapshotTable[[#This Row],[Last Price]]) / SnapshotTable[[#This Row],[Last Price]], "")</f>
        <v/>
      </c>
      <c r="AL83" s="152" t="str">
        <f>IF(AND(SnapshotTable[[#This Row],[Equity Basis Total]] &gt; 0,ISNUMBER( SnapshotTable[[#This Row],[Long Term Target]])), SnapshotTable[[#This Row],[From Basis $]] / SnapshotTable[[#This Row],[Equity Basis Total]], "")</f>
        <v/>
      </c>
      <c r="AM83" s="9">
        <f>IF( AND(SnapshotTable[[#This Row],[Equity Shares]] &gt;0,ISNUMBER( SnapshotTable[[#This Row],[Long Term Target]])),(SnapshotTable[[#This Row],[Equity Shares]] * SnapshotTable[[#This Row],[Long Term Target]]) - SnapshotTable[[#This Row],[Equity Basis Total]],0)</f>
        <v>0</v>
      </c>
      <c r="AN83" s="9">
        <f>IF( AND(SnapshotTable[[#This Row],[Equity Shares]] &gt;0,ISNUMBER( SnapshotTable[[#This Row],[Long Term Target]])),(SnapshotTable[[#This Row],[Equity Shares]]*SnapshotTable[[#This Row],[Long Term Target]]) - SnapshotTable[[#This Row],[Equity Value]],0)</f>
        <v>0</v>
      </c>
      <c r="AO83" s="152">
        <f>IF(AND(ISNUMBER( SnapshotTable[[#This Row],[Long Term Target]]), ISNUMBER(SnapshotTable[[#This Row],[Last Price]])),(SnapshotTable[[#This Row],[Long Term Target]] - SnapshotTable[[#This Row],[Last Price]]) / SnapshotTable[[#This Row],[Last Price]], "")</f>
        <v>-0.59627874319817453</v>
      </c>
      <c r="AP83" s="5"/>
      <c r="AQ83" s="38"/>
      <c r="AR83" s="5"/>
      <c r="AS83" s="38"/>
      <c r="AT83" s="146"/>
      <c r="AU83" s="187" t="str">
        <f>IF(OR(SnapshotTable[[#This Row],[LP No Fill]]="Y",SnapshotTable[[#This Row],[SP Is Filled]],SnapshotTable[[#This Row],[LC Not Filled]]="Y",SnapshotTable[[#This Row],[SC Is Filled]]),"Y","")</f>
        <v/>
      </c>
      <c r="AV83" s="219"/>
      <c r="AW83" s="225"/>
      <c r="AX83" s="220"/>
      <c r="AY83" s="219" t="str">
        <f>IF(SnapshotTable[[#This Row],[Implied Move]]&gt;0, SnapshotTable[[#This Row],[Last Price]]-SnapshotTable[[#This Row],[Implied Move]],"")</f>
        <v/>
      </c>
      <c r="AZ83" s="219" t="str">
        <f>IF(SnapshotTable[[#This Row],[Implied Move]]&gt;0, SnapshotTable[[#This Row],[Last Price]] + SnapshotTable[[#This Row],[Implied Move]],"")</f>
        <v/>
      </c>
      <c r="BA83" s="331"/>
      <c r="BB83" s="347"/>
      <c r="BC8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3" s="351"/>
      <c r="BE83" s="5"/>
      <c r="BF83" s="14"/>
      <c r="BG83" s="13"/>
      <c r="BH83" s="13">
        <v>42814</v>
      </c>
      <c r="BI83" s="5"/>
      <c r="BJ83" s="136">
        <f>IF(SnapshotTable[[#This Row],[LP Qty]] &gt; 0, SnapshotTable[[#This Row],[LP Qty]] * SnapshotTable[[#This Row],[LP Book Price]] * 100,0)</f>
        <v>0</v>
      </c>
      <c r="BK83" s="136">
        <f>IF(SnapshotTable[[#This Row],[LP Premium]] &gt; 0, SnapshotTable[[#This Row],[LP Qty]] * SnapshotTable[[#This Row],[LP Strike Price]] * 100,0)</f>
        <v>0</v>
      </c>
      <c r="BL83" s="154"/>
      <c r="BM83" s="385" t="str">
        <f>IF(SnapshotTable[[#This Row],[LP Premium]] &gt; 0,SnapshotTable[[#This Row],[LP Exp Date]]-MAX(SnapshotTable[[#This Row],[LP Book Date]], SnapshotTable[[#This Row],[LP Fill Date]]),"")</f>
        <v/>
      </c>
      <c r="BN83" s="385" t="str">
        <f>IF(ISNUMBER( SnapshotTable[[#This Row],[LP Term]]), SnapshotTable[[#This Row],[LP Exp Date]] - MockToday,"")</f>
        <v/>
      </c>
      <c r="BO83" s="163" t="str">
        <f>IF(AND(SnapshotTable[[#This Row],[LP Exp Date]]&gt;0, SnapshotTable[[#This Row],[LP Strike Price]]&gt;0,SnapshotTable[[#This Row],[LP Qty]]&gt;0,SnapshotTable[[#This Row],[LP Book Date]]&gt;0,SnapshotTable[[#This Row],[LP Book Price]]&gt;0,SnapshotTable[[#This Row],[LP Fill Date]]=0),"Y","")</f>
        <v/>
      </c>
      <c r="BP83" s="31" t="str">
        <f>IF(AND(SnapshotTable[[#This Row],[LP No Fill]]&lt;&gt;"Y",SnapshotTable[[#This Row],[LP Contract Value]]&gt;0, SnapshotTable[[#This Row],[LP Qty]]&gt;0), SnapshotTable[[#This Row],[LP Contract Value]]*SnapshotTable[[#This Row],[LP Qty]]*100,"")</f>
        <v/>
      </c>
      <c r="BQ83" s="13"/>
      <c r="BR83" s="5" t="str">
        <f>IF(SnapshotTable[[#This Row],[SP Exp Date]]&lt;&gt;"",TRUNC(SnapshotTable[[#This Row],[Last Price]]),"")</f>
        <v/>
      </c>
      <c r="BS83" s="36"/>
      <c r="BT83" s="147"/>
      <c r="BU83" s="13"/>
      <c r="BV83" s="5"/>
      <c r="BW83" s="419" t="b">
        <f>AND(ISNUMBER(SnapshotTable[[#This Row],[SP Exp Date]]), ISNUMBER(SnapshotTable[[#This Row],[SP Strike Price]]), ISNUMBER(SnapshotTable[[#This Row],[SP Qty]]), ISNUMBER(SnapshotTable[[#This Row],[SP Book Date]]), ISNUMBER(SnapshotTable[[#This Row],[SP Book Price]]))</f>
        <v>0</v>
      </c>
      <c r="BX83" s="419" t="b">
        <f>AND(SnapshotTable[[#This Row],[SP Is Booked]], NOT(ISBLANK(SnapshotTable[[#This Row],[SP Fill Date]])))</f>
        <v>0</v>
      </c>
      <c r="BY83" s="33">
        <f>IF(SnapshotTable[[#This Row],[SP Is Booked]], SnapshotTable[[#This Row],[SP Qty]] * SnapshotTable[[#This Row],[SP Book Price]] * 100, 0)</f>
        <v>0</v>
      </c>
      <c r="BZ83" s="369"/>
      <c r="CA83" s="368">
        <f>SnapshotTable[[#This Row],[LP Qty]]</f>
        <v>0</v>
      </c>
      <c r="CB83" s="4" t="str">
        <f>IF(SnapshotTable[[#This Row],[SP Is Booked]], SnapshotTable[[#This Row],[SP Strike Price]] - SnapshotTable[[#This Row],[SP Book Price]], "")</f>
        <v/>
      </c>
      <c r="CC83" s="19" t="str">
        <f>IF(SnapshotTable[[#This Row],[SP Is Booked]],SnapshotTable[[#This Row],[SP Exp Date]]-MAX(SnapshotTable[[#This Row],[SP Book Date]], SnapshotTable[[#This Row],[SP Fill Date]]),"")</f>
        <v/>
      </c>
      <c r="CD83" s="7" t="str">
        <f>IF(SnapshotTable[[#This Row],[SP Is Booked]], SnapshotTable[[#This Row],[SP Book Price]]/SnapshotTable[[#This Row],[SP Strike Price]], "")</f>
        <v/>
      </c>
      <c r="CE83" s="7" t="str">
        <f>IF(ISNUMBER(SnapshotTable[[#This Row],[SP ROO Term]]),SnapshotTable[[#This Row],[SP ROO Term]]*(365/SnapshotTable[[#This Row],[SP Term]]),"")</f>
        <v/>
      </c>
      <c r="CF83" s="236">
        <f>SnapshotTable[[#This Row],[LP Strike Price]] * SnapshotTable[[#This Row],[LP Qty]] * 100</f>
        <v>0</v>
      </c>
      <c r="CG83" s="31" t="e">
        <f>IF(ISNUMBER(SnapshotTable[[#This Row],[SP Premium]]), (SnapshotTable[[#This Row],[SP Qty]] * SnapshotTable[[#This Row],[SP Strike Price]]* 100) - SnapshotTable[[#This Row],[LP Protection]], 0)</f>
        <v>#VALUE!</v>
      </c>
      <c r="CH83" s="7" t="str">
        <f>IF(ISNUMBER(SnapshotTable[[#This Row],[SP Break Even]]),-1 * (SnapshotTable[[#This Row],[SP Break Even]] - SnapshotTable[[#This Row],[Last Price]]) / SnapshotTable[[#This Row],[Last Price]], "")</f>
        <v/>
      </c>
      <c r="CI83" s="31">
        <f>IF(AND(ISNUMBER((SnapshotTable[[#This Row],[SP Potential Spend]])), SnapshotTable[[#This Row],[SP Strike Price]] &gt; SnapshotTable[[#This Row],[Last Price]], SnapshotTable[[#This Row],[SP Is Filled]]), SnapshotTable[[#This Row],[SP Potential Spend]] -  SnapshotTable[[#This Row],[LP Max Value]], 0)</f>
        <v>0</v>
      </c>
      <c r="CJ83" s="244"/>
      <c r="CK83" s="31" t="str">
        <f>IF(ISNUMBER(SnapshotTable[[#This Row],[SP Potential Spend]]),IF(ISNUMBER(SnapshotTable[[#This Row],[SP POW]]), SnapshotTable[[#This Row],[SP POW]] * SnapshotTable[[#This Row],[SP Potential Spend]], SnapshotTable[[#This Row],[SP Potential Spend]]), "")</f>
        <v/>
      </c>
      <c r="CL83" s="164" t="e">
        <f>IF(NOT(SnapshotTable[[#This Row],[SP Is Filled]]),(SnapshotTable[[#This Row],[SP Qty]] * SnapshotTable[[#This Row],[SP Strike Price]] * 100) - SnapshotTable[[#This Row],[LP Max Value]],"")</f>
        <v>#VALUE!</v>
      </c>
      <c r="CM83" s="31" t="str">
        <f>IF(SnapshotTable[[#This Row],[SP Actual Spend]]&lt;&gt;0, ((SnapshotTable[[#This Row],[SP Strike Price]]-SnapshotTable[[#This Row],[Last Price]]) *(SnapshotTable[[#This Row],[SP Qty]]*100) - SnapshotTable[[#This Row],[SP Premium]]) * - 1, "")</f>
        <v/>
      </c>
      <c r="CN83" s="78"/>
      <c r="CO83" s="369"/>
      <c r="CP83" s="4" t="str">
        <f>IF(SnapshotTable[[#This Row],[SP Is Filled]], btc_max_buyback_amount(SnapshotTable[[#This Row],[SP Fill Date]],SnapshotTable[[#This Row],[SP Exp Date]], SnapshotTable[[#This Row],[SP Book Price]]),"")</f>
        <v/>
      </c>
      <c r="CQ83" s="78"/>
      <c r="CR8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3" s="155" t="str">
        <f>IF(SnapshotTable[[#This Row],[SP Is Filled]], btc_next_cutoff_date(SnapshotTable[[#This Row],[SP Fill Date]],SnapshotTable[[#This Row],[SP Exp Date]]),"")</f>
        <v/>
      </c>
      <c r="CT83" s="235" t="str" cm="1">
        <f t="array" ref="CT83">IF(SnapshotTable[[#This Row],[SP Is Filled]], btc_should_buy_back(SnapshotTable[[#This Row],[SP Fill Date]], SnapshotTable[[#This Row],[SP Exp Date]], SnapshotTable[[#This Row],[SP Book Price]], SnapshotTable[[#This Row],[SP Current Ask]], MockToday, SnapshotTable[[#This Row],[SP Buyback Override]]),"")</f>
        <v/>
      </c>
      <c r="CU83" s="143"/>
      <c r="CV83" s="235"/>
      <c r="CW83" s="378" t="str">
        <f>IF(ISNUMBER( SnapshotTable[[#This Row],[SP Term]]), SnapshotTable[[#This Row],[SP Exp Date]] - MockToday,"")</f>
        <v/>
      </c>
      <c r="CX83" s="31" t="str">
        <f>IF(SnapshotTable[[#This Row],[SP Is Filled]],SnapshotTable[[#This Row],[SP Buyback Price to Use]] * 100 * SnapshotTable[[#This Row],[SP Qty]], "")</f>
        <v/>
      </c>
      <c r="CY83" s="4" t="str">
        <f>IF(ISNUMBER(SnapshotTable[[#This Row],[SP Strike Price]]), SnapshotTable[[#This Row],[SP Strike Price]] * (1 - SP_MaxLoss_StrikePct), "")</f>
        <v/>
      </c>
      <c r="CZ83" s="31" t="str">
        <f>IF(ISNUMBER(SnapshotTable[[#This Row],[SP Strike  Stop Per Share]]),SnapshotTable[[#This Row],[SP Premium]] - ((SnapshotTable[[#This Row],[SP Strike Price]]-SnapshotTable[[#This Row],[SP Strike  Stop Per Share]]) *(SnapshotTable[[#This Row],[SP Qty]] * 100)),"")</f>
        <v/>
      </c>
      <c r="DA83" s="4" t="str">
        <f>IF(AND(ISNUMBER(SnapshotTable[[#This Row],[SP Premium]]),SnapshotTable[[#This Row],[SP Premium]]&gt;0), SnapshotTable[[#This Row],[SP Book Price]] * (1 + SP_MaxLoss_OptionPct), "")</f>
        <v/>
      </c>
      <c r="DB83" s="31" t="str">
        <f>IF(ISNUMBER(SnapshotTable[[#This Row],[SP Option  Stop Contract]]),(SnapshotTable[[#This Row],[SP Option  Stop Contract]] *(SnapshotTable[[#This Row],[SP Qty]] * 100) - SnapshotTable[[#This Row],[SP Premium]]),"")</f>
        <v/>
      </c>
      <c r="DC83" s="4"/>
      <c r="DD83" s="4"/>
      <c r="DE83" s="4" t="str">
        <f>IF(AND(SnapshotTable[[#This Row],[SP Qty]]&gt;0, SnapshotTable[[#This Row],[SP Stop To Use]]&gt;0),SnapshotTable[[#This Row],[SP Premium]] - ( SnapshotTable[[#This Row],[SP Qty]] * SnapshotTable[[#This Row],[SP Stop To Use]] * 100), "")</f>
        <v/>
      </c>
      <c r="DF83" s="31" t="str">
        <f>IF(AND(SnapshotTable[[#This Row],[SP Qty]]&gt;0,SnapshotTable[[#This Row],[SP Current Ask]]&gt;0), SnapshotTable[[#This Row],[SP Qty]] * SnapshotTable[[#This Row],[SP Current Ask]] * -100, "")</f>
        <v/>
      </c>
      <c r="DG83" s="31" t="str">
        <f>IF(ISNUMBER((SnapshotTable[[#This Row],[SP Total Value]])), SnapshotTable[[#This Row],[SP Premium]] + SnapshotTable[[#This Row],[SP Total Value]], "")</f>
        <v/>
      </c>
      <c r="DH83" s="294" t="str">
        <f>IF(ISNUMBER((SnapshotTable[[#This Row],[SP Total Value]])), SnapshotTable[[#This Row],[SP Gain Loss]] / SnapshotTable[[#This Row],[SP Premium]], "")</f>
        <v/>
      </c>
      <c r="DI83" s="406"/>
      <c r="DJ83" s="138"/>
      <c r="DK83" s="148"/>
      <c r="DL83" s="13"/>
      <c r="DM83" s="13"/>
      <c r="DO83" s="31">
        <f>IF(SnapshotTable[[#This Row],[LC Symbol Count]]=1, SnapshotTable[[#This Row],[LC Qty]] * SnapshotTable[[#This Row],[LC Book Price]] * 100, 0)</f>
        <v>0</v>
      </c>
      <c r="DP83" s="163" t="str">
        <f>IF(AND(SnapshotTable[[#This Row],[LC Exp Date]]&gt;0, SnapshotTable[[#This Row],[LC Strike Price]]&gt;0,SnapshotTable[[#This Row],[LC Qty]]&gt;0,SnapshotTable[[#This Row],[LC Book Date]]&gt;0,SnapshotTable[[#This Row],[LC Book Price]]&gt;0,SnapshotTable[[#This Row],[LC Fill Date]]=0),"Y","")</f>
        <v/>
      </c>
      <c r="DQ83" s="386" t="str">
        <f>IF(SnapshotTable[[#This Row],[LC Premium]] &gt; 0,SnapshotTable[[#This Row],[LC Exp Date]]-MAX(SnapshotTable[[#This Row],[LC Book Date]], SnapshotTable[[#This Row],[LC Fill Date]]),"")</f>
        <v/>
      </c>
      <c r="DR83" s="386" t="str">
        <f>IF(ISNUMBER(SnapshotTable[[#This Row],[LC Term]]), SnapshotTable[[#This Row],[LC Exp Date]] - MockToday, "")</f>
        <v/>
      </c>
      <c r="DS83" s="234" t="str">
        <f>IF(SnapshotTable[[#This Row],[LC Premium]]&gt;0,SnapshotTable[[#This Row],[LC Strike Price]] + SnapshotTable[[#This Row],[LC Book Price]],"")</f>
        <v/>
      </c>
      <c r="DU83" s="9" t="str">
        <f>IF(AND(SnapshotTable[[#This Row],[LC Symbol Count]]&gt;0, SnapshotTable[[#This Row],[LC Contract Value]]&gt;0), SnapshotTable[[#This Row],[LC Contract Value]] * SnapshotTable[[#This Row],[LC Qty]] * 100, "")</f>
        <v/>
      </c>
      <c r="DV83" s="9" t="str">
        <f>IF(AND(ISNUMBER(SnapshotTable[[#This Row],[LC Total Value]]), SnapshotTable[[#This Row],[LC Not Filled]]&lt;&gt;"Y"), SnapshotTable[[#This Row],[LC Total Value]]-SnapshotTable[[#This Row],[LC Premium]],"")</f>
        <v/>
      </c>
      <c r="DW83" s="240" t="str">
        <f>IF(ISNUMBER(SnapshotTable[[#This Row],[LC Actual Gain Loss]]), SnapshotTable[[#This Row],[LC Actual Gain Loss]] / SnapshotTable[[#This Row],[LC Premium]],"")</f>
        <v/>
      </c>
      <c r="DX83" s="284" t="str">
        <f>IF(ISNUMBER(SnapshotTable[[#This Row],[LC Book Price]]),SnapshotTable[[#This Row],[LC Book Price]] * 1.5,"")</f>
        <v/>
      </c>
      <c r="DY83" s="265" t="str">
        <f>IF(SnapshotTable[[#This Row],[LC Premium]]&gt;0, SnapshotTable[[#This Row],[LC Next Target]] * SnapshotTable[[#This Row],[LC Qty]] * 100,"")</f>
        <v/>
      </c>
      <c r="DZ83" s="265" t="str">
        <f>IF(ISNUMBER(SnapshotTable[[#This Row],[LC Target Gross]]), SnapshotTable[[#This Row],[LC Target Gross]] - SnapshotTable[[#This Row],[LC Premium]], "")</f>
        <v/>
      </c>
      <c r="EA83" s="305" t="str">
        <f>IF(ISNUMBER(SnapshotTable[[#This Row],[LC Target Gain Loss]]), SnapshotTable[[#This Row],[LC Target Gain Loss]]/SnapshotTable[[#This Row],[LC Premium]], "")</f>
        <v/>
      </c>
      <c r="EB83" s="262"/>
      <c r="EC83" s="283" t="str">
        <f>IF(SnapshotTable[[#This Row],[LC Premium]]&gt;0, SnapshotTable[[#This Row],[LC Book Price]] * (1 - LC_StopLoss_Pct),"")</f>
        <v/>
      </c>
      <c r="ED83" s="284"/>
      <c r="EE83" s="283" t="str">
        <f>IF(ISNUMBER(SnapshotTable[[#This Row],[LC Contract Value]]),IF(ISNUMBER(SnapshotTable[[#This Row],[LC Stop Loss Override]]), SnapshotTable[[#This Row],[LC Stop Loss Override]],SnapshotTable[[#This Row],[LC Stop Loss Calc Target]]),"")</f>
        <v/>
      </c>
      <c r="EF83" s="31" t="str">
        <f>IF(ISNUMBER(SnapshotTable[[#This Row],[LC Stop  To Use]]), (SnapshotTable[[#This Row],[LC Stop  To Use]] * SnapshotTable[[#This Row],[LC Qty]] * 100),"")</f>
        <v/>
      </c>
      <c r="EG83" s="9" t="str">
        <f>IF(ISNUMBER(SnapshotTable[[#This Row],[LC Total Value]]),SnapshotTable[[#This Row],[LC Stop Loss Amount]] - SnapshotTable[[#This Row],[LC Premium]],"")</f>
        <v/>
      </c>
      <c r="EH83" s="9">
        <f>IF(ISNUMBER(SnapshotTable[[#This Row],[LC Premium]]), SnapshotTable[[#This Row],[LC Qty]] * 100 * SnapshotTable[[#This Row],[LC Strike Price]], "")</f>
        <v>0</v>
      </c>
      <c r="EI83" s="240" t="str">
        <f>IF(AND(ISNUMBER(SnapshotTable[[#This Row],[LC Total Value]]),SnapshotTable[[#This Row],[LC Total Value]]&gt;0),SnapshotTable[[#This Row],[LC Stop Gain Loss]]  / SnapshotTable[[#This Row],[LC Premium]],"")</f>
        <v/>
      </c>
      <c r="EJ83" s="35">
        <f>IF(ISNUMBER(SnapshotTable[[#This Row],[Equity Shares]]),TRUNC(SnapshotTable[[#This Row],[Equity Shares]] / 100),0) + SnapshotTable[[#This Row],[LC Qty]]</f>
        <v>0</v>
      </c>
      <c r="EK83" s="147"/>
      <c r="EL83" s="138" t="str">
        <f>IF(SnapshotTable[[#This Row],[SC Exp Date]]&lt;&gt;"",TRUNC(SnapshotTable[[#This Row],[Last Price]]),"")</f>
        <v/>
      </c>
      <c r="EM83" s="148"/>
      <c r="EN83" s="147"/>
      <c r="EO83" s="147"/>
      <c r="EP83" s="138"/>
      <c r="EQ83" s="419" t="b">
        <f>AND(ISNUMBER(SnapshotTable[[#This Row],[SC Exp Date]]), ISNUMBER(SnapshotTable[[#This Row],[SC Strike Price]]), ISNUMBER(SnapshotTable[[#This Row],[SC Qty]]), ISNUMBER(SnapshotTable[[#This Row],[SC Book Date]]), ISNUMBER(SnapshotTable[[#This Row],[SC Book Price]]))</f>
        <v>0</v>
      </c>
      <c r="ER83" s="419" t="b">
        <f>AND(SnapshotTable[[#This Row],[SC Is Booked]], NOT(ISBLANK(SnapshotTable[[#This Row],[SC Fill Date]])))</f>
        <v>0</v>
      </c>
      <c r="ES83" s="370"/>
      <c r="ET83" s="34" t="str">
        <f>IF(AND(ISNUMBER(SnapshotTable[[#This Row],[SC Exp Date]]), ISNUMBER(SnapshotTable[[#This Row],[SC Book Date]])), SnapshotTable[[#This Row],[SC Exp Date]] - MAX(SnapshotTable[[#This Row],[SC Book Date]], SnapshotTable[[#This Row],[SC Fill Date]]) + 1, "")</f>
        <v/>
      </c>
      <c r="EU83" s="34" t="str">
        <f>IF(ISNUMBER(SnapshotTable[[#This Row],[SC Term]]), SnapshotTable[[#This Row],[SC Exp Date]]- MockToday, "")</f>
        <v/>
      </c>
      <c r="EV83" s="31">
        <f>IF(SnapshotTable[[#This Row],[SC Is Booked]], SnapshotTable[[#This Row],[SC Qty]] * SnapshotTable[[#This Row],[SC Book Price]] * 100, 0)</f>
        <v>0</v>
      </c>
      <c r="EW83" s="4" t="str">
        <f>IF(AND(ISNUMBER(SnapshotTable[[#This Row],[Last Price]]), ISNUMBER( SnapshotTable[[#This Row],[SC Book Price]])), SnapshotTable[[#This Row],[Last Price]] - SnapshotTable[[#This Row],[SC Book Price]],"")</f>
        <v/>
      </c>
      <c r="EX83" s="234" t="str">
        <f>IF(SnapshotTable[[#This Row],[SC Is Booked]],IF(SnapshotTable[[#This Row],[SC Intrinsic Value]] &gt; 0, SnapshotTable[[#This Row],[SC Strike Price]], SnapshotTable[[#This Row],[Last Price]]), "")</f>
        <v/>
      </c>
      <c r="EY83" s="4">
        <f>IF(SnapshotTable[[#This Row],[SC Is Booked]], (MinimumPremiumRequired * SnapshotTable[[#This Row],[SC Basis]] * SnapshotTable[[#This Row],[SC Term]]), 0)</f>
        <v>0</v>
      </c>
      <c r="EZ83" s="283"/>
      <c r="FA83" s="218"/>
      <c r="FB83" s="370"/>
      <c r="FC83" s="4">
        <f>IF(SnapshotTable[[#This Row],[SC Is Filled]], btc_max_buyback_amount(SnapshotTable[[#This Row],[SC Fill Date]],SnapshotTable[[#This Row],[SC Exp Date]], SnapshotTable[[#This Row],[SC Book Price]]),0)</f>
        <v>0</v>
      </c>
      <c r="FD83" s="5"/>
      <c r="FE83" s="144" t="str">
        <f>IF(SnapshotTable[[#This Row],[SC Is Filled]], btc_next_cutoff_date(SnapshotTable[[#This Row],[SC Fill Date]],SnapshotTable[[#This Row],[SC Exp Date]]),"")</f>
        <v/>
      </c>
      <c r="FF83" s="4" t="str" cm="1">
        <f t="array" ref="FF83">IF(SnapshotTable[[#This Row],[SC Is Filled]], btc_should_buy_back(SnapshotTable[[#This Row],[SC Fill Date]], SnapshotTable[[#This Row],[SC Exp Date]], SnapshotTable[[#This Row],[SC Book Price]], SnapshotTable[[#This Row],[SC Current Ask]], MockToday, SnapshotTable[[#This Row],[SC Buyback Override]]),"")</f>
        <v/>
      </c>
      <c r="FG83" s="4">
        <f>IF(SnapshotTable[[#This Row],[SC Is Filled]], MAX(0,SnapshotTable[[#This Row],[Last Price]]  - SnapshotTable[[#This Row],[SC Strike Price]]), 0)</f>
        <v>0</v>
      </c>
      <c r="FH83" s="382">
        <f>IF(SnapshotTable[[#This Row],[SC Is Filled]], IF(ISNUMBER(SnapshotTable[[#This Row],[SC Current Ask]]), SnapshotTable[[#This Row],[SC Current Ask]], SnapshotTable[[#This Row],[SC Book Price]]) - SnapshotTable[[#This Row],[SC Intrinsic Value]], 0)</f>
        <v>0</v>
      </c>
      <c r="FI83" s="143"/>
      <c r="FJ83" s="32" t="str">
        <f>IF(SnapshotTable[[#This Row],[SC Is Filled]],100 * SnapshotTable[[#This Row],[SC Qty]] * IF(ISNUMBER(SnapshotTable[[#This Row],[SC Buyback Override]]), SnapshotTable[[#This Row],[SC Buyback Override]], SnapshotTable[[#This Row],[SC Current Ask]]), "")</f>
        <v/>
      </c>
      <c r="FK83" s="250" t="str">
        <f>IF(SnapshotTable[[#This Row],[SC Time Val]]&gt;0, SnapshotTable[[#This Row],[SC Time Val]] / SnapshotTable[[#This Row],[Last Price]],"")</f>
        <v/>
      </c>
      <c r="FL83" s="302" t="str">
        <f>IF(SnapshotTable[[#This Row],[SC Is Booked]], ((SnapshotTable[[#This Row],[Last Price]] -SnapshotTable[[#This Row],[SC Strike Price]]) / SnapshotTable[[#This Row],[Last Price]]) * -1, "")</f>
        <v/>
      </c>
      <c r="FM83" s="157" t="str">
        <f>IF(SnapshotTable[[#This Row],[SC Is Booked]],  (SnapshotTable[[#This Row],[SC Qty]] * 100 * SnapshotTable[[#This Row],[SC Strike Price]]) - SnapshotTable[[#This Row],[SC Current Ask]], "")</f>
        <v/>
      </c>
      <c r="FN8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3" s="31" t="str">
        <f>IF(AND(ISNUMBER(SnapshotTable[[#This Row],[SC Exercise Gross]]), ISNUMBER(SnapshotTable[[#This Row],[Equity Basis Per Share]] )), SnapshotTable[[#This Row],[SC Exercise Gross]] - SnapshotTable[[#This Row],[Equity Basis Total]] +  SnapshotTable[[#This Row],[SC Premium]], "")</f>
        <v/>
      </c>
      <c r="FP83" s="5" t="str">
        <f>IF(ISNUMBER(SnapshotTable[[#This Row],[SC Exercise Gross]]), (SnapshotTable[[#This Row],[SC Exercise Gross]]) / (SnapshotTable[[#This Row],[SC Qty]] * 100), "")</f>
        <v/>
      </c>
      <c r="FQ83" s="27" t="str">
        <f>IF(SnapshotTable[[#This Row],[SC Is Booked]],SnapshotTable[[#This Row],[SC Time Val]] /SnapshotTable[[#This Row],[SC Basis]], "")</f>
        <v/>
      </c>
      <c r="FR83" s="27" t="str" cm="1">
        <f t="array" ref="FR83">IF(AND(ISNUMBER(SnapshotTable[[#This Row],[SC Term]]),ISNUMBER(SnapshotTable[[#This Row],[SC Simple ROO]])), EllmanAnnualize(SnapshotTable[[#This Row],[SC DTE]], SnapshotTable[[#This Row],[SC Simple ROO]] ),"")</f>
        <v/>
      </c>
      <c r="FS83" s="4" t="e">
        <f>IF(SnapshotTable[[#This Row],[SC Strike Price]] &gt; SnapshotTable[[#This Row],[Last Price]], SnapshotTable[[#This Row],[SC Strike Price]] - SnapshotTable[[#This Row],[Last Price]],0)</f>
        <v>#VALUE!</v>
      </c>
      <c r="FT83" s="27" t="e">
        <f>IF(AND(ISNUMBER(SnapshotTable[[#This Row],[SC Upside Potential]]), SnapshotTable[[#This Row],[SC Upside Potential]] &gt; 0),(SnapshotTable[[#This Row],[SC Upside Potential]]/ SnapshotTable[[#This Row],[ACB]]),"")</f>
        <v>#VALUE!</v>
      </c>
      <c r="FU83" s="333" t="str">
        <f>IF(SnapshotTable[[#This Row],[SC Intrinsic Value]] &gt; 0,SnapshotTable[[#This Row],[SC Intrinsic Value]],"")</f>
        <v/>
      </c>
      <c r="FV83" s="27" t="str">
        <f>IF(AND( ISNUMBER( SnapshotTable[[#This Row],[ACB]]),ISNUMBER(SnapshotTable[[#This Row],[SC Downside Protect]])),SnapshotTable[[#This Row],[SC Downside Protect]] / SnapshotTable[[#This Row],[ACB]],"")</f>
        <v/>
      </c>
      <c r="FW83" s="236" t="str">
        <f>IF(AND(ISNUMBER(SnapshotTable[[#This Row],[SC Simple ROO]]),SnapshotTable[[#This Row],[SC Simple ROO]] &gt; 0), SnapshotTable[[#This Row],[SC Premium]] + (SnapshotTable[[#This Row],[SC Qty]] * SnapshotTable[[#This Row],[SC Upside Potential]]), "")</f>
        <v/>
      </c>
      <c r="FX83" s="302" t="str" cm="1">
        <f t="array" ref="FX83">IF(ISNUMBER(SnapshotTable[[#This Row],[SC Max Dollars]]), annualize(SnapshotTable[[#This Row],[SC Term]],(SnapshotTable[[#This Row],[SC Max Dollars]]/SnapshotTable[[#This Row],[SC Basis]])),"")</f>
        <v/>
      </c>
      <c r="FY83" s="236" t="str">
        <f>IF(AND(SnapshotTable[[#This Row],[SC Qty]]&gt;0,SnapshotTable[[#This Row],[SC Current Ask]]&gt;0), SnapshotTable[[#This Row],[SC Qty]] * SnapshotTable[[#This Row],[SC Current Ask]] * -100, "")</f>
        <v/>
      </c>
      <c r="FZ83" s="31" t="str">
        <f>IF(ISNUMBER((SnapshotTable[[#This Row],[SC Current Value]])), SnapshotTable[[#This Row],[SC Premium]] + SnapshotTable[[#This Row],[SC Current Value]], "")</f>
        <v/>
      </c>
      <c r="GA83" s="294" t="str">
        <f>IFERROR( IF(ISNUMBER((SnapshotTable[[#This Row],[SC Current Value]])), SnapshotTable[[#This Row],[SC Gain Loss]] / SnapshotTable[[#This Row],[SC Premium]], ""), "")</f>
        <v/>
      </c>
      <c r="GB83" s="42">
        <f>SnapshotTable[[#This Row],[Equity Shares]] * SaleSharesToConsiderPercentage</f>
        <v>0</v>
      </c>
      <c r="GC83" s="40">
        <f>SnapshotTable[[#This Row],[Long Term Target]] * SellingPriceToConsiderBasedOnTargetPercentage</f>
        <v>109.25</v>
      </c>
      <c r="GD83" s="40">
        <f>SnapshotTable[[#This Row],[Last Price]] * (1+ SellingPriceToConsiderBasedOnTargetPercentage)</f>
        <v>555.45749999999998</v>
      </c>
      <c r="GE83" s="41"/>
      <c r="GF83" s="40"/>
      <c r="GG83" s="31">
        <f>SnapshotTable[[#This Row],[Booked Sale Shares]] * SnapshotTable[[#This Row],[Booked Sale Price]]</f>
        <v>0</v>
      </c>
      <c r="GH83" s="31" t="str">
        <f>IF(SnapshotTable[[#This Row],[Equity Basis Total]] &gt; 0, SnapshotTable[[#This Row],[Equity Basis Per Share]] * SnapshotTable[[#This Row],[Booked Sale Shares]], "")</f>
        <v/>
      </c>
      <c r="GI83" s="31">
        <f>IF(SnapshotTable[[#This Row],[Sale Proceeds]]&gt;0, SnapshotTable[[#This Row],[Sale Proceeds]] - SnapshotTable[[#This Row],[Sale Basis]], 0)</f>
        <v>0</v>
      </c>
      <c r="GJ83" s="27" t="str">
        <f>IF(SnapshotTable[[#This Row],[Sale G/L]]&gt;0, SnapshotTable[[#This Row],[Sale G/L]] / SnapshotTable[[#This Row],[Sale Basis]], IF(ISNUMBER(SnapshotTable[[#This Row],[SC Exercise P&amp;L (TAX)]]), SnapshotTable[[#This Row],[SC Exercise P&amp;L (TAX)]] / SnapshotTable[[#This Row],[SC Basis]], ""))</f>
        <v/>
      </c>
      <c r="GK83" s="27" t="s">
        <v>661</v>
      </c>
      <c r="GL83" s="43" t="str">
        <f>IF(AND(SnapshotTable[[#This Row],[LP Exp Date]]&gt;0,SnapshotTable[[#This Row],[LP Strike Price]]&gt;0), [1]!ToOptionSymbol(SnapshotTable[[#This Row],[Symbol]], SnapshotTable[[#This Row],[LP Strike Price]],SnapshotTable[[#This Row],[LP Exp Date]],1), "")</f>
        <v/>
      </c>
      <c r="GM83" s="30" t="str">
        <f>IF(LEN(SnapshotTable[[#This Row],[LP Symbol]])&gt;0, 1, "")</f>
        <v/>
      </c>
      <c r="GN83" s="43" t="str">
        <f>IF(AND(SnapshotTable[[#This Row],[SP Exp Date]]&gt;0,SnapshotTable[[#This Row],[SP Strike Price]]&gt;0), [1]!ToOptionSymbol(SnapshotTable[[#This Row],[Symbol]], SnapshotTable[[#This Row],[SP Strike Price]],SnapshotTable[[#This Row],[SP Exp Date]],1), "")</f>
        <v/>
      </c>
      <c r="GO83" s="30" t="str">
        <f>IF(LEN(SnapshotTable[[#This Row],[SP Symbol]])&gt;0, 1, "")</f>
        <v/>
      </c>
      <c r="GP83" s="43" t="str">
        <f>IF(AND(SnapshotTable[[#This Row],[LC Exp Date]]&gt;0,SnapshotTable[[#This Row],[LC Strike Price]]&gt;0), [1]!ToOptionSymbol(SnapshotTable[[#This Row],[Symbol]], SnapshotTable[[#This Row],[LC Strike Price]],SnapshotTable[[#This Row],[LC Exp Date]],0), "")</f>
        <v/>
      </c>
      <c r="GQ83" s="30" t="str">
        <f>IF(LEN(SnapshotTable[[#This Row],[LC Symbol]])&gt;0, 1, "")</f>
        <v/>
      </c>
      <c r="GR83" s="43" t="str">
        <f>IF(AND(SnapshotTable[[#This Row],[SC Exp Date]]&gt;0,SnapshotTable[[#This Row],[SC Strike Price]]&gt;0), [1]!ToOptionSymbol(SnapshotTable[[#This Row],[Symbol]], SnapshotTable[[#This Row],[SC Strike Price]],SnapshotTable[[#This Row],[SC Exp Date]],0), "")</f>
        <v/>
      </c>
      <c r="GS83" s="30" t="str">
        <f>IF(LEN(SnapshotTable[[#This Row],[SC Symbol]])&gt;0, 1, "")</f>
        <v/>
      </c>
      <c r="GT83" s="29" t="str">
        <f>IF(COUNT(SnapshotTable[[#This Row],[LP Symbol Count]],SnapshotTable[[#This Row],[SP Symbol Count]],SnapshotTable[[#This Row],[LC Symbol Count]],SnapshotTable[[#This Row],[SC Symbol Count]])&gt;0, "Y", "")</f>
        <v/>
      </c>
      <c r="GU8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3" s="231" t="e">
        <f>MAX(SnapshotTable[[#This Row],[Equity Basis Total]],SnapshotTable[[#This Row],[Equity Value]]) + (SnapshotTable[[#This Row],[SP Potential Spend]]- SnapshotTable[[#This Row],[SP Premium]] + SnapshotTable[[#This Row],[LP Premium]])+ (SnapshotTable[[#This Row],[LC Premium]] - SnapshotTable[[#This Row],[SC Premium]])</f>
        <v>#VALUE!</v>
      </c>
      <c r="GW83" s="139" t="e">
        <f>IF(AND(SnapshotTable[[#This Row],[Exposure]] &lt;&gt; 0),SnapshotTable[[#This Row],[Exposure]] / SnapshotTable[[#Totals],[Exposure]], "")</f>
        <v>#VALUE!</v>
      </c>
      <c r="HE83" s="268"/>
      <c r="HF83" s="268"/>
      <c r="HK83" s="1"/>
      <c r="HL83" s="1"/>
      <c r="HM83" s="1"/>
      <c r="HN83" s="1"/>
      <c r="HO83" s="1"/>
      <c r="HP83" s="1"/>
    </row>
    <row r="84" spans="2:224" ht="12.75" hidden="1" customHeight="1" x14ac:dyDescent="0.25">
      <c r="B84" s="12" t="s">
        <v>211</v>
      </c>
      <c r="C84" s="422">
        <v>397.16</v>
      </c>
      <c r="D84" s="208" t="s">
        <v>578</v>
      </c>
      <c r="E84" s="39">
        <f>SnapshotTable[[#This Row],[Last Price]]*(1 -CrashDiscount)</f>
        <v>337.58600000000001</v>
      </c>
      <c r="F84" s="26" t="s">
        <v>210</v>
      </c>
      <c r="G84" s="26" t="s">
        <v>9</v>
      </c>
      <c r="H84" s="149"/>
      <c r="I84" s="194">
        <v>44805.291666666664</v>
      </c>
      <c r="J84" s="195">
        <v>44805.291666666664</v>
      </c>
      <c r="K84" s="196"/>
      <c r="L84" s="326"/>
      <c r="M84" s="140"/>
      <c r="N84" s="140"/>
      <c r="O84" s="140"/>
      <c r="P84" s="22"/>
      <c r="Q84" s="25"/>
      <c r="R84" s="4" t="str">
        <f>IF(SnapshotTable[[#This Row],[Equity Basis Total]] &gt; 0, SnapshotTable[[#This Row],[Equity Basis Total]] / SnapshotTable[[#This Row],[Equity Shares]], "")</f>
        <v/>
      </c>
      <c r="S84" s="269">
        <f>SnapshotTable[[#This Row],[Last Price]] * SnapshotTable[[#This Row],[Equity Shares]]</f>
        <v>0</v>
      </c>
      <c r="T84" s="269">
        <f>SnapshotTable[[#This Row],[Equity Value]] - SnapshotTable[[#This Row],[Equity Basis Total]]</f>
        <v>0</v>
      </c>
      <c r="U84" s="270" t="str">
        <f>IF(SnapshotTable[[#This Row],[Equity Basis Total]] &gt; 0, SnapshotTable[[#This Row],[Equity G/L]] / SnapshotTable[[#This Row],[Equity Basis Total]], "")</f>
        <v/>
      </c>
      <c r="V84" s="268"/>
      <c r="W84" s="268"/>
      <c r="X84" s="4" t="str">
        <f>IF(AND(ISNUMBER(SnapshotTable[[#This Row],[Equity Basis Per Share]]),ISNUMBER(SnapshotTable[[#This Row],[Equity Target]])),SnapshotTable[[#This Row],[Equity Target]]-SnapshotTable[[#This Row],[Equity Basis Per Share]],"")</f>
        <v/>
      </c>
      <c r="Y84" s="4" t="str">
        <f>IF(AND(ISNUMBER(SnapshotTable[[#This Row],[Equity Basis Per Share]]),ISNUMBER(SnapshotTable[[#This Row],[Equity Stop Loss]])),SnapshotTable[[#This Row],[Equity Stop Loss]]-SnapshotTable[[#This Row],[Equity Basis Per Share]],"")</f>
        <v/>
      </c>
      <c r="Z84" s="275" t="str">
        <f>IFERROR( TEXT(SnapshotTable[[#This Row],[Equity Max Gain Per Share]] /ABS( SnapshotTable[[#This Row],[Equity Max Loss Per Share]]),"0.0 " ) &amp; " : 1", "")</f>
        <v/>
      </c>
      <c r="AA84" s="31" t="str">
        <f>IF(ISNUMBER(SnapshotTable[[#This Row],[Equity Max Gain Per Share]]),SnapshotTable[[#This Row],[Equity Max Gain Per Share]] * SnapshotTable[[#This Row],[Equity Shares]],"")</f>
        <v/>
      </c>
      <c r="AB84" s="31" t="str">
        <f>IF(ISNUMBER(SnapshotTable[[#This Row],[Equity Max Loss Per Share]]),SnapshotTable[[#This Row],[Equity Max Loss Per Share]] * SnapshotTable[[#This Row],[Equity Shares]],"")</f>
        <v/>
      </c>
      <c r="AC84" s="150">
        <v>0</v>
      </c>
      <c r="AD84" s="151" t="s">
        <v>2</v>
      </c>
      <c r="AE84" s="31">
        <f>(SnapshotTable[[#This Row],[Annual Dividend Per Share]] / 4) * SnapshotTable[[#This Row],[Equity Shares]]</f>
        <v>0</v>
      </c>
      <c r="AF84" s="31">
        <f>SnapshotTable[[#This Row],[Quarterly Div $]] * 4</f>
        <v>0</v>
      </c>
      <c r="AG84" s="7">
        <f>IF(SnapshotTable[[#This Row],[Annual Dividend Per Share]]&gt;0, SnapshotTable[[#This Row],[Annual Dividend Per Share]]  / SnapshotTable[[#This Row],[Last Price]], 0)</f>
        <v>0</v>
      </c>
      <c r="AH84" s="151" t="s">
        <v>2</v>
      </c>
      <c r="AI84" s="5">
        <v>68</v>
      </c>
      <c r="AJ84" s="138">
        <v>60.88</v>
      </c>
      <c r="AK84" s="152">
        <f>IF(ISNUMBER( SnapshotTable[[#This Row],[EBF Target]]),(SnapshotTable[[#This Row],[EBF Target]] - SnapshotTable[[#This Row],[Last Price]]) / SnapshotTable[[#This Row],[Last Price]], "")</f>
        <v>-0.82878436902004227</v>
      </c>
      <c r="AL84" s="152" t="str">
        <f>IF(AND(SnapshotTable[[#This Row],[Equity Basis Total]] &gt; 0,ISNUMBER( SnapshotTable[[#This Row],[Long Term Target]])), SnapshotTable[[#This Row],[From Basis $]] / SnapshotTable[[#This Row],[Equity Basis Total]], "")</f>
        <v/>
      </c>
      <c r="AM84" s="9">
        <f>IF( AND(SnapshotTable[[#This Row],[Equity Shares]] &gt;0,ISNUMBER( SnapshotTable[[#This Row],[Long Term Target]])),(SnapshotTable[[#This Row],[Equity Shares]] * SnapshotTable[[#This Row],[Long Term Target]]) - SnapshotTable[[#This Row],[Equity Basis Total]],0)</f>
        <v>0</v>
      </c>
      <c r="AN84" s="9">
        <f>IF( AND(SnapshotTable[[#This Row],[Equity Shares]] &gt;0,ISNUMBER( SnapshotTable[[#This Row],[Long Term Target]])),(SnapshotTable[[#This Row],[Equity Shares]]*SnapshotTable[[#This Row],[Long Term Target]]) - SnapshotTable[[#This Row],[Equity Value]],0)</f>
        <v>0</v>
      </c>
      <c r="AO84" s="152">
        <f>IF(AND(ISNUMBER( SnapshotTable[[#This Row],[Long Term Target]]), ISNUMBER(SnapshotTable[[#This Row],[Last Price]])),(SnapshotTable[[#This Row],[Long Term Target]] - SnapshotTable[[#This Row],[Last Price]]) / SnapshotTable[[#This Row],[Last Price]], "")</f>
        <v>-0.8467116527344144</v>
      </c>
      <c r="AP84" s="5">
        <v>59.8</v>
      </c>
      <c r="AQ84" s="38" t="s">
        <v>89</v>
      </c>
      <c r="AR84" s="5">
        <v>53.9</v>
      </c>
      <c r="AS84" s="38" t="s">
        <v>32</v>
      </c>
      <c r="AT84" s="146"/>
      <c r="AU84" s="187" t="str">
        <f>IF(OR(SnapshotTable[[#This Row],[LP No Fill]]="Y",SnapshotTable[[#This Row],[SP Is Filled]],SnapshotTable[[#This Row],[LC Not Filled]]="Y",SnapshotTable[[#This Row],[SC Is Filled]]),"Y","")</f>
        <v/>
      </c>
      <c r="AV84" s="219"/>
      <c r="AW84" s="225"/>
      <c r="AX84" s="220"/>
      <c r="AY84" s="219" t="str">
        <f>IF(SnapshotTable[[#This Row],[Implied Move]]&gt;0, SnapshotTable[[#This Row],[Last Price]]-SnapshotTable[[#This Row],[Implied Move]],"")</f>
        <v/>
      </c>
      <c r="AZ84" s="219" t="str">
        <f>IF(SnapshotTable[[#This Row],[Implied Move]]&gt;0, SnapshotTable[[#This Row],[Last Price]] + SnapshotTable[[#This Row],[Implied Move]],"")</f>
        <v/>
      </c>
      <c r="BA84" s="331"/>
      <c r="BB84" s="347"/>
      <c r="BC8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4" s="351"/>
      <c r="BE84" s="5"/>
      <c r="BF84" s="14"/>
      <c r="BG84" s="13"/>
      <c r="BH84" s="13"/>
      <c r="BI84" s="5"/>
      <c r="BJ84" s="136">
        <f>IF(SnapshotTable[[#This Row],[LP Qty]] &gt; 0, SnapshotTable[[#This Row],[LP Qty]] * SnapshotTable[[#This Row],[LP Book Price]] * 100,0)</f>
        <v>0</v>
      </c>
      <c r="BK84" s="136">
        <f>IF(SnapshotTable[[#This Row],[LP Premium]] &gt; 0, SnapshotTable[[#This Row],[LP Qty]] * SnapshotTable[[#This Row],[LP Strike Price]] * 100,0)</f>
        <v>0</v>
      </c>
      <c r="BL84" s="154"/>
      <c r="BM84" s="385" t="str">
        <f>IF(SnapshotTable[[#This Row],[LP Premium]] &gt; 0,SnapshotTable[[#This Row],[LP Exp Date]]-MAX(SnapshotTable[[#This Row],[LP Book Date]], SnapshotTable[[#This Row],[LP Fill Date]]),"")</f>
        <v/>
      </c>
      <c r="BN84" s="385" t="str">
        <f>IF(ISNUMBER( SnapshotTable[[#This Row],[LP Term]]), SnapshotTable[[#This Row],[LP Exp Date]] - MockToday,"")</f>
        <v/>
      </c>
      <c r="BO84" s="163" t="str">
        <f>IF(AND(SnapshotTable[[#This Row],[LP Exp Date]]&gt;0, SnapshotTable[[#This Row],[LP Strike Price]]&gt;0,SnapshotTable[[#This Row],[LP Qty]]&gt;0,SnapshotTable[[#This Row],[LP Book Date]]&gt;0,SnapshotTable[[#This Row],[LP Book Price]]&gt;0,SnapshotTable[[#This Row],[LP Fill Date]]=0),"Y","")</f>
        <v/>
      </c>
      <c r="BP84" s="31" t="str">
        <f>IF(AND(SnapshotTable[[#This Row],[LP No Fill]]&lt;&gt;"Y",SnapshotTable[[#This Row],[LP Contract Value]]&gt;0, SnapshotTable[[#This Row],[LP Qty]]&gt;0), SnapshotTable[[#This Row],[LP Contract Value]]*SnapshotTable[[#This Row],[LP Qty]]*100,"")</f>
        <v/>
      </c>
      <c r="BQ84" s="13"/>
      <c r="BR84" s="5" t="str">
        <f>IF(SnapshotTable[[#This Row],[SP Exp Date]]&lt;&gt;"",TRUNC(SnapshotTable[[#This Row],[Last Price]]),"")</f>
        <v/>
      </c>
      <c r="BS84" s="36"/>
      <c r="BT84" s="147"/>
      <c r="BU84" s="13"/>
      <c r="BV84" s="5"/>
      <c r="BW84" s="419" t="b">
        <f>AND(ISNUMBER(SnapshotTable[[#This Row],[SP Exp Date]]), ISNUMBER(SnapshotTable[[#This Row],[SP Strike Price]]), ISNUMBER(SnapshotTable[[#This Row],[SP Qty]]), ISNUMBER(SnapshotTable[[#This Row],[SP Book Date]]), ISNUMBER(SnapshotTable[[#This Row],[SP Book Price]]))</f>
        <v>0</v>
      </c>
      <c r="BX84" s="419" t="b">
        <f>AND(SnapshotTable[[#This Row],[SP Is Booked]], NOT(ISBLANK(SnapshotTable[[#This Row],[SP Fill Date]])))</f>
        <v>0</v>
      </c>
      <c r="BY84" s="33">
        <f>IF(SnapshotTable[[#This Row],[SP Is Booked]], SnapshotTable[[#This Row],[SP Qty]] * SnapshotTable[[#This Row],[SP Book Price]] * 100, 0)</f>
        <v>0</v>
      </c>
      <c r="BZ84" s="369"/>
      <c r="CA84" s="368">
        <f>SnapshotTable[[#This Row],[LP Qty]]</f>
        <v>0</v>
      </c>
      <c r="CB84" s="4" t="str">
        <f>IF(SnapshotTable[[#This Row],[SP Is Booked]], SnapshotTable[[#This Row],[SP Strike Price]] - SnapshotTable[[#This Row],[SP Book Price]], "")</f>
        <v/>
      </c>
      <c r="CC84" s="19" t="str">
        <f>IF(SnapshotTable[[#This Row],[SP Is Booked]],SnapshotTable[[#This Row],[SP Exp Date]]-MAX(SnapshotTable[[#This Row],[SP Book Date]], SnapshotTable[[#This Row],[SP Fill Date]]),"")</f>
        <v/>
      </c>
      <c r="CD84" s="7" t="str">
        <f>IF(SnapshotTable[[#This Row],[SP Is Booked]], SnapshotTable[[#This Row],[SP Book Price]]/SnapshotTable[[#This Row],[SP Strike Price]], "")</f>
        <v/>
      </c>
      <c r="CE84" s="7" t="str">
        <f>IF(ISNUMBER(SnapshotTable[[#This Row],[SP ROO Term]]),SnapshotTable[[#This Row],[SP ROO Term]]*(365/SnapshotTable[[#This Row],[SP Term]]),"")</f>
        <v/>
      </c>
      <c r="CF84" s="236">
        <f>SnapshotTable[[#This Row],[LP Strike Price]] * SnapshotTable[[#This Row],[LP Qty]] * 100</f>
        <v>0</v>
      </c>
      <c r="CG84" s="31" t="e">
        <f>IF(ISNUMBER(SnapshotTable[[#This Row],[SP Premium]]), (SnapshotTable[[#This Row],[SP Qty]] * SnapshotTable[[#This Row],[SP Strike Price]]* 100) - SnapshotTable[[#This Row],[LP Protection]], 0)</f>
        <v>#VALUE!</v>
      </c>
      <c r="CH84" s="7" t="str">
        <f>IF(ISNUMBER(SnapshotTable[[#This Row],[SP Break Even]]),-1 * (SnapshotTable[[#This Row],[SP Break Even]] - SnapshotTable[[#This Row],[Last Price]]) / SnapshotTable[[#This Row],[Last Price]], "")</f>
        <v/>
      </c>
      <c r="CI84" s="31">
        <f>IF(AND(ISNUMBER((SnapshotTable[[#This Row],[SP Potential Spend]])), SnapshotTable[[#This Row],[SP Strike Price]] &gt; SnapshotTable[[#This Row],[Last Price]], SnapshotTable[[#This Row],[SP Is Filled]]), SnapshotTable[[#This Row],[SP Potential Spend]] -  SnapshotTable[[#This Row],[LP Max Value]], 0)</f>
        <v>0</v>
      </c>
      <c r="CJ84" s="244"/>
      <c r="CK84" s="31" t="str">
        <f>IF(ISNUMBER(SnapshotTable[[#This Row],[SP Potential Spend]]),IF(ISNUMBER(SnapshotTable[[#This Row],[SP POW]]), SnapshotTable[[#This Row],[SP POW]] * SnapshotTable[[#This Row],[SP Potential Spend]], SnapshotTable[[#This Row],[SP Potential Spend]]), "")</f>
        <v/>
      </c>
      <c r="CL84" s="164" t="e">
        <f>IF(NOT(SnapshotTable[[#This Row],[SP Is Filled]]),(SnapshotTable[[#This Row],[SP Qty]] * SnapshotTable[[#This Row],[SP Strike Price]] * 100) - SnapshotTable[[#This Row],[LP Max Value]],"")</f>
        <v>#VALUE!</v>
      </c>
      <c r="CM84" s="31" t="str">
        <f>IF(SnapshotTable[[#This Row],[SP Actual Spend]]&lt;&gt;0, ((SnapshotTable[[#This Row],[SP Strike Price]]-SnapshotTable[[#This Row],[Last Price]]) *(SnapshotTable[[#This Row],[SP Qty]]*100) - SnapshotTable[[#This Row],[SP Premium]]) * - 1, "")</f>
        <v/>
      </c>
      <c r="CN84" s="78"/>
      <c r="CO84" s="369"/>
      <c r="CP84" s="4" t="str">
        <f>IF(SnapshotTable[[#This Row],[SP Is Filled]], btc_max_buyback_amount(SnapshotTable[[#This Row],[SP Fill Date]],SnapshotTable[[#This Row],[SP Exp Date]], SnapshotTable[[#This Row],[SP Book Price]]),"")</f>
        <v/>
      </c>
      <c r="CQ84" s="78"/>
      <c r="CR8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4" s="155" t="str">
        <f>IF(SnapshotTable[[#This Row],[SP Is Filled]], btc_next_cutoff_date(SnapshotTable[[#This Row],[SP Fill Date]],SnapshotTable[[#This Row],[SP Exp Date]]),"")</f>
        <v/>
      </c>
      <c r="CT84" s="235" t="str" cm="1">
        <f t="array" ref="CT84">IF(SnapshotTable[[#This Row],[SP Is Filled]], btc_should_buy_back(SnapshotTable[[#This Row],[SP Fill Date]], SnapshotTable[[#This Row],[SP Exp Date]], SnapshotTable[[#This Row],[SP Book Price]], SnapshotTable[[#This Row],[SP Current Ask]], MockToday, SnapshotTable[[#This Row],[SP Buyback Override]]),"")</f>
        <v/>
      </c>
      <c r="CU84" s="143"/>
      <c r="CV84" s="235"/>
      <c r="CW84" s="378" t="str">
        <f>IF(ISNUMBER( SnapshotTable[[#This Row],[SP Term]]), SnapshotTable[[#This Row],[SP Exp Date]] - MockToday,"")</f>
        <v/>
      </c>
      <c r="CX84" s="31" t="str">
        <f>IF(SnapshotTable[[#This Row],[SP Is Filled]],SnapshotTable[[#This Row],[SP Buyback Price to Use]] * 100 * SnapshotTable[[#This Row],[SP Qty]], "")</f>
        <v/>
      </c>
      <c r="CY84" s="4" t="str">
        <f>IF(ISNUMBER(SnapshotTable[[#This Row],[SP Strike Price]]), SnapshotTable[[#This Row],[SP Strike Price]] * (1 - SP_MaxLoss_StrikePct), "")</f>
        <v/>
      </c>
      <c r="CZ84" s="31" t="str">
        <f>IF(ISNUMBER(SnapshotTable[[#This Row],[SP Strike  Stop Per Share]]),SnapshotTable[[#This Row],[SP Premium]] - ((SnapshotTable[[#This Row],[SP Strike Price]]-SnapshotTable[[#This Row],[SP Strike  Stop Per Share]]) *(SnapshotTable[[#This Row],[SP Qty]] * 100)),"")</f>
        <v/>
      </c>
      <c r="DA84" s="4" t="str">
        <f>IF(AND(ISNUMBER(SnapshotTable[[#This Row],[SP Premium]]),SnapshotTable[[#This Row],[SP Premium]]&gt;0), SnapshotTable[[#This Row],[SP Book Price]] * (1 + SP_MaxLoss_OptionPct), "")</f>
        <v/>
      </c>
      <c r="DB84" s="31" t="str">
        <f>IF(ISNUMBER(SnapshotTable[[#This Row],[SP Option  Stop Contract]]),(SnapshotTable[[#This Row],[SP Option  Stop Contract]] *(SnapshotTable[[#This Row],[SP Qty]] * 100) - SnapshotTable[[#This Row],[SP Premium]]),"")</f>
        <v/>
      </c>
      <c r="DC84" s="4"/>
      <c r="DD84" s="4"/>
      <c r="DE84" s="4" t="str">
        <f>IF(AND(SnapshotTable[[#This Row],[SP Qty]]&gt;0, SnapshotTable[[#This Row],[SP Stop To Use]]&gt;0),SnapshotTable[[#This Row],[SP Premium]] - ( SnapshotTable[[#This Row],[SP Qty]] * SnapshotTable[[#This Row],[SP Stop To Use]] * 100), "")</f>
        <v/>
      </c>
      <c r="DF84" s="31" t="str">
        <f>IF(AND(SnapshotTable[[#This Row],[SP Qty]]&gt;0,SnapshotTable[[#This Row],[SP Current Ask]]&gt;0), SnapshotTable[[#This Row],[SP Qty]] * SnapshotTable[[#This Row],[SP Current Ask]] * -100, "")</f>
        <v/>
      </c>
      <c r="DG84" s="31" t="str">
        <f>IF(ISNUMBER((SnapshotTable[[#This Row],[SP Total Value]])), SnapshotTable[[#This Row],[SP Premium]] + SnapshotTable[[#This Row],[SP Total Value]], "")</f>
        <v/>
      </c>
      <c r="DH84" s="294" t="str">
        <f>IF(ISNUMBER((SnapshotTable[[#This Row],[SP Total Value]])), SnapshotTable[[#This Row],[SP Gain Loss]] / SnapshotTable[[#This Row],[SP Premium]], "")</f>
        <v/>
      </c>
      <c r="DI84" s="406"/>
      <c r="DJ84" s="138"/>
      <c r="DK84" s="148"/>
      <c r="DL84" s="13"/>
      <c r="DM84" s="13"/>
      <c r="DO84" s="31">
        <f>IF(SnapshotTable[[#This Row],[LC Symbol Count]]=1, SnapshotTable[[#This Row],[LC Qty]] * SnapshotTable[[#This Row],[LC Book Price]] * 100, 0)</f>
        <v>0</v>
      </c>
      <c r="DP84" s="163" t="str">
        <f>IF(AND(SnapshotTable[[#This Row],[LC Exp Date]]&gt;0, SnapshotTable[[#This Row],[LC Strike Price]]&gt;0,SnapshotTable[[#This Row],[LC Qty]]&gt;0,SnapshotTable[[#This Row],[LC Book Date]]&gt;0,SnapshotTable[[#This Row],[LC Book Price]]&gt;0,SnapshotTable[[#This Row],[LC Fill Date]]=0),"Y","")</f>
        <v/>
      </c>
      <c r="DQ84" s="386" t="str">
        <f>IF(SnapshotTable[[#This Row],[LC Premium]] &gt; 0,SnapshotTable[[#This Row],[LC Exp Date]]-MAX(SnapshotTable[[#This Row],[LC Book Date]], SnapshotTable[[#This Row],[LC Fill Date]]),"")</f>
        <v/>
      </c>
      <c r="DR84" s="386" t="str">
        <f>IF(ISNUMBER(SnapshotTable[[#This Row],[LC Term]]), SnapshotTable[[#This Row],[LC Exp Date]] - MockToday, "")</f>
        <v/>
      </c>
      <c r="DS84" s="234" t="str">
        <f>IF(SnapshotTable[[#This Row],[LC Premium]]&gt;0,SnapshotTable[[#This Row],[LC Strike Price]] + SnapshotTable[[#This Row],[LC Book Price]],"")</f>
        <v/>
      </c>
      <c r="DU84" s="9" t="str">
        <f>IF(AND(SnapshotTable[[#This Row],[LC Symbol Count]]&gt;0, SnapshotTable[[#This Row],[LC Contract Value]]&gt;0), SnapshotTable[[#This Row],[LC Contract Value]] * SnapshotTable[[#This Row],[LC Qty]] * 100, "")</f>
        <v/>
      </c>
      <c r="DV84" s="9" t="str">
        <f>IF(AND(ISNUMBER(SnapshotTable[[#This Row],[LC Total Value]]), SnapshotTable[[#This Row],[LC Not Filled]]&lt;&gt;"Y"), SnapshotTable[[#This Row],[LC Total Value]]-SnapshotTable[[#This Row],[LC Premium]],"")</f>
        <v/>
      </c>
      <c r="DW84" s="240" t="str">
        <f>IF(ISNUMBER(SnapshotTable[[#This Row],[LC Actual Gain Loss]]), SnapshotTable[[#This Row],[LC Actual Gain Loss]] / SnapshotTable[[#This Row],[LC Premium]],"")</f>
        <v/>
      </c>
      <c r="DX84" s="284" t="str">
        <f>IF(ISNUMBER(SnapshotTable[[#This Row],[LC Book Price]]),SnapshotTable[[#This Row],[LC Book Price]] * 1.5,"")</f>
        <v/>
      </c>
      <c r="DY84" s="265" t="str">
        <f>IF(SnapshotTable[[#This Row],[LC Premium]]&gt;0, SnapshotTable[[#This Row],[LC Next Target]] * SnapshotTable[[#This Row],[LC Qty]] * 100,"")</f>
        <v/>
      </c>
      <c r="DZ84" s="265" t="str">
        <f>IF(ISNUMBER(SnapshotTable[[#This Row],[LC Target Gross]]), SnapshotTable[[#This Row],[LC Target Gross]] - SnapshotTable[[#This Row],[LC Premium]], "")</f>
        <v/>
      </c>
      <c r="EA84" s="305" t="str">
        <f>IF(ISNUMBER(SnapshotTable[[#This Row],[LC Target Gain Loss]]), SnapshotTable[[#This Row],[LC Target Gain Loss]]/SnapshotTable[[#This Row],[LC Premium]], "")</f>
        <v/>
      </c>
      <c r="EB84" s="262"/>
      <c r="EC84" s="283" t="str">
        <f>IF(SnapshotTable[[#This Row],[LC Premium]]&gt;0, SnapshotTable[[#This Row],[LC Book Price]] * (1 - LC_StopLoss_Pct),"")</f>
        <v/>
      </c>
      <c r="ED84" s="284"/>
      <c r="EE84" s="283" t="str">
        <f>IF(ISNUMBER(SnapshotTable[[#This Row],[LC Contract Value]]),IF(ISNUMBER(SnapshotTable[[#This Row],[LC Stop Loss Override]]), SnapshotTable[[#This Row],[LC Stop Loss Override]],SnapshotTable[[#This Row],[LC Stop Loss Calc Target]]),"")</f>
        <v/>
      </c>
      <c r="EF84" s="31" t="str">
        <f>IF(ISNUMBER(SnapshotTable[[#This Row],[LC Stop  To Use]]), (SnapshotTable[[#This Row],[LC Stop  To Use]] * SnapshotTable[[#This Row],[LC Qty]] * 100),"")</f>
        <v/>
      </c>
      <c r="EG84" s="9" t="str">
        <f>IF(ISNUMBER(SnapshotTable[[#This Row],[LC Total Value]]),SnapshotTable[[#This Row],[LC Stop Loss Amount]] - SnapshotTable[[#This Row],[LC Premium]],"")</f>
        <v/>
      </c>
      <c r="EH84" s="9">
        <f>IF(ISNUMBER(SnapshotTable[[#This Row],[LC Premium]]), SnapshotTable[[#This Row],[LC Qty]] * 100 * SnapshotTable[[#This Row],[LC Strike Price]], "")</f>
        <v>0</v>
      </c>
      <c r="EI84" s="240" t="str">
        <f>IF(AND(ISNUMBER(SnapshotTable[[#This Row],[LC Total Value]]),SnapshotTable[[#This Row],[LC Total Value]]&gt;0),SnapshotTable[[#This Row],[LC Stop Gain Loss]]  / SnapshotTable[[#This Row],[LC Premium]],"")</f>
        <v/>
      </c>
      <c r="EJ84" s="35">
        <f>IF(ISNUMBER(SnapshotTable[[#This Row],[Equity Shares]]),TRUNC(SnapshotTable[[#This Row],[Equity Shares]] / 100),0) + SnapshotTable[[#This Row],[LC Qty]]</f>
        <v>0</v>
      </c>
      <c r="EK84" s="147"/>
      <c r="EL84" s="138" t="str">
        <f>IF(SnapshotTable[[#This Row],[SC Exp Date]]&lt;&gt;"",TRUNC(SnapshotTable[[#This Row],[Last Price]]),"")</f>
        <v/>
      </c>
      <c r="EM84" s="148"/>
      <c r="EN84" s="147"/>
      <c r="EO84" s="147"/>
      <c r="EP84" s="138"/>
      <c r="EQ84" s="419" t="b">
        <f>AND(ISNUMBER(SnapshotTable[[#This Row],[SC Exp Date]]), ISNUMBER(SnapshotTable[[#This Row],[SC Strike Price]]), ISNUMBER(SnapshotTable[[#This Row],[SC Qty]]), ISNUMBER(SnapshotTable[[#This Row],[SC Book Date]]), ISNUMBER(SnapshotTable[[#This Row],[SC Book Price]]))</f>
        <v>0</v>
      </c>
      <c r="ER84" s="419" t="b">
        <f>AND(SnapshotTable[[#This Row],[SC Is Booked]], NOT(ISBLANK(SnapshotTable[[#This Row],[SC Fill Date]])))</f>
        <v>0</v>
      </c>
      <c r="ES84" s="370"/>
      <c r="ET84" s="34" t="str">
        <f>IF(AND(ISNUMBER(SnapshotTable[[#This Row],[SC Exp Date]]), ISNUMBER(SnapshotTable[[#This Row],[SC Book Date]])), SnapshotTable[[#This Row],[SC Exp Date]] - MAX(SnapshotTable[[#This Row],[SC Book Date]], SnapshotTable[[#This Row],[SC Fill Date]]) + 1, "")</f>
        <v/>
      </c>
      <c r="EU84" s="34" t="str">
        <f>IF(ISNUMBER(SnapshotTable[[#This Row],[SC Term]]), SnapshotTable[[#This Row],[SC Exp Date]]- MockToday, "")</f>
        <v/>
      </c>
      <c r="EV84" s="31">
        <f>IF(SnapshotTable[[#This Row],[SC Is Booked]], SnapshotTable[[#This Row],[SC Qty]] * SnapshotTable[[#This Row],[SC Book Price]] * 100, 0)</f>
        <v>0</v>
      </c>
      <c r="EW84" s="4" t="str">
        <f>IF(AND(ISNUMBER(SnapshotTable[[#This Row],[Last Price]]), ISNUMBER( SnapshotTable[[#This Row],[SC Book Price]])), SnapshotTable[[#This Row],[Last Price]] - SnapshotTable[[#This Row],[SC Book Price]],"")</f>
        <v/>
      </c>
      <c r="EX84" s="234" t="str">
        <f>IF(SnapshotTable[[#This Row],[SC Is Booked]],IF(SnapshotTable[[#This Row],[SC Intrinsic Value]] &gt; 0, SnapshotTable[[#This Row],[SC Strike Price]], SnapshotTable[[#This Row],[Last Price]]), "")</f>
        <v/>
      </c>
      <c r="EY84" s="4">
        <f>IF(SnapshotTable[[#This Row],[SC Is Booked]], (MinimumPremiumRequired * SnapshotTable[[#This Row],[SC Basis]] * SnapshotTable[[#This Row],[SC Term]]), 0)</f>
        <v>0</v>
      </c>
      <c r="EZ84" s="283"/>
      <c r="FA84" s="218"/>
      <c r="FB84" s="370"/>
      <c r="FC84" s="4">
        <f>IF(SnapshotTable[[#This Row],[SC Is Filled]], btc_max_buyback_amount(SnapshotTable[[#This Row],[SC Fill Date]],SnapshotTable[[#This Row],[SC Exp Date]], SnapshotTable[[#This Row],[SC Book Price]]),0)</f>
        <v>0</v>
      </c>
      <c r="FD84" s="5"/>
      <c r="FE84" s="144" t="str">
        <f>IF(SnapshotTable[[#This Row],[SC Is Filled]], btc_next_cutoff_date(SnapshotTable[[#This Row],[SC Fill Date]],SnapshotTable[[#This Row],[SC Exp Date]]),"")</f>
        <v/>
      </c>
      <c r="FF84" s="4" t="str" cm="1">
        <f t="array" ref="FF84">IF(SnapshotTable[[#This Row],[SC Is Filled]], btc_should_buy_back(SnapshotTable[[#This Row],[SC Fill Date]], SnapshotTable[[#This Row],[SC Exp Date]], SnapshotTable[[#This Row],[SC Book Price]], SnapshotTable[[#This Row],[SC Current Ask]], MockToday, SnapshotTable[[#This Row],[SC Buyback Override]]),"")</f>
        <v/>
      </c>
      <c r="FG84" s="4">
        <f>IF(SnapshotTable[[#This Row],[SC Is Filled]], MAX(0,SnapshotTable[[#This Row],[Last Price]]  - SnapshotTable[[#This Row],[SC Strike Price]]), 0)</f>
        <v>0</v>
      </c>
      <c r="FH84" s="382">
        <f>IF(SnapshotTable[[#This Row],[SC Is Filled]], IF(ISNUMBER(SnapshotTable[[#This Row],[SC Current Ask]]), SnapshotTable[[#This Row],[SC Current Ask]], SnapshotTable[[#This Row],[SC Book Price]]) - SnapshotTable[[#This Row],[SC Intrinsic Value]], 0)</f>
        <v>0</v>
      </c>
      <c r="FI84" s="143"/>
      <c r="FJ84" s="32" t="str">
        <f>IF(SnapshotTable[[#This Row],[SC Is Filled]],100 * SnapshotTable[[#This Row],[SC Qty]] * IF(ISNUMBER(SnapshotTable[[#This Row],[SC Buyback Override]]), SnapshotTable[[#This Row],[SC Buyback Override]], SnapshotTable[[#This Row],[SC Current Ask]]), "")</f>
        <v/>
      </c>
      <c r="FK84" s="250" t="str">
        <f>IF(SnapshotTable[[#This Row],[SC Time Val]]&gt;0, SnapshotTable[[#This Row],[SC Time Val]] / SnapshotTable[[#This Row],[Last Price]],"")</f>
        <v/>
      </c>
      <c r="FL84" s="302" t="str">
        <f>IF(SnapshotTable[[#This Row],[SC Is Booked]], ((SnapshotTable[[#This Row],[Last Price]] -SnapshotTable[[#This Row],[SC Strike Price]]) / SnapshotTable[[#This Row],[Last Price]]) * -1, "")</f>
        <v/>
      </c>
      <c r="FM84" s="157" t="str">
        <f>IF(SnapshotTable[[#This Row],[SC Is Booked]],  (SnapshotTable[[#This Row],[SC Qty]] * 100 * SnapshotTable[[#This Row],[SC Strike Price]]) - SnapshotTable[[#This Row],[SC Current Ask]], "")</f>
        <v/>
      </c>
      <c r="FN8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4" s="31" t="str">
        <f>IF(AND(ISNUMBER(SnapshotTable[[#This Row],[SC Exercise Gross]]), ISNUMBER(SnapshotTable[[#This Row],[Equity Basis Per Share]] )), SnapshotTable[[#This Row],[SC Exercise Gross]] - SnapshotTable[[#This Row],[Equity Basis Total]] +  SnapshotTable[[#This Row],[SC Premium]], "")</f>
        <v/>
      </c>
      <c r="FP84" s="5" t="str">
        <f>IF(ISNUMBER(SnapshotTable[[#This Row],[SC Exercise Gross]]), (SnapshotTable[[#This Row],[SC Exercise Gross]]) / (SnapshotTable[[#This Row],[SC Qty]] * 100), "")</f>
        <v/>
      </c>
      <c r="FQ84" s="27" t="str">
        <f>IF(SnapshotTable[[#This Row],[SC Is Booked]],SnapshotTable[[#This Row],[SC Time Val]] /SnapshotTable[[#This Row],[SC Basis]], "")</f>
        <v/>
      </c>
      <c r="FR84" s="27" t="str" cm="1">
        <f t="array" ref="FR84">IF(AND(ISNUMBER(SnapshotTable[[#This Row],[SC Term]]),ISNUMBER(SnapshotTable[[#This Row],[SC Simple ROO]])), EllmanAnnualize(SnapshotTable[[#This Row],[SC DTE]], SnapshotTable[[#This Row],[SC Simple ROO]] ),"")</f>
        <v/>
      </c>
      <c r="FS84" s="4" t="e">
        <f>IF(SnapshotTable[[#This Row],[SC Strike Price]] &gt; SnapshotTable[[#This Row],[Last Price]], SnapshotTable[[#This Row],[SC Strike Price]] - SnapshotTable[[#This Row],[Last Price]],0)</f>
        <v>#VALUE!</v>
      </c>
      <c r="FT84" s="27" t="e">
        <f>IF(AND(ISNUMBER(SnapshotTable[[#This Row],[SC Upside Potential]]), SnapshotTable[[#This Row],[SC Upside Potential]] &gt; 0),(SnapshotTable[[#This Row],[SC Upside Potential]]/ SnapshotTable[[#This Row],[ACB]]),"")</f>
        <v>#VALUE!</v>
      </c>
      <c r="FU84" s="333" t="str">
        <f>IF(SnapshotTable[[#This Row],[SC Intrinsic Value]] &gt; 0,SnapshotTable[[#This Row],[SC Intrinsic Value]],"")</f>
        <v/>
      </c>
      <c r="FV84" s="27" t="str">
        <f>IF(AND( ISNUMBER( SnapshotTable[[#This Row],[ACB]]),ISNUMBER(SnapshotTable[[#This Row],[SC Downside Protect]])),SnapshotTable[[#This Row],[SC Downside Protect]] / SnapshotTable[[#This Row],[ACB]],"")</f>
        <v/>
      </c>
      <c r="FW84" s="236" t="str">
        <f>IF(AND(ISNUMBER(SnapshotTable[[#This Row],[SC Simple ROO]]),SnapshotTable[[#This Row],[SC Simple ROO]] &gt; 0), SnapshotTable[[#This Row],[SC Premium]] + (SnapshotTable[[#This Row],[SC Qty]] * SnapshotTable[[#This Row],[SC Upside Potential]]), "")</f>
        <v/>
      </c>
      <c r="FX84" s="302" t="str" cm="1">
        <f t="array" ref="FX84">IF(ISNUMBER(SnapshotTable[[#This Row],[SC Max Dollars]]), annualize(SnapshotTable[[#This Row],[SC Term]],(SnapshotTable[[#This Row],[SC Max Dollars]]/SnapshotTable[[#This Row],[SC Basis]])),"")</f>
        <v/>
      </c>
      <c r="FY84" s="236" t="str">
        <f>IF(AND(SnapshotTable[[#This Row],[SC Qty]]&gt;0,SnapshotTable[[#This Row],[SC Current Ask]]&gt;0), SnapshotTable[[#This Row],[SC Qty]] * SnapshotTable[[#This Row],[SC Current Ask]] * -100, "")</f>
        <v/>
      </c>
      <c r="FZ84" s="31" t="str">
        <f>IF(ISNUMBER((SnapshotTable[[#This Row],[SC Current Value]])), SnapshotTable[[#This Row],[SC Premium]] + SnapshotTable[[#This Row],[SC Current Value]], "")</f>
        <v/>
      </c>
      <c r="GA84" s="294" t="str">
        <f>IFERROR( IF(ISNUMBER((SnapshotTable[[#This Row],[SC Current Value]])), SnapshotTable[[#This Row],[SC Gain Loss]] / SnapshotTable[[#This Row],[SC Premium]], ""), "")</f>
        <v/>
      </c>
      <c r="GB84" s="42">
        <f>SnapshotTable[[#This Row],[Equity Shares]] * SaleSharesToConsiderPercentage</f>
        <v>0</v>
      </c>
      <c r="GC84" s="40">
        <f>SnapshotTable[[#This Row],[Long Term Target]] * SellingPriceToConsiderBasedOnTargetPercentage</f>
        <v>57.835999999999999</v>
      </c>
      <c r="GD84" s="40">
        <f>SnapshotTable[[#This Row],[Last Price]] * (1+ SellingPriceToConsiderBasedOnTargetPercentage)</f>
        <v>774.46199999999999</v>
      </c>
      <c r="GE84" s="41"/>
      <c r="GF84" s="40">
        <v>22.18</v>
      </c>
      <c r="GG84" s="31">
        <f>SnapshotTable[[#This Row],[Booked Sale Shares]] * SnapshotTable[[#This Row],[Booked Sale Price]]</f>
        <v>0</v>
      </c>
      <c r="GH84" s="31" t="str">
        <f>IF(SnapshotTable[[#This Row],[Equity Basis Total]] &gt; 0, SnapshotTable[[#This Row],[Equity Basis Per Share]] * SnapshotTable[[#This Row],[Booked Sale Shares]], "")</f>
        <v/>
      </c>
      <c r="GI84" s="31">
        <f>IF(SnapshotTable[[#This Row],[Sale Proceeds]]&gt;0, SnapshotTable[[#This Row],[Sale Proceeds]] - SnapshotTable[[#This Row],[Sale Basis]], 0)</f>
        <v>0</v>
      </c>
      <c r="GJ84" s="27" t="str">
        <f>IF(SnapshotTable[[#This Row],[Sale G/L]]&gt;0, SnapshotTable[[#This Row],[Sale G/L]] / SnapshotTable[[#This Row],[Sale Basis]], IF(ISNUMBER(SnapshotTable[[#This Row],[SC Exercise P&amp;L (TAX)]]), SnapshotTable[[#This Row],[SC Exercise P&amp;L (TAX)]] / SnapshotTable[[#This Row],[SC Basis]], ""))</f>
        <v/>
      </c>
      <c r="GK84" s="27" t="s">
        <v>662</v>
      </c>
      <c r="GL84" s="43" t="str">
        <f>IF(AND(SnapshotTable[[#This Row],[LP Exp Date]]&gt;0,SnapshotTable[[#This Row],[LP Strike Price]]&gt;0), [1]!ToOptionSymbol(SnapshotTable[[#This Row],[Symbol]], SnapshotTable[[#This Row],[LP Strike Price]],SnapshotTable[[#This Row],[LP Exp Date]],1), "")</f>
        <v/>
      </c>
      <c r="GM84" s="30" t="str">
        <f>IF(LEN(SnapshotTable[[#This Row],[LP Symbol]])&gt;0, 1, "")</f>
        <v/>
      </c>
      <c r="GN84" s="43" t="str">
        <f>IF(AND(SnapshotTable[[#This Row],[SP Exp Date]]&gt;0,SnapshotTable[[#This Row],[SP Strike Price]]&gt;0), [1]!ToOptionSymbol(SnapshotTable[[#This Row],[Symbol]], SnapshotTable[[#This Row],[SP Strike Price]],SnapshotTable[[#This Row],[SP Exp Date]],1), "")</f>
        <v/>
      </c>
      <c r="GO84" s="30" t="str">
        <f>IF(LEN(SnapshotTable[[#This Row],[SP Symbol]])&gt;0, 1, "")</f>
        <v/>
      </c>
      <c r="GP84" s="43" t="str">
        <f>IF(AND(SnapshotTable[[#This Row],[LC Exp Date]]&gt;0,SnapshotTable[[#This Row],[LC Strike Price]]&gt;0), [1]!ToOptionSymbol(SnapshotTable[[#This Row],[Symbol]], SnapshotTable[[#This Row],[LC Strike Price]],SnapshotTable[[#This Row],[LC Exp Date]],0), "")</f>
        <v/>
      </c>
      <c r="GQ84" s="30" t="str">
        <f>IF(LEN(SnapshotTable[[#This Row],[LC Symbol]])&gt;0, 1, "")</f>
        <v/>
      </c>
      <c r="GR84" s="43" t="str">
        <f>IF(AND(SnapshotTable[[#This Row],[SC Exp Date]]&gt;0,SnapshotTable[[#This Row],[SC Strike Price]]&gt;0), [1]!ToOptionSymbol(SnapshotTable[[#This Row],[Symbol]], SnapshotTable[[#This Row],[SC Strike Price]],SnapshotTable[[#This Row],[SC Exp Date]],0), "")</f>
        <v/>
      </c>
      <c r="GS84" s="30" t="str">
        <f>IF(LEN(SnapshotTable[[#This Row],[SC Symbol]])&gt;0, 1, "")</f>
        <v/>
      </c>
      <c r="GT84" s="29" t="str">
        <f>IF(COUNT(SnapshotTable[[#This Row],[LP Symbol Count]],SnapshotTable[[#This Row],[SP Symbol Count]],SnapshotTable[[#This Row],[LC Symbol Count]],SnapshotTable[[#This Row],[SC Symbol Count]])&gt;0, "Y", "")</f>
        <v/>
      </c>
      <c r="GU8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4" s="231" t="e">
        <f>MAX(SnapshotTable[[#This Row],[Equity Basis Total]],SnapshotTable[[#This Row],[Equity Value]]) + (SnapshotTable[[#This Row],[SP Potential Spend]]- SnapshotTable[[#This Row],[SP Premium]] + SnapshotTable[[#This Row],[LP Premium]])+ (SnapshotTable[[#This Row],[LC Premium]] - SnapshotTable[[#This Row],[SC Premium]])</f>
        <v>#VALUE!</v>
      </c>
      <c r="GW84" s="139" t="e">
        <f>IF(AND(SnapshotTable[[#This Row],[Exposure]] &lt;&gt; 0),SnapshotTable[[#This Row],[Exposure]] / SnapshotTable[[#Totals],[Exposure]], "")</f>
        <v>#VALUE!</v>
      </c>
      <c r="HE84" s="268"/>
      <c r="HF84" s="268"/>
      <c r="HK84" s="1"/>
      <c r="HL84" s="1"/>
      <c r="HM84" s="1"/>
      <c r="HN84" s="1"/>
      <c r="HO84" s="1"/>
      <c r="HP84" s="1"/>
    </row>
    <row r="85" spans="2:224" ht="12.75" hidden="1" customHeight="1" x14ac:dyDescent="0.25">
      <c r="B85" s="12" t="s">
        <v>495</v>
      </c>
      <c r="C85" s="422">
        <v>108.08</v>
      </c>
      <c r="D85" s="208" t="s">
        <v>850</v>
      </c>
      <c r="E85" s="39">
        <f>SnapshotTable[[#This Row],[Last Price]]*(1 -CrashDiscount)</f>
        <v>91.867999999999995</v>
      </c>
      <c r="F85" s="26" t="s">
        <v>148</v>
      </c>
      <c r="G85" s="26" t="s">
        <v>49</v>
      </c>
      <c r="H85" s="149"/>
      <c r="I85" s="194">
        <v>44776.270833333336</v>
      </c>
      <c r="J85" s="195">
        <v>44776.270833333336</v>
      </c>
      <c r="K85" s="196"/>
      <c r="L85" s="326"/>
      <c r="M85" s="140">
        <v>1</v>
      </c>
      <c r="N85" s="140" t="b">
        <v>1</v>
      </c>
      <c r="O85" s="140">
        <v>3</v>
      </c>
      <c r="P85" s="22"/>
      <c r="Q85" s="25"/>
      <c r="R85" s="4" t="str">
        <f>IF(SnapshotTable[[#This Row],[Equity Basis Total]] &gt; 0, SnapshotTable[[#This Row],[Equity Basis Total]] / SnapshotTable[[#This Row],[Equity Shares]], "")</f>
        <v/>
      </c>
      <c r="S85" s="269">
        <f>SnapshotTable[[#This Row],[Last Price]] * SnapshotTable[[#This Row],[Equity Shares]]</f>
        <v>0</v>
      </c>
      <c r="T85" s="269">
        <f>SnapshotTable[[#This Row],[Equity Value]] - SnapshotTable[[#This Row],[Equity Basis Total]]</f>
        <v>0</v>
      </c>
      <c r="U85" s="270" t="str">
        <f>IF(SnapshotTable[[#This Row],[Equity Basis Total]] &gt; 0, SnapshotTable[[#This Row],[Equity G/L]] / SnapshotTable[[#This Row],[Equity Basis Total]], "")</f>
        <v/>
      </c>
      <c r="V85" s="268">
        <v>80</v>
      </c>
      <c r="W85" s="268">
        <v>52.5</v>
      </c>
      <c r="X85" s="4" t="str">
        <f>IF(AND(ISNUMBER(SnapshotTable[[#This Row],[Equity Basis Per Share]]),ISNUMBER(SnapshotTable[[#This Row],[Equity Target]])),SnapshotTable[[#This Row],[Equity Target]]-SnapshotTable[[#This Row],[Equity Basis Per Share]],"")</f>
        <v/>
      </c>
      <c r="Y85" s="4" t="str">
        <f>IF(AND(ISNUMBER(SnapshotTable[[#This Row],[Equity Basis Per Share]]),ISNUMBER(SnapshotTable[[#This Row],[Equity Stop Loss]])),SnapshotTable[[#This Row],[Equity Stop Loss]]-SnapshotTable[[#This Row],[Equity Basis Per Share]],"")</f>
        <v/>
      </c>
      <c r="Z85" s="275" t="str">
        <f>IFERROR( TEXT(SnapshotTable[[#This Row],[Equity Max Gain Per Share]] /ABS( SnapshotTable[[#This Row],[Equity Max Loss Per Share]]),"0.0 " ) &amp; " : 1", "")</f>
        <v/>
      </c>
      <c r="AA85" s="31" t="str">
        <f>IF(ISNUMBER(SnapshotTable[[#This Row],[Equity Max Gain Per Share]]),SnapshotTable[[#This Row],[Equity Max Gain Per Share]] * SnapshotTable[[#This Row],[Equity Shares]],"")</f>
        <v/>
      </c>
      <c r="AB85" s="31" t="str">
        <f>IF(ISNUMBER(SnapshotTable[[#This Row],[Equity Max Loss Per Share]]),SnapshotTable[[#This Row],[Equity Max Loss Per Share]] * SnapshotTable[[#This Row],[Equity Shares]],"")</f>
        <v/>
      </c>
      <c r="AC85" s="150">
        <v>2</v>
      </c>
      <c r="AD85" s="151">
        <v>43954</v>
      </c>
      <c r="AE85" s="31">
        <f>(SnapshotTable[[#This Row],[Annual Dividend Per Share]] / 4) * SnapshotTable[[#This Row],[Equity Shares]]</f>
        <v>0</v>
      </c>
      <c r="AF85" s="31">
        <f>SnapshotTable[[#This Row],[Quarterly Div $]] * 4</f>
        <v>0</v>
      </c>
      <c r="AG85" s="7">
        <f>IF(SnapshotTable[[#This Row],[Annual Dividend Per Share]]&gt;0, SnapshotTable[[#This Row],[Annual Dividend Per Share]]  / SnapshotTable[[#This Row],[Last Price]], 0)</f>
        <v>1.8504811250925242E-2</v>
      </c>
      <c r="AH85" s="151">
        <v>43943</v>
      </c>
      <c r="AI85" s="5">
        <v>84</v>
      </c>
      <c r="AJ85" s="138">
        <v>78.680000000000007</v>
      </c>
      <c r="AK85" s="152">
        <f>IF(ISNUMBER( SnapshotTable[[#This Row],[EBF Target]]),(SnapshotTable[[#This Row],[EBF Target]] - SnapshotTable[[#This Row],[Last Price]]) / SnapshotTable[[#This Row],[Last Price]], "")</f>
        <v>-0.22279792746113988</v>
      </c>
      <c r="AL85" s="152" t="str">
        <f>IF(AND(SnapshotTable[[#This Row],[Equity Basis Total]] &gt; 0,ISNUMBER( SnapshotTable[[#This Row],[Long Term Target]])), SnapshotTable[[#This Row],[From Basis $]] / SnapshotTable[[#This Row],[Equity Basis Total]], "")</f>
        <v/>
      </c>
      <c r="AM85" s="9">
        <f>IF( AND(SnapshotTable[[#This Row],[Equity Shares]] &gt;0,ISNUMBER( SnapshotTable[[#This Row],[Long Term Target]])),(SnapshotTable[[#This Row],[Equity Shares]] * SnapshotTable[[#This Row],[Long Term Target]]) - SnapshotTable[[#This Row],[Equity Basis Total]],0)</f>
        <v>0</v>
      </c>
      <c r="AN85" s="9">
        <f>IF( AND(SnapshotTable[[#This Row],[Equity Shares]] &gt;0,ISNUMBER( SnapshotTable[[#This Row],[Long Term Target]])),(SnapshotTable[[#This Row],[Equity Shares]]*SnapshotTable[[#This Row],[Long Term Target]]) - SnapshotTable[[#This Row],[Equity Value]],0)</f>
        <v>0</v>
      </c>
      <c r="AO85" s="152">
        <f>IF(AND(ISNUMBER( SnapshotTable[[#This Row],[Long Term Target]]), ISNUMBER(SnapshotTable[[#This Row],[Last Price]])),(SnapshotTable[[#This Row],[Long Term Target]] - SnapshotTable[[#This Row],[Last Price]]) / SnapshotTable[[#This Row],[Last Price]], "")</f>
        <v>-0.27202072538860095</v>
      </c>
      <c r="AP85" s="5"/>
      <c r="AQ85" s="38"/>
      <c r="AR85" s="5"/>
      <c r="AS85" s="38"/>
      <c r="AT85" s="146"/>
      <c r="AU85" s="187" t="str">
        <f>IF(OR(SnapshotTable[[#This Row],[LP No Fill]]="Y",SnapshotTable[[#This Row],[SP Is Filled]],SnapshotTable[[#This Row],[LC Not Filled]]="Y",SnapshotTable[[#This Row],[SC Is Filled]]),"Y","")</f>
        <v/>
      </c>
      <c r="AV85" s="219"/>
      <c r="AW85" s="225"/>
      <c r="AX85" s="220"/>
      <c r="AY85" s="219"/>
      <c r="AZ85" s="219"/>
      <c r="BA85" s="331"/>
      <c r="BB85" s="347"/>
      <c r="BC8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5" s="351"/>
      <c r="BE85" s="5"/>
      <c r="BF85" s="14"/>
      <c r="BG85" s="13"/>
      <c r="BH85" s="13"/>
      <c r="BI85" s="5"/>
      <c r="BJ85" s="136">
        <f>IF(SnapshotTable[[#This Row],[LP Qty]] &gt; 0, SnapshotTable[[#This Row],[LP Qty]] * SnapshotTable[[#This Row],[LP Book Price]] * 100,0)</f>
        <v>0</v>
      </c>
      <c r="BK85" s="136">
        <f>IF(SnapshotTable[[#This Row],[LP Premium]] &gt; 0, SnapshotTable[[#This Row],[LP Qty]] * SnapshotTable[[#This Row],[LP Strike Price]] * 100,0)</f>
        <v>0</v>
      </c>
      <c r="BL85" s="154"/>
      <c r="BM85" s="385" t="str">
        <f>IF(SnapshotTable[[#This Row],[LP Premium]] &gt; 0,SnapshotTable[[#This Row],[LP Exp Date]]-MAX(SnapshotTable[[#This Row],[LP Book Date]], SnapshotTable[[#This Row],[LP Fill Date]]),"")</f>
        <v/>
      </c>
      <c r="BN85" s="385" t="str">
        <f>IF(ISNUMBER( SnapshotTable[[#This Row],[LP Term]]), SnapshotTable[[#This Row],[LP Exp Date]] - MockToday,"")</f>
        <v/>
      </c>
      <c r="BO85" s="163" t="str">
        <f>IF(AND(SnapshotTable[[#This Row],[LP Exp Date]]&gt;0, SnapshotTable[[#This Row],[LP Strike Price]]&gt;0,SnapshotTable[[#This Row],[LP Qty]]&gt;0,SnapshotTable[[#This Row],[LP Book Date]]&gt;0,SnapshotTable[[#This Row],[LP Book Price]]&gt;0,SnapshotTable[[#This Row],[LP Fill Date]]=0),"Y","")</f>
        <v/>
      </c>
      <c r="BP85" s="31" t="str">
        <f>IF(AND(SnapshotTable[[#This Row],[LP No Fill]]&lt;&gt;"Y",SnapshotTable[[#This Row],[LP Contract Value]]&gt;0, SnapshotTable[[#This Row],[LP Qty]]&gt;0), SnapshotTable[[#This Row],[LP Contract Value]]*SnapshotTable[[#This Row],[LP Qty]]*100,"")</f>
        <v/>
      </c>
      <c r="BQ85" s="13"/>
      <c r="BR85" s="5" t="str">
        <f>IF(SnapshotTable[[#This Row],[SP Exp Date]]&lt;&gt;"",TRUNC(SnapshotTable[[#This Row],[Last Price]]),"")</f>
        <v/>
      </c>
      <c r="BS85" s="36"/>
      <c r="BT85" s="147"/>
      <c r="BU85" s="13"/>
      <c r="BV85" s="5"/>
      <c r="BW85" s="419" t="b">
        <f>AND(ISNUMBER(SnapshotTable[[#This Row],[SP Exp Date]]), ISNUMBER(SnapshotTable[[#This Row],[SP Strike Price]]), ISNUMBER(SnapshotTable[[#This Row],[SP Qty]]), ISNUMBER(SnapshotTable[[#This Row],[SP Book Date]]), ISNUMBER(SnapshotTable[[#This Row],[SP Book Price]]))</f>
        <v>0</v>
      </c>
      <c r="BX85" s="419" t="b">
        <f>AND(SnapshotTable[[#This Row],[SP Is Booked]], NOT(ISBLANK(SnapshotTable[[#This Row],[SP Fill Date]])))</f>
        <v>0</v>
      </c>
      <c r="BY85" s="33">
        <f>IF(SnapshotTable[[#This Row],[SP Is Booked]], SnapshotTable[[#This Row],[SP Qty]] * SnapshotTable[[#This Row],[SP Book Price]] * 100, 0)</f>
        <v>0</v>
      </c>
      <c r="BZ85" s="369"/>
      <c r="CA85" s="368">
        <f>SnapshotTable[[#This Row],[LP Qty]]</f>
        <v>0</v>
      </c>
      <c r="CB85" s="4" t="str">
        <f>IF(SnapshotTable[[#This Row],[SP Is Booked]], SnapshotTable[[#This Row],[SP Strike Price]] - SnapshotTable[[#This Row],[SP Book Price]], "")</f>
        <v/>
      </c>
      <c r="CC85" s="19" t="str">
        <f>IF(SnapshotTable[[#This Row],[SP Is Booked]],SnapshotTable[[#This Row],[SP Exp Date]]-MAX(SnapshotTable[[#This Row],[SP Book Date]], SnapshotTable[[#This Row],[SP Fill Date]]),"")</f>
        <v/>
      </c>
      <c r="CD85" s="7" t="str">
        <f>IF(SnapshotTable[[#This Row],[SP Is Booked]], SnapshotTable[[#This Row],[SP Book Price]]/SnapshotTable[[#This Row],[SP Strike Price]], "")</f>
        <v/>
      </c>
      <c r="CE85" s="7" t="str">
        <f>IF(ISNUMBER(SnapshotTable[[#This Row],[SP ROO Term]]),SnapshotTable[[#This Row],[SP ROO Term]]*(365/SnapshotTable[[#This Row],[SP Term]]),"")</f>
        <v/>
      </c>
      <c r="CF85" s="236">
        <f>SnapshotTable[[#This Row],[LP Strike Price]] * SnapshotTable[[#This Row],[LP Qty]] * 100</f>
        <v>0</v>
      </c>
      <c r="CG85" s="31" t="e">
        <f>IF(ISNUMBER(SnapshotTable[[#This Row],[SP Premium]]), (SnapshotTable[[#This Row],[SP Qty]] * SnapshotTable[[#This Row],[SP Strike Price]]* 100) - SnapshotTable[[#This Row],[LP Protection]], 0)</f>
        <v>#VALUE!</v>
      </c>
      <c r="CH85" s="7" t="str">
        <f>IF(ISNUMBER(SnapshotTable[[#This Row],[SP Break Even]]),-1 * (SnapshotTable[[#This Row],[SP Break Even]] - SnapshotTable[[#This Row],[Last Price]]) / SnapshotTable[[#This Row],[Last Price]], "")</f>
        <v/>
      </c>
      <c r="CI85" s="31">
        <f>IF(AND(ISNUMBER((SnapshotTable[[#This Row],[SP Potential Spend]])), SnapshotTable[[#This Row],[SP Strike Price]] &gt; SnapshotTable[[#This Row],[Last Price]], SnapshotTable[[#This Row],[SP Is Filled]]), SnapshotTable[[#This Row],[SP Potential Spend]] -  SnapshotTable[[#This Row],[LP Max Value]], 0)</f>
        <v>0</v>
      </c>
      <c r="CJ85" s="244"/>
      <c r="CK85" s="31" t="str">
        <f>IF(ISNUMBER(SnapshotTable[[#This Row],[SP Potential Spend]]),IF(ISNUMBER(SnapshotTable[[#This Row],[SP POW]]), SnapshotTable[[#This Row],[SP POW]] * SnapshotTable[[#This Row],[SP Potential Spend]], SnapshotTable[[#This Row],[SP Potential Spend]]), "")</f>
        <v/>
      </c>
      <c r="CL85" s="164" t="e">
        <f>IF(NOT(SnapshotTable[[#This Row],[SP Is Filled]]),(SnapshotTable[[#This Row],[SP Qty]] * SnapshotTable[[#This Row],[SP Strike Price]] * 100) - SnapshotTable[[#This Row],[LP Max Value]],"")</f>
        <v>#VALUE!</v>
      </c>
      <c r="CM85" s="31" t="str">
        <f>IF(SnapshotTable[[#This Row],[SP Actual Spend]]&lt;&gt;0, ((SnapshotTable[[#This Row],[SP Strike Price]]-SnapshotTable[[#This Row],[Last Price]]) *(SnapshotTable[[#This Row],[SP Qty]]*100) - SnapshotTable[[#This Row],[SP Premium]]) * - 1, "")</f>
        <v/>
      </c>
      <c r="CN85" s="78"/>
      <c r="CO85" s="369"/>
      <c r="CP85" s="4" t="str">
        <f>IF(SnapshotTable[[#This Row],[SP Is Filled]], btc_max_buyback_amount(SnapshotTable[[#This Row],[SP Fill Date]],SnapshotTable[[#This Row],[SP Exp Date]], SnapshotTable[[#This Row],[SP Book Price]]),"")</f>
        <v/>
      </c>
      <c r="CQ85" s="78"/>
      <c r="CR8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5" s="155" t="str">
        <f>IF(SnapshotTable[[#This Row],[SP Is Filled]], btc_next_cutoff_date(SnapshotTable[[#This Row],[SP Fill Date]],SnapshotTable[[#This Row],[SP Exp Date]]),"")</f>
        <v/>
      </c>
      <c r="CT85" s="235" t="str" cm="1">
        <f t="array" ref="CT85">IF(SnapshotTable[[#This Row],[SP Is Filled]], btc_should_buy_back(SnapshotTable[[#This Row],[SP Fill Date]], SnapshotTable[[#This Row],[SP Exp Date]], SnapshotTable[[#This Row],[SP Book Price]], SnapshotTable[[#This Row],[SP Current Ask]], MockToday, SnapshotTable[[#This Row],[SP Buyback Override]]),"")</f>
        <v/>
      </c>
      <c r="CU85" s="143"/>
      <c r="CV85" s="235"/>
      <c r="CW85" s="378" t="str">
        <f>IF(ISNUMBER( SnapshotTable[[#This Row],[SP Term]]), SnapshotTable[[#This Row],[SP Exp Date]] - MockToday,"")</f>
        <v/>
      </c>
      <c r="CX85" s="31" t="str">
        <f>IF(SnapshotTable[[#This Row],[SP Is Filled]],SnapshotTable[[#This Row],[SP Buyback Price to Use]] * 100 * SnapshotTable[[#This Row],[SP Qty]], "")</f>
        <v/>
      </c>
      <c r="CY85" s="4" t="str">
        <f>IF(ISNUMBER(SnapshotTable[[#This Row],[SP Strike Price]]), SnapshotTable[[#This Row],[SP Strike Price]] * (1 - SP_MaxLoss_StrikePct), "")</f>
        <v/>
      </c>
      <c r="CZ85" s="31" t="str">
        <f>IF(ISNUMBER(SnapshotTable[[#This Row],[SP Strike  Stop Per Share]]),SnapshotTable[[#This Row],[SP Premium]] - ((SnapshotTable[[#This Row],[SP Strike Price]]-SnapshotTable[[#This Row],[SP Strike  Stop Per Share]]) *(SnapshotTable[[#This Row],[SP Qty]] * 100)),"")</f>
        <v/>
      </c>
      <c r="DA85" s="4" t="str">
        <f>IF(AND(ISNUMBER(SnapshotTable[[#This Row],[SP Premium]]),SnapshotTable[[#This Row],[SP Premium]]&gt;0), SnapshotTable[[#This Row],[SP Book Price]] * (1 + SP_MaxLoss_OptionPct), "")</f>
        <v/>
      </c>
      <c r="DB85" s="31" t="str">
        <f>IF(ISNUMBER(SnapshotTable[[#This Row],[SP Option  Stop Contract]]),(SnapshotTable[[#This Row],[SP Option  Stop Contract]] *(SnapshotTable[[#This Row],[SP Qty]] * 100) - SnapshotTable[[#This Row],[SP Premium]]),"")</f>
        <v/>
      </c>
      <c r="DC85" s="4"/>
      <c r="DD85" s="4"/>
      <c r="DE85" s="4" t="str">
        <f>IF(AND(SnapshotTable[[#This Row],[SP Qty]]&gt;0, SnapshotTable[[#This Row],[SP Stop To Use]]&gt;0),SnapshotTable[[#This Row],[SP Premium]] - ( SnapshotTable[[#This Row],[SP Qty]] * SnapshotTable[[#This Row],[SP Stop To Use]] * 100), "")</f>
        <v/>
      </c>
      <c r="DF85" s="31" t="str">
        <f>IF(AND(SnapshotTable[[#This Row],[SP Qty]]&gt;0,SnapshotTable[[#This Row],[SP Current Ask]]&gt;0), SnapshotTable[[#This Row],[SP Qty]] * SnapshotTable[[#This Row],[SP Current Ask]] * -100, "")</f>
        <v/>
      </c>
      <c r="DG85" s="31" t="str">
        <f>IF(ISNUMBER((SnapshotTable[[#This Row],[SP Total Value]])), SnapshotTable[[#This Row],[SP Premium]] + SnapshotTable[[#This Row],[SP Total Value]], "")</f>
        <v/>
      </c>
      <c r="DH85" s="294" t="str">
        <f>IF(ISNUMBER((SnapshotTable[[#This Row],[SP Total Value]])), SnapshotTable[[#This Row],[SP Gain Loss]] / SnapshotTable[[#This Row],[SP Premium]], "")</f>
        <v/>
      </c>
      <c r="DI85" s="406"/>
      <c r="DJ85" s="138"/>
      <c r="DK85" s="148"/>
      <c r="DL85" s="13"/>
      <c r="DM85" s="13"/>
      <c r="DO85" s="31">
        <f>IF(SnapshotTable[[#This Row],[LC Symbol Count]]=1, SnapshotTable[[#This Row],[LC Qty]] * SnapshotTable[[#This Row],[LC Book Price]] * 100, 0)</f>
        <v>0</v>
      </c>
      <c r="DP85" s="163" t="str">
        <f>IF(AND(SnapshotTable[[#This Row],[LC Exp Date]]&gt;0, SnapshotTable[[#This Row],[LC Strike Price]]&gt;0,SnapshotTable[[#This Row],[LC Qty]]&gt;0,SnapshotTable[[#This Row],[LC Book Date]]&gt;0,SnapshotTable[[#This Row],[LC Book Price]]&gt;0,SnapshotTable[[#This Row],[LC Fill Date]]=0),"Y","")</f>
        <v/>
      </c>
      <c r="DQ85" s="386" t="str">
        <f>IF(SnapshotTable[[#This Row],[LC Premium]] &gt; 0,SnapshotTable[[#This Row],[LC Exp Date]]-MAX(SnapshotTable[[#This Row],[LC Book Date]], SnapshotTable[[#This Row],[LC Fill Date]]),"")</f>
        <v/>
      </c>
      <c r="DR85" s="386" t="str">
        <f>IF(ISNUMBER(SnapshotTable[[#This Row],[LC Term]]), SnapshotTable[[#This Row],[LC Exp Date]] - MockToday, "")</f>
        <v/>
      </c>
      <c r="DS85" s="234" t="str">
        <f>IF(SnapshotTable[[#This Row],[LC Premium]]&gt;0,SnapshotTable[[#This Row],[LC Strike Price]] + SnapshotTable[[#This Row],[LC Book Price]],"")</f>
        <v/>
      </c>
      <c r="DU85" s="9" t="str">
        <f>IF(AND(SnapshotTable[[#This Row],[LC Symbol Count]]&gt;0, SnapshotTable[[#This Row],[LC Contract Value]]&gt;0), SnapshotTable[[#This Row],[LC Contract Value]] * SnapshotTable[[#This Row],[LC Qty]] * 100, "")</f>
        <v/>
      </c>
      <c r="DV85" s="9" t="str">
        <f>IF(AND(ISNUMBER(SnapshotTable[[#This Row],[LC Total Value]]), SnapshotTable[[#This Row],[LC Not Filled]]&lt;&gt;"Y"), SnapshotTable[[#This Row],[LC Total Value]]-SnapshotTable[[#This Row],[LC Premium]],"")</f>
        <v/>
      </c>
      <c r="DW85" s="240" t="str">
        <f>IF(ISNUMBER(SnapshotTable[[#This Row],[LC Actual Gain Loss]]), SnapshotTable[[#This Row],[LC Actual Gain Loss]] / SnapshotTable[[#This Row],[LC Premium]],"")</f>
        <v/>
      </c>
      <c r="DX85" s="284" t="str">
        <f>IF(ISNUMBER(SnapshotTable[[#This Row],[LC Book Price]]),SnapshotTable[[#This Row],[LC Book Price]] * 1.5,"")</f>
        <v/>
      </c>
      <c r="DY85" s="265" t="str">
        <f>IF(SnapshotTable[[#This Row],[LC Premium]]&gt;0, SnapshotTable[[#This Row],[LC Next Target]] * SnapshotTable[[#This Row],[LC Qty]] * 100,"")</f>
        <v/>
      </c>
      <c r="DZ85" s="265" t="str">
        <f>IF(ISNUMBER(SnapshotTable[[#This Row],[LC Target Gross]]), SnapshotTable[[#This Row],[LC Target Gross]] - SnapshotTable[[#This Row],[LC Premium]], "")</f>
        <v/>
      </c>
      <c r="EA85" s="305" t="str">
        <f>IF(ISNUMBER(SnapshotTable[[#This Row],[LC Target Gain Loss]]), SnapshotTable[[#This Row],[LC Target Gain Loss]]/SnapshotTable[[#This Row],[LC Premium]], "")</f>
        <v/>
      </c>
      <c r="EB85" s="262"/>
      <c r="EC85" s="283" t="str">
        <f>IF(SnapshotTable[[#This Row],[LC Premium]]&gt;0, SnapshotTable[[#This Row],[LC Book Price]] * (1 - LC_StopLoss_Pct),"")</f>
        <v/>
      </c>
      <c r="ED85" s="284"/>
      <c r="EE85" s="283" t="str">
        <f>IF(ISNUMBER(SnapshotTable[[#This Row],[LC Contract Value]]),IF(ISNUMBER(SnapshotTable[[#This Row],[LC Stop Loss Override]]), SnapshotTable[[#This Row],[LC Stop Loss Override]],SnapshotTable[[#This Row],[LC Stop Loss Calc Target]]),"")</f>
        <v/>
      </c>
      <c r="EF85" s="31" t="str">
        <f>IF(ISNUMBER(SnapshotTable[[#This Row],[LC Stop  To Use]]), (SnapshotTable[[#This Row],[LC Stop  To Use]] * SnapshotTable[[#This Row],[LC Qty]] * 100),"")</f>
        <v/>
      </c>
      <c r="EG85" s="9" t="str">
        <f>IF(ISNUMBER(SnapshotTable[[#This Row],[LC Total Value]]),SnapshotTable[[#This Row],[LC Stop Loss Amount]] - SnapshotTable[[#This Row],[LC Premium]],"")</f>
        <v/>
      </c>
      <c r="EH85" s="9">
        <f>IF(ISNUMBER(SnapshotTable[[#This Row],[LC Premium]]), SnapshotTable[[#This Row],[LC Qty]] * 100 * SnapshotTable[[#This Row],[LC Strike Price]], "")</f>
        <v>0</v>
      </c>
      <c r="EI85" s="240" t="str">
        <f>IF(AND(ISNUMBER(SnapshotTable[[#This Row],[LC Total Value]]),SnapshotTable[[#This Row],[LC Total Value]]&gt;0),SnapshotTable[[#This Row],[LC Stop Gain Loss]]  / SnapshotTable[[#This Row],[LC Premium]],"")</f>
        <v/>
      </c>
      <c r="EJ85" s="35">
        <f>IF(ISNUMBER(SnapshotTable[[#This Row],[Equity Shares]]),TRUNC(SnapshotTable[[#This Row],[Equity Shares]] / 100),0) + SnapshotTable[[#This Row],[LC Qty]]</f>
        <v>0</v>
      </c>
      <c r="EK85" s="147"/>
      <c r="EL85" s="138" t="str">
        <f>IF(SnapshotTable[[#This Row],[SC Exp Date]]&lt;&gt;"",TRUNC(SnapshotTable[[#This Row],[Last Price]]),"")</f>
        <v/>
      </c>
      <c r="EM85" s="148"/>
      <c r="EN85" s="147"/>
      <c r="EO85" s="147"/>
      <c r="EP85" s="138"/>
      <c r="EQ85" s="419" t="b">
        <f>AND(ISNUMBER(SnapshotTable[[#This Row],[SC Exp Date]]), ISNUMBER(SnapshotTable[[#This Row],[SC Strike Price]]), ISNUMBER(SnapshotTable[[#This Row],[SC Qty]]), ISNUMBER(SnapshotTable[[#This Row],[SC Book Date]]), ISNUMBER(SnapshotTable[[#This Row],[SC Book Price]]))</f>
        <v>0</v>
      </c>
      <c r="ER85" s="419" t="b">
        <f>AND(SnapshotTable[[#This Row],[SC Is Booked]], NOT(ISBLANK(SnapshotTable[[#This Row],[SC Fill Date]])))</f>
        <v>0</v>
      </c>
      <c r="ES85" s="370"/>
      <c r="ET85" s="34" t="str">
        <f>IF(AND(ISNUMBER(SnapshotTable[[#This Row],[SC Exp Date]]), ISNUMBER(SnapshotTable[[#This Row],[SC Book Date]])), SnapshotTable[[#This Row],[SC Exp Date]] - MAX(SnapshotTable[[#This Row],[SC Book Date]], SnapshotTable[[#This Row],[SC Fill Date]]) + 1, "")</f>
        <v/>
      </c>
      <c r="EU85" s="34" t="str">
        <f>IF(ISNUMBER(SnapshotTable[[#This Row],[SC Term]]), SnapshotTable[[#This Row],[SC Exp Date]]- MockToday, "")</f>
        <v/>
      </c>
      <c r="EV85" s="31">
        <f>IF(SnapshotTable[[#This Row],[SC Is Booked]], SnapshotTable[[#This Row],[SC Qty]] * SnapshotTable[[#This Row],[SC Book Price]] * 100, 0)</f>
        <v>0</v>
      </c>
      <c r="EW85" s="4" t="str">
        <f>IF(AND(ISNUMBER(SnapshotTable[[#This Row],[Last Price]]), ISNUMBER( SnapshotTable[[#This Row],[SC Book Price]])), SnapshotTable[[#This Row],[Last Price]] - SnapshotTable[[#This Row],[SC Book Price]],"")</f>
        <v/>
      </c>
      <c r="EX85" s="234" t="str">
        <f>IF(SnapshotTable[[#This Row],[SC Is Booked]],IF(SnapshotTable[[#This Row],[SC Intrinsic Value]] &gt; 0, SnapshotTable[[#This Row],[SC Strike Price]], SnapshotTable[[#This Row],[Last Price]]), "")</f>
        <v/>
      </c>
      <c r="EY85" s="4">
        <f>IF(SnapshotTable[[#This Row],[SC Is Booked]], (MinimumPremiumRequired * SnapshotTable[[#This Row],[SC Basis]] * SnapshotTable[[#This Row],[SC Term]]), 0)</f>
        <v>0</v>
      </c>
      <c r="EZ85" s="283"/>
      <c r="FA85" s="218"/>
      <c r="FB85" s="370"/>
      <c r="FC85" s="4">
        <f>IF(SnapshotTable[[#This Row],[SC Is Filled]], btc_max_buyback_amount(SnapshotTable[[#This Row],[SC Fill Date]],SnapshotTable[[#This Row],[SC Exp Date]], SnapshotTable[[#This Row],[SC Book Price]]),0)</f>
        <v>0</v>
      </c>
      <c r="FD85" s="5"/>
      <c r="FE85" s="144" t="str">
        <f>IF(SnapshotTable[[#This Row],[SC Is Filled]], btc_next_cutoff_date(SnapshotTable[[#This Row],[SC Fill Date]],SnapshotTable[[#This Row],[SC Exp Date]]),"")</f>
        <v/>
      </c>
      <c r="FF85" s="4" t="str" cm="1">
        <f t="array" ref="FF85">IF(SnapshotTable[[#This Row],[SC Is Filled]], btc_should_buy_back(SnapshotTable[[#This Row],[SC Fill Date]], SnapshotTable[[#This Row],[SC Exp Date]], SnapshotTable[[#This Row],[SC Book Price]], SnapshotTable[[#This Row],[SC Current Ask]], MockToday, SnapshotTable[[#This Row],[SC Buyback Override]]),"")</f>
        <v/>
      </c>
      <c r="FG85" s="4">
        <f>IF(SnapshotTable[[#This Row],[SC Is Filled]], MAX(0,SnapshotTable[[#This Row],[Last Price]]  - SnapshotTable[[#This Row],[SC Strike Price]]), 0)</f>
        <v>0</v>
      </c>
      <c r="FH85" s="382">
        <f>IF(SnapshotTable[[#This Row],[SC Is Filled]], IF(ISNUMBER(SnapshotTable[[#This Row],[SC Current Ask]]), SnapshotTable[[#This Row],[SC Current Ask]], SnapshotTable[[#This Row],[SC Book Price]]) - SnapshotTable[[#This Row],[SC Intrinsic Value]], 0)</f>
        <v>0</v>
      </c>
      <c r="FI85" s="143">
        <v>45786</v>
      </c>
      <c r="FJ85" s="32" t="str">
        <f>IF(SnapshotTable[[#This Row],[SC Is Filled]],100 * SnapshotTable[[#This Row],[SC Qty]] * IF(ISNUMBER(SnapshotTable[[#This Row],[SC Buyback Override]]), SnapshotTable[[#This Row],[SC Buyback Override]], SnapshotTable[[#This Row],[SC Current Ask]]), "")</f>
        <v/>
      </c>
      <c r="FK85" s="250" t="str">
        <f>IF(SnapshotTable[[#This Row],[SC Time Val]]&gt;0, SnapshotTable[[#This Row],[SC Time Val]] / SnapshotTable[[#This Row],[Last Price]],"")</f>
        <v/>
      </c>
      <c r="FL85" s="302" t="str">
        <f>IF(SnapshotTable[[#This Row],[SC Is Booked]], ((SnapshotTable[[#This Row],[Last Price]] -SnapshotTable[[#This Row],[SC Strike Price]]) / SnapshotTable[[#This Row],[Last Price]]) * -1, "")</f>
        <v/>
      </c>
      <c r="FM85" s="157" t="str">
        <f>IF(SnapshotTable[[#This Row],[SC Is Booked]],  (SnapshotTable[[#This Row],[SC Qty]] * 100 * SnapshotTable[[#This Row],[SC Strike Price]]) - SnapshotTable[[#This Row],[SC Current Ask]], "")</f>
        <v/>
      </c>
      <c r="FN8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5" s="31" t="str">
        <f>IF(AND(ISNUMBER(SnapshotTable[[#This Row],[SC Exercise Gross]]), ISNUMBER(SnapshotTable[[#This Row],[Equity Basis Per Share]] )), SnapshotTable[[#This Row],[SC Exercise Gross]] - SnapshotTable[[#This Row],[Equity Basis Total]] +  SnapshotTable[[#This Row],[SC Premium]], "")</f>
        <v/>
      </c>
      <c r="FP85" s="5" t="str">
        <f>IF(ISNUMBER(SnapshotTable[[#This Row],[SC Exercise Gross]]), (SnapshotTable[[#This Row],[SC Exercise Gross]]) / (SnapshotTable[[#This Row],[SC Qty]] * 100), "")</f>
        <v/>
      </c>
      <c r="FQ85" s="27" t="str">
        <f>IF(SnapshotTable[[#This Row],[SC Is Booked]],SnapshotTable[[#This Row],[SC Time Val]] /SnapshotTable[[#This Row],[SC Basis]], "")</f>
        <v/>
      </c>
      <c r="FR85" s="27" t="str" cm="1">
        <f t="array" ref="FR85">IF(AND(ISNUMBER(SnapshotTable[[#This Row],[SC Term]]),ISNUMBER(SnapshotTable[[#This Row],[SC Simple ROO]])), EllmanAnnualize(SnapshotTable[[#This Row],[SC DTE]], SnapshotTable[[#This Row],[SC Simple ROO]] ),"")</f>
        <v/>
      </c>
      <c r="FS85" s="4" t="e">
        <f>IF(SnapshotTable[[#This Row],[SC Strike Price]] &gt; SnapshotTable[[#This Row],[Last Price]], SnapshotTable[[#This Row],[SC Strike Price]] - SnapshotTable[[#This Row],[Last Price]],0)</f>
        <v>#VALUE!</v>
      </c>
      <c r="FT85" s="27" t="e">
        <f>IF(AND(ISNUMBER(SnapshotTable[[#This Row],[SC Upside Potential]]), SnapshotTable[[#This Row],[SC Upside Potential]] &gt; 0),(SnapshotTable[[#This Row],[SC Upside Potential]]/ SnapshotTable[[#This Row],[ACB]]),"")</f>
        <v>#VALUE!</v>
      </c>
      <c r="FU85" s="333" t="str">
        <f>IF(SnapshotTable[[#This Row],[SC Intrinsic Value]] &gt; 0,SnapshotTable[[#This Row],[SC Intrinsic Value]],"")</f>
        <v/>
      </c>
      <c r="FV85" s="27" t="str">
        <f>IF(AND( ISNUMBER( SnapshotTable[[#This Row],[ACB]]),ISNUMBER(SnapshotTable[[#This Row],[SC Downside Protect]])),SnapshotTable[[#This Row],[SC Downside Protect]] / SnapshotTable[[#This Row],[ACB]],"")</f>
        <v/>
      </c>
      <c r="FW85" s="236" t="str">
        <f>IF(AND(ISNUMBER(SnapshotTable[[#This Row],[SC Simple ROO]]),SnapshotTable[[#This Row],[SC Simple ROO]] &gt; 0), SnapshotTable[[#This Row],[SC Premium]] + (SnapshotTable[[#This Row],[SC Qty]] * SnapshotTable[[#This Row],[SC Upside Potential]]), "")</f>
        <v/>
      </c>
      <c r="FX85" s="302" t="str" cm="1">
        <f t="array" ref="FX85">IF(ISNUMBER(SnapshotTable[[#This Row],[SC Max Dollars]]), annualize(SnapshotTable[[#This Row],[SC Term]],(SnapshotTable[[#This Row],[SC Max Dollars]]/SnapshotTable[[#This Row],[SC Basis]])),"")</f>
        <v/>
      </c>
      <c r="FY85" s="236" t="str">
        <f>IF(AND(SnapshotTable[[#This Row],[SC Qty]]&gt;0,SnapshotTable[[#This Row],[SC Current Ask]]&gt;0), SnapshotTable[[#This Row],[SC Qty]] * SnapshotTable[[#This Row],[SC Current Ask]] * -100, "")</f>
        <v/>
      </c>
      <c r="FZ85" s="31" t="str">
        <f>IF(ISNUMBER((SnapshotTable[[#This Row],[SC Current Value]])), SnapshotTable[[#This Row],[SC Premium]] + SnapshotTable[[#This Row],[SC Current Value]], "")</f>
        <v/>
      </c>
      <c r="GA85" s="294" t="str">
        <f>IFERROR( IF(ISNUMBER((SnapshotTable[[#This Row],[SC Current Value]])), SnapshotTable[[#This Row],[SC Gain Loss]] / SnapshotTable[[#This Row],[SC Premium]], ""), "")</f>
        <v/>
      </c>
      <c r="GB85" s="42">
        <f>SnapshotTable[[#This Row],[Equity Shares]] * SaleSharesToConsiderPercentage</f>
        <v>0</v>
      </c>
      <c r="GC85" s="40">
        <f>SnapshotTable[[#This Row],[Long Term Target]] * SellingPriceToConsiderBasedOnTargetPercentage</f>
        <v>74.746000000000009</v>
      </c>
      <c r="GD85" s="40">
        <f>SnapshotTable[[#This Row],[Last Price]] * (1+ SellingPriceToConsiderBasedOnTargetPercentage)</f>
        <v>210.756</v>
      </c>
      <c r="GE85" s="41"/>
      <c r="GF85" s="40"/>
      <c r="GG85" s="31">
        <f>SnapshotTable[[#This Row],[Booked Sale Shares]] * SnapshotTable[[#This Row],[Booked Sale Price]]</f>
        <v>0</v>
      </c>
      <c r="GH85" s="31" t="str">
        <f>IF(SnapshotTable[[#This Row],[Equity Basis Total]] &gt; 0, SnapshotTable[[#This Row],[Equity Basis Per Share]] * SnapshotTable[[#This Row],[Booked Sale Shares]], "")</f>
        <v/>
      </c>
      <c r="GI85" s="31">
        <f>IF(SnapshotTable[[#This Row],[Sale Proceeds]]&gt;0, SnapshotTable[[#This Row],[Sale Proceeds]] - SnapshotTable[[#This Row],[Sale Basis]], 0)</f>
        <v>0</v>
      </c>
      <c r="GJ85" s="27" t="str">
        <f>IF(SnapshotTable[[#This Row],[Sale G/L]]&gt;0, SnapshotTable[[#This Row],[Sale G/L]] / SnapshotTable[[#This Row],[Sale Basis]], IF(ISNUMBER(SnapshotTable[[#This Row],[SC Exercise P&amp;L (TAX)]]), SnapshotTable[[#This Row],[SC Exercise P&amp;L (TAX)]] / SnapshotTable[[#This Row],[SC Basis]], ""))</f>
        <v/>
      </c>
      <c r="GK85" s="27" t="s">
        <v>631</v>
      </c>
      <c r="GL85" s="43" t="str">
        <f>IF(AND(SnapshotTable[[#This Row],[LP Exp Date]]&gt;0,SnapshotTable[[#This Row],[LP Strike Price]]&gt;0), [1]!ToOptionSymbol(SnapshotTable[[#This Row],[Symbol]], SnapshotTable[[#This Row],[LP Strike Price]],SnapshotTable[[#This Row],[LP Exp Date]],1), "")</f>
        <v/>
      </c>
      <c r="GM85" s="30" t="str">
        <f>IF(LEN(SnapshotTable[[#This Row],[LP Symbol]])&gt;0, 1, "")</f>
        <v/>
      </c>
      <c r="GN85" s="43" t="str">
        <f>IF(AND(SnapshotTable[[#This Row],[SP Exp Date]]&gt;0,SnapshotTable[[#This Row],[SP Strike Price]]&gt;0), [1]!ToOptionSymbol(SnapshotTable[[#This Row],[Symbol]], SnapshotTable[[#This Row],[SP Strike Price]],SnapshotTable[[#This Row],[SP Exp Date]],1), "")</f>
        <v/>
      </c>
      <c r="GO85" s="30" t="str">
        <f>IF(LEN(SnapshotTable[[#This Row],[SP Symbol]])&gt;0, 1, "")</f>
        <v/>
      </c>
      <c r="GP85" s="43" t="str">
        <f>IF(AND(SnapshotTable[[#This Row],[LC Exp Date]]&gt;0,SnapshotTable[[#This Row],[LC Strike Price]]&gt;0), [1]!ToOptionSymbol(SnapshotTable[[#This Row],[Symbol]], SnapshotTable[[#This Row],[LC Strike Price]],SnapshotTable[[#This Row],[LC Exp Date]],0), "")</f>
        <v/>
      </c>
      <c r="GQ85" s="30" t="str">
        <f>IF(LEN(SnapshotTable[[#This Row],[LC Symbol]])&gt;0, 1, "")</f>
        <v/>
      </c>
      <c r="GR85" s="43" t="str">
        <f>IF(AND(SnapshotTable[[#This Row],[SC Exp Date]]&gt;0,SnapshotTable[[#This Row],[SC Strike Price]]&gt;0), [1]!ToOptionSymbol(SnapshotTable[[#This Row],[Symbol]], SnapshotTable[[#This Row],[SC Strike Price]],SnapshotTable[[#This Row],[SC Exp Date]],0), "")</f>
        <v/>
      </c>
      <c r="GS85" s="30" t="str">
        <f>IF(LEN(SnapshotTable[[#This Row],[SC Symbol]])&gt;0, 1, "")</f>
        <v/>
      </c>
      <c r="GT85" s="29" t="str">
        <f>IF(COUNT(SnapshotTable[[#This Row],[LP Symbol Count]],SnapshotTable[[#This Row],[SP Symbol Count]],SnapshotTable[[#This Row],[LC Symbol Count]],SnapshotTable[[#This Row],[SC Symbol Count]])&gt;0, "Y", "")</f>
        <v/>
      </c>
      <c r="GU8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5" s="231" t="e">
        <f>MAX(SnapshotTable[[#This Row],[Equity Basis Total]],SnapshotTable[[#This Row],[Equity Value]]) + (SnapshotTable[[#This Row],[SP Potential Spend]]- SnapshotTable[[#This Row],[SP Premium]] + SnapshotTable[[#This Row],[LP Premium]])+ (SnapshotTable[[#This Row],[LC Premium]] - SnapshotTable[[#This Row],[SC Premium]])</f>
        <v>#VALUE!</v>
      </c>
      <c r="GW85" s="139" t="e">
        <f>IF(AND(SnapshotTable[[#This Row],[Exposure]] &lt;&gt; 0),SnapshotTable[[#This Row],[Exposure]] / SnapshotTable[[#Totals],[Exposure]], "")</f>
        <v>#VALUE!</v>
      </c>
      <c r="HE85" s="268"/>
      <c r="HF85" s="268"/>
      <c r="HK85" s="1"/>
      <c r="HL85" s="1"/>
      <c r="HM85" s="1"/>
      <c r="HN85" s="1"/>
      <c r="HO85" s="1"/>
      <c r="HP85" s="1"/>
    </row>
    <row r="86" spans="2:224" ht="12.75" hidden="1" customHeight="1" x14ac:dyDescent="0.25">
      <c r="B86" s="12" t="s">
        <v>1028</v>
      </c>
      <c r="C86" s="422">
        <v>9.4499999999999993</v>
      </c>
      <c r="D86" s="208" t="s">
        <v>258</v>
      </c>
      <c r="E86" s="39">
        <f>SnapshotTable[[#This Row],[Last Price]]*(1 -CrashDiscount)</f>
        <v>8.0324999999999989</v>
      </c>
      <c r="F86" s="26" t="s">
        <v>983</v>
      </c>
      <c r="G86" s="26" t="s">
        <v>41</v>
      </c>
      <c r="H86" s="149"/>
      <c r="I86" s="194">
        <v>44764.25</v>
      </c>
      <c r="J86" s="195">
        <v>44764.25</v>
      </c>
      <c r="K86" s="196"/>
      <c r="L86" s="326"/>
      <c r="M86" s="140"/>
      <c r="N86" s="140"/>
      <c r="O86" s="140"/>
      <c r="P86" s="22"/>
      <c r="Q86" s="25"/>
      <c r="R86" s="4" t="str">
        <f>IF(SnapshotTable[[#This Row],[Equity Basis Total]] &gt; 0, SnapshotTable[[#This Row],[Equity Basis Total]] / SnapshotTable[[#This Row],[Equity Shares]], "")</f>
        <v/>
      </c>
      <c r="S86" s="269">
        <f>SnapshotTable[[#This Row],[Last Price]] * SnapshotTable[[#This Row],[Equity Shares]]</f>
        <v>0</v>
      </c>
      <c r="T86" s="269">
        <f>SnapshotTable[[#This Row],[Equity Value]] - SnapshotTable[[#This Row],[Equity Basis Total]]</f>
        <v>0</v>
      </c>
      <c r="U86" s="270" t="str">
        <f>IF(SnapshotTable[[#This Row],[Equity Basis Total]] &gt; 0, SnapshotTable[[#This Row],[Equity G/L]] / SnapshotTable[[#This Row],[Equity Basis Total]], "")</f>
        <v/>
      </c>
      <c r="V86" s="268"/>
      <c r="W86" s="268"/>
      <c r="X86" s="4" t="str">
        <f>IF(AND(ISNUMBER(SnapshotTable[[#This Row],[Equity Basis Per Share]]),ISNUMBER(SnapshotTable[[#This Row],[Equity Target]])),SnapshotTable[[#This Row],[Equity Target]]-SnapshotTable[[#This Row],[Equity Basis Per Share]],"")</f>
        <v/>
      </c>
      <c r="Y86" s="4" t="str">
        <f>IF(AND(ISNUMBER(SnapshotTable[[#This Row],[Equity Basis Per Share]]),ISNUMBER(SnapshotTable[[#This Row],[Equity Stop Loss]])),SnapshotTable[[#This Row],[Equity Stop Loss]]-SnapshotTable[[#This Row],[Equity Basis Per Share]],"")</f>
        <v/>
      </c>
      <c r="Z86" s="275" t="str">
        <f>IFERROR( TEXT(SnapshotTable[[#This Row],[Equity Max Gain Per Share]] /ABS( SnapshotTable[[#This Row],[Equity Max Loss Per Share]]),"0.0 " ) &amp; " : 1", "")</f>
        <v/>
      </c>
      <c r="AA86" s="31" t="str">
        <f>IF(ISNUMBER(SnapshotTable[[#This Row],[Equity Max Gain Per Share]]),SnapshotTable[[#This Row],[Equity Max Gain Per Share]] * SnapshotTable[[#This Row],[Equity Shares]],"")</f>
        <v/>
      </c>
      <c r="AB86" s="31" t="str">
        <f>IF(ISNUMBER(SnapshotTable[[#This Row],[Equity Max Loss Per Share]]),SnapshotTable[[#This Row],[Equity Max Loss Per Share]] * SnapshotTable[[#This Row],[Equity Shares]],"")</f>
        <v/>
      </c>
      <c r="AC86" s="150"/>
      <c r="AD86" s="151"/>
      <c r="AE86" s="31">
        <f>(SnapshotTable[[#This Row],[Annual Dividend Per Share]] / 4) * SnapshotTable[[#This Row],[Equity Shares]]</f>
        <v>0</v>
      </c>
      <c r="AF86" s="31">
        <f>SnapshotTable[[#This Row],[Quarterly Div $]] * 4</f>
        <v>0</v>
      </c>
      <c r="AG86" s="7">
        <f>IF(SnapshotTable[[#This Row],[Annual Dividend Per Share]]&gt;0, SnapshotTable[[#This Row],[Annual Dividend Per Share]]  / SnapshotTable[[#This Row],[Last Price]], 0)</f>
        <v>0</v>
      </c>
      <c r="AH86" s="151"/>
      <c r="AI86" s="5"/>
      <c r="AJ86" s="138">
        <v>31.86</v>
      </c>
      <c r="AK86" s="152" t="str">
        <f>IF(ISNUMBER( SnapshotTable[[#This Row],[EBF Target]]),(SnapshotTable[[#This Row],[EBF Target]] - SnapshotTable[[#This Row],[Last Price]]) / SnapshotTable[[#This Row],[Last Price]], "")</f>
        <v/>
      </c>
      <c r="AL86" s="152" t="str">
        <f>IF(AND(SnapshotTable[[#This Row],[Equity Basis Total]] &gt; 0,ISNUMBER( SnapshotTable[[#This Row],[Long Term Target]])), SnapshotTable[[#This Row],[From Basis $]] / SnapshotTable[[#This Row],[Equity Basis Total]], "")</f>
        <v/>
      </c>
      <c r="AM86" s="9">
        <f>IF( AND(SnapshotTable[[#This Row],[Equity Shares]] &gt;0,ISNUMBER( SnapshotTable[[#This Row],[Long Term Target]])),(SnapshotTable[[#This Row],[Equity Shares]] * SnapshotTable[[#This Row],[Long Term Target]]) - SnapshotTable[[#This Row],[Equity Basis Total]],0)</f>
        <v>0</v>
      </c>
      <c r="AN86" s="9">
        <f>IF( AND(SnapshotTable[[#This Row],[Equity Shares]] &gt;0,ISNUMBER( SnapshotTable[[#This Row],[Long Term Target]])),(SnapshotTable[[#This Row],[Equity Shares]]*SnapshotTable[[#This Row],[Long Term Target]]) - SnapshotTable[[#This Row],[Equity Value]],0)</f>
        <v>0</v>
      </c>
      <c r="AO86" s="152">
        <f>IF(AND(ISNUMBER( SnapshotTable[[#This Row],[Long Term Target]]), ISNUMBER(SnapshotTable[[#This Row],[Last Price]])),(SnapshotTable[[#This Row],[Long Term Target]] - SnapshotTable[[#This Row],[Last Price]]) / SnapshotTable[[#This Row],[Last Price]], "")</f>
        <v>2.3714285714285714</v>
      </c>
      <c r="AP86" s="5"/>
      <c r="AQ86" s="38"/>
      <c r="AR86" s="5"/>
      <c r="AS86" s="38"/>
      <c r="AT86" s="146" t="s">
        <v>538</v>
      </c>
      <c r="AU86" s="187" t="str">
        <f>IF(OR(SnapshotTable[[#This Row],[LP No Fill]]="Y",SnapshotTable[[#This Row],[SP Is Filled]],SnapshotTable[[#This Row],[LC Not Filled]]="Y",SnapshotTable[[#This Row],[SC Is Filled]]),"Y","")</f>
        <v/>
      </c>
      <c r="AV86" s="219">
        <v>28</v>
      </c>
      <c r="AW86" s="225"/>
      <c r="AX86" s="220"/>
      <c r="AY86" s="219" t="str">
        <f>IF(SnapshotTable[[#This Row],[Implied Move]]&gt;0, SnapshotTable[[#This Row],[Last Price]]-SnapshotTable[[#This Row],[Implied Move]],"")</f>
        <v/>
      </c>
      <c r="AZ86" s="219" t="str">
        <f>IF(SnapshotTable[[#This Row],[Implied Move]]&gt;0, SnapshotTable[[#This Row],[Last Price]] + SnapshotTable[[#This Row],[Implied Move]],"")</f>
        <v/>
      </c>
      <c r="BA86" s="331">
        <v>32.299999999999997</v>
      </c>
      <c r="BB86" s="347"/>
      <c r="BC8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6" s="351"/>
      <c r="BE86" s="5"/>
      <c r="BF86" s="14"/>
      <c r="BG86" s="13"/>
      <c r="BH86" s="13"/>
      <c r="BI86" s="5"/>
      <c r="BJ86" s="136">
        <f>IF(SnapshotTable[[#This Row],[LP Qty]] &gt; 0, SnapshotTable[[#This Row],[LP Qty]] * SnapshotTable[[#This Row],[LP Book Price]] * 100,0)</f>
        <v>0</v>
      </c>
      <c r="BK86" s="136">
        <f>IF(SnapshotTable[[#This Row],[LP Premium]] &gt; 0, SnapshotTable[[#This Row],[LP Qty]] * SnapshotTable[[#This Row],[LP Strike Price]] * 100,0)</f>
        <v>0</v>
      </c>
      <c r="BL86" s="154"/>
      <c r="BM86" s="385" t="str">
        <f>IF(SnapshotTable[[#This Row],[LP Premium]] &gt; 0,SnapshotTable[[#This Row],[LP Exp Date]]-MAX(SnapshotTable[[#This Row],[LP Book Date]], SnapshotTable[[#This Row],[LP Fill Date]]),"")</f>
        <v/>
      </c>
      <c r="BN86" s="385" t="str">
        <f>IF(ISNUMBER( SnapshotTable[[#This Row],[LP Term]]), SnapshotTable[[#This Row],[LP Exp Date]] - MockToday,"")</f>
        <v/>
      </c>
      <c r="BO86" s="163" t="str">
        <f>IF(AND(SnapshotTable[[#This Row],[LP Exp Date]]&gt;0, SnapshotTable[[#This Row],[LP Strike Price]]&gt;0,SnapshotTable[[#This Row],[LP Qty]]&gt;0,SnapshotTable[[#This Row],[LP Book Date]]&gt;0,SnapshotTable[[#This Row],[LP Book Price]]&gt;0,SnapshotTable[[#This Row],[LP Fill Date]]=0),"Y","")</f>
        <v/>
      </c>
      <c r="BP86" s="31" t="str">
        <f>IF(AND(SnapshotTable[[#This Row],[LP No Fill]]&lt;&gt;"Y",SnapshotTable[[#This Row],[LP Contract Value]]&gt;0, SnapshotTable[[#This Row],[LP Qty]]&gt;0), SnapshotTable[[#This Row],[LP Contract Value]]*SnapshotTable[[#This Row],[LP Qty]]*100,"")</f>
        <v/>
      </c>
      <c r="BQ86" s="13"/>
      <c r="BR86" s="5" t="str">
        <f>IF(SnapshotTable[[#This Row],[SP Exp Date]]&lt;&gt;"",TRUNC(SnapshotTable[[#This Row],[Last Price]]),"")</f>
        <v/>
      </c>
      <c r="BS86" s="36"/>
      <c r="BT86" s="147"/>
      <c r="BU86" s="13"/>
      <c r="BV86" s="5"/>
      <c r="BW86" s="419" t="b">
        <f>AND(ISNUMBER(SnapshotTable[[#This Row],[SP Exp Date]]), ISNUMBER(SnapshotTable[[#This Row],[SP Strike Price]]), ISNUMBER(SnapshotTable[[#This Row],[SP Qty]]), ISNUMBER(SnapshotTable[[#This Row],[SP Book Date]]), ISNUMBER(SnapshotTable[[#This Row],[SP Book Price]]))</f>
        <v>0</v>
      </c>
      <c r="BX86" s="419" t="b">
        <f>AND(SnapshotTable[[#This Row],[SP Is Booked]], NOT(ISBLANK(SnapshotTable[[#This Row],[SP Fill Date]])))</f>
        <v>0</v>
      </c>
      <c r="BY86" s="33">
        <f>IF(SnapshotTable[[#This Row],[SP Is Booked]], SnapshotTable[[#This Row],[SP Qty]] * SnapshotTable[[#This Row],[SP Book Price]] * 100, 0)</f>
        <v>0</v>
      </c>
      <c r="BZ86" s="369"/>
      <c r="CA86" s="368">
        <f>SnapshotTable[[#This Row],[LP Qty]]</f>
        <v>0</v>
      </c>
      <c r="CB86" s="4" t="str">
        <f>IF(SnapshotTable[[#This Row],[SP Is Booked]], SnapshotTable[[#This Row],[SP Strike Price]] - SnapshotTable[[#This Row],[SP Book Price]], "")</f>
        <v/>
      </c>
      <c r="CC86" s="19" t="str">
        <f>IF(SnapshotTable[[#This Row],[SP Is Booked]],SnapshotTable[[#This Row],[SP Exp Date]]-MAX(SnapshotTable[[#This Row],[SP Book Date]], SnapshotTable[[#This Row],[SP Fill Date]]),"")</f>
        <v/>
      </c>
      <c r="CD86" s="7" t="str">
        <f>IF(SnapshotTable[[#This Row],[SP Is Booked]], SnapshotTable[[#This Row],[SP Book Price]]/SnapshotTable[[#This Row],[SP Strike Price]], "")</f>
        <v/>
      </c>
      <c r="CE86" s="7" t="str">
        <f>IF(ISNUMBER(SnapshotTable[[#This Row],[SP ROO Term]]),SnapshotTable[[#This Row],[SP ROO Term]]*(365/SnapshotTable[[#This Row],[SP Term]]),"")</f>
        <v/>
      </c>
      <c r="CF86" s="236">
        <f>SnapshotTable[[#This Row],[LP Strike Price]] * SnapshotTable[[#This Row],[LP Qty]] * 100</f>
        <v>0</v>
      </c>
      <c r="CG86" s="31" t="e">
        <f>IF(ISNUMBER(SnapshotTable[[#This Row],[SP Premium]]), (SnapshotTable[[#This Row],[SP Qty]] * SnapshotTable[[#This Row],[SP Strike Price]]* 100) - SnapshotTable[[#This Row],[LP Protection]], 0)</f>
        <v>#VALUE!</v>
      </c>
      <c r="CH86" s="7" t="str">
        <f>IF(ISNUMBER(SnapshotTable[[#This Row],[SP Break Even]]),-1 * (SnapshotTable[[#This Row],[SP Break Even]] - SnapshotTable[[#This Row],[Last Price]]) / SnapshotTable[[#This Row],[Last Price]], "")</f>
        <v/>
      </c>
      <c r="CI86" s="31">
        <f>IF(AND(ISNUMBER((SnapshotTable[[#This Row],[SP Potential Spend]])), SnapshotTable[[#This Row],[SP Strike Price]] &gt; SnapshotTable[[#This Row],[Last Price]], SnapshotTable[[#This Row],[SP Is Filled]]), SnapshotTable[[#This Row],[SP Potential Spend]] -  SnapshotTable[[#This Row],[LP Max Value]], 0)</f>
        <v>0</v>
      </c>
      <c r="CJ86" s="244"/>
      <c r="CK86" s="31" t="str">
        <f>IF(ISNUMBER(SnapshotTable[[#This Row],[SP Potential Spend]]),IF(ISNUMBER(SnapshotTable[[#This Row],[SP POW]]), SnapshotTable[[#This Row],[SP POW]] * SnapshotTable[[#This Row],[SP Potential Spend]], SnapshotTable[[#This Row],[SP Potential Spend]]), "")</f>
        <v/>
      </c>
      <c r="CL86" s="164" t="e">
        <f>IF(NOT(SnapshotTable[[#This Row],[SP Is Filled]]),(SnapshotTable[[#This Row],[SP Qty]] * SnapshotTable[[#This Row],[SP Strike Price]] * 100) - SnapshotTable[[#This Row],[LP Max Value]],"")</f>
        <v>#VALUE!</v>
      </c>
      <c r="CM86" s="31" t="str">
        <f>IF(SnapshotTable[[#This Row],[SP Actual Spend]]&lt;&gt;0, ((SnapshotTable[[#This Row],[SP Strike Price]]-SnapshotTable[[#This Row],[Last Price]]) *(SnapshotTable[[#This Row],[SP Qty]]*100) - SnapshotTable[[#This Row],[SP Premium]]) * - 1, "")</f>
        <v/>
      </c>
      <c r="CN86" s="78"/>
      <c r="CO86" s="369"/>
      <c r="CP86" s="4" t="str">
        <f>IF(SnapshotTable[[#This Row],[SP Is Filled]], btc_max_buyback_amount(SnapshotTable[[#This Row],[SP Fill Date]],SnapshotTable[[#This Row],[SP Exp Date]], SnapshotTable[[#This Row],[SP Book Price]]),"")</f>
        <v/>
      </c>
      <c r="CQ86" s="78"/>
      <c r="CR8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6" s="155" t="str">
        <f>IF(SnapshotTable[[#This Row],[SP Is Filled]], btc_next_cutoff_date(SnapshotTable[[#This Row],[SP Fill Date]],SnapshotTable[[#This Row],[SP Exp Date]]),"")</f>
        <v/>
      </c>
      <c r="CT86" s="235" t="str" cm="1">
        <f t="array" ref="CT86">IF(SnapshotTable[[#This Row],[SP Is Filled]], btc_should_buy_back(SnapshotTable[[#This Row],[SP Fill Date]], SnapshotTable[[#This Row],[SP Exp Date]], SnapshotTable[[#This Row],[SP Book Price]], SnapshotTable[[#This Row],[SP Current Ask]], MockToday, SnapshotTable[[#This Row],[SP Buyback Override]]),"")</f>
        <v/>
      </c>
      <c r="CU86" s="143"/>
      <c r="CV86" s="235"/>
      <c r="CW86" s="378" t="str">
        <f>IF(ISNUMBER( SnapshotTable[[#This Row],[SP Term]]), SnapshotTable[[#This Row],[SP Exp Date]] - MockToday,"")</f>
        <v/>
      </c>
      <c r="CX86" s="31" t="str">
        <f>IF(SnapshotTable[[#This Row],[SP Is Filled]],SnapshotTable[[#This Row],[SP Buyback Price to Use]] * 100 * SnapshotTable[[#This Row],[SP Qty]], "")</f>
        <v/>
      </c>
      <c r="CY86" s="4" t="str">
        <f>IF(ISNUMBER(SnapshotTable[[#This Row],[SP Strike Price]]), SnapshotTable[[#This Row],[SP Strike Price]] * (1 - SP_MaxLoss_StrikePct), "")</f>
        <v/>
      </c>
      <c r="CZ86" s="31" t="str">
        <f>IF(ISNUMBER(SnapshotTable[[#This Row],[SP Strike  Stop Per Share]]),SnapshotTable[[#This Row],[SP Premium]] - ((SnapshotTable[[#This Row],[SP Strike Price]]-SnapshotTable[[#This Row],[SP Strike  Stop Per Share]]) *(SnapshotTable[[#This Row],[SP Qty]] * 100)),"")</f>
        <v/>
      </c>
      <c r="DA86" s="4" t="str">
        <f>IF(AND(ISNUMBER(SnapshotTable[[#This Row],[SP Premium]]),SnapshotTable[[#This Row],[SP Premium]]&gt;0), SnapshotTable[[#This Row],[SP Book Price]] * (1 + SP_MaxLoss_OptionPct), "")</f>
        <v/>
      </c>
      <c r="DB86" s="31" t="str">
        <f>IF(ISNUMBER(SnapshotTable[[#This Row],[SP Option  Stop Contract]]),(SnapshotTable[[#This Row],[SP Option  Stop Contract]] *(SnapshotTable[[#This Row],[SP Qty]] * 100) - SnapshotTable[[#This Row],[SP Premium]]),"")</f>
        <v/>
      </c>
      <c r="DC86" s="4">
        <v>28</v>
      </c>
      <c r="DD86" s="4"/>
      <c r="DE86" s="4" t="str">
        <f>IF(AND(SnapshotTable[[#This Row],[SP Qty]]&gt;0, SnapshotTable[[#This Row],[SP Stop To Use]]&gt;0),SnapshotTable[[#This Row],[SP Premium]] - ( SnapshotTable[[#This Row],[SP Qty]] * SnapshotTable[[#This Row],[SP Stop To Use]] * 100), "")</f>
        <v/>
      </c>
      <c r="DF86" s="31" t="str">
        <f>IF(AND(SnapshotTable[[#This Row],[SP Qty]]&gt;0,SnapshotTable[[#This Row],[SP Current Ask]]&gt;0), SnapshotTable[[#This Row],[SP Qty]] * SnapshotTable[[#This Row],[SP Current Ask]] * -100, "")</f>
        <v/>
      </c>
      <c r="DG86" s="31" t="str">
        <f>IF(ISNUMBER((SnapshotTable[[#This Row],[SP Total Value]])), SnapshotTable[[#This Row],[SP Premium]] + SnapshotTable[[#This Row],[SP Total Value]], "")</f>
        <v/>
      </c>
      <c r="DH86" s="294" t="str">
        <f>IF(ISNUMBER((SnapshotTable[[#This Row],[SP Total Value]])), SnapshotTable[[#This Row],[SP Gain Loss]] / SnapshotTable[[#This Row],[SP Premium]], "")</f>
        <v/>
      </c>
      <c r="DI86" s="406"/>
      <c r="DJ86" s="147"/>
      <c r="DK86" s="148"/>
      <c r="DL86" s="147"/>
      <c r="DM86" s="147"/>
      <c r="DN86" s="147"/>
      <c r="DO86" s="31">
        <f>IF(SnapshotTable[[#This Row],[LC Symbol Count]]=1, SnapshotTable[[#This Row],[LC Qty]] * SnapshotTable[[#This Row],[LC Book Price]] * 100, 0)</f>
        <v>0</v>
      </c>
      <c r="DP86" s="163" t="str">
        <f>IF(AND(SnapshotTable[[#This Row],[LC Exp Date]]&gt;0, SnapshotTable[[#This Row],[LC Strike Price]]&gt;0,SnapshotTable[[#This Row],[LC Qty]]&gt;0,SnapshotTable[[#This Row],[LC Book Date]]&gt;0,SnapshotTable[[#This Row],[LC Book Price]]&gt;0,SnapshotTable[[#This Row],[LC Fill Date]]=0),"Y","")</f>
        <v/>
      </c>
      <c r="DQ86" s="386" t="str">
        <f>IF(SnapshotTable[[#This Row],[LC Premium]] &gt; 0,SnapshotTable[[#This Row],[LC Exp Date]]-MAX(SnapshotTable[[#This Row],[LC Book Date]], SnapshotTable[[#This Row],[LC Fill Date]]),"")</f>
        <v/>
      </c>
      <c r="DR86" s="386" t="str">
        <f>IF(ISNUMBER(SnapshotTable[[#This Row],[LC Term]]), SnapshotTable[[#This Row],[LC Exp Date]] - MockToday, "")</f>
        <v/>
      </c>
      <c r="DS86" s="234" t="str">
        <f>IF(SnapshotTable[[#This Row],[LC Premium]]&gt;0,SnapshotTable[[#This Row],[LC Strike Price]] + SnapshotTable[[#This Row],[LC Book Price]],"")</f>
        <v/>
      </c>
      <c r="DU86" s="9" t="str">
        <f>IF(AND(SnapshotTable[[#This Row],[LC Symbol Count]]&gt;0, SnapshotTable[[#This Row],[LC Contract Value]]&gt;0), SnapshotTable[[#This Row],[LC Contract Value]] * SnapshotTable[[#This Row],[LC Qty]] * 100, "")</f>
        <v/>
      </c>
      <c r="DV86" s="9" t="str">
        <f>IF(AND(ISNUMBER(SnapshotTable[[#This Row],[LC Total Value]]), SnapshotTable[[#This Row],[LC Not Filled]]&lt;&gt;"Y"), SnapshotTable[[#This Row],[LC Total Value]]-SnapshotTable[[#This Row],[LC Premium]],"")</f>
        <v/>
      </c>
      <c r="DW86" s="240" t="str">
        <f>IF(ISNUMBER(SnapshotTable[[#This Row],[LC Actual Gain Loss]]), SnapshotTable[[#This Row],[LC Actual Gain Loss]] / SnapshotTable[[#This Row],[LC Premium]],"")</f>
        <v/>
      </c>
      <c r="DX86" s="284" t="str">
        <f>IF(ISNUMBER(SnapshotTable[[#This Row],[LC Book Price]]),SnapshotTable[[#This Row],[LC Book Price]] * 1.5,"")</f>
        <v/>
      </c>
      <c r="DY86" s="265" t="str">
        <f>IF(SnapshotTable[[#This Row],[LC Premium]]&gt;0, SnapshotTable[[#This Row],[LC Next Target]] * SnapshotTable[[#This Row],[LC Qty]] * 100,"")</f>
        <v/>
      </c>
      <c r="DZ86" s="265" t="str">
        <f>IF(ISNUMBER(SnapshotTable[[#This Row],[LC Target Gross]]), SnapshotTable[[#This Row],[LC Target Gross]] - SnapshotTable[[#This Row],[LC Premium]], "")</f>
        <v/>
      </c>
      <c r="EA86" s="305" t="str">
        <f>IF(ISNUMBER(SnapshotTable[[#This Row],[LC Target Gain Loss]]), SnapshotTable[[#This Row],[LC Target Gain Loss]]/SnapshotTable[[#This Row],[LC Premium]], "")</f>
        <v/>
      </c>
      <c r="EB86" s="262"/>
      <c r="EC86" s="283" t="str">
        <f>IF(SnapshotTable[[#This Row],[LC Premium]]&gt;0, SnapshotTable[[#This Row],[LC Book Price]] * (1 - LC_StopLoss_Pct),"")</f>
        <v/>
      </c>
      <c r="ED86" s="284"/>
      <c r="EE86" s="283" t="str">
        <f>IF(ISNUMBER(SnapshotTable[[#This Row],[LC Contract Value]]),IF(ISNUMBER(SnapshotTable[[#This Row],[LC Stop Loss Override]]), SnapshotTable[[#This Row],[LC Stop Loss Override]],SnapshotTable[[#This Row],[LC Stop Loss Calc Target]]),"")</f>
        <v/>
      </c>
      <c r="EF86" s="31" t="str">
        <f>IF(ISNUMBER(SnapshotTable[[#This Row],[LC Stop  To Use]]), (SnapshotTable[[#This Row],[LC Stop  To Use]] * SnapshotTable[[#This Row],[LC Qty]] * 100),"")</f>
        <v/>
      </c>
      <c r="EG86" s="9" t="str">
        <f>IF(ISNUMBER(SnapshotTable[[#This Row],[LC Total Value]]),SnapshotTable[[#This Row],[LC Stop Loss Amount]] - SnapshotTable[[#This Row],[LC Premium]],"")</f>
        <v/>
      </c>
      <c r="EH86" s="9">
        <f>IF(ISNUMBER(SnapshotTable[[#This Row],[LC Premium]]), SnapshotTable[[#This Row],[LC Qty]] * 100 * SnapshotTable[[#This Row],[LC Strike Price]], "")</f>
        <v>0</v>
      </c>
      <c r="EI86" s="240" t="str">
        <f>IF(AND(ISNUMBER(SnapshotTable[[#This Row],[LC Total Value]]),SnapshotTable[[#This Row],[LC Total Value]]&gt;0),SnapshotTable[[#This Row],[LC Stop Gain Loss]]  / SnapshotTable[[#This Row],[LC Premium]],"")</f>
        <v/>
      </c>
      <c r="EJ86" s="35">
        <f>IF(ISNUMBER(SnapshotTable[[#This Row],[Equity Shares]]),TRUNC(SnapshotTable[[#This Row],[Equity Shares]] / 100),0) + SnapshotTable[[#This Row],[LC Qty]]</f>
        <v>0</v>
      </c>
      <c r="EK86" s="147"/>
      <c r="EL86" s="138" t="str">
        <f>IF(SnapshotTable[[#This Row],[SC Exp Date]]&lt;&gt;"",TRUNC(SnapshotTable[[#This Row],[Last Price]]),"")</f>
        <v/>
      </c>
      <c r="EM86" s="148"/>
      <c r="EN86" s="147"/>
      <c r="EO86" s="147"/>
      <c r="EP86" s="138"/>
      <c r="EQ86" s="419" t="b">
        <f>AND(ISNUMBER(SnapshotTable[[#This Row],[SC Exp Date]]), ISNUMBER(SnapshotTable[[#This Row],[SC Strike Price]]), ISNUMBER(SnapshotTable[[#This Row],[SC Qty]]), ISNUMBER(SnapshotTable[[#This Row],[SC Book Date]]), ISNUMBER(SnapshotTable[[#This Row],[SC Book Price]]))</f>
        <v>0</v>
      </c>
      <c r="ER86" s="419" t="b">
        <f>AND(SnapshotTable[[#This Row],[SC Is Booked]], NOT(ISBLANK(SnapshotTable[[#This Row],[SC Fill Date]])))</f>
        <v>0</v>
      </c>
      <c r="ES86" s="370"/>
      <c r="ET86" s="34" t="str">
        <f>IF(AND(ISNUMBER(SnapshotTable[[#This Row],[SC Exp Date]]), ISNUMBER(SnapshotTable[[#This Row],[SC Book Date]])), SnapshotTable[[#This Row],[SC Exp Date]] - MAX(SnapshotTable[[#This Row],[SC Book Date]], SnapshotTable[[#This Row],[SC Fill Date]]) + 1, "")</f>
        <v/>
      </c>
      <c r="EU86" s="34" t="str">
        <f>IF(ISNUMBER(SnapshotTable[[#This Row],[SC Term]]), SnapshotTable[[#This Row],[SC Exp Date]]- MockToday, "")</f>
        <v/>
      </c>
      <c r="EV86" s="31">
        <f>IF(SnapshotTable[[#This Row],[SC Is Booked]], SnapshotTable[[#This Row],[SC Qty]] * SnapshotTable[[#This Row],[SC Book Price]] * 100, 0)</f>
        <v>0</v>
      </c>
      <c r="EW86" s="4" t="str">
        <f>IF(AND(ISNUMBER(SnapshotTable[[#This Row],[Last Price]]), ISNUMBER( SnapshotTable[[#This Row],[SC Book Price]])), SnapshotTable[[#This Row],[Last Price]] - SnapshotTable[[#This Row],[SC Book Price]],"")</f>
        <v/>
      </c>
      <c r="EX86" s="234" t="str">
        <f>IF(SnapshotTable[[#This Row],[SC Is Booked]],IF(SnapshotTable[[#This Row],[SC Intrinsic Value]] &gt; 0, SnapshotTable[[#This Row],[SC Strike Price]], SnapshotTable[[#This Row],[Last Price]]), "")</f>
        <v/>
      </c>
      <c r="EY86" s="4">
        <f>IF(SnapshotTable[[#This Row],[SC Is Booked]], (MinimumPremiumRequired * SnapshotTable[[#This Row],[SC Basis]] * SnapshotTable[[#This Row],[SC Term]]), 0)</f>
        <v>0</v>
      </c>
      <c r="EZ86" s="283"/>
      <c r="FA86" s="218"/>
      <c r="FB86" s="370"/>
      <c r="FC86" s="4">
        <f>IF(SnapshotTable[[#This Row],[SC Is Filled]], btc_max_buyback_amount(SnapshotTable[[#This Row],[SC Fill Date]],SnapshotTable[[#This Row],[SC Exp Date]], SnapshotTable[[#This Row],[SC Book Price]]),0)</f>
        <v>0</v>
      </c>
      <c r="FD86" s="5"/>
      <c r="FE86" s="144" t="str">
        <f>IF(SnapshotTable[[#This Row],[SC Is Filled]], btc_next_cutoff_date(SnapshotTable[[#This Row],[SC Fill Date]],SnapshotTable[[#This Row],[SC Exp Date]]),"")</f>
        <v/>
      </c>
      <c r="FF86" s="4" t="str" cm="1">
        <f t="array" ref="FF86">IF(SnapshotTable[[#This Row],[SC Is Filled]], btc_should_buy_back(SnapshotTable[[#This Row],[SC Fill Date]], SnapshotTable[[#This Row],[SC Exp Date]], SnapshotTable[[#This Row],[SC Book Price]], SnapshotTable[[#This Row],[SC Current Ask]], MockToday, SnapshotTable[[#This Row],[SC Buyback Override]]),"")</f>
        <v/>
      </c>
      <c r="FG86" s="4">
        <f>IF(SnapshotTable[[#This Row],[SC Is Filled]], MAX(0,SnapshotTable[[#This Row],[Last Price]]  - SnapshotTable[[#This Row],[SC Strike Price]]), 0)</f>
        <v>0</v>
      </c>
      <c r="FH86" s="382">
        <f>IF(SnapshotTable[[#This Row],[SC Is Filled]], IF(ISNUMBER(SnapshotTable[[#This Row],[SC Current Ask]]), SnapshotTable[[#This Row],[SC Current Ask]], SnapshotTable[[#This Row],[SC Book Price]]) - SnapshotTable[[#This Row],[SC Intrinsic Value]], 0)</f>
        <v>0</v>
      </c>
      <c r="FI86" s="143"/>
      <c r="FJ86" s="32" t="str">
        <f>IF(SnapshotTable[[#This Row],[SC Is Filled]],100 * SnapshotTable[[#This Row],[SC Qty]] * IF(ISNUMBER(SnapshotTable[[#This Row],[SC Buyback Override]]), SnapshotTable[[#This Row],[SC Buyback Override]], SnapshotTable[[#This Row],[SC Current Ask]]), "")</f>
        <v/>
      </c>
      <c r="FK86" s="250" t="str">
        <f>IF(SnapshotTable[[#This Row],[SC Time Val]]&gt;0, SnapshotTable[[#This Row],[SC Time Val]] / SnapshotTable[[#This Row],[Last Price]],"")</f>
        <v/>
      </c>
      <c r="FL86" s="302" t="str">
        <f>IF(SnapshotTable[[#This Row],[SC Is Booked]], ((SnapshotTable[[#This Row],[Last Price]] -SnapshotTable[[#This Row],[SC Strike Price]]) / SnapshotTable[[#This Row],[Last Price]]) * -1, "")</f>
        <v/>
      </c>
      <c r="FM86" s="157" t="str">
        <f>IF(SnapshotTable[[#This Row],[SC Is Booked]],  (SnapshotTable[[#This Row],[SC Qty]] * 100 * SnapshotTable[[#This Row],[SC Strike Price]]) - SnapshotTable[[#This Row],[SC Current Ask]], "")</f>
        <v/>
      </c>
      <c r="FN8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6" s="31" t="str">
        <f>IF(AND(ISNUMBER(SnapshotTable[[#This Row],[SC Exercise Gross]]), ISNUMBER(SnapshotTable[[#This Row],[Equity Basis Per Share]] )), SnapshotTable[[#This Row],[SC Exercise Gross]] - SnapshotTable[[#This Row],[Equity Basis Total]] +  SnapshotTable[[#This Row],[SC Premium]], "")</f>
        <v/>
      </c>
      <c r="FP86" s="5" t="str">
        <f>IF(ISNUMBER(SnapshotTable[[#This Row],[SC Exercise Gross]]), (SnapshotTable[[#This Row],[SC Exercise Gross]]) / (SnapshotTable[[#This Row],[SC Qty]] * 100), "")</f>
        <v/>
      </c>
      <c r="FQ86" s="27" t="str">
        <f>IF(SnapshotTable[[#This Row],[SC Is Booked]],SnapshotTable[[#This Row],[SC Time Val]] /SnapshotTable[[#This Row],[SC Basis]], "")</f>
        <v/>
      </c>
      <c r="FR86" s="27" t="str" cm="1">
        <f t="array" ref="FR86">IF(AND(ISNUMBER(SnapshotTable[[#This Row],[SC Term]]),ISNUMBER(SnapshotTable[[#This Row],[SC Simple ROO]])), EllmanAnnualize(SnapshotTable[[#This Row],[SC DTE]], SnapshotTable[[#This Row],[SC Simple ROO]] ),"")</f>
        <v/>
      </c>
      <c r="FS86" s="4" t="e">
        <f>IF(SnapshotTable[[#This Row],[SC Strike Price]] &gt; SnapshotTable[[#This Row],[Last Price]], SnapshotTable[[#This Row],[SC Strike Price]] - SnapshotTable[[#This Row],[Last Price]],0)</f>
        <v>#VALUE!</v>
      </c>
      <c r="FT86" s="27" t="e">
        <f>IF(AND(ISNUMBER(SnapshotTable[[#This Row],[SC Upside Potential]]), SnapshotTable[[#This Row],[SC Upside Potential]] &gt; 0),(SnapshotTable[[#This Row],[SC Upside Potential]]/ SnapshotTable[[#This Row],[ACB]]),"")</f>
        <v>#VALUE!</v>
      </c>
      <c r="FU86" s="333" t="str">
        <f>IF(SnapshotTable[[#This Row],[SC Intrinsic Value]] &gt; 0,SnapshotTable[[#This Row],[SC Intrinsic Value]],"")</f>
        <v/>
      </c>
      <c r="FV86" s="27" t="str">
        <f>IF(AND( ISNUMBER( SnapshotTable[[#This Row],[ACB]]),ISNUMBER(SnapshotTable[[#This Row],[SC Downside Protect]])),SnapshotTable[[#This Row],[SC Downside Protect]] / SnapshotTable[[#This Row],[ACB]],"")</f>
        <v/>
      </c>
      <c r="FW86" s="236" t="str">
        <f>IF(AND(ISNUMBER(SnapshotTable[[#This Row],[SC Simple ROO]]),SnapshotTable[[#This Row],[SC Simple ROO]] &gt; 0), SnapshotTable[[#This Row],[SC Premium]] + (SnapshotTable[[#This Row],[SC Qty]] * SnapshotTable[[#This Row],[SC Upside Potential]]), "")</f>
        <v/>
      </c>
      <c r="FX86" s="302" t="str" cm="1">
        <f t="array" ref="FX86">IF(ISNUMBER(SnapshotTable[[#This Row],[SC Max Dollars]]), annualize(SnapshotTable[[#This Row],[SC Term]],(SnapshotTable[[#This Row],[SC Max Dollars]]/SnapshotTable[[#This Row],[SC Basis]])),"")</f>
        <v/>
      </c>
      <c r="FY86" s="236" t="str">
        <f>IF(AND(SnapshotTable[[#This Row],[SC Qty]]&gt;0,SnapshotTable[[#This Row],[SC Current Ask]]&gt;0), SnapshotTable[[#This Row],[SC Qty]] * SnapshotTable[[#This Row],[SC Current Ask]] * -100, "")</f>
        <v/>
      </c>
      <c r="FZ86" s="31" t="str">
        <f>IF(ISNUMBER((SnapshotTable[[#This Row],[SC Current Value]])), SnapshotTable[[#This Row],[SC Premium]] + SnapshotTable[[#This Row],[SC Current Value]], "")</f>
        <v/>
      </c>
      <c r="GA86" s="294" t="str">
        <f>IFERROR( IF(ISNUMBER((SnapshotTable[[#This Row],[SC Current Value]])), SnapshotTable[[#This Row],[SC Gain Loss]] / SnapshotTable[[#This Row],[SC Premium]], ""), "")</f>
        <v/>
      </c>
      <c r="GB86" s="42">
        <f>SnapshotTable[[#This Row],[Equity Shares]] * SaleSharesToConsiderPercentage</f>
        <v>0</v>
      </c>
      <c r="GC86" s="40">
        <f>SnapshotTable[[#This Row],[Long Term Target]] * SellingPriceToConsiderBasedOnTargetPercentage</f>
        <v>30.266999999999999</v>
      </c>
      <c r="GD86" s="40">
        <f>SnapshotTable[[#This Row],[Last Price]] * (1+ SellingPriceToConsiderBasedOnTargetPercentage)</f>
        <v>18.427499999999998</v>
      </c>
      <c r="GE86" s="41"/>
      <c r="GF86" s="40"/>
      <c r="GG86" s="31">
        <f>SnapshotTable[[#This Row],[Booked Sale Shares]] * SnapshotTable[[#This Row],[Booked Sale Price]]</f>
        <v>0</v>
      </c>
      <c r="GH86" s="31" t="str">
        <f>IF(SnapshotTable[[#This Row],[Equity Basis Total]] &gt; 0, SnapshotTable[[#This Row],[Equity Basis Per Share]] * SnapshotTable[[#This Row],[Booked Sale Shares]], "")</f>
        <v/>
      </c>
      <c r="GI86" s="31">
        <f>IF(SnapshotTable[[#This Row],[Sale Proceeds]]&gt;0, SnapshotTable[[#This Row],[Sale Proceeds]] - SnapshotTable[[#This Row],[Sale Basis]], 0)</f>
        <v>0</v>
      </c>
      <c r="GJ86" s="27" t="str">
        <f>IF(SnapshotTable[[#This Row],[Sale G/L]]&gt;0, SnapshotTable[[#This Row],[Sale G/L]] / SnapshotTable[[#This Row],[Sale Basis]], IF(ISNUMBER(SnapshotTable[[#This Row],[SC Exercise P&amp;L (TAX)]]), SnapshotTable[[#This Row],[SC Exercise P&amp;L (TAX)]] / SnapshotTable[[#This Row],[SC Basis]], ""))</f>
        <v/>
      </c>
      <c r="GK86" s="27"/>
      <c r="GL86" s="43" t="str">
        <f>IF(AND(SnapshotTable[[#This Row],[LP Exp Date]]&gt;0,SnapshotTable[[#This Row],[LP Strike Price]]&gt;0), [1]!ToOptionSymbol(SnapshotTable[[#This Row],[Symbol]], SnapshotTable[[#This Row],[LP Strike Price]],SnapshotTable[[#This Row],[LP Exp Date]],1), "")</f>
        <v/>
      </c>
      <c r="GM86" s="30" t="str">
        <f>IF(LEN(SnapshotTable[[#This Row],[LP Symbol]])&gt;0, 1, "")</f>
        <v/>
      </c>
      <c r="GN86" s="43" t="str">
        <f>IF(AND(SnapshotTable[[#This Row],[SP Exp Date]]&gt;0,SnapshotTable[[#This Row],[SP Strike Price]]&gt;0), [1]!ToOptionSymbol(SnapshotTable[[#This Row],[Symbol]], SnapshotTable[[#This Row],[SP Strike Price]],SnapshotTable[[#This Row],[SP Exp Date]],1), "")</f>
        <v/>
      </c>
      <c r="GO86" s="30" t="str">
        <f>IF(LEN(SnapshotTable[[#This Row],[SP Symbol]])&gt;0, 1, "")</f>
        <v/>
      </c>
      <c r="GP86" s="43" t="str">
        <f>IF(AND(SnapshotTable[[#This Row],[LC Exp Date]]&gt;0,SnapshotTable[[#This Row],[LC Strike Price]]&gt;0), [1]!ToOptionSymbol(SnapshotTable[[#This Row],[Symbol]], SnapshotTable[[#This Row],[LC Strike Price]],SnapshotTable[[#This Row],[LC Exp Date]],0), "")</f>
        <v/>
      </c>
      <c r="GQ86" s="30" t="str">
        <f>IF(LEN(SnapshotTable[[#This Row],[LC Symbol]])&gt;0, 1, "")</f>
        <v/>
      </c>
      <c r="GR86" s="43" t="str">
        <f>IF(AND(SnapshotTable[[#This Row],[SC Exp Date]]&gt;0,SnapshotTable[[#This Row],[SC Strike Price]]&gt;0), [1]!ToOptionSymbol(SnapshotTable[[#This Row],[Symbol]], SnapshotTable[[#This Row],[SC Strike Price]],SnapshotTable[[#This Row],[SC Exp Date]],0), "")</f>
        <v/>
      </c>
      <c r="GS86" s="30" t="str">
        <f>IF(LEN(SnapshotTable[[#This Row],[SC Symbol]])&gt;0, 1, "")</f>
        <v/>
      </c>
      <c r="GT86" s="29" t="str">
        <f>IF(COUNT(SnapshotTable[[#This Row],[LP Symbol Count]],SnapshotTable[[#This Row],[SP Symbol Count]],SnapshotTable[[#This Row],[LC Symbol Count]],SnapshotTable[[#This Row],[SC Symbol Count]])&gt;0, "Y", "")</f>
        <v/>
      </c>
      <c r="GU8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6" s="231" t="e">
        <f>MAX(SnapshotTable[[#This Row],[Equity Basis Total]],SnapshotTable[[#This Row],[Equity Value]]) + (SnapshotTable[[#This Row],[SP Potential Spend]]- SnapshotTable[[#This Row],[SP Premium]] + SnapshotTable[[#This Row],[LP Premium]])+ (SnapshotTable[[#This Row],[LC Premium]] - SnapshotTable[[#This Row],[SC Premium]])</f>
        <v>#VALUE!</v>
      </c>
      <c r="GW86" s="139" t="e">
        <f>IF(AND(SnapshotTable[[#This Row],[Exposure]] &lt;&gt; 0),SnapshotTable[[#This Row],[Exposure]] / SnapshotTable[[#Totals],[Exposure]], "")</f>
        <v>#VALUE!</v>
      </c>
      <c r="HE86" s="268"/>
      <c r="HF86" s="268"/>
      <c r="HK86" s="1"/>
      <c r="HL86" s="1"/>
      <c r="HM86" s="1"/>
      <c r="HN86" s="1"/>
      <c r="HO86" s="1"/>
      <c r="HP86" s="1"/>
    </row>
    <row r="87" spans="2:224" s="47" customFormat="1" ht="12.75" hidden="1" customHeight="1" x14ac:dyDescent="0.25">
      <c r="B87" s="12" t="s">
        <v>1171</v>
      </c>
      <c r="C87" s="422">
        <v>15.33</v>
      </c>
      <c r="D87" s="208" t="s">
        <v>578</v>
      </c>
      <c r="E87" s="39">
        <f>SnapshotTable[[#This Row],[Last Price]]*(1 -CrashDiscount)</f>
        <v>13.0305</v>
      </c>
      <c r="F87" s="26" t="s">
        <v>937</v>
      </c>
      <c r="G87" s="325" t="s">
        <v>4</v>
      </c>
      <c r="H87" s="149"/>
      <c r="I87" s="194"/>
      <c r="J87" s="195"/>
      <c r="K87" s="196"/>
      <c r="L87" s="326"/>
      <c r="M87" s="140"/>
      <c r="N87" s="140"/>
      <c r="O87" s="140"/>
      <c r="P87" s="22"/>
      <c r="Q87" s="25"/>
      <c r="R87" s="4" t="str">
        <f>IF(SnapshotTable[[#This Row],[Equity Basis Total]] &gt; 0, SnapshotTable[[#This Row],[Equity Basis Total]] / SnapshotTable[[#This Row],[Equity Shares]], "")</f>
        <v/>
      </c>
      <c r="S87" s="269">
        <f>SnapshotTable[[#This Row],[Last Price]] * SnapshotTable[[#This Row],[Equity Shares]]</f>
        <v>0</v>
      </c>
      <c r="T87" s="269">
        <f>SnapshotTable[[#This Row],[Equity Value]] - SnapshotTable[[#This Row],[Equity Basis Total]]</f>
        <v>0</v>
      </c>
      <c r="U87" s="270" t="str">
        <f>IF(SnapshotTable[[#This Row],[Equity Basis Total]] &gt; 0, SnapshotTable[[#This Row],[Equity G/L]] / SnapshotTable[[#This Row],[Equity Basis Total]], "")</f>
        <v/>
      </c>
      <c r="V87" s="268"/>
      <c r="W87" s="268"/>
      <c r="X87" s="4" t="str">
        <f>IF(AND(ISNUMBER(SnapshotTable[[#This Row],[Equity Basis Per Share]]),ISNUMBER(SnapshotTable[[#This Row],[Equity Target]])),SnapshotTable[[#This Row],[Equity Target]]-SnapshotTable[[#This Row],[Equity Basis Per Share]],"")</f>
        <v/>
      </c>
      <c r="Y87" s="4" t="str">
        <f>IF(AND(ISNUMBER(SnapshotTable[[#This Row],[Equity Basis Per Share]]),ISNUMBER(SnapshotTable[[#This Row],[Equity Stop Loss]])),SnapshotTable[[#This Row],[Equity Stop Loss]]-SnapshotTable[[#This Row],[Equity Basis Per Share]],"")</f>
        <v/>
      </c>
      <c r="Z87" s="275" t="str">
        <f>IFERROR( TEXT(SnapshotTable[[#This Row],[Equity Max Gain Per Share]] /ABS( SnapshotTable[[#This Row],[Equity Max Loss Per Share]]),"0.0 " ) &amp; " : 1", "")</f>
        <v/>
      </c>
      <c r="AA87" s="31" t="str">
        <f>IF(ISNUMBER(SnapshotTable[[#This Row],[Equity Max Gain Per Share]]),SnapshotTable[[#This Row],[Equity Max Gain Per Share]] * SnapshotTable[[#This Row],[Equity Shares]],"")</f>
        <v/>
      </c>
      <c r="AB87" s="31" t="str">
        <f>IF(ISNUMBER(SnapshotTable[[#This Row],[Equity Max Loss Per Share]]),SnapshotTable[[#This Row],[Equity Max Loss Per Share]] * SnapshotTable[[#This Row],[Equity Shares]],"")</f>
        <v/>
      </c>
      <c r="AC87" s="150"/>
      <c r="AD87" s="151"/>
      <c r="AE87" s="31">
        <f>(SnapshotTable[[#This Row],[Annual Dividend Per Share]] / 4) * SnapshotTable[[#This Row],[Equity Shares]]</f>
        <v>0</v>
      </c>
      <c r="AF87" s="31">
        <f>SnapshotTable[[#This Row],[Quarterly Div $]] * 4</f>
        <v>0</v>
      </c>
      <c r="AG87" s="7">
        <f>IF(SnapshotTable[[#This Row],[Annual Dividend Per Share]]&gt;0, SnapshotTable[[#This Row],[Annual Dividend Per Share]]  / SnapshotTable[[#This Row],[Last Price]], 0)</f>
        <v>0</v>
      </c>
      <c r="AH87" s="151"/>
      <c r="AI87" s="5"/>
      <c r="AJ87" s="138"/>
      <c r="AK87" s="152" t="str">
        <f>IF(ISNUMBER( SnapshotTable[[#This Row],[EBF Target]]),(SnapshotTable[[#This Row],[EBF Target]] - SnapshotTable[[#This Row],[Last Price]]) / SnapshotTable[[#This Row],[Last Price]], "")</f>
        <v/>
      </c>
      <c r="AL87" s="152" t="str">
        <f>IF(AND(SnapshotTable[[#This Row],[Equity Basis Total]] &gt; 0,ISNUMBER( SnapshotTable[[#This Row],[Long Term Target]])), SnapshotTable[[#This Row],[From Basis $]] / SnapshotTable[[#This Row],[Equity Basis Total]], "")</f>
        <v/>
      </c>
      <c r="AM87" s="9">
        <f>IF( AND(SnapshotTable[[#This Row],[Equity Shares]] &gt;0,ISNUMBER( SnapshotTable[[#This Row],[Long Term Target]])),(SnapshotTable[[#This Row],[Equity Shares]] * SnapshotTable[[#This Row],[Long Term Target]]) - SnapshotTable[[#This Row],[Equity Basis Total]],0)</f>
        <v>0</v>
      </c>
      <c r="AN87" s="9">
        <f>IF( AND(SnapshotTable[[#This Row],[Equity Shares]] &gt;0,ISNUMBER( SnapshotTable[[#This Row],[Long Term Target]])),(SnapshotTable[[#This Row],[Equity Shares]]*SnapshotTable[[#This Row],[Long Term Target]]) - SnapshotTable[[#This Row],[Equity Value]],0)</f>
        <v>0</v>
      </c>
      <c r="AO87" s="152" t="str">
        <f>IF(AND(ISNUMBER( SnapshotTable[[#This Row],[Long Term Target]]), ISNUMBER(SnapshotTable[[#This Row],[Last Price]])),(SnapshotTable[[#This Row],[Long Term Target]] - SnapshotTable[[#This Row],[Last Price]]) / SnapshotTable[[#This Row],[Last Price]], "")</f>
        <v/>
      </c>
      <c r="AP87" s="5">
        <v>18</v>
      </c>
      <c r="AQ87" s="38" t="s">
        <v>27</v>
      </c>
      <c r="AR87" s="5">
        <v>16</v>
      </c>
      <c r="AS87" s="38" t="s">
        <v>26</v>
      </c>
      <c r="AT87" s="146" t="s">
        <v>553</v>
      </c>
      <c r="AU87" s="187" t="str">
        <f>IF(OR(SnapshotTable[[#This Row],[LP No Fill]]="Y",SnapshotTable[[#This Row],[SP Is Filled]],SnapshotTable[[#This Row],[LC Not Filled]]="Y",SnapshotTable[[#This Row],[SC Is Filled]]),"Y","")</f>
        <v/>
      </c>
      <c r="AV87" s="219"/>
      <c r="AW87" s="225"/>
      <c r="AX87" s="220"/>
      <c r="AY87" s="219" t="str">
        <f>IF(SnapshotTable[[#This Row],[Implied Move]]&gt;0, SnapshotTable[[#This Row],[Last Price]]-SnapshotTable[[#This Row],[Implied Move]],"")</f>
        <v/>
      </c>
      <c r="AZ87" s="219" t="str">
        <f>IF(SnapshotTable[[#This Row],[Implied Move]]&gt;0, SnapshotTable[[#This Row],[Last Price]] + SnapshotTable[[#This Row],[Implied Move]],"")</f>
        <v/>
      </c>
      <c r="BA87" s="331">
        <v>12.52</v>
      </c>
      <c r="BB87" s="347"/>
      <c r="BC8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7" s="351"/>
      <c r="BE87" s="5"/>
      <c r="BF87" s="14"/>
      <c r="BG87" s="13"/>
      <c r="BH87" s="13"/>
      <c r="BI87" s="5"/>
      <c r="BJ87" s="136">
        <f>IF(SnapshotTable[[#This Row],[LP Qty]] &gt; 0, SnapshotTable[[#This Row],[LP Qty]] * SnapshotTable[[#This Row],[LP Book Price]] * 100,0)</f>
        <v>0</v>
      </c>
      <c r="BK87" s="136">
        <f>IF(SnapshotTable[[#This Row],[LP Premium]] &gt; 0, SnapshotTable[[#This Row],[LP Qty]] * SnapshotTable[[#This Row],[LP Strike Price]] * 100,0)</f>
        <v>0</v>
      </c>
      <c r="BL87" s="154"/>
      <c r="BM87" s="19" t="str">
        <f>IF(SnapshotTable[[#This Row],[LP Premium]] &gt; 0,SnapshotTable[[#This Row],[LP Exp Date]]-MAX(SnapshotTable[[#This Row],[LP Book Date]], SnapshotTable[[#This Row],[LP Fill Date]]),"")</f>
        <v/>
      </c>
      <c r="BN87" s="385" t="str">
        <f>IF(ISNUMBER( SnapshotTable[[#This Row],[LP Term]]), SnapshotTable[[#This Row],[LP Exp Date]] - MockToday,"")</f>
        <v/>
      </c>
      <c r="BO87" s="163" t="str">
        <f>IF(AND(SnapshotTable[[#This Row],[LP Exp Date]]&gt;0, SnapshotTable[[#This Row],[LP Strike Price]]&gt;0,SnapshotTable[[#This Row],[LP Qty]]&gt;0,SnapshotTable[[#This Row],[LP Book Date]]&gt;0,SnapshotTable[[#This Row],[LP Book Price]]&gt;0,SnapshotTable[[#This Row],[LP Fill Date]]=0),"Y","")</f>
        <v/>
      </c>
      <c r="BP87" s="31" t="str">
        <f>IF(AND(SnapshotTable[[#This Row],[LP No Fill]]&lt;&gt;"Y",SnapshotTable[[#This Row],[LP Contract Value]]&gt;0, SnapshotTable[[#This Row],[LP Qty]]&gt;0), SnapshotTable[[#This Row],[LP Contract Value]]*SnapshotTable[[#This Row],[LP Qty]]*100,"")</f>
        <v/>
      </c>
      <c r="BQ87" s="13"/>
      <c r="BR87" s="5" t="str">
        <f>IF(SnapshotTable[[#This Row],[SP Exp Date]]&lt;&gt;"",TRUNC(SnapshotTable[[#This Row],[Last Price]]),"")</f>
        <v/>
      </c>
      <c r="BS87" s="36"/>
      <c r="BT87" s="147"/>
      <c r="BU87" s="13"/>
      <c r="BV87" s="5"/>
      <c r="BW87" s="419" t="b">
        <f>AND(ISNUMBER(SnapshotTable[[#This Row],[SP Exp Date]]), ISNUMBER(SnapshotTable[[#This Row],[SP Strike Price]]), ISNUMBER(SnapshotTable[[#This Row],[SP Qty]]), ISNUMBER(SnapshotTable[[#This Row],[SP Book Date]]), ISNUMBER(SnapshotTable[[#This Row],[SP Book Price]]))</f>
        <v>0</v>
      </c>
      <c r="BX87" s="419" t="b">
        <f>AND(SnapshotTable[[#This Row],[SP Is Booked]], NOT(ISBLANK(SnapshotTable[[#This Row],[SP Fill Date]])))</f>
        <v>0</v>
      </c>
      <c r="BY87" s="33">
        <f>IF(SnapshotTable[[#This Row],[SP Is Booked]], SnapshotTable[[#This Row],[SP Qty]] * SnapshotTable[[#This Row],[SP Book Price]] * 100, 0)</f>
        <v>0</v>
      </c>
      <c r="BZ87" s="369"/>
      <c r="CA87" s="368">
        <f>SnapshotTable[[#This Row],[LP Qty]]</f>
        <v>0</v>
      </c>
      <c r="CB87" s="4" t="str">
        <f>IF(SnapshotTable[[#This Row],[SP Is Booked]], SnapshotTable[[#This Row],[SP Strike Price]] - SnapshotTable[[#This Row],[SP Book Price]], "")</f>
        <v/>
      </c>
      <c r="CC87" s="19" t="str">
        <f>IF(SnapshotTable[[#This Row],[SP Is Booked]],SnapshotTable[[#This Row],[SP Exp Date]]-MAX(SnapshotTable[[#This Row],[SP Book Date]], SnapshotTable[[#This Row],[SP Fill Date]]),"")</f>
        <v/>
      </c>
      <c r="CD87" s="7" t="str">
        <f>IF(SnapshotTable[[#This Row],[SP Is Booked]], SnapshotTable[[#This Row],[SP Book Price]]/SnapshotTable[[#This Row],[SP Strike Price]], "")</f>
        <v/>
      </c>
      <c r="CE87" s="7" t="str">
        <f>IF(ISNUMBER(SnapshotTable[[#This Row],[SP ROO Term]]),SnapshotTable[[#This Row],[SP ROO Term]]*(365/SnapshotTable[[#This Row],[SP Term]]),"")</f>
        <v/>
      </c>
      <c r="CF87" s="236">
        <f>SnapshotTable[[#This Row],[LP Strike Price]] * SnapshotTable[[#This Row],[LP Qty]] * 100</f>
        <v>0</v>
      </c>
      <c r="CG87" s="31" t="e">
        <f>IF(ISNUMBER(SnapshotTable[[#This Row],[SP Premium]]), (SnapshotTable[[#This Row],[SP Qty]] * SnapshotTable[[#This Row],[SP Strike Price]]* 100) - SnapshotTable[[#This Row],[LP Protection]], 0)</f>
        <v>#VALUE!</v>
      </c>
      <c r="CH87" s="7" t="str">
        <f>IF(ISNUMBER(SnapshotTable[[#This Row],[SP Break Even]]),-1 * (SnapshotTable[[#This Row],[SP Break Even]] - SnapshotTable[[#This Row],[Last Price]]) / SnapshotTable[[#This Row],[Last Price]], "")</f>
        <v/>
      </c>
      <c r="CI87" s="31">
        <f>IF(AND(ISNUMBER((SnapshotTable[[#This Row],[SP Potential Spend]])), SnapshotTable[[#This Row],[SP Strike Price]] &gt; SnapshotTable[[#This Row],[Last Price]], SnapshotTable[[#This Row],[SP Is Filled]]), SnapshotTable[[#This Row],[SP Potential Spend]] -  SnapshotTable[[#This Row],[LP Max Value]], 0)</f>
        <v>0</v>
      </c>
      <c r="CJ87" s="244"/>
      <c r="CK87" s="31" t="str">
        <f>IF(ISNUMBER(SnapshotTable[[#This Row],[SP Potential Spend]]),IF(ISNUMBER(SnapshotTable[[#This Row],[SP POW]]), SnapshotTable[[#This Row],[SP POW]] * SnapshotTable[[#This Row],[SP Potential Spend]], SnapshotTable[[#This Row],[SP Potential Spend]]), "")</f>
        <v/>
      </c>
      <c r="CL87" s="164" t="e">
        <f>IF(NOT(SnapshotTable[[#This Row],[SP Is Filled]]),(SnapshotTable[[#This Row],[SP Qty]] * SnapshotTable[[#This Row],[SP Strike Price]] * 100) - SnapshotTable[[#This Row],[LP Max Value]],"")</f>
        <v>#VALUE!</v>
      </c>
      <c r="CM87" s="31" t="str">
        <f>IF(SnapshotTable[[#This Row],[SP Actual Spend]]&lt;&gt;0, ((SnapshotTable[[#This Row],[SP Strike Price]]-SnapshotTable[[#This Row],[Last Price]]) *(SnapshotTable[[#This Row],[SP Qty]]*100) - SnapshotTable[[#This Row],[SP Premium]]) * - 1, "")</f>
        <v/>
      </c>
      <c r="CN87" s="78"/>
      <c r="CO87" s="369"/>
      <c r="CP87" s="4" t="str">
        <f>IF(SnapshotTable[[#This Row],[SP Is Filled]], btc_max_buyback_amount(SnapshotTable[[#This Row],[SP Fill Date]],SnapshotTable[[#This Row],[SP Exp Date]], SnapshotTable[[#This Row],[SP Book Price]]),"")</f>
        <v/>
      </c>
      <c r="CQ87" s="78"/>
      <c r="CR8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7" s="155" t="str">
        <f>IF(SnapshotTable[[#This Row],[SP Is Filled]], btc_next_cutoff_date(SnapshotTable[[#This Row],[SP Fill Date]],SnapshotTable[[#This Row],[SP Exp Date]]),"")</f>
        <v/>
      </c>
      <c r="CT87" s="235" t="str" cm="1">
        <f t="array" ref="CT87">IF(SnapshotTable[[#This Row],[SP Is Filled]], btc_should_buy_back(SnapshotTable[[#This Row],[SP Fill Date]], SnapshotTable[[#This Row],[SP Exp Date]], SnapshotTable[[#This Row],[SP Book Price]], SnapshotTable[[#This Row],[SP Current Ask]], MockToday, SnapshotTable[[#This Row],[SP Buyback Override]]),"")</f>
        <v/>
      </c>
      <c r="CU87" s="156"/>
      <c r="CV87" s="235"/>
      <c r="CW87" s="378" t="str">
        <f>IF(ISNUMBER( SnapshotTable[[#This Row],[SP Term]]), SnapshotTable[[#This Row],[SP Exp Date]] - MockToday,"")</f>
        <v/>
      </c>
      <c r="CX87" s="31" t="str">
        <f>IF(SnapshotTable[[#This Row],[SP Is Filled]],SnapshotTable[[#This Row],[SP Buyback Price to Use]] * 100 * SnapshotTable[[#This Row],[SP Qty]], "")</f>
        <v/>
      </c>
      <c r="CY87" s="4" t="str">
        <f>IF(ISNUMBER(SnapshotTable[[#This Row],[SP Strike Price]]), SnapshotTable[[#This Row],[SP Strike Price]] * (1 - SP_MaxLoss_StrikePct), "")</f>
        <v/>
      </c>
      <c r="CZ87" s="31" t="str">
        <f>IF(ISNUMBER(SnapshotTable[[#This Row],[SP Strike  Stop Per Share]]),SnapshotTable[[#This Row],[SP Premium]] - ((SnapshotTable[[#This Row],[SP Strike Price]]-SnapshotTable[[#This Row],[SP Strike  Stop Per Share]]) *(SnapshotTable[[#This Row],[SP Qty]] * 100)),"")</f>
        <v/>
      </c>
      <c r="DA87" s="4" t="str">
        <f>IF(AND(ISNUMBER(SnapshotTable[[#This Row],[SP Premium]]),SnapshotTable[[#This Row],[SP Premium]]&gt;0), SnapshotTable[[#This Row],[SP Book Price]] * (1 + SP_MaxLoss_OptionPct), "")</f>
        <v/>
      </c>
      <c r="DB87" s="31" t="str">
        <f>IF(ISNUMBER(SnapshotTable[[#This Row],[SP Option  Stop Contract]]),(SnapshotTable[[#This Row],[SP Option  Stop Contract]] *(SnapshotTable[[#This Row],[SP Qty]] * 100) - SnapshotTable[[#This Row],[SP Premium]]),"")</f>
        <v/>
      </c>
      <c r="DC87" s="4"/>
      <c r="DD87" s="4"/>
      <c r="DE87" s="4" t="str">
        <f>IF(AND(SnapshotTable[[#This Row],[SP Qty]]&gt;0, SnapshotTable[[#This Row],[SP Stop To Use]]&gt;0),SnapshotTable[[#This Row],[SP Premium]] - ( SnapshotTable[[#This Row],[SP Qty]] * SnapshotTable[[#This Row],[SP Stop To Use]] * 100), "")</f>
        <v/>
      </c>
      <c r="DF87" s="31" t="str">
        <f>IF(AND(SnapshotTable[[#This Row],[SP Qty]]&gt;0,SnapshotTable[[#This Row],[SP Current Ask]]&gt;0), SnapshotTable[[#This Row],[SP Qty]] * SnapshotTable[[#This Row],[SP Current Ask]] * -100, "")</f>
        <v/>
      </c>
      <c r="DG87" s="31" t="str">
        <f>IF(ISNUMBER((SnapshotTable[[#This Row],[SP Total Value]])), SnapshotTable[[#This Row],[SP Premium]] + SnapshotTable[[#This Row],[SP Total Value]], "")</f>
        <v/>
      </c>
      <c r="DH87" s="294" t="str">
        <f>IF(ISNUMBER((SnapshotTable[[#This Row],[SP Total Value]])), SnapshotTable[[#This Row],[SP Gain Loss]] / SnapshotTable[[#This Row],[SP Premium]], "")</f>
        <v/>
      </c>
      <c r="DI87" s="406"/>
      <c r="DJ87" s="138"/>
      <c r="DK87" s="148"/>
      <c r="DL87" s="13"/>
      <c r="DM87" s="13"/>
      <c r="DN87" s="5"/>
      <c r="DO87" s="31">
        <f>IF(SnapshotTable[[#This Row],[LC Symbol Count]]=1, SnapshotTable[[#This Row],[LC Qty]] * SnapshotTable[[#This Row],[LC Book Price]] * 100, 0)</f>
        <v>0</v>
      </c>
      <c r="DP87" s="163" t="str">
        <f>IF(AND(SnapshotTable[[#This Row],[LC Exp Date]]&gt;0, SnapshotTable[[#This Row],[LC Strike Price]]&gt;0,SnapshotTable[[#This Row],[LC Qty]]&gt;0,SnapshotTable[[#This Row],[LC Book Date]]&gt;0,SnapshotTable[[#This Row],[LC Book Price]]&gt;0,SnapshotTable[[#This Row],[LC Fill Date]]=0),"Y","")</f>
        <v/>
      </c>
      <c r="DQ87" s="386" t="str">
        <f>IF(SnapshotTable[[#This Row],[LC Premium]] &gt; 0,SnapshotTable[[#This Row],[LC Exp Date]]-MAX(SnapshotTable[[#This Row],[LC Book Date]], SnapshotTable[[#This Row],[LC Fill Date]]),"")</f>
        <v/>
      </c>
      <c r="DR87" s="386" t="str">
        <f>IF(ISNUMBER(SnapshotTable[[#This Row],[LC Term]]), SnapshotTable[[#This Row],[LC Exp Date]] - MockToday, "")</f>
        <v/>
      </c>
      <c r="DS87" s="234" t="str">
        <f>IF(SnapshotTable[[#This Row],[LC Premium]]&gt;0,SnapshotTable[[#This Row],[LC Strike Price]] + SnapshotTable[[#This Row],[LC Book Price]],"")</f>
        <v/>
      </c>
      <c r="DT87" s="5"/>
      <c r="DU87" s="9" t="str">
        <f>IF(AND(SnapshotTable[[#This Row],[LC Symbol Count]]&gt;0, SnapshotTable[[#This Row],[LC Contract Value]]&gt;0), SnapshotTable[[#This Row],[LC Contract Value]] * SnapshotTable[[#This Row],[LC Qty]] * 100, "")</f>
        <v/>
      </c>
      <c r="DV87" s="9" t="str">
        <f>IF(AND(ISNUMBER(SnapshotTable[[#This Row],[LC Total Value]]), SnapshotTable[[#This Row],[LC Not Filled]]&lt;&gt;"Y"), SnapshotTable[[#This Row],[LC Total Value]]-SnapshotTable[[#This Row],[LC Premium]],"")</f>
        <v/>
      </c>
      <c r="DW87" s="240" t="str">
        <f>IF(ISNUMBER(SnapshotTable[[#This Row],[LC Actual Gain Loss]]), SnapshotTable[[#This Row],[LC Actual Gain Loss]] / SnapshotTable[[#This Row],[LC Premium]],"")</f>
        <v/>
      </c>
      <c r="DX87" s="284" t="str">
        <f>IF(ISNUMBER(SnapshotTable[[#This Row],[LC Book Price]]),SnapshotTable[[#This Row],[LC Book Price]] * 1.5,"")</f>
        <v/>
      </c>
      <c r="DY87" s="265" t="str">
        <f>IF(SnapshotTable[[#This Row],[LC Premium]]&gt;0, SnapshotTable[[#This Row],[LC Next Target]] * SnapshotTable[[#This Row],[LC Qty]] * 100,"")</f>
        <v/>
      </c>
      <c r="DZ87" s="265" t="str">
        <f>IF(ISNUMBER(SnapshotTable[[#This Row],[LC Target Gross]]), SnapshotTable[[#This Row],[LC Target Gross]] - SnapshotTable[[#This Row],[LC Premium]], "")</f>
        <v/>
      </c>
      <c r="EA87" s="305" t="str">
        <f>IF(ISNUMBER(SnapshotTable[[#This Row],[LC Target Gain Loss]]), SnapshotTable[[#This Row],[LC Target Gain Loss]]/SnapshotTable[[#This Row],[LC Premium]], "")</f>
        <v/>
      </c>
      <c r="EB87" s="262"/>
      <c r="EC87" s="283" t="str">
        <f>IF(SnapshotTable[[#This Row],[LC Premium]]&gt;0, SnapshotTable[[#This Row],[LC Book Price]] * (1 - LC_StopLoss_Pct),"")</f>
        <v/>
      </c>
      <c r="ED87" s="284"/>
      <c r="EE87" s="283" t="str">
        <f>IF(ISNUMBER(SnapshotTable[[#This Row],[LC Contract Value]]),IF(ISNUMBER(SnapshotTable[[#This Row],[LC Stop Loss Override]]), SnapshotTable[[#This Row],[LC Stop Loss Override]],SnapshotTable[[#This Row],[LC Stop Loss Calc Target]]),"")</f>
        <v/>
      </c>
      <c r="EF87" s="31" t="str">
        <f>IF(ISNUMBER(SnapshotTable[[#This Row],[LC Stop  To Use]]), (SnapshotTable[[#This Row],[LC Stop  To Use]] * SnapshotTable[[#This Row],[LC Qty]] * 100),"")</f>
        <v/>
      </c>
      <c r="EG87" s="9" t="str">
        <f>IF(ISNUMBER(SnapshotTable[[#This Row],[LC Total Value]]),SnapshotTable[[#This Row],[LC Stop Loss Amount]] - SnapshotTable[[#This Row],[LC Premium]],"")</f>
        <v/>
      </c>
      <c r="EH87" s="9">
        <f>IF(ISNUMBER(SnapshotTable[[#This Row],[LC Premium]]), SnapshotTable[[#This Row],[LC Qty]] * 100 * SnapshotTable[[#This Row],[LC Strike Price]], "")</f>
        <v>0</v>
      </c>
      <c r="EI87" s="240" t="str">
        <f>IF(AND(ISNUMBER(SnapshotTable[[#This Row],[LC Total Value]]),SnapshotTable[[#This Row],[LC Total Value]]&gt;0),SnapshotTable[[#This Row],[LC Stop Gain Loss]]  / SnapshotTable[[#This Row],[LC Premium]],"")</f>
        <v/>
      </c>
      <c r="EJ87" s="35">
        <f>IF(ISNUMBER(SnapshotTable[[#This Row],[Equity Shares]]),TRUNC(SnapshotTable[[#This Row],[Equity Shares]] / 100),0) + SnapshotTable[[#This Row],[LC Qty]]</f>
        <v>0</v>
      </c>
      <c r="EK87" s="147"/>
      <c r="EL87" s="138" t="str">
        <f>IF(SnapshotTable[[#This Row],[SC Exp Date]]&lt;&gt;"",TRUNC(SnapshotTable[[#This Row],[Last Price]]),"")</f>
        <v/>
      </c>
      <c r="EM87" s="148"/>
      <c r="EN87" s="147"/>
      <c r="EO87" s="147"/>
      <c r="EP87" s="138"/>
      <c r="EQ87" s="419" t="b">
        <f>AND(ISNUMBER(SnapshotTable[[#This Row],[SC Exp Date]]), ISNUMBER(SnapshotTable[[#This Row],[SC Strike Price]]), ISNUMBER(SnapshotTable[[#This Row],[SC Qty]]), ISNUMBER(SnapshotTable[[#This Row],[SC Book Date]]), ISNUMBER(SnapshotTable[[#This Row],[SC Book Price]]))</f>
        <v>0</v>
      </c>
      <c r="ER87" s="419" t="b">
        <f>AND(SnapshotTable[[#This Row],[SC Is Booked]], NOT(ISBLANK(SnapshotTable[[#This Row],[SC Fill Date]])))</f>
        <v>0</v>
      </c>
      <c r="ES87" s="370"/>
      <c r="ET87" s="34" t="str">
        <f>IF(AND(ISNUMBER(SnapshotTable[[#This Row],[SC Exp Date]]), ISNUMBER(SnapshotTable[[#This Row],[SC Book Date]])), SnapshotTable[[#This Row],[SC Exp Date]] - MAX(SnapshotTable[[#This Row],[SC Book Date]], SnapshotTable[[#This Row],[SC Fill Date]]) + 1, "")</f>
        <v/>
      </c>
      <c r="EU87" s="34" t="str">
        <f>IF(ISNUMBER(SnapshotTable[[#This Row],[SC Term]]), SnapshotTable[[#This Row],[SC Exp Date]]- MockToday, "")</f>
        <v/>
      </c>
      <c r="EV87" s="31">
        <f>IF(SnapshotTable[[#This Row],[SC Is Booked]], SnapshotTable[[#This Row],[SC Qty]] * SnapshotTable[[#This Row],[SC Book Price]] * 100, 0)</f>
        <v>0</v>
      </c>
      <c r="EW87" s="4" t="str">
        <f>IF(AND(ISNUMBER(SnapshotTable[[#This Row],[Last Price]]), ISNUMBER( SnapshotTable[[#This Row],[SC Book Price]])), SnapshotTable[[#This Row],[Last Price]] - SnapshotTable[[#This Row],[SC Book Price]],"")</f>
        <v/>
      </c>
      <c r="EX87" s="234" t="str">
        <f>IF(SnapshotTable[[#This Row],[SC Is Booked]],IF(SnapshotTable[[#This Row],[SC Intrinsic Value]] &gt; 0, SnapshotTable[[#This Row],[SC Strike Price]], SnapshotTable[[#This Row],[Last Price]]), "")</f>
        <v/>
      </c>
      <c r="EY87" s="4">
        <f>IF(SnapshotTable[[#This Row],[SC Is Booked]], (MinimumPremiumRequired * SnapshotTable[[#This Row],[SC Basis]] * SnapshotTable[[#This Row],[SC Term]]), 0)</f>
        <v>0</v>
      </c>
      <c r="EZ87" s="283"/>
      <c r="FA87" s="218"/>
      <c r="FB87" s="370"/>
      <c r="FC87" s="4">
        <f>IF(SnapshotTable[[#This Row],[SC Is Filled]], btc_max_buyback_amount(SnapshotTable[[#This Row],[SC Fill Date]],SnapshotTable[[#This Row],[SC Exp Date]], SnapshotTable[[#This Row],[SC Book Price]]),0)</f>
        <v>0</v>
      </c>
      <c r="FD87" s="5"/>
      <c r="FE87" s="144" t="str">
        <f>IF(SnapshotTable[[#This Row],[SC Is Filled]], btc_next_cutoff_date(SnapshotTable[[#This Row],[SC Fill Date]],SnapshotTable[[#This Row],[SC Exp Date]]),"")</f>
        <v/>
      </c>
      <c r="FF87" s="4" t="str" cm="1">
        <f t="array" ref="FF87">IF(SnapshotTable[[#This Row],[SC Is Filled]], btc_should_buy_back(SnapshotTable[[#This Row],[SC Fill Date]], SnapshotTable[[#This Row],[SC Exp Date]], SnapshotTable[[#This Row],[SC Book Price]], SnapshotTable[[#This Row],[SC Current Ask]], MockToday, SnapshotTable[[#This Row],[SC Buyback Override]]),"")</f>
        <v/>
      </c>
      <c r="FG87" s="4">
        <f>IF(SnapshotTable[[#This Row],[SC Is Filled]], MAX(0,SnapshotTable[[#This Row],[Last Price]]  - SnapshotTable[[#This Row],[SC Strike Price]]), 0)</f>
        <v>0</v>
      </c>
      <c r="FH87" s="382">
        <f>IF(SnapshotTable[[#This Row],[SC Is Filled]], IF(ISNUMBER(SnapshotTable[[#This Row],[SC Current Ask]]), SnapshotTable[[#This Row],[SC Current Ask]], SnapshotTable[[#This Row],[SC Book Price]]) - SnapshotTable[[#This Row],[SC Intrinsic Value]], 0)</f>
        <v>0</v>
      </c>
      <c r="FI87" s="143"/>
      <c r="FJ87" s="32" t="str">
        <f>IF(SnapshotTable[[#This Row],[SC Is Filled]],100 * SnapshotTable[[#This Row],[SC Qty]] * IF(ISNUMBER(SnapshotTable[[#This Row],[SC Buyback Override]]), SnapshotTable[[#This Row],[SC Buyback Override]], SnapshotTable[[#This Row],[SC Current Ask]]), "")</f>
        <v/>
      </c>
      <c r="FK87" s="250" t="str">
        <f>IF(SnapshotTable[[#This Row],[SC Time Val]]&gt;0, SnapshotTable[[#This Row],[SC Time Val]] / SnapshotTable[[#This Row],[Last Price]],"")</f>
        <v/>
      </c>
      <c r="FL87" s="302" t="str">
        <f>IF(SnapshotTable[[#This Row],[SC Is Booked]], ((SnapshotTable[[#This Row],[Last Price]] -SnapshotTable[[#This Row],[SC Strike Price]]) / SnapshotTable[[#This Row],[Last Price]]) * -1, "")</f>
        <v/>
      </c>
      <c r="FM87" s="157" t="str">
        <f>IF(SnapshotTable[[#This Row],[SC Is Booked]],  (SnapshotTable[[#This Row],[SC Qty]] * 100 * SnapshotTable[[#This Row],[SC Strike Price]]) - SnapshotTable[[#This Row],[SC Current Ask]], "")</f>
        <v/>
      </c>
      <c r="FN8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7" s="31" t="str">
        <f>IF(AND(ISNUMBER(SnapshotTable[[#This Row],[SC Exercise Gross]]), ISNUMBER(SnapshotTable[[#This Row],[Equity Basis Per Share]] )), SnapshotTable[[#This Row],[SC Exercise Gross]] - SnapshotTable[[#This Row],[Equity Basis Total]] +  SnapshotTable[[#This Row],[SC Premium]], "")</f>
        <v/>
      </c>
      <c r="FP87" s="5" t="str">
        <f>IF(ISNUMBER(SnapshotTable[[#This Row],[SC Exercise Gross]]), (SnapshotTable[[#This Row],[SC Exercise Gross]]) / (SnapshotTable[[#This Row],[SC Qty]] * 100), "")</f>
        <v/>
      </c>
      <c r="FQ87" s="27" t="str">
        <f>IF(SnapshotTable[[#This Row],[SC Is Booked]],SnapshotTable[[#This Row],[SC Time Val]] /SnapshotTable[[#This Row],[SC Basis]], "")</f>
        <v/>
      </c>
      <c r="FR87" s="27" t="str" cm="1">
        <f t="array" ref="FR87">IF(AND(ISNUMBER(SnapshotTable[[#This Row],[SC Term]]),ISNUMBER(SnapshotTable[[#This Row],[SC Simple ROO]])), EllmanAnnualize(SnapshotTable[[#This Row],[SC DTE]], SnapshotTable[[#This Row],[SC Simple ROO]] ),"")</f>
        <v/>
      </c>
      <c r="FS87" s="4" t="e">
        <f>IF(SnapshotTable[[#This Row],[SC Strike Price]] &gt; SnapshotTable[[#This Row],[Last Price]], SnapshotTable[[#This Row],[SC Strike Price]] - SnapshotTable[[#This Row],[Last Price]],0)</f>
        <v>#VALUE!</v>
      </c>
      <c r="FT87" s="27" t="e">
        <f>IF(AND(ISNUMBER(SnapshotTable[[#This Row],[SC Upside Potential]]), SnapshotTable[[#This Row],[SC Upside Potential]] &gt; 0),(SnapshotTable[[#This Row],[SC Upside Potential]]/ SnapshotTable[[#This Row],[ACB]]),"")</f>
        <v>#VALUE!</v>
      </c>
      <c r="FU87" s="333" t="str">
        <f>IF(SnapshotTable[[#This Row],[SC Intrinsic Value]] &gt; 0,SnapshotTable[[#This Row],[SC Intrinsic Value]],"")</f>
        <v/>
      </c>
      <c r="FV87" s="27" t="str">
        <f>IF(AND( ISNUMBER( SnapshotTable[[#This Row],[ACB]]),ISNUMBER(SnapshotTable[[#This Row],[SC Downside Protect]])),SnapshotTable[[#This Row],[SC Downside Protect]] / SnapshotTable[[#This Row],[ACB]],"")</f>
        <v/>
      </c>
      <c r="FW87" s="236" t="str">
        <f>IF(AND(ISNUMBER(SnapshotTable[[#This Row],[SC Simple ROO]]),SnapshotTable[[#This Row],[SC Simple ROO]] &gt; 0), SnapshotTable[[#This Row],[SC Premium]] + (SnapshotTable[[#This Row],[SC Qty]] * SnapshotTable[[#This Row],[SC Upside Potential]]), "")</f>
        <v/>
      </c>
      <c r="FX87" s="302" t="str" cm="1">
        <f t="array" ref="FX87">IF(ISNUMBER(SnapshotTable[[#This Row],[SC Max Dollars]]), annualize(SnapshotTable[[#This Row],[SC Term]],(SnapshotTable[[#This Row],[SC Max Dollars]]/SnapshotTable[[#This Row],[SC Basis]])),"")</f>
        <v/>
      </c>
      <c r="FY87" s="236" t="str">
        <f>IF(AND(SnapshotTable[[#This Row],[SC Qty]]&gt;0,SnapshotTable[[#This Row],[SC Current Ask]]&gt;0), SnapshotTable[[#This Row],[SC Qty]] * SnapshotTable[[#This Row],[SC Current Ask]] * -100, "")</f>
        <v/>
      </c>
      <c r="FZ87" s="31" t="str">
        <f>IF(ISNUMBER((SnapshotTable[[#This Row],[SC Current Value]])), SnapshotTable[[#This Row],[SC Premium]] + SnapshotTable[[#This Row],[SC Current Value]], "")</f>
        <v/>
      </c>
      <c r="GA87" s="294" t="str">
        <f>IFERROR( IF(ISNUMBER((SnapshotTable[[#This Row],[SC Current Value]])), SnapshotTable[[#This Row],[SC Gain Loss]] / SnapshotTable[[#This Row],[SC Premium]], ""), "")</f>
        <v/>
      </c>
      <c r="GB87" s="42">
        <f>SnapshotTable[[#This Row],[Equity Shares]] * SaleSharesToConsiderPercentage</f>
        <v>0</v>
      </c>
      <c r="GC87" s="40">
        <f>SnapshotTable[[#This Row],[Long Term Target]] * SellingPriceToConsiderBasedOnTargetPercentage</f>
        <v>0</v>
      </c>
      <c r="GD87" s="40">
        <f>SnapshotTable[[#This Row],[Last Price]] * (1+ SellingPriceToConsiderBasedOnTargetPercentage)</f>
        <v>29.8935</v>
      </c>
      <c r="GE87" s="41"/>
      <c r="GF87" s="40"/>
      <c r="GG87" s="31">
        <f>SnapshotTable[[#This Row],[Booked Sale Shares]] * SnapshotTable[[#This Row],[Booked Sale Price]]</f>
        <v>0</v>
      </c>
      <c r="GH87" s="31" t="str">
        <f>IF(SnapshotTable[[#This Row],[Equity Basis Total]] &gt; 0, SnapshotTable[[#This Row],[Equity Basis Per Share]] * SnapshotTable[[#This Row],[Booked Sale Shares]], "")</f>
        <v/>
      </c>
      <c r="GI87" s="31">
        <f>IF(SnapshotTable[[#This Row],[Sale Proceeds]]&gt;0, SnapshotTable[[#This Row],[Sale Proceeds]] - SnapshotTable[[#This Row],[Sale Basis]], 0)</f>
        <v>0</v>
      </c>
      <c r="GJ87" s="27" t="str">
        <f>IF(SnapshotTable[[#This Row],[Sale G/L]]&gt;0, SnapshotTable[[#This Row],[Sale G/L]] / SnapshotTable[[#This Row],[Sale Basis]], IF(ISNUMBER(SnapshotTable[[#This Row],[SC Exercise P&amp;L (TAX)]]), SnapshotTable[[#This Row],[SC Exercise P&amp;L (TAX)]] / SnapshotTable[[#This Row],[SC Basis]], ""))</f>
        <v/>
      </c>
      <c r="GK87" s="27"/>
      <c r="GL87" s="43" t="str">
        <f>IF(AND(SnapshotTable[[#This Row],[LP Exp Date]]&gt;0,SnapshotTable[[#This Row],[LP Strike Price]]&gt;0), [1]!ToOptionSymbol(SnapshotTable[[#This Row],[Symbol]], SnapshotTable[[#This Row],[LP Strike Price]],SnapshotTable[[#This Row],[LP Exp Date]],1), "")</f>
        <v/>
      </c>
      <c r="GM87" s="30" t="str">
        <f>IF(LEN(SnapshotTable[[#This Row],[LP Symbol]])&gt;0, 1, "")</f>
        <v/>
      </c>
      <c r="GN87" s="43" t="str">
        <f>IF(AND(SnapshotTable[[#This Row],[SP Exp Date]]&gt;0,SnapshotTable[[#This Row],[SP Strike Price]]&gt;0), [1]!ToOptionSymbol(SnapshotTable[[#This Row],[Symbol]], SnapshotTable[[#This Row],[SP Strike Price]],SnapshotTable[[#This Row],[SP Exp Date]],1), "")</f>
        <v/>
      </c>
      <c r="GO87" s="30" t="str">
        <f>IF(LEN(SnapshotTable[[#This Row],[SP Symbol]])&gt;0, 1, "")</f>
        <v/>
      </c>
      <c r="GP87" s="43" t="str">
        <f>IF(AND(SnapshotTable[[#This Row],[LC Exp Date]]&gt;0,SnapshotTable[[#This Row],[LC Strike Price]]&gt;0), [1]!ToOptionSymbol(SnapshotTable[[#This Row],[Symbol]], SnapshotTable[[#This Row],[LC Strike Price]],SnapshotTable[[#This Row],[LC Exp Date]],0), "")</f>
        <v/>
      </c>
      <c r="GQ87" s="30" t="str">
        <f>IF(LEN(SnapshotTable[[#This Row],[LC Symbol]])&gt;0, 1, "")</f>
        <v/>
      </c>
      <c r="GR87" s="43" t="str">
        <f>IF(AND(SnapshotTable[[#This Row],[SC Exp Date]]&gt;0,SnapshotTable[[#This Row],[SC Strike Price]]&gt;0), [1]!ToOptionSymbol(SnapshotTable[[#This Row],[Symbol]], SnapshotTable[[#This Row],[SC Strike Price]],SnapshotTable[[#This Row],[SC Exp Date]],0), "")</f>
        <v/>
      </c>
      <c r="GS87" s="30" t="str">
        <f>IF(LEN(SnapshotTable[[#This Row],[SC Symbol]])&gt;0, 1, "")</f>
        <v/>
      </c>
      <c r="GT87" s="29" t="str">
        <f>IF(COUNT(SnapshotTable[[#This Row],[LP Symbol Count]],SnapshotTable[[#This Row],[SP Symbol Count]],SnapshotTable[[#This Row],[LC Symbol Count]],SnapshotTable[[#This Row],[SC Symbol Count]])&gt;0, "Y", "")</f>
        <v/>
      </c>
      <c r="GU8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7" s="231" t="e">
        <f>MAX(SnapshotTable[[#This Row],[Equity Basis Total]],SnapshotTable[[#This Row],[Equity Value]]) + (SnapshotTable[[#This Row],[SP Potential Spend]]- SnapshotTable[[#This Row],[SP Premium]] + SnapshotTable[[#This Row],[LP Premium]])+ (SnapshotTable[[#This Row],[LC Premium]] - SnapshotTable[[#This Row],[SC Premium]])</f>
        <v>#VALUE!</v>
      </c>
      <c r="GW87" s="139" t="e">
        <f>IF(AND(SnapshotTable[[#This Row],[Exposure]] &lt;&gt; 0),SnapshotTable[[#This Row],[Exposure]] / SnapshotTable[[#Totals],[Exposure]], "")</f>
        <v>#VALUE!</v>
      </c>
      <c r="GY87" s="381"/>
      <c r="HE87" s="268"/>
      <c r="HF87" s="268"/>
      <c r="HG87" s="381"/>
      <c r="HH87" s="381"/>
      <c r="HI87" s="381"/>
      <c r="HJ87" s="381"/>
    </row>
    <row r="88" spans="2:224" s="47" customFormat="1" ht="12.75" hidden="1" customHeight="1" x14ac:dyDescent="0.25">
      <c r="B88" s="12" t="s">
        <v>571</v>
      </c>
      <c r="C88" s="422">
        <v>95.76</v>
      </c>
      <c r="D88" s="208" t="s">
        <v>586</v>
      </c>
      <c r="E88" s="39">
        <f>SnapshotTable[[#This Row],[Last Price]]*(1 -CrashDiscount)</f>
        <v>81.396000000000001</v>
      </c>
      <c r="F88" s="26" t="s">
        <v>140</v>
      </c>
      <c r="G88" s="26" t="s">
        <v>17</v>
      </c>
      <c r="H88" s="149"/>
      <c r="I88" s="194">
        <v>44774.673611111109</v>
      </c>
      <c r="J88" s="195">
        <v>44774.673611111109</v>
      </c>
      <c r="K88" s="196"/>
      <c r="L88" s="326"/>
      <c r="M88" s="140">
        <v>2</v>
      </c>
      <c r="N88" s="140"/>
      <c r="O88" s="140"/>
      <c r="P88" s="22"/>
      <c r="Q88" s="25"/>
      <c r="R88" s="4" t="str">
        <f>IF(SnapshotTable[[#This Row],[Equity Basis Total]] &gt; 0, SnapshotTable[[#This Row],[Equity Basis Total]] / SnapshotTable[[#This Row],[Equity Shares]], "")</f>
        <v/>
      </c>
      <c r="S88" s="269">
        <f>SnapshotTable[[#This Row],[Last Price]] * SnapshotTable[[#This Row],[Equity Shares]]</f>
        <v>0</v>
      </c>
      <c r="T88" s="269">
        <f>SnapshotTable[[#This Row],[Equity Value]] - SnapshotTable[[#This Row],[Equity Basis Total]]</f>
        <v>0</v>
      </c>
      <c r="U88" s="270" t="str">
        <f>IF(SnapshotTable[[#This Row],[Equity Basis Total]] &gt; 0, SnapshotTable[[#This Row],[Equity G/L]] / SnapshotTable[[#This Row],[Equity Basis Total]], "")</f>
        <v/>
      </c>
      <c r="V88" s="268"/>
      <c r="W88" s="268"/>
      <c r="X88" s="4" t="str">
        <f>IF(AND(ISNUMBER(SnapshotTable[[#This Row],[Equity Basis Per Share]]),ISNUMBER(SnapshotTable[[#This Row],[Equity Target]])),SnapshotTable[[#This Row],[Equity Target]]-SnapshotTable[[#This Row],[Equity Basis Per Share]],"")</f>
        <v/>
      </c>
      <c r="Y88" s="4" t="str">
        <f>IF(AND(ISNUMBER(SnapshotTable[[#This Row],[Equity Basis Per Share]]),ISNUMBER(SnapshotTable[[#This Row],[Equity Stop Loss]])),SnapshotTable[[#This Row],[Equity Stop Loss]]-SnapshotTable[[#This Row],[Equity Basis Per Share]],"")</f>
        <v/>
      </c>
      <c r="Z88" s="275" t="str">
        <f>IFERROR( TEXT(SnapshotTable[[#This Row],[Equity Max Gain Per Share]] /ABS( SnapshotTable[[#This Row],[Equity Max Loss Per Share]]),"0.0 " ) &amp; " : 1", "")</f>
        <v/>
      </c>
      <c r="AA88" s="31" t="str">
        <f>IF(ISNUMBER(SnapshotTable[[#This Row],[Equity Max Gain Per Share]]),SnapshotTable[[#This Row],[Equity Max Gain Per Share]] * SnapshotTable[[#This Row],[Equity Shares]],"")</f>
        <v/>
      </c>
      <c r="AB88" s="31" t="str">
        <f>IF(ISNUMBER(SnapshotTable[[#This Row],[Equity Max Loss Per Share]]),SnapshotTable[[#This Row],[Equity Max Loss Per Share]] * SnapshotTable[[#This Row],[Equity Shares]],"")</f>
        <v/>
      </c>
      <c r="AC88" s="150"/>
      <c r="AD88" s="151"/>
      <c r="AE88" s="31">
        <f>(SnapshotTable[[#This Row],[Annual Dividend Per Share]] / 4) * SnapshotTable[[#This Row],[Equity Shares]]</f>
        <v>0</v>
      </c>
      <c r="AF88" s="31">
        <f>SnapshotTable[[#This Row],[Quarterly Div $]] * 4</f>
        <v>0</v>
      </c>
      <c r="AG88" s="7">
        <f>IF(SnapshotTable[[#This Row],[Annual Dividend Per Share]]&gt;0, SnapshotTable[[#This Row],[Annual Dividend Per Share]]  / SnapshotTable[[#This Row],[Last Price]], 0)</f>
        <v>0</v>
      </c>
      <c r="AH88" s="151"/>
      <c r="AI88" s="5">
        <v>225</v>
      </c>
      <c r="AJ88" s="138">
        <v>213.71</v>
      </c>
      <c r="AK88" s="152">
        <f>IF(ISNUMBER( SnapshotTable[[#This Row],[EBF Target]]),(SnapshotTable[[#This Row],[EBF Target]] - SnapshotTable[[#This Row],[Last Price]]) / SnapshotTable[[#This Row],[Last Price]], "")</f>
        <v>1.3496240601503759</v>
      </c>
      <c r="AL88" s="152" t="str">
        <f>IF(AND(SnapshotTable[[#This Row],[Equity Basis Total]] &gt; 0,ISNUMBER( SnapshotTable[[#This Row],[Long Term Target]])), SnapshotTable[[#This Row],[From Basis $]] / SnapshotTable[[#This Row],[Equity Basis Total]], "")</f>
        <v/>
      </c>
      <c r="AM88" s="9">
        <f>IF( AND(SnapshotTable[[#This Row],[Equity Shares]] &gt;0,ISNUMBER( SnapshotTable[[#This Row],[Long Term Target]])),(SnapshotTable[[#This Row],[Equity Shares]] * SnapshotTable[[#This Row],[Long Term Target]]) - SnapshotTable[[#This Row],[Equity Basis Total]],0)</f>
        <v>0</v>
      </c>
      <c r="AN88" s="9">
        <f>IF( AND(SnapshotTable[[#This Row],[Equity Shares]] &gt;0,ISNUMBER( SnapshotTable[[#This Row],[Long Term Target]])),(SnapshotTable[[#This Row],[Equity Shares]]*SnapshotTable[[#This Row],[Long Term Target]]) - SnapshotTable[[#This Row],[Equity Value]],0)</f>
        <v>0</v>
      </c>
      <c r="AO88" s="152">
        <f>IF(AND(ISNUMBER( SnapshotTable[[#This Row],[Long Term Target]]), ISNUMBER(SnapshotTable[[#This Row],[Last Price]])),(SnapshotTable[[#This Row],[Long Term Target]] - SnapshotTable[[#This Row],[Last Price]]) / SnapshotTable[[#This Row],[Last Price]], "")</f>
        <v>1.2317251461988303</v>
      </c>
      <c r="AP88" s="5">
        <v>192.5</v>
      </c>
      <c r="AQ88" s="38" t="s">
        <v>27</v>
      </c>
      <c r="AR88" s="5">
        <v>192.5</v>
      </c>
      <c r="AS88" s="38" t="s">
        <v>38</v>
      </c>
      <c r="AT88" s="146" t="s">
        <v>542</v>
      </c>
      <c r="AU88" s="187" t="str">
        <f>IF(OR(SnapshotTable[[#This Row],[LP No Fill]]="Y",SnapshotTable[[#This Row],[SP Is Filled]],SnapshotTable[[#This Row],[LC Not Filled]]="Y",SnapshotTable[[#This Row],[SC Is Filled]]),"Y","")</f>
        <v/>
      </c>
      <c r="AV88" s="219"/>
      <c r="AW88" s="225"/>
      <c r="AX88" s="220"/>
      <c r="AY88" s="219" t="str">
        <f>IF(SnapshotTable[[#This Row],[Implied Move]]&gt;0, SnapshotTable[[#This Row],[Last Price]]-SnapshotTable[[#This Row],[Implied Move]],"")</f>
        <v/>
      </c>
      <c r="AZ88" s="219" t="str">
        <f>IF(SnapshotTable[[#This Row],[Implied Move]]&gt;0, SnapshotTable[[#This Row],[Last Price]] + SnapshotTable[[#This Row],[Implied Move]],"")</f>
        <v/>
      </c>
      <c r="BA88" s="331">
        <v>197.32</v>
      </c>
      <c r="BB88" s="347"/>
      <c r="BC8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8" s="351"/>
      <c r="BE88" s="174"/>
      <c r="BF88" s="175"/>
      <c r="BG88" s="176"/>
      <c r="BH88" s="176"/>
      <c r="BI88" s="5"/>
      <c r="BJ88" s="153">
        <f>IF(SnapshotTable[[#This Row],[LP Qty]] &gt; 0, SnapshotTable[[#This Row],[LP Qty]] * SnapshotTable[[#This Row],[LP Book Price]] * 100,0)</f>
        <v>0</v>
      </c>
      <c r="BK88" s="136">
        <f>IF(SnapshotTable[[#This Row],[LP Premium]] &gt; 0, SnapshotTable[[#This Row],[LP Qty]] * SnapshotTable[[#This Row],[LP Strike Price]] * 100,0)</f>
        <v>0</v>
      </c>
      <c r="BL88" s="154"/>
      <c r="BM88" s="385" t="str">
        <f>IF(SnapshotTable[[#This Row],[LP Premium]] &gt; 0,SnapshotTable[[#This Row],[LP Exp Date]]-MAX(SnapshotTable[[#This Row],[LP Book Date]], SnapshotTable[[#This Row],[LP Fill Date]]),"")</f>
        <v/>
      </c>
      <c r="BN88" s="385" t="str">
        <f>IF(ISNUMBER( SnapshotTable[[#This Row],[LP Term]]), SnapshotTable[[#This Row],[LP Exp Date]] - MockToday,"")</f>
        <v/>
      </c>
      <c r="BO88" s="163" t="str">
        <f>IF(AND(SnapshotTable[[#This Row],[LP Exp Date]]&gt;0, SnapshotTable[[#This Row],[LP Strike Price]]&gt;0,SnapshotTable[[#This Row],[LP Qty]]&gt;0,SnapshotTable[[#This Row],[LP Book Date]]&gt;0,SnapshotTable[[#This Row],[LP Book Price]]&gt;0,SnapshotTable[[#This Row],[LP Fill Date]]=0),"Y","")</f>
        <v/>
      </c>
      <c r="BP88" s="31" t="str">
        <f>IF(AND(SnapshotTable[[#This Row],[LP No Fill]]&lt;&gt;"Y",SnapshotTable[[#This Row],[LP Contract Value]]&gt;0, SnapshotTable[[#This Row],[LP Qty]]&gt;0), SnapshotTable[[#This Row],[LP Contract Value]]*SnapshotTable[[#This Row],[LP Qty]]*100,"")</f>
        <v/>
      </c>
      <c r="BQ88" s="13"/>
      <c r="BR88" s="5" t="str">
        <f>IF(SnapshotTable[[#This Row],[SP Exp Date]]&lt;&gt;"",TRUNC(SnapshotTable[[#This Row],[Last Price]]),"")</f>
        <v/>
      </c>
      <c r="BS88" s="36"/>
      <c r="BT88" s="147"/>
      <c r="BU88" s="13"/>
      <c r="BV88" s="5"/>
      <c r="BW88" s="419" t="b">
        <f>AND(ISNUMBER(SnapshotTable[[#This Row],[SP Exp Date]]), ISNUMBER(SnapshotTable[[#This Row],[SP Strike Price]]), ISNUMBER(SnapshotTable[[#This Row],[SP Qty]]), ISNUMBER(SnapshotTable[[#This Row],[SP Book Date]]), ISNUMBER(SnapshotTable[[#This Row],[SP Book Price]]))</f>
        <v>0</v>
      </c>
      <c r="BX88" s="419" t="b">
        <f>AND(SnapshotTable[[#This Row],[SP Is Booked]], NOT(ISBLANK(SnapshotTable[[#This Row],[SP Fill Date]])))</f>
        <v>0</v>
      </c>
      <c r="BY88" s="33">
        <f>IF(SnapshotTable[[#This Row],[SP Is Booked]], SnapshotTable[[#This Row],[SP Qty]] * SnapshotTable[[#This Row],[SP Book Price]] * 100, 0)</f>
        <v>0</v>
      </c>
      <c r="BZ88" s="369"/>
      <c r="CA88" s="368">
        <f>SnapshotTable[[#This Row],[LP Qty]]</f>
        <v>0</v>
      </c>
      <c r="CB88" s="4" t="str">
        <f>IF(SnapshotTable[[#This Row],[SP Is Booked]], SnapshotTable[[#This Row],[SP Strike Price]] - SnapshotTable[[#This Row],[SP Book Price]], "")</f>
        <v/>
      </c>
      <c r="CC88" s="19" t="str">
        <f>IF(SnapshotTable[[#This Row],[SP Is Booked]],SnapshotTable[[#This Row],[SP Exp Date]]-MAX(SnapshotTable[[#This Row],[SP Book Date]], SnapshotTable[[#This Row],[SP Fill Date]]),"")</f>
        <v/>
      </c>
      <c r="CD88" s="7" t="str">
        <f>IF(SnapshotTable[[#This Row],[SP Is Booked]], SnapshotTable[[#This Row],[SP Book Price]]/SnapshotTable[[#This Row],[SP Strike Price]], "")</f>
        <v/>
      </c>
      <c r="CE88" s="7" t="str">
        <f>IF(ISNUMBER(SnapshotTable[[#This Row],[SP ROO Term]]),SnapshotTable[[#This Row],[SP ROO Term]]*(365/SnapshotTable[[#This Row],[SP Term]]),"")</f>
        <v/>
      </c>
      <c r="CF88" s="236">
        <f>SnapshotTable[[#This Row],[LP Strike Price]] * SnapshotTable[[#This Row],[LP Qty]] * 100</f>
        <v>0</v>
      </c>
      <c r="CG88" s="31" t="e">
        <f>IF(ISNUMBER(SnapshotTable[[#This Row],[SP Premium]]), (SnapshotTable[[#This Row],[SP Qty]] * SnapshotTable[[#This Row],[SP Strike Price]]* 100) - SnapshotTable[[#This Row],[LP Protection]], 0)</f>
        <v>#VALUE!</v>
      </c>
      <c r="CH88" s="7" t="str">
        <f>IF(ISNUMBER(SnapshotTable[[#This Row],[SP Break Even]]),-1 * (SnapshotTable[[#This Row],[SP Break Even]] - SnapshotTable[[#This Row],[Last Price]]) / SnapshotTable[[#This Row],[Last Price]], "")</f>
        <v/>
      </c>
      <c r="CI88" s="31">
        <f>IF(AND(ISNUMBER((SnapshotTable[[#This Row],[SP Potential Spend]])), SnapshotTable[[#This Row],[SP Strike Price]] &gt; SnapshotTable[[#This Row],[Last Price]], SnapshotTable[[#This Row],[SP Is Filled]]), SnapshotTable[[#This Row],[SP Potential Spend]] -  SnapshotTable[[#This Row],[LP Max Value]], 0)</f>
        <v>0</v>
      </c>
      <c r="CJ88" s="244"/>
      <c r="CK88" s="31" t="str">
        <f>IF(ISNUMBER(SnapshotTable[[#This Row],[SP Potential Spend]]),IF(ISNUMBER(SnapshotTable[[#This Row],[SP POW]]), SnapshotTable[[#This Row],[SP POW]] * SnapshotTable[[#This Row],[SP Potential Spend]], SnapshotTable[[#This Row],[SP Potential Spend]]), "")</f>
        <v/>
      </c>
      <c r="CL88" s="164" t="e">
        <f>IF(NOT(SnapshotTable[[#This Row],[SP Is Filled]]),(SnapshotTable[[#This Row],[SP Qty]] * SnapshotTable[[#This Row],[SP Strike Price]] * 100) - SnapshotTable[[#This Row],[LP Max Value]],"")</f>
        <v>#VALUE!</v>
      </c>
      <c r="CM88" s="31" t="str">
        <f>IF(SnapshotTable[[#This Row],[SP Actual Spend]]&lt;&gt;0, ((SnapshotTable[[#This Row],[SP Strike Price]]-SnapshotTable[[#This Row],[Last Price]]) *(SnapshotTable[[#This Row],[SP Qty]]*100) - SnapshotTable[[#This Row],[SP Premium]]) * - 1, "")</f>
        <v/>
      </c>
      <c r="CN88" s="154"/>
      <c r="CO88" s="369"/>
      <c r="CP88" s="4" t="str">
        <f>IF(SnapshotTable[[#This Row],[SP Is Filled]], btc_max_buyback_amount(SnapshotTable[[#This Row],[SP Fill Date]],SnapshotTable[[#This Row],[SP Exp Date]], SnapshotTable[[#This Row],[SP Book Price]]),"")</f>
        <v/>
      </c>
      <c r="CQ88" s="78">
        <v>0.55000000000000004</v>
      </c>
      <c r="CR8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8" s="155" t="str">
        <f>IF(SnapshotTable[[#This Row],[SP Is Filled]], btc_next_cutoff_date(SnapshotTable[[#This Row],[SP Fill Date]],SnapshotTable[[#This Row],[SP Exp Date]]),"")</f>
        <v/>
      </c>
      <c r="CT88" s="235" t="str" cm="1">
        <f t="array" ref="CT88">IF(SnapshotTable[[#This Row],[SP Is Filled]], btc_should_buy_back(SnapshotTable[[#This Row],[SP Fill Date]], SnapshotTable[[#This Row],[SP Exp Date]], SnapshotTable[[#This Row],[SP Book Price]], SnapshotTable[[#This Row],[SP Current Ask]], MockToday, SnapshotTable[[#This Row],[SP Buyback Override]]),"")</f>
        <v/>
      </c>
      <c r="CU88" s="156">
        <v>44211</v>
      </c>
      <c r="CV88" s="235"/>
      <c r="CW88" s="378" t="str">
        <f>IF(ISNUMBER( SnapshotTable[[#This Row],[SP Term]]), SnapshotTable[[#This Row],[SP Exp Date]] - MockToday,"")</f>
        <v/>
      </c>
      <c r="CX88" s="31" t="str">
        <f>IF(SnapshotTable[[#This Row],[SP Is Filled]],SnapshotTable[[#This Row],[SP Buyback Price to Use]] * 100 * SnapshotTable[[#This Row],[SP Qty]], "")</f>
        <v/>
      </c>
      <c r="CY88" s="4" t="str">
        <f>IF(ISNUMBER(SnapshotTable[[#This Row],[SP Strike Price]]), SnapshotTable[[#This Row],[SP Strike Price]] * (1 - SP_MaxLoss_StrikePct), "")</f>
        <v/>
      </c>
      <c r="CZ88" s="31" t="str">
        <f>IF(ISNUMBER(SnapshotTable[[#This Row],[SP Strike  Stop Per Share]]),SnapshotTable[[#This Row],[SP Premium]] - ((SnapshotTable[[#This Row],[SP Strike Price]]-SnapshotTable[[#This Row],[SP Strike  Stop Per Share]]) *(SnapshotTable[[#This Row],[SP Qty]] * 100)),"")</f>
        <v/>
      </c>
      <c r="DA88" s="4" t="str">
        <f>IF(AND(ISNUMBER(SnapshotTable[[#This Row],[SP Premium]]),SnapshotTable[[#This Row],[SP Premium]]&gt;0), SnapshotTable[[#This Row],[SP Book Price]] * (1 + SP_MaxLoss_OptionPct), "")</f>
        <v/>
      </c>
      <c r="DB88" s="31" t="str">
        <f>IF(ISNUMBER(SnapshotTable[[#This Row],[SP Option  Stop Contract]]),(SnapshotTable[[#This Row],[SP Option  Stop Contract]] *(SnapshotTable[[#This Row],[SP Qty]] * 100) - SnapshotTable[[#This Row],[SP Premium]]),"")</f>
        <v/>
      </c>
      <c r="DC88" s="4"/>
      <c r="DD88" s="4"/>
      <c r="DE88" s="4" t="str">
        <f>IF(AND(SnapshotTable[[#This Row],[SP Qty]]&gt;0, SnapshotTable[[#This Row],[SP Stop To Use]]&gt;0),SnapshotTable[[#This Row],[SP Premium]] - ( SnapshotTable[[#This Row],[SP Qty]] * SnapshotTable[[#This Row],[SP Stop To Use]] * 100), "")</f>
        <v/>
      </c>
      <c r="DF88" s="31" t="str">
        <f>IF(AND(SnapshotTable[[#This Row],[SP Qty]]&gt;0,SnapshotTable[[#This Row],[SP Current Ask]]&gt;0), SnapshotTable[[#This Row],[SP Qty]] * SnapshotTable[[#This Row],[SP Current Ask]] * -100, "")</f>
        <v/>
      </c>
      <c r="DG88" s="31" t="str">
        <f>IF(ISNUMBER((SnapshotTable[[#This Row],[SP Total Value]])), SnapshotTable[[#This Row],[SP Premium]] + SnapshotTable[[#This Row],[SP Total Value]], "")</f>
        <v/>
      </c>
      <c r="DH88" s="294" t="str">
        <f>IF(ISNUMBER((SnapshotTable[[#This Row],[SP Total Value]])), SnapshotTable[[#This Row],[SP Gain Loss]] / SnapshotTable[[#This Row],[SP Premium]], "")</f>
        <v/>
      </c>
      <c r="DI88" s="406"/>
      <c r="DJ88" s="138"/>
      <c r="DK88" s="148"/>
      <c r="DL88" s="13"/>
      <c r="DM88" s="13"/>
      <c r="DN88" s="5"/>
      <c r="DO88" s="31">
        <f>IF(SnapshotTable[[#This Row],[LC Symbol Count]]=1, SnapshotTable[[#This Row],[LC Qty]] * SnapshotTable[[#This Row],[LC Book Price]] * 100, 0)</f>
        <v>0</v>
      </c>
      <c r="DP88" s="163" t="str">
        <f>IF(AND(SnapshotTable[[#This Row],[LC Exp Date]]&gt;0, SnapshotTable[[#This Row],[LC Strike Price]]&gt;0,SnapshotTable[[#This Row],[LC Qty]]&gt;0,SnapshotTable[[#This Row],[LC Book Date]]&gt;0,SnapshotTable[[#This Row],[LC Book Price]]&gt;0,SnapshotTable[[#This Row],[LC Fill Date]]=0),"Y","")</f>
        <v/>
      </c>
      <c r="DQ88" s="386" t="str">
        <f>IF(SnapshotTable[[#This Row],[LC Premium]] &gt; 0,SnapshotTable[[#This Row],[LC Exp Date]]-MAX(SnapshotTable[[#This Row],[LC Book Date]], SnapshotTable[[#This Row],[LC Fill Date]]),"")</f>
        <v/>
      </c>
      <c r="DR88" s="386" t="str">
        <f>IF(ISNUMBER(SnapshotTable[[#This Row],[LC Term]]), SnapshotTable[[#This Row],[LC Exp Date]] - MockToday, "")</f>
        <v/>
      </c>
      <c r="DS88" s="234" t="str">
        <f>IF(SnapshotTable[[#This Row],[LC Premium]]&gt;0,SnapshotTable[[#This Row],[LC Strike Price]] + SnapshotTable[[#This Row],[LC Book Price]],"")</f>
        <v/>
      </c>
      <c r="DT88" s="5"/>
      <c r="DU88" s="9" t="str">
        <f>IF(AND(SnapshotTable[[#This Row],[LC Symbol Count]]&gt;0, SnapshotTable[[#This Row],[LC Contract Value]]&gt;0), SnapshotTable[[#This Row],[LC Contract Value]] * SnapshotTable[[#This Row],[LC Qty]] * 100, "")</f>
        <v/>
      </c>
      <c r="DV88" s="9" t="str">
        <f>IF(AND(ISNUMBER(SnapshotTable[[#This Row],[LC Total Value]]), SnapshotTable[[#This Row],[LC Not Filled]]&lt;&gt;"Y"), SnapshotTable[[#This Row],[LC Total Value]]-SnapshotTable[[#This Row],[LC Premium]],"")</f>
        <v/>
      </c>
      <c r="DW88" s="240" t="str">
        <f>IF(ISNUMBER(SnapshotTable[[#This Row],[LC Actual Gain Loss]]), SnapshotTable[[#This Row],[LC Actual Gain Loss]] / SnapshotTable[[#This Row],[LC Premium]],"")</f>
        <v/>
      </c>
      <c r="DX88" s="284" t="str">
        <f>IF(ISNUMBER(SnapshotTable[[#This Row],[LC Book Price]]),SnapshotTable[[#This Row],[LC Book Price]] * 1.5,"")</f>
        <v/>
      </c>
      <c r="DY88" s="265" t="str">
        <f>IF(SnapshotTable[[#This Row],[LC Premium]]&gt;0, SnapshotTable[[#This Row],[LC Next Target]] * SnapshotTable[[#This Row],[LC Qty]] * 100,"")</f>
        <v/>
      </c>
      <c r="DZ88" s="265" t="str">
        <f>IF(ISNUMBER(SnapshotTable[[#This Row],[LC Target Gross]]), SnapshotTable[[#This Row],[LC Target Gross]] - SnapshotTable[[#This Row],[LC Premium]], "")</f>
        <v/>
      </c>
      <c r="EA88" s="305" t="str">
        <f>IF(ISNUMBER(SnapshotTable[[#This Row],[LC Target Gain Loss]]), SnapshotTable[[#This Row],[LC Target Gain Loss]]/SnapshotTable[[#This Row],[LC Premium]], "")</f>
        <v/>
      </c>
      <c r="EB88" s="262"/>
      <c r="EC88" s="283" t="str">
        <f>IF(SnapshotTable[[#This Row],[LC Premium]]&gt;0, SnapshotTable[[#This Row],[LC Book Price]] * (1 - LC_StopLoss_Pct),"")</f>
        <v/>
      </c>
      <c r="ED88" s="284"/>
      <c r="EE88" s="283" t="str">
        <f>IF(ISNUMBER(SnapshotTable[[#This Row],[LC Contract Value]]),IF(ISNUMBER(SnapshotTable[[#This Row],[LC Stop Loss Override]]), SnapshotTable[[#This Row],[LC Stop Loss Override]],SnapshotTable[[#This Row],[LC Stop Loss Calc Target]]),"")</f>
        <v/>
      </c>
      <c r="EF88" s="31" t="str">
        <f>IF(ISNUMBER(SnapshotTable[[#This Row],[LC Stop  To Use]]), (SnapshotTable[[#This Row],[LC Stop  To Use]] * SnapshotTable[[#This Row],[LC Qty]] * 100),"")</f>
        <v/>
      </c>
      <c r="EG88" s="9" t="str">
        <f>IF(ISNUMBER(SnapshotTable[[#This Row],[LC Total Value]]),SnapshotTable[[#This Row],[LC Stop Loss Amount]] - SnapshotTable[[#This Row],[LC Premium]],"")</f>
        <v/>
      </c>
      <c r="EH88" s="9">
        <f>IF(ISNUMBER(SnapshotTable[[#This Row],[LC Premium]]), SnapshotTable[[#This Row],[LC Qty]] * 100 * SnapshotTable[[#This Row],[LC Strike Price]], "")</f>
        <v>0</v>
      </c>
      <c r="EI88" s="240" t="str">
        <f>IF(AND(ISNUMBER(SnapshotTable[[#This Row],[LC Total Value]]),SnapshotTable[[#This Row],[LC Total Value]]&gt;0),SnapshotTable[[#This Row],[LC Stop Gain Loss]]  / SnapshotTable[[#This Row],[LC Premium]],"")</f>
        <v/>
      </c>
      <c r="EJ88" s="35">
        <f>IF(ISNUMBER(SnapshotTable[[#This Row],[Equity Shares]]),TRUNC(SnapshotTable[[#This Row],[Equity Shares]] / 100),0) + SnapshotTable[[#This Row],[LC Qty]]</f>
        <v>0</v>
      </c>
      <c r="EK88" s="147"/>
      <c r="EL88" s="138" t="str">
        <f>IF(SnapshotTable[[#This Row],[SC Exp Date]]&lt;&gt;"",TRUNC(SnapshotTable[[#This Row],[Last Price]]),"")</f>
        <v/>
      </c>
      <c r="EM88" s="148"/>
      <c r="EN88" s="147"/>
      <c r="EO88" s="147"/>
      <c r="EP88" s="138"/>
      <c r="EQ88" s="419" t="b">
        <f>AND(ISNUMBER(SnapshotTable[[#This Row],[SC Exp Date]]), ISNUMBER(SnapshotTable[[#This Row],[SC Strike Price]]), ISNUMBER(SnapshotTable[[#This Row],[SC Qty]]), ISNUMBER(SnapshotTable[[#This Row],[SC Book Date]]), ISNUMBER(SnapshotTable[[#This Row],[SC Book Price]]))</f>
        <v>0</v>
      </c>
      <c r="ER88" s="419" t="b">
        <f>AND(SnapshotTable[[#This Row],[SC Is Booked]], NOT(ISBLANK(SnapshotTable[[#This Row],[SC Fill Date]])))</f>
        <v>0</v>
      </c>
      <c r="ES88" s="370"/>
      <c r="ET88" s="34" t="str">
        <f>IF(AND(ISNUMBER(SnapshotTable[[#This Row],[SC Exp Date]]), ISNUMBER(SnapshotTable[[#This Row],[SC Book Date]])), SnapshotTable[[#This Row],[SC Exp Date]] - MAX(SnapshotTable[[#This Row],[SC Book Date]], SnapshotTable[[#This Row],[SC Fill Date]]) + 1, "")</f>
        <v/>
      </c>
      <c r="EU88" s="34" t="str">
        <f>IF(ISNUMBER(SnapshotTable[[#This Row],[SC Term]]), SnapshotTable[[#This Row],[SC Exp Date]]- MockToday, "")</f>
        <v/>
      </c>
      <c r="EV88" s="31">
        <f>IF(SnapshotTable[[#This Row],[SC Is Booked]], SnapshotTable[[#This Row],[SC Qty]] * SnapshotTable[[#This Row],[SC Book Price]] * 100, 0)</f>
        <v>0</v>
      </c>
      <c r="EW88" s="4" t="str">
        <f>IF(AND(ISNUMBER(SnapshotTable[[#This Row],[Last Price]]), ISNUMBER( SnapshotTable[[#This Row],[SC Book Price]])), SnapshotTable[[#This Row],[Last Price]] - SnapshotTable[[#This Row],[SC Book Price]],"")</f>
        <v/>
      </c>
      <c r="EX88" s="234" t="str">
        <f>IF(SnapshotTable[[#This Row],[SC Is Booked]],IF(SnapshotTable[[#This Row],[SC Intrinsic Value]] &gt; 0, SnapshotTable[[#This Row],[SC Strike Price]], SnapshotTable[[#This Row],[Last Price]]), "")</f>
        <v/>
      </c>
      <c r="EY88" s="4">
        <f>IF(SnapshotTable[[#This Row],[SC Is Booked]], (MinimumPremiumRequired * SnapshotTable[[#This Row],[SC Basis]] * SnapshotTable[[#This Row],[SC Term]]), 0)</f>
        <v>0</v>
      </c>
      <c r="EZ88" s="283"/>
      <c r="FA88" s="218"/>
      <c r="FB88" s="370"/>
      <c r="FC88" s="4">
        <f>IF(SnapshotTable[[#This Row],[SC Is Filled]], btc_max_buyback_amount(SnapshotTable[[#This Row],[SC Fill Date]],SnapshotTable[[#This Row],[SC Exp Date]], SnapshotTable[[#This Row],[SC Book Price]]),0)</f>
        <v>0</v>
      </c>
      <c r="FD88" s="5"/>
      <c r="FE88" s="144" t="str">
        <f>IF(SnapshotTable[[#This Row],[SC Is Filled]], btc_next_cutoff_date(SnapshotTable[[#This Row],[SC Fill Date]],SnapshotTable[[#This Row],[SC Exp Date]]),"")</f>
        <v/>
      </c>
      <c r="FF88" s="4" t="str" cm="1">
        <f t="array" ref="FF88">IF(SnapshotTable[[#This Row],[SC Is Filled]], btc_should_buy_back(SnapshotTable[[#This Row],[SC Fill Date]], SnapshotTable[[#This Row],[SC Exp Date]], SnapshotTable[[#This Row],[SC Book Price]], SnapshotTable[[#This Row],[SC Current Ask]], MockToday, SnapshotTable[[#This Row],[SC Buyback Override]]),"")</f>
        <v/>
      </c>
      <c r="FG88" s="4">
        <f>IF(SnapshotTable[[#This Row],[SC Is Filled]], MAX(0,SnapshotTable[[#This Row],[Last Price]]  - SnapshotTable[[#This Row],[SC Strike Price]]), 0)</f>
        <v>0</v>
      </c>
      <c r="FH88" s="382">
        <f>IF(SnapshotTable[[#This Row],[SC Is Filled]], IF(ISNUMBER(SnapshotTable[[#This Row],[SC Current Ask]]), SnapshotTable[[#This Row],[SC Current Ask]], SnapshotTable[[#This Row],[SC Book Price]]) - SnapshotTable[[#This Row],[SC Intrinsic Value]], 0)</f>
        <v>0</v>
      </c>
      <c r="FI88" s="143">
        <v>45786</v>
      </c>
      <c r="FJ88" s="32" t="str">
        <f>IF(SnapshotTable[[#This Row],[SC Is Filled]],100 * SnapshotTable[[#This Row],[SC Qty]] * IF(ISNUMBER(SnapshotTable[[#This Row],[SC Buyback Override]]), SnapshotTable[[#This Row],[SC Buyback Override]], SnapshotTable[[#This Row],[SC Current Ask]]), "")</f>
        <v/>
      </c>
      <c r="FK88" s="250" t="str">
        <f>IF(SnapshotTable[[#This Row],[SC Time Val]]&gt;0, SnapshotTable[[#This Row],[SC Time Val]] / SnapshotTable[[#This Row],[Last Price]],"")</f>
        <v/>
      </c>
      <c r="FL88" s="302" t="str">
        <f>IF(SnapshotTable[[#This Row],[SC Is Booked]], ((SnapshotTable[[#This Row],[Last Price]] -SnapshotTable[[#This Row],[SC Strike Price]]) / SnapshotTable[[#This Row],[Last Price]]) * -1, "")</f>
        <v/>
      </c>
      <c r="FM88" s="157" t="str">
        <f>IF(SnapshotTable[[#This Row],[SC Is Booked]],  (SnapshotTable[[#This Row],[SC Qty]] * 100 * SnapshotTable[[#This Row],[SC Strike Price]]) - SnapshotTable[[#This Row],[SC Current Ask]], "")</f>
        <v/>
      </c>
      <c r="FN88"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8" s="157" t="str">
        <f>IF(AND(ISNUMBER(SnapshotTable[[#This Row],[SC Exercise Gross]]), ISNUMBER(SnapshotTable[[#This Row],[Equity Basis Per Share]] )), SnapshotTable[[#This Row],[SC Exercise Gross]] - SnapshotTable[[#This Row],[Equity Basis Total]] +  SnapshotTable[[#This Row],[SC Premium]], "")</f>
        <v/>
      </c>
      <c r="FP88" s="5" t="str">
        <f>IF(ISNUMBER(SnapshotTable[[#This Row],[SC Exercise Gross]]), (SnapshotTable[[#This Row],[SC Exercise Gross]]) / (SnapshotTable[[#This Row],[SC Qty]] * 100), "")</f>
        <v/>
      </c>
      <c r="FQ88" s="27" t="str">
        <f>IF(SnapshotTable[[#This Row],[SC Is Booked]],SnapshotTable[[#This Row],[SC Time Val]] /SnapshotTable[[#This Row],[SC Basis]], "")</f>
        <v/>
      </c>
      <c r="FR88" s="27" t="str" cm="1">
        <f t="array" ref="FR88">IF(AND(ISNUMBER(SnapshotTable[[#This Row],[SC Term]]),ISNUMBER(SnapshotTable[[#This Row],[SC Simple ROO]])), EllmanAnnualize(SnapshotTable[[#This Row],[SC DTE]], SnapshotTable[[#This Row],[SC Simple ROO]] ),"")</f>
        <v/>
      </c>
      <c r="FS88" s="4" t="e">
        <f>IF(SnapshotTable[[#This Row],[SC Strike Price]] &gt; SnapshotTable[[#This Row],[Last Price]], SnapshotTable[[#This Row],[SC Strike Price]] - SnapshotTable[[#This Row],[Last Price]],0)</f>
        <v>#VALUE!</v>
      </c>
      <c r="FT88" s="27" t="e">
        <f>IF(AND(ISNUMBER(SnapshotTable[[#This Row],[SC Upside Potential]]), SnapshotTable[[#This Row],[SC Upside Potential]] &gt; 0),(SnapshotTable[[#This Row],[SC Upside Potential]]/ SnapshotTable[[#This Row],[ACB]]),"")</f>
        <v>#VALUE!</v>
      </c>
      <c r="FU88" s="333" t="str">
        <f>IF(SnapshotTable[[#This Row],[SC Intrinsic Value]] &gt; 0,SnapshotTable[[#This Row],[SC Intrinsic Value]],"")</f>
        <v/>
      </c>
      <c r="FV88" s="27" t="str">
        <f>IF(AND( ISNUMBER( SnapshotTable[[#This Row],[ACB]]),ISNUMBER(SnapshotTable[[#This Row],[SC Downside Protect]])),SnapshotTable[[#This Row],[SC Downside Protect]] / SnapshotTable[[#This Row],[ACB]],"")</f>
        <v/>
      </c>
      <c r="FW88" s="236" t="str">
        <f>IF(AND(ISNUMBER(SnapshotTable[[#This Row],[SC Simple ROO]]),SnapshotTable[[#This Row],[SC Simple ROO]] &gt; 0), SnapshotTable[[#This Row],[SC Premium]] + (SnapshotTable[[#This Row],[SC Qty]] * SnapshotTable[[#This Row],[SC Upside Potential]]), "")</f>
        <v/>
      </c>
      <c r="FX88" s="302" t="str" cm="1">
        <f t="array" ref="FX88">IF(ISNUMBER(SnapshotTable[[#This Row],[SC Max Dollars]]), annualize(SnapshotTable[[#This Row],[SC Term]],(SnapshotTable[[#This Row],[SC Max Dollars]]/SnapshotTable[[#This Row],[SC Basis]])),"")</f>
        <v/>
      </c>
      <c r="FY88" s="236" t="str">
        <f>IF(AND(SnapshotTable[[#This Row],[SC Qty]]&gt;0,SnapshotTable[[#This Row],[SC Current Ask]]&gt;0), SnapshotTable[[#This Row],[SC Qty]] * SnapshotTable[[#This Row],[SC Current Ask]] * -100, "")</f>
        <v/>
      </c>
      <c r="FZ88" s="31" t="str">
        <f>IF(ISNUMBER((SnapshotTable[[#This Row],[SC Current Value]])), SnapshotTable[[#This Row],[SC Premium]] + SnapshotTable[[#This Row],[SC Current Value]], "")</f>
        <v/>
      </c>
      <c r="GA88" s="294" t="str">
        <f>IFERROR( IF(ISNUMBER((SnapshotTable[[#This Row],[SC Current Value]])), SnapshotTable[[#This Row],[SC Gain Loss]] / SnapshotTable[[#This Row],[SC Premium]], ""), "")</f>
        <v/>
      </c>
      <c r="GB88" s="177">
        <f>SnapshotTable[[#This Row],[Equity Shares]] * SaleSharesToConsiderPercentage</f>
        <v>0</v>
      </c>
      <c r="GC88" s="178">
        <f>SnapshotTable[[#This Row],[Long Term Target]] * SellingPriceToConsiderBasedOnTargetPercentage</f>
        <v>203.02449999999999</v>
      </c>
      <c r="GD88" s="178">
        <f>SnapshotTable[[#This Row],[Last Price]] * (1+ SellingPriceToConsiderBasedOnTargetPercentage)</f>
        <v>186.732</v>
      </c>
      <c r="GE88" s="179"/>
      <c r="GF88" s="178"/>
      <c r="GG88" s="31">
        <f>SnapshotTable[[#This Row],[Booked Sale Shares]] * SnapshotTable[[#This Row],[Booked Sale Price]]</f>
        <v>0</v>
      </c>
      <c r="GH88" s="31" t="str">
        <f>IF(SnapshotTable[[#This Row],[Equity Basis Total]] &gt; 0, SnapshotTable[[#This Row],[Equity Basis Per Share]] * SnapshotTable[[#This Row],[Booked Sale Shares]], "")</f>
        <v/>
      </c>
      <c r="GI88" s="31">
        <f>IF(SnapshotTable[[#This Row],[Sale Proceeds]]&gt;0, SnapshotTable[[#This Row],[Sale Proceeds]] - SnapshotTable[[#This Row],[Sale Basis]], 0)</f>
        <v>0</v>
      </c>
      <c r="GJ88" s="158" t="str">
        <f>IF(SnapshotTable[[#This Row],[Sale G/L]]&gt;0, SnapshotTable[[#This Row],[Sale G/L]] / SnapshotTable[[#This Row],[Sale Basis]], IF(ISNUMBER(SnapshotTable[[#This Row],[SC Exercise P&amp;L (TAX)]]), SnapshotTable[[#This Row],[SC Exercise P&amp;L (TAX)]] / SnapshotTable[[#This Row],[SC Basis]], ""))</f>
        <v/>
      </c>
      <c r="GK88" s="158" t="s">
        <v>663</v>
      </c>
      <c r="GL88" s="159" t="str">
        <f>IF(AND(SnapshotTable[[#This Row],[LP Exp Date]]&gt;0,SnapshotTable[[#This Row],[LP Strike Price]]&gt;0), [1]!ToOptionSymbol(SnapshotTable[[#This Row],[Symbol]], SnapshotTable[[#This Row],[LP Strike Price]],SnapshotTable[[#This Row],[LP Exp Date]],1), "")</f>
        <v/>
      </c>
      <c r="GM88" s="30" t="str">
        <f>IF(LEN(SnapshotTable[[#This Row],[LP Symbol]])&gt;0, 1, "")</f>
        <v/>
      </c>
      <c r="GN88" s="43" t="str">
        <f>IF(AND(SnapshotTable[[#This Row],[SP Exp Date]]&gt;0,SnapshotTable[[#This Row],[SP Strike Price]]&gt;0), [1]!ToOptionSymbol(SnapshotTable[[#This Row],[Symbol]], SnapshotTable[[#This Row],[SP Strike Price]],SnapshotTable[[#This Row],[SP Exp Date]],1), "")</f>
        <v/>
      </c>
      <c r="GO88" s="30" t="str">
        <f>IF(LEN(SnapshotTable[[#This Row],[SP Symbol]])&gt;0, 1, "")</f>
        <v/>
      </c>
      <c r="GP88" s="159" t="str">
        <f>IF(AND(SnapshotTable[[#This Row],[LC Exp Date]]&gt;0,SnapshotTable[[#This Row],[LC Strike Price]]&gt;0), [1]!ToOptionSymbol(SnapshotTable[[#This Row],[Symbol]], SnapshotTable[[#This Row],[LC Strike Price]],SnapshotTable[[#This Row],[LC Exp Date]],0), "")</f>
        <v/>
      </c>
      <c r="GQ88" s="160" t="str">
        <f>IF(LEN(SnapshotTable[[#This Row],[LC Symbol]])&gt;0, 1, "")</f>
        <v/>
      </c>
      <c r="GR88" s="159" t="str">
        <f>IF(AND(SnapshotTable[[#This Row],[SC Exp Date]]&gt;0,SnapshotTable[[#This Row],[SC Strike Price]]&gt;0), [1]!ToOptionSymbol(SnapshotTable[[#This Row],[Symbol]], SnapshotTable[[#This Row],[SC Strike Price]],SnapshotTable[[#This Row],[SC Exp Date]],0), "")</f>
        <v/>
      </c>
      <c r="GS88" s="160" t="str">
        <f>IF(LEN(SnapshotTable[[#This Row],[SC Symbol]])&gt;0, 1, "")</f>
        <v/>
      </c>
      <c r="GT88" s="161" t="str">
        <f>IF(COUNT(SnapshotTable[[#This Row],[LP Symbol Count]],SnapshotTable[[#This Row],[SP Symbol Count]],SnapshotTable[[#This Row],[LC Symbol Count]],SnapshotTable[[#This Row],[SC Symbol Count]])&gt;0, "Y", "")</f>
        <v/>
      </c>
      <c r="GU8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8" s="231" t="e">
        <f>MAX(SnapshotTable[[#This Row],[Equity Basis Total]],SnapshotTable[[#This Row],[Equity Value]]) + (SnapshotTable[[#This Row],[SP Potential Spend]]- SnapshotTable[[#This Row],[SP Premium]] + SnapshotTable[[#This Row],[LP Premium]])+ (SnapshotTable[[#This Row],[LC Premium]] - SnapshotTable[[#This Row],[SC Premium]])</f>
        <v>#VALUE!</v>
      </c>
      <c r="GW88" s="139" t="e">
        <f>IF(AND(SnapshotTable[[#This Row],[Exposure]] &lt;&gt; 0),SnapshotTable[[#This Row],[Exposure]] / SnapshotTable[[#Totals],[Exposure]], "")</f>
        <v>#VALUE!</v>
      </c>
      <c r="GY88" s="381"/>
      <c r="HE88" s="268"/>
      <c r="HF88" s="268"/>
      <c r="HG88" s="381"/>
      <c r="HH88" s="381"/>
      <c r="HI88" s="381"/>
      <c r="HJ88" s="381"/>
    </row>
    <row r="89" spans="2:224" ht="12.75" hidden="1" customHeight="1" x14ac:dyDescent="0.25">
      <c r="B89" s="12" t="s">
        <v>106</v>
      </c>
      <c r="C89" s="422">
        <v>23.52</v>
      </c>
      <c r="D89" s="208"/>
      <c r="E89" s="39">
        <f>SnapshotTable[[#This Row],[Last Price]]*(1 -CrashDiscount)</f>
        <v>19.992000000000001</v>
      </c>
      <c r="F89" s="26" t="s">
        <v>105</v>
      </c>
      <c r="G89" s="26" t="s">
        <v>14</v>
      </c>
      <c r="H89" s="149"/>
      <c r="I89" s="194">
        <v>44770.291666666664</v>
      </c>
      <c r="J89" s="195">
        <v>44770.291666666664</v>
      </c>
      <c r="K89" s="196"/>
      <c r="L89" s="326" t="s">
        <v>104</v>
      </c>
      <c r="M89" s="140"/>
      <c r="N89" s="140" t="b">
        <v>1</v>
      </c>
      <c r="O89" s="140"/>
      <c r="P89" s="22"/>
      <c r="Q89" s="25"/>
      <c r="R89" s="4" t="str">
        <f>IF(SnapshotTable[[#This Row],[Equity Basis Total]] &gt; 0, SnapshotTable[[#This Row],[Equity Basis Total]] / SnapshotTable[[#This Row],[Equity Shares]], "")</f>
        <v/>
      </c>
      <c r="S89" s="269">
        <f>SnapshotTable[[#This Row],[Last Price]] * SnapshotTable[[#This Row],[Equity Shares]]</f>
        <v>0</v>
      </c>
      <c r="T89" s="269">
        <f>SnapshotTable[[#This Row],[Equity Value]] - SnapshotTable[[#This Row],[Equity Basis Total]]</f>
        <v>0</v>
      </c>
      <c r="U89" s="270" t="str">
        <f>IF(SnapshotTable[[#This Row],[Equity Basis Total]] &gt; 0, SnapshotTable[[#This Row],[Equity G/L]] / SnapshotTable[[#This Row],[Equity Basis Total]], "")</f>
        <v/>
      </c>
      <c r="V89" s="268"/>
      <c r="W89" s="268"/>
      <c r="X89" s="4" t="str">
        <f>IF(AND(ISNUMBER(SnapshotTable[[#This Row],[Equity Basis Per Share]]),ISNUMBER(SnapshotTable[[#This Row],[Equity Target]])),SnapshotTable[[#This Row],[Equity Target]]-SnapshotTable[[#This Row],[Equity Basis Per Share]],"")</f>
        <v/>
      </c>
      <c r="Y89" s="4" t="str">
        <f>IF(AND(ISNUMBER(SnapshotTable[[#This Row],[Equity Basis Per Share]]),ISNUMBER(SnapshotTable[[#This Row],[Equity Stop Loss]])),SnapshotTable[[#This Row],[Equity Stop Loss]]-SnapshotTable[[#This Row],[Equity Basis Per Share]],"")</f>
        <v/>
      </c>
      <c r="Z89" s="275" t="str">
        <f>IFERROR( TEXT(SnapshotTable[[#This Row],[Equity Max Gain Per Share]] /ABS( SnapshotTable[[#This Row],[Equity Max Loss Per Share]]),"0.0 " ) &amp; " : 1", "")</f>
        <v/>
      </c>
      <c r="AA89" s="31" t="str">
        <f>IF(ISNUMBER(SnapshotTable[[#This Row],[Equity Max Gain Per Share]]),SnapshotTable[[#This Row],[Equity Max Gain Per Share]] * SnapshotTable[[#This Row],[Equity Shares]],"")</f>
        <v/>
      </c>
      <c r="AB89" s="31" t="str">
        <f>IF(ISNUMBER(SnapshotTable[[#This Row],[Equity Max Loss Per Share]]),SnapshotTable[[#This Row],[Equity Max Loss Per Share]] * SnapshotTable[[#This Row],[Equity Shares]],"")</f>
        <v/>
      </c>
      <c r="AC89" s="150">
        <v>0.84</v>
      </c>
      <c r="AD89" s="151" t="s">
        <v>559</v>
      </c>
      <c r="AE89" s="31">
        <f>(SnapshotTable[[#This Row],[Annual Dividend Per Share]] / 4) * SnapshotTable[[#This Row],[Equity Shares]]</f>
        <v>0</v>
      </c>
      <c r="AF89" s="31">
        <f>SnapshotTable[[#This Row],[Quarterly Div $]] * 4</f>
        <v>0</v>
      </c>
      <c r="AG89" s="7">
        <f>IF(SnapshotTable[[#This Row],[Annual Dividend Per Share]]&gt;0, SnapshotTable[[#This Row],[Annual Dividend Per Share]]  / SnapshotTable[[#This Row],[Last Price]], 0)</f>
        <v>3.5714285714285712E-2</v>
      </c>
      <c r="AH89" s="151">
        <v>43862</v>
      </c>
      <c r="AI89" s="5">
        <v>56</v>
      </c>
      <c r="AJ89" s="138">
        <v>45.6</v>
      </c>
      <c r="AK89" s="152">
        <f>IF(ISNUMBER( SnapshotTable[[#This Row],[EBF Target]]),(SnapshotTable[[#This Row],[EBF Target]] - SnapshotTable[[#This Row],[Last Price]]) / SnapshotTable[[#This Row],[Last Price]], "")</f>
        <v>1.3809523809523812</v>
      </c>
      <c r="AL89" s="152" t="str">
        <f>IF(AND(SnapshotTable[[#This Row],[Equity Basis Total]] &gt; 0,ISNUMBER( SnapshotTable[[#This Row],[Long Term Target]])), SnapshotTable[[#This Row],[From Basis $]] / SnapshotTable[[#This Row],[Equity Basis Total]], "")</f>
        <v/>
      </c>
      <c r="AM89" s="9">
        <f>IF( AND(SnapshotTable[[#This Row],[Equity Shares]] &gt;0,ISNUMBER( SnapshotTable[[#This Row],[Long Term Target]])),(SnapshotTable[[#This Row],[Equity Shares]] * SnapshotTable[[#This Row],[Long Term Target]]) - SnapshotTable[[#This Row],[Equity Basis Total]],0)</f>
        <v>0</v>
      </c>
      <c r="AN89" s="9">
        <f>IF( AND(SnapshotTable[[#This Row],[Equity Shares]] &gt;0,ISNUMBER( SnapshotTable[[#This Row],[Long Term Target]])),(SnapshotTable[[#This Row],[Equity Shares]]*SnapshotTable[[#This Row],[Long Term Target]]) - SnapshotTable[[#This Row],[Equity Value]],0)</f>
        <v>0</v>
      </c>
      <c r="AO89" s="152">
        <f>IF(AND(ISNUMBER( SnapshotTable[[#This Row],[Long Term Target]]), ISNUMBER(SnapshotTable[[#This Row],[Last Price]])),(SnapshotTable[[#This Row],[Long Term Target]] - SnapshotTable[[#This Row],[Last Price]]) / SnapshotTable[[#This Row],[Last Price]], "")</f>
        <v>0.93877551020408168</v>
      </c>
      <c r="AP89" s="5"/>
      <c r="AQ89" s="38"/>
      <c r="AR89" s="5"/>
      <c r="AS89" s="38"/>
      <c r="AT89" s="146"/>
      <c r="AU89" s="187" t="str">
        <f>IF(OR(SnapshotTable[[#This Row],[LP No Fill]]="Y",SnapshotTable[[#This Row],[SP Is Filled]],SnapshotTable[[#This Row],[LC Not Filled]]="Y",SnapshotTable[[#This Row],[SC Is Filled]]),"Y","")</f>
        <v/>
      </c>
      <c r="AV89" s="219"/>
      <c r="AW89" s="225"/>
      <c r="AX89" s="220"/>
      <c r="AY89" s="219" t="str">
        <f>IF(SnapshotTable[[#This Row],[Implied Move]]&gt;0, SnapshotTable[[#This Row],[Last Price]]-SnapshotTable[[#This Row],[Implied Move]],"")</f>
        <v/>
      </c>
      <c r="AZ89" s="219" t="str">
        <f>IF(SnapshotTable[[#This Row],[Implied Move]]&gt;0, SnapshotTable[[#This Row],[Last Price]] + SnapshotTable[[#This Row],[Implied Move]],"")</f>
        <v/>
      </c>
      <c r="BA89" s="331"/>
      <c r="BB89" s="347"/>
      <c r="BC8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9" s="351"/>
      <c r="BE89" s="5"/>
      <c r="BF89" s="14"/>
      <c r="BG89" s="13"/>
      <c r="BH89" s="13">
        <v>42810</v>
      </c>
      <c r="BI89" s="5"/>
      <c r="BJ89" s="136">
        <f>IF(SnapshotTable[[#This Row],[LP Qty]] &gt; 0, SnapshotTable[[#This Row],[LP Qty]] * SnapshotTable[[#This Row],[LP Book Price]] * 100,0)</f>
        <v>0</v>
      </c>
      <c r="BK89" s="136">
        <f>IF(SnapshotTable[[#This Row],[LP Premium]] &gt; 0, SnapshotTable[[#This Row],[LP Qty]] * SnapshotTable[[#This Row],[LP Strike Price]] * 100,0)</f>
        <v>0</v>
      </c>
      <c r="BL89" s="154"/>
      <c r="BM89" s="385" t="str">
        <f>IF(SnapshotTable[[#This Row],[LP Premium]] &gt; 0,SnapshotTable[[#This Row],[LP Exp Date]]-MAX(SnapshotTable[[#This Row],[LP Book Date]], SnapshotTable[[#This Row],[LP Fill Date]]),"")</f>
        <v/>
      </c>
      <c r="BN89" s="385" t="str">
        <f>IF(ISNUMBER( SnapshotTable[[#This Row],[LP Term]]), SnapshotTable[[#This Row],[LP Exp Date]] - MockToday,"")</f>
        <v/>
      </c>
      <c r="BO89" s="163" t="str">
        <f>IF(AND(SnapshotTable[[#This Row],[LP Exp Date]]&gt;0, SnapshotTable[[#This Row],[LP Strike Price]]&gt;0,SnapshotTable[[#This Row],[LP Qty]]&gt;0,SnapshotTable[[#This Row],[LP Book Date]]&gt;0,SnapshotTable[[#This Row],[LP Book Price]]&gt;0,SnapshotTable[[#This Row],[LP Fill Date]]=0),"Y","")</f>
        <v/>
      </c>
      <c r="BP89" s="31" t="str">
        <f>IF(AND(SnapshotTable[[#This Row],[LP No Fill]]&lt;&gt;"Y",SnapshotTable[[#This Row],[LP Contract Value]]&gt;0, SnapshotTable[[#This Row],[LP Qty]]&gt;0), SnapshotTable[[#This Row],[LP Contract Value]]*SnapshotTable[[#This Row],[LP Qty]]*100,"")</f>
        <v/>
      </c>
      <c r="BQ89" s="13"/>
      <c r="BR89" s="5" t="str">
        <f>IF(SnapshotTable[[#This Row],[SP Exp Date]]&lt;&gt;"",TRUNC(SnapshotTable[[#This Row],[Last Price]]),"")</f>
        <v/>
      </c>
      <c r="BS89" s="36"/>
      <c r="BT89" s="147"/>
      <c r="BU89" s="13"/>
      <c r="BV89" s="5"/>
      <c r="BW89" s="419" t="b">
        <f>AND(ISNUMBER(SnapshotTable[[#This Row],[SP Exp Date]]), ISNUMBER(SnapshotTable[[#This Row],[SP Strike Price]]), ISNUMBER(SnapshotTable[[#This Row],[SP Qty]]), ISNUMBER(SnapshotTable[[#This Row],[SP Book Date]]), ISNUMBER(SnapshotTable[[#This Row],[SP Book Price]]))</f>
        <v>0</v>
      </c>
      <c r="BX89" s="419" t="b">
        <f>AND(SnapshotTable[[#This Row],[SP Is Booked]], NOT(ISBLANK(SnapshotTable[[#This Row],[SP Fill Date]])))</f>
        <v>0</v>
      </c>
      <c r="BY89" s="33">
        <f>IF(SnapshotTable[[#This Row],[SP Is Booked]], SnapshotTable[[#This Row],[SP Qty]] * SnapshotTable[[#This Row],[SP Book Price]] * 100, 0)</f>
        <v>0</v>
      </c>
      <c r="BZ89" s="369"/>
      <c r="CA89" s="368">
        <f>SnapshotTable[[#This Row],[LP Qty]]</f>
        <v>0</v>
      </c>
      <c r="CB89" s="4" t="str">
        <f>IF(SnapshotTable[[#This Row],[SP Is Booked]], SnapshotTable[[#This Row],[SP Strike Price]] - SnapshotTable[[#This Row],[SP Book Price]], "")</f>
        <v/>
      </c>
      <c r="CC89" s="19" t="str">
        <f>IF(SnapshotTable[[#This Row],[SP Is Booked]],SnapshotTable[[#This Row],[SP Exp Date]]-MAX(SnapshotTable[[#This Row],[SP Book Date]], SnapshotTable[[#This Row],[SP Fill Date]]),"")</f>
        <v/>
      </c>
      <c r="CD89" s="7" t="str">
        <f>IF(SnapshotTable[[#This Row],[SP Is Booked]], SnapshotTable[[#This Row],[SP Book Price]]/SnapshotTable[[#This Row],[SP Strike Price]], "")</f>
        <v/>
      </c>
      <c r="CE89" s="7" t="str">
        <f>IF(ISNUMBER(SnapshotTable[[#This Row],[SP ROO Term]]),SnapshotTable[[#This Row],[SP ROO Term]]*(365/SnapshotTable[[#This Row],[SP Term]]),"")</f>
        <v/>
      </c>
      <c r="CF89" s="236">
        <f>SnapshotTable[[#This Row],[LP Strike Price]] * SnapshotTable[[#This Row],[LP Qty]] * 100</f>
        <v>0</v>
      </c>
      <c r="CG89" s="31" t="e">
        <f>IF(ISNUMBER(SnapshotTable[[#This Row],[SP Premium]]), (SnapshotTable[[#This Row],[SP Qty]] * SnapshotTable[[#This Row],[SP Strike Price]]* 100) - SnapshotTable[[#This Row],[LP Protection]], 0)</f>
        <v>#VALUE!</v>
      </c>
      <c r="CH89" s="7" t="str">
        <f>IF(ISNUMBER(SnapshotTable[[#This Row],[SP Break Even]]),-1 * (SnapshotTable[[#This Row],[SP Break Even]] - SnapshotTable[[#This Row],[Last Price]]) / SnapshotTable[[#This Row],[Last Price]], "")</f>
        <v/>
      </c>
      <c r="CI89" s="31">
        <f>IF(AND(ISNUMBER((SnapshotTable[[#This Row],[SP Potential Spend]])), SnapshotTable[[#This Row],[SP Strike Price]] &gt; SnapshotTable[[#This Row],[Last Price]], SnapshotTable[[#This Row],[SP Is Filled]]), SnapshotTable[[#This Row],[SP Potential Spend]] -  SnapshotTable[[#This Row],[LP Max Value]], 0)</f>
        <v>0</v>
      </c>
      <c r="CJ89" s="244"/>
      <c r="CK89" s="31" t="str">
        <f>IF(ISNUMBER(SnapshotTable[[#This Row],[SP Potential Spend]]),IF(ISNUMBER(SnapshotTable[[#This Row],[SP POW]]), SnapshotTable[[#This Row],[SP POW]] * SnapshotTable[[#This Row],[SP Potential Spend]], SnapshotTable[[#This Row],[SP Potential Spend]]), "")</f>
        <v/>
      </c>
      <c r="CL89" s="164" t="e">
        <f>IF(NOT(SnapshotTable[[#This Row],[SP Is Filled]]),(SnapshotTable[[#This Row],[SP Qty]] * SnapshotTable[[#This Row],[SP Strike Price]] * 100) - SnapshotTable[[#This Row],[LP Max Value]],"")</f>
        <v>#VALUE!</v>
      </c>
      <c r="CM89" s="31" t="str">
        <f>IF(SnapshotTable[[#This Row],[SP Actual Spend]]&lt;&gt;0, ((SnapshotTable[[#This Row],[SP Strike Price]]-SnapshotTable[[#This Row],[Last Price]]) *(SnapshotTable[[#This Row],[SP Qty]]*100) - SnapshotTable[[#This Row],[SP Premium]]) * - 1, "")</f>
        <v/>
      </c>
      <c r="CN89" s="78"/>
      <c r="CO89" s="369"/>
      <c r="CP89" s="4" t="str">
        <f>IF(SnapshotTable[[#This Row],[SP Is Filled]], btc_max_buyback_amount(SnapshotTable[[#This Row],[SP Fill Date]],SnapshotTable[[#This Row],[SP Exp Date]], SnapshotTable[[#This Row],[SP Book Price]]),"")</f>
        <v/>
      </c>
      <c r="CQ89" s="78"/>
      <c r="CR8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9" s="155" t="str">
        <f>IF(SnapshotTable[[#This Row],[SP Is Filled]], btc_next_cutoff_date(SnapshotTable[[#This Row],[SP Fill Date]],SnapshotTable[[#This Row],[SP Exp Date]]),"")</f>
        <v/>
      </c>
      <c r="CT89" s="235" t="str" cm="1">
        <f t="array" ref="CT89">IF(SnapshotTable[[#This Row],[SP Is Filled]], btc_should_buy_back(SnapshotTable[[#This Row],[SP Fill Date]], SnapshotTable[[#This Row],[SP Exp Date]], SnapshotTable[[#This Row],[SP Book Price]], SnapshotTable[[#This Row],[SP Current Ask]], MockToday, SnapshotTable[[#This Row],[SP Buyback Override]]),"")</f>
        <v/>
      </c>
      <c r="CU89" s="143"/>
      <c r="CV89" s="235"/>
      <c r="CW89" s="378" t="str">
        <f>IF(ISNUMBER( SnapshotTable[[#This Row],[SP Term]]), SnapshotTable[[#This Row],[SP Exp Date]] - MockToday,"")</f>
        <v/>
      </c>
      <c r="CX89" s="31" t="str">
        <f>IF(SnapshotTable[[#This Row],[SP Is Filled]],SnapshotTable[[#This Row],[SP Buyback Price to Use]] * 100 * SnapshotTable[[#This Row],[SP Qty]], "")</f>
        <v/>
      </c>
      <c r="CY89" s="4" t="str">
        <f>IF(ISNUMBER(SnapshotTable[[#This Row],[SP Strike Price]]), SnapshotTable[[#This Row],[SP Strike Price]] * (1 - SP_MaxLoss_StrikePct), "")</f>
        <v/>
      </c>
      <c r="CZ89" s="31" t="str">
        <f>IF(ISNUMBER(SnapshotTable[[#This Row],[SP Strike  Stop Per Share]]),SnapshotTable[[#This Row],[SP Premium]] - ((SnapshotTable[[#This Row],[SP Strike Price]]-SnapshotTable[[#This Row],[SP Strike  Stop Per Share]]) *(SnapshotTable[[#This Row],[SP Qty]] * 100)),"")</f>
        <v/>
      </c>
      <c r="DA89" s="4" t="str">
        <f>IF(AND(ISNUMBER(SnapshotTable[[#This Row],[SP Premium]]),SnapshotTable[[#This Row],[SP Premium]]&gt;0), SnapshotTable[[#This Row],[SP Book Price]] * (1 + SP_MaxLoss_OptionPct), "")</f>
        <v/>
      </c>
      <c r="DB89" s="31" t="str">
        <f>IF(ISNUMBER(SnapshotTable[[#This Row],[SP Option  Stop Contract]]),(SnapshotTable[[#This Row],[SP Option  Stop Contract]] *(SnapshotTable[[#This Row],[SP Qty]] * 100) - SnapshotTable[[#This Row],[SP Premium]]),"")</f>
        <v/>
      </c>
      <c r="DC89" s="4"/>
      <c r="DD89" s="4"/>
      <c r="DE89" s="4" t="str">
        <f>IF(AND(SnapshotTable[[#This Row],[SP Qty]]&gt;0, SnapshotTable[[#This Row],[SP Stop To Use]]&gt;0),SnapshotTable[[#This Row],[SP Premium]] - ( SnapshotTable[[#This Row],[SP Qty]] * SnapshotTable[[#This Row],[SP Stop To Use]] * 100), "")</f>
        <v/>
      </c>
      <c r="DF89" s="31" t="str">
        <f>IF(AND(SnapshotTable[[#This Row],[SP Qty]]&gt;0,SnapshotTable[[#This Row],[SP Current Ask]]&gt;0), SnapshotTable[[#This Row],[SP Qty]] * SnapshotTable[[#This Row],[SP Current Ask]] * -100, "")</f>
        <v/>
      </c>
      <c r="DG89" s="31" t="str">
        <f>IF(ISNUMBER((SnapshotTable[[#This Row],[SP Total Value]])), SnapshotTable[[#This Row],[SP Premium]] + SnapshotTable[[#This Row],[SP Total Value]], "")</f>
        <v/>
      </c>
      <c r="DH89" s="294" t="str">
        <f>IF(ISNUMBER((SnapshotTable[[#This Row],[SP Total Value]])), SnapshotTable[[#This Row],[SP Gain Loss]] / SnapshotTable[[#This Row],[SP Premium]], "")</f>
        <v/>
      </c>
      <c r="DI89" s="406"/>
      <c r="DJ89" s="138"/>
      <c r="DK89" s="148"/>
      <c r="DL89" s="13"/>
      <c r="DM89" s="13"/>
      <c r="DO89" s="31">
        <f>IF(SnapshotTable[[#This Row],[LC Symbol Count]]=1, SnapshotTable[[#This Row],[LC Qty]] * SnapshotTable[[#This Row],[LC Book Price]] * 100, 0)</f>
        <v>0</v>
      </c>
      <c r="DP89" s="163" t="str">
        <f>IF(AND(SnapshotTable[[#This Row],[LC Exp Date]]&gt;0, SnapshotTable[[#This Row],[LC Strike Price]]&gt;0,SnapshotTable[[#This Row],[LC Qty]]&gt;0,SnapshotTable[[#This Row],[LC Book Date]]&gt;0,SnapshotTable[[#This Row],[LC Book Price]]&gt;0,SnapshotTable[[#This Row],[LC Fill Date]]=0),"Y","")</f>
        <v/>
      </c>
      <c r="DQ89" s="386" t="str">
        <f>IF(SnapshotTable[[#This Row],[LC Premium]] &gt; 0,SnapshotTable[[#This Row],[LC Exp Date]]-MAX(SnapshotTable[[#This Row],[LC Book Date]], SnapshotTable[[#This Row],[LC Fill Date]]),"")</f>
        <v/>
      </c>
      <c r="DR89" s="386" t="str">
        <f>IF(ISNUMBER(SnapshotTable[[#This Row],[LC Term]]), SnapshotTable[[#This Row],[LC Exp Date]] - MockToday, "")</f>
        <v/>
      </c>
      <c r="DS89" s="234" t="str">
        <f>IF(SnapshotTable[[#This Row],[LC Premium]]&gt;0,SnapshotTable[[#This Row],[LC Strike Price]] + SnapshotTable[[#This Row],[LC Book Price]],"")</f>
        <v/>
      </c>
      <c r="DU89" s="9" t="str">
        <f>IF(AND(SnapshotTable[[#This Row],[LC Symbol Count]]&gt;0, SnapshotTable[[#This Row],[LC Contract Value]]&gt;0), SnapshotTable[[#This Row],[LC Contract Value]] * SnapshotTable[[#This Row],[LC Qty]] * 100, "")</f>
        <v/>
      </c>
      <c r="DV89" s="9" t="str">
        <f>IF(AND(ISNUMBER(SnapshotTable[[#This Row],[LC Total Value]]), SnapshotTable[[#This Row],[LC Not Filled]]&lt;&gt;"Y"), SnapshotTable[[#This Row],[LC Total Value]]-SnapshotTable[[#This Row],[LC Premium]],"")</f>
        <v/>
      </c>
      <c r="DW89" s="240" t="str">
        <f>IF(ISNUMBER(SnapshotTable[[#This Row],[LC Actual Gain Loss]]), SnapshotTable[[#This Row],[LC Actual Gain Loss]] / SnapshotTable[[#This Row],[LC Premium]],"")</f>
        <v/>
      </c>
      <c r="DX89" s="284" t="str">
        <f>IF(ISNUMBER(SnapshotTable[[#This Row],[LC Book Price]]),SnapshotTable[[#This Row],[LC Book Price]] * 1.5,"")</f>
        <v/>
      </c>
      <c r="DY89" s="265" t="str">
        <f>IF(SnapshotTable[[#This Row],[LC Premium]]&gt;0, SnapshotTable[[#This Row],[LC Next Target]] * SnapshotTable[[#This Row],[LC Qty]] * 100,"")</f>
        <v/>
      </c>
      <c r="DZ89" s="265" t="str">
        <f>IF(ISNUMBER(SnapshotTable[[#This Row],[LC Target Gross]]), SnapshotTable[[#This Row],[LC Target Gross]] - SnapshotTable[[#This Row],[LC Premium]], "")</f>
        <v/>
      </c>
      <c r="EA89" s="305" t="str">
        <f>IF(ISNUMBER(SnapshotTable[[#This Row],[LC Target Gain Loss]]), SnapshotTable[[#This Row],[LC Target Gain Loss]]/SnapshotTable[[#This Row],[LC Premium]], "")</f>
        <v/>
      </c>
      <c r="EB89" s="262"/>
      <c r="EC89" s="283" t="str">
        <f>IF(SnapshotTable[[#This Row],[LC Premium]]&gt;0, SnapshotTable[[#This Row],[LC Book Price]] * (1 - LC_StopLoss_Pct),"")</f>
        <v/>
      </c>
      <c r="ED89" s="284"/>
      <c r="EE89" s="283" t="str">
        <f>IF(ISNUMBER(SnapshotTable[[#This Row],[LC Contract Value]]),IF(ISNUMBER(SnapshotTable[[#This Row],[LC Stop Loss Override]]), SnapshotTable[[#This Row],[LC Stop Loss Override]],SnapshotTable[[#This Row],[LC Stop Loss Calc Target]]),"")</f>
        <v/>
      </c>
      <c r="EF89" s="31" t="str">
        <f>IF(ISNUMBER(SnapshotTable[[#This Row],[LC Stop  To Use]]), (SnapshotTable[[#This Row],[LC Stop  To Use]] * SnapshotTable[[#This Row],[LC Qty]] * 100),"")</f>
        <v/>
      </c>
      <c r="EG89" s="9" t="str">
        <f>IF(ISNUMBER(SnapshotTable[[#This Row],[LC Total Value]]),SnapshotTable[[#This Row],[LC Stop Loss Amount]] - SnapshotTable[[#This Row],[LC Premium]],"")</f>
        <v/>
      </c>
      <c r="EH89" s="9">
        <f>IF(ISNUMBER(SnapshotTable[[#This Row],[LC Premium]]), SnapshotTable[[#This Row],[LC Qty]] * 100 * SnapshotTable[[#This Row],[LC Strike Price]], "")</f>
        <v>0</v>
      </c>
      <c r="EI89" s="240" t="str">
        <f>IF(AND(ISNUMBER(SnapshotTable[[#This Row],[LC Total Value]]),SnapshotTable[[#This Row],[LC Total Value]]&gt;0),SnapshotTable[[#This Row],[LC Stop Gain Loss]]  / SnapshotTable[[#This Row],[LC Premium]],"")</f>
        <v/>
      </c>
      <c r="EJ89" s="35">
        <f>IF(ISNUMBER(SnapshotTable[[#This Row],[Equity Shares]]),TRUNC(SnapshotTable[[#This Row],[Equity Shares]] / 100),0) + SnapshotTable[[#This Row],[LC Qty]]</f>
        <v>0</v>
      </c>
      <c r="EK89" s="147"/>
      <c r="EL89" s="138" t="str">
        <f>IF(SnapshotTable[[#This Row],[SC Exp Date]]&lt;&gt;"",TRUNC(SnapshotTable[[#This Row],[Last Price]]),"")</f>
        <v/>
      </c>
      <c r="EM89" s="148"/>
      <c r="EN89" s="147"/>
      <c r="EO89" s="147"/>
      <c r="EP89" s="138"/>
      <c r="EQ89" s="419" t="b">
        <f>AND(ISNUMBER(SnapshotTable[[#This Row],[SC Exp Date]]), ISNUMBER(SnapshotTable[[#This Row],[SC Strike Price]]), ISNUMBER(SnapshotTable[[#This Row],[SC Qty]]), ISNUMBER(SnapshotTable[[#This Row],[SC Book Date]]), ISNUMBER(SnapshotTable[[#This Row],[SC Book Price]]))</f>
        <v>0</v>
      </c>
      <c r="ER89" s="419" t="b">
        <f>AND(SnapshotTable[[#This Row],[SC Is Booked]], NOT(ISBLANK(SnapshotTable[[#This Row],[SC Fill Date]])))</f>
        <v>0</v>
      </c>
      <c r="ES89" s="370"/>
      <c r="ET89" s="34" t="str">
        <f>IF(AND(ISNUMBER(SnapshotTable[[#This Row],[SC Exp Date]]), ISNUMBER(SnapshotTable[[#This Row],[SC Book Date]])), SnapshotTable[[#This Row],[SC Exp Date]] - MAX(SnapshotTable[[#This Row],[SC Book Date]], SnapshotTable[[#This Row],[SC Fill Date]]) + 1, "")</f>
        <v/>
      </c>
      <c r="EU89" s="34" t="str">
        <f>IF(ISNUMBER(SnapshotTable[[#This Row],[SC Term]]), SnapshotTable[[#This Row],[SC Exp Date]]- MockToday, "")</f>
        <v/>
      </c>
      <c r="EV89" s="31">
        <f>IF(SnapshotTable[[#This Row],[SC Is Booked]], SnapshotTable[[#This Row],[SC Qty]] * SnapshotTable[[#This Row],[SC Book Price]] * 100, 0)</f>
        <v>0</v>
      </c>
      <c r="EW89" s="4" t="str">
        <f>IF(AND(ISNUMBER(SnapshotTable[[#This Row],[Last Price]]), ISNUMBER( SnapshotTable[[#This Row],[SC Book Price]])), SnapshotTable[[#This Row],[Last Price]] - SnapshotTable[[#This Row],[SC Book Price]],"")</f>
        <v/>
      </c>
      <c r="EX89" s="234" t="str">
        <f>IF(SnapshotTable[[#This Row],[SC Is Booked]],IF(SnapshotTable[[#This Row],[SC Intrinsic Value]] &gt; 0, SnapshotTable[[#This Row],[SC Strike Price]], SnapshotTable[[#This Row],[Last Price]]), "")</f>
        <v/>
      </c>
      <c r="EY89" s="4">
        <f>IF(SnapshotTable[[#This Row],[SC Is Booked]], (MinimumPremiumRequired * SnapshotTable[[#This Row],[SC Basis]] * SnapshotTable[[#This Row],[SC Term]]), 0)</f>
        <v>0</v>
      </c>
      <c r="EZ89" s="283"/>
      <c r="FA89" s="218"/>
      <c r="FB89" s="370"/>
      <c r="FC89" s="4">
        <f>IF(SnapshotTable[[#This Row],[SC Is Filled]], btc_max_buyback_amount(SnapshotTable[[#This Row],[SC Fill Date]],SnapshotTable[[#This Row],[SC Exp Date]], SnapshotTable[[#This Row],[SC Book Price]]),0)</f>
        <v>0</v>
      </c>
      <c r="FD89" s="5"/>
      <c r="FE89" s="144" t="str">
        <f>IF(SnapshotTable[[#This Row],[SC Is Filled]], btc_next_cutoff_date(SnapshotTable[[#This Row],[SC Fill Date]],SnapshotTable[[#This Row],[SC Exp Date]]),"")</f>
        <v/>
      </c>
      <c r="FF89" s="4" t="str" cm="1">
        <f t="array" ref="FF89">IF(SnapshotTable[[#This Row],[SC Is Filled]], btc_should_buy_back(SnapshotTable[[#This Row],[SC Fill Date]], SnapshotTable[[#This Row],[SC Exp Date]], SnapshotTable[[#This Row],[SC Book Price]], SnapshotTable[[#This Row],[SC Current Ask]], MockToday, SnapshotTable[[#This Row],[SC Buyback Override]]),"")</f>
        <v/>
      </c>
      <c r="FG89" s="4">
        <f>IF(SnapshotTable[[#This Row],[SC Is Filled]], MAX(0,SnapshotTable[[#This Row],[Last Price]]  - SnapshotTable[[#This Row],[SC Strike Price]]), 0)</f>
        <v>0</v>
      </c>
      <c r="FH89" s="382">
        <f>IF(SnapshotTable[[#This Row],[SC Is Filled]], IF(ISNUMBER(SnapshotTable[[#This Row],[SC Current Ask]]), SnapshotTable[[#This Row],[SC Current Ask]], SnapshotTable[[#This Row],[SC Book Price]]) - SnapshotTable[[#This Row],[SC Intrinsic Value]], 0)</f>
        <v>0</v>
      </c>
      <c r="FI89" s="143"/>
      <c r="FJ89" s="32" t="str">
        <f>IF(SnapshotTable[[#This Row],[SC Is Filled]],100 * SnapshotTable[[#This Row],[SC Qty]] * IF(ISNUMBER(SnapshotTable[[#This Row],[SC Buyback Override]]), SnapshotTable[[#This Row],[SC Buyback Override]], SnapshotTable[[#This Row],[SC Current Ask]]), "")</f>
        <v/>
      </c>
      <c r="FK89" s="250" t="str">
        <f>IF(SnapshotTable[[#This Row],[SC Time Val]]&gt;0, SnapshotTable[[#This Row],[SC Time Val]] / SnapshotTable[[#This Row],[Last Price]],"")</f>
        <v/>
      </c>
      <c r="FL89" s="302" t="str">
        <f>IF(SnapshotTable[[#This Row],[SC Is Booked]], ((SnapshotTable[[#This Row],[Last Price]] -SnapshotTable[[#This Row],[SC Strike Price]]) / SnapshotTable[[#This Row],[Last Price]]) * -1, "")</f>
        <v/>
      </c>
      <c r="FM89" s="157" t="str">
        <f>IF(SnapshotTable[[#This Row],[SC Is Booked]],  (SnapshotTable[[#This Row],[SC Qty]] * 100 * SnapshotTable[[#This Row],[SC Strike Price]]) - SnapshotTable[[#This Row],[SC Current Ask]], "")</f>
        <v/>
      </c>
      <c r="FN8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9" s="31" t="str">
        <f>IF(AND(ISNUMBER(SnapshotTable[[#This Row],[SC Exercise Gross]]), ISNUMBER(SnapshotTable[[#This Row],[Equity Basis Per Share]] )), SnapshotTable[[#This Row],[SC Exercise Gross]] - SnapshotTable[[#This Row],[Equity Basis Total]] +  SnapshotTable[[#This Row],[SC Premium]], "")</f>
        <v/>
      </c>
      <c r="FP89" s="5" t="str">
        <f>IF(ISNUMBER(SnapshotTable[[#This Row],[SC Exercise Gross]]), (SnapshotTable[[#This Row],[SC Exercise Gross]]) / (SnapshotTable[[#This Row],[SC Qty]] * 100), "")</f>
        <v/>
      </c>
      <c r="FQ89" s="27" t="str">
        <f>IF(SnapshotTable[[#This Row],[SC Is Booked]],SnapshotTable[[#This Row],[SC Time Val]] /SnapshotTable[[#This Row],[SC Basis]], "")</f>
        <v/>
      </c>
      <c r="FR89" s="27" t="str" cm="1">
        <f t="array" ref="FR89">IF(AND(ISNUMBER(SnapshotTable[[#This Row],[SC Term]]),ISNUMBER(SnapshotTable[[#This Row],[SC Simple ROO]])), EllmanAnnualize(SnapshotTable[[#This Row],[SC DTE]], SnapshotTable[[#This Row],[SC Simple ROO]] ),"")</f>
        <v/>
      </c>
      <c r="FS89" s="4" t="e">
        <f>IF(SnapshotTable[[#This Row],[SC Strike Price]] &gt; SnapshotTable[[#This Row],[Last Price]], SnapshotTable[[#This Row],[SC Strike Price]] - SnapshotTable[[#This Row],[Last Price]],0)</f>
        <v>#VALUE!</v>
      </c>
      <c r="FT89" s="27" t="e">
        <f>IF(AND(ISNUMBER(SnapshotTable[[#This Row],[SC Upside Potential]]), SnapshotTable[[#This Row],[SC Upside Potential]] &gt; 0),(SnapshotTable[[#This Row],[SC Upside Potential]]/ SnapshotTable[[#This Row],[ACB]]),"")</f>
        <v>#VALUE!</v>
      </c>
      <c r="FU89" s="333" t="str">
        <f>IF(SnapshotTable[[#This Row],[SC Intrinsic Value]] &gt; 0,SnapshotTable[[#This Row],[SC Intrinsic Value]],"")</f>
        <v/>
      </c>
      <c r="FV89" s="27" t="str">
        <f>IF(AND( ISNUMBER( SnapshotTable[[#This Row],[ACB]]),ISNUMBER(SnapshotTable[[#This Row],[SC Downside Protect]])),SnapshotTable[[#This Row],[SC Downside Protect]] / SnapshotTable[[#This Row],[ACB]],"")</f>
        <v/>
      </c>
      <c r="FW89" s="236" t="str">
        <f>IF(AND(ISNUMBER(SnapshotTable[[#This Row],[SC Simple ROO]]),SnapshotTable[[#This Row],[SC Simple ROO]] &gt; 0), SnapshotTable[[#This Row],[SC Premium]] + (SnapshotTable[[#This Row],[SC Qty]] * SnapshotTable[[#This Row],[SC Upside Potential]]), "")</f>
        <v/>
      </c>
      <c r="FX89" s="302" t="str" cm="1">
        <f t="array" ref="FX89">IF(ISNUMBER(SnapshotTable[[#This Row],[SC Max Dollars]]), annualize(SnapshotTable[[#This Row],[SC Term]],(SnapshotTable[[#This Row],[SC Max Dollars]]/SnapshotTable[[#This Row],[SC Basis]])),"")</f>
        <v/>
      </c>
      <c r="FY89" s="236" t="str">
        <f>IF(AND(SnapshotTable[[#This Row],[SC Qty]]&gt;0,SnapshotTable[[#This Row],[SC Current Ask]]&gt;0), SnapshotTable[[#This Row],[SC Qty]] * SnapshotTable[[#This Row],[SC Current Ask]] * -100, "")</f>
        <v/>
      </c>
      <c r="FZ89" s="31" t="str">
        <f>IF(ISNUMBER((SnapshotTable[[#This Row],[SC Current Value]])), SnapshotTable[[#This Row],[SC Premium]] + SnapshotTable[[#This Row],[SC Current Value]], "")</f>
        <v/>
      </c>
      <c r="GA89" s="294" t="str">
        <f>IFERROR( IF(ISNUMBER((SnapshotTable[[#This Row],[SC Current Value]])), SnapshotTable[[#This Row],[SC Gain Loss]] / SnapshotTable[[#This Row],[SC Premium]], ""), "")</f>
        <v/>
      </c>
      <c r="GB89" s="42">
        <f>SnapshotTable[[#This Row],[Equity Shares]] * SaleSharesToConsiderPercentage</f>
        <v>0</v>
      </c>
      <c r="GC89" s="40">
        <f>SnapshotTable[[#This Row],[Long Term Target]] * SellingPriceToConsiderBasedOnTargetPercentage</f>
        <v>43.32</v>
      </c>
      <c r="GD89" s="40">
        <f>SnapshotTable[[#This Row],[Last Price]] * (1+ SellingPriceToConsiderBasedOnTargetPercentage)</f>
        <v>45.863999999999997</v>
      </c>
      <c r="GE89" s="41"/>
      <c r="GF89" s="40"/>
      <c r="GG89" s="31">
        <f>SnapshotTable[[#This Row],[Booked Sale Shares]] * SnapshotTable[[#This Row],[Booked Sale Price]]</f>
        <v>0</v>
      </c>
      <c r="GH89" s="31" t="str">
        <f>IF(SnapshotTable[[#This Row],[Equity Basis Total]] &gt; 0, SnapshotTable[[#This Row],[Equity Basis Per Share]] * SnapshotTable[[#This Row],[Booked Sale Shares]], "")</f>
        <v/>
      </c>
      <c r="GI89" s="31">
        <f>IF(SnapshotTable[[#This Row],[Sale Proceeds]]&gt;0, SnapshotTable[[#This Row],[Sale Proceeds]] - SnapshotTable[[#This Row],[Sale Basis]], 0)</f>
        <v>0</v>
      </c>
      <c r="GJ89" s="27" t="str">
        <f>IF(SnapshotTable[[#This Row],[Sale G/L]]&gt;0, SnapshotTable[[#This Row],[Sale G/L]] / SnapshotTable[[#This Row],[Sale Basis]], IF(ISNUMBER(SnapshotTable[[#This Row],[SC Exercise P&amp;L (TAX)]]), SnapshotTable[[#This Row],[SC Exercise P&amp;L (TAX)]] / SnapshotTable[[#This Row],[SC Basis]], ""))</f>
        <v/>
      </c>
      <c r="GK89" s="27" t="s">
        <v>664</v>
      </c>
      <c r="GL89" s="43" t="str">
        <f>IF(AND(SnapshotTable[[#This Row],[LP Exp Date]]&gt;0,SnapshotTable[[#This Row],[LP Strike Price]]&gt;0), [1]!ToOptionSymbol(SnapshotTable[[#This Row],[Symbol]], SnapshotTable[[#This Row],[LP Strike Price]],SnapshotTable[[#This Row],[LP Exp Date]],1), "")</f>
        <v/>
      </c>
      <c r="GM89" s="30" t="str">
        <f>IF(LEN(SnapshotTable[[#This Row],[LP Symbol]])&gt;0, 1, "")</f>
        <v/>
      </c>
      <c r="GN89" s="43" t="str">
        <f>IF(AND(SnapshotTable[[#This Row],[SP Exp Date]]&gt;0,SnapshotTable[[#This Row],[SP Strike Price]]&gt;0), [1]!ToOptionSymbol(SnapshotTable[[#This Row],[Symbol]], SnapshotTable[[#This Row],[SP Strike Price]],SnapshotTable[[#This Row],[SP Exp Date]],1), "")</f>
        <v/>
      </c>
      <c r="GO89" s="30" t="str">
        <f>IF(LEN(SnapshotTable[[#This Row],[SP Symbol]])&gt;0, 1, "")</f>
        <v/>
      </c>
      <c r="GP89" s="43" t="str">
        <f>IF(AND(SnapshotTable[[#This Row],[LC Exp Date]]&gt;0,SnapshotTable[[#This Row],[LC Strike Price]]&gt;0), [1]!ToOptionSymbol(SnapshotTable[[#This Row],[Symbol]], SnapshotTable[[#This Row],[LC Strike Price]],SnapshotTable[[#This Row],[LC Exp Date]],0), "")</f>
        <v/>
      </c>
      <c r="GQ89" s="30" t="str">
        <f>IF(LEN(SnapshotTable[[#This Row],[LC Symbol]])&gt;0, 1, "")</f>
        <v/>
      </c>
      <c r="GR89" s="43" t="str">
        <f>IF(AND(SnapshotTable[[#This Row],[SC Exp Date]]&gt;0,SnapshotTable[[#This Row],[SC Strike Price]]&gt;0), [1]!ToOptionSymbol(SnapshotTable[[#This Row],[Symbol]], SnapshotTable[[#This Row],[SC Strike Price]],SnapshotTable[[#This Row],[SC Exp Date]],0), "")</f>
        <v/>
      </c>
      <c r="GS89" s="30" t="str">
        <f>IF(LEN(SnapshotTable[[#This Row],[SC Symbol]])&gt;0, 1, "")</f>
        <v/>
      </c>
      <c r="GT89" s="29" t="str">
        <f>IF(COUNT(SnapshotTable[[#This Row],[LP Symbol Count]],SnapshotTable[[#This Row],[SP Symbol Count]],SnapshotTable[[#This Row],[LC Symbol Count]],SnapshotTable[[#This Row],[SC Symbol Count]])&gt;0, "Y", "")</f>
        <v/>
      </c>
      <c r="GU8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9" s="231" t="e">
        <f>MAX(SnapshotTable[[#This Row],[Equity Basis Total]],SnapshotTable[[#This Row],[Equity Value]]) + (SnapshotTable[[#This Row],[SP Potential Spend]]- SnapshotTable[[#This Row],[SP Premium]] + SnapshotTable[[#This Row],[LP Premium]])+ (SnapshotTable[[#This Row],[LC Premium]] - SnapshotTable[[#This Row],[SC Premium]])</f>
        <v>#VALUE!</v>
      </c>
      <c r="GW89" s="139" t="e">
        <f>IF(AND(SnapshotTable[[#This Row],[Exposure]] &lt;&gt; 0),SnapshotTable[[#This Row],[Exposure]] / SnapshotTable[[#Totals],[Exposure]], "")</f>
        <v>#VALUE!</v>
      </c>
      <c r="HE89" s="268"/>
      <c r="HF89" s="268"/>
      <c r="HK89" s="1"/>
      <c r="HL89" s="1"/>
      <c r="HM89" s="1"/>
      <c r="HN89" s="1"/>
      <c r="HO89" s="1"/>
      <c r="HP89" s="1"/>
    </row>
    <row r="90" spans="2:224" ht="12.75" hidden="1" customHeight="1" x14ac:dyDescent="0.25">
      <c r="B90" s="12" t="s">
        <v>506</v>
      </c>
      <c r="C90" s="422">
        <v>32.200000000000003</v>
      </c>
      <c r="D90" s="208"/>
      <c r="E90" s="39">
        <f>SnapshotTable[[#This Row],[Last Price]]*(1 -CrashDiscount)</f>
        <v>27.37</v>
      </c>
      <c r="F90" s="26" t="s">
        <v>60</v>
      </c>
      <c r="G90" s="26" t="s">
        <v>14</v>
      </c>
      <c r="H90" s="149"/>
      <c r="I90" s="194">
        <v>44768.673611111109</v>
      </c>
      <c r="J90" s="195">
        <v>44768.673611111109</v>
      </c>
      <c r="K90" s="196"/>
      <c r="L90" s="326"/>
      <c r="M90" s="140"/>
      <c r="N90" s="140"/>
      <c r="O90" s="140"/>
      <c r="P90" s="22"/>
      <c r="Q90" s="25"/>
      <c r="R90" s="4" t="str">
        <f>IF(SnapshotTable[[#This Row],[Equity Basis Total]] &gt; 0, SnapshotTable[[#This Row],[Equity Basis Total]] / SnapshotTable[[#This Row],[Equity Shares]], "")</f>
        <v/>
      </c>
      <c r="S90" s="269">
        <f>SnapshotTable[[#This Row],[Last Price]] * SnapshotTable[[#This Row],[Equity Shares]]</f>
        <v>0</v>
      </c>
      <c r="T90" s="269">
        <f>SnapshotTable[[#This Row],[Equity Value]] - SnapshotTable[[#This Row],[Equity Basis Total]]</f>
        <v>0</v>
      </c>
      <c r="U90" s="270" t="str">
        <f>IF(SnapshotTable[[#This Row],[Equity Basis Total]] &gt; 0, SnapshotTable[[#This Row],[Equity G/L]] / SnapshotTable[[#This Row],[Equity Basis Total]], "")</f>
        <v/>
      </c>
      <c r="V90" s="268"/>
      <c r="W90" s="268"/>
      <c r="X90" s="4" t="str">
        <f>IF(AND(ISNUMBER(SnapshotTable[[#This Row],[Equity Basis Per Share]]),ISNUMBER(SnapshotTable[[#This Row],[Equity Target]])),SnapshotTable[[#This Row],[Equity Target]]-SnapshotTable[[#This Row],[Equity Basis Per Share]],"")</f>
        <v/>
      </c>
      <c r="Y90" s="4" t="str">
        <f>IF(AND(ISNUMBER(SnapshotTable[[#This Row],[Equity Basis Per Share]]),ISNUMBER(SnapshotTable[[#This Row],[Equity Stop Loss]])),SnapshotTable[[#This Row],[Equity Stop Loss]]-SnapshotTable[[#This Row],[Equity Basis Per Share]],"")</f>
        <v/>
      </c>
      <c r="Z90" s="275" t="str">
        <f>IFERROR( TEXT(SnapshotTable[[#This Row],[Equity Max Gain Per Share]] /ABS( SnapshotTable[[#This Row],[Equity Max Loss Per Share]]),"0.0 " ) &amp; " : 1", "")</f>
        <v/>
      </c>
      <c r="AA90" s="31" t="str">
        <f>IF(ISNUMBER(SnapshotTable[[#This Row],[Equity Max Gain Per Share]]),SnapshotTable[[#This Row],[Equity Max Gain Per Share]] * SnapshotTable[[#This Row],[Equity Shares]],"")</f>
        <v/>
      </c>
      <c r="AB90" s="31" t="str">
        <f>IF(ISNUMBER(SnapshotTable[[#This Row],[Equity Max Loss Per Share]]),SnapshotTable[[#This Row],[Equity Max Loss Per Share]] * SnapshotTable[[#This Row],[Equity Shares]],"")</f>
        <v/>
      </c>
      <c r="AC90" s="150"/>
      <c r="AD90" s="151"/>
      <c r="AE90" s="31">
        <f>(SnapshotTable[[#This Row],[Annual Dividend Per Share]] / 4) * SnapshotTable[[#This Row],[Equity Shares]]</f>
        <v>0</v>
      </c>
      <c r="AF90" s="31">
        <f>SnapshotTable[[#This Row],[Quarterly Div $]] * 4</f>
        <v>0</v>
      </c>
      <c r="AG90" s="7">
        <f>IF(SnapshotTable[[#This Row],[Annual Dividend Per Share]]&gt;0, SnapshotTable[[#This Row],[Annual Dividend Per Share]]  / SnapshotTable[[#This Row],[Last Price]], 0)</f>
        <v>0</v>
      </c>
      <c r="AH90" s="151"/>
      <c r="AI90" s="5"/>
      <c r="AJ90" s="138">
        <v>557.25</v>
      </c>
      <c r="AK90" s="152" t="str">
        <f>IF(ISNUMBER( SnapshotTable[[#This Row],[EBF Target]]),(SnapshotTable[[#This Row],[EBF Target]] - SnapshotTable[[#This Row],[Last Price]]) / SnapshotTable[[#This Row],[Last Price]], "")</f>
        <v/>
      </c>
      <c r="AL90" s="152" t="str">
        <f>IF(AND(SnapshotTable[[#This Row],[Equity Basis Total]] &gt; 0,ISNUMBER( SnapshotTable[[#This Row],[Long Term Target]])), SnapshotTable[[#This Row],[From Basis $]] / SnapshotTable[[#This Row],[Equity Basis Total]], "")</f>
        <v/>
      </c>
      <c r="AM90" s="9">
        <f>IF( AND(SnapshotTable[[#This Row],[Equity Shares]] &gt;0,ISNUMBER( SnapshotTable[[#This Row],[Long Term Target]])),(SnapshotTable[[#This Row],[Equity Shares]] * SnapshotTable[[#This Row],[Long Term Target]]) - SnapshotTable[[#This Row],[Equity Basis Total]],0)</f>
        <v>0</v>
      </c>
      <c r="AN90" s="9">
        <f>IF( AND(SnapshotTable[[#This Row],[Equity Shares]] &gt;0,ISNUMBER( SnapshotTable[[#This Row],[Long Term Target]])),(SnapshotTable[[#This Row],[Equity Shares]]*SnapshotTable[[#This Row],[Long Term Target]]) - SnapshotTable[[#This Row],[Equity Value]],0)</f>
        <v>0</v>
      </c>
      <c r="AO90" s="152">
        <f>IF(AND(ISNUMBER( SnapshotTable[[#This Row],[Long Term Target]]), ISNUMBER(SnapshotTable[[#This Row],[Last Price]])),(SnapshotTable[[#This Row],[Long Term Target]] - SnapshotTable[[#This Row],[Last Price]]) / SnapshotTable[[#This Row],[Last Price]], "")</f>
        <v>16.30590062111801</v>
      </c>
      <c r="AP90" s="5"/>
      <c r="AQ90" s="38"/>
      <c r="AR90" s="5"/>
      <c r="AS90" s="38"/>
      <c r="AT90" s="146"/>
      <c r="AU90" s="187" t="str">
        <f>IF(OR(SnapshotTable[[#This Row],[LP No Fill]]="Y",SnapshotTable[[#This Row],[SP Is Filled]],SnapshotTable[[#This Row],[LC Not Filled]]="Y",SnapshotTable[[#This Row],[SC Is Filled]]),"Y","")</f>
        <v/>
      </c>
      <c r="AV90" s="219"/>
      <c r="AW90" s="225"/>
      <c r="AX90" s="220"/>
      <c r="AY90" s="219" t="str">
        <f>IF(SnapshotTable[[#This Row],[Implied Move]]&gt;0, SnapshotTable[[#This Row],[Last Price]]-SnapshotTable[[#This Row],[Implied Move]],"")</f>
        <v/>
      </c>
      <c r="AZ90" s="219" t="str">
        <f>IF(SnapshotTable[[#This Row],[Implied Move]]&gt;0, SnapshotTable[[#This Row],[Last Price]] + SnapshotTable[[#This Row],[Implied Move]],"")</f>
        <v/>
      </c>
      <c r="BA90" s="331"/>
      <c r="BB90" s="347"/>
      <c r="BC9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0" s="351"/>
      <c r="BE90" s="5"/>
      <c r="BF90" s="14"/>
      <c r="BG90" s="13"/>
      <c r="BH90" s="13"/>
      <c r="BI90" s="5"/>
      <c r="BJ90" s="136">
        <f>IF(SnapshotTable[[#This Row],[LP Qty]] &gt; 0, SnapshotTable[[#This Row],[LP Qty]] * SnapshotTable[[#This Row],[LP Book Price]] * 100,0)</f>
        <v>0</v>
      </c>
      <c r="BK90" s="136">
        <f>IF(SnapshotTable[[#This Row],[LP Premium]] &gt; 0, SnapshotTable[[#This Row],[LP Qty]] * SnapshotTable[[#This Row],[LP Strike Price]] * 100,0)</f>
        <v>0</v>
      </c>
      <c r="BL90" s="154"/>
      <c r="BM90" s="385" t="str">
        <f>IF(SnapshotTable[[#This Row],[LP Premium]] &gt; 0,SnapshotTable[[#This Row],[LP Exp Date]]-MAX(SnapshotTable[[#This Row],[LP Book Date]], SnapshotTable[[#This Row],[LP Fill Date]]),"")</f>
        <v/>
      </c>
      <c r="BN90" s="385" t="str">
        <f>IF(ISNUMBER( SnapshotTable[[#This Row],[LP Term]]), SnapshotTable[[#This Row],[LP Exp Date]] - MockToday,"")</f>
        <v/>
      </c>
      <c r="BO90" s="163" t="str">
        <f>IF(AND(SnapshotTable[[#This Row],[LP Exp Date]]&gt;0, SnapshotTable[[#This Row],[LP Strike Price]]&gt;0,SnapshotTable[[#This Row],[LP Qty]]&gt;0,SnapshotTable[[#This Row],[LP Book Date]]&gt;0,SnapshotTable[[#This Row],[LP Book Price]]&gt;0,SnapshotTable[[#This Row],[LP Fill Date]]=0),"Y","")</f>
        <v/>
      </c>
      <c r="BP90" s="31" t="str">
        <f>IF(AND(SnapshotTable[[#This Row],[LP No Fill]]&lt;&gt;"Y",SnapshotTable[[#This Row],[LP Contract Value]]&gt;0, SnapshotTable[[#This Row],[LP Qty]]&gt;0), SnapshotTable[[#This Row],[LP Contract Value]]*SnapshotTable[[#This Row],[LP Qty]]*100,"")</f>
        <v/>
      </c>
      <c r="BQ90" s="13"/>
      <c r="BR90" s="5" t="str">
        <f>IF(SnapshotTable[[#This Row],[SP Exp Date]]&lt;&gt;"",TRUNC(SnapshotTable[[#This Row],[Last Price]]),"")</f>
        <v/>
      </c>
      <c r="BS90" s="36"/>
      <c r="BT90" s="147"/>
      <c r="BU90" s="13"/>
      <c r="BV90" s="5"/>
      <c r="BW90" s="419" t="b">
        <f>AND(ISNUMBER(SnapshotTable[[#This Row],[SP Exp Date]]), ISNUMBER(SnapshotTable[[#This Row],[SP Strike Price]]), ISNUMBER(SnapshotTable[[#This Row],[SP Qty]]), ISNUMBER(SnapshotTable[[#This Row],[SP Book Date]]), ISNUMBER(SnapshotTable[[#This Row],[SP Book Price]]))</f>
        <v>0</v>
      </c>
      <c r="BX90" s="419" t="b">
        <f>AND(SnapshotTable[[#This Row],[SP Is Booked]], NOT(ISBLANK(SnapshotTable[[#This Row],[SP Fill Date]])))</f>
        <v>0</v>
      </c>
      <c r="BY90" s="33">
        <f>IF(SnapshotTable[[#This Row],[SP Is Booked]], SnapshotTable[[#This Row],[SP Qty]] * SnapshotTable[[#This Row],[SP Book Price]] * 100, 0)</f>
        <v>0</v>
      </c>
      <c r="BZ90" s="369"/>
      <c r="CA90" s="368">
        <f>SnapshotTable[[#This Row],[LP Qty]]</f>
        <v>0</v>
      </c>
      <c r="CB90" s="4" t="str">
        <f>IF(SnapshotTable[[#This Row],[SP Is Booked]], SnapshotTable[[#This Row],[SP Strike Price]] - SnapshotTable[[#This Row],[SP Book Price]], "")</f>
        <v/>
      </c>
      <c r="CC90" s="19" t="str">
        <f>IF(SnapshotTable[[#This Row],[SP Is Booked]],SnapshotTable[[#This Row],[SP Exp Date]]-MAX(SnapshotTable[[#This Row],[SP Book Date]], SnapshotTable[[#This Row],[SP Fill Date]]),"")</f>
        <v/>
      </c>
      <c r="CD90" s="7" t="str">
        <f>IF(SnapshotTable[[#This Row],[SP Is Booked]], SnapshotTable[[#This Row],[SP Book Price]]/SnapshotTable[[#This Row],[SP Strike Price]], "")</f>
        <v/>
      </c>
      <c r="CE90" s="7" t="str">
        <f>IF(ISNUMBER(SnapshotTable[[#This Row],[SP ROO Term]]),SnapshotTable[[#This Row],[SP ROO Term]]*(365/SnapshotTable[[#This Row],[SP Term]]),"")</f>
        <v/>
      </c>
      <c r="CF90" s="236">
        <f>SnapshotTable[[#This Row],[LP Strike Price]] * SnapshotTable[[#This Row],[LP Qty]] * 100</f>
        <v>0</v>
      </c>
      <c r="CG90" s="31" t="e">
        <f>IF(ISNUMBER(SnapshotTable[[#This Row],[SP Premium]]), (SnapshotTable[[#This Row],[SP Qty]] * SnapshotTable[[#This Row],[SP Strike Price]]* 100) - SnapshotTable[[#This Row],[LP Protection]], 0)</f>
        <v>#VALUE!</v>
      </c>
      <c r="CH90" s="7" t="str">
        <f>IF(ISNUMBER(SnapshotTable[[#This Row],[SP Break Even]]),-1 * (SnapshotTable[[#This Row],[SP Break Even]] - SnapshotTable[[#This Row],[Last Price]]) / SnapshotTable[[#This Row],[Last Price]], "")</f>
        <v/>
      </c>
      <c r="CI90" s="31">
        <f>IF(AND(ISNUMBER((SnapshotTable[[#This Row],[SP Potential Spend]])), SnapshotTable[[#This Row],[SP Strike Price]] &gt; SnapshotTable[[#This Row],[Last Price]], SnapshotTable[[#This Row],[SP Is Filled]]), SnapshotTable[[#This Row],[SP Potential Spend]] -  SnapshotTable[[#This Row],[LP Max Value]], 0)</f>
        <v>0</v>
      </c>
      <c r="CJ90" s="244"/>
      <c r="CK90" s="31" t="str">
        <f>IF(ISNUMBER(SnapshotTable[[#This Row],[SP Potential Spend]]),IF(ISNUMBER(SnapshotTable[[#This Row],[SP POW]]), SnapshotTable[[#This Row],[SP POW]] * SnapshotTable[[#This Row],[SP Potential Spend]], SnapshotTable[[#This Row],[SP Potential Spend]]), "")</f>
        <v/>
      </c>
      <c r="CL90" s="164" t="e">
        <f>IF(NOT(SnapshotTable[[#This Row],[SP Is Filled]]),(SnapshotTable[[#This Row],[SP Qty]] * SnapshotTable[[#This Row],[SP Strike Price]] * 100) - SnapshotTable[[#This Row],[LP Max Value]],"")</f>
        <v>#VALUE!</v>
      </c>
      <c r="CM90" s="31" t="str">
        <f>IF(SnapshotTable[[#This Row],[SP Actual Spend]]&lt;&gt;0, ((SnapshotTable[[#This Row],[SP Strike Price]]-SnapshotTable[[#This Row],[Last Price]]) *(SnapshotTable[[#This Row],[SP Qty]]*100) - SnapshotTable[[#This Row],[SP Premium]]) * - 1, "")</f>
        <v/>
      </c>
      <c r="CN90" s="78"/>
      <c r="CO90" s="369"/>
      <c r="CP90" s="4" t="str">
        <f>IF(SnapshotTable[[#This Row],[SP Is Filled]], btc_max_buyback_amount(SnapshotTable[[#This Row],[SP Fill Date]],SnapshotTable[[#This Row],[SP Exp Date]], SnapshotTable[[#This Row],[SP Book Price]]),"")</f>
        <v/>
      </c>
      <c r="CQ90" s="78"/>
      <c r="CR9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0" s="155" t="str">
        <f>IF(SnapshotTable[[#This Row],[SP Is Filled]], btc_next_cutoff_date(SnapshotTable[[#This Row],[SP Fill Date]],SnapshotTable[[#This Row],[SP Exp Date]]),"")</f>
        <v/>
      </c>
      <c r="CT90" s="235" t="str" cm="1">
        <f t="array" ref="CT90">IF(SnapshotTable[[#This Row],[SP Is Filled]], btc_should_buy_back(SnapshotTable[[#This Row],[SP Fill Date]], SnapshotTable[[#This Row],[SP Exp Date]], SnapshotTable[[#This Row],[SP Book Price]], SnapshotTable[[#This Row],[SP Current Ask]], MockToday, SnapshotTable[[#This Row],[SP Buyback Override]]),"")</f>
        <v/>
      </c>
      <c r="CU90" s="143"/>
      <c r="CV90" s="235"/>
      <c r="CW90" s="378" t="str">
        <f>IF(ISNUMBER( SnapshotTable[[#This Row],[SP Term]]), SnapshotTable[[#This Row],[SP Exp Date]] - MockToday,"")</f>
        <v/>
      </c>
      <c r="CX90" s="31" t="str">
        <f>IF(SnapshotTable[[#This Row],[SP Is Filled]],SnapshotTable[[#This Row],[SP Buyback Price to Use]] * 100 * SnapshotTable[[#This Row],[SP Qty]], "")</f>
        <v/>
      </c>
      <c r="CY90" s="4" t="str">
        <f>IF(ISNUMBER(SnapshotTable[[#This Row],[SP Strike Price]]), SnapshotTable[[#This Row],[SP Strike Price]] * (1 - SP_MaxLoss_StrikePct), "")</f>
        <v/>
      </c>
      <c r="CZ90" s="31" t="str">
        <f>IF(ISNUMBER(SnapshotTable[[#This Row],[SP Strike  Stop Per Share]]),SnapshotTable[[#This Row],[SP Premium]] - ((SnapshotTable[[#This Row],[SP Strike Price]]-SnapshotTable[[#This Row],[SP Strike  Stop Per Share]]) *(SnapshotTable[[#This Row],[SP Qty]] * 100)),"")</f>
        <v/>
      </c>
      <c r="DA90" s="4" t="str">
        <f>IF(AND(ISNUMBER(SnapshotTable[[#This Row],[SP Premium]]),SnapshotTable[[#This Row],[SP Premium]]&gt;0), SnapshotTable[[#This Row],[SP Book Price]] * (1 + SP_MaxLoss_OptionPct), "")</f>
        <v/>
      </c>
      <c r="DB90" s="31" t="str">
        <f>IF(ISNUMBER(SnapshotTable[[#This Row],[SP Option  Stop Contract]]),(SnapshotTable[[#This Row],[SP Option  Stop Contract]] *(SnapshotTable[[#This Row],[SP Qty]] * 100) - SnapshotTable[[#This Row],[SP Premium]]),"")</f>
        <v/>
      </c>
      <c r="DC90" s="4"/>
      <c r="DD90" s="4"/>
      <c r="DE90" s="4" t="str">
        <f>IF(AND(SnapshotTable[[#This Row],[SP Qty]]&gt;0, SnapshotTable[[#This Row],[SP Stop To Use]]&gt;0),SnapshotTable[[#This Row],[SP Premium]] - ( SnapshotTable[[#This Row],[SP Qty]] * SnapshotTable[[#This Row],[SP Stop To Use]] * 100), "")</f>
        <v/>
      </c>
      <c r="DF90" s="31" t="str">
        <f>IF(AND(SnapshotTable[[#This Row],[SP Qty]]&gt;0,SnapshotTable[[#This Row],[SP Current Ask]]&gt;0), SnapshotTable[[#This Row],[SP Qty]] * SnapshotTable[[#This Row],[SP Current Ask]] * -100, "")</f>
        <v/>
      </c>
      <c r="DG90" s="31" t="str">
        <f>IF(ISNUMBER((SnapshotTable[[#This Row],[SP Total Value]])), SnapshotTable[[#This Row],[SP Premium]] + SnapshotTable[[#This Row],[SP Total Value]], "")</f>
        <v/>
      </c>
      <c r="DH90" s="294" t="str">
        <f>IF(ISNUMBER((SnapshotTable[[#This Row],[SP Total Value]])), SnapshotTable[[#This Row],[SP Gain Loss]] / SnapshotTable[[#This Row],[SP Premium]], "")</f>
        <v/>
      </c>
      <c r="DI90" s="406"/>
      <c r="DJ90" s="138"/>
      <c r="DK90" s="148"/>
      <c r="DL90" s="13"/>
      <c r="DM90" s="13"/>
      <c r="DO90" s="31">
        <f>IF(SnapshotTable[[#This Row],[LC Symbol Count]]=1, SnapshotTable[[#This Row],[LC Qty]] * SnapshotTable[[#This Row],[LC Book Price]] * 100, 0)</f>
        <v>0</v>
      </c>
      <c r="DP90" s="163" t="str">
        <f>IF(AND(SnapshotTable[[#This Row],[LC Exp Date]]&gt;0, SnapshotTable[[#This Row],[LC Strike Price]]&gt;0,SnapshotTable[[#This Row],[LC Qty]]&gt;0,SnapshotTable[[#This Row],[LC Book Date]]&gt;0,SnapshotTable[[#This Row],[LC Book Price]]&gt;0,SnapshotTable[[#This Row],[LC Fill Date]]=0),"Y","")</f>
        <v/>
      </c>
      <c r="DQ90" s="386" t="str">
        <f>IF(SnapshotTable[[#This Row],[LC Premium]] &gt; 0,SnapshotTable[[#This Row],[LC Exp Date]]-MAX(SnapshotTable[[#This Row],[LC Book Date]], SnapshotTable[[#This Row],[LC Fill Date]]),"")</f>
        <v/>
      </c>
      <c r="DR90" s="386" t="str">
        <f>IF(ISNUMBER(SnapshotTable[[#This Row],[LC Term]]), SnapshotTable[[#This Row],[LC Exp Date]] - MockToday, "")</f>
        <v/>
      </c>
      <c r="DS90" s="234" t="str">
        <f>IF(SnapshotTable[[#This Row],[LC Premium]]&gt;0,SnapshotTable[[#This Row],[LC Strike Price]] + SnapshotTable[[#This Row],[LC Book Price]],"")</f>
        <v/>
      </c>
      <c r="DU90" s="9" t="str">
        <f>IF(AND(SnapshotTable[[#This Row],[LC Symbol Count]]&gt;0, SnapshotTable[[#This Row],[LC Contract Value]]&gt;0), SnapshotTable[[#This Row],[LC Contract Value]] * SnapshotTable[[#This Row],[LC Qty]] * 100, "")</f>
        <v/>
      </c>
      <c r="DV90" s="9" t="str">
        <f>IF(AND(ISNUMBER(SnapshotTable[[#This Row],[LC Total Value]]), SnapshotTable[[#This Row],[LC Not Filled]]&lt;&gt;"Y"), SnapshotTable[[#This Row],[LC Total Value]]-SnapshotTable[[#This Row],[LC Premium]],"")</f>
        <v/>
      </c>
      <c r="DW90" s="240" t="str">
        <f>IF(ISNUMBER(SnapshotTable[[#This Row],[LC Actual Gain Loss]]), SnapshotTable[[#This Row],[LC Actual Gain Loss]] / SnapshotTable[[#This Row],[LC Premium]],"")</f>
        <v/>
      </c>
      <c r="DX90" s="284" t="str">
        <f>IF(ISNUMBER(SnapshotTable[[#This Row],[LC Book Price]]),SnapshotTable[[#This Row],[LC Book Price]] * 1.5,"")</f>
        <v/>
      </c>
      <c r="DY90" s="265" t="str">
        <f>IF(SnapshotTable[[#This Row],[LC Premium]]&gt;0, SnapshotTable[[#This Row],[LC Next Target]] * SnapshotTable[[#This Row],[LC Qty]] * 100,"")</f>
        <v/>
      </c>
      <c r="DZ90" s="265" t="str">
        <f>IF(ISNUMBER(SnapshotTable[[#This Row],[LC Target Gross]]), SnapshotTable[[#This Row],[LC Target Gross]] - SnapshotTable[[#This Row],[LC Premium]], "")</f>
        <v/>
      </c>
      <c r="EA90" s="305" t="str">
        <f>IF(ISNUMBER(SnapshotTable[[#This Row],[LC Target Gain Loss]]), SnapshotTable[[#This Row],[LC Target Gain Loss]]/SnapshotTable[[#This Row],[LC Premium]], "")</f>
        <v/>
      </c>
      <c r="EB90" s="262"/>
      <c r="EC90" s="283" t="str">
        <f>IF(SnapshotTable[[#This Row],[LC Premium]]&gt;0, SnapshotTable[[#This Row],[LC Book Price]] * (1 - LC_StopLoss_Pct),"")</f>
        <v/>
      </c>
      <c r="ED90" s="284"/>
      <c r="EE90" s="283" t="str">
        <f>IF(ISNUMBER(SnapshotTable[[#This Row],[LC Contract Value]]),IF(ISNUMBER(SnapshotTable[[#This Row],[LC Stop Loss Override]]), SnapshotTable[[#This Row],[LC Stop Loss Override]],SnapshotTable[[#This Row],[LC Stop Loss Calc Target]]),"")</f>
        <v/>
      </c>
      <c r="EF90" s="31" t="str">
        <f>IF(ISNUMBER(SnapshotTable[[#This Row],[LC Stop  To Use]]), (SnapshotTable[[#This Row],[LC Stop  To Use]] * SnapshotTable[[#This Row],[LC Qty]] * 100),"")</f>
        <v/>
      </c>
      <c r="EG90" s="9" t="str">
        <f>IF(ISNUMBER(SnapshotTable[[#This Row],[LC Total Value]]),SnapshotTable[[#This Row],[LC Stop Loss Amount]] - SnapshotTable[[#This Row],[LC Premium]],"")</f>
        <v/>
      </c>
      <c r="EH90" s="9">
        <f>IF(ISNUMBER(SnapshotTable[[#This Row],[LC Premium]]), SnapshotTable[[#This Row],[LC Qty]] * 100 * SnapshotTable[[#This Row],[LC Strike Price]], "")</f>
        <v>0</v>
      </c>
      <c r="EI90" s="240" t="str">
        <f>IF(AND(ISNUMBER(SnapshotTable[[#This Row],[LC Total Value]]),SnapshotTable[[#This Row],[LC Total Value]]&gt;0),SnapshotTable[[#This Row],[LC Stop Gain Loss]]  / SnapshotTable[[#This Row],[LC Premium]],"")</f>
        <v/>
      </c>
      <c r="EJ90" s="35">
        <f>IF(ISNUMBER(SnapshotTable[[#This Row],[Equity Shares]]),TRUNC(SnapshotTable[[#This Row],[Equity Shares]] / 100),0) + SnapshotTable[[#This Row],[LC Qty]]</f>
        <v>0</v>
      </c>
      <c r="EK90" s="147"/>
      <c r="EL90" s="138" t="str">
        <f>IF(SnapshotTable[[#This Row],[SC Exp Date]]&lt;&gt;"",TRUNC(SnapshotTable[[#This Row],[Last Price]]),"")</f>
        <v/>
      </c>
      <c r="EM90" s="148"/>
      <c r="EN90" s="147"/>
      <c r="EO90" s="147"/>
      <c r="EP90" s="138"/>
      <c r="EQ90" s="419" t="b">
        <f>AND(ISNUMBER(SnapshotTable[[#This Row],[SC Exp Date]]), ISNUMBER(SnapshotTable[[#This Row],[SC Strike Price]]), ISNUMBER(SnapshotTable[[#This Row],[SC Qty]]), ISNUMBER(SnapshotTable[[#This Row],[SC Book Date]]), ISNUMBER(SnapshotTable[[#This Row],[SC Book Price]]))</f>
        <v>0</v>
      </c>
      <c r="ER90" s="419" t="b">
        <f>AND(SnapshotTable[[#This Row],[SC Is Booked]], NOT(ISBLANK(SnapshotTable[[#This Row],[SC Fill Date]])))</f>
        <v>0</v>
      </c>
      <c r="ES90" s="370"/>
      <c r="ET90" s="34" t="str">
        <f>IF(AND(ISNUMBER(SnapshotTable[[#This Row],[SC Exp Date]]), ISNUMBER(SnapshotTable[[#This Row],[SC Book Date]])), SnapshotTable[[#This Row],[SC Exp Date]] - MAX(SnapshotTable[[#This Row],[SC Book Date]], SnapshotTable[[#This Row],[SC Fill Date]]) + 1, "")</f>
        <v/>
      </c>
      <c r="EU90" s="34" t="str">
        <f>IF(ISNUMBER(SnapshotTable[[#This Row],[SC Term]]), SnapshotTable[[#This Row],[SC Exp Date]]- MockToday, "")</f>
        <v/>
      </c>
      <c r="EV90" s="31">
        <f>IF(SnapshotTable[[#This Row],[SC Is Booked]], SnapshotTable[[#This Row],[SC Qty]] * SnapshotTable[[#This Row],[SC Book Price]] * 100, 0)</f>
        <v>0</v>
      </c>
      <c r="EW90" s="4" t="str">
        <f>IF(AND(ISNUMBER(SnapshotTable[[#This Row],[Last Price]]), ISNUMBER( SnapshotTable[[#This Row],[SC Book Price]])), SnapshotTable[[#This Row],[Last Price]] - SnapshotTable[[#This Row],[SC Book Price]],"")</f>
        <v/>
      </c>
      <c r="EX90" s="234" t="str">
        <f>IF(SnapshotTable[[#This Row],[SC Is Booked]],IF(SnapshotTable[[#This Row],[SC Intrinsic Value]] &gt; 0, SnapshotTable[[#This Row],[SC Strike Price]], SnapshotTable[[#This Row],[Last Price]]), "")</f>
        <v/>
      </c>
      <c r="EY90" s="4">
        <f>IF(SnapshotTable[[#This Row],[SC Is Booked]], (MinimumPremiumRequired * SnapshotTable[[#This Row],[SC Basis]] * SnapshotTable[[#This Row],[SC Term]]), 0)</f>
        <v>0</v>
      </c>
      <c r="EZ90" s="283"/>
      <c r="FA90" s="218"/>
      <c r="FB90" s="370"/>
      <c r="FC90" s="4">
        <f>IF(SnapshotTable[[#This Row],[SC Is Filled]], btc_max_buyback_amount(SnapshotTable[[#This Row],[SC Fill Date]],SnapshotTable[[#This Row],[SC Exp Date]], SnapshotTable[[#This Row],[SC Book Price]]),0)</f>
        <v>0</v>
      </c>
      <c r="FD90" s="5"/>
      <c r="FE90" s="144" t="str">
        <f>IF(SnapshotTable[[#This Row],[SC Is Filled]], btc_next_cutoff_date(SnapshotTable[[#This Row],[SC Fill Date]],SnapshotTable[[#This Row],[SC Exp Date]]),"")</f>
        <v/>
      </c>
      <c r="FF90" s="4" t="str" cm="1">
        <f t="array" ref="FF90">IF(SnapshotTable[[#This Row],[SC Is Filled]], btc_should_buy_back(SnapshotTable[[#This Row],[SC Fill Date]], SnapshotTable[[#This Row],[SC Exp Date]], SnapshotTable[[#This Row],[SC Book Price]], SnapshotTable[[#This Row],[SC Current Ask]], MockToday, SnapshotTable[[#This Row],[SC Buyback Override]]),"")</f>
        <v/>
      </c>
      <c r="FG90" s="4">
        <f>IF(SnapshotTable[[#This Row],[SC Is Filled]], MAX(0,SnapshotTable[[#This Row],[Last Price]]  - SnapshotTable[[#This Row],[SC Strike Price]]), 0)</f>
        <v>0</v>
      </c>
      <c r="FH90" s="382">
        <f>IF(SnapshotTable[[#This Row],[SC Is Filled]], IF(ISNUMBER(SnapshotTable[[#This Row],[SC Current Ask]]), SnapshotTable[[#This Row],[SC Current Ask]], SnapshotTable[[#This Row],[SC Book Price]]) - SnapshotTable[[#This Row],[SC Intrinsic Value]], 0)</f>
        <v>0</v>
      </c>
      <c r="FI90" s="143"/>
      <c r="FJ90" s="32" t="str">
        <f>IF(SnapshotTable[[#This Row],[SC Is Filled]],100 * SnapshotTable[[#This Row],[SC Qty]] * IF(ISNUMBER(SnapshotTable[[#This Row],[SC Buyback Override]]), SnapshotTable[[#This Row],[SC Buyback Override]], SnapshotTable[[#This Row],[SC Current Ask]]), "")</f>
        <v/>
      </c>
      <c r="FK90" s="250" t="str">
        <f>IF(SnapshotTable[[#This Row],[SC Time Val]]&gt;0, SnapshotTable[[#This Row],[SC Time Val]] / SnapshotTable[[#This Row],[Last Price]],"")</f>
        <v/>
      </c>
      <c r="FL90" s="302" t="str">
        <f>IF(SnapshotTable[[#This Row],[SC Is Booked]], ((SnapshotTable[[#This Row],[Last Price]] -SnapshotTable[[#This Row],[SC Strike Price]]) / SnapshotTable[[#This Row],[Last Price]]) * -1, "")</f>
        <v/>
      </c>
      <c r="FM90" s="157" t="str">
        <f>IF(SnapshotTable[[#This Row],[SC Is Booked]],  (SnapshotTable[[#This Row],[SC Qty]] * 100 * SnapshotTable[[#This Row],[SC Strike Price]]) - SnapshotTable[[#This Row],[SC Current Ask]], "")</f>
        <v/>
      </c>
      <c r="FN9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0" s="31" t="str">
        <f>IF(AND(ISNUMBER(SnapshotTable[[#This Row],[SC Exercise Gross]]), ISNUMBER(SnapshotTable[[#This Row],[Equity Basis Per Share]] )), SnapshotTable[[#This Row],[SC Exercise Gross]] - SnapshotTable[[#This Row],[Equity Basis Total]] +  SnapshotTable[[#This Row],[SC Premium]], "")</f>
        <v/>
      </c>
      <c r="FP90" s="5" t="str">
        <f>IF(ISNUMBER(SnapshotTable[[#This Row],[SC Exercise Gross]]), (SnapshotTable[[#This Row],[SC Exercise Gross]]) / (SnapshotTable[[#This Row],[SC Qty]] * 100), "")</f>
        <v/>
      </c>
      <c r="FQ90" s="27" t="str">
        <f>IF(SnapshotTable[[#This Row],[SC Is Booked]],SnapshotTable[[#This Row],[SC Time Val]] /SnapshotTable[[#This Row],[SC Basis]], "")</f>
        <v/>
      </c>
      <c r="FR90" s="27" t="str" cm="1">
        <f t="array" ref="FR90">IF(AND(ISNUMBER(SnapshotTable[[#This Row],[SC Term]]),ISNUMBER(SnapshotTable[[#This Row],[SC Simple ROO]])), EllmanAnnualize(SnapshotTable[[#This Row],[SC DTE]], SnapshotTable[[#This Row],[SC Simple ROO]] ),"")</f>
        <v/>
      </c>
      <c r="FS90" s="4" t="e">
        <f>IF(SnapshotTable[[#This Row],[SC Strike Price]] &gt; SnapshotTable[[#This Row],[Last Price]], SnapshotTable[[#This Row],[SC Strike Price]] - SnapshotTable[[#This Row],[Last Price]],0)</f>
        <v>#VALUE!</v>
      </c>
      <c r="FT90" s="27" t="e">
        <f>IF(AND(ISNUMBER(SnapshotTable[[#This Row],[SC Upside Potential]]), SnapshotTable[[#This Row],[SC Upside Potential]] &gt; 0),(SnapshotTable[[#This Row],[SC Upside Potential]]/ SnapshotTable[[#This Row],[ACB]]),"")</f>
        <v>#VALUE!</v>
      </c>
      <c r="FU90" s="333" t="str">
        <f>IF(SnapshotTable[[#This Row],[SC Intrinsic Value]] &gt; 0,SnapshotTable[[#This Row],[SC Intrinsic Value]],"")</f>
        <v/>
      </c>
      <c r="FV90" s="27" t="str">
        <f>IF(AND( ISNUMBER( SnapshotTable[[#This Row],[ACB]]),ISNUMBER(SnapshotTable[[#This Row],[SC Downside Protect]])),SnapshotTable[[#This Row],[SC Downside Protect]] / SnapshotTable[[#This Row],[ACB]],"")</f>
        <v/>
      </c>
      <c r="FW90" s="236" t="str">
        <f>IF(AND(ISNUMBER(SnapshotTable[[#This Row],[SC Simple ROO]]),SnapshotTable[[#This Row],[SC Simple ROO]] &gt; 0), SnapshotTable[[#This Row],[SC Premium]] + (SnapshotTable[[#This Row],[SC Qty]] * SnapshotTable[[#This Row],[SC Upside Potential]]), "")</f>
        <v/>
      </c>
      <c r="FX90" s="302" t="str" cm="1">
        <f t="array" ref="FX90">IF(ISNUMBER(SnapshotTable[[#This Row],[SC Max Dollars]]), annualize(SnapshotTable[[#This Row],[SC Term]],(SnapshotTable[[#This Row],[SC Max Dollars]]/SnapshotTable[[#This Row],[SC Basis]])),"")</f>
        <v/>
      </c>
      <c r="FY90" s="236" t="str">
        <f>IF(AND(SnapshotTable[[#This Row],[SC Qty]]&gt;0,SnapshotTable[[#This Row],[SC Current Ask]]&gt;0), SnapshotTable[[#This Row],[SC Qty]] * SnapshotTable[[#This Row],[SC Current Ask]] * -100, "")</f>
        <v/>
      </c>
      <c r="FZ90" s="31" t="str">
        <f>IF(ISNUMBER((SnapshotTable[[#This Row],[SC Current Value]])), SnapshotTable[[#This Row],[SC Premium]] + SnapshotTable[[#This Row],[SC Current Value]], "")</f>
        <v/>
      </c>
      <c r="GA90" s="294" t="str">
        <f>IFERROR( IF(ISNUMBER((SnapshotTable[[#This Row],[SC Current Value]])), SnapshotTable[[#This Row],[SC Gain Loss]] / SnapshotTable[[#This Row],[SC Premium]], ""), "")</f>
        <v/>
      </c>
      <c r="GB90" s="42">
        <f>SnapshotTable[[#This Row],[Equity Shares]] * SaleSharesToConsiderPercentage</f>
        <v>0</v>
      </c>
      <c r="GC90" s="40">
        <f>SnapshotTable[[#This Row],[Long Term Target]] * SellingPriceToConsiderBasedOnTargetPercentage</f>
        <v>529.38749999999993</v>
      </c>
      <c r="GD90" s="40">
        <f>SnapshotTable[[#This Row],[Last Price]] * (1+ SellingPriceToConsiderBasedOnTargetPercentage)</f>
        <v>62.790000000000006</v>
      </c>
      <c r="GE90" s="41"/>
      <c r="GF90" s="40"/>
      <c r="GG90" s="31">
        <f>SnapshotTable[[#This Row],[Booked Sale Shares]] * SnapshotTable[[#This Row],[Booked Sale Price]]</f>
        <v>0</v>
      </c>
      <c r="GH90" s="31" t="str">
        <f>IF(SnapshotTable[[#This Row],[Equity Basis Total]] &gt; 0, SnapshotTable[[#This Row],[Equity Basis Per Share]] * SnapshotTable[[#This Row],[Booked Sale Shares]], "")</f>
        <v/>
      </c>
      <c r="GI90" s="31">
        <f>IF(SnapshotTable[[#This Row],[Sale Proceeds]]&gt;0, SnapshotTable[[#This Row],[Sale Proceeds]] - SnapshotTable[[#This Row],[Sale Basis]], 0)</f>
        <v>0</v>
      </c>
      <c r="GJ90" s="27" t="str">
        <f>IF(SnapshotTable[[#This Row],[Sale G/L]]&gt;0, SnapshotTable[[#This Row],[Sale G/L]] / SnapshotTable[[#This Row],[Sale Basis]], IF(ISNUMBER(SnapshotTable[[#This Row],[SC Exercise P&amp;L (TAX)]]), SnapshotTable[[#This Row],[SC Exercise P&amp;L (TAX)]] / SnapshotTable[[#This Row],[SC Basis]], ""))</f>
        <v/>
      </c>
      <c r="GK90" s="27" t="s">
        <v>665</v>
      </c>
      <c r="GL90" s="43" t="str">
        <f>IF(AND(SnapshotTable[[#This Row],[LP Exp Date]]&gt;0,SnapshotTable[[#This Row],[LP Strike Price]]&gt;0), [1]!ToOptionSymbol(SnapshotTable[[#This Row],[Symbol]], SnapshotTable[[#This Row],[LP Strike Price]],SnapshotTable[[#This Row],[LP Exp Date]],1), "")</f>
        <v/>
      </c>
      <c r="GM90" s="30" t="str">
        <f>IF(LEN(SnapshotTable[[#This Row],[LP Symbol]])&gt;0, 1, "")</f>
        <v/>
      </c>
      <c r="GN90" s="43" t="str">
        <f>IF(AND(SnapshotTable[[#This Row],[SP Exp Date]]&gt;0,SnapshotTable[[#This Row],[SP Strike Price]]&gt;0), [1]!ToOptionSymbol(SnapshotTable[[#This Row],[Symbol]], SnapshotTable[[#This Row],[SP Strike Price]],SnapshotTable[[#This Row],[SP Exp Date]],1), "")</f>
        <v/>
      </c>
      <c r="GO90" s="30" t="str">
        <f>IF(LEN(SnapshotTable[[#This Row],[SP Symbol]])&gt;0, 1, "")</f>
        <v/>
      </c>
      <c r="GP90" s="43" t="str">
        <f>IF(AND(SnapshotTable[[#This Row],[LC Exp Date]]&gt;0,SnapshotTable[[#This Row],[LC Strike Price]]&gt;0), [1]!ToOptionSymbol(SnapshotTable[[#This Row],[Symbol]], SnapshotTable[[#This Row],[LC Strike Price]],SnapshotTable[[#This Row],[LC Exp Date]],0), "")</f>
        <v/>
      </c>
      <c r="GQ90" s="30" t="str">
        <f>IF(LEN(SnapshotTable[[#This Row],[LC Symbol]])&gt;0, 1, "")</f>
        <v/>
      </c>
      <c r="GR90" s="43" t="str">
        <f>IF(AND(SnapshotTable[[#This Row],[SC Exp Date]]&gt;0,SnapshotTable[[#This Row],[SC Strike Price]]&gt;0), [1]!ToOptionSymbol(SnapshotTable[[#This Row],[Symbol]], SnapshotTable[[#This Row],[SC Strike Price]],SnapshotTable[[#This Row],[SC Exp Date]],0), "")</f>
        <v/>
      </c>
      <c r="GS90" s="30" t="str">
        <f>IF(LEN(SnapshotTable[[#This Row],[SC Symbol]])&gt;0, 1, "")</f>
        <v/>
      </c>
      <c r="GT90" s="29" t="str">
        <f>IF(COUNT(SnapshotTable[[#This Row],[LP Symbol Count]],SnapshotTable[[#This Row],[SP Symbol Count]],SnapshotTable[[#This Row],[LC Symbol Count]],SnapshotTable[[#This Row],[SC Symbol Count]])&gt;0, "Y", "")</f>
        <v/>
      </c>
      <c r="GU9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0" s="231" t="e">
        <f>MAX(SnapshotTable[[#This Row],[Equity Basis Total]],SnapshotTable[[#This Row],[Equity Value]]) + (SnapshotTable[[#This Row],[SP Potential Spend]]- SnapshotTable[[#This Row],[SP Premium]] + SnapshotTable[[#This Row],[LP Premium]])+ (SnapshotTable[[#This Row],[LC Premium]] - SnapshotTable[[#This Row],[SC Premium]])</f>
        <v>#VALUE!</v>
      </c>
      <c r="GW90" s="139" t="e">
        <f>IF(AND(SnapshotTable[[#This Row],[Exposure]] &lt;&gt; 0),SnapshotTable[[#This Row],[Exposure]] / SnapshotTable[[#Totals],[Exposure]], "")</f>
        <v>#VALUE!</v>
      </c>
      <c r="HE90" s="268"/>
      <c r="HF90" s="268"/>
      <c r="HK90" s="1"/>
      <c r="HL90" s="1"/>
      <c r="HM90" s="1"/>
      <c r="HN90" s="1"/>
      <c r="HO90" s="1"/>
      <c r="HP90" s="1"/>
    </row>
    <row r="91" spans="2:224" ht="12.75" hidden="1" customHeight="1" x14ac:dyDescent="0.25">
      <c r="B91" s="12" t="s">
        <v>195</v>
      </c>
      <c r="C91" s="422">
        <v>660.75</v>
      </c>
      <c r="D91" s="208"/>
      <c r="E91" s="39">
        <f>SnapshotTable[[#This Row],[Last Price]]*(1 -CrashDiscount)</f>
        <v>561.63749999999993</v>
      </c>
      <c r="F91" s="26" t="s">
        <v>29</v>
      </c>
      <c r="G91" s="26" t="s">
        <v>20</v>
      </c>
      <c r="H91" s="149"/>
      <c r="I91" s="194">
        <v>44775.3125</v>
      </c>
      <c r="J91" s="195">
        <v>44775.3125</v>
      </c>
      <c r="K91" s="196"/>
      <c r="L91" s="326"/>
      <c r="M91" s="140"/>
      <c r="N91" s="140"/>
      <c r="O91" s="140"/>
      <c r="P91" s="22"/>
      <c r="Q91" s="25"/>
      <c r="R91" s="4" t="str">
        <f>IF(SnapshotTable[[#This Row],[Equity Basis Total]] &gt; 0, SnapshotTable[[#This Row],[Equity Basis Total]] / SnapshotTable[[#This Row],[Equity Shares]], "")</f>
        <v/>
      </c>
      <c r="S91" s="269">
        <f>SnapshotTable[[#This Row],[Last Price]] * SnapshotTable[[#This Row],[Equity Shares]]</f>
        <v>0</v>
      </c>
      <c r="T91" s="269">
        <f>SnapshotTable[[#This Row],[Equity Value]] - SnapshotTable[[#This Row],[Equity Basis Total]]</f>
        <v>0</v>
      </c>
      <c r="U91" s="270" t="str">
        <f>IF(SnapshotTable[[#This Row],[Equity Basis Total]] &gt; 0, SnapshotTable[[#This Row],[Equity G/L]] / SnapshotTable[[#This Row],[Equity Basis Total]], "")</f>
        <v/>
      </c>
      <c r="V91" s="268"/>
      <c r="W91" s="268"/>
      <c r="X91" s="4" t="str">
        <f>IF(AND(ISNUMBER(SnapshotTable[[#This Row],[Equity Basis Per Share]]),ISNUMBER(SnapshotTable[[#This Row],[Equity Target]])),SnapshotTable[[#This Row],[Equity Target]]-SnapshotTable[[#This Row],[Equity Basis Per Share]],"")</f>
        <v/>
      </c>
      <c r="Y91" s="4" t="str">
        <f>IF(AND(ISNUMBER(SnapshotTable[[#This Row],[Equity Basis Per Share]]),ISNUMBER(SnapshotTable[[#This Row],[Equity Stop Loss]])),SnapshotTable[[#This Row],[Equity Stop Loss]]-SnapshotTable[[#This Row],[Equity Basis Per Share]],"")</f>
        <v/>
      </c>
      <c r="Z91" s="275" t="str">
        <f>IFERROR( TEXT(SnapshotTable[[#This Row],[Equity Max Gain Per Share]] /ABS( SnapshotTable[[#This Row],[Equity Max Loss Per Share]]),"0.0 " ) &amp; " : 1", "")</f>
        <v/>
      </c>
      <c r="AA91" s="31" t="str">
        <f>IF(ISNUMBER(SnapshotTable[[#This Row],[Equity Max Gain Per Share]]),SnapshotTable[[#This Row],[Equity Max Gain Per Share]] * SnapshotTable[[#This Row],[Equity Shares]],"")</f>
        <v/>
      </c>
      <c r="AB91" s="31" t="str">
        <f>IF(ISNUMBER(SnapshotTable[[#This Row],[Equity Max Loss Per Share]]),SnapshotTable[[#This Row],[Equity Max Loss Per Share]] * SnapshotTable[[#This Row],[Equity Shares]],"")</f>
        <v/>
      </c>
      <c r="AC91" s="150">
        <v>3.9</v>
      </c>
      <c r="AD91" s="151">
        <v>42339</v>
      </c>
      <c r="AE91" s="31">
        <f>(SnapshotTable[[#This Row],[Annual Dividend Per Share]] / 4) * SnapshotTable[[#This Row],[Equity Shares]]</f>
        <v>0</v>
      </c>
      <c r="AF91" s="31">
        <f>SnapshotTable[[#This Row],[Quarterly Div $]] * 4</f>
        <v>0</v>
      </c>
      <c r="AG91" s="7">
        <f>IF(SnapshotTable[[#This Row],[Annual Dividend Per Share]]&gt;0, SnapshotTable[[#This Row],[Annual Dividend Per Share]]  / SnapshotTable[[#This Row],[Last Price]], 0)</f>
        <v>5.902383654937571E-3</v>
      </c>
      <c r="AH91" s="151">
        <v>42233</v>
      </c>
      <c r="AI91" s="5"/>
      <c r="AJ91" s="138">
        <v>155</v>
      </c>
      <c r="AK91" s="152" t="str">
        <f>IF(ISNUMBER( SnapshotTable[[#This Row],[EBF Target]]),(SnapshotTable[[#This Row],[EBF Target]] - SnapshotTable[[#This Row],[Last Price]]) / SnapshotTable[[#This Row],[Last Price]], "")</f>
        <v/>
      </c>
      <c r="AL91" s="152" t="str">
        <f>IF(AND(SnapshotTable[[#This Row],[Equity Basis Total]] &gt; 0,ISNUMBER( SnapshotTable[[#This Row],[Long Term Target]])), SnapshotTable[[#This Row],[From Basis $]] / SnapshotTable[[#This Row],[Equity Basis Total]], "")</f>
        <v/>
      </c>
      <c r="AM91" s="9">
        <f>IF( AND(SnapshotTable[[#This Row],[Equity Shares]] &gt;0,ISNUMBER( SnapshotTable[[#This Row],[Long Term Target]])),(SnapshotTable[[#This Row],[Equity Shares]] * SnapshotTable[[#This Row],[Long Term Target]]) - SnapshotTable[[#This Row],[Equity Basis Total]],0)</f>
        <v>0</v>
      </c>
      <c r="AN91" s="9">
        <f>IF( AND(SnapshotTable[[#This Row],[Equity Shares]] &gt;0,ISNUMBER( SnapshotTable[[#This Row],[Long Term Target]])),(SnapshotTable[[#This Row],[Equity Shares]]*SnapshotTable[[#This Row],[Long Term Target]]) - SnapshotTable[[#This Row],[Equity Value]],0)</f>
        <v>0</v>
      </c>
      <c r="AO91" s="152">
        <f>IF(AND(ISNUMBER( SnapshotTable[[#This Row],[Long Term Target]]), ISNUMBER(SnapshotTable[[#This Row],[Last Price]])),(SnapshotTable[[#This Row],[Long Term Target]] - SnapshotTable[[#This Row],[Last Price]]) / SnapshotTable[[#This Row],[Last Price]], "")</f>
        <v>-0.76541808550889145</v>
      </c>
      <c r="AP91" s="5"/>
      <c r="AQ91" s="38"/>
      <c r="AR91" s="5"/>
      <c r="AS91" s="38"/>
      <c r="AT91" s="146"/>
      <c r="AU91" s="187" t="str">
        <f>IF(OR(SnapshotTable[[#This Row],[LP No Fill]]="Y",SnapshotTable[[#This Row],[SP Is Filled]],SnapshotTable[[#This Row],[LC Not Filled]]="Y",SnapshotTable[[#This Row],[SC Is Filled]]),"Y","")</f>
        <v/>
      </c>
      <c r="AV91" s="219"/>
      <c r="AW91" s="225"/>
      <c r="AX91" s="220"/>
      <c r="AY91" s="219" t="str">
        <f>IF(SnapshotTable[[#This Row],[Implied Move]]&gt;0, SnapshotTable[[#This Row],[Last Price]]-SnapshotTable[[#This Row],[Implied Move]],"")</f>
        <v/>
      </c>
      <c r="AZ91" s="219" t="str">
        <f>IF(SnapshotTable[[#This Row],[Implied Move]]&gt;0, SnapshotTable[[#This Row],[Last Price]] + SnapshotTable[[#This Row],[Implied Move]],"")</f>
        <v/>
      </c>
      <c r="BA91" s="331"/>
      <c r="BB91" s="347"/>
      <c r="BC9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1" s="351"/>
      <c r="BE91" s="5"/>
      <c r="BF91" s="14"/>
      <c r="BG91" s="13"/>
      <c r="BH91" s="13"/>
      <c r="BI91" s="5"/>
      <c r="BJ91" s="136">
        <f>IF(SnapshotTable[[#This Row],[LP Qty]] &gt; 0, SnapshotTable[[#This Row],[LP Qty]] * SnapshotTable[[#This Row],[LP Book Price]] * 100,0)</f>
        <v>0</v>
      </c>
      <c r="BK91" s="136">
        <f>IF(SnapshotTable[[#This Row],[LP Premium]] &gt; 0, SnapshotTable[[#This Row],[LP Qty]] * SnapshotTable[[#This Row],[LP Strike Price]] * 100,0)</f>
        <v>0</v>
      </c>
      <c r="BL91" s="154"/>
      <c r="BM91" s="385" t="str">
        <f>IF(SnapshotTable[[#This Row],[LP Premium]] &gt; 0,SnapshotTable[[#This Row],[LP Exp Date]]-MAX(SnapshotTable[[#This Row],[LP Book Date]], SnapshotTable[[#This Row],[LP Fill Date]]),"")</f>
        <v/>
      </c>
      <c r="BN91" s="385" t="str">
        <f>IF(ISNUMBER( SnapshotTable[[#This Row],[LP Term]]), SnapshotTable[[#This Row],[LP Exp Date]] - MockToday,"")</f>
        <v/>
      </c>
      <c r="BO91" s="163" t="str">
        <f>IF(AND(SnapshotTable[[#This Row],[LP Exp Date]]&gt;0, SnapshotTable[[#This Row],[LP Strike Price]]&gt;0,SnapshotTable[[#This Row],[LP Qty]]&gt;0,SnapshotTable[[#This Row],[LP Book Date]]&gt;0,SnapshotTable[[#This Row],[LP Book Price]]&gt;0,SnapshotTable[[#This Row],[LP Fill Date]]=0),"Y","")</f>
        <v/>
      </c>
      <c r="BP91" s="31" t="str">
        <f>IF(AND(SnapshotTable[[#This Row],[LP No Fill]]&lt;&gt;"Y",SnapshotTable[[#This Row],[LP Contract Value]]&gt;0, SnapshotTable[[#This Row],[LP Qty]]&gt;0), SnapshotTable[[#This Row],[LP Contract Value]]*SnapshotTable[[#This Row],[LP Qty]]*100,"")</f>
        <v/>
      </c>
      <c r="BQ91" s="13"/>
      <c r="BR91" s="5" t="str">
        <f>IF(SnapshotTable[[#This Row],[SP Exp Date]]&lt;&gt;"",TRUNC(SnapshotTable[[#This Row],[Last Price]]),"")</f>
        <v/>
      </c>
      <c r="BS91" s="36"/>
      <c r="BT91" s="147"/>
      <c r="BU91" s="13"/>
      <c r="BV91" s="5"/>
      <c r="BW91" s="419" t="b">
        <f>AND(ISNUMBER(SnapshotTable[[#This Row],[SP Exp Date]]), ISNUMBER(SnapshotTable[[#This Row],[SP Strike Price]]), ISNUMBER(SnapshotTable[[#This Row],[SP Qty]]), ISNUMBER(SnapshotTable[[#This Row],[SP Book Date]]), ISNUMBER(SnapshotTable[[#This Row],[SP Book Price]]))</f>
        <v>0</v>
      </c>
      <c r="BX91" s="419" t="b">
        <f>AND(SnapshotTable[[#This Row],[SP Is Booked]], NOT(ISBLANK(SnapshotTable[[#This Row],[SP Fill Date]])))</f>
        <v>0</v>
      </c>
      <c r="BY91" s="33">
        <f>IF(SnapshotTable[[#This Row],[SP Is Booked]], SnapshotTable[[#This Row],[SP Qty]] * SnapshotTable[[#This Row],[SP Book Price]] * 100, 0)</f>
        <v>0</v>
      </c>
      <c r="BZ91" s="369"/>
      <c r="CA91" s="368">
        <f>SnapshotTable[[#This Row],[LP Qty]]</f>
        <v>0</v>
      </c>
      <c r="CB91" s="4" t="str">
        <f>IF(SnapshotTable[[#This Row],[SP Is Booked]], SnapshotTable[[#This Row],[SP Strike Price]] - SnapshotTable[[#This Row],[SP Book Price]], "")</f>
        <v/>
      </c>
      <c r="CC91" s="19" t="str">
        <f>IF(SnapshotTable[[#This Row],[SP Is Booked]],SnapshotTable[[#This Row],[SP Exp Date]]-MAX(SnapshotTable[[#This Row],[SP Book Date]], SnapshotTable[[#This Row],[SP Fill Date]]),"")</f>
        <v/>
      </c>
      <c r="CD91" s="7" t="str">
        <f>IF(SnapshotTable[[#This Row],[SP Is Booked]], SnapshotTable[[#This Row],[SP Book Price]]/SnapshotTable[[#This Row],[SP Strike Price]], "")</f>
        <v/>
      </c>
      <c r="CE91" s="7" t="str">
        <f>IF(ISNUMBER(SnapshotTable[[#This Row],[SP ROO Term]]),SnapshotTable[[#This Row],[SP ROO Term]]*(365/SnapshotTable[[#This Row],[SP Term]]),"")</f>
        <v/>
      </c>
      <c r="CF91" s="236">
        <f>SnapshotTable[[#This Row],[LP Strike Price]] * SnapshotTable[[#This Row],[LP Qty]] * 100</f>
        <v>0</v>
      </c>
      <c r="CG91" s="31" t="e">
        <f>IF(ISNUMBER(SnapshotTable[[#This Row],[SP Premium]]), (SnapshotTable[[#This Row],[SP Qty]] * SnapshotTable[[#This Row],[SP Strike Price]]* 100) - SnapshotTable[[#This Row],[LP Protection]], 0)</f>
        <v>#VALUE!</v>
      </c>
      <c r="CH91" s="7" t="str">
        <f>IF(ISNUMBER(SnapshotTable[[#This Row],[SP Break Even]]),-1 * (SnapshotTable[[#This Row],[SP Break Even]] - SnapshotTable[[#This Row],[Last Price]]) / SnapshotTable[[#This Row],[Last Price]], "")</f>
        <v/>
      </c>
      <c r="CI91" s="31">
        <f>IF(AND(ISNUMBER((SnapshotTable[[#This Row],[SP Potential Spend]])), SnapshotTable[[#This Row],[SP Strike Price]] &gt; SnapshotTable[[#This Row],[Last Price]], SnapshotTable[[#This Row],[SP Is Filled]]), SnapshotTable[[#This Row],[SP Potential Spend]] -  SnapshotTable[[#This Row],[LP Max Value]], 0)</f>
        <v>0</v>
      </c>
      <c r="CJ91" s="244"/>
      <c r="CK91" s="31" t="str">
        <f>IF(ISNUMBER(SnapshotTable[[#This Row],[SP Potential Spend]]),IF(ISNUMBER(SnapshotTable[[#This Row],[SP POW]]), SnapshotTable[[#This Row],[SP POW]] * SnapshotTable[[#This Row],[SP Potential Spend]], SnapshotTable[[#This Row],[SP Potential Spend]]), "")</f>
        <v/>
      </c>
      <c r="CL91" s="164" t="e">
        <f>IF(NOT(SnapshotTable[[#This Row],[SP Is Filled]]),(SnapshotTable[[#This Row],[SP Qty]] * SnapshotTable[[#This Row],[SP Strike Price]] * 100) - SnapshotTable[[#This Row],[LP Max Value]],"")</f>
        <v>#VALUE!</v>
      </c>
      <c r="CM91" s="31" t="str">
        <f>IF(SnapshotTable[[#This Row],[SP Actual Spend]]&lt;&gt;0, ((SnapshotTable[[#This Row],[SP Strike Price]]-SnapshotTable[[#This Row],[Last Price]]) *(SnapshotTable[[#This Row],[SP Qty]]*100) - SnapshotTable[[#This Row],[SP Premium]]) * - 1, "")</f>
        <v/>
      </c>
      <c r="CN91" s="78"/>
      <c r="CO91" s="369"/>
      <c r="CP91" s="4" t="str">
        <f>IF(SnapshotTable[[#This Row],[SP Is Filled]], btc_max_buyback_amount(SnapshotTable[[#This Row],[SP Fill Date]],SnapshotTable[[#This Row],[SP Exp Date]], SnapshotTable[[#This Row],[SP Book Price]]),"")</f>
        <v/>
      </c>
      <c r="CQ91" s="78"/>
      <c r="CR9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1" s="155" t="str">
        <f>IF(SnapshotTable[[#This Row],[SP Is Filled]], btc_next_cutoff_date(SnapshotTable[[#This Row],[SP Fill Date]],SnapshotTable[[#This Row],[SP Exp Date]]),"")</f>
        <v/>
      </c>
      <c r="CT91" s="235" t="str" cm="1">
        <f t="array" ref="CT91">IF(SnapshotTable[[#This Row],[SP Is Filled]], btc_should_buy_back(SnapshotTable[[#This Row],[SP Fill Date]], SnapshotTable[[#This Row],[SP Exp Date]], SnapshotTable[[#This Row],[SP Book Price]], SnapshotTable[[#This Row],[SP Current Ask]], MockToday, SnapshotTable[[#This Row],[SP Buyback Override]]),"")</f>
        <v/>
      </c>
      <c r="CU91" s="143"/>
      <c r="CV91" s="235"/>
      <c r="CW91" s="378" t="str">
        <f>IF(ISNUMBER( SnapshotTable[[#This Row],[SP Term]]), SnapshotTable[[#This Row],[SP Exp Date]] - MockToday,"")</f>
        <v/>
      </c>
      <c r="CX91" s="31" t="str">
        <f>IF(SnapshotTable[[#This Row],[SP Is Filled]],SnapshotTable[[#This Row],[SP Buyback Price to Use]] * 100 * SnapshotTable[[#This Row],[SP Qty]], "")</f>
        <v/>
      </c>
      <c r="CY91" s="4" t="str">
        <f>IF(ISNUMBER(SnapshotTable[[#This Row],[SP Strike Price]]), SnapshotTable[[#This Row],[SP Strike Price]] * (1 - SP_MaxLoss_StrikePct), "")</f>
        <v/>
      </c>
      <c r="CZ91" s="31" t="str">
        <f>IF(ISNUMBER(SnapshotTable[[#This Row],[SP Strike  Stop Per Share]]),SnapshotTable[[#This Row],[SP Premium]] - ((SnapshotTable[[#This Row],[SP Strike Price]]-SnapshotTable[[#This Row],[SP Strike  Stop Per Share]]) *(SnapshotTable[[#This Row],[SP Qty]] * 100)),"")</f>
        <v/>
      </c>
      <c r="DA91" s="4" t="str">
        <f>IF(AND(ISNUMBER(SnapshotTable[[#This Row],[SP Premium]]),SnapshotTable[[#This Row],[SP Premium]]&gt;0), SnapshotTable[[#This Row],[SP Book Price]] * (1 + SP_MaxLoss_OptionPct), "")</f>
        <v/>
      </c>
      <c r="DB91" s="31" t="str">
        <f>IF(ISNUMBER(SnapshotTable[[#This Row],[SP Option  Stop Contract]]),(SnapshotTable[[#This Row],[SP Option  Stop Contract]] *(SnapshotTable[[#This Row],[SP Qty]] * 100) - SnapshotTable[[#This Row],[SP Premium]]),"")</f>
        <v/>
      </c>
      <c r="DC91" s="4"/>
      <c r="DD91" s="4"/>
      <c r="DE91" s="4" t="str">
        <f>IF(AND(SnapshotTable[[#This Row],[SP Qty]]&gt;0, SnapshotTable[[#This Row],[SP Stop To Use]]&gt;0),SnapshotTable[[#This Row],[SP Premium]] - ( SnapshotTable[[#This Row],[SP Qty]] * SnapshotTable[[#This Row],[SP Stop To Use]] * 100), "")</f>
        <v/>
      </c>
      <c r="DF91" s="31" t="str">
        <f>IF(AND(SnapshotTable[[#This Row],[SP Qty]]&gt;0,SnapshotTable[[#This Row],[SP Current Ask]]&gt;0), SnapshotTable[[#This Row],[SP Qty]] * SnapshotTable[[#This Row],[SP Current Ask]] * -100, "")</f>
        <v/>
      </c>
      <c r="DG91" s="31" t="str">
        <f>IF(ISNUMBER((SnapshotTable[[#This Row],[SP Total Value]])), SnapshotTable[[#This Row],[SP Premium]] + SnapshotTable[[#This Row],[SP Total Value]], "")</f>
        <v/>
      </c>
      <c r="DH91" s="294" t="str">
        <f>IF(ISNUMBER((SnapshotTable[[#This Row],[SP Total Value]])), SnapshotTable[[#This Row],[SP Gain Loss]] / SnapshotTable[[#This Row],[SP Premium]], "")</f>
        <v/>
      </c>
      <c r="DI91" s="406"/>
      <c r="DJ91" s="138"/>
      <c r="DK91" s="148"/>
      <c r="DL91" s="13"/>
      <c r="DM91" s="13"/>
      <c r="DO91" s="31">
        <f>IF(SnapshotTable[[#This Row],[LC Symbol Count]]=1, SnapshotTable[[#This Row],[LC Qty]] * SnapshotTable[[#This Row],[LC Book Price]] * 100, 0)</f>
        <v>0</v>
      </c>
      <c r="DP91" s="163" t="str">
        <f>IF(AND(SnapshotTable[[#This Row],[LC Exp Date]]&gt;0, SnapshotTable[[#This Row],[LC Strike Price]]&gt;0,SnapshotTable[[#This Row],[LC Qty]]&gt;0,SnapshotTable[[#This Row],[LC Book Date]]&gt;0,SnapshotTable[[#This Row],[LC Book Price]]&gt;0,SnapshotTable[[#This Row],[LC Fill Date]]=0),"Y","")</f>
        <v/>
      </c>
      <c r="DQ91" s="386" t="str">
        <f>IF(SnapshotTable[[#This Row],[LC Premium]] &gt; 0,SnapshotTable[[#This Row],[LC Exp Date]]-MAX(SnapshotTable[[#This Row],[LC Book Date]], SnapshotTable[[#This Row],[LC Fill Date]]),"")</f>
        <v/>
      </c>
      <c r="DR91" s="386" t="str">
        <f>IF(ISNUMBER(SnapshotTable[[#This Row],[LC Term]]), SnapshotTable[[#This Row],[LC Exp Date]] - MockToday, "")</f>
        <v/>
      </c>
      <c r="DS91" s="234" t="str">
        <f>IF(SnapshotTable[[#This Row],[LC Premium]]&gt;0,SnapshotTable[[#This Row],[LC Strike Price]] + SnapshotTable[[#This Row],[LC Book Price]],"")</f>
        <v/>
      </c>
      <c r="DU91" s="9" t="str">
        <f>IF(AND(SnapshotTable[[#This Row],[LC Symbol Count]]&gt;0, SnapshotTable[[#This Row],[LC Contract Value]]&gt;0), SnapshotTable[[#This Row],[LC Contract Value]] * SnapshotTable[[#This Row],[LC Qty]] * 100, "")</f>
        <v/>
      </c>
      <c r="DV91" s="9" t="str">
        <f>IF(AND(ISNUMBER(SnapshotTable[[#This Row],[LC Total Value]]), SnapshotTable[[#This Row],[LC Not Filled]]&lt;&gt;"Y"), SnapshotTable[[#This Row],[LC Total Value]]-SnapshotTable[[#This Row],[LC Premium]],"")</f>
        <v/>
      </c>
      <c r="DW91" s="240" t="str">
        <f>IF(ISNUMBER(SnapshotTable[[#This Row],[LC Actual Gain Loss]]), SnapshotTable[[#This Row],[LC Actual Gain Loss]] / SnapshotTable[[#This Row],[LC Premium]],"")</f>
        <v/>
      </c>
      <c r="DX91" s="284" t="str">
        <f>IF(ISNUMBER(SnapshotTable[[#This Row],[LC Book Price]]),SnapshotTable[[#This Row],[LC Book Price]] * 1.5,"")</f>
        <v/>
      </c>
      <c r="DY91" s="265" t="str">
        <f>IF(SnapshotTable[[#This Row],[LC Premium]]&gt;0, SnapshotTable[[#This Row],[LC Next Target]] * SnapshotTable[[#This Row],[LC Qty]] * 100,"")</f>
        <v/>
      </c>
      <c r="DZ91" s="265" t="str">
        <f>IF(ISNUMBER(SnapshotTable[[#This Row],[LC Target Gross]]), SnapshotTable[[#This Row],[LC Target Gross]] - SnapshotTable[[#This Row],[LC Premium]], "")</f>
        <v/>
      </c>
      <c r="EA91" s="305" t="str">
        <f>IF(ISNUMBER(SnapshotTable[[#This Row],[LC Target Gain Loss]]), SnapshotTable[[#This Row],[LC Target Gain Loss]]/SnapshotTable[[#This Row],[LC Premium]], "")</f>
        <v/>
      </c>
      <c r="EB91" s="262"/>
      <c r="EC91" s="283" t="str">
        <f>IF(SnapshotTable[[#This Row],[LC Premium]]&gt;0, SnapshotTable[[#This Row],[LC Book Price]] * (1 - LC_StopLoss_Pct),"")</f>
        <v/>
      </c>
      <c r="ED91" s="284"/>
      <c r="EE91" s="283" t="str">
        <f>IF(ISNUMBER(SnapshotTable[[#This Row],[LC Contract Value]]),IF(ISNUMBER(SnapshotTable[[#This Row],[LC Stop Loss Override]]), SnapshotTable[[#This Row],[LC Stop Loss Override]],SnapshotTable[[#This Row],[LC Stop Loss Calc Target]]),"")</f>
        <v/>
      </c>
      <c r="EF91" s="31" t="str">
        <f>IF(ISNUMBER(SnapshotTable[[#This Row],[LC Stop  To Use]]), (SnapshotTable[[#This Row],[LC Stop  To Use]] * SnapshotTable[[#This Row],[LC Qty]] * 100),"")</f>
        <v/>
      </c>
      <c r="EG91" s="9" t="str">
        <f>IF(ISNUMBER(SnapshotTable[[#This Row],[LC Total Value]]),SnapshotTable[[#This Row],[LC Stop Loss Amount]] - SnapshotTable[[#This Row],[LC Premium]],"")</f>
        <v/>
      </c>
      <c r="EH91" s="9">
        <f>IF(ISNUMBER(SnapshotTable[[#This Row],[LC Premium]]), SnapshotTable[[#This Row],[LC Qty]] * 100 * SnapshotTable[[#This Row],[LC Strike Price]], "")</f>
        <v>0</v>
      </c>
      <c r="EI91" s="240" t="str">
        <f>IF(AND(ISNUMBER(SnapshotTable[[#This Row],[LC Total Value]]),SnapshotTable[[#This Row],[LC Total Value]]&gt;0),SnapshotTable[[#This Row],[LC Stop Gain Loss]]  / SnapshotTable[[#This Row],[LC Premium]],"")</f>
        <v/>
      </c>
      <c r="EJ91" s="35">
        <f>IF(ISNUMBER(SnapshotTable[[#This Row],[Equity Shares]]),TRUNC(SnapshotTable[[#This Row],[Equity Shares]] / 100),0) + SnapshotTable[[#This Row],[LC Qty]]</f>
        <v>0</v>
      </c>
      <c r="EK91" s="147"/>
      <c r="EL91" s="138" t="str">
        <f>IF(SnapshotTable[[#This Row],[SC Exp Date]]&lt;&gt;"",TRUNC(SnapshotTable[[#This Row],[Last Price]]),"")</f>
        <v/>
      </c>
      <c r="EM91" s="148"/>
      <c r="EN91" s="147"/>
      <c r="EO91" s="147"/>
      <c r="EP91" s="138"/>
      <c r="EQ91" s="419" t="b">
        <f>AND(ISNUMBER(SnapshotTable[[#This Row],[SC Exp Date]]), ISNUMBER(SnapshotTable[[#This Row],[SC Strike Price]]), ISNUMBER(SnapshotTable[[#This Row],[SC Qty]]), ISNUMBER(SnapshotTable[[#This Row],[SC Book Date]]), ISNUMBER(SnapshotTable[[#This Row],[SC Book Price]]))</f>
        <v>0</v>
      </c>
      <c r="ER91" s="419" t="b">
        <f>AND(SnapshotTable[[#This Row],[SC Is Booked]], NOT(ISBLANK(SnapshotTable[[#This Row],[SC Fill Date]])))</f>
        <v>0</v>
      </c>
      <c r="ES91" s="370"/>
      <c r="ET91" s="34" t="str">
        <f>IF(AND(ISNUMBER(SnapshotTable[[#This Row],[SC Exp Date]]), ISNUMBER(SnapshotTable[[#This Row],[SC Book Date]])), SnapshotTable[[#This Row],[SC Exp Date]] - MAX(SnapshotTable[[#This Row],[SC Book Date]], SnapshotTable[[#This Row],[SC Fill Date]]) + 1, "")</f>
        <v/>
      </c>
      <c r="EU91" s="34" t="str">
        <f>IF(ISNUMBER(SnapshotTable[[#This Row],[SC Term]]), SnapshotTable[[#This Row],[SC Exp Date]]- MockToday, "")</f>
        <v/>
      </c>
      <c r="EV91" s="31">
        <f>IF(SnapshotTable[[#This Row],[SC Is Booked]], SnapshotTable[[#This Row],[SC Qty]] * SnapshotTable[[#This Row],[SC Book Price]] * 100, 0)</f>
        <v>0</v>
      </c>
      <c r="EW91" s="4" t="str">
        <f>IF(AND(ISNUMBER(SnapshotTable[[#This Row],[Last Price]]), ISNUMBER( SnapshotTable[[#This Row],[SC Book Price]])), SnapshotTable[[#This Row],[Last Price]] - SnapshotTable[[#This Row],[SC Book Price]],"")</f>
        <v/>
      </c>
      <c r="EX91" s="234" t="str">
        <f>IF(SnapshotTable[[#This Row],[SC Is Booked]],IF(SnapshotTable[[#This Row],[SC Intrinsic Value]] &gt; 0, SnapshotTable[[#This Row],[SC Strike Price]], SnapshotTable[[#This Row],[Last Price]]), "")</f>
        <v/>
      </c>
      <c r="EY91" s="4">
        <f>IF(SnapshotTable[[#This Row],[SC Is Booked]], (MinimumPremiumRequired * SnapshotTable[[#This Row],[SC Basis]] * SnapshotTable[[#This Row],[SC Term]]), 0)</f>
        <v>0</v>
      </c>
      <c r="EZ91" s="283"/>
      <c r="FA91" s="218"/>
      <c r="FB91" s="370"/>
      <c r="FC91" s="4">
        <f>IF(SnapshotTable[[#This Row],[SC Is Filled]], btc_max_buyback_amount(SnapshotTable[[#This Row],[SC Fill Date]],SnapshotTable[[#This Row],[SC Exp Date]], SnapshotTable[[#This Row],[SC Book Price]]),0)</f>
        <v>0</v>
      </c>
      <c r="FD91" s="5"/>
      <c r="FE91" s="144" t="str">
        <f>IF(SnapshotTable[[#This Row],[SC Is Filled]], btc_next_cutoff_date(SnapshotTable[[#This Row],[SC Fill Date]],SnapshotTable[[#This Row],[SC Exp Date]]),"")</f>
        <v/>
      </c>
      <c r="FF91" s="4" t="str" cm="1">
        <f t="array" ref="FF91">IF(SnapshotTable[[#This Row],[SC Is Filled]], btc_should_buy_back(SnapshotTable[[#This Row],[SC Fill Date]], SnapshotTable[[#This Row],[SC Exp Date]], SnapshotTable[[#This Row],[SC Book Price]], SnapshotTable[[#This Row],[SC Current Ask]], MockToday, SnapshotTable[[#This Row],[SC Buyback Override]]),"")</f>
        <v/>
      </c>
      <c r="FG91" s="4">
        <f>IF(SnapshotTable[[#This Row],[SC Is Filled]], MAX(0,SnapshotTable[[#This Row],[Last Price]]  - SnapshotTable[[#This Row],[SC Strike Price]]), 0)</f>
        <v>0</v>
      </c>
      <c r="FH91" s="382">
        <f>IF(SnapshotTable[[#This Row],[SC Is Filled]], IF(ISNUMBER(SnapshotTable[[#This Row],[SC Current Ask]]), SnapshotTable[[#This Row],[SC Current Ask]], SnapshotTable[[#This Row],[SC Book Price]]) - SnapshotTable[[#This Row],[SC Intrinsic Value]], 0)</f>
        <v>0</v>
      </c>
      <c r="FI91" s="143"/>
      <c r="FJ91" s="32" t="str">
        <f>IF(SnapshotTable[[#This Row],[SC Is Filled]],100 * SnapshotTable[[#This Row],[SC Qty]] * IF(ISNUMBER(SnapshotTable[[#This Row],[SC Buyback Override]]), SnapshotTable[[#This Row],[SC Buyback Override]], SnapshotTable[[#This Row],[SC Current Ask]]), "")</f>
        <v/>
      </c>
      <c r="FK91" s="250" t="str">
        <f>IF(SnapshotTable[[#This Row],[SC Time Val]]&gt;0, SnapshotTable[[#This Row],[SC Time Val]] / SnapshotTable[[#This Row],[Last Price]],"")</f>
        <v/>
      </c>
      <c r="FL91" s="302" t="str">
        <f>IF(SnapshotTable[[#This Row],[SC Is Booked]], ((SnapshotTable[[#This Row],[Last Price]] -SnapshotTable[[#This Row],[SC Strike Price]]) / SnapshotTable[[#This Row],[Last Price]]) * -1, "")</f>
        <v/>
      </c>
      <c r="FM91" s="157" t="str">
        <f>IF(SnapshotTable[[#This Row],[SC Is Booked]],  (SnapshotTable[[#This Row],[SC Qty]] * 100 * SnapshotTable[[#This Row],[SC Strike Price]]) - SnapshotTable[[#This Row],[SC Current Ask]], "")</f>
        <v/>
      </c>
      <c r="FN9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1" s="31" t="str">
        <f>IF(AND(ISNUMBER(SnapshotTable[[#This Row],[SC Exercise Gross]]), ISNUMBER(SnapshotTable[[#This Row],[Equity Basis Per Share]] )), SnapshotTable[[#This Row],[SC Exercise Gross]] - SnapshotTable[[#This Row],[Equity Basis Total]] +  SnapshotTable[[#This Row],[SC Premium]], "")</f>
        <v/>
      </c>
      <c r="FP91" s="5" t="str">
        <f>IF(ISNUMBER(SnapshotTable[[#This Row],[SC Exercise Gross]]), (SnapshotTable[[#This Row],[SC Exercise Gross]]) / (SnapshotTable[[#This Row],[SC Qty]] * 100), "")</f>
        <v/>
      </c>
      <c r="FQ91" s="27" t="str">
        <f>IF(SnapshotTable[[#This Row],[SC Is Booked]],SnapshotTable[[#This Row],[SC Time Val]] /SnapshotTable[[#This Row],[SC Basis]], "")</f>
        <v/>
      </c>
      <c r="FR91" s="27" t="str" cm="1">
        <f t="array" ref="FR91">IF(AND(ISNUMBER(SnapshotTable[[#This Row],[SC Term]]),ISNUMBER(SnapshotTable[[#This Row],[SC Simple ROO]])), EllmanAnnualize(SnapshotTable[[#This Row],[SC DTE]], SnapshotTable[[#This Row],[SC Simple ROO]] ),"")</f>
        <v/>
      </c>
      <c r="FS91" s="4" t="e">
        <f>IF(SnapshotTable[[#This Row],[SC Strike Price]] &gt; SnapshotTable[[#This Row],[Last Price]], SnapshotTable[[#This Row],[SC Strike Price]] - SnapshotTable[[#This Row],[Last Price]],0)</f>
        <v>#VALUE!</v>
      </c>
      <c r="FT91" s="27" t="e">
        <f>IF(AND(ISNUMBER(SnapshotTable[[#This Row],[SC Upside Potential]]), SnapshotTable[[#This Row],[SC Upside Potential]] &gt; 0),(SnapshotTable[[#This Row],[SC Upside Potential]]/ SnapshotTable[[#This Row],[ACB]]),"")</f>
        <v>#VALUE!</v>
      </c>
      <c r="FU91" s="333" t="str">
        <f>IF(SnapshotTable[[#This Row],[SC Intrinsic Value]] &gt; 0,SnapshotTable[[#This Row],[SC Intrinsic Value]],"")</f>
        <v/>
      </c>
      <c r="FV91" s="27" t="str">
        <f>IF(AND( ISNUMBER( SnapshotTable[[#This Row],[ACB]]),ISNUMBER(SnapshotTable[[#This Row],[SC Downside Protect]])),SnapshotTable[[#This Row],[SC Downside Protect]] / SnapshotTable[[#This Row],[ACB]],"")</f>
        <v/>
      </c>
      <c r="FW91" s="236" t="str">
        <f>IF(AND(ISNUMBER(SnapshotTable[[#This Row],[SC Simple ROO]]),SnapshotTable[[#This Row],[SC Simple ROO]] &gt; 0), SnapshotTable[[#This Row],[SC Premium]] + (SnapshotTable[[#This Row],[SC Qty]] * SnapshotTable[[#This Row],[SC Upside Potential]]), "")</f>
        <v/>
      </c>
      <c r="FX91" s="302" t="str" cm="1">
        <f t="array" ref="FX91">IF(ISNUMBER(SnapshotTable[[#This Row],[SC Max Dollars]]), annualize(SnapshotTable[[#This Row],[SC Term]],(SnapshotTable[[#This Row],[SC Max Dollars]]/SnapshotTable[[#This Row],[SC Basis]])),"")</f>
        <v/>
      </c>
      <c r="FY91" s="236" t="str">
        <f>IF(AND(SnapshotTable[[#This Row],[SC Qty]]&gt;0,SnapshotTable[[#This Row],[SC Current Ask]]&gt;0), SnapshotTable[[#This Row],[SC Qty]] * SnapshotTable[[#This Row],[SC Current Ask]] * -100, "")</f>
        <v/>
      </c>
      <c r="FZ91" s="31" t="str">
        <f>IF(ISNUMBER((SnapshotTable[[#This Row],[SC Current Value]])), SnapshotTable[[#This Row],[SC Premium]] + SnapshotTable[[#This Row],[SC Current Value]], "")</f>
        <v/>
      </c>
      <c r="GA91" s="294" t="str">
        <f>IFERROR( IF(ISNUMBER((SnapshotTable[[#This Row],[SC Current Value]])), SnapshotTable[[#This Row],[SC Gain Loss]] / SnapshotTable[[#This Row],[SC Premium]], ""), "")</f>
        <v/>
      </c>
      <c r="GB91" s="42">
        <f>SnapshotTable[[#This Row],[Equity Shares]] * SaleSharesToConsiderPercentage</f>
        <v>0</v>
      </c>
      <c r="GC91" s="40">
        <f>SnapshotTable[[#This Row],[Long Term Target]] * SellingPriceToConsiderBasedOnTargetPercentage</f>
        <v>147.25</v>
      </c>
      <c r="GD91" s="40">
        <f>SnapshotTable[[#This Row],[Last Price]] * (1+ SellingPriceToConsiderBasedOnTargetPercentage)</f>
        <v>1288.4624999999999</v>
      </c>
      <c r="GE91" s="41"/>
      <c r="GF91" s="40"/>
      <c r="GG91" s="31">
        <f>SnapshotTable[[#This Row],[Booked Sale Shares]] * SnapshotTable[[#This Row],[Booked Sale Price]]</f>
        <v>0</v>
      </c>
      <c r="GH91" s="31" t="str">
        <f>IF(SnapshotTable[[#This Row],[Equity Basis Total]] &gt; 0, SnapshotTable[[#This Row],[Equity Basis Per Share]] * SnapshotTable[[#This Row],[Booked Sale Shares]], "")</f>
        <v/>
      </c>
      <c r="GI91" s="31">
        <f>IF(SnapshotTable[[#This Row],[Sale Proceeds]]&gt;0, SnapshotTable[[#This Row],[Sale Proceeds]] - SnapshotTable[[#This Row],[Sale Basis]], 0)</f>
        <v>0</v>
      </c>
      <c r="GJ91" s="27" t="str">
        <f>IF(SnapshotTable[[#This Row],[Sale G/L]]&gt;0, SnapshotTable[[#This Row],[Sale G/L]] / SnapshotTable[[#This Row],[Sale Basis]], IF(ISNUMBER(SnapshotTable[[#This Row],[SC Exercise P&amp;L (TAX)]]), SnapshotTable[[#This Row],[SC Exercise P&amp;L (TAX)]] / SnapshotTable[[#This Row],[SC Basis]], ""))</f>
        <v/>
      </c>
      <c r="GK91" s="27" t="s">
        <v>666</v>
      </c>
      <c r="GL91" s="43" t="str">
        <f>IF(AND(SnapshotTable[[#This Row],[LP Exp Date]]&gt;0,SnapshotTable[[#This Row],[LP Strike Price]]&gt;0), [1]!ToOptionSymbol(SnapshotTable[[#This Row],[Symbol]], SnapshotTable[[#This Row],[LP Strike Price]],SnapshotTable[[#This Row],[LP Exp Date]],1), "")</f>
        <v/>
      </c>
      <c r="GM91" s="30" t="str">
        <f>IF(LEN(SnapshotTable[[#This Row],[LP Symbol]])&gt;0, 1, "")</f>
        <v/>
      </c>
      <c r="GN91" s="43" t="str">
        <f>IF(AND(SnapshotTable[[#This Row],[SP Exp Date]]&gt;0,SnapshotTable[[#This Row],[SP Strike Price]]&gt;0), [1]!ToOptionSymbol(SnapshotTable[[#This Row],[Symbol]], SnapshotTable[[#This Row],[SP Strike Price]],SnapshotTable[[#This Row],[SP Exp Date]],1), "")</f>
        <v/>
      </c>
      <c r="GO91" s="30" t="str">
        <f>IF(LEN(SnapshotTable[[#This Row],[SP Symbol]])&gt;0, 1, "")</f>
        <v/>
      </c>
      <c r="GP91" s="43" t="str">
        <f>IF(AND(SnapshotTable[[#This Row],[LC Exp Date]]&gt;0,SnapshotTable[[#This Row],[LC Strike Price]]&gt;0), [1]!ToOptionSymbol(SnapshotTable[[#This Row],[Symbol]], SnapshotTable[[#This Row],[LC Strike Price]],SnapshotTable[[#This Row],[LC Exp Date]],0), "")</f>
        <v/>
      </c>
      <c r="GQ91" s="30" t="str">
        <f>IF(LEN(SnapshotTable[[#This Row],[LC Symbol]])&gt;0, 1, "")</f>
        <v/>
      </c>
      <c r="GR91" s="43" t="str">
        <f>IF(AND(SnapshotTable[[#This Row],[SC Exp Date]]&gt;0,SnapshotTable[[#This Row],[SC Strike Price]]&gt;0), [1]!ToOptionSymbol(SnapshotTable[[#This Row],[Symbol]], SnapshotTable[[#This Row],[SC Strike Price]],SnapshotTable[[#This Row],[SC Exp Date]],0), "")</f>
        <v/>
      </c>
      <c r="GS91" s="30" t="str">
        <f>IF(LEN(SnapshotTable[[#This Row],[SC Symbol]])&gt;0, 1, "")</f>
        <v/>
      </c>
      <c r="GT91" s="29" t="str">
        <f>IF(COUNT(SnapshotTable[[#This Row],[LP Symbol Count]],SnapshotTable[[#This Row],[SP Symbol Count]],SnapshotTable[[#This Row],[LC Symbol Count]],SnapshotTable[[#This Row],[SC Symbol Count]])&gt;0, "Y", "")</f>
        <v/>
      </c>
      <c r="GU9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1" s="231" t="e">
        <f>MAX(SnapshotTable[[#This Row],[Equity Basis Total]],SnapshotTable[[#This Row],[Equity Value]]) + (SnapshotTable[[#This Row],[SP Potential Spend]]- SnapshotTable[[#This Row],[SP Premium]] + SnapshotTable[[#This Row],[LP Premium]])+ (SnapshotTable[[#This Row],[LC Premium]] - SnapshotTable[[#This Row],[SC Premium]])</f>
        <v>#VALUE!</v>
      </c>
      <c r="GW91" s="139" t="e">
        <f>IF(AND(SnapshotTable[[#This Row],[Exposure]] &lt;&gt; 0),SnapshotTable[[#This Row],[Exposure]] / SnapshotTable[[#Totals],[Exposure]], "")</f>
        <v>#VALUE!</v>
      </c>
      <c r="HE91" s="268"/>
      <c r="HF91" s="268"/>
      <c r="HK91" s="1"/>
      <c r="HL91" s="1"/>
      <c r="HM91" s="1"/>
      <c r="HN91" s="1"/>
      <c r="HO91" s="1"/>
      <c r="HP91" s="1"/>
    </row>
    <row r="92" spans="2:224" ht="12.75" hidden="1" customHeight="1" x14ac:dyDescent="0.25">
      <c r="B92" s="12" t="s">
        <v>508</v>
      </c>
      <c r="C92" s="422">
        <v>65.89</v>
      </c>
      <c r="D92" s="208"/>
      <c r="E92" s="39">
        <f>SnapshotTable[[#This Row],[Last Price]]*(1 -CrashDiscount)</f>
        <v>56.006499999999996</v>
      </c>
      <c r="F92" s="26" t="s">
        <v>148</v>
      </c>
      <c r="G92" s="26" t="s">
        <v>49</v>
      </c>
      <c r="H92" s="149"/>
      <c r="I92" s="194">
        <v>44768.25</v>
      </c>
      <c r="J92" s="195">
        <v>44768.25</v>
      </c>
      <c r="K92" s="196"/>
      <c r="L92" s="326"/>
      <c r="M92" s="140"/>
      <c r="N92" s="140"/>
      <c r="O92" s="140"/>
      <c r="P92" s="22"/>
      <c r="Q92" s="25"/>
      <c r="R92" s="4" t="str">
        <f>IF(SnapshotTable[[#This Row],[Equity Basis Total]] &gt; 0, SnapshotTable[[#This Row],[Equity Basis Total]] / SnapshotTable[[#This Row],[Equity Shares]], "")</f>
        <v/>
      </c>
      <c r="S92" s="269">
        <f>SnapshotTable[[#This Row],[Last Price]] * SnapshotTable[[#This Row],[Equity Shares]]</f>
        <v>0</v>
      </c>
      <c r="T92" s="269">
        <f>SnapshotTable[[#This Row],[Equity Value]] - SnapshotTable[[#This Row],[Equity Basis Total]]</f>
        <v>0</v>
      </c>
      <c r="U92" s="270" t="str">
        <f>IF(SnapshotTable[[#This Row],[Equity Basis Total]] &gt; 0, SnapshotTable[[#This Row],[Equity G/L]] / SnapshotTable[[#This Row],[Equity Basis Total]], "")</f>
        <v/>
      </c>
      <c r="V92" s="268"/>
      <c r="W92" s="268"/>
      <c r="X92" s="4" t="str">
        <f>IF(AND(ISNUMBER(SnapshotTable[[#This Row],[Equity Basis Per Share]]),ISNUMBER(SnapshotTable[[#This Row],[Equity Target]])),SnapshotTable[[#This Row],[Equity Target]]-SnapshotTable[[#This Row],[Equity Basis Per Share]],"")</f>
        <v/>
      </c>
      <c r="Y92" s="4" t="str">
        <f>IF(AND(ISNUMBER(SnapshotTable[[#This Row],[Equity Basis Per Share]]),ISNUMBER(SnapshotTable[[#This Row],[Equity Stop Loss]])),SnapshotTable[[#This Row],[Equity Stop Loss]]-SnapshotTable[[#This Row],[Equity Basis Per Share]],"")</f>
        <v/>
      </c>
      <c r="Z92" s="275" t="str">
        <f>IFERROR( TEXT(SnapshotTable[[#This Row],[Equity Max Gain Per Share]] /ABS( SnapshotTable[[#This Row],[Equity Max Loss Per Share]]),"0.0 " ) &amp; " : 1", "")</f>
        <v/>
      </c>
      <c r="AA92" s="31" t="str">
        <f>IF(ISNUMBER(SnapshotTable[[#This Row],[Equity Max Gain Per Share]]),SnapshotTable[[#This Row],[Equity Max Gain Per Share]] * SnapshotTable[[#This Row],[Equity Shares]],"")</f>
        <v/>
      </c>
      <c r="AB92" s="31" t="str">
        <f>IF(ISNUMBER(SnapshotTable[[#This Row],[Equity Max Loss Per Share]]),SnapshotTable[[#This Row],[Equity Max Loss Per Share]] * SnapshotTable[[#This Row],[Equity Shares]],"")</f>
        <v/>
      </c>
      <c r="AC92" s="150"/>
      <c r="AD92" s="151"/>
      <c r="AE92" s="31">
        <f>(SnapshotTable[[#This Row],[Annual Dividend Per Share]] / 4) * SnapshotTable[[#This Row],[Equity Shares]]</f>
        <v>0</v>
      </c>
      <c r="AF92" s="31">
        <f>SnapshotTable[[#This Row],[Quarterly Div $]] * 4</f>
        <v>0</v>
      </c>
      <c r="AG92" s="7">
        <f>IF(SnapshotTable[[#This Row],[Annual Dividend Per Share]]&gt;0, SnapshotTable[[#This Row],[Annual Dividend Per Share]]  / SnapshotTable[[#This Row],[Last Price]], 0)</f>
        <v>0</v>
      </c>
      <c r="AH92" s="151"/>
      <c r="AI92" s="5"/>
      <c r="AJ92" s="138">
        <v>74.78</v>
      </c>
      <c r="AK92" s="152" t="str">
        <f>IF(ISNUMBER( SnapshotTable[[#This Row],[EBF Target]]),(SnapshotTable[[#This Row],[EBF Target]] - SnapshotTable[[#This Row],[Last Price]]) / SnapshotTable[[#This Row],[Last Price]], "")</f>
        <v/>
      </c>
      <c r="AL92" s="152" t="str">
        <f>IF(AND(SnapshotTable[[#This Row],[Equity Basis Total]] &gt; 0,ISNUMBER( SnapshotTable[[#This Row],[Long Term Target]])), SnapshotTable[[#This Row],[From Basis $]] / SnapshotTable[[#This Row],[Equity Basis Total]], "")</f>
        <v/>
      </c>
      <c r="AM92" s="9">
        <f>IF( AND(SnapshotTable[[#This Row],[Equity Shares]] &gt;0,ISNUMBER( SnapshotTable[[#This Row],[Long Term Target]])),(SnapshotTable[[#This Row],[Equity Shares]] * SnapshotTable[[#This Row],[Long Term Target]]) - SnapshotTable[[#This Row],[Equity Basis Total]],0)</f>
        <v>0</v>
      </c>
      <c r="AN92" s="9">
        <f>IF( AND(SnapshotTable[[#This Row],[Equity Shares]] &gt;0,ISNUMBER( SnapshotTable[[#This Row],[Long Term Target]])),(SnapshotTable[[#This Row],[Equity Shares]]*SnapshotTable[[#This Row],[Long Term Target]]) - SnapshotTable[[#This Row],[Equity Value]],0)</f>
        <v>0</v>
      </c>
      <c r="AO92" s="152">
        <f>IF(AND(ISNUMBER( SnapshotTable[[#This Row],[Long Term Target]]), ISNUMBER(SnapshotTable[[#This Row],[Last Price]])),(SnapshotTable[[#This Row],[Long Term Target]] - SnapshotTable[[#This Row],[Last Price]]) / SnapshotTable[[#This Row],[Last Price]], "")</f>
        <v>0.13492183942935196</v>
      </c>
      <c r="AP92" s="5">
        <v>60</v>
      </c>
      <c r="AQ92" s="38" t="s">
        <v>45</v>
      </c>
      <c r="AR92" s="5">
        <v>45</v>
      </c>
      <c r="AS92" s="38" t="s">
        <v>45</v>
      </c>
      <c r="AT92" s="146" t="s">
        <v>509</v>
      </c>
      <c r="AU92" s="187" t="str">
        <f>IF(OR(SnapshotTable[[#This Row],[LP No Fill]]="Y",SnapshotTable[[#This Row],[SP Is Filled]],SnapshotTable[[#This Row],[LC Not Filled]]="Y",SnapshotTable[[#This Row],[SC Is Filled]]),"Y","")</f>
        <v/>
      </c>
      <c r="AV92" s="219"/>
      <c r="AW92" s="225"/>
      <c r="AX92" s="220"/>
      <c r="AY92" s="219" t="str">
        <f>IF(SnapshotTable[[#This Row],[Implied Move]]&gt;0, SnapshotTable[[#This Row],[Last Price]]-SnapshotTable[[#This Row],[Implied Move]],"")</f>
        <v/>
      </c>
      <c r="AZ92" s="219" t="str">
        <f>IF(SnapshotTable[[#This Row],[Implied Move]]&gt;0, SnapshotTable[[#This Row],[Last Price]] + SnapshotTable[[#This Row],[Implied Move]],"")</f>
        <v/>
      </c>
      <c r="BA92" s="331"/>
      <c r="BB92" s="347"/>
      <c r="BC9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2" s="351"/>
      <c r="BE92" s="5"/>
      <c r="BF92" s="14"/>
      <c r="BG92" s="13"/>
      <c r="BH92" s="13"/>
      <c r="BI92" s="5"/>
      <c r="BJ92" s="136">
        <f>IF(SnapshotTable[[#This Row],[LP Qty]] &gt; 0, SnapshotTable[[#This Row],[LP Qty]] * SnapshotTable[[#This Row],[LP Book Price]] * 100,0)</f>
        <v>0</v>
      </c>
      <c r="BK92" s="136">
        <f>IF(SnapshotTable[[#This Row],[LP Premium]] &gt; 0, SnapshotTable[[#This Row],[LP Qty]] * SnapshotTable[[#This Row],[LP Strike Price]] * 100,0)</f>
        <v>0</v>
      </c>
      <c r="BL92" s="154"/>
      <c r="BM92" s="385" t="str">
        <f>IF(SnapshotTable[[#This Row],[LP Premium]] &gt; 0,SnapshotTable[[#This Row],[LP Exp Date]]-MAX(SnapshotTable[[#This Row],[LP Book Date]], SnapshotTable[[#This Row],[LP Fill Date]]),"")</f>
        <v/>
      </c>
      <c r="BN92" s="385" t="str">
        <f>IF(ISNUMBER( SnapshotTable[[#This Row],[LP Term]]), SnapshotTable[[#This Row],[LP Exp Date]] - MockToday,"")</f>
        <v/>
      </c>
      <c r="BO92" s="163" t="str">
        <f>IF(AND(SnapshotTable[[#This Row],[LP Exp Date]]&gt;0, SnapshotTable[[#This Row],[LP Strike Price]]&gt;0,SnapshotTable[[#This Row],[LP Qty]]&gt;0,SnapshotTable[[#This Row],[LP Book Date]]&gt;0,SnapshotTable[[#This Row],[LP Book Price]]&gt;0,SnapshotTable[[#This Row],[LP Fill Date]]=0),"Y","")</f>
        <v/>
      </c>
      <c r="BP92" s="31" t="str">
        <f>IF(AND(SnapshotTable[[#This Row],[LP No Fill]]&lt;&gt;"Y",SnapshotTable[[#This Row],[LP Contract Value]]&gt;0, SnapshotTable[[#This Row],[LP Qty]]&gt;0), SnapshotTable[[#This Row],[LP Contract Value]]*SnapshotTable[[#This Row],[LP Qty]]*100,"")</f>
        <v/>
      </c>
      <c r="BQ92" s="13"/>
      <c r="BR92" s="5" t="str">
        <f>IF(SnapshotTable[[#This Row],[SP Exp Date]]&lt;&gt;"",TRUNC(SnapshotTable[[#This Row],[Last Price]]),"")</f>
        <v/>
      </c>
      <c r="BS92" s="36"/>
      <c r="BT92" s="147"/>
      <c r="BU92" s="13"/>
      <c r="BV92" s="5"/>
      <c r="BW92" s="419" t="b">
        <f>AND(ISNUMBER(SnapshotTable[[#This Row],[SP Exp Date]]), ISNUMBER(SnapshotTable[[#This Row],[SP Strike Price]]), ISNUMBER(SnapshotTable[[#This Row],[SP Qty]]), ISNUMBER(SnapshotTable[[#This Row],[SP Book Date]]), ISNUMBER(SnapshotTable[[#This Row],[SP Book Price]]))</f>
        <v>0</v>
      </c>
      <c r="BX92" s="419" t="b">
        <f>AND(SnapshotTable[[#This Row],[SP Is Booked]], NOT(ISBLANK(SnapshotTable[[#This Row],[SP Fill Date]])))</f>
        <v>0</v>
      </c>
      <c r="BY92" s="33">
        <f>IF(SnapshotTable[[#This Row],[SP Is Booked]], SnapshotTable[[#This Row],[SP Qty]] * SnapshotTable[[#This Row],[SP Book Price]] * 100, 0)</f>
        <v>0</v>
      </c>
      <c r="BZ92" s="369"/>
      <c r="CA92" s="368">
        <f>SnapshotTable[[#This Row],[LP Qty]]</f>
        <v>0</v>
      </c>
      <c r="CB92" s="4" t="str">
        <f>IF(SnapshotTable[[#This Row],[SP Is Booked]], SnapshotTable[[#This Row],[SP Strike Price]] - SnapshotTable[[#This Row],[SP Book Price]], "")</f>
        <v/>
      </c>
      <c r="CC92" s="19" t="str">
        <f>IF(SnapshotTable[[#This Row],[SP Is Booked]],SnapshotTable[[#This Row],[SP Exp Date]]-MAX(SnapshotTable[[#This Row],[SP Book Date]], SnapshotTable[[#This Row],[SP Fill Date]]),"")</f>
        <v/>
      </c>
      <c r="CD92" s="7" t="str">
        <f>IF(SnapshotTable[[#This Row],[SP Is Booked]], SnapshotTable[[#This Row],[SP Book Price]]/SnapshotTable[[#This Row],[SP Strike Price]], "")</f>
        <v/>
      </c>
      <c r="CE92" s="7" t="str">
        <f>IF(ISNUMBER(SnapshotTable[[#This Row],[SP ROO Term]]),SnapshotTable[[#This Row],[SP ROO Term]]*(365/SnapshotTable[[#This Row],[SP Term]]),"")</f>
        <v/>
      </c>
      <c r="CF92" s="236">
        <f>SnapshotTable[[#This Row],[LP Strike Price]] * SnapshotTable[[#This Row],[LP Qty]] * 100</f>
        <v>0</v>
      </c>
      <c r="CG92" s="31" t="e">
        <f>IF(ISNUMBER(SnapshotTable[[#This Row],[SP Premium]]), (SnapshotTable[[#This Row],[SP Qty]] * SnapshotTable[[#This Row],[SP Strike Price]]* 100) - SnapshotTable[[#This Row],[LP Protection]], 0)</f>
        <v>#VALUE!</v>
      </c>
      <c r="CH92" s="7" t="str">
        <f>IF(ISNUMBER(SnapshotTable[[#This Row],[SP Break Even]]),-1 * (SnapshotTable[[#This Row],[SP Break Even]] - SnapshotTable[[#This Row],[Last Price]]) / SnapshotTable[[#This Row],[Last Price]], "")</f>
        <v/>
      </c>
      <c r="CI92" s="31">
        <f>IF(AND(ISNUMBER((SnapshotTable[[#This Row],[SP Potential Spend]])), SnapshotTable[[#This Row],[SP Strike Price]] &gt; SnapshotTable[[#This Row],[Last Price]], SnapshotTable[[#This Row],[SP Is Filled]]), SnapshotTable[[#This Row],[SP Potential Spend]] -  SnapshotTable[[#This Row],[LP Max Value]], 0)</f>
        <v>0</v>
      </c>
      <c r="CJ92" s="244"/>
      <c r="CK92" s="31" t="str">
        <f>IF(ISNUMBER(SnapshotTable[[#This Row],[SP Potential Spend]]),IF(ISNUMBER(SnapshotTable[[#This Row],[SP POW]]), SnapshotTable[[#This Row],[SP POW]] * SnapshotTable[[#This Row],[SP Potential Spend]], SnapshotTable[[#This Row],[SP Potential Spend]]), "")</f>
        <v/>
      </c>
      <c r="CL92" s="164" t="e">
        <f>IF(NOT(SnapshotTable[[#This Row],[SP Is Filled]]),(SnapshotTable[[#This Row],[SP Qty]] * SnapshotTable[[#This Row],[SP Strike Price]] * 100) - SnapshotTable[[#This Row],[LP Max Value]],"")</f>
        <v>#VALUE!</v>
      </c>
      <c r="CM92" s="31" t="str">
        <f>IF(SnapshotTable[[#This Row],[SP Actual Spend]]&lt;&gt;0, ((SnapshotTable[[#This Row],[SP Strike Price]]-SnapshotTable[[#This Row],[Last Price]]) *(SnapshotTable[[#This Row],[SP Qty]]*100) - SnapshotTable[[#This Row],[SP Premium]]) * - 1, "")</f>
        <v/>
      </c>
      <c r="CN92" s="78"/>
      <c r="CO92" s="369"/>
      <c r="CP92" s="4" t="str">
        <f>IF(SnapshotTable[[#This Row],[SP Is Filled]], btc_max_buyback_amount(SnapshotTable[[#This Row],[SP Fill Date]],SnapshotTable[[#This Row],[SP Exp Date]], SnapshotTable[[#This Row],[SP Book Price]]),"")</f>
        <v/>
      </c>
      <c r="CQ92" s="78"/>
      <c r="CR9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2" s="155" t="str">
        <f>IF(SnapshotTable[[#This Row],[SP Is Filled]], btc_next_cutoff_date(SnapshotTable[[#This Row],[SP Fill Date]],SnapshotTable[[#This Row],[SP Exp Date]]),"")</f>
        <v/>
      </c>
      <c r="CT92" s="235" t="str" cm="1">
        <f t="array" ref="CT92">IF(SnapshotTable[[#This Row],[SP Is Filled]], btc_should_buy_back(SnapshotTable[[#This Row],[SP Fill Date]], SnapshotTable[[#This Row],[SP Exp Date]], SnapshotTable[[#This Row],[SP Book Price]], SnapshotTable[[#This Row],[SP Current Ask]], MockToday, SnapshotTable[[#This Row],[SP Buyback Override]]),"")</f>
        <v/>
      </c>
      <c r="CU92" s="143"/>
      <c r="CV92" s="235"/>
      <c r="CW92" s="378" t="str">
        <f>IF(ISNUMBER( SnapshotTable[[#This Row],[SP Term]]), SnapshotTable[[#This Row],[SP Exp Date]] - MockToday,"")</f>
        <v/>
      </c>
      <c r="CX92" s="31" t="str">
        <f>IF(SnapshotTable[[#This Row],[SP Is Filled]],SnapshotTable[[#This Row],[SP Buyback Price to Use]] * 100 * SnapshotTable[[#This Row],[SP Qty]], "")</f>
        <v/>
      </c>
      <c r="CY92" s="4" t="str">
        <f>IF(ISNUMBER(SnapshotTable[[#This Row],[SP Strike Price]]), SnapshotTable[[#This Row],[SP Strike Price]] * (1 - SP_MaxLoss_StrikePct), "")</f>
        <v/>
      </c>
      <c r="CZ92" s="31" t="str">
        <f>IF(ISNUMBER(SnapshotTable[[#This Row],[SP Strike  Stop Per Share]]),SnapshotTable[[#This Row],[SP Premium]] - ((SnapshotTable[[#This Row],[SP Strike Price]]-SnapshotTable[[#This Row],[SP Strike  Stop Per Share]]) *(SnapshotTable[[#This Row],[SP Qty]] * 100)),"")</f>
        <v/>
      </c>
      <c r="DA92" s="4" t="str">
        <f>IF(AND(ISNUMBER(SnapshotTable[[#This Row],[SP Premium]]),SnapshotTable[[#This Row],[SP Premium]]&gt;0), SnapshotTable[[#This Row],[SP Book Price]] * (1 + SP_MaxLoss_OptionPct), "")</f>
        <v/>
      </c>
      <c r="DB92" s="31" t="str">
        <f>IF(ISNUMBER(SnapshotTable[[#This Row],[SP Option  Stop Contract]]),(SnapshotTable[[#This Row],[SP Option  Stop Contract]] *(SnapshotTable[[#This Row],[SP Qty]] * 100) - SnapshotTable[[#This Row],[SP Premium]]),"")</f>
        <v/>
      </c>
      <c r="DC92" s="4"/>
      <c r="DD92" s="4"/>
      <c r="DE92" s="4" t="str">
        <f>IF(AND(SnapshotTable[[#This Row],[SP Qty]]&gt;0, SnapshotTable[[#This Row],[SP Stop To Use]]&gt;0),SnapshotTable[[#This Row],[SP Premium]] - ( SnapshotTable[[#This Row],[SP Qty]] * SnapshotTable[[#This Row],[SP Stop To Use]] * 100), "")</f>
        <v/>
      </c>
      <c r="DF92" s="31" t="str">
        <f>IF(AND(SnapshotTable[[#This Row],[SP Qty]]&gt;0,SnapshotTable[[#This Row],[SP Current Ask]]&gt;0), SnapshotTable[[#This Row],[SP Qty]] * SnapshotTable[[#This Row],[SP Current Ask]] * -100, "")</f>
        <v/>
      </c>
      <c r="DG92" s="31" t="str">
        <f>IF(ISNUMBER((SnapshotTable[[#This Row],[SP Total Value]])), SnapshotTable[[#This Row],[SP Premium]] + SnapshotTable[[#This Row],[SP Total Value]], "")</f>
        <v/>
      </c>
      <c r="DH92" s="294" t="str">
        <f>IF(ISNUMBER((SnapshotTable[[#This Row],[SP Total Value]])), SnapshotTable[[#This Row],[SP Gain Loss]] / SnapshotTable[[#This Row],[SP Premium]], "")</f>
        <v/>
      </c>
      <c r="DI92" s="406"/>
      <c r="DJ92" s="138"/>
      <c r="DK92" s="148"/>
      <c r="DL92" s="13"/>
      <c r="DM92" s="13"/>
      <c r="DO92" s="31">
        <f>IF(SnapshotTable[[#This Row],[LC Symbol Count]]=1, SnapshotTable[[#This Row],[LC Qty]] * SnapshotTable[[#This Row],[LC Book Price]] * 100, 0)</f>
        <v>0</v>
      </c>
      <c r="DP92" s="163" t="str">
        <f>IF(AND(SnapshotTable[[#This Row],[LC Exp Date]]&gt;0, SnapshotTable[[#This Row],[LC Strike Price]]&gt;0,SnapshotTable[[#This Row],[LC Qty]]&gt;0,SnapshotTable[[#This Row],[LC Book Date]]&gt;0,SnapshotTable[[#This Row],[LC Book Price]]&gt;0,SnapshotTable[[#This Row],[LC Fill Date]]=0),"Y","")</f>
        <v/>
      </c>
      <c r="DQ92" s="386" t="str">
        <f>IF(SnapshotTable[[#This Row],[LC Premium]] &gt; 0,SnapshotTable[[#This Row],[LC Exp Date]]-MAX(SnapshotTable[[#This Row],[LC Book Date]], SnapshotTable[[#This Row],[LC Fill Date]]),"")</f>
        <v/>
      </c>
      <c r="DR92" s="386" t="str">
        <f>IF(ISNUMBER(SnapshotTable[[#This Row],[LC Term]]), SnapshotTable[[#This Row],[LC Exp Date]] - MockToday, "")</f>
        <v/>
      </c>
      <c r="DS92" s="234" t="str">
        <f>IF(SnapshotTable[[#This Row],[LC Premium]]&gt;0,SnapshotTable[[#This Row],[LC Strike Price]] + SnapshotTable[[#This Row],[LC Book Price]],"")</f>
        <v/>
      </c>
      <c r="DU92" s="9" t="str">
        <f>IF(AND(SnapshotTable[[#This Row],[LC Symbol Count]]&gt;0, SnapshotTable[[#This Row],[LC Contract Value]]&gt;0), SnapshotTable[[#This Row],[LC Contract Value]] * SnapshotTable[[#This Row],[LC Qty]] * 100, "")</f>
        <v/>
      </c>
      <c r="DV92" s="9" t="str">
        <f>IF(AND(ISNUMBER(SnapshotTable[[#This Row],[LC Total Value]]), SnapshotTable[[#This Row],[LC Not Filled]]&lt;&gt;"Y"), SnapshotTable[[#This Row],[LC Total Value]]-SnapshotTable[[#This Row],[LC Premium]],"")</f>
        <v/>
      </c>
      <c r="DW92" s="240" t="str">
        <f>IF(ISNUMBER(SnapshotTable[[#This Row],[LC Actual Gain Loss]]), SnapshotTable[[#This Row],[LC Actual Gain Loss]] / SnapshotTable[[#This Row],[LC Premium]],"")</f>
        <v/>
      </c>
      <c r="DX92" s="284" t="str">
        <f>IF(ISNUMBER(SnapshotTable[[#This Row],[LC Book Price]]),SnapshotTable[[#This Row],[LC Book Price]] * 1.5,"")</f>
        <v/>
      </c>
      <c r="DY92" s="265" t="str">
        <f>IF(SnapshotTable[[#This Row],[LC Premium]]&gt;0, SnapshotTable[[#This Row],[LC Next Target]] * SnapshotTable[[#This Row],[LC Qty]] * 100,"")</f>
        <v/>
      </c>
      <c r="DZ92" s="265" t="str">
        <f>IF(ISNUMBER(SnapshotTable[[#This Row],[LC Target Gross]]), SnapshotTable[[#This Row],[LC Target Gross]] - SnapshotTable[[#This Row],[LC Premium]], "")</f>
        <v/>
      </c>
      <c r="EA92" s="305" t="str">
        <f>IF(ISNUMBER(SnapshotTable[[#This Row],[LC Target Gain Loss]]), SnapshotTable[[#This Row],[LC Target Gain Loss]]/SnapshotTable[[#This Row],[LC Premium]], "")</f>
        <v/>
      </c>
      <c r="EB92" s="262"/>
      <c r="EC92" s="283" t="str">
        <f>IF(SnapshotTable[[#This Row],[LC Premium]]&gt;0, SnapshotTable[[#This Row],[LC Book Price]] * (1 - LC_StopLoss_Pct),"")</f>
        <v/>
      </c>
      <c r="ED92" s="284"/>
      <c r="EE92" s="283" t="str">
        <f>IF(ISNUMBER(SnapshotTable[[#This Row],[LC Contract Value]]),IF(ISNUMBER(SnapshotTable[[#This Row],[LC Stop Loss Override]]), SnapshotTable[[#This Row],[LC Stop Loss Override]],SnapshotTable[[#This Row],[LC Stop Loss Calc Target]]),"")</f>
        <v/>
      </c>
      <c r="EF92" s="31" t="str">
        <f>IF(ISNUMBER(SnapshotTable[[#This Row],[LC Stop  To Use]]), (SnapshotTable[[#This Row],[LC Stop  To Use]] * SnapshotTable[[#This Row],[LC Qty]] * 100),"")</f>
        <v/>
      </c>
      <c r="EG92" s="9" t="str">
        <f>IF(ISNUMBER(SnapshotTable[[#This Row],[LC Total Value]]),SnapshotTable[[#This Row],[LC Stop Loss Amount]] - SnapshotTable[[#This Row],[LC Premium]],"")</f>
        <v/>
      </c>
      <c r="EH92" s="9">
        <f>IF(ISNUMBER(SnapshotTable[[#This Row],[LC Premium]]), SnapshotTable[[#This Row],[LC Qty]] * 100 * SnapshotTable[[#This Row],[LC Strike Price]], "")</f>
        <v>0</v>
      </c>
      <c r="EI92" s="240" t="str">
        <f>IF(AND(ISNUMBER(SnapshotTable[[#This Row],[LC Total Value]]),SnapshotTable[[#This Row],[LC Total Value]]&gt;0),SnapshotTable[[#This Row],[LC Stop Gain Loss]]  / SnapshotTable[[#This Row],[LC Premium]],"")</f>
        <v/>
      </c>
      <c r="EJ92" s="35">
        <f>IF(ISNUMBER(SnapshotTable[[#This Row],[Equity Shares]]),TRUNC(SnapshotTable[[#This Row],[Equity Shares]] / 100),0) + SnapshotTable[[#This Row],[LC Qty]]</f>
        <v>0</v>
      </c>
      <c r="EK92" s="147"/>
      <c r="EL92" s="138" t="str">
        <f>IF(SnapshotTable[[#This Row],[SC Exp Date]]&lt;&gt;"",TRUNC(SnapshotTable[[#This Row],[Last Price]]),"")</f>
        <v/>
      </c>
      <c r="EM92" s="148"/>
      <c r="EN92" s="147"/>
      <c r="EO92" s="147"/>
      <c r="EP92" s="138"/>
      <c r="EQ92" s="419" t="b">
        <f>AND(ISNUMBER(SnapshotTable[[#This Row],[SC Exp Date]]), ISNUMBER(SnapshotTable[[#This Row],[SC Strike Price]]), ISNUMBER(SnapshotTable[[#This Row],[SC Qty]]), ISNUMBER(SnapshotTable[[#This Row],[SC Book Date]]), ISNUMBER(SnapshotTable[[#This Row],[SC Book Price]]))</f>
        <v>0</v>
      </c>
      <c r="ER92" s="419" t="b">
        <f>AND(SnapshotTable[[#This Row],[SC Is Booked]], NOT(ISBLANK(SnapshotTable[[#This Row],[SC Fill Date]])))</f>
        <v>0</v>
      </c>
      <c r="ES92" s="370"/>
      <c r="ET92" s="34" t="str">
        <f>IF(AND(ISNUMBER(SnapshotTable[[#This Row],[SC Exp Date]]), ISNUMBER(SnapshotTable[[#This Row],[SC Book Date]])), SnapshotTable[[#This Row],[SC Exp Date]] - MAX(SnapshotTable[[#This Row],[SC Book Date]], SnapshotTable[[#This Row],[SC Fill Date]]) + 1, "")</f>
        <v/>
      </c>
      <c r="EU92" s="34" t="str">
        <f>IF(ISNUMBER(SnapshotTable[[#This Row],[SC Term]]), SnapshotTable[[#This Row],[SC Exp Date]]- MockToday, "")</f>
        <v/>
      </c>
      <c r="EV92" s="31">
        <f>IF(SnapshotTable[[#This Row],[SC Is Booked]], SnapshotTable[[#This Row],[SC Qty]] * SnapshotTable[[#This Row],[SC Book Price]] * 100, 0)</f>
        <v>0</v>
      </c>
      <c r="EW92" s="4" t="str">
        <f>IF(AND(ISNUMBER(SnapshotTable[[#This Row],[Last Price]]), ISNUMBER( SnapshotTable[[#This Row],[SC Book Price]])), SnapshotTable[[#This Row],[Last Price]] - SnapshotTable[[#This Row],[SC Book Price]],"")</f>
        <v/>
      </c>
      <c r="EX92" s="234" t="str">
        <f>IF(SnapshotTable[[#This Row],[SC Is Booked]],IF(SnapshotTable[[#This Row],[SC Intrinsic Value]] &gt; 0, SnapshotTable[[#This Row],[SC Strike Price]], SnapshotTable[[#This Row],[Last Price]]), "")</f>
        <v/>
      </c>
      <c r="EY92" s="4">
        <f>IF(SnapshotTable[[#This Row],[SC Is Booked]], (MinimumPremiumRequired * SnapshotTable[[#This Row],[SC Basis]] * SnapshotTable[[#This Row],[SC Term]]), 0)</f>
        <v>0</v>
      </c>
      <c r="EZ92" s="283"/>
      <c r="FA92" s="218"/>
      <c r="FB92" s="370"/>
      <c r="FC92" s="4">
        <f>IF(SnapshotTable[[#This Row],[SC Is Filled]], btc_max_buyback_amount(SnapshotTable[[#This Row],[SC Fill Date]],SnapshotTable[[#This Row],[SC Exp Date]], SnapshotTable[[#This Row],[SC Book Price]]),0)</f>
        <v>0</v>
      </c>
      <c r="FD92" s="5"/>
      <c r="FE92" s="144" t="str">
        <f>IF(SnapshotTable[[#This Row],[SC Is Filled]], btc_next_cutoff_date(SnapshotTable[[#This Row],[SC Fill Date]],SnapshotTable[[#This Row],[SC Exp Date]]),"")</f>
        <v/>
      </c>
      <c r="FF92" s="4" t="str" cm="1">
        <f t="array" ref="FF92">IF(SnapshotTable[[#This Row],[SC Is Filled]], btc_should_buy_back(SnapshotTable[[#This Row],[SC Fill Date]], SnapshotTable[[#This Row],[SC Exp Date]], SnapshotTable[[#This Row],[SC Book Price]], SnapshotTable[[#This Row],[SC Current Ask]], MockToday, SnapshotTable[[#This Row],[SC Buyback Override]]),"")</f>
        <v/>
      </c>
      <c r="FG92" s="4">
        <f>IF(SnapshotTable[[#This Row],[SC Is Filled]], MAX(0,SnapshotTable[[#This Row],[Last Price]]  - SnapshotTable[[#This Row],[SC Strike Price]]), 0)</f>
        <v>0</v>
      </c>
      <c r="FH92" s="382">
        <f>IF(SnapshotTable[[#This Row],[SC Is Filled]], IF(ISNUMBER(SnapshotTable[[#This Row],[SC Current Ask]]), SnapshotTable[[#This Row],[SC Current Ask]], SnapshotTable[[#This Row],[SC Book Price]]) - SnapshotTable[[#This Row],[SC Intrinsic Value]], 0)</f>
        <v>0</v>
      </c>
      <c r="FI92" s="143"/>
      <c r="FJ92" s="32" t="str">
        <f>IF(SnapshotTable[[#This Row],[SC Is Filled]],100 * SnapshotTable[[#This Row],[SC Qty]] * IF(ISNUMBER(SnapshotTable[[#This Row],[SC Buyback Override]]), SnapshotTable[[#This Row],[SC Buyback Override]], SnapshotTable[[#This Row],[SC Current Ask]]), "")</f>
        <v/>
      </c>
      <c r="FK92" s="250" t="str">
        <f>IF(SnapshotTable[[#This Row],[SC Time Val]]&gt;0, SnapshotTable[[#This Row],[SC Time Val]] / SnapshotTable[[#This Row],[Last Price]],"")</f>
        <v/>
      </c>
      <c r="FL92" s="302" t="str">
        <f>IF(SnapshotTable[[#This Row],[SC Is Booked]], ((SnapshotTable[[#This Row],[Last Price]] -SnapshotTable[[#This Row],[SC Strike Price]]) / SnapshotTable[[#This Row],[Last Price]]) * -1, "")</f>
        <v/>
      </c>
      <c r="FM92" s="157" t="str">
        <f>IF(SnapshotTable[[#This Row],[SC Is Booked]],  (SnapshotTable[[#This Row],[SC Qty]] * 100 * SnapshotTable[[#This Row],[SC Strike Price]]) - SnapshotTable[[#This Row],[SC Current Ask]], "")</f>
        <v/>
      </c>
      <c r="FN9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2" s="31" t="str">
        <f>IF(AND(ISNUMBER(SnapshotTable[[#This Row],[SC Exercise Gross]]), ISNUMBER(SnapshotTable[[#This Row],[Equity Basis Per Share]] )), SnapshotTable[[#This Row],[SC Exercise Gross]] - SnapshotTable[[#This Row],[Equity Basis Total]] +  SnapshotTable[[#This Row],[SC Premium]], "")</f>
        <v/>
      </c>
      <c r="FP92" s="5" t="str">
        <f>IF(ISNUMBER(SnapshotTable[[#This Row],[SC Exercise Gross]]), (SnapshotTable[[#This Row],[SC Exercise Gross]]) / (SnapshotTable[[#This Row],[SC Qty]] * 100), "")</f>
        <v/>
      </c>
      <c r="FQ92" s="27" t="str">
        <f>IF(SnapshotTable[[#This Row],[SC Is Booked]],SnapshotTable[[#This Row],[SC Time Val]] /SnapshotTable[[#This Row],[SC Basis]], "")</f>
        <v/>
      </c>
      <c r="FR92" s="27" t="str" cm="1">
        <f t="array" ref="FR92">IF(AND(ISNUMBER(SnapshotTable[[#This Row],[SC Term]]),ISNUMBER(SnapshotTable[[#This Row],[SC Simple ROO]])), EllmanAnnualize(SnapshotTable[[#This Row],[SC DTE]], SnapshotTable[[#This Row],[SC Simple ROO]] ),"")</f>
        <v/>
      </c>
      <c r="FS92" s="4" t="e">
        <f>IF(SnapshotTable[[#This Row],[SC Strike Price]] &gt; SnapshotTable[[#This Row],[Last Price]], SnapshotTable[[#This Row],[SC Strike Price]] - SnapshotTable[[#This Row],[Last Price]],0)</f>
        <v>#VALUE!</v>
      </c>
      <c r="FT92" s="27" t="e">
        <f>IF(AND(ISNUMBER(SnapshotTable[[#This Row],[SC Upside Potential]]), SnapshotTable[[#This Row],[SC Upside Potential]] &gt; 0),(SnapshotTable[[#This Row],[SC Upside Potential]]/ SnapshotTable[[#This Row],[ACB]]),"")</f>
        <v>#VALUE!</v>
      </c>
      <c r="FU92" s="333" t="str">
        <f>IF(SnapshotTable[[#This Row],[SC Intrinsic Value]] &gt; 0,SnapshotTable[[#This Row],[SC Intrinsic Value]],"")</f>
        <v/>
      </c>
      <c r="FV92" s="27" t="str">
        <f>IF(AND( ISNUMBER( SnapshotTable[[#This Row],[ACB]]),ISNUMBER(SnapshotTable[[#This Row],[SC Downside Protect]])),SnapshotTable[[#This Row],[SC Downside Protect]] / SnapshotTable[[#This Row],[ACB]],"")</f>
        <v/>
      </c>
      <c r="FW92" s="236" t="str">
        <f>IF(AND(ISNUMBER(SnapshotTable[[#This Row],[SC Simple ROO]]),SnapshotTable[[#This Row],[SC Simple ROO]] &gt; 0), SnapshotTable[[#This Row],[SC Premium]] + (SnapshotTable[[#This Row],[SC Qty]] * SnapshotTable[[#This Row],[SC Upside Potential]]), "")</f>
        <v/>
      </c>
      <c r="FX92" s="302" t="str" cm="1">
        <f t="array" ref="FX92">IF(ISNUMBER(SnapshotTable[[#This Row],[SC Max Dollars]]), annualize(SnapshotTable[[#This Row],[SC Term]],(SnapshotTable[[#This Row],[SC Max Dollars]]/SnapshotTable[[#This Row],[SC Basis]])),"")</f>
        <v/>
      </c>
      <c r="FY92" s="236" t="str">
        <f>IF(AND(SnapshotTable[[#This Row],[SC Qty]]&gt;0,SnapshotTable[[#This Row],[SC Current Ask]]&gt;0), SnapshotTable[[#This Row],[SC Qty]] * SnapshotTable[[#This Row],[SC Current Ask]] * -100, "")</f>
        <v/>
      </c>
      <c r="FZ92" s="31" t="str">
        <f>IF(ISNUMBER((SnapshotTable[[#This Row],[SC Current Value]])), SnapshotTable[[#This Row],[SC Premium]] + SnapshotTable[[#This Row],[SC Current Value]], "")</f>
        <v/>
      </c>
      <c r="GA92" s="294" t="str">
        <f>IFERROR( IF(ISNUMBER((SnapshotTable[[#This Row],[SC Current Value]])), SnapshotTable[[#This Row],[SC Gain Loss]] / SnapshotTable[[#This Row],[SC Premium]], ""), "")</f>
        <v/>
      </c>
      <c r="GB92" s="42">
        <f>SnapshotTable[[#This Row],[Equity Shares]] * SaleSharesToConsiderPercentage</f>
        <v>0</v>
      </c>
      <c r="GC92" s="40">
        <f>SnapshotTable[[#This Row],[Long Term Target]] * SellingPriceToConsiderBasedOnTargetPercentage</f>
        <v>71.040999999999997</v>
      </c>
      <c r="GD92" s="40">
        <f>SnapshotTable[[#This Row],[Last Price]] * (1+ SellingPriceToConsiderBasedOnTargetPercentage)</f>
        <v>128.4855</v>
      </c>
      <c r="GE92" s="41"/>
      <c r="GF92" s="40"/>
      <c r="GG92" s="31">
        <f>SnapshotTable[[#This Row],[Booked Sale Shares]] * SnapshotTable[[#This Row],[Booked Sale Price]]</f>
        <v>0</v>
      </c>
      <c r="GH92" s="31" t="str">
        <f>IF(SnapshotTable[[#This Row],[Equity Basis Total]] &gt; 0, SnapshotTable[[#This Row],[Equity Basis Per Share]] * SnapshotTable[[#This Row],[Booked Sale Shares]], "")</f>
        <v/>
      </c>
      <c r="GI92" s="31">
        <f>IF(SnapshotTable[[#This Row],[Sale Proceeds]]&gt;0, SnapshotTable[[#This Row],[Sale Proceeds]] - SnapshotTable[[#This Row],[Sale Basis]], 0)</f>
        <v>0</v>
      </c>
      <c r="GJ92" s="27" t="str">
        <f>IF(SnapshotTable[[#This Row],[Sale G/L]]&gt;0, SnapshotTable[[#This Row],[Sale G/L]] / SnapshotTable[[#This Row],[Sale Basis]], IF(ISNUMBER(SnapshotTable[[#This Row],[SC Exercise P&amp;L (TAX)]]), SnapshotTable[[#This Row],[SC Exercise P&amp;L (TAX)]] / SnapshotTable[[#This Row],[SC Basis]], ""))</f>
        <v/>
      </c>
      <c r="GK92" s="27" t="s">
        <v>667</v>
      </c>
      <c r="GL92" s="43" t="str">
        <f>IF(AND(SnapshotTable[[#This Row],[LP Exp Date]]&gt;0,SnapshotTable[[#This Row],[LP Strike Price]]&gt;0), [1]!ToOptionSymbol(SnapshotTable[[#This Row],[Symbol]], SnapshotTable[[#This Row],[LP Strike Price]],SnapshotTable[[#This Row],[LP Exp Date]],1), "")</f>
        <v/>
      </c>
      <c r="GM92" s="30" t="str">
        <f>IF(LEN(SnapshotTable[[#This Row],[LP Symbol]])&gt;0, 1, "")</f>
        <v/>
      </c>
      <c r="GN92" s="43" t="str">
        <f>IF(AND(SnapshotTable[[#This Row],[SP Exp Date]]&gt;0,SnapshotTable[[#This Row],[SP Strike Price]]&gt;0), [1]!ToOptionSymbol(SnapshotTable[[#This Row],[Symbol]], SnapshotTable[[#This Row],[SP Strike Price]],SnapshotTable[[#This Row],[SP Exp Date]],1), "")</f>
        <v/>
      </c>
      <c r="GO92" s="30" t="str">
        <f>IF(LEN(SnapshotTable[[#This Row],[SP Symbol]])&gt;0, 1, "")</f>
        <v/>
      </c>
      <c r="GP92" s="43" t="str">
        <f>IF(AND(SnapshotTable[[#This Row],[LC Exp Date]]&gt;0,SnapshotTable[[#This Row],[LC Strike Price]]&gt;0), [1]!ToOptionSymbol(SnapshotTable[[#This Row],[Symbol]], SnapshotTable[[#This Row],[LC Strike Price]],SnapshotTable[[#This Row],[LC Exp Date]],0), "")</f>
        <v/>
      </c>
      <c r="GQ92" s="30" t="str">
        <f>IF(LEN(SnapshotTable[[#This Row],[LC Symbol]])&gt;0, 1, "")</f>
        <v/>
      </c>
      <c r="GR92" s="43" t="str">
        <f>IF(AND(SnapshotTable[[#This Row],[SC Exp Date]]&gt;0,SnapshotTable[[#This Row],[SC Strike Price]]&gt;0), [1]!ToOptionSymbol(SnapshotTable[[#This Row],[Symbol]], SnapshotTable[[#This Row],[SC Strike Price]],SnapshotTable[[#This Row],[SC Exp Date]],0), "")</f>
        <v/>
      </c>
      <c r="GS92" s="30" t="str">
        <f>IF(LEN(SnapshotTable[[#This Row],[SC Symbol]])&gt;0, 1, "")</f>
        <v/>
      </c>
      <c r="GT92" s="29" t="str">
        <f>IF(COUNT(SnapshotTable[[#This Row],[LP Symbol Count]],SnapshotTable[[#This Row],[SP Symbol Count]],SnapshotTable[[#This Row],[LC Symbol Count]],SnapshotTable[[#This Row],[SC Symbol Count]])&gt;0, "Y", "")</f>
        <v/>
      </c>
      <c r="GU9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2" s="231" t="e">
        <f>MAX(SnapshotTable[[#This Row],[Equity Basis Total]],SnapshotTable[[#This Row],[Equity Value]]) + (SnapshotTable[[#This Row],[SP Potential Spend]]- SnapshotTable[[#This Row],[SP Premium]] + SnapshotTable[[#This Row],[LP Premium]])+ (SnapshotTable[[#This Row],[LC Premium]] - SnapshotTable[[#This Row],[SC Premium]])</f>
        <v>#VALUE!</v>
      </c>
      <c r="GW92" s="139" t="e">
        <f>IF(AND(SnapshotTable[[#This Row],[Exposure]] &lt;&gt; 0),SnapshotTable[[#This Row],[Exposure]] / SnapshotTable[[#Totals],[Exposure]], "")</f>
        <v>#VALUE!</v>
      </c>
      <c r="HE92" s="268"/>
      <c r="HF92" s="268"/>
      <c r="HK92" s="1"/>
      <c r="HL92" s="1"/>
      <c r="HM92" s="1"/>
      <c r="HN92" s="1"/>
      <c r="HO92" s="1"/>
      <c r="HP92" s="1"/>
    </row>
    <row r="93" spans="2:224" ht="12.75" hidden="1" customHeight="1" x14ac:dyDescent="0.25">
      <c r="B93" s="12" t="s">
        <v>536</v>
      </c>
      <c r="C93" s="422">
        <v>10</v>
      </c>
      <c r="D93" s="208"/>
      <c r="E93" s="39">
        <f>SnapshotTable[[#This Row],[Last Price]]*(1 -CrashDiscount)</f>
        <v>8.5</v>
      </c>
      <c r="F93" s="26" t="s">
        <v>135</v>
      </c>
      <c r="G93" s="26" t="s">
        <v>20</v>
      </c>
      <c r="H93" s="149"/>
      <c r="I93" s="194">
        <v>44768.25</v>
      </c>
      <c r="J93" s="195">
        <v>44768.25</v>
      </c>
      <c r="K93" s="196"/>
      <c r="L93" s="326"/>
      <c r="M93" s="140"/>
      <c r="N93" s="140"/>
      <c r="O93" s="140"/>
      <c r="P93" s="22"/>
      <c r="Q93" s="25"/>
      <c r="R93" s="4" t="str">
        <f>IF(SnapshotTable[[#This Row],[Equity Basis Total]] &gt; 0, SnapshotTable[[#This Row],[Equity Basis Total]] / SnapshotTable[[#This Row],[Equity Shares]], "")</f>
        <v/>
      </c>
      <c r="S93" s="269">
        <f>SnapshotTable[[#This Row],[Last Price]] * SnapshotTable[[#This Row],[Equity Shares]]</f>
        <v>0</v>
      </c>
      <c r="T93" s="269">
        <f>SnapshotTable[[#This Row],[Equity Value]] - SnapshotTable[[#This Row],[Equity Basis Total]]</f>
        <v>0</v>
      </c>
      <c r="U93" s="270" t="str">
        <f>IF(SnapshotTable[[#This Row],[Equity Basis Total]] &gt; 0, SnapshotTable[[#This Row],[Equity G/L]] / SnapshotTable[[#This Row],[Equity Basis Total]], "")</f>
        <v/>
      </c>
      <c r="V93" s="268"/>
      <c r="W93" s="268"/>
      <c r="X93" s="4" t="str">
        <f>IF(AND(ISNUMBER(SnapshotTable[[#This Row],[Equity Basis Per Share]]),ISNUMBER(SnapshotTable[[#This Row],[Equity Target]])),SnapshotTable[[#This Row],[Equity Target]]-SnapshotTable[[#This Row],[Equity Basis Per Share]],"")</f>
        <v/>
      </c>
      <c r="Y93" s="4" t="str">
        <f>IF(AND(ISNUMBER(SnapshotTable[[#This Row],[Equity Basis Per Share]]),ISNUMBER(SnapshotTable[[#This Row],[Equity Stop Loss]])),SnapshotTable[[#This Row],[Equity Stop Loss]]-SnapshotTable[[#This Row],[Equity Basis Per Share]],"")</f>
        <v/>
      </c>
      <c r="Z93" s="275" t="str">
        <f>IFERROR( TEXT(SnapshotTable[[#This Row],[Equity Max Gain Per Share]] /ABS( SnapshotTable[[#This Row],[Equity Max Loss Per Share]]),"0.0 " ) &amp; " : 1", "")</f>
        <v/>
      </c>
      <c r="AA93" s="31" t="str">
        <f>IF(ISNUMBER(SnapshotTable[[#This Row],[Equity Max Gain Per Share]]),SnapshotTable[[#This Row],[Equity Max Gain Per Share]] * SnapshotTable[[#This Row],[Equity Shares]],"")</f>
        <v/>
      </c>
      <c r="AB93" s="31" t="str">
        <f>IF(ISNUMBER(SnapshotTable[[#This Row],[Equity Max Loss Per Share]]),SnapshotTable[[#This Row],[Equity Max Loss Per Share]] * SnapshotTable[[#This Row],[Equity Shares]],"")</f>
        <v/>
      </c>
      <c r="AC93" s="150"/>
      <c r="AD93" s="151"/>
      <c r="AE93" s="31">
        <f>(SnapshotTable[[#This Row],[Annual Dividend Per Share]] / 4) * SnapshotTable[[#This Row],[Equity Shares]]</f>
        <v>0</v>
      </c>
      <c r="AF93" s="31">
        <f>SnapshotTable[[#This Row],[Quarterly Div $]] * 4</f>
        <v>0</v>
      </c>
      <c r="AG93" s="7">
        <f>IF(SnapshotTable[[#This Row],[Annual Dividend Per Share]]&gt;0, SnapshotTable[[#This Row],[Annual Dividend Per Share]]  / SnapshotTable[[#This Row],[Last Price]], 0)</f>
        <v>0</v>
      </c>
      <c r="AH93" s="151"/>
      <c r="AI93" s="5"/>
      <c r="AJ93" s="138">
        <v>18</v>
      </c>
      <c r="AK93" s="152" t="str">
        <f>IF(ISNUMBER( SnapshotTable[[#This Row],[EBF Target]]),(SnapshotTable[[#This Row],[EBF Target]] - SnapshotTable[[#This Row],[Last Price]]) / SnapshotTable[[#This Row],[Last Price]], "")</f>
        <v/>
      </c>
      <c r="AL93" s="152" t="str">
        <f>IF(AND(SnapshotTable[[#This Row],[Equity Basis Total]] &gt; 0,ISNUMBER( SnapshotTable[[#This Row],[Long Term Target]])), SnapshotTable[[#This Row],[From Basis $]] / SnapshotTable[[#This Row],[Equity Basis Total]], "")</f>
        <v/>
      </c>
      <c r="AM93" s="9">
        <f>IF( AND(SnapshotTable[[#This Row],[Equity Shares]] &gt;0,ISNUMBER( SnapshotTable[[#This Row],[Long Term Target]])),(SnapshotTable[[#This Row],[Equity Shares]] * SnapshotTable[[#This Row],[Long Term Target]]) - SnapshotTable[[#This Row],[Equity Basis Total]],0)</f>
        <v>0</v>
      </c>
      <c r="AN93" s="9">
        <f>IF( AND(SnapshotTable[[#This Row],[Equity Shares]] &gt;0,ISNUMBER( SnapshotTable[[#This Row],[Long Term Target]])),(SnapshotTable[[#This Row],[Equity Shares]]*SnapshotTable[[#This Row],[Long Term Target]]) - SnapshotTable[[#This Row],[Equity Value]],0)</f>
        <v>0</v>
      </c>
      <c r="AO93" s="152">
        <f>IF(AND(ISNUMBER( SnapshotTable[[#This Row],[Long Term Target]]), ISNUMBER(SnapshotTable[[#This Row],[Last Price]])),(SnapshotTable[[#This Row],[Long Term Target]] - SnapshotTable[[#This Row],[Last Price]]) / SnapshotTable[[#This Row],[Last Price]], "")</f>
        <v>0.8</v>
      </c>
      <c r="AP93" s="5">
        <v>19.28</v>
      </c>
      <c r="AQ93" s="38" t="s">
        <v>89</v>
      </c>
      <c r="AR93" s="5">
        <v>9.25</v>
      </c>
      <c r="AS93" s="38" t="s">
        <v>32</v>
      </c>
      <c r="AT93" s="146"/>
      <c r="AU93" s="187" t="str">
        <f>IF(OR(SnapshotTable[[#This Row],[LP No Fill]]="Y",SnapshotTable[[#This Row],[SP Is Filled]],SnapshotTable[[#This Row],[LC Not Filled]]="Y",SnapshotTable[[#This Row],[SC Is Filled]]),"Y","")</f>
        <v/>
      </c>
      <c r="AV93" s="219"/>
      <c r="AW93" s="225"/>
      <c r="AX93" s="220"/>
      <c r="AY93" s="219" t="str">
        <f>IF(SnapshotTable[[#This Row],[Implied Move]]&gt;0, SnapshotTable[[#This Row],[Last Price]]-SnapshotTable[[#This Row],[Implied Move]],"")</f>
        <v/>
      </c>
      <c r="AZ93" s="219" t="str">
        <f>IF(SnapshotTable[[#This Row],[Implied Move]]&gt;0, SnapshotTable[[#This Row],[Last Price]] + SnapshotTable[[#This Row],[Implied Move]],"")</f>
        <v/>
      </c>
      <c r="BA93" s="331"/>
      <c r="BB93" s="347"/>
      <c r="BC9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3" s="351"/>
      <c r="BE93" s="5"/>
      <c r="BF93" s="14"/>
      <c r="BG93" s="13"/>
      <c r="BH93" s="13"/>
      <c r="BI93" s="5"/>
      <c r="BJ93" s="136">
        <f>IF(SnapshotTable[[#This Row],[LP Qty]] &gt; 0, SnapshotTable[[#This Row],[LP Qty]] * SnapshotTable[[#This Row],[LP Book Price]] * 100,0)</f>
        <v>0</v>
      </c>
      <c r="BK93" s="136">
        <f>IF(SnapshotTable[[#This Row],[LP Premium]] &gt; 0, SnapshotTable[[#This Row],[LP Qty]] * SnapshotTable[[#This Row],[LP Strike Price]] * 100,0)</f>
        <v>0</v>
      </c>
      <c r="BL93" s="154"/>
      <c r="BM93" s="385" t="str">
        <f>IF(SnapshotTable[[#This Row],[LP Premium]] &gt; 0,SnapshotTable[[#This Row],[LP Exp Date]]-MAX(SnapshotTable[[#This Row],[LP Book Date]], SnapshotTable[[#This Row],[LP Fill Date]]),"")</f>
        <v/>
      </c>
      <c r="BN93" s="385" t="str">
        <f>IF(ISNUMBER( SnapshotTable[[#This Row],[LP Term]]), SnapshotTable[[#This Row],[LP Exp Date]] - MockToday,"")</f>
        <v/>
      </c>
      <c r="BO93" s="163" t="str">
        <f>IF(AND(SnapshotTable[[#This Row],[LP Exp Date]]&gt;0, SnapshotTable[[#This Row],[LP Strike Price]]&gt;0,SnapshotTable[[#This Row],[LP Qty]]&gt;0,SnapshotTable[[#This Row],[LP Book Date]]&gt;0,SnapshotTable[[#This Row],[LP Book Price]]&gt;0,SnapshotTable[[#This Row],[LP Fill Date]]=0),"Y","")</f>
        <v/>
      </c>
      <c r="BP93" s="31" t="str">
        <f>IF(AND(SnapshotTable[[#This Row],[LP No Fill]]&lt;&gt;"Y",SnapshotTable[[#This Row],[LP Contract Value]]&gt;0, SnapshotTable[[#This Row],[LP Qty]]&gt;0), SnapshotTable[[#This Row],[LP Contract Value]]*SnapshotTable[[#This Row],[LP Qty]]*100,"")</f>
        <v/>
      </c>
      <c r="BQ93" s="13"/>
      <c r="BR93" s="5" t="str">
        <f>IF(SnapshotTable[[#This Row],[SP Exp Date]]&lt;&gt;"",TRUNC(SnapshotTable[[#This Row],[Last Price]]),"")</f>
        <v/>
      </c>
      <c r="BS93" s="36"/>
      <c r="BT93" s="147"/>
      <c r="BU93" s="13"/>
      <c r="BV93" s="5"/>
      <c r="BW93" s="419" t="b">
        <f>AND(ISNUMBER(SnapshotTable[[#This Row],[SP Exp Date]]), ISNUMBER(SnapshotTable[[#This Row],[SP Strike Price]]), ISNUMBER(SnapshotTable[[#This Row],[SP Qty]]), ISNUMBER(SnapshotTable[[#This Row],[SP Book Date]]), ISNUMBER(SnapshotTable[[#This Row],[SP Book Price]]))</f>
        <v>0</v>
      </c>
      <c r="BX93" s="419" t="b">
        <f>AND(SnapshotTable[[#This Row],[SP Is Booked]], NOT(ISBLANK(SnapshotTable[[#This Row],[SP Fill Date]])))</f>
        <v>0</v>
      </c>
      <c r="BY93" s="33">
        <f>IF(SnapshotTable[[#This Row],[SP Is Booked]], SnapshotTable[[#This Row],[SP Qty]] * SnapshotTable[[#This Row],[SP Book Price]] * 100, 0)</f>
        <v>0</v>
      </c>
      <c r="BZ93" s="369"/>
      <c r="CA93" s="368">
        <f>SnapshotTable[[#This Row],[LP Qty]]</f>
        <v>0</v>
      </c>
      <c r="CB93" s="4" t="str">
        <f>IF(SnapshotTable[[#This Row],[SP Is Booked]], SnapshotTable[[#This Row],[SP Strike Price]] - SnapshotTable[[#This Row],[SP Book Price]], "")</f>
        <v/>
      </c>
      <c r="CC93" s="19" t="str">
        <f>IF(SnapshotTable[[#This Row],[SP Is Booked]],SnapshotTable[[#This Row],[SP Exp Date]]-MAX(SnapshotTable[[#This Row],[SP Book Date]], SnapshotTable[[#This Row],[SP Fill Date]]),"")</f>
        <v/>
      </c>
      <c r="CD93" s="7" t="str">
        <f>IF(SnapshotTable[[#This Row],[SP Is Booked]], SnapshotTable[[#This Row],[SP Book Price]]/SnapshotTable[[#This Row],[SP Strike Price]], "")</f>
        <v/>
      </c>
      <c r="CE93" s="7" t="str">
        <f>IF(ISNUMBER(SnapshotTable[[#This Row],[SP ROO Term]]),SnapshotTable[[#This Row],[SP ROO Term]]*(365/SnapshotTable[[#This Row],[SP Term]]),"")</f>
        <v/>
      </c>
      <c r="CF93" s="236">
        <f>SnapshotTable[[#This Row],[LP Strike Price]] * SnapshotTable[[#This Row],[LP Qty]] * 100</f>
        <v>0</v>
      </c>
      <c r="CG93" s="31" t="e">
        <f>IF(ISNUMBER(SnapshotTable[[#This Row],[SP Premium]]), (SnapshotTable[[#This Row],[SP Qty]] * SnapshotTable[[#This Row],[SP Strike Price]]* 100) - SnapshotTable[[#This Row],[LP Protection]], 0)</f>
        <v>#VALUE!</v>
      </c>
      <c r="CH93" s="7" t="str">
        <f>IF(ISNUMBER(SnapshotTable[[#This Row],[SP Break Even]]),-1 * (SnapshotTable[[#This Row],[SP Break Even]] - SnapshotTable[[#This Row],[Last Price]]) / SnapshotTable[[#This Row],[Last Price]], "")</f>
        <v/>
      </c>
      <c r="CI93" s="31">
        <f>IF(AND(ISNUMBER((SnapshotTable[[#This Row],[SP Potential Spend]])), SnapshotTable[[#This Row],[SP Strike Price]] &gt; SnapshotTable[[#This Row],[Last Price]], SnapshotTable[[#This Row],[SP Is Filled]]), SnapshotTable[[#This Row],[SP Potential Spend]] -  SnapshotTable[[#This Row],[LP Max Value]], 0)</f>
        <v>0</v>
      </c>
      <c r="CJ93" s="244"/>
      <c r="CK93" s="31" t="str">
        <f>IF(ISNUMBER(SnapshotTable[[#This Row],[SP Potential Spend]]),IF(ISNUMBER(SnapshotTable[[#This Row],[SP POW]]), SnapshotTable[[#This Row],[SP POW]] * SnapshotTable[[#This Row],[SP Potential Spend]], SnapshotTable[[#This Row],[SP Potential Spend]]), "")</f>
        <v/>
      </c>
      <c r="CL93" s="164" t="e">
        <f>IF(NOT(SnapshotTable[[#This Row],[SP Is Filled]]),(SnapshotTable[[#This Row],[SP Qty]] * SnapshotTable[[#This Row],[SP Strike Price]] * 100) - SnapshotTable[[#This Row],[LP Max Value]],"")</f>
        <v>#VALUE!</v>
      </c>
      <c r="CM93" s="31" t="str">
        <f>IF(SnapshotTable[[#This Row],[SP Actual Spend]]&lt;&gt;0, ((SnapshotTable[[#This Row],[SP Strike Price]]-SnapshotTable[[#This Row],[Last Price]]) *(SnapshotTable[[#This Row],[SP Qty]]*100) - SnapshotTable[[#This Row],[SP Premium]]) * - 1, "")</f>
        <v/>
      </c>
      <c r="CN93" s="78"/>
      <c r="CO93" s="369"/>
      <c r="CP93" s="4" t="str">
        <f>IF(SnapshotTable[[#This Row],[SP Is Filled]], btc_max_buyback_amount(SnapshotTable[[#This Row],[SP Fill Date]],SnapshotTable[[#This Row],[SP Exp Date]], SnapshotTable[[#This Row],[SP Book Price]]),"")</f>
        <v/>
      </c>
      <c r="CQ93" s="78"/>
      <c r="CR9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3" s="155" t="str">
        <f>IF(SnapshotTable[[#This Row],[SP Is Filled]], btc_next_cutoff_date(SnapshotTable[[#This Row],[SP Fill Date]],SnapshotTable[[#This Row],[SP Exp Date]]),"")</f>
        <v/>
      </c>
      <c r="CT93" s="235" t="str" cm="1">
        <f t="array" ref="CT93">IF(SnapshotTable[[#This Row],[SP Is Filled]], btc_should_buy_back(SnapshotTable[[#This Row],[SP Fill Date]], SnapshotTable[[#This Row],[SP Exp Date]], SnapshotTable[[#This Row],[SP Book Price]], SnapshotTable[[#This Row],[SP Current Ask]], MockToday, SnapshotTable[[#This Row],[SP Buyback Override]]),"")</f>
        <v/>
      </c>
      <c r="CU93" s="143"/>
      <c r="CV93" s="235"/>
      <c r="CW93" s="378" t="str">
        <f>IF(ISNUMBER( SnapshotTable[[#This Row],[SP Term]]), SnapshotTable[[#This Row],[SP Exp Date]] - MockToday,"")</f>
        <v/>
      </c>
      <c r="CX93" s="31" t="str">
        <f>IF(SnapshotTable[[#This Row],[SP Is Filled]],SnapshotTable[[#This Row],[SP Buyback Price to Use]] * 100 * SnapshotTable[[#This Row],[SP Qty]], "")</f>
        <v/>
      </c>
      <c r="CY93" s="4" t="str">
        <f>IF(ISNUMBER(SnapshotTable[[#This Row],[SP Strike Price]]), SnapshotTable[[#This Row],[SP Strike Price]] * (1 - SP_MaxLoss_StrikePct), "")</f>
        <v/>
      </c>
      <c r="CZ93" s="31" t="str">
        <f>IF(ISNUMBER(SnapshotTable[[#This Row],[SP Strike  Stop Per Share]]),SnapshotTable[[#This Row],[SP Premium]] - ((SnapshotTable[[#This Row],[SP Strike Price]]-SnapshotTable[[#This Row],[SP Strike  Stop Per Share]]) *(SnapshotTable[[#This Row],[SP Qty]] * 100)),"")</f>
        <v/>
      </c>
      <c r="DA93" s="4" t="str">
        <f>IF(AND(ISNUMBER(SnapshotTable[[#This Row],[SP Premium]]),SnapshotTable[[#This Row],[SP Premium]]&gt;0), SnapshotTable[[#This Row],[SP Book Price]] * (1 + SP_MaxLoss_OptionPct), "")</f>
        <v/>
      </c>
      <c r="DB93" s="31" t="str">
        <f>IF(ISNUMBER(SnapshotTable[[#This Row],[SP Option  Stop Contract]]),(SnapshotTable[[#This Row],[SP Option  Stop Contract]] *(SnapshotTable[[#This Row],[SP Qty]] * 100) - SnapshotTable[[#This Row],[SP Premium]]),"")</f>
        <v/>
      </c>
      <c r="DC93" s="4"/>
      <c r="DD93" s="4"/>
      <c r="DE93" s="4" t="str">
        <f>IF(AND(SnapshotTable[[#This Row],[SP Qty]]&gt;0, SnapshotTable[[#This Row],[SP Stop To Use]]&gt;0),SnapshotTable[[#This Row],[SP Premium]] - ( SnapshotTable[[#This Row],[SP Qty]] * SnapshotTable[[#This Row],[SP Stop To Use]] * 100), "")</f>
        <v/>
      </c>
      <c r="DF93" s="31" t="str">
        <f>IF(AND(SnapshotTable[[#This Row],[SP Qty]]&gt;0,SnapshotTable[[#This Row],[SP Current Ask]]&gt;0), SnapshotTable[[#This Row],[SP Qty]] * SnapshotTable[[#This Row],[SP Current Ask]] * -100, "")</f>
        <v/>
      </c>
      <c r="DG93" s="31" t="str">
        <f>IF(ISNUMBER((SnapshotTable[[#This Row],[SP Total Value]])), SnapshotTable[[#This Row],[SP Premium]] + SnapshotTable[[#This Row],[SP Total Value]], "")</f>
        <v/>
      </c>
      <c r="DH93" s="294" t="str">
        <f>IF(ISNUMBER((SnapshotTable[[#This Row],[SP Total Value]])), SnapshotTable[[#This Row],[SP Gain Loss]] / SnapshotTable[[#This Row],[SP Premium]], "")</f>
        <v/>
      </c>
      <c r="DI93" s="406"/>
      <c r="DJ93" s="138"/>
      <c r="DK93" s="148"/>
      <c r="DL93" s="13"/>
      <c r="DM93" s="13"/>
      <c r="DO93" s="31">
        <f>IF(SnapshotTable[[#This Row],[LC Symbol Count]]=1, SnapshotTable[[#This Row],[LC Qty]] * SnapshotTable[[#This Row],[LC Book Price]] * 100, 0)</f>
        <v>0</v>
      </c>
      <c r="DP93" s="163" t="str">
        <f>IF(AND(SnapshotTable[[#This Row],[LC Exp Date]]&gt;0, SnapshotTable[[#This Row],[LC Strike Price]]&gt;0,SnapshotTable[[#This Row],[LC Qty]]&gt;0,SnapshotTable[[#This Row],[LC Book Date]]&gt;0,SnapshotTable[[#This Row],[LC Book Price]]&gt;0,SnapshotTable[[#This Row],[LC Fill Date]]=0),"Y","")</f>
        <v/>
      </c>
      <c r="DQ93" s="386" t="str">
        <f>IF(SnapshotTable[[#This Row],[LC Premium]] &gt; 0,SnapshotTable[[#This Row],[LC Exp Date]]-MAX(SnapshotTable[[#This Row],[LC Book Date]], SnapshotTable[[#This Row],[LC Fill Date]]),"")</f>
        <v/>
      </c>
      <c r="DR93" s="386" t="str">
        <f>IF(ISNUMBER(SnapshotTable[[#This Row],[LC Term]]), SnapshotTable[[#This Row],[LC Exp Date]] - MockToday, "")</f>
        <v/>
      </c>
      <c r="DS93" s="234" t="str">
        <f>IF(SnapshotTable[[#This Row],[LC Premium]]&gt;0,SnapshotTable[[#This Row],[LC Strike Price]] + SnapshotTable[[#This Row],[LC Book Price]],"")</f>
        <v/>
      </c>
      <c r="DU93" s="9" t="str">
        <f>IF(AND(SnapshotTable[[#This Row],[LC Symbol Count]]&gt;0, SnapshotTable[[#This Row],[LC Contract Value]]&gt;0), SnapshotTable[[#This Row],[LC Contract Value]] * SnapshotTable[[#This Row],[LC Qty]] * 100, "")</f>
        <v/>
      </c>
      <c r="DV93" s="9" t="str">
        <f>IF(AND(ISNUMBER(SnapshotTable[[#This Row],[LC Total Value]]), SnapshotTable[[#This Row],[LC Not Filled]]&lt;&gt;"Y"), SnapshotTable[[#This Row],[LC Total Value]]-SnapshotTable[[#This Row],[LC Premium]],"")</f>
        <v/>
      </c>
      <c r="DW93" s="240" t="str">
        <f>IF(ISNUMBER(SnapshotTable[[#This Row],[LC Actual Gain Loss]]), SnapshotTable[[#This Row],[LC Actual Gain Loss]] / SnapshotTable[[#This Row],[LC Premium]],"")</f>
        <v/>
      </c>
      <c r="DX93" s="284" t="str">
        <f>IF(ISNUMBER(SnapshotTable[[#This Row],[LC Book Price]]),SnapshotTable[[#This Row],[LC Book Price]] * 1.5,"")</f>
        <v/>
      </c>
      <c r="DY93" s="265" t="str">
        <f>IF(SnapshotTable[[#This Row],[LC Premium]]&gt;0, SnapshotTable[[#This Row],[LC Next Target]] * SnapshotTable[[#This Row],[LC Qty]] * 100,"")</f>
        <v/>
      </c>
      <c r="DZ93" s="265" t="str">
        <f>IF(ISNUMBER(SnapshotTable[[#This Row],[LC Target Gross]]), SnapshotTable[[#This Row],[LC Target Gross]] - SnapshotTable[[#This Row],[LC Premium]], "")</f>
        <v/>
      </c>
      <c r="EA93" s="305" t="str">
        <f>IF(ISNUMBER(SnapshotTable[[#This Row],[LC Target Gain Loss]]), SnapshotTable[[#This Row],[LC Target Gain Loss]]/SnapshotTable[[#This Row],[LC Premium]], "")</f>
        <v/>
      </c>
      <c r="EB93" s="262"/>
      <c r="EC93" s="283" t="str">
        <f>IF(SnapshotTable[[#This Row],[LC Premium]]&gt;0, SnapshotTable[[#This Row],[LC Book Price]] * (1 - LC_StopLoss_Pct),"")</f>
        <v/>
      </c>
      <c r="ED93" s="284"/>
      <c r="EE93" s="283" t="str">
        <f>IF(ISNUMBER(SnapshotTable[[#This Row],[LC Contract Value]]),IF(ISNUMBER(SnapshotTable[[#This Row],[LC Stop Loss Override]]), SnapshotTable[[#This Row],[LC Stop Loss Override]],SnapshotTable[[#This Row],[LC Stop Loss Calc Target]]),"")</f>
        <v/>
      </c>
      <c r="EF93" s="31" t="str">
        <f>IF(ISNUMBER(SnapshotTable[[#This Row],[LC Stop  To Use]]), (SnapshotTable[[#This Row],[LC Stop  To Use]] * SnapshotTable[[#This Row],[LC Qty]] * 100),"")</f>
        <v/>
      </c>
      <c r="EG93" s="9" t="str">
        <f>IF(ISNUMBER(SnapshotTable[[#This Row],[LC Total Value]]),SnapshotTable[[#This Row],[LC Stop Loss Amount]] - SnapshotTable[[#This Row],[LC Premium]],"")</f>
        <v/>
      </c>
      <c r="EH93" s="9">
        <f>IF(ISNUMBER(SnapshotTable[[#This Row],[LC Premium]]), SnapshotTable[[#This Row],[LC Qty]] * 100 * SnapshotTable[[#This Row],[LC Strike Price]], "")</f>
        <v>0</v>
      </c>
      <c r="EI93" s="240" t="str">
        <f>IF(AND(ISNUMBER(SnapshotTable[[#This Row],[LC Total Value]]),SnapshotTable[[#This Row],[LC Total Value]]&gt;0),SnapshotTable[[#This Row],[LC Stop Gain Loss]]  / SnapshotTable[[#This Row],[LC Premium]],"")</f>
        <v/>
      </c>
      <c r="EJ93" s="35">
        <f>IF(ISNUMBER(SnapshotTable[[#This Row],[Equity Shares]]),TRUNC(SnapshotTable[[#This Row],[Equity Shares]] / 100),0) + SnapshotTable[[#This Row],[LC Qty]]</f>
        <v>0</v>
      </c>
      <c r="EK93" s="147"/>
      <c r="EL93" s="138" t="str">
        <f>IF(SnapshotTable[[#This Row],[SC Exp Date]]&lt;&gt;"",TRUNC(SnapshotTable[[#This Row],[Last Price]]),"")</f>
        <v/>
      </c>
      <c r="EM93" s="148"/>
      <c r="EN93" s="147"/>
      <c r="EO93" s="147"/>
      <c r="EP93" s="138"/>
      <c r="EQ93" s="419" t="b">
        <f>AND(ISNUMBER(SnapshotTable[[#This Row],[SC Exp Date]]), ISNUMBER(SnapshotTable[[#This Row],[SC Strike Price]]), ISNUMBER(SnapshotTable[[#This Row],[SC Qty]]), ISNUMBER(SnapshotTable[[#This Row],[SC Book Date]]), ISNUMBER(SnapshotTable[[#This Row],[SC Book Price]]))</f>
        <v>0</v>
      </c>
      <c r="ER93" s="419" t="b">
        <f>AND(SnapshotTable[[#This Row],[SC Is Booked]], NOT(ISBLANK(SnapshotTable[[#This Row],[SC Fill Date]])))</f>
        <v>0</v>
      </c>
      <c r="ES93" s="370"/>
      <c r="ET93" s="34" t="str">
        <f>IF(AND(ISNUMBER(SnapshotTable[[#This Row],[SC Exp Date]]), ISNUMBER(SnapshotTable[[#This Row],[SC Book Date]])), SnapshotTable[[#This Row],[SC Exp Date]] - MAX(SnapshotTable[[#This Row],[SC Book Date]], SnapshotTable[[#This Row],[SC Fill Date]]) + 1, "")</f>
        <v/>
      </c>
      <c r="EU93" s="34" t="str">
        <f>IF(ISNUMBER(SnapshotTable[[#This Row],[SC Term]]), SnapshotTable[[#This Row],[SC Exp Date]]- MockToday, "")</f>
        <v/>
      </c>
      <c r="EV93" s="31">
        <f>IF(SnapshotTable[[#This Row],[SC Is Booked]], SnapshotTable[[#This Row],[SC Qty]] * SnapshotTable[[#This Row],[SC Book Price]] * 100, 0)</f>
        <v>0</v>
      </c>
      <c r="EW93" s="4" t="str">
        <f>IF(AND(ISNUMBER(SnapshotTable[[#This Row],[Last Price]]), ISNUMBER( SnapshotTable[[#This Row],[SC Book Price]])), SnapshotTable[[#This Row],[Last Price]] - SnapshotTable[[#This Row],[SC Book Price]],"")</f>
        <v/>
      </c>
      <c r="EX93" s="234" t="str">
        <f>IF(SnapshotTable[[#This Row],[SC Is Booked]],IF(SnapshotTable[[#This Row],[SC Intrinsic Value]] &gt; 0, SnapshotTable[[#This Row],[SC Strike Price]], SnapshotTable[[#This Row],[Last Price]]), "")</f>
        <v/>
      </c>
      <c r="EY93" s="4">
        <f>IF(SnapshotTable[[#This Row],[SC Is Booked]], (MinimumPremiumRequired * SnapshotTable[[#This Row],[SC Basis]] * SnapshotTable[[#This Row],[SC Term]]), 0)</f>
        <v>0</v>
      </c>
      <c r="EZ93" s="283"/>
      <c r="FA93" s="218"/>
      <c r="FB93" s="370"/>
      <c r="FC93" s="4">
        <f>IF(SnapshotTable[[#This Row],[SC Is Filled]], btc_max_buyback_amount(SnapshotTable[[#This Row],[SC Fill Date]],SnapshotTable[[#This Row],[SC Exp Date]], SnapshotTable[[#This Row],[SC Book Price]]),0)</f>
        <v>0</v>
      </c>
      <c r="FD93" s="5"/>
      <c r="FE93" s="144" t="str">
        <f>IF(SnapshotTable[[#This Row],[SC Is Filled]], btc_next_cutoff_date(SnapshotTable[[#This Row],[SC Fill Date]],SnapshotTable[[#This Row],[SC Exp Date]]),"")</f>
        <v/>
      </c>
      <c r="FF93" s="4" t="str" cm="1">
        <f t="array" ref="FF93">IF(SnapshotTable[[#This Row],[SC Is Filled]], btc_should_buy_back(SnapshotTable[[#This Row],[SC Fill Date]], SnapshotTable[[#This Row],[SC Exp Date]], SnapshotTable[[#This Row],[SC Book Price]], SnapshotTable[[#This Row],[SC Current Ask]], MockToday, SnapshotTable[[#This Row],[SC Buyback Override]]),"")</f>
        <v/>
      </c>
      <c r="FG93" s="4">
        <f>IF(SnapshotTable[[#This Row],[SC Is Filled]], MAX(0,SnapshotTable[[#This Row],[Last Price]]  - SnapshotTable[[#This Row],[SC Strike Price]]), 0)</f>
        <v>0</v>
      </c>
      <c r="FH93" s="382">
        <f>IF(SnapshotTable[[#This Row],[SC Is Filled]], IF(ISNUMBER(SnapshotTable[[#This Row],[SC Current Ask]]), SnapshotTable[[#This Row],[SC Current Ask]], SnapshotTable[[#This Row],[SC Book Price]]) - SnapshotTable[[#This Row],[SC Intrinsic Value]], 0)</f>
        <v>0</v>
      </c>
      <c r="FI93" s="143"/>
      <c r="FJ93" s="32" t="str">
        <f>IF(SnapshotTable[[#This Row],[SC Is Filled]],100 * SnapshotTable[[#This Row],[SC Qty]] * IF(ISNUMBER(SnapshotTable[[#This Row],[SC Buyback Override]]), SnapshotTable[[#This Row],[SC Buyback Override]], SnapshotTable[[#This Row],[SC Current Ask]]), "")</f>
        <v/>
      </c>
      <c r="FK93" s="250" t="str">
        <f>IF(SnapshotTable[[#This Row],[SC Time Val]]&gt;0, SnapshotTable[[#This Row],[SC Time Val]] / SnapshotTable[[#This Row],[Last Price]],"")</f>
        <v/>
      </c>
      <c r="FL93" s="302" t="str">
        <f>IF(SnapshotTable[[#This Row],[SC Is Booked]], ((SnapshotTable[[#This Row],[Last Price]] -SnapshotTable[[#This Row],[SC Strike Price]]) / SnapshotTable[[#This Row],[Last Price]]) * -1, "")</f>
        <v/>
      </c>
      <c r="FM93" s="157" t="str">
        <f>IF(SnapshotTable[[#This Row],[SC Is Booked]],  (SnapshotTable[[#This Row],[SC Qty]] * 100 * SnapshotTable[[#This Row],[SC Strike Price]]) - SnapshotTable[[#This Row],[SC Current Ask]], "")</f>
        <v/>
      </c>
      <c r="FN9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3" s="31" t="str">
        <f>IF(AND(ISNUMBER(SnapshotTable[[#This Row],[SC Exercise Gross]]), ISNUMBER(SnapshotTable[[#This Row],[Equity Basis Per Share]] )), SnapshotTable[[#This Row],[SC Exercise Gross]] - SnapshotTable[[#This Row],[Equity Basis Total]] +  SnapshotTable[[#This Row],[SC Premium]], "")</f>
        <v/>
      </c>
      <c r="FP93" s="5" t="str">
        <f>IF(ISNUMBER(SnapshotTable[[#This Row],[SC Exercise Gross]]), (SnapshotTable[[#This Row],[SC Exercise Gross]]) / (SnapshotTable[[#This Row],[SC Qty]] * 100), "")</f>
        <v/>
      </c>
      <c r="FQ93" s="27" t="str">
        <f>IF(SnapshotTable[[#This Row],[SC Is Booked]],SnapshotTable[[#This Row],[SC Time Val]] /SnapshotTable[[#This Row],[SC Basis]], "")</f>
        <v/>
      </c>
      <c r="FR93" s="27" t="str" cm="1">
        <f t="array" ref="FR93">IF(AND(ISNUMBER(SnapshotTable[[#This Row],[SC Term]]),ISNUMBER(SnapshotTable[[#This Row],[SC Simple ROO]])), EllmanAnnualize(SnapshotTable[[#This Row],[SC DTE]], SnapshotTable[[#This Row],[SC Simple ROO]] ),"")</f>
        <v/>
      </c>
      <c r="FS93" s="4" t="e">
        <f>IF(SnapshotTable[[#This Row],[SC Strike Price]] &gt; SnapshotTable[[#This Row],[Last Price]], SnapshotTable[[#This Row],[SC Strike Price]] - SnapshotTable[[#This Row],[Last Price]],0)</f>
        <v>#VALUE!</v>
      </c>
      <c r="FT93" s="27" t="e">
        <f>IF(AND(ISNUMBER(SnapshotTable[[#This Row],[SC Upside Potential]]), SnapshotTable[[#This Row],[SC Upside Potential]] &gt; 0),(SnapshotTable[[#This Row],[SC Upside Potential]]/ SnapshotTable[[#This Row],[ACB]]),"")</f>
        <v>#VALUE!</v>
      </c>
      <c r="FU93" s="333" t="str">
        <f>IF(SnapshotTable[[#This Row],[SC Intrinsic Value]] &gt; 0,SnapshotTable[[#This Row],[SC Intrinsic Value]],"")</f>
        <v/>
      </c>
      <c r="FV93" s="27" t="str">
        <f>IF(AND( ISNUMBER( SnapshotTable[[#This Row],[ACB]]),ISNUMBER(SnapshotTable[[#This Row],[SC Downside Protect]])),SnapshotTable[[#This Row],[SC Downside Protect]] / SnapshotTable[[#This Row],[ACB]],"")</f>
        <v/>
      </c>
      <c r="FW93" s="236" t="str">
        <f>IF(AND(ISNUMBER(SnapshotTable[[#This Row],[SC Simple ROO]]),SnapshotTable[[#This Row],[SC Simple ROO]] &gt; 0), SnapshotTable[[#This Row],[SC Premium]] + (SnapshotTable[[#This Row],[SC Qty]] * SnapshotTable[[#This Row],[SC Upside Potential]]), "")</f>
        <v/>
      </c>
      <c r="FX93" s="302" t="str" cm="1">
        <f t="array" ref="FX93">IF(ISNUMBER(SnapshotTable[[#This Row],[SC Max Dollars]]), annualize(SnapshotTable[[#This Row],[SC Term]],(SnapshotTable[[#This Row],[SC Max Dollars]]/SnapshotTable[[#This Row],[SC Basis]])),"")</f>
        <v/>
      </c>
      <c r="FY93" s="236" t="str">
        <f>IF(AND(SnapshotTable[[#This Row],[SC Qty]]&gt;0,SnapshotTable[[#This Row],[SC Current Ask]]&gt;0), SnapshotTable[[#This Row],[SC Qty]] * SnapshotTable[[#This Row],[SC Current Ask]] * -100, "")</f>
        <v/>
      </c>
      <c r="FZ93" s="31" t="str">
        <f>IF(ISNUMBER((SnapshotTable[[#This Row],[SC Current Value]])), SnapshotTable[[#This Row],[SC Premium]] + SnapshotTable[[#This Row],[SC Current Value]], "")</f>
        <v/>
      </c>
      <c r="GA93" s="294" t="str">
        <f>IFERROR( IF(ISNUMBER((SnapshotTable[[#This Row],[SC Current Value]])), SnapshotTable[[#This Row],[SC Gain Loss]] / SnapshotTable[[#This Row],[SC Premium]], ""), "")</f>
        <v/>
      </c>
      <c r="GB93" s="42">
        <f>SnapshotTable[[#This Row],[Equity Shares]] * SaleSharesToConsiderPercentage</f>
        <v>0</v>
      </c>
      <c r="GC93" s="40">
        <f>SnapshotTable[[#This Row],[Long Term Target]] * SellingPriceToConsiderBasedOnTargetPercentage</f>
        <v>17.099999999999998</v>
      </c>
      <c r="GD93" s="40">
        <f>SnapshotTable[[#This Row],[Last Price]] * (1+ SellingPriceToConsiderBasedOnTargetPercentage)</f>
        <v>19.5</v>
      </c>
      <c r="GE93" s="41"/>
      <c r="GF93" s="40"/>
      <c r="GG93" s="31">
        <f>SnapshotTable[[#This Row],[Booked Sale Shares]] * SnapshotTable[[#This Row],[Booked Sale Price]]</f>
        <v>0</v>
      </c>
      <c r="GH93" s="31" t="str">
        <f>IF(SnapshotTable[[#This Row],[Equity Basis Total]] &gt; 0, SnapshotTable[[#This Row],[Equity Basis Per Share]] * SnapshotTable[[#This Row],[Booked Sale Shares]], "")</f>
        <v/>
      </c>
      <c r="GI93" s="31">
        <f>IF(SnapshotTable[[#This Row],[Sale Proceeds]]&gt;0, SnapshotTable[[#This Row],[Sale Proceeds]] - SnapshotTable[[#This Row],[Sale Basis]], 0)</f>
        <v>0</v>
      </c>
      <c r="GJ93" s="27" t="str">
        <f>IF(SnapshotTable[[#This Row],[Sale G/L]]&gt;0, SnapshotTable[[#This Row],[Sale G/L]] / SnapshotTable[[#This Row],[Sale Basis]], IF(ISNUMBER(SnapshotTable[[#This Row],[SC Exercise P&amp;L (TAX)]]), SnapshotTable[[#This Row],[SC Exercise P&amp;L (TAX)]] / SnapshotTable[[#This Row],[SC Basis]], ""))</f>
        <v/>
      </c>
      <c r="GK93" s="27" t="s">
        <v>668</v>
      </c>
      <c r="GL93" s="43" t="str">
        <f>IF(AND(SnapshotTable[[#This Row],[LP Exp Date]]&gt;0,SnapshotTable[[#This Row],[LP Strike Price]]&gt;0), [1]!ToOptionSymbol(SnapshotTable[[#This Row],[Symbol]], SnapshotTable[[#This Row],[LP Strike Price]],SnapshotTable[[#This Row],[LP Exp Date]],1), "")</f>
        <v/>
      </c>
      <c r="GM93" s="30" t="str">
        <f>IF(LEN(SnapshotTable[[#This Row],[LP Symbol]])&gt;0, 1, "")</f>
        <v/>
      </c>
      <c r="GN93" s="43" t="str">
        <f>IF(AND(SnapshotTable[[#This Row],[SP Exp Date]]&gt;0,SnapshotTable[[#This Row],[SP Strike Price]]&gt;0), [1]!ToOptionSymbol(SnapshotTable[[#This Row],[Symbol]], SnapshotTable[[#This Row],[SP Strike Price]],SnapshotTable[[#This Row],[SP Exp Date]],1), "")</f>
        <v/>
      </c>
      <c r="GO93" s="30" t="str">
        <f>IF(LEN(SnapshotTable[[#This Row],[SP Symbol]])&gt;0, 1, "")</f>
        <v/>
      </c>
      <c r="GP93" s="43" t="str">
        <f>IF(AND(SnapshotTable[[#This Row],[LC Exp Date]]&gt;0,SnapshotTable[[#This Row],[LC Strike Price]]&gt;0), [1]!ToOptionSymbol(SnapshotTable[[#This Row],[Symbol]], SnapshotTable[[#This Row],[LC Strike Price]],SnapshotTable[[#This Row],[LC Exp Date]],0), "")</f>
        <v/>
      </c>
      <c r="GQ93" s="30" t="str">
        <f>IF(LEN(SnapshotTable[[#This Row],[LC Symbol]])&gt;0, 1, "")</f>
        <v/>
      </c>
      <c r="GR93" s="43" t="str">
        <f>IF(AND(SnapshotTable[[#This Row],[SC Exp Date]]&gt;0,SnapshotTable[[#This Row],[SC Strike Price]]&gt;0), [1]!ToOptionSymbol(SnapshotTable[[#This Row],[Symbol]], SnapshotTable[[#This Row],[SC Strike Price]],SnapshotTable[[#This Row],[SC Exp Date]],0), "")</f>
        <v/>
      </c>
      <c r="GS93" s="30" t="str">
        <f>IF(LEN(SnapshotTable[[#This Row],[SC Symbol]])&gt;0, 1, "")</f>
        <v/>
      </c>
      <c r="GT93" s="29" t="str">
        <f>IF(COUNT(SnapshotTable[[#This Row],[LP Symbol Count]],SnapshotTable[[#This Row],[SP Symbol Count]],SnapshotTable[[#This Row],[LC Symbol Count]],SnapshotTable[[#This Row],[SC Symbol Count]])&gt;0, "Y", "")</f>
        <v/>
      </c>
      <c r="GU9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3" s="231" t="e">
        <f>MAX(SnapshotTable[[#This Row],[Equity Basis Total]],SnapshotTable[[#This Row],[Equity Value]]) + (SnapshotTable[[#This Row],[SP Potential Spend]]- SnapshotTable[[#This Row],[SP Premium]] + SnapshotTable[[#This Row],[LP Premium]])+ (SnapshotTable[[#This Row],[LC Premium]] - SnapshotTable[[#This Row],[SC Premium]])</f>
        <v>#VALUE!</v>
      </c>
      <c r="GW93" s="139" t="e">
        <f>IF(AND(SnapshotTable[[#This Row],[Exposure]] &lt;&gt; 0),SnapshotTable[[#This Row],[Exposure]] / SnapshotTable[[#Totals],[Exposure]], "")</f>
        <v>#VALUE!</v>
      </c>
      <c r="HE93" s="268"/>
      <c r="HF93" s="268"/>
      <c r="HK93" s="1"/>
      <c r="HL93" s="1"/>
      <c r="HM93" s="1"/>
      <c r="HN93" s="1"/>
      <c r="HO93" s="1"/>
      <c r="HP93" s="1"/>
    </row>
    <row r="94" spans="2:224" s="47" customFormat="1" ht="12.75" hidden="1" customHeight="1" x14ac:dyDescent="0.25">
      <c r="B94" s="12" t="s">
        <v>603</v>
      </c>
      <c r="C94" s="422">
        <v>2.2799999999999998</v>
      </c>
      <c r="D94" s="208" t="s">
        <v>578</v>
      </c>
      <c r="E94" s="39">
        <f>SnapshotTable[[#This Row],[Last Price]]*(1 -CrashDiscount)</f>
        <v>1.9379999999999997</v>
      </c>
      <c r="F94" s="26" t="s">
        <v>604</v>
      </c>
      <c r="G94" s="26" t="s">
        <v>49</v>
      </c>
      <c r="H94" s="149"/>
      <c r="I94" s="194">
        <v>44784.666666666664</v>
      </c>
      <c r="J94" s="195">
        <v>44784.666666666664</v>
      </c>
      <c r="K94" s="196"/>
      <c r="L94" s="326"/>
      <c r="M94" s="140"/>
      <c r="N94" s="140"/>
      <c r="O94" s="140"/>
      <c r="P94" s="22"/>
      <c r="Q94" s="25"/>
      <c r="R94" s="4" t="str">
        <f>IF(SnapshotTable[[#This Row],[Equity Basis Total]] &gt; 0, SnapshotTable[[#This Row],[Equity Basis Total]] / SnapshotTable[[#This Row],[Equity Shares]], "")</f>
        <v/>
      </c>
      <c r="S94" s="269">
        <f>SnapshotTable[[#This Row],[Last Price]] * SnapshotTable[[#This Row],[Equity Shares]]</f>
        <v>0</v>
      </c>
      <c r="T94" s="269">
        <f>SnapshotTable[[#This Row],[Equity Value]] - SnapshotTable[[#This Row],[Equity Basis Total]]</f>
        <v>0</v>
      </c>
      <c r="U94" s="270" t="str">
        <f>IF(SnapshotTable[[#This Row],[Equity Basis Total]] &gt; 0, SnapshotTable[[#This Row],[Equity G/L]] / SnapshotTable[[#This Row],[Equity Basis Total]], "")</f>
        <v/>
      </c>
      <c r="V94" s="268"/>
      <c r="W94" s="268"/>
      <c r="X94" s="4" t="str">
        <f>IF(AND(ISNUMBER(SnapshotTable[[#This Row],[Equity Basis Per Share]]),ISNUMBER(SnapshotTable[[#This Row],[Equity Target]])),SnapshotTable[[#This Row],[Equity Target]]-SnapshotTable[[#This Row],[Equity Basis Per Share]],"")</f>
        <v/>
      </c>
      <c r="Y94" s="4" t="str">
        <f>IF(AND(ISNUMBER(SnapshotTable[[#This Row],[Equity Basis Per Share]]),ISNUMBER(SnapshotTable[[#This Row],[Equity Stop Loss]])),SnapshotTable[[#This Row],[Equity Stop Loss]]-SnapshotTable[[#This Row],[Equity Basis Per Share]],"")</f>
        <v/>
      </c>
      <c r="Z94" s="275" t="str">
        <f>IFERROR( TEXT(SnapshotTable[[#This Row],[Equity Max Gain Per Share]] /ABS( SnapshotTable[[#This Row],[Equity Max Loss Per Share]]),"0.0 " ) &amp; " : 1", "")</f>
        <v/>
      </c>
      <c r="AA94" s="31" t="str">
        <f>IF(ISNUMBER(SnapshotTable[[#This Row],[Equity Max Gain Per Share]]),SnapshotTable[[#This Row],[Equity Max Gain Per Share]] * SnapshotTable[[#This Row],[Equity Shares]],"")</f>
        <v/>
      </c>
      <c r="AB94" s="31" t="str">
        <f>IF(ISNUMBER(SnapshotTable[[#This Row],[Equity Max Loss Per Share]]),SnapshotTable[[#This Row],[Equity Max Loss Per Share]] * SnapshotTable[[#This Row],[Equity Shares]],"")</f>
        <v/>
      </c>
      <c r="AC94" s="150"/>
      <c r="AD94" s="151"/>
      <c r="AE94" s="31">
        <f>(SnapshotTable[[#This Row],[Annual Dividend Per Share]] / 4) * SnapshotTable[[#This Row],[Equity Shares]]</f>
        <v>0</v>
      </c>
      <c r="AF94" s="31">
        <f>SnapshotTable[[#This Row],[Quarterly Div $]] * 4</f>
        <v>0</v>
      </c>
      <c r="AG94" s="7">
        <f>IF(SnapshotTable[[#This Row],[Annual Dividend Per Share]]&gt;0, SnapshotTable[[#This Row],[Annual Dividend Per Share]]  / SnapshotTable[[#This Row],[Last Price]], 0)</f>
        <v>0</v>
      </c>
      <c r="AH94" s="151"/>
      <c r="AI94" s="5"/>
      <c r="AJ94" s="138"/>
      <c r="AK94" s="152" t="str">
        <f>IF(ISNUMBER( SnapshotTable[[#This Row],[EBF Target]]),(SnapshotTable[[#This Row],[EBF Target]] - SnapshotTable[[#This Row],[Last Price]]) / SnapshotTable[[#This Row],[Last Price]], "")</f>
        <v/>
      </c>
      <c r="AL94" s="152" t="str">
        <f>IF(AND(SnapshotTable[[#This Row],[Equity Basis Total]] &gt; 0,ISNUMBER( SnapshotTable[[#This Row],[Long Term Target]])), SnapshotTable[[#This Row],[From Basis $]] / SnapshotTable[[#This Row],[Equity Basis Total]], "")</f>
        <v/>
      </c>
      <c r="AM94" s="9">
        <f>IF( AND(SnapshotTable[[#This Row],[Equity Shares]] &gt;0,ISNUMBER( SnapshotTable[[#This Row],[Long Term Target]])),(SnapshotTable[[#This Row],[Equity Shares]] * SnapshotTable[[#This Row],[Long Term Target]]) - SnapshotTable[[#This Row],[Equity Basis Total]],0)</f>
        <v>0</v>
      </c>
      <c r="AN94" s="9">
        <f>IF( AND(SnapshotTable[[#This Row],[Equity Shares]] &gt;0,ISNUMBER( SnapshotTable[[#This Row],[Long Term Target]])),(SnapshotTable[[#This Row],[Equity Shares]]*SnapshotTable[[#This Row],[Long Term Target]]) - SnapshotTable[[#This Row],[Equity Value]],0)</f>
        <v>0</v>
      </c>
      <c r="AO94" s="152" t="str">
        <f>IF(AND(ISNUMBER( SnapshotTable[[#This Row],[Long Term Target]]), ISNUMBER(SnapshotTable[[#This Row],[Last Price]])),(SnapshotTable[[#This Row],[Long Term Target]] - SnapshotTable[[#This Row],[Last Price]]) / SnapshotTable[[#This Row],[Last Price]], "")</f>
        <v/>
      </c>
      <c r="AP94" s="5"/>
      <c r="AQ94" s="38"/>
      <c r="AR94" s="5"/>
      <c r="AS94" s="38"/>
      <c r="AT94" s="146"/>
      <c r="AU94" s="187" t="str">
        <f>IF(OR(SnapshotTable[[#This Row],[LP No Fill]]="Y",SnapshotTable[[#This Row],[SP Is Filled]],SnapshotTable[[#This Row],[LC Not Filled]]="Y",SnapshotTable[[#This Row],[SC Is Filled]]),"Y","")</f>
        <v/>
      </c>
      <c r="AV94" s="219"/>
      <c r="AW94" s="225"/>
      <c r="AX94" s="220"/>
      <c r="AY94" s="219" t="str">
        <f>IF(SnapshotTable[[#This Row],[Implied Move]]&gt;0, SnapshotTable[[#This Row],[Last Price]]-SnapshotTable[[#This Row],[Implied Move]],"")</f>
        <v/>
      </c>
      <c r="AZ94" s="219" t="str">
        <f>IF(SnapshotTable[[#This Row],[Implied Move]]&gt;0, SnapshotTable[[#This Row],[Last Price]] + SnapshotTable[[#This Row],[Implied Move]],"")</f>
        <v/>
      </c>
      <c r="BA94" s="331"/>
      <c r="BB94" s="347"/>
      <c r="BC9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4" s="351"/>
      <c r="BE94" s="138"/>
      <c r="BF94" s="166"/>
      <c r="BG94" s="167"/>
      <c r="BH94" s="167"/>
      <c r="BI94" s="221"/>
      <c r="BJ94" s="153">
        <f>IF(SnapshotTable[[#This Row],[LP Qty]] &gt; 0, SnapshotTable[[#This Row],[LP Qty]] * SnapshotTable[[#This Row],[LP Book Price]] * 100,0)</f>
        <v>0</v>
      </c>
      <c r="BK94" s="136">
        <f>IF(SnapshotTable[[#This Row],[LP Premium]] &gt; 0, SnapshotTable[[#This Row],[LP Qty]] * SnapshotTable[[#This Row],[LP Strike Price]] * 100,0)</f>
        <v>0</v>
      </c>
      <c r="BL94" s="154"/>
      <c r="BM94" s="385" t="str">
        <f>IF(SnapshotTable[[#This Row],[LP Premium]] &gt; 0,SnapshotTable[[#This Row],[LP Exp Date]]-MAX(SnapshotTable[[#This Row],[LP Book Date]], SnapshotTable[[#This Row],[LP Fill Date]]),"")</f>
        <v/>
      </c>
      <c r="BN94" s="385" t="str">
        <f>IF(ISNUMBER( SnapshotTable[[#This Row],[LP Term]]), SnapshotTable[[#This Row],[LP Exp Date]] - MockToday,"")</f>
        <v/>
      </c>
      <c r="BO94" s="163" t="str">
        <f>IF(AND(SnapshotTable[[#This Row],[LP Exp Date]]&gt;0, SnapshotTable[[#This Row],[LP Strike Price]]&gt;0,SnapshotTable[[#This Row],[LP Qty]]&gt;0,SnapshotTable[[#This Row],[LP Book Date]]&gt;0,SnapshotTable[[#This Row],[LP Book Price]]&gt;0,SnapshotTable[[#This Row],[LP Fill Date]]=0),"Y","")</f>
        <v/>
      </c>
      <c r="BP94" s="31" t="str">
        <f>IF(AND(SnapshotTable[[#This Row],[LP No Fill]]&lt;&gt;"Y",SnapshotTable[[#This Row],[LP Contract Value]]&gt;0, SnapshotTable[[#This Row],[LP Qty]]&gt;0), SnapshotTable[[#This Row],[LP Contract Value]]*SnapshotTable[[#This Row],[LP Qty]]*100,"")</f>
        <v/>
      </c>
      <c r="BQ94" s="13"/>
      <c r="BR94" s="5" t="str">
        <f>IF(SnapshotTable[[#This Row],[SP Exp Date]]&lt;&gt;"",TRUNC(SnapshotTable[[#This Row],[Last Price]]),"")</f>
        <v/>
      </c>
      <c r="BS94" s="36"/>
      <c r="BT94" s="147"/>
      <c r="BU94" s="13"/>
      <c r="BV94" s="5"/>
      <c r="BW94" s="419" t="b">
        <f>AND(ISNUMBER(SnapshotTable[[#This Row],[SP Exp Date]]), ISNUMBER(SnapshotTable[[#This Row],[SP Strike Price]]), ISNUMBER(SnapshotTable[[#This Row],[SP Qty]]), ISNUMBER(SnapshotTable[[#This Row],[SP Book Date]]), ISNUMBER(SnapshotTable[[#This Row],[SP Book Price]]))</f>
        <v>0</v>
      </c>
      <c r="BX94" s="419" t="b">
        <f>AND(SnapshotTable[[#This Row],[SP Is Booked]], NOT(ISBLANK(SnapshotTable[[#This Row],[SP Fill Date]])))</f>
        <v>0</v>
      </c>
      <c r="BY94" s="33">
        <f>IF(SnapshotTable[[#This Row],[SP Is Booked]], SnapshotTable[[#This Row],[SP Qty]] * SnapshotTable[[#This Row],[SP Book Price]] * 100, 0)</f>
        <v>0</v>
      </c>
      <c r="BZ94" s="369"/>
      <c r="CA94" s="368">
        <f>SnapshotTable[[#This Row],[LP Qty]]</f>
        <v>0</v>
      </c>
      <c r="CB94" s="4" t="str">
        <f>IF(SnapshotTable[[#This Row],[SP Is Booked]], SnapshotTable[[#This Row],[SP Strike Price]] - SnapshotTable[[#This Row],[SP Book Price]], "")</f>
        <v/>
      </c>
      <c r="CC94" s="19" t="str">
        <f>IF(SnapshotTable[[#This Row],[SP Is Booked]],SnapshotTable[[#This Row],[SP Exp Date]]-MAX(SnapshotTable[[#This Row],[SP Book Date]], SnapshotTable[[#This Row],[SP Fill Date]]),"")</f>
        <v/>
      </c>
      <c r="CD94" s="7" t="str">
        <f>IF(SnapshotTable[[#This Row],[SP Is Booked]], SnapshotTable[[#This Row],[SP Book Price]]/SnapshotTable[[#This Row],[SP Strike Price]], "")</f>
        <v/>
      </c>
      <c r="CE94" s="7" t="str">
        <f>IF(ISNUMBER(SnapshotTable[[#This Row],[SP ROO Term]]),SnapshotTable[[#This Row],[SP ROO Term]]*(365/SnapshotTable[[#This Row],[SP Term]]),"")</f>
        <v/>
      </c>
      <c r="CF94" s="236">
        <f>SnapshotTable[[#This Row],[LP Strike Price]] * SnapshotTable[[#This Row],[LP Qty]] * 100</f>
        <v>0</v>
      </c>
      <c r="CG94" s="31" t="e">
        <f>IF(ISNUMBER(SnapshotTable[[#This Row],[SP Premium]]), (SnapshotTable[[#This Row],[SP Qty]] * SnapshotTable[[#This Row],[SP Strike Price]]* 100) - SnapshotTable[[#This Row],[LP Protection]], 0)</f>
        <v>#VALUE!</v>
      </c>
      <c r="CH94" s="7" t="str">
        <f>IF(ISNUMBER(SnapshotTable[[#This Row],[SP Break Even]]),-1 * (SnapshotTable[[#This Row],[SP Break Even]] - SnapshotTable[[#This Row],[Last Price]]) / SnapshotTable[[#This Row],[Last Price]], "")</f>
        <v/>
      </c>
      <c r="CI94" s="31">
        <f>IF(AND(ISNUMBER((SnapshotTable[[#This Row],[SP Potential Spend]])), SnapshotTable[[#This Row],[SP Strike Price]] &gt; SnapshotTable[[#This Row],[Last Price]], SnapshotTable[[#This Row],[SP Is Filled]]), SnapshotTable[[#This Row],[SP Potential Spend]] -  SnapshotTable[[#This Row],[LP Max Value]], 0)</f>
        <v>0</v>
      </c>
      <c r="CJ94" s="244"/>
      <c r="CK94" s="31" t="str">
        <f>IF(ISNUMBER(SnapshotTable[[#This Row],[SP Potential Spend]]),IF(ISNUMBER(SnapshotTable[[#This Row],[SP POW]]), SnapshotTable[[#This Row],[SP POW]] * SnapshotTable[[#This Row],[SP Potential Spend]], SnapshotTable[[#This Row],[SP Potential Spend]]), "")</f>
        <v/>
      </c>
      <c r="CL94" s="164" t="e">
        <f>IF(NOT(SnapshotTable[[#This Row],[SP Is Filled]]),(SnapshotTable[[#This Row],[SP Qty]] * SnapshotTable[[#This Row],[SP Strike Price]] * 100) - SnapshotTable[[#This Row],[LP Max Value]],"")</f>
        <v>#VALUE!</v>
      </c>
      <c r="CM94" s="31" t="str">
        <f>IF(SnapshotTable[[#This Row],[SP Actual Spend]]&lt;&gt;0, ((SnapshotTable[[#This Row],[SP Strike Price]]-SnapshotTable[[#This Row],[Last Price]]) *(SnapshotTable[[#This Row],[SP Qty]]*100) - SnapshotTable[[#This Row],[SP Premium]]) * - 1, "")</f>
        <v/>
      </c>
      <c r="CN94" s="154"/>
      <c r="CO94" s="369"/>
      <c r="CP94" s="4" t="str">
        <f>IF(SnapshotTable[[#This Row],[SP Is Filled]], btc_max_buyback_amount(SnapshotTable[[#This Row],[SP Fill Date]],SnapshotTable[[#This Row],[SP Exp Date]], SnapshotTable[[#This Row],[SP Book Price]]),"")</f>
        <v/>
      </c>
      <c r="CQ94" s="78"/>
      <c r="CR9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4" s="155" t="str">
        <f>IF(SnapshotTable[[#This Row],[SP Is Filled]], btc_next_cutoff_date(SnapshotTable[[#This Row],[SP Fill Date]],SnapshotTable[[#This Row],[SP Exp Date]]),"")</f>
        <v/>
      </c>
      <c r="CT94" s="235" t="str" cm="1">
        <f t="array" ref="CT94">IF(SnapshotTable[[#This Row],[SP Is Filled]], btc_should_buy_back(SnapshotTable[[#This Row],[SP Fill Date]], SnapshotTable[[#This Row],[SP Exp Date]], SnapshotTable[[#This Row],[SP Book Price]], SnapshotTable[[#This Row],[SP Current Ask]], MockToday, SnapshotTable[[#This Row],[SP Buyback Override]]),"")</f>
        <v/>
      </c>
      <c r="CU94" s="156"/>
      <c r="CV94" s="235"/>
      <c r="CW94" s="378" t="str">
        <f>IF(ISNUMBER( SnapshotTable[[#This Row],[SP Term]]), SnapshotTable[[#This Row],[SP Exp Date]] - MockToday,"")</f>
        <v/>
      </c>
      <c r="CX94" s="31" t="str">
        <f>IF(SnapshotTable[[#This Row],[SP Is Filled]],SnapshotTable[[#This Row],[SP Buyback Price to Use]] * 100 * SnapshotTable[[#This Row],[SP Qty]], "")</f>
        <v/>
      </c>
      <c r="CY94" s="4" t="str">
        <f>IF(ISNUMBER(SnapshotTable[[#This Row],[SP Strike Price]]), SnapshotTable[[#This Row],[SP Strike Price]] * (1 - SP_MaxLoss_StrikePct), "")</f>
        <v/>
      </c>
      <c r="CZ94" s="31" t="str">
        <f>IF(ISNUMBER(SnapshotTable[[#This Row],[SP Strike  Stop Per Share]]),SnapshotTable[[#This Row],[SP Premium]] - ((SnapshotTable[[#This Row],[SP Strike Price]]-SnapshotTable[[#This Row],[SP Strike  Stop Per Share]]) *(SnapshotTable[[#This Row],[SP Qty]] * 100)),"")</f>
        <v/>
      </c>
      <c r="DA94" s="4" t="str">
        <f>IF(AND(ISNUMBER(SnapshotTable[[#This Row],[SP Premium]]),SnapshotTable[[#This Row],[SP Premium]]&gt;0), SnapshotTable[[#This Row],[SP Book Price]] * (1 + SP_MaxLoss_OptionPct), "")</f>
        <v/>
      </c>
      <c r="DB94" s="31" t="str">
        <f>IF(ISNUMBER(SnapshotTable[[#This Row],[SP Option  Stop Contract]]),(SnapshotTable[[#This Row],[SP Option  Stop Contract]] *(SnapshotTable[[#This Row],[SP Qty]] * 100) - SnapshotTable[[#This Row],[SP Premium]]),"")</f>
        <v/>
      </c>
      <c r="DC94" s="4"/>
      <c r="DD94" s="4"/>
      <c r="DE94" s="4" t="str">
        <f>IF(AND(SnapshotTable[[#This Row],[SP Qty]]&gt;0, SnapshotTable[[#This Row],[SP Stop To Use]]&gt;0),SnapshotTable[[#This Row],[SP Premium]] - ( SnapshotTable[[#This Row],[SP Qty]] * SnapshotTable[[#This Row],[SP Stop To Use]] * 100), "")</f>
        <v/>
      </c>
      <c r="DF94" s="31" t="str">
        <f>IF(AND(SnapshotTable[[#This Row],[SP Qty]]&gt;0,SnapshotTable[[#This Row],[SP Current Ask]]&gt;0), SnapshotTable[[#This Row],[SP Qty]] * SnapshotTable[[#This Row],[SP Current Ask]] * -100, "")</f>
        <v/>
      </c>
      <c r="DG94" s="31" t="str">
        <f>IF(ISNUMBER((SnapshotTable[[#This Row],[SP Total Value]])), SnapshotTable[[#This Row],[SP Premium]] + SnapshotTable[[#This Row],[SP Total Value]], "")</f>
        <v/>
      </c>
      <c r="DH94" s="294" t="str">
        <f>IF(ISNUMBER((SnapshotTable[[#This Row],[SP Total Value]])), SnapshotTable[[#This Row],[SP Gain Loss]] / SnapshotTable[[#This Row],[SP Premium]], "")</f>
        <v/>
      </c>
      <c r="DI94" s="406"/>
      <c r="DJ94" s="138"/>
      <c r="DK94" s="148"/>
      <c r="DL94" s="147"/>
      <c r="DM94" s="147"/>
      <c r="DN94" s="5"/>
      <c r="DO94" s="31">
        <f>IF(SnapshotTable[[#This Row],[LC Symbol Count]]=1, SnapshotTable[[#This Row],[LC Qty]] * SnapshotTable[[#This Row],[LC Book Price]] * 100, 0)</f>
        <v>0</v>
      </c>
      <c r="DP94" s="163" t="str">
        <f>IF(AND(SnapshotTable[[#This Row],[LC Exp Date]]&gt;0, SnapshotTable[[#This Row],[LC Strike Price]]&gt;0,SnapshotTable[[#This Row],[LC Qty]]&gt;0,SnapshotTable[[#This Row],[LC Book Date]]&gt;0,SnapshotTable[[#This Row],[LC Book Price]]&gt;0,SnapshotTable[[#This Row],[LC Fill Date]]=0),"Y","")</f>
        <v/>
      </c>
      <c r="DQ94" s="386" t="str">
        <f>IF(SnapshotTable[[#This Row],[LC Premium]] &gt; 0,SnapshotTable[[#This Row],[LC Exp Date]]-MAX(SnapshotTable[[#This Row],[LC Book Date]], SnapshotTable[[#This Row],[LC Fill Date]]),"")</f>
        <v/>
      </c>
      <c r="DR94" s="386" t="str">
        <f>IF(ISNUMBER(SnapshotTable[[#This Row],[LC Term]]), SnapshotTable[[#This Row],[LC Exp Date]] - MockToday, "")</f>
        <v/>
      </c>
      <c r="DS94" s="234" t="str">
        <f>IF(SnapshotTable[[#This Row],[LC Premium]]&gt;0,SnapshotTable[[#This Row],[LC Strike Price]] + SnapshotTable[[#This Row],[LC Book Price]],"")</f>
        <v/>
      </c>
      <c r="DT94" s="5"/>
      <c r="DU94" s="9" t="str">
        <f>IF(AND(SnapshotTable[[#This Row],[LC Symbol Count]]&gt;0, SnapshotTable[[#This Row],[LC Contract Value]]&gt;0), SnapshotTable[[#This Row],[LC Contract Value]] * SnapshotTable[[#This Row],[LC Qty]] * 100, "")</f>
        <v/>
      </c>
      <c r="DV94" s="9" t="str">
        <f>IF(AND(ISNUMBER(SnapshotTable[[#This Row],[LC Total Value]]), SnapshotTable[[#This Row],[LC Not Filled]]&lt;&gt;"Y"), SnapshotTable[[#This Row],[LC Total Value]]-SnapshotTable[[#This Row],[LC Premium]],"")</f>
        <v/>
      </c>
      <c r="DW94" s="240" t="str">
        <f>IF(ISNUMBER(SnapshotTable[[#This Row],[LC Actual Gain Loss]]), SnapshotTable[[#This Row],[LC Actual Gain Loss]] / SnapshotTable[[#This Row],[LC Premium]],"")</f>
        <v/>
      </c>
      <c r="DX94" s="284" t="str">
        <f>IF(ISNUMBER(SnapshotTable[[#This Row],[LC Book Price]]),SnapshotTable[[#This Row],[LC Book Price]] * 1.5,"")</f>
        <v/>
      </c>
      <c r="DY94" s="265" t="str">
        <f>IF(SnapshotTable[[#This Row],[LC Premium]]&gt;0, SnapshotTable[[#This Row],[LC Next Target]] * SnapshotTable[[#This Row],[LC Qty]] * 100,"")</f>
        <v/>
      </c>
      <c r="DZ94" s="265" t="str">
        <f>IF(ISNUMBER(SnapshotTable[[#This Row],[LC Target Gross]]), SnapshotTable[[#This Row],[LC Target Gross]] - SnapshotTable[[#This Row],[LC Premium]], "")</f>
        <v/>
      </c>
      <c r="EA94" s="305" t="str">
        <f>IF(ISNUMBER(SnapshotTable[[#This Row],[LC Target Gain Loss]]), SnapshotTable[[#This Row],[LC Target Gain Loss]]/SnapshotTable[[#This Row],[LC Premium]], "")</f>
        <v/>
      </c>
      <c r="EB94" s="262"/>
      <c r="EC94" s="283" t="str">
        <f>IF(SnapshotTable[[#This Row],[LC Premium]]&gt;0, SnapshotTable[[#This Row],[LC Book Price]] * (1 - LC_StopLoss_Pct),"")</f>
        <v/>
      </c>
      <c r="ED94" s="284"/>
      <c r="EE94" s="283" t="str">
        <f>IF(ISNUMBER(SnapshotTable[[#This Row],[LC Contract Value]]),IF(ISNUMBER(SnapshotTable[[#This Row],[LC Stop Loss Override]]), SnapshotTable[[#This Row],[LC Stop Loss Override]],SnapshotTable[[#This Row],[LC Stop Loss Calc Target]]),"")</f>
        <v/>
      </c>
      <c r="EF94" s="31" t="str">
        <f>IF(ISNUMBER(SnapshotTable[[#This Row],[LC Stop  To Use]]), (SnapshotTable[[#This Row],[LC Stop  To Use]] * SnapshotTable[[#This Row],[LC Qty]] * 100),"")</f>
        <v/>
      </c>
      <c r="EG94" s="9" t="str">
        <f>IF(ISNUMBER(SnapshotTable[[#This Row],[LC Total Value]]),SnapshotTable[[#This Row],[LC Stop Loss Amount]] - SnapshotTable[[#This Row],[LC Premium]],"")</f>
        <v/>
      </c>
      <c r="EH94" s="9">
        <f>IF(ISNUMBER(SnapshotTable[[#This Row],[LC Premium]]), SnapshotTable[[#This Row],[LC Qty]] * 100 * SnapshotTable[[#This Row],[LC Strike Price]], "")</f>
        <v>0</v>
      </c>
      <c r="EI94" s="240" t="str">
        <f>IF(AND(ISNUMBER(SnapshotTable[[#This Row],[LC Total Value]]),SnapshotTable[[#This Row],[LC Total Value]]&gt;0),SnapshotTable[[#This Row],[LC Stop Gain Loss]]  / SnapshotTable[[#This Row],[LC Premium]],"")</f>
        <v/>
      </c>
      <c r="EJ94" s="35">
        <f>IF(ISNUMBER(SnapshotTable[[#This Row],[Equity Shares]]),TRUNC(SnapshotTable[[#This Row],[Equity Shares]] / 100),0) + SnapshotTable[[#This Row],[LC Qty]]</f>
        <v>0</v>
      </c>
      <c r="EK94" s="147"/>
      <c r="EL94" s="138" t="str">
        <f>IF(SnapshotTable[[#This Row],[SC Exp Date]]&lt;&gt;"",TRUNC(SnapshotTable[[#This Row],[Last Price]]),"")</f>
        <v/>
      </c>
      <c r="EM94" s="148"/>
      <c r="EN94" s="147"/>
      <c r="EO94" s="147"/>
      <c r="EP94" s="138"/>
      <c r="EQ94" s="419" t="b">
        <f>AND(ISNUMBER(SnapshotTable[[#This Row],[SC Exp Date]]), ISNUMBER(SnapshotTable[[#This Row],[SC Strike Price]]), ISNUMBER(SnapshotTable[[#This Row],[SC Qty]]), ISNUMBER(SnapshotTable[[#This Row],[SC Book Date]]), ISNUMBER(SnapshotTable[[#This Row],[SC Book Price]]))</f>
        <v>0</v>
      </c>
      <c r="ER94" s="419" t="b">
        <f>AND(SnapshotTable[[#This Row],[SC Is Booked]], NOT(ISBLANK(SnapshotTable[[#This Row],[SC Fill Date]])))</f>
        <v>0</v>
      </c>
      <c r="ES94" s="370"/>
      <c r="ET94" s="34" t="str">
        <f>IF(AND(ISNUMBER(SnapshotTable[[#This Row],[SC Exp Date]]), ISNUMBER(SnapshotTable[[#This Row],[SC Book Date]])), SnapshotTable[[#This Row],[SC Exp Date]] - MAX(SnapshotTable[[#This Row],[SC Book Date]], SnapshotTable[[#This Row],[SC Fill Date]]) + 1, "")</f>
        <v/>
      </c>
      <c r="EU94" s="34" t="str">
        <f>IF(ISNUMBER(SnapshotTable[[#This Row],[SC Term]]), SnapshotTable[[#This Row],[SC Exp Date]]- MockToday, "")</f>
        <v/>
      </c>
      <c r="EV94" s="31">
        <f>IF(SnapshotTable[[#This Row],[SC Is Booked]], SnapshotTable[[#This Row],[SC Qty]] * SnapshotTable[[#This Row],[SC Book Price]] * 100, 0)</f>
        <v>0</v>
      </c>
      <c r="EW94" s="4" t="str">
        <f>IF(AND(ISNUMBER(SnapshotTable[[#This Row],[Last Price]]), ISNUMBER( SnapshotTable[[#This Row],[SC Book Price]])), SnapshotTable[[#This Row],[Last Price]] - SnapshotTable[[#This Row],[SC Book Price]],"")</f>
        <v/>
      </c>
      <c r="EX94" s="234" t="str">
        <f>IF(SnapshotTable[[#This Row],[SC Is Booked]],IF(SnapshotTable[[#This Row],[SC Intrinsic Value]] &gt; 0, SnapshotTable[[#This Row],[SC Strike Price]], SnapshotTable[[#This Row],[Last Price]]), "")</f>
        <v/>
      </c>
      <c r="EY94" s="4">
        <f>IF(SnapshotTable[[#This Row],[SC Is Booked]], (MinimumPremiumRequired * SnapshotTable[[#This Row],[SC Basis]] * SnapshotTable[[#This Row],[SC Term]]), 0)</f>
        <v>0</v>
      </c>
      <c r="EZ94" s="283"/>
      <c r="FA94" s="218"/>
      <c r="FB94" s="370"/>
      <c r="FC94" s="4">
        <f>IF(SnapshotTable[[#This Row],[SC Is Filled]], btc_max_buyback_amount(SnapshotTable[[#This Row],[SC Fill Date]],SnapshotTable[[#This Row],[SC Exp Date]], SnapshotTable[[#This Row],[SC Book Price]]),0)</f>
        <v>0</v>
      </c>
      <c r="FD94" s="5"/>
      <c r="FE94" s="144" t="str">
        <f>IF(SnapshotTable[[#This Row],[SC Is Filled]], btc_next_cutoff_date(SnapshotTable[[#This Row],[SC Fill Date]],SnapshotTable[[#This Row],[SC Exp Date]]),"")</f>
        <v/>
      </c>
      <c r="FF94" s="4" t="str" cm="1">
        <f t="array" ref="FF94">IF(SnapshotTable[[#This Row],[SC Is Filled]], btc_should_buy_back(SnapshotTable[[#This Row],[SC Fill Date]], SnapshotTable[[#This Row],[SC Exp Date]], SnapshotTable[[#This Row],[SC Book Price]], SnapshotTable[[#This Row],[SC Current Ask]], MockToday, SnapshotTable[[#This Row],[SC Buyback Override]]),"")</f>
        <v/>
      </c>
      <c r="FG94" s="4">
        <f>IF(SnapshotTable[[#This Row],[SC Is Filled]], MAX(0,SnapshotTable[[#This Row],[Last Price]]  - SnapshotTable[[#This Row],[SC Strike Price]]), 0)</f>
        <v>0</v>
      </c>
      <c r="FH94" s="382">
        <f>IF(SnapshotTable[[#This Row],[SC Is Filled]], IF(ISNUMBER(SnapshotTable[[#This Row],[SC Current Ask]]), SnapshotTable[[#This Row],[SC Current Ask]], SnapshotTable[[#This Row],[SC Book Price]]) - SnapshotTable[[#This Row],[SC Intrinsic Value]], 0)</f>
        <v>0</v>
      </c>
      <c r="FI94" s="143"/>
      <c r="FJ94" s="32" t="str">
        <f>IF(SnapshotTable[[#This Row],[SC Is Filled]],100 * SnapshotTable[[#This Row],[SC Qty]] * IF(ISNUMBER(SnapshotTable[[#This Row],[SC Buyback Override]]), SnapshotTable[[#This Row],[SC Buyback Override]], SnapshotTable[[#This Row],[SC Current Ask]]), "")</f>
        <v/>
      </c>
      <c r="FK94" s="250" t="str">
        <f>IF(SnapshotTable[[#This Row],[SC Time Val]]&gt;0, SnapshotTable[[#This Row],[SC Time Val]] / SnapshotTable[[#This Row],[Last Price]],"")</f>
        <v/>
      </c>
      <c r="FL94" s="302" t="str">
        <f>IF(SnapshotTable[[#This Row],[SC Is Booked]], ((SnapshotTable[[#This Row],[Last Price]] -SnapshotTable[[#This Row],[SC Strike Price]]) / SnapshotTable[[#This Row],[Last Price]]) * -1, "")</f>
        <v/>
      </c>
      <c r="FM94" s="157" t="str">
        <f>IF(SnapshotTable[[#This Row],[SC Is Booked]],  (SnapshotTable[[#This Row],[SC Qty]] * 100 * SnapshotTable[[#This Row],[SC Strike Price]]) - SnapshotTable[[#This Row],[SC Current Ask]], "")</f>
        <v/>
      </c>
      <c r="FN94"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4" s="157" t="str">
        <f>IF(AND(ISNUMBER(SnapshotTable[[#This Row],[SC Exercise Gross]]), ISNUMBER(SnapshotTable[[#This Row],[Equity Basis Per Share]] )), SnapshotTable[[#This Row],[SC Exercise Gross]] - SnapshotTable[[#This Row],[Equity Basis Total]] +  SnapshotTable[[#This Row],[SC Premium]], "")</f>
        <v/>
      </c>
      <c r="FP94" s="5" t="str">
        <f>IF(ISNUMBER(SnapshotTable[[#This Row],[SC Exercise Gross]]), (SnapshotTable[[#This Row],[SC Exercise Gross]]) / (SnapshotTable[[#This Row],[SC Qty]] * 100), "")</f>
        <v/>
      </c>
      <c r="FQ94" s="27" t="str">
        <f>IF(SnapshotTable[[#This Row],[SC Is Booked]],SnapshotTable[[#This Row],[SC Time Val]] /SnapshotTable[[#This Row],[SC Basis]], "")</f>
        <v/>
      </c>
      <c r="FR94" s="27" t="str" cm="1">
        <f t="array" ref="FR94">IF(AND(ISNUMBER(SnapshotTable[[#This Row],[SC Term]]),ISNUMBER(SnapshotTable[[#This Row],[SC Simple ROO]])), EllmanAnnualize(SnapshotTable[[#This Row],[SC DTE]], SnapshotTable[[#This Row],[SC Simple ROO]] ),"")</f>
        <v/>
      </c>
      <c r="FS94" s="4" t="e">
        <f>IF(SnapshotTable[[#This Row],[SC Strike Price]] &gt; SnapshotTable[[#This Row],[Last Price]], SnapshotTable[[#This Row],[SC Strike Price]] - SnapshotTable[[#This Row],[Last Price]],0)</f>
        <v>#VALUE!</v>
      </c>
      <c r="FT94" s="27" t="e">
        <f>IF(AND(ISNUMBER(SnapshotTable[[#This Row],[SC Upside Potential]]), SnapshotTable[[#This Row],[SC Upside Potential]] &gt; 0),(SnapshotTable[[#This Row],[SC Upside Potential]]/ SnapshotTable[[#This Row],[ACB]]),"")</f>
        <v>#VALUE!</v>
      </c>
      <c r="FU94" s="333" t="str">
        <f>IF(SnapshotTable[[#This Row],[SC Intrinsic Value]] &gt; 0,SnapshotTable[[#This Row],[SC Intrinsic Value]],"")</f>
        <v/>
      </c>
      <c r="FV94" s="27" t="str">
        <f>IF(AND( ISNUMBER( SnapshotTable[[#This Row],[ACB]]),ISNUMBER(SnapshotTable[[#This Row],[SC Downside Protect]])),SnapshotTable[[#This Row],[SC Downside Protect]] / SnapshotTable[[#This Row],[ACB]],"")</f>
        <v/>
      </c>
      <c r="FW94" s="236" t="str">
        <f>IF(AND(ISNUMBER(SnapshotTable[[#This Row],[SC Simple ROO]]),SnapshotTable[[#This Row],[SC Simple ROO]] &gt; 0), SnapshotTable[[#This Row],[SC Premium]] + (SnapshotTable[[#This Row],[SC Qty]] * SnapshotTable[[#This Row],[SC Upside Potential]]), "")</f>
        <v/>
      </c>
      <c r="FX94" s="302" t="str" cm="1">
        <f t="array" ref="FX94">IF(ISNUMBER(SnapshotTable[[#This Row],[SC Max Dollars]]), annualize(SnapshotTable[[#This Row],[SC Term]],(SnapshotTable[[#This Row],[SC Max Dollars]]/SnapshotTable[[#This Row],[SC Basis]])),"")</f>
        <v/>
      </c>
      <c r="FY94" s="236" t="str">
        <f>IF(AND(SnapshotTable[[#This Row],[SC Qty]]&gt;0,SnapshotTable[[#This Row],[SC Current Ask]]&gt;0), SnapshotTable[[#This Row],[SC Qty]] * SnapshotTable[[#This Row],[SC Current Ask]] * -100, "")</f>
        <v/>
      </c>
      <c r="FZ94" s="31" t="str">
        <f>IF(ISNUMBER((SnapshotTable[[#This Row],[SC Current Value]])), SnapshotTable[[#This Row],[SC Premium]] + SnapshotTable[[#This Row],[SC Current Value]], "")</f>
        <v/>
      </c>
      <c r="GA94" s="294" t="str">
        <f>IFERROR( IF(ISNUMBER((SnapshotTable[[#This Row],[SC Current Value]])), SnapshotTable[[#This Row],[SC Gain Loss]] / SnapshotTable[[#This Row],[SC Premium]], ""), "")</f>
        <v/>
      </c>
      <c r="GB94" s="42">
        <f>SnapshotTable[[#This Row],[Equity Shares]] * SaleSharesToConsiderPercentage</f>
        <v>0</v>
      </c>
      <c r="GC94" s="40">
        <f>SnapshotTable[[#This Row],[Long Term Target]] * SellingPriceToConsiderBasedOnTargetPercentage</f>
        <v>0</v>
      </c>
      <c r="GD94" s="40">
        <f>SnapshotTable[[#This Row],[Last Price]] * (1+ SellingPriceToConsiderBasedOnTargetPercentage)</f>
        <v>4.4459999999999997</v>
      </c>
      <c r="GE94" s="41"/>
      <c r="GF94" s="40"/>
      <c r="GG94" s="31">
        <f>SnapshotTable[[#This Row],[Booked Sale Shares]] * SnapshotTable[[#This Row],[Booked Sale Price]]</f>
        <v>0</v>
      </c>
      <c r="GH94" s="31" t="str">
        <f>IF(SnapshotTable[[#This Row],[Equity Basis Total]] &gt; 0, SnapshotTable[[#This Row],[Equity Basis Per Share]] * SnapshotTable[[#This Row],[Booked Sale Shares]], "")</f>
        <v/>
      </c>
      <c r="GI94" s="31">
        <f>IF(SnapshotTable[[#This Row],[Sale Proceeds]]&gt;0, SnapshotTable[[#This Row],[Sale Proceeds]] - SnapshotTable[[#This Row],[Sale Basis]], 0)</f>
        <v>0</v>
      </c>
      <c r="GJ94" s="158" t="str">
        <f>IF(SnapshotTable[[#This Row],[Sale G/L]]&gt;0, SnapshotTable[[#This Row],[Sale G/L]] / SnapshotTable[[#This Row],[Sale Basis]], IF(ISNUMBER(SnapshotTable[[#This Row],[SC Exercise P&amp;L (TAX)]]), SnapshotTable[[#This Row],[SC Exercise P&amp;L (TAX)]] / SnapshotTable[[#This Row],[SC Basis]], ""))</f>
        <v/>
      </c>
      <c r="GK94" s="158" t="s">
        <v>669</v>
      </c>
      <c r="GL94" s="159" t="str">
        <f>IF(AND(SnapshotTable[[#This Row],[LP Exp Date]]&gt;0,SnapshotTable[[#This Row],[LP Strike Price]]&gt;0), [1]!ToOptionSymbol(SnapshotTable[[#This Row],[Symbol]], SnapshotTable[[#This Row],[LP Strike Price]],SnapshotTable[[#This Row],[LP Exp Date]],1), "")</f>
        <v/>
      </c>
      <c r="GM94" s="30" t="str">
        <f>IF(LEN(SnapshotTable[[#This Row],[LP Symbol]])&gt;0, 1, "")</f>
        <v/>
      </c>
      <c r="GN94" s="43" t="str">
        <f>IF(AND(SnapshotTable[[#This Row],[SP Exp Date]]&gt;0,SnapshotTable[[#This Row],[SP Strike Price]]&gt;0), [1]!ToOptionSymbol(SnapshotTable[[#This Row],[Symbol]], SnapshotTable[[#This Row],[SP Strike Price]],SnapshotTable[[#This Row],[SP Exp Date]],1), "")</f>
        <v/>
      </c>
      <c r="GO94" s="30" t="str">
        <f>IF(LEN(SnapshotTable[[#This Row],[SP Symbol]])&gt;0, 1, "")</f>
        <v/>
      </c>
      <c r="GP94" s="159" t="str">
        <f>IF(AND(SnapshotTable[[#This Row],[LC Exp Date]]&gt;0,SnapshotTable[[#This Row],[LC Strike Price]]&gt;0), [1]!ToOptionSymbol(SnapshotTable[[#This Row],[Symbol]], SnapshotTable[[#This Row],[LC Strike Price]],SnapshotTable[[#This Row],[LC Exp Date]],0), "")</f>
        <v/>
      </c>
      <c r="GQ94" s="160" t="str">
        <f>IF(LEN(SnapshotTable[[#This Row],[LC Symbol]])&gt;0, 1, "")</f>
        <v/>
      </c>
      <c r="GR94" s="159" t="str">
        <f>IF(AND(SnapshotTable[[#This Row],[SC Exp Date]]&gt;0,SnapshotTable[[#This Row],[SC Strike Price]]&gt;0), [1]!ToOptionSymbol(SnapshotTable[[#This Row],[Symbol]], SnapshotTable[[#This Row],[SC Strike Price]],SnapshotTable[[#This Row],[SC Exp Date]],0), "")</f>
        <v/>
      </c>
      <c r="GS94" s="160" t="str">
        <f>IF(LEN(SnapshotTable[[#This Row],[SC Symbol]])&gt;0, 1, "")</f>
        <v/>
      </c>
      <c r="GT94" s="161" t="str">
        <f>IF(COUNT(SnapshotTable[[#This Row],[LP Symbol Count]],SnapshotTable[[#This Row],[SP Symbol Count]],SnapshotTable[[#This Row],[LC Symbol Count]],SnapshotTable[[#This Row],[SC Symbol Count]])&gt;0, "Y", "")</f>
        <v/>
      </c>
      <c r="GU9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4" s="231" t="e">
        <f>MAX(SnapshotTable[[#This Row],[Equity Basis Total]],SnapshotTable[[#This Row],[Equity Value]]) + (SnapshotTable[[#This Row],[SP Potential Spend]]- SnapshotTable[[#This Row],[SP Premium]] + SnapshotTable[[#This Row],[LP Premium]])+ (SnapshotTable[[#This Row],[LC Premium]] - SnapshotTable[[#This Row],[SC Premium]])</f>
        <v>#VALUE!</v>
      </c>
      <c r="GW94" s="139" t="e">
        <f>IF(AND(SnapshotTable[[#This Row],[Exposure]] &lt;&gt; 0),SnapshotTable[[#This Row],[Exposure]] / SnapshotTable[[#Totals],[Exposure]], "")</f>
        <v>#VALUE!</v>
      </c>
      <c r="GY94" s="381"/>
      <c r="HE94" s="268"/>
      <c r="HF94" s="268"/>
      <c r="HG94" s="381"/>
      <c r="HH94" s="381"/>
      <c r="HI94" s="381"/>
      <c r="HJ94" s="381"/>
    </row>
    <row r="95" spans="2:224" s="47" customFormat="1" ht="12.75" hidden="1" customHeight="1" x14ac:dyDescent="0.25">
      <c r="B95" s="12" t="s">
        <v>987</v>
      </c>
      <c r="C95" s="422">
        <v>166.12</v>
      </c>
      <c r="D95" s="208" t="s">
        <v>578</v>
      </c>
      <c r="E95" s="39">
        <f>SnapshotTable[[#This Row],[Last Price]]*(1 -CrashDiscount)</f>
        <v>141.202</v>
      </c>
      <c r="F95" s="26" t="s">
        <v>613</v>
      </c>
      <c r="G95" s="26" t="s">
        <v>9</v>
      </c>
      <c r="H95" s="149"/>
      <c r="I95" s="194">
        <v>44959</v>
      </c>
      <c r="J95" s="195">
        <v>44959</v>
      </c>
      <c r="K95" s="196"/>
      <c r="L95" s="326"/>
      <c r="M95" s="140"/>
      <c r="N95" s="140"/>
      <c r="O95" s="140"/>
      <c r="P95" s="22"/>
      <c r="Q95" s="25"/>
      <c r="R95" s="4" t="str">
        <f>IF(SnapshotTable[[#This Row],[Equity Basis Total]] &gt; 0, SnapshotTable[[#This Row],[Equity Basis Total]] / SnapshotTable[[#This Row],[Equity Shares]], "")</f>
        <v/>
      </c>
      <c r="S95" s="269">
        <f>SnapshotTable[[#This Row],[Last Price]] * SnapshotTable[[#This Row],[Equity Shares]]</f>
        <v>0</v>
      </c>
      <c r="T95" s="269">
        <f>SnapshotTable[[#This Row],[Equity Value]] - SnapshotTable[[#This Row],[Equity Basis Total]]</f>
        <v>0</v>
      </c>
      <c r="U95" s="270" t="str">
        <f>IF(SnapshotTable[[#This Row],[Equity Basis Total]] &gt; 0, SnapshotTable[[#This Row],[Equity G/L]] / SnapshotTable[[#This Row],[Equity Basis Total]], "")</f>
        <v/>
      </c>
      <c r="V95" s="268">
        <v>280</v>
      </c>
      <c r="W95" s="268">
        <v>238.5</v>
      </c>
      <c r="X95" s="4" t="str">
        <f>IF(AND(ISNUMBER(SnapshotTable[[#This Row],[Equity Basis Per Share]]),ISNUMBER(SnapshotTable[[#This Row],[Equity Target]])),SnapshotTable[[#This Row],[Equity Target]]-SnapshotTable[[#This Row],[Equity Basis Per Share]],"")</f>
        <v/>
      </c>
      <c r="Y95" s="4" t="str">
        <f>IF(AND(ISNUMBER(SnapshotTable[[#This Row],[Equity Basis Per Share]]),ISNUMBER(SnapshotTable[[#This Row],[Equity Stop Loss]])),SnapshotTable[[#This Row],[Equity Stop Loss]]-SnapshotTable[[#This Row],[Equity Basis Per Share]],"")</f>
        <v/>
      </c>
      <c r="Z95" s="275" t="str">
        <f>IFERROR( TEXT(SnapshotTable[[#This Row],[Equity Max Gain Per Share]] /ABS( SnapshotTable[[#This Row],[Equity Max Loss Per Share]]),"0.0 " ) &amp; " : 1", "")</f>
        <v/>
      </c>
      <c r="AA95" s="31" t="str">
        <f>IF(ISNUMBER(SnapshotTable[[#This Row],[Equity Max Gain Per Share]]),SnapshotTable[[#This Row],[Equity Max Gain Per Share]] * SnapshotTable[[#This Row],[Equity Shares]],"")</f>
        <v/>
      </c>
      <c r="AB95" s="31" t="str">
        <f>IF(ISNUMBER(SnapshotTable[[#This Row],[Equity Max Loss Per Share]]),SnapshotTable[[#This Row],[Equity Max Loss Per Share]] * SnapshotTable[[#This Row],[Equity Shares]],"")</f>
        <v/>
      </c>
      <c r="AC95" s="150"/>
      <c r="AD95" s="151"/>
      <c r="AE95" s="31">
        <f>(SnapshotTable[[#This Row],[Annual Dividend Per Share]] / 4) * SnapshotTable[[#This Row],[Equity Shares]]</f>
        <v>0</v>
      </c>
      <c r="AF95" s="31">
        <f>SnapshotTable[[#This Row],[Quarterly Div $]] * 4</f>
        <v>0</v>
      </c>
      <c r="AG95" s="7">
        <f>IF(SnapshotTable[[#This Row],[Annual Dividend Per Share]]&gt;0, SnapshotTable[[#This Row],[Annual Dividend Per Share]]  / SnapshotTable[[#This Row],[Last Price]], 0)</f>
        <v>0</v>
      </c>
      <c r="AH95" s="151"/>
      <c r="AI95" s="5"/>
      <c r="AJ95" s="138">
        <v>75.400000000000006</v>
      </c>
      <c r="AK95" s="152" t="str">
        <f>IF(ISNUMBER( SnapshotTable[[#This Row],[EBF Target]]),(SnapshotTable[[#This Row],[EBF Target]] - SnapshotTable[[#This Row],[Last Price]]) / SnapshotTable[[#This Row],[Last Price]], "")</f>
        <v/>
      </c>
      <c r="AL95" s="152" t="str">
        <f>IF(AND(SnapshotTable[[#This Row],[Equity Basis Total]] &gt; 0,ISNUMBER( SnapshotTable[[#This Row],[Long Term Target]])), SnapshotTable[[#This Row],[From Basis $]] / SnapshotTable[[#This Row],[Equity Basis Total]], "")</f>
        <v/>
      </c>
      <c r="AM95" s="9">
        <f>IF( AND(SnapshotTable[[#This Row],[Equity Shares]] &gt;0,ISNUMBER( SnapshotTable[[#This Row],[Long Term Target]])),(SnapshotTable[[#This Row],[Equity Shares]] * SnapshotTable[[#This Row],[Long Term Target]]) - SnapshotTable[[#This Row],[Equity Basis Total]],0)</f>
        <v>0</v>
      </c>
      <c r="AN95" s="9">
        <f>IF( AND(SnapshotTable[[#This Row],[Equity Shares]] &gt;0,ISNUMBER( SnapshotTable[[#This Row],[Long Term Target]])),(SnapshotTable[[#This Row],[Equity Shares]]*SnapshotTable[[#This Row],[Long Term Target]]) - SnapshotTable[[#This Row],[Equity Value]],0)</f>
        <v>0</v>
      </c>
      <c r="AO95" s="152">
        <f>IF(AND(ISNUMBER( SnapshotTable[[#This Row],[Long Term Target]]), ISNUMBER(SnapshotTable[[#This Row],[Last Price]])),(SnapshotTable[[#This Row],[Long Term Target]] - SnapshotTable[[#This Row],[Last Price]]) / SnapshotTable[[#This Row],[Last Price]], "")</f>
        <v>-0.54611124488321694</v>
      </c>
      <c r="AP95" s="5">
        <v>320</v>
      </c>
      <c r="AQ95" s="38" t="s">
        <v>38</v>
      </c>
      <c r="AR95" s="5">
        <v>320</v>
      </c>
      <c r="AS95" s="38" t="s">
        <v>26</v>
      </c>
      <c r="AT95" s="146" t="s">
        <v>538</v>
      </c>
      <c r="AU95" s="187" t="str">
        <f>IF(OR(SnapshotTable[[#This Row],[LP No Fill]]="Y",SnapshotTable[[#This Row],[SP Is Filled]],SnapshotTable[[#This Row],[LC Not Filled]]="Y",SnapshotTable[[#This Row],[SC Is Filled]]),"Y","")</f>
        <v/>
      </c>
      <c r="AV95" s="219"/>
      <c r="AW95" s="225"/>
      <c r="AX95" s="220"/>
      <c r="AY95" s="219" t="str">
        <f>IF(SnapshotTable[[#This Row],[Implied Move]]&gt;0, SnapshotTable[[#This Row],[Last Price]]-SnapshotTable[[#This Row],[Implied Move]],"")</f>
        <v/>
      </c>
      <c r="AZ95" s="219" t="str">
        <f>IF(SnapshotTable[[#This Row],[Implied Move]]&gt;0, SnapshotTable[[#This Row],[Last Price]] + SnapshotTable[[#This Row],[Implied Move]],"")</f>
        <v/>
      </c>
      <c r="BA95" s="331">
        <v>192.13</v>
      </c>
      <c r="BB95" s="347" t="s">
        <v>1165</v>
      </c>
      <c r="BC9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5" s="351"/>
      <c r="BE95" s="5"/>
      <c r="BF95" s="14"/>
      <c r="BG95" s="13"/>
      <c r="BH95" s="13"/>
      <c r="BI95" s="5"/>
      <c r="BJ95" s="136">
        <f>IF(SnapshotTable[[#This Row],[LP Qty]] &gt; 0, SnapshotTable[[#This Row],[LP Qty]] * SnapshotTable[[#This Row],[LP Book Price]] * 100,0)</f>
        <v>0</v>
      </c>
      <c r="BK95" s="136">
        <f>IF(SnapshotTable[[#This Row],[LP Premium]] &gt; 0, SnapshotTable[[#This Row],[LP Qty]] * SnapshotTable[[#This Row],[LP Strike Price]] * 100,0)</f>
        <v>0</v>
      </c>
      <c r="BL95" s="154"/>
      <c r="BM95" s="385" t="str">
        <f>IF(SnapshotTable[[#This Row],[LP Premium]] &gt; 0,SnapshotTable[[#This Row],[LP Exp Date]]-MAX(SnapshotTable[[#This Row],[LP Book Date]], SnapshotTable[[#This Row],[LP Fill Date]]),"")</f>
        <v/>
      </c>
      <c r="BN95" s="385" t="str">
        <f>IF(ISNUMBER( SnapshotTable[[#This Row],[LP Term]]), SnapshotTable[[#This Row],[LP Exp Date]] - MockToday,"")</f>
        <v/>
      </c>
      <c r="BO95" s="163" t="str">
        <f>IF(AND(SnapshotTable[[#This Row],[LP Exp Date]]&gt;0, SnapshotTable[[#This Row],[LP Strike Price]]&gt;0,SnapshotTable[[#This Row],[LP Qty]]&gt;0,SnapshotTable[[#This Row],[LP Book Date]]&gt;0,SnapshotTable[[#This Row],[LP Book Price]]&gt;0,SnapshotTable[[#This Row],[LP Fill Date]]=0),"Y","")</f>
        <v/>
      </c>
      <c r="BP95" s="31" t="str">
        <f>IF(AND(SnapshotTable[[#This Row],[LP No Fill]]&lt;&gt;"Y",SnapshotTable[[#This Row],[LP Contract Value]]&gt;0, SnapshotTable[[#This Row],[LP Qty]]&gt;0), SnapshotTable[[#This Row],[LP Contract Value]]*SnapshotTable[[#This Row],[LP Qty]]*100,"")</f>
        <v/>
      </c>
      <c r="BQ95" s="13"/>
      <c r="BR95" s="5" t="str">
        <f>IF(SnapshotTable[[#This Row],[SP Exp Date]]&lt;&gt;"",TRUNC(SnapshotTable[[#This Row],[Last Price]]),"")</f>
        <v/>
      </c>
      <c r="BS95" s="36"/>
      <c r="BT95" s="147"/>
      <c r="BU95" s="13"/>
      <c r="BV95" s="5"/>
      <c r="BW95" s="419" t="b">
        <f>AND(ISNUMBER(SnapshotTable[[#This Row],[SP Exp Date]]), ISNUMBER(SnapshotTable[[#This Row],[SP Strike Price]]), ISNUMBER(SnapshotTable[[#This Row],[SP Qty]]), ISNUMBER(SnapshotTable[[#This Row],[SP Book Date]]), ISNUMBER(SnapshotTable[[#This Row],[SP Book Price]]))</f>
        <v>0</v>
      </c>
      <c r="BX95" s="419" t="b">
        <f>AND(SnapshotTable[[#This Row],[SP Is Booked]], NOT(ISBLANK(SnapshotTable[[#This Row],[SP Fill Date]])))</f>
        <v>0</v>
      </c>
      <c r="BY95" s="33">
        <f>IF(SnapshotTable[[#This Row],[SP Is Booked]], SnapshotTable[[#This Row],[SP Qty]] * SnapshotTable[[#This Row],[SP Book Price]] * 100, 0)</f>
        <v>0</v>
      </c>
      <c r="BZ95" s="369"/>
      <c r="CA95" s="368">
        <f>SnapshotTable[[#This Row],[LP Qty]]</f>
        <v>0</v>
      </c>
      <c r="CB95" s="4" t="str">
        <f>IF(SnapshotTable[[#This Row],[SP Is Booked]], SnapshotTable[[#This Row],[SP Strike Price]] - SnapshotTable[[#This Row],[SP Book Price]], "")</f>
        <v/>
      </c>
      <c r="CC95" s="19" t="str">
        <f>IF(SnapshotTable[[#This Row],[SP Is Booked]],SnapshotTable[[#This Row],[SP Exp Date]]-MAX(SnapshotTable[[#This Row],[SP Book Date]], SnapshotTable[[#This Row],[SP Fill Date]]),"")</f>
        <v/>
      </c>
      <c r="CD95" s="7" t="str">
        <f>IF(SnapshotTable[[#This Row],[SP Is Booked]], SnapshotTable[[#This Row],[SP Book Price]]/SnapshotTable[[#This Row],[SP Strike Price]], "")</f>
        <v/>
      </c>
      <c r="CE95" s="7" t="str">
        <f>IF(ISNUMBER(SnapshotTable[[#This Row],[SP ROO Term]]),SnapshotTable[[#This Row],[SP ROO Term]]*(365/SnapshotTable[[#This Row],[SP Term]]),"")</f>
        <v/>
      </c>
      <c r="CF95" s="236">
        <f>SnapshotTable[[#This Row],[LP Strike Price]] * SnapshotTable[[#This Row],[LP Qty]] * 100</f>
        <v>0</v>
      </c>
      <c r="CG95" s="31" t="e">
        <f>IF(ISNUMBER(SnapshotTable[[#This Row],[SP Premium]]), (SnapshotTable[[#This Row],[SP Qty]] * SnapshotTable[[#This Row],[SP Strike Price]]* 100) - SnapshotTable[[#This Row],[LP Protection]], 0)</f>
        <v>#VALUE!</v>
      </c>
      <c r="CH95" s="7" t="str">
        <f>IF(ISNUMBER(SnapshotTable[[#This Row],[SP Break Even]]),-1 * (SnapshotTable[[#This Row],[SP Break Even]] - SnapshotTable[[#This Row],[Last Price]]) / SnapshotTable[[#This Row],[Last Price]], "")</f>
        <v/>
      </c>
      <c r="CI95" s="31">
        <f>IF(AND(ISNUMBER((SnapshotTable[[#This Row],[SP Potential Spend]])), SnapshotTable[[#This Row],[SP Strike Price]] &gt; SnapshotTable[[#This Row],[Last Price]], SnapshotTable[[#This Row],[SP Is Filled]]), SnapshotTable[[#This Row],[SP Potential Spend]] -  SnapshotTable[[#This Row],[LP Max Value]], 0)</f>
        <v>0</v>
      </c>
      <c r="CJ95" s="244"/>
      <c r="CK95" s="31" t="str">
        <f>IF(ISNUMBER(SnapshotTable[[#This Row],[SP Potential Spend]]),IF(ISNUMBER(SnapshotTable[[#This Row],[SP POW]]), SnapshotTable[[#This Row],[SP POW]] * SnapshotTable[[#This Row],[SP Potential Spend]], SnapshotTable[[#This Row],[SP Potential Spend]]), "")</f>
        <v/>
      </c>
      <c r="CL95" s="164" t="e">
        <f>IF(NOT(SnapshotTable[[#This Row],[SP Is Filled]]),(SnapshotTable[[#This Row],[SP Qty]] * SnapshotTable[[#This Row],[SP Strike Price]] * 100) - SnapshotTable[[#This Row],[LP Max Value]],"")</f>
        <v>#VALUE!</v>
      </c>
      <c r="CM95" s="31" t="str">
        <f>IF(SnapshotTable[[#This Row],[SP Actual Spend]]&lt;&gt;0, ((SnapshotTable[[#This Row],[SP Strike Price]]-SnapshotTable[[#This Row],[Last Price]]) *(SnapshotTable[[#This Row],[SP Qty]]*100) - SnapshotTable[[#This Row],[SP Premium]]) * - 1, "")</f>
        <v/>
      </c>
      <c r="CN95" s="218"/>
      <c r="CO95" s="369"/>
      <c r="CP95" s="4" t="str">
        <f>IF(SnapshotTable[[#This Row],[SP Is Filled]], btc_max_buyback_amount(SnapshotTable[[#This Row],[SP Fill Date]],SnapshotTable[[#This Row],[SP Exp Date]], SnapshotTable[[#This Row],[SP Book Price]]),"")</f>
        <v/>
      </c>
      <c r="CQ95" s="78"/>
      <c r="CR9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5" s="155" t="str">
        <f>IF(SnapshotTable[[#This Row],[SP Is Filled]], btc_next_cutoff_date(SnapshotTable[[#This Row],[SP Fill Date]],SnapshotTable[[#This Row],[SP Exp Date]]),"")</f>
        <v/>
      </c>
      <c r="CT95" s="235" t="str" cm="1">
        <f t="array" ref="CT95">IF(SnapshotTable[[#This Row],[SP Is Filled]], btc_should_buy_back(SnapshotTable[[#This Row],[SP Fill Date]], SnapshotTable[[#This Row],[SP Exp Date]], SnapshotTable[[#This Row],[SP Book Price]], SnapshotTable[[#This Row],[SP Current Ask]], MockToday, SnapshotTable[[#This Row],[SP Buyback Override]]),"")</f>
        <v/>
      </c>
      <c r="CU95" s="143"/>
      <c r="CV95" s="235"/>
      <c r="CW95" s="378" t="str">
        <f>IF(ISNUMBER( SnapshotTable[[#This Row],[SP Term]]), SnapshotTable[[#This Row],[SP Exp Date]] - MockToday,"")</f>
        <v/>
      </c>
      <c r="CX95" s="31" t="str">
        <f>IF(SnapshotTable[[#This Row],[SP Is Filled]],SnapshotTable[[#This Row],[SP Buyback Price to Use]] * 100 * SnapshotTable[[#This Row],[SP Qty]], "")</f>
        <v/>
      </c>
      <c r="CY95" s="4" t="str">
        <f>IF(ISNUMBER(SnapshotTable[[#This Row],[SP Strike Price]]), SnapshotTable[[#This Row],[SP Strike Price]] * (1 - SP_MaxLoss_StrikePct), "")</f>
        <v/>
      </c>
      <c r="CZ95" s="31" t="str">
        <f>IF(ISNUMBER(SnapshotTable[[#This Row],[SP Strike  Stop Per Share]]),SnapshotTable[[#This Row],[SP Premium]] - ((SnapshotTable[[#This Row],[SP Strike Price]]-SnapshotTable[[#This Row],[SP Strike  Stop Per Share]]) *(SnapshotTable[[#This Row],[SP Qty]] * 100)),"")</f>
        <v/>
      </c>
      <c r="DA95" s="4" t="str">
        <f>IF(AND(ISNUMBER(SnapshotTable[[#This Row],[SP Premium]]),SnapshotTable[[#This Row],[SP Premium]]&gt;0), SnapshotTable[[#This Row],[SP Book Price]] * (1 + SP_MaxLoss_OptionPct), "")</f>
        <v/>
      </c>
      <c r="DB95" s="31" t="str">
        <f>IF(ISNUMBER(SnapshotTable[[#This Row],[SP Option  Stop Contract]]),(SnapshotTable[[#This Row],[SP Option  Stop Contract]] *(SnapshotTable[[#This Row],[SP Qty]] * 100) - SnapshotTable[[#This Row],[SP Premium]]),"")</f>
        <v/>
      </c>
      <c r="DC95" s="4"/>
      <c r="DD95" s="4"/>
      <c r="DE95" s="4" t="str">
        <f>IF(AND(SnapshotTable[[#This Row],[SP Qty]]&gt;0, SnapshotTable[[#This Row],[SP Stop To Use]]&gt;0),SnapshotTable[[#This Row],[SP Premium]] - ( SnapshotTable[[#This Row],[SP Qty]] * SnapshotTable[[#This Row],[SP Stop To Use]] * 100), "")</f>
        <v/>
      </c>
      <c r="DF95" s="31" t="str">
        <f>IF(AND(SnapshotTable[[#This Row],[SP Qty]]&gt;0,SnapshotTable[[#This Row],[SP Current Ask]]&gt;0), SnapshotTable[[#This Row],[SP Qty]] * SnapshotTable[[#This Row],[SP Current Ask]] * -100, "")</f>
        <v/>
      </c>
      <c r="DG95" s="31" t="str">
        <f>IF(ISNUMBER((SnapshotTable[[#This Row],[SP Total Value]])), SnapshotTable[[#This Row],[SP Premium]] + SnapshotTable[[#This Row],[SP Total Value]], "")</f>
        <v/>
      </c>
      <c r="DH95" s="294" t="str">
        <f>IF(ISNUMBER((SnapshotTable[[#This Row],[SP Total Value]])), SnapshotTable[[#This Row],[SP Gain Loss]] / SnapshotTable[[#This Row],[SP Premium]], "")</f>
        <v/>
      </c>
      <c r="DI95" s="406"/>
      <c r="DJ95" s="138"/>
      <c r="DK95" s="148"/>
      <c r="DL95" s="13"/>
      <c r="DM95" s="13"/>
      <c r="DN95" s="5"/>
      <c r="DO95" s="31">
        <f>IF(SnapshotTable[[#This Row],[LC Symbol Count]]=1, SnapshotTable[[#This Row],[LC Qty]] * SnapshotTable[[#This Row],[LC Book Price]] * 100, 0)</f>
        <v>0</v>
      </c>
      <c r="DP95" s="163" t="str">
        <f>IF(AND(SnapshotTable[[#This Row],[LC Exp Date]]&gt;0, SnapshotTable[[#This Row],[LC Strike Price]]&gt;0,SnapshotTable[[#This Row],[LC Qty]]&gt;0,SnapshotTable[[#This Row],[LC Book Date]]&gt;0,SnapshotTable[[#This Row],[LC Book Price]]&gt;0,SnapshotTable[[#This Row],[LC Fill Date]]=0),"Y","")</f>
        <v/>
      </c>
      <c r="DQ95" s="386" t="str">
        <f>IF(SnapshotTable[[#This Row],[LC Premium]] &gt; 0,SnapshotTable[[#This Row],[LC Exp Date]]-MAX(SnapshotTable[[#This Row],[LC Book Date]], SnapshotTable[[#This Row],[LC Fill Date]]),"")</f>
        <v/>
      </c>
      <c r="DR95" s="386" t="str">
        <f>IF(ISNUMBER(SnapshotTable[[#This Row],[LC Term]]), SnapshotTable[[#This Row],[LC Exp Date]] - MockToday, "")</f>
        <v/>
      </c>
      <c r="DS95" s="234" t="str">
        <f>IF(SnapshotTable[[#This Row],[LC Premium]]&gt;0,SnapshotTable[[#This Row],[LC Strike Price]] + SnapshotTable[[#This Row],[LC Book Price]],"")</f>
        <v/>
      </c>
      <c r="DT95" s="5"/>
      <c r="DU95" s="9" t="str">
        <f>IF(AND(SnapshotTable[[#This Row],[LC Symbol Count]]&gt;0, SnapshotTable[[#This Row],[LC Contract Value]]&gt;0), SnapshotTable[[#This Row],[LC Contract Value]] * SnapshotTable[[#This Row],[LC Qty]] * 100, "")</f>
        <v/>
      </c>
      <c r="DV95" s="9" t="str">
        <f>IF(AND(ISNUMBER(SnapshotTable[[#This Row],[LC Total Value]]), SnapshotTable[[#This Row],[LC Not Filled]]&lt;&gt;"Y"), SnapshotTable[[#This Row],[LC Total Value]]-SnapshotTable[[#This Row],[LC Premium]],"")</f>
        <v/>
      </c>
      <c r="DW95" s="240" t="str">
        <f>IF(ISNUMBER(SnapshotTable[[#This Row],[LC Actual Gain Loss]]), SnapshotTable[[#This Row],[LC Actual Gain Loss]] / SnapshotTable[[#This Row],[LC Premium]],"")</f>
        <v/>
      </c>
      <c r="DX95" s="284" t="str">
        <f>IF(ISNUMBER(SnapshotTable[[#This Row],[LC Book Price]]),SnapshotTable[[#This Row],[LC Book Price]] * 1.5,"")</f>
        <v/>
      </c>
      <c r="DY95" s="265" t="str">
        <f>IF(SnapshotTable[[#This Row],[LC Premium]]&gt;0, SnapshotTable[[#This Row],[LC Next Target]] * SnapshotTable[[#This Row],[LC Qty]] * 100,"")</f>
        <v/>
      </c>
      <c r="DZ95" s="265" t="str">
        <f>IF(ISNUMBER(SnapshotTable[[#This Row],[LC Target Gross]]), SnapshotTable[[#This Row],[LC Target Gross]] - SnapshotTable[[#This Row],[LC Premium]], "")</f>
        <v/>
      </c>
      <c r="EA95" s="305" t="str">
        <f>IF(ISNUMBER(SnapshotTable[[#This Row],[LC Target Gain Loss]]), SnapshotTable[[#This Row],[LC Target Gain Loss]]/SnapshotTable[[#This Row],[LC Premium]], "")</f>
        <v/>
      </c>
      <c r="EB95" s="262"/>
      <c r="EC95" s="283" t="str">
        <f>IF(SnapshotTable[[#This Row],[LC Premium]]&gt;0, SnapshotTable[[#This Row],[LC Book Price]] * (1 - LC_StopLoss_Pct),"")</f>
        <v/>
      </c>
      <c r="ED95" s="284"/>
      <c r="EE95" s="283" t="str">
        <f>IF(ISNUMBER(SnapshotTable[[#This Row],[LC Contract Value]]),IF(ISNUMBER(SnapshotTable[[#This Row],[LC Stop Loss Override]]), SnapshotTable[[#This Row],[LC Stop Loss Override]],SnapshotTable[[#This Row],[LC Stop Loss Calc Target]]),"")</f>
        <v/>
      </c>
      <c r="EF95" s="31" t="str">
        <f>IF(ISNUMBER(SnapshotTable[[#This Row],[LC Stop  To Use]]), (SnapshotTable[[#This Row],[LC Stop  To Use]] * SnapshotTable[[#This Row],[LC Qty]] * 100),"")</f>
        <v/>
      </c>
      <c r="EG95" s="9" t="str">
        <f>IF(ISNUMBER(SnapshotTable[[#This Row],[LC Total Value]]),SnapshotTable[[#This Row],[LC Stop Loss Amount]] - SnapshotTable[[#This Row],[LC Premium]],"")</f>
        <v/>
      </c>
      <c r="EH95" s="9">
        <f>IF(ISNUMBER(SnapshotTable[[#This Row],[LC Premium]]), SnapshotTable[[#This Row],[LC Qty]] * 100 * SnapshotTable[[#This Row],[LC Strike Price]], "")</f>
        <v>0</v>
      </c>
      <c r="EI95" s="240" t="str">
        <f>IF(AND(ISNUMBER(SnapshotTable[[#This Row],[LC Total Value]]),SnapshotTable[[#This Row],[LC Total Value]]&gt;0),SnapshotTable[[#This Row],[LC Stop Gain Loss]]  / SnapshotTable[[#This Row],[LC Premium]],"")</f>
        <v/>
      </c>
      <c r="EJ95" s="35">
        <f>IF(ISNUMBER(SnapshotTable[[#This Row],[Equity Shares]]),TRUNC(SnapshotTable[[#This Row],[Equity Shares]] / 100),0) + SnapshotTable[[#This Row],[LC Qty]]</f>
        <v>0</v>
      </c>
      <c r="EK95" s="147"/>
      <c r="EL95" s="138" t="str">
        <f>IF(SnapshotTable[[#This Row],[SC Exp Date]]&lt;&gt;"",TRUNC(SnapshotTable[[#This Row],[Last Price]]),"")</f>
        <v/>
      </c>
      <c r="EM95" s="148"/>
      <c r="EN95" s="147"/>
      <c r="EO95" s="147"/>
      <c r="EP95" s="138"/>
      <c r="EQ95" s="419" t="b">
        <f>AND(ISNUMBER(SnapshotTable[[#This Row],[SC Exp Date]]), ISNUMBER(SnapshotTable[[#This Row],[SC Strike Price]]), ISNUMBER(SnapshotTable[[#This Row],[SC Qty]]), ISNUMBER(SnapshotTable[[#This Row],[SC Book Date]]), ISNUMBER(SnapshotTable[[#This Row],[SC Book Price]]))</f>
        <v>0</v>
      </c>
      <c r="ER95" s="419" t="b">
        <f>AND(SnapshotTable[[#This Row],[SC Is Booked]], NOT(ISBLANK(SnapshotTable[[#This Row],[SC Fill Date]])))</f>
        <v>0</v>
      </c>
      <c r="ES95" s="370"/>
      <c r="ET95" s="34" t="str">
        <f>IF(AND(ISNUMBER(SnapshotTable[[#This Row],[SC Exp Date]]), ISNUMBER(SnapshotTable[[#This Row],[SC Book Date]])), SnapshotTable[[#This Row],[SC Exp Date]] - MAX(SnapshotTable[[#This Row],[SC Book Date]], SnapshotTable[[#This Row],[SC Fill Date]]) + 1, "")</f>
        <v/>
      </c>
      <c r="EU95" s="34" t="str">
        <f>IF(ISNUMBER(SnapshotTable[[#This Row],[SC Term]]), SnapshotTable[[#This Row],[SC Exp Date]]- MockToday, "")</f>
        <v/>
      </c>
      <c r="EV95" s="31">
        <f>IF(SnapshotTable[[#This Row],[SC Is Booked]], SnapshotTable[[#This Row],[SC Qty]] * SnapshotTable[[#This Row],[SC Book Price]] * 100, 0)</f>
        <v>0</v>
      </c>
      <c r="EW95" s="4" t="str">
        <f>IF(AND(ISNUMBER(SnapshotTable[[#This Row],[Last Price]]), ISNUMBER( SnapshotTable[[#This Row],[SC Book Price]])), SnapshotTable[[#This Row],[Last Price]] - SnapshotTable[[#This Row],[SC Book Price]],"")</f>
        <v/>
      </c>
      <c r="EX95" s="234" t="str">
        <f>IF(SnapshotTable[[#This Row],[SC Is Booked]],IF(SnapshotTable[[#This Row],[SC Intrinsic Value]] &gt; 0, SnapshotTable[[#This Row],[SC Strike Price]], SnapshotTable[[#This Row],[Last Price]]), "")</f>
        <v/>
      </c>
      <c r="EY95" s="4">
        <f>IF(SnapshotTable[[#This Row],[SC Is Booked]], (MinimumPremiumRequired * SnapshotTable[[#This Row],[SC Basis]] * SnapshotTable[[#This Row],[SC Term]]), 0)</f>
        <v>0</v>
      </c>
      <c r="EZ95" s="283"/>
      <c r="FA95" s="218"/>
      <c r="FB95" s="370"/>
      <c r="FC95" s="4">
        <f>IF(SnapshotTable[[#This Row],[SC Is Filled]], btc_max_buyback_amount(SnapshotTable[[#This Row],[SC Fill Date]],SnapshotTable[[#This Row],[SC Exp Date]], SnapshotTable[[#This Row],[SC Book Price]]),0)</f>
        <v>0</v>
      </c>
      <c r="FD95" s="5"/>
      <c r="FE95" s="144" t="str">
        <f>IF(SnapshotTable[[#This Row],[SC Is Filled]], btc_next_cutoff_date(SnapshotTable[[#This Row],[SC Fill Date]],SnapshotTable[[#This Row],[SC Exp Date]]),"")</f>
        <v/>
      </c>
      <c r="FF95" s="4" t="str" cm="1">
        <f t="array" ref="FF95">IF(SnapshotTable[[#This Row],[SC Is Filled]], btc_should_buy_back(SnapshotTable[[#This Row],[SC Fill Date]], SnapshotTable[[#This Row],[SC Exp Date]], SnapshotTable[[#This Row],[SC Book Price]], SnapshotTable[[#This Row],[SC Current Ask]], MockToday, SnapshotTable[[#This Row],[SC Buyback Override]]),"")</f>
        <v/>
      </c>
      <c r="FG95" s="4">
        <f>IF(SnapshotTable[[#This Row],[SC Is Filled]], MAX(0,SnapshotTable[[#This Row],[Last Price]]  - SnapshotTable[[#This Row],[SC Strike Price]]), 0)</f>
        <v>0</v>
      </c>
      <c r="FH95" s="382">
        <f>IF(SnapshotTable[[#This Row],[SC Is Filled]], IF(ISNUMBER(SnapshotTable[[#This Row],[SC Current Ask]]), SnapshotTable[[#This Row],[SC Current Ask]], SnapshotTable[[#This Row],[SC Book Price]]) - SnapshotTable[[#This Row],[SC Intrinsic Value]], 0)</f>
        <v>0</v>
      </c>
      <c r="FI95" s="143"/>
      <c r="FJ95" s="32" t="str">
        <f>IF(SnapshotTable[[#This Row],[SC Is Filled]],100 * SnapshotTable[[#This Row],[SC Qty]] * IF(ISNUMBER(SnapshotTable[[#This Row],[SC Buyback Override]]), SnapshotTable[[#This Row],[SC Buyback Override]], SnapshotTable[[#This Row],[SC Current Ask]]), "")</f>
        <v/>
      </c>
      <c r="FK95" s="250" t="str">
        <f>IF(SnapshotTable[[#This Row],[SC Time Val]]&gt;0, SnapshotTable[[#This Row],[SC Time Val]] / SnapshotTable[[#This Row],[Last Price]],"")</f>
        <v/>
      </c>
      <c r="FL95" s="302" t="str">
        <f>IF(SnapshotTable[[#This Row],[SC Is Booked]], ((SnapshotTable[[#This Row],[Last Price]] -SnapshotTable[[#This Row],[SC Strike Price]]) / SnapshotTable[[#This Row],[Last Price]]) * -1, "")</f>
        <v/>
      </c>
      <c r="FM95" s="157" t="str">
        <f>IF(SnapshotTable[[#This Row],[SC Is Booked]],  (SnapshotTable[[#This Row],[SC Qty]] * 100 * SnapshotTable[[#This Row],[SC Strike Price]]) - SnapshotTable[[#This Row],[SC Current Ask]], "")</f>
        <v/>
      </c>
      <c r="FN9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5" s="31" t="str">
        <f>IF(AND(ISNUMBER(SnapshotTable[[#This Row],[SC Exercise Gross]]), ISNUMBER(SnapshotTable[[#This Row],[Equity Basis Per Share]] )), SnapshotTable[[#This Row],[SC Exercise Gross]] - SnapshotTable[[#This Row],[Equity Basis Total]] +  SnapshotTable[[#This Row],[SC Premium]], "")</f>
        <v/>
      </c>
      <c r="FP95" s="5" t="str">
        <f>IF(ISNUMBER(SnapshotTable[[#This Row],[SC Exercise Gross]]), (SnapshotTable[[#This Row],[SC Exercise Gross]]) / (SnapshotTable[[#This Row],[SC Qty]] * 100), "")</f>
        <v/>
      </c>
      <c r="FQ95" s="27" t="str">
        <f>IF(SnapshotTable[[#This Row],[SC Is Booked]],SnapshotTable[[#This Row],[SC Time Val]] /SnapshotTable[[#This Row],[SC Basis]], "")</f>
        <v/>
      </c>
      <c r="FR95" s="27" t="str" cm="1">
        <f t="array" ref="FR95">IF(AND(ISNUMBER(SnapshotTable[[#This Row],[SC Term]]),ISNUMBER(SnapshotTable[[#This Row],[SC Simple ROO]])), EllmanAnnualize(SnapshotTable[[#This Row],[SC DTE]], SnapshotTable[[#This Row],[SC Simple ROO]] ),"")</f>
        <v/>
      </c>
      <c r="FS95" s="4" t="e">
        <f>IF(SnapshotTable[[#This Row],[SC Strike Price]] &gt; SnapshotTable[[#This Row],[Last Price]], SnapshotTable[[#This Row],[SC Strike Price]] - SnapshotTable[[#This Row],[Last Price]],0)</f>
        <v>#VALUE!</v>
      </c>
      <c r="FT95" s="27" t="e">
        <f>IF(AND(ISNUMBER(SnapshotTable[[#This Row],[SC Upside Potential]]), SnapshotTable[[#This Row],[SC Upside Potential]] &gt; 0),(SnapshotTable[[#This Row],[SC Upside Potential]]/ SnapshotTable[[#This Row],[ACB]]),"")</f>
        <v>#VALUE!</v>
      </c>
      <c r="FU95" s="333" t="str">
        <f>IF(SnapshotTable[[#This Row],[SC Intrinsic Value]] &gt; 0,SnapshotTable[[#This Row],[SC Intrinsic Value]],"")</f>
        <v/>
      </c>
      <c r="FV95" s="27" t="str">
        <f>IF(AND( ISNUMBER( SnapshotTable[[#This Row],[ACB]]),ISNUMBER(SnapshotTable[[#This Row],[SC Downside Protect]])),SnapshotTable[[#This Row],[SC Downside Protect]] / SnapshotTable[[#This Row],[ACB]],"")</f>
        <v/>
      </c>
      <c r="FW95" s="236" t="str">
        <f>IF(AND(ISNUMBER(SnapshotTable[[#This Row],[SC Simple ROO]]),SnapshotTable[[#This Row],[SC Simple ROO]] &gt; 0), SnapshotTable[[#This Row],[SC Premium]] + (SnapshotTable[[#This Row],[SC Qty]] * SnapshotTable[[#This Row],[SC Upside Potential]]), "")</f>
        <v/>
      </c>
      <c r="FX95" s="302" t="str" cm="1">
        <f t="array" ref="FX95">IF(ISNUMBER(SnapshotTable[[#This Row],[SC Max Dollars]]), annualize(SnapshotTable[[#This Row],[SC Term]],(SnapshotTable[[#This Row],[SC Max Dollars]]/SnapshotTable[[#This Row],[SC Basis]])),"")</f>
        <v/>
      </c>
      <c r="FY95" s="236" t="str">
        <f>IF(AND(SnapshotTable[[#This Row],[SC Qty]]&gt;0,SnapshotTable[[#This Row],[SC Current Ask]]&gt;0), SnapshotTable[[#This Row],[SC Qty]] * SnapshotTable[[#This Row],[SC Current Ask]] * -100, "")</f>
        <v/>
      </c>
      <c r="FZ95" s="31" t="str">
        <f>IF(ISNUMBER((SnapshotTable[[#This Row],[SC Current Value]])), SnapshotTable[[#This Row],[SC Premium]] + SnapshotTable[[#This Row],[SC Current Value]], "")</f>
        <v/>
      </c>
      <c r="GA95" s="294" t="str">
        <f>IFERROR( IF(ISNUMBER((SnapshotTable[[#This Row],[SC Current Value]])), SnapshotTable[[#This Row],[SC Gain Loss]] / SnapshotTable[[#This Row],[SC Premium]], ""), "")</f>
        <v/>
      </c>
      <c r="GB95" s="42">
        <f>SnapshotTable[[#This Row],[Equity Shares]] * SaleSharesToConsiderPercentage</f>
        <v>0</v>
      </c>
      <c r="GC95" s="40">
        <f>SnapshotTable[[#This Row],[Long Term Target]] * SellingPriceToConsiderBasedOnTargetPercentage</f>
        <v>71.63</v>
      </c>
      <c r="GD95" s="40">
        <f>SnapshotTable[[#This Row],[Last Price]] * (1+ SellingPriceToConsiderBasedOnTargetPercentage)</f>
        <v>323.93400000000003</v>
      </c>
      <c r="GE95" s="41"/>
      <c r="GF95" s="40"/>
      <c r="GG95" s="31">
        <f>SnapshotTable[[#This Row],[Booked Sale Shares]] * SnapshotTable[[#This Row],[Booked Sale Price]]</f>
        <v>0</v>
      </c>
      <c r="GH95" s="31" t="str">
        <f>IF(SnapshotTable[[#This Row],[Equity Basis Total]] &gt; 0, SnapshotTable[[#This Row],[Equity Basis Per Share]] * SnapshotTable[[#This Row],[Booked Sale Shares]], "")</f>
        <v/>
      </c>
      <c r="GI95" s="31">
        <f>IF(SnapshotTable[[#This Row],[Sale Proceeds]]&gt;0, SnapshotTable[[#This Row],[Sale Proceeds]] - SnapshotTable[[#This Row],[Sale Basis]], 0)</f>
        <v>0</v>
      </c>
      <c r="GJ95" s="27" t="str">
        <f>IF(SnapshotTable[[#This Row],[Sale G/L]]&gt;0, SnapshotTable[[#This Row],[Sale G/L]] / SnapshotTable[[#This Row],[Sale Basis]], IF(ISNUMBER(SnapshotTable[[#This Row],[SC Exercise P&amp;L (TAX)]]), SnapshotTable[[#This Row],[SC Exercise P&amp;L (TAX)]] / SnapshotTable[[#This Row],[SC Basis]], ""))</f>
        <v/>
      </c>
      <c r="GK95" s="27" t="s">
        <v>1058</v>
      </c>
      <c r="GL95" s="43" t="str">
        <f>IF(AND(SnapshotTable[[#This Row],[LP Exp Date]]&gt;0,SnapshotTable[[#This Row],[LP Strike Price]]&gt;0), [1]!ToOptionSymbol(SnapshotTable[[#This Row],[Symbol]], SnapshotTable[[#This Row],[LP Strike Price]],SnapshotTable[[#This Row],[LP Exp Date]],1), "")</f>
        <v/>
      </c>
      <c r="GM95" s="30" t="str">
        <f>IF(LEN(SnapshotTable[[#This Row],[LP Symbol]])&gt;0, 1, "")</f>
        <v/>
      </c>
      <c r="GN95" s="43" t="str">
        <f>IF(AND(SnapshotTable[[#This Row],[SP Exp Date]]&gt;0,SnapshotTable[[#This Row],[SP Strike Price]]&gt;0), [1]!ToOptionSymbol(SnapshotTable[[#This Row],[Symbol]], SnapshotTable[[#This Row],[SP Strike Price]],SnapshotTable[[#This Row],[SP Exp Date]],1), "")</f>
        <v/>
      </c>
      <c r="GO95" s="30" t="str">
        <f>IF(LEN(SnapshotTable[[#This Row],[SP Symbol]])&gt;0, 1, "")</f>
        <v/>
      </c>
      <c r="GP95" s="43" t="str">
        <f>IF(AND(SnapshotTable[[#This Row],[LC Exp Date]]&gt;0,SnapshotTable[[#This Row],[LC Strike Price]]&gt;0), [1]!ToOptionSymbol(SnapshotTable[[#This Row],[Symbol]], SnapshotTable[[#This Row],[LC Strike Price]],SnapshotTable[[#This Row],[LC Exp Date]],0), "")</f>
        <v/>
      </c>
      <c r="GQ95" s="30" t="str">
        <f>IF(LEN(SnapshotTable[[#This Row],[LC Symbol]])&gt;0, 1, "")</f>
        <v/>
      </c>
      <c r="GR95" s="43" t="str">
        <f>IF(AND(SnapshotTable[[#This Row],[SC Exp Date]]&gt;0,SnapshotTable[[#This Row],[SC Strike Price]]&gt;0), [1]!ToOptionSymbol(SnapshotTable[[#This Row],[Symbol]], SnapshotTable[[#This Row],[SC Strike Price]],SnapshotTable[[#This Row],[SC Exp Date]],0), "")</f>
        <v/>
      </c>
      <c r="GS95" s="30" t="str">
        <f>IF(LEN(SnapshotTable[[#This Row],[SC Symbol]])&gt;0, 1, "")</f>
        <v/>
      </c>
      <c r="GT95" s="29" t="str">
        <f>IF(COUNT(SnapshotTable[[#This Row],[LP Symbol Count]],SnapshotTable[[#This Row],[SP Symbol Count]],SnapshotTable[[#This Row],[LC Symbol Count]],SnapshotTable[[#This Row],[SC Symbol Count]])&gt;0, "Y", "")</f>
        <v/>
      </c>
      <c r="GU9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5" s="231" t="e">
        <f>MAX(SnapshotTable[[#This Row],[Equity Basis Total]],SnapshotTable[[#This Row],[Equity Value]]) + (SnapshotTable[[#This Row],[SP Potential Spend]]- SnapshotTable[[#This Row],[SP Premium]] + SnapshotTable[[#This Row],[LP Premium]])+ (SnapshotTable[[#This Row],[LC Premium]] - SnapshotTable[[#This Row],[SC Premium]])</f>
        <v>#VALUE!</v>
      </c>
      <c r="GW95" s="139" t="e">
        <f>IF(AND(SnapshotTable[[#This Row],[Exposure]] &lt;&gt; 0),SnapshotTable[[#This Row],[Exposure]] / SnapshotTable[[#Totals],[Exposure]], "")</f>
        <v>#VALUE!</v>
      </c>
      <c r="GY95" s="381"/>
      <c r="HE95" s="268"/>
      <c r="HF95" s="268"/>
      <c r="HG95" s="381"/>
      <c r="HH95" s="381"/>
      <c r="HI95" s="381"/>
      <c r="HJ95" s="381"/>
    </row>
    <row r="96" spans="2:224" ht="12.75" hidden="1" customHeight="1" x14ac:dyDescent="0.25">
      <c r="B96" s="12" t="s">
        <v>1182</v>
      </c>
      <c r="C96" s="422">
        <v>11.26</v>
      </c>
      <c r="D96" s="208" t="s">
        <v>578</v>
      </c>
      <c r="E96" s="39">
        <f>SnapshotTable[[#This Row],[Last Price]]*(1 -CrashDiscount)</f>
        <v>9.5709999999999997</v>
      </c>
      <c r="F96" s="26" t="s">
        <v>963</v>
      </c>
      <c r="G96" s="26" t="s">
        <v>882</v>
      </c>
      <c r="H96" s="149"/>
      <c r="I96" s="194"/>
      <c r="J96" s="195"/>
      <c r="K96" s="196"/>
      <c r="L96" s="326"/>
      <c r="M96" s="140"/>
      <c r="N96" s="140"/>
      <c r="O96" s="140"/>
      <c r="P96" s="22"/>
      <c r="Q96" s="25"/>
      <c r="R96" s="4" t="str">
        <f>IF(SnapshotTable[[#This Row],[Equity Basis Total]] &gt; 0, SnapshotTable[[#This Row],[Equity Basis Total]] / SnapshotTable[[#This Row],[Equity Shares]], "")</f>
        <v/>
      </c>
      <c r="S96" s="269">
        <f>SnapshotTable[[#This Row],[Last Price]] * SnapshotTable[[#This Row],[Equity Shares]]</f>
        <v>0</v>
      </c>
      <c r="T96" s="269">
        <f>SnapshotTable[[#This Row],[Equity Value]] - SnapshotTable[[#This Row],[Equity Basis Total]]</f>
        <v>0</v>
      </c>
      <c r="U96" s="270" t="str">
        <f>IF(SnapshotTable[[#This Row],[Equity Basis Total]] &gt; 0, SnapshotTable[[#This Row],[Equity G/L]] / SnapshotTable[[#This Row],[Equity Basis Total]], "")</f>
        <v/>
      </c>
      <c r="V96" s="268"/>
      <c r="W96" s="268"/>
      <c r="X96" s="4" t="str">
        <f>IF(AND(ISNUMBER(SnapshotTable[[#This Row],[Equity Basis Per Share]]),ISNUMBER(SnapshotTable[[#This Row],[Equity Target]])),SnapshotTable[[#This Row],[Equity Target]]-SnapshotTable[[#This Row],[Equity Basis Per Share]],"")</f>
        <v/>
      </c>
      <c r="Y96" s="4" t="str">
        <f>IF(AND(ISNUMBER(SnapshotTable[[#This Row],[Equity Basis Per Share]]),ISNUMBER(SnapshotTable[[#This Row],[Equity Stop Loss]])),SnapshotTable[[#This Row],[Equity Stop Loss]]-SnapshotTable[[#This Row],[Equity Basis Per Share]],"")</f>
        <v/>
      </c>
      <c r="Z96" s="275" t="str">
        <f>IFERROR( TEXT(SnapshotTable[[#This Row],[Equity Max Gain Per Share]] /ABS( SnapshotTable[[#This Row],[Equity Max Loss Per Share]]),"0.0 " ) &amp; " : 1", "")</f>
        <v/>
      </c>
      <c r="AA96" s="31" t="str">
        <f>IF(ISNUMBER(SnapshotTable[[#This Row],[Equity Max Gain Per Share]]),SnapshotTable[[#This Row],[Equity Max Gain Per Share]] * SnapshotTable[[#This Row],[Equity Shares]],"")</f>
        <v/>
      </c>
      <c r="AB96" s="31" t="str">
        <f>IF(ISNUMBER(SnapshotTable[[#This Row],[Equity Max Loss Per Share]]),SnapshotTable[[#This Row],[Equity Max Loss Per Share]] * SnapshotTable[[#This Row],[Equity Shares]],"")</f>
        <v/>
      </c>
      <c r="AC96" s="150"/>
      <c r="AD96" s="151"/>
      <c r="AE96" s="31">
        <f>(SnapshotTable[[#This Row],[Annual Dividend Per Share]] / 4) * SnapshotTable[[#This Row],[Equity Shares]]</f>
        <v>0</v>
      </c>
      <c r="AF96" s="31">
        <f>SnapshotTable[[#This Row],[Quarterly Div $]] * 4</f>
        <v>0</v>
      </c>
      <c r="AG96" s="7">
        <f>IF(SnapshotTable[[#This Row],[Annual Dividend Per Share]]&gt;0, SnapshotTable[[#This Row],[Annual Dividend Per Share]]  / SnapshotTable[[#This Row],[Last Price]], 0)</f>
        <v>0</v>
      </c>
      <c r="AH96" s="151"/>
      <c r="AI96" s="5"/>
      <c r="AJ96" s="138"/>
      <c r="AK96" s="152" t="str">
        <f>IF(ISNUMBER( SnapshotTable[[#This Row],[EBF Target]]),(SnapshotTable[[#This Row],[EBF Target]] - SnapshotTable[[#This Row],[Last Price]]) / SnapshotTable[[#This Row],[Last Price]], "")</f>
        <v/>
      </c>
      <c r="AL96" s="152" t="str">
        <f>IF(AND(SnapshotTable[[#This Row],[Equity Basis Total]] &gt; 0,ISNUMBER( SnapshotTable[[#This Row],[Long Term Target]])), SnapshotTable[[#This Row],[From Basis $]] / SnapshotTable[[#This Row],[Equity Basis Total]], "")</f>
        <v/>
      </c>
      <c r="AM96" s="9">
        <f>IF( AND(SnapshotTable[[#This Row],[Equity Shares]] &gt;0,ISNUMBER( SnapshotTable[[#This Row],[Long Term Target]])),(SnapshotTable[[#This Row],[Equity Shares]] * SnapshotTable[[#This Row],[Long Term Target]]) - SnapshotTable[[#This Row],[Equity Basis Total]],0)</f>
        <v>0</v>
      </c>
      <c r="AN96" s="9">
        <f>IF( AND(SnapshotTable[[#This Row],[Equity Shares]] &gt;0,ISNUMBER( SnapshotTable[[#This Row],[Long Term Target]])),(SnapshotTable[[#This Row],[Equity Shares]]*SnapshotTable[[#This Row],[Long Term Target]]) - SnapshotTable[[#This Row],[Equity Value]],0)</f>
        <v>0</v>
      </c>
      <c r="AO96" s="152" t="str">
        <f>IF(AND(ISNUMBER( SnapshotTable[[#This Row],[Long Term Target]]), ISNUMBER(SnapshotTable[[#This Row],[Last Price]])),(SnapshotTable[[#This Row],[Long Term Target]] - SnapshotTable[[#This Row],[Last Price]]) / SnapshotTable[[#This Row],[Last Price]], "")</f>
        <v/>
      </c>
      <c r="AP96" s="5"/>
      <c r="AQ96" s="38"/>
      <c r="AR96" s="5"/>
      <c r="AS96" s="38"/>
      <c r="AT96" s="146"/>
      <c r="AU96" s="187" t="str">
        <f>IF(OR(SnapshotTable[[#This Row],[LP No Fill]]="Y",SnapshotTable[[#This Row],[SP Is Filled]],SnapshotTable[[#This Row],[LC Not Filled]]="Y",SnapshotTable[[#This Row],[SC Is Filled]]),"Y","")</f>
        <v/>
      </c>
      <c r="AV96" s="219"/>
      <c r="AW96" s="225"/>
      <c r="AX96" s="220"/>
      <c r="AY96" s="219" t="str">
        <f>IF(SnapshotTable[[#This Row],[Implied Move]]&gt;0, SnapshotTable[[#This Row],[Last Price]]-SnapshotTable[[#This Row],[Implied Move]],"")</f>
        <v/>
      </c>
      <c r="AZ96" s="219" t="str">
        <f>IF(SnapshotTable[[#This Row],[Implied Move]]&gt;0, SnapshotTable[[#This Row],[Last Price]] + SnapshotTable[[#This Row],[Implied Move]],"")</f>
        <v/>
      </c>
      <c r="BA96" s="331">
        <v>5.72</v>
      </c>
      <c r="BB96" s="347"/>
      <c r="BC9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6" s="351"/>
      <c r="BE96" s="5"/>
      <c r="BF96" s="14"/>
      <c r="BG96" s="13"/>
      <c r="BH96" s="13"/>
      <c r="BI96" s="5"/>
      <c r="BJ96" s="136">
        <f>IF(SnapshotTable[[#This Row],[LP Qty]] &gt; 0, SnapshotTable[[#This Row],[LP Qty]] * SnapshotTable[[#This Row],[LP Book Price]] * 100,0)</f>
        <v>0</v>
      </c>
      <c r="BK96" s="136">
        <f>IF(SnapshotTable[[#This Row],[LP Premium]] &gt; 0, SnapshotTable[[#This Row],[LP Qty]] * SnapshotTable[[#This Row],[LP Strike Price]] * 100,0)</f>
        <v>0</v>
      </c>
      <c r="BL96" s="154"/>
      <c r="BM96" s="385" t="str">
        <f>IF(SnapshotTable[[#This Row],[LP Premium]] &gt; 0,SnapshotTable[[#This Row],[LP Exp Date]]-MAX(SnapshotTable[[#This Row],[LP Book Date]], SnapshotTable[[#This Row],[LP Fill Date]]),"")</f>
        <v/>
      </c>
      <c r="BN96" s="385" t="str">
        <f>IF(ISNUMBER( SnapshotTable[[#This Row],[LP Term]]), SnapshotTable[[#This Row],[LP Exp Date]] - MockToday,"")</f>
        <v/>
      </c>
      <c r="BO96" s="163" t="str">
        <f>IF(AND(SnapshotTable[[#This Row],[LP Exp Date]]&gt;0, SnapshotTable[[#This Row],[LP Strike Price]]&gt;0,SnapshotTable[[#This Row],[LP Qty]]&gt;0,SnapshotTable[[#This Row],[LP Book Date]]&gt;0,SnapshotTable[[#This Row],[LP Book Price]]&gt;0,SnapshotTable[[#This Row],[LP Fill Date]]=0),"Y","")</f>
        <v/>
      </c>
      <c r="BP96" s="31" t="str">
        <f>IF(AND(SnapshotTable[[#This Row],[LP No Fill]]&lt;&gt;"Y",SnapshotTable[[#This Row],[LP Contract Value]]&gt;0, SnapshotTable[[#This Row],[LP Qty]]&gt;0), SnapshotTable[[#This Row],[LP Contract Value]]*SnapshotTable[[#This Row],[LP Qty]]*100,"")</f>
        <v/>
      </c>
      <c r="BQ96" s="13"/>
      <c r="BR96" s="5" t="str">
        <f>IF(SnapshotTable[[#This Row],[SP Exp Date]]&lt;&gt;"",TRUNC(SnapshotTable[[#This Row],[Last Price]]),"")</f>
        <v/>
      </c>
      <c r="BS96" s="36"/>
      <c r="BT96" s="147"/>
      <c r="BU96" s="13"/>
      <c r="BV96" s="5"/>
      <c r="BW96" s="419" t="b">
        <f>AND(ISNUMBER(SnapshotTable[[#This Row],[SP Exp Date]]), ISNUMBER(SnapshotTable[[#This Row],[SP Strike Price]]), ISNUMBER(SnapshotTable[[#This Row],[SP Qty]]), ISNUMBER(SnapshotTable[[#This Row],[SP Book Date]]), ISNUMBER(SnapshotTable[[#This Row],[SP Book Price]]))</f>
        <v>0</v>
      </c>
      <c r="BX96" s="419" t="b">
        <f>AND(SnapshotTable[[#This Row],[SP Is Booked]], NOT(ISBLANK(SnapshotTable[[#This Row],[SP Fill Date]])))</f>
        <v>0</v>
      </c>
      <c r="BY96" s="33">
        <f>IF(SnapshotTable[[#This Row],[SP Is Booked]], SnapshotTable[[#This Row],[SP Qty]] * SnapshotTable[[#This Row],[SP Book Price]] * 100, 0)</f>
        <v>0</v>
      </c>
      <c r="BZ96" s="369"/>
      <c r="CA96" s="368">
        <f>SnapshotTable[[#This Row],[LP Qty]]</f>
        <v>0</v>
      </c>
      <c r="CB96" s="4" t="str">
        <f>IF(SnapshotTable[[#This Row],[SP Is Booked]], SnapshotTable[[#This Row],[SP Strike Price]] - SnapshotTable[[#This Row],[SP Book Price]], "")</f>
        <v/>
      </c>
      <c r="CC96" s="19" t="str">
        <f>IF(SnapshotTable[[#This Row],[SP Is Booked]],SnapshotTable[[#This Row],[SP Exp Date]]-MAX(SnapshotTable[[#This Row],[SP Book Date]], SnapshotTable[[#This Row],[SP Fill Date]]),"")</f>
        <v/>
      </c>
      <c r="CD96" s="7" t="str">
        <f>IF(SnapshotTable[[#This Row],[SP Is Booked]], SnapshotTable[[#This Row],[SP Book Price]]/SnapshotTable[[#This Row],[SP Strike Price]], "")</f>
        <v/>
      </c>
      <c r="CE96" s="7" t="str">
        <f>IF(ISNUMBER(SnapshotTable[[#This Row],[SP ROO Term]]),SnapshotTable[[#This Row],[SP ROO Term]]*(365/SnapshotTable[[#This Row],[SP Term]]),"")</f>
        <v/>
      </c>
      <c r="CF96" s="236">
        <f>SnapshotTable[[#This Row],[LP Strike Price]] * SnapshotTable[[#This Row],[LP Qty]] * 100</f>
        <v>0</v>
      </c>
      <c r="CG96" s="31" t="e">
        <f>IF(ISNUMBER(SnapshotTable[[#This Row],[SP Premium]]), (SnapshotTable[[#This Row],[SP Qty]] * SnapshotTable[[#This Row],[SP Strike Price]]* 100) - SnapshotTable[[#This Row],[LP Protection]], 0)</f>
        <v>#VALUE!</v>
      </c>
      <c r="CH96" s="7" t="str">
        <f>IF(ISNUMBER(SnapshotTable[[#This Row],[SP Break Even]]),-1 * (SnapshotTable[[#This Row],[SP Break Even]] - SnapshotTable[[#This Row],[Last Price]]) / SnapshotTable[[#This Row],[Last Price]], "")</f>
        <v/>
      </c>
      <c r="CI96" s="31">
        <f>IF(AND(ISNUMBER((SnapshotTable[[#This Row],[SP Potential Spend]])), SnapshotTable[[#This Row],[SP Strike Price]] &gt; SnapshotTable[[#This Row],[Last Price]], SnapshotTable[[#This Row],[SP Is Filled]]), SnapshotTable[[#This Row],[SP Potential Spend]] -  SnapshotTable[[#This Row],[LP Max Value]], 0)</f>
        <v>0</v>
      </c>
      <c r="CJ96" s="244"/>
      <c r="CK96" s="31" t="str">
        <f>IF(ISNUMBER(SnapshotTable[[#This Row],[SP Potential Spend]]),IF(ISNUMBER(SnapshotTable[[#This Row],[SP POW]]), SnapshotTable[[#This Row],[SP POW]] * SnapshotTable[[#This Row],[SP Potential Spend]], SnapshotTable[[#This Row],[SP Potential Spend]]), "")</f>
        <v/>
      </c>
      <c r="CL96" s="164" t="e">
        <f>IF(NOT(SnapshotTable[[#This Row],[SP Is Filled]]),(SnapshotTable[[#This Row],[SP Qty]] * SnapshotTable[[#This Row],[SP Strike Price]] * 100) - SnapshotTable[[#This Row],[LP Max Value]],"")</f>
        <v>#VALUE!</v>
      </c>
      <c r="CM96" s="31" t="str">
        <f>IF(SnapshotTable[[#This Row],[SP Actual Spend]]&lt;&gt;0, ((SnapshotTable[[#This Row],[SP Strike Price]]-SnapshotTable[[#This Row],[Last Price]]) *(SnapshotTable[[#This Row],[SP Qty]]*100) - SnapshotTable[[#This Row],[SP Premium]]) * - 1, "")</f>
        <v/>
      </c>
      <c r="CN96" s="78"/>
      <c r="CO96" s="369"/>
      <c r="CP96" s="4" t="str">
        <f>IF(SnapshotTable[[#This Row],[SP Is Filled]], btc_max_buyback_amount(SnapshotTable[[#This Row],[SP Fill Date]],SnapshotTable[[#This Row],[SP Exp Date]], SnapshotTable[[#This Row],[SP Book Price]]),"")</f>
        <v/>
      </c>
      <c r="CQ96" s="78"/>
      <c r="CR9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6" s="155" t="str">
        <f>IF(SnapshotTable[[#This Row],[SP Is Filled]], btc_next_cutoff_date(SnapshotTable[[#This Row],[SP Fill Date]],SnapshotTable[[#This Row],[SP Exp Date]]),"")</f>
        <v/>
      </c>
      <c r="CT96" s="235" t="str" cm="1">
        <f t="array" ref="CT96">IF(SnapshotTable[[#This Row],[SP Is Filled]], btc_should_buy_back(SnapshotTable[[#This Row],[SP Fill Date]], SnapshotTable[[#This Row],[SP Exp Date]], SnapshotTable[[#This Row],[SP Book Price]], SnapshotTable[[#This Row],[SP Current Ask]], MockToday, SnapshotTable[[#This Row],[SP Buyback Override]]),"")</f>
        <v/>
      </c>
      <c r="CU96" s="143"/>
      <c r="CV96" s="235"/>
      <c r="CW96" s="378" t="str">
        <f>IF(ISNUMBER( SnapshotTable[[#This Row],[SP Term]]), SnapshotTable[[#This Row],[SP Exp Date]] - MockToday,"")</f>
        <v/>
      </c>
      <c r="CX96" s="31" t="str">
        <f>IF(SnapshotTable[[#This Row],[SP Is Filled]],SnapshotTable[[#This Row],[SP Buyback Price to Use]] * 100 * SnapshotTable[[#This Row],[SP Qty]], "")</f>
        <v/>
      </c>
      <c r="CY96" s="4" t="str">
        <f>IF(ISNUMBER(SnapshotTable[[#This Row],[SP Strike Price]]), SnapshotTable[[#This Row],[SP Strike Price]] * (1 - SP_MaxLoss_StrikePct), "")</f>
        <v/>
      </c>
      <c r="CZ96" s="31" t="str">
        <f>IF(ISNUMBER(SnapshotTable[[#This Row],[SP Strike  Stop Per Share]]),SnapshotTable[[#This Row],[SP Premium]] - ((SnapshotTable[[#This Row],[SP Strike Price]]-SnapshotTable[[#This Row],[SP Strike  Stop Per Share]]) *(SnapshotTable[[#This Row],[SP Qty]] * 100)),"")</f>
        <v/>
      </c>
      <c r="DA96" s="4" t="str">
        <f>IF(AND(ISNUMBER(SnapshotTable[[#This Row],[SP Premium]]),SnapshotTable[[#This Row],[SP Premium]]&gt;0), SnapshotTable[[#This Row],[SP Book Price]] * (1 + SP_MaxLoss_OptionPct), "")</f>
        <v/>
      </c>
      <c r="DB96" s="31" t="str">
        <f>IF(ISNUMBER(SnapshotTable[[#This Row],[SP Option  Stop Contract]]),(SnapshotTable[[#This Row],[SP Option  Stop Contract]] *(SnapshotTable[[#This Row],[SP Qty]] * 100) - SnapshotTable[[#This Row],[SP Premium]]),"")</f>
        <v/>
      </c>
      <c r="DC96" s="4"/>
      <c r="DD96" s="4"/>
      <c r="DE96" s="4" t="str">
        <f>IF(AND(SnapshotTable[[#This Row],[SP Qty]]&gt;0, SnapshotTable[[#This Row],[SP Stop To Use]]&gt;0),SnapshotTable[[#This Row],[SP Premium]] - ( SnapshotTable[[#This Row],[SP Qty]] * SnapshotTable[[#This Row],[SP Stop To Use]] * 100), "")</f>
        <v/>
      </c>
      <c r="DF96" s="31" t="str">
        <f>IF(AND(SnapshotTable[[#This Row],[SP Qty]]&gt;0,SnapshotTable[[#This Row],[SP Current Ask]]&gt;0), SnapshotTable[[#This Row],[SP Qty]] * SnapshotTable[[#This Row],[SP Current Ask]] * -100, "")</f>
        <v/>
      </c>
      <c r="DG96" s="31" t="str">
        <f>IF(ISNUMBER((SnapshotTable[[#This Row],[SP Total Value]])), SnapshotTable[[#This Row],[SP Premium]] + SnapshotTable[[#This Row],[SP Total Value]], "")</f>
        <v/>
      </c>
      <c r="DH96" s="294" t="str">
        <f>IF(ISNUMBER((SnapshotTable[[#This Row],[SP Total Value]])), SnapshotTable[[#This Row],[SP Gain Loss]] / SnapshotTable[[#This Row],[SP Premium]], "")</f>
        <v/>
      </c>
      <c r="DI96" s="406"/>
      <c r="DJ96" s="138"/>
      <c r="DK96" s="148"/>
      <c r="DL96" s="13"/>
      <c r="DM96" s="13"/>
      <c r="DO96" s="31">
        <f>IF(SnapshotTable[[#This Row],[LC Symbol Count]]=1, SnapshotTable[[#This Row],[LC Qty]] * SnapshotTable[[#This Row],[LC Book Price]] * 100, 0)</f>
        <v>0</v>
      </c>
      <c r="DP96" s="163" t="str">
        <f>IF(AND(SnapshotTable[[#This Row],[LC Exp Date]]&gt;0, SnapshotTable[[#This Row],[LC Strike Price]]&gt;0,SnapshotTable[[#This Row],[LC Qty]]&gt;0,SnapshotTable[[#This Row],[LC Book Date]]&gt;0,SnapshotTable[[#This Row],[LC Book Price]]&gt;0,SnapshotTable[[#This Row],[LC Fill Date]]=0),"Y","")</f>
        <v/>
      </c>
      <c r="DQ96" s="386" t="str">
        <f>IF(SnapshotTable[[#This Row],[LC Premium]] &gt; 0,SnapshotTable[[#This Row],[LC Exp Date]]-MAX(SnapshotTable[[#This Row],[LC Book Date]], SnapshotTable[[#This Row],[LC Fill Date]]),"")</f>
        <v/>
      </c>
      <c r="DR96" s="386" t="str">
        <f>IF(ISNUMBER(SnapshotTable[[#This Row],[LC Term]]), SnapshotTable[[#This Row],[LC Exp Date]] - MockToday, "")</f>
        <v/>
      </c>
      <c r="DS96" s="234" t="str">
        <f>IF(SnapshotTable[[#This Row],[LC Premium]]&gt;0,SnapshotTable[[#This Row],[LC Strike Price]] + SnapshotTable[[#This Row],[LC Book Price]],"")</f>
        <v/>
      </c>
      <c r="DU96" s="9" t="str">
        <f>IF(AND(SnapshotTable[[#This Row],[LC Symbol Count]]&gt;0, SnapshotTable[[#This Row],[LC Contract Value]]&gt;0), SnapshotTable[[#This Row],[LC Contract Value]] * SnapshotTable[[#This Row],[LC Qty]] * 100, "")</f>
        <v/>
      </c>
      <c r="DV96" s="9" t="str">
        <f>IF(AND(ISNUMBER(SnapshotTable[[#This Row],[LC Total Value]]), SnapshotTable[[#This Row],[LC Not Filled]]&lt;&gt;"Y"), SnapshotTable[[#This Row],[LC Total Value]]-SnapshotTable[[#This Row],[LC Premium]],"")</f>
        <v/>
      </c>
      <c r="DW96" s="240" t="str">
        <f>IF(ISNUMBER(SnapshotTable[[#This Row],[LC Actual Gain Loss]]), SnapshotTable[[#This Row],[LC Actual Gain Loss]] / SnapshotTable[[#This Row],[LC Premium]],"")</f>
        <v/>
      </c>
      <c r="DX96" s="284" t="str">
        <f>IF(ISNUMBER(SnapshotTable[[#This Row],[LC Book Price]]),SnapshotTable[[#This Row],[LC Book Price]] * 1.5,"")</f>
        <v/>
      </c>
      <c r="DY96" s="265" t="str">
        <f>IF(SnapshotTable[[#This Row],[LC Premium]]&gt;0, SnapshotTable[[#This Row],[LC Next Target]] * SnapshotTable[[#This Row],[LC Qty]] * 100,"")</f>
        <v/>
      </c>
      <c r="DZ96" s="265" t="str">
        <f>IF(ISNUMBER(SnapshotTable[[#This Row],[LC Target Gross]]), SnapshotTable[[#This Row],[LC Target Gross]] - SnapshotTable[[#This Row],[LC Premium]], "")</f>
        <v/>
      </c>
      <c r="EA96" s="305" t="str">
        <f>IF(ISNUMBER(SnapshotTable[[#This Row],[LC Target Gain Loss]]), SnapshotTable[[#This Row],[LC Target Gain Loss]]/SnapshotTable[[#This Row],[LC Premium]], "")</f>
        <v/>
      </c>
      <c r="EB96" s="262"/>
      <c r="EC96" s="283" t="str">
        <f>IF(SnapshotTable[[#This Row],[LC Premium]]&gt;0, SnapshotTable[[#This Row],[LC Book Price]] * (1 - LC_StopLoss_Pct),"")</f>
        <v/>
      </c>
      <c r="ED96" s="284"/>
      <c r="EE96" s="283" t="str">
        <f>IF(ISNUMBER(SnapshotTable[[#This Row],[LC Contract Value]]),IF(ISNUMBER(SnapshotTable[[#This Row],[LC Stop Loss Override]]), SnapshotTable[[#This Row],[LC Stop Loss Override]],SnapshotTable[[#This Row],[LC Stop Loss Calc Target]]),"")</f>
        <v/>
      </c>
      <c r="EF96" s="31" t="str">
        <f>IF(ISNUMBER(SnapshotTable[[#This Row],[LC Stop  To Use]]), (SnapshotTable[[#This Row],[LC Stop  To Use]] * SnapshotTable[[#This Row],[LC Qty]] * 100),"")</f>
        <v/>
      </c>
      <c r="EG96" s="9" t="str">
        <f>IF(ISNUMBER(SnapshotTable[[#This Row],[LC Total Value]]),SnapshotTable[[#This Row],[LC Stop Loss Amount]] - SnapshotTable[[#This Row],[LC Premium]],"")</f>
        <v/>
      </c>
      <c r="EH96" s="9">
        <f>IF(ISNUMBER(SnapshotTable[[#This Row],[LC Premium]]), SnapshotTable[[#This Row],[LC Qty]] * 100 * SnapshotTable[[#This Row],[LC Strike Price]], "")</f>
        <v>0</v>
      </c>
      <c r="EI96" s="240" t="str">
        <f>IF(AND(ISNUMBER(SnapshotTable[[#This Row],[LC Total Value]]),SnapshotTable[[#This Row],[LC Total Value]]&gt;0),SnapshotTable[[#This Row],[LC Stop Gain Loss]]  / SnapshotTable[[#This Row],[LC Premium]],"")</f>
        <v/>
      </c>
      <c r="EJ96" s="35">
        <f>IF(ISNUMBER(SnapshotTable[[#This Row],[Equity Shares]]),TRUNC(SnapshotTable[[#This Row],[Equity Shares]] / 100),0) + SnapshotTable[[#This Row],[LC Qty]]</f>
        <v>0</v>
      </c>
      <c r="EK96" s="147"/>
      <c r="EL96" s="138" t="str">
        <f>IF(SnapshotTable[[#This Row],[SC Exp Date]]&lt;&gt;"",TRUNC(SnapshotTable[[#This Row],[Last Price]]),"")</f>
        <v/>
      </c>
      <c r="EM96" s="148"/>
      <c r="EN96" s="147"/>
      <c r="EO96" s="147"/>
      <c r="EP96" s="138"/>
      <c r="EQ96" s="419" t="b">
        <f>AND(ISNUMBER(SnapshotTable[[#This Row],[SC Exp Date]]), ISNUMBER(SnapshotTable[[#This Row],[SC Strike Price]]), ISNUMBER(SnapshotTable[[#This Row],[SC Qty]]), ISNUMBER(SnapshotTable[[#This Row],[SC Book Date]]), ISNUMBER(SnapshotTable[[#This Row],[SC Book Price]]))</f>
        <v>0</v>
      </c>
      <c r="ER96" s="419" t="b">
        <f>AND(SnapshotTable[[#This Row],[SC Is Booked]], NOT(ISBLANK(SnapshotTable[[#This Row],[SC Fill Date]])))</f>
        <v>0</v>
      </c>
      <c r="ES96" s="370"/>
      <c r="ET96" s="34" t="str">
        <f>IF(AND(ISNUMBER(SnapshotTable[[#This Row],[SC Exp Date]]), ISNUMBER(SnapshotTable[[#This Row],[SC Book Date]])), SnapshotTable[[#This Row],[SC Exp Date]] - MAX(SnapshotTable[[#This Row],[SC Book Date]], SnapshotTable[[#This Row],[SC Fill Date]]) + 1, "")</f>
        <v/>
      </c>
      <c r="EU96" s="34" t="str">
        <f>IF(ISNUMBER(SnapshotTable[[#This Row],[SC Term]]), SnapshotTable[[#This Row],[SC Exp Date]]- MockToday, "")</f>
        <v/>
      </c>
      <c r="EV96" s="31">
        <f>IF(SnapshotTable[[#This Row],[SC Is Booked]], SnapshotTable[[#This Row],[SC Qty]] * SnapshotTable[[#This Row],[SC Book Price]] * 100, 0)</f>
        <v>0</v>
      </c>
      <c r="EW96" s="4" t="str">
        <f>IF(AND(ISNUMBER(SnapshotTable[[#This Row],[Last Price]]), ISNUMBER( SnapshotTable[[#This Row],[SC Book Price]])), SnapshotTable[[#This Row],[Last Price]] - SnapshotTable[[#This Row],[SC Book Price]],"")</f>
        <v/>
      </c>
      <c r="EX96" s="234" t="str">
        <f>IF(SnapshotTable[[#This Row],[SC Is Booked]],IF(SnapshotTable[[#This Row],[SC Intrinsic Value]] &gt; 0, SnapshotTable[[#This Row],[SC Strike Price]], SnapshotTable[[#This Row],[Last Price]]), "")</f>
        <v/>
      </c>
      <c r="EY96" s="4">
        <f>IF(SnapshotTable[[#This Row],[SC Is Booked]], (MinimumPremiumRequired * SnapshotTable[[#This Row],[SC Basis]] * SnapshotTable[[#This Row],[SC Term]]), 0)</f>
        <v>0</v>
      </c>
      <c r="EZ96" s="283"/>
      <c r="FA96" s="218"/>
      <c r="FB96" s="370"/>
      <c r="FC96" s="4">
        <f>IF(SnapshotTable[[#This Row],[SC Is Filled]], btc_max_buyback_amount(SnapshotTable[[#This Row],[SC Fill Date]],SnapshotTable[[#This Row],[SC Exp Date]], SnapshotTable[[#This Row],[SC Book Price]]),0)</f>
        <v>0</v>
      </c>
      <c r="FD96" s="5"/>
      <c r="FE96" s="144" t="str">
        <f>IF(SnapshotTable[[#This Row],[SC Is Filled]], btc_next_cutoff_date(SnapshotTable[[#This Row],[SC Fill Date]],SnapshotTable[[#This Row],[SC Exp Date]]),"")</f>
        <v/>
      </c>
      <c r="FF96" s="4" t="str" cm="1">
        <f t="array" ref="FF96">IF(SnapshotTable[[#This Row],[SC Is Filled]], btc_should_buy_back(SnapshotTable[[#This Row],[SC Fill Date]], SnapshotTable[[#This Row],[SC Exp Date]], SnapshotTable[[#This Row],[SC Book Price]], SnapshotTable[[#This Row],[SC Current Ask]], MockToday, SnapshotTable[[#This Row],[SC Buyback Override]]),"")</f>
        <v/>
      </c>
      <c r="FG96" s="4">
        <f>IF(SnapshotTable[[#This Row],[SC Is Filled]], MAX(0,SnapshotTable[[#This Row],[Last Price]]  - SnapshotTable[[#This Row],[SC Strike Price]]), 0)</f>
        <v>0</v>
      </c>
      <c r="FH96" s="382">
        <f>IF(SnapshotTable[[#This Row],[SC Is Filled]], IF(ISNUMBER(SnapshotTable[[#This Row],[SC Current Ask]]), SnapshotTable[[#This Row],[SC Current Ask]], SnapshotTable[[#This Row],[SC Book Price]]) - SnapshotTable[[#This Row],[SC Intrinsic Value]], 0)</f>
        <v>0</v>
      </c>
      <c r="FI96" s="143">
        <v>45786</v>
      </c>
      <c r="FJ96" s="32" t="str">
        <f>IF(SnapshotTable[[#This Row],[SC Is Filled]],100 * SnapshotTable[[#This Row],[SC Qty]] * IF(ISNUMBER(SnapshotTable[[#This Row],[SC Buyback Override]]), SnapshotTable[[#This Row],[SC Buyback Override]], SnapshotTable[[#This Row],[SC Current Ask]]), "")</f>
        <v/>
      </c>
      <c r="FK96" s="250" t="str">
        <f>IF(SnapshotTable[[#This Row],[SC Time Val]]&gt;0, SnapshotTable[[#This Row],[SC Time Val]] / SnapshotTable[[#This Row],[Last Price]],"")</f>
        <v/>
      </c>
      <c r="FL96" s="302" t="str">
        <f>IF(SnapshotTable[[#This Row],[SC Is Booked]], ((SnapshotTable[[#This Row],[Last Price]] -SnapshotTable[[#This Row],[SC Strike Price]]) / SnapshotTable[[#This Row],[Last Price]]) * -1, "")</f>
        <v/>
      </c>
      <c r="FM96" s="157" t="str">
        <f>IF(SnapshotTable[[#This Row],[SC Is Booked]],  (SnapshotTable[[#This Row],[SC Qty]] * 100 * SnapshotTable[[#This Row],[SC Strike Price]]) - SnapshotTable[[#This Row],[SC Current Ask]], "")</f>
        <v/>
      </c>
      <c r="FN9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6" s="31" t="str">
        <f>IF(AND(ISNUMBER(SnapshotTable[[#This Row],[SC Exercise Gross]]), ISNUMBER(SnapshotTable[[#This Row],[Equity Basis Per Share]] )), SnapshotTable[[#This Row],[SC Exercise Gross]] - SnapshotTable[[#This Row],[Equity Basis Total]] +  SnapshotTable[[#This Row],[SC Premium]], "")</f>
        <v/>
      </c>
      <c r="FP96" s="5" t="str">
        <f>IF(ISNUMBER(SnapshotTable[[#This Row],[SC Exercise Gross]]), (SnapshotTable[[#This Row],[SC Exercise Gross]]) / (SnapshotTable[[#This Row],[SC Qty]] * 100), "")</f>
        <v/>
      </c>
      <c r="FQ96" s="27" t="str">
        <f>IF(SnapshotTable[[#This Row],[SC Is Booked]],SnapshotTable[[#This Row],[SC Time Val]] /SnapshotTable[[#This Row],[SC Basis]], "")</f>
        <v/>
      </c>
      <c r="FR96" s="27" t="str" cm="1">
        <f t="array" ref="FR96">IF(AND(ISNUMBER(SnapshotTable[[#This Row],[SC Term]]),ISNUMBER(SnapshotTable[[#This Row],[SC Simple ROO]])), EllmanAnnualize(SnapshotTable[[#This Row],[SC DTE]], SnapshotTable[[#This Row],[SC Simple ROO]] ),"")</f>
        <v/>
      </c>
      <c r="FS96" s="4" t="e">
        <f>IF(SnapshotTable[[#This Row],[SC Strike Price]] &gt; SnapshotTable[[#This Row],[Last Price]], SnapshotTable[[#This Row],[SC Strike Price]] - SnapshotTable[[#This Row],[Last Price]],0)</f>
        <v>#VALUE!</v>
      </c>
      <c r="FT96" s="27" t="e">
        <f>IF(AND(ISNUMBER(SnapshotTable[[#This Row],[SC Upside Potential]]), SnapshotTable[[#This Row],[SC Upside Potential]] &gt; 0),(SnapshotTable[[#This Row],[SC Upside Potential]]/ SnapshotTable[[#This Row],[ACB]]),"")</f>
        <v>#VALUE!</v>
      </c>
      <c r="FU96" s="333" t="str">
        <f>IF(SnapshotTable[[#This Row],[SC Intrinsic Value]] &gt; 0,SnapshotTable[[#This Row],[SC Intrinsic Value]],"")</f>
        <v/>
      </c>
      <c r="FV96" s="27" t="str">
        <f>IF(AND( ISNUMBER( SnapshotTable[[#This Row],[ACB]]),ISNUMBER(SnapshotTable[[#This Row],[SC Downside Protect]])),SnapshotTable[[#This Row],[SC Downside Protect]] / SnapshotTable[[#This Row],[ACB]],"")</f>
        <v/>
      </c>
      <c r="FW96" s="236" t="str">
        <f>IF(AND(ISNUMBER(SnapshotTable[[#This Row],[SC Simple ROO]]),SnapshotTable[[#This Row],[SC Simple ROO]] &gt; 0), SnapshotTable[[#This Row],[SC Premium]] + (SnapshotTable[[#This Row],[SC Qty]] * SnapshotTable[[#This Row],[SC Upside Potential]]), "")</f>
        <v/>
      </c>
      <c r="FX96" s="302" t="str" cm="1">
        <f t="array" ref="FX96">IF(ISNUMBER(SnapshotTable[[#This Row],[SC Max Dollars]]), annualize(SnapshotTable[[#This Row],[SC Term]],(SnapshotTable[[#This Row],[SC Max Dollars]]/SnapshotTable[[#This Row],[SC Basis]])),"")</f>
        <v/>
      </c>
      <c r="FY96" s="236" t="str">
        <f>IF(AND(SnapshotTable[[#This Row],[SC Qty]]&gt;0,SnapshotTable[[#This Row],[SC Current Ask]]&gt;0), SnapshotTable[[#This Row],[SC Qty]] * SnapshotTable[[#This Row],[SC Current Ask]] * -100, "")</f>
        <v/>
      </c>
      <c r="FZ96" s="31" t="str">
        <f>IF(ISNUMBER((SnapshotTable[[#This Row],[SC Current Value]])), SnapshotTable[[#This Row],[SC Premium]] + SnapshotTable[[#This Row],[SC Current Value]], "")</f>
        <v/>
      </c>
      <c r="GA96" s="294" t="str">
        <f>IFERROR( IF(ISNUMBER((SnapshotTable[[#This Row],[SC Current Value]])), SnapshotTable[[#This Row],[SC Gain Loss]] / SnapshotTable[[#This Row],[SC Premium]], ""), "")</f>
        <v/>
      </c>
      <c r="GB96" s="42">
        <f>SnapshotTable[[#This Row],[Equity Shares]] * SaleSharesToConsiderPercentage</f>
        <v>0</v>
      </c>
      <c r="GC96" s="40">
        <f>SnapshotTable[[#This Row],[Long Term Target]] * SellingPriceToConsiderBasedOnTargetPercentage</f>
        <v>0</v>
      </c>
      <c r="GD96" s="40">
        <f>SnapshotTable[[#This Row],[Last Price]] * (1+ SellingPriceToConsiderBasedOnTargetPercentage)</f>
        <v>21.957000000000001</v>
      </c>
      <c r="GE96" s="41"/>
      <c r="GF96" s="40"/>
      <c r="GG96" s="31">
        <f>SnapshotTable[[#This Row],[Booked Sale Shares]] * SnapshotTable[[#This Row],[Booked Sale Price]]</f>
        <v>0</v>
      </c>
      <c r="GH96" s="31" t="str">
        <f>IF(SnapshotTable[[#This Row],[Equity Basis Total]] &gt; 0, SnapshotTable[[#This Row],[Equity Basis Per Share]] * SnapshotTable[[#This Row],[Booked Sale Shares]], "")</f>
        <v/>
      </c>
      <c r="GI96" s="31">
        <f>IF(SnapshotTable[[#This Row],[Sale Proceeds]]&gt;0, SnapshotTable[[#This Row],[Sale Proceeds]] - SnapshotTable[[#This Row],[Sale Basis]], 0)</f>
        <v>0</v>
      </c>
      <c r="GJ96" s="27" t="str">
        <f>IF(SnapshotTable[[#This Row],[Sale G/L]]&gt;0, SnapshotTable[[#This Row],[Sale G/L]] / SnapshotTable[[#This Row],[Sale Basis]], IF(ISNUMBER(SnapshotTable[[#This Row],[SC Exercise P&amp;L (TAX)]]), SnapshotTable[[#This Row],[SC Exercise P&amp;L (TAX)]] / SnapshotTable[[#This Row],[SC Basis]], ""))</f>
        <v/>
      </c>
      <c r="GK96" s="27"/>
      <c r="GL96" s="43" t="str">
        <f>IF(AND(SnapshotTable[[#This Row],[LP Exp Date]]&gt;0,SnapshotTable[[#This Row],[LP Strike Price]]&gt;0), [1]!ToOptionSymbol(SnapshotTable[[#This Row],[Symbol]], SnapshotTable[[#This Row],[LP Strike Price]],SnapshotTable[[#This Row],[LP Exp Date]],1), "")</f>
        <v/>
      </c>
      <c r="GM96" s="30" t="str">
        <f>IF(LEN(SnapshotTable[[#This Row],[LP Symbol]])&gt;0, 1, "")</f>
        <v/>
      </c>
      <c r="GN96" s="43" t="str">
        <f>IF(AND(SnapshotTable[[#This Row],[SP Exp Date]]&gt;0,SnapshotTable[[#This Row],[SP Strike Price]]&gt;0), [1]!ToOptionSymbol(SnapshotTable[[#This Row],[Symbol]], SnapshotTable[[#This Row],[SP Strike Price]],SnapshotTable[[#This Row],[SP Exp Date]],1), "")</f>
        <v/>
      </c>
      <c r="GO96" s="30" t="str">
        <f>IF(LEN(SnapshotTable[[#This Row],[SP Symbol]])&gt;0, 1, "")</f>
        <v/>
      </c>
      <c r="GP96" s="43" t="str">
        <f>IF(AND(SnapshotTable[[#This Row],[LC Exp Date]]&gt;0,SnapshotTable[[#This Row],[LC Strike Price]]&gt;0), [1]!ToOptionSymbol(SnapshotTable[[#This Row],[Symbol]], SnapshotTable[[#This Row],[LC Strike Price]],SnapshotTable[[#This Row],[LC Exp Date]],0), "")</f>
        <v/>
      </c>
      <c r="GQ96" s="30" t="str">
        <f>IF(LEN(SnapshotTable[[#This Row],[LC Symbol]])&gt;0, 1, "")</f>
        <v/>
      </c>
      <c r="GR96" s="43" t="str">
        <f>IF(AND(SnapshotTable[[#This Row],[SC Exp Date]]&gt;0,SnapshotTable[[#This Row],[SC Strike Price]]&gt;0), [1]!ToOptionSymbol(SnapshotTable[[#This Row],[Symbol]], SnapshotTable[[#This Row],[SC Strike Price]],SnapshotTable[[#This Row],[SC Exp Date]],0), "")</f>
        <v/>
      </c>
      <c r="GS96" s="30" t="str">
        <f>IF(LEN(SnapshotTable[[#This Row],[SC Symbol]])&gt;0, 1, "")</f>
        <v/>
      </c>
      <c r="GT96" s="29" t="str">
        <f>IF(COUNT(SnapshotTable[[#This Row],[LP Symbol Count]],SnapshotTable[[#This Row],[SP Symbol Count]],SnapshotTable[[#This Row],[LC Symbol Count]],SnapshotTable[[#This Row],[SC Symbol Count]])&gt;0, "Y", "")</f>
        <v/>
      </c>
      <c r="GU9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6" s="231" t="e">
        <f>MAX(SnapshotTable[[#This Row],[Equity Basis Total]],SnapshotTable[[#This Row],[Equity Value]]) + (SnapshotTable[[#This Row],[SP Potential Spend]]- SnapshotTable[[#This Row],[SP Premium]] + SnapshotTable[[#This Row],[LP Premium]])+ (SnapshotTable[[#This Row],[LC Premium]] - SnapshotTable[[#This Row],[SC Premium]])</f>
        <v>#VALUE!</v>
      </c>
      <c r="GW96" s="139" t="e">
        <f>IF(AND(SnapshotTable[[#This Row],[Exposure]] &lt;&gt; 0),SnapshotTable[[#This Row],[Exposure]] / SnapshotTable[[#Totals],[Exposure]], "")</f>
        <v>#VALUE!</v>
      </c>
      <c r="HE96" s="268"/>
      <c r="HF96" s="268"/>
      <c r="HK96" s="1"/>
      <c r="HL96" s="1"/>
      <c r="HM96" s="1"/>
      <c r="HN96" s="1"/>
      <c r="HO96" s="1"/>
      <c r="HP96" s="1"/>
    </row>
    <row r="97" spans="2:224" ht="12.75" hidden="1" customHeight="1" x14ac:dyDescent="0.25">
      <c r="B97" s="12" t="s">
        <v>1129</v>
      </c>
      <c r="C97" s="422">
        <v>118.79</v>
      </c>
      <c r="D97" s="208"/>
      <c r="E97" s="39">
        <f>SnapshotTable[[#This Row],[Last Price]]*(1 -CrashDiscount)</f>
        <v>100.97150000000001</v>
      </c>
      <c r="F97" s="26"/>
      <c r="G97" s="325"/>
      <c r="H97" s="149"/>
      <c r="I97" s="372"/>
      <c r="J97" s="352"/>
      <c r="K97" s="353"/>
      <c r="L97" s="327"/>
      <c r="M97" s="140"/>
      <c r="N97" s="140"/>
      <c r="O97" s="140"/>
      <c r="P97" s="328"/>
      <c r="Q97" s="354"/>
      <c r="R97" s="4" t="str">
        <f>IF(SnapshotTable[[#This Row],[Equity Basis Total]] &gt; 0, SnapshotTable[[#This Row],[Equity Basis Total]] / SnapshotTable[[#This Row],[Equity Shares]], "")</f>
        <v/>
      </c>
      <c r="S97" s="329">
        <f>SnapshotTable[[#This Row],[Last Price]] * SnapshotTable[[#This Row],[Equity Shares]]</f>
        <v>0</v>
      </c>
      <c r="T97" s="269">
        <f>SnapshotTable[[#This Row],[Equity Value]] - SnapshotTable[[#This Row],[Equity Basis Total]]</f>
        <v>0</v>
      </c>
      <c r="U97" s="270" t="str">
        <f>IF(SnapshotTable[[#This Row],[Equity Basis Total]] &gt; 0, SnapshotTable[[#This Row],[Equity G/L]] / SnapshotTable[[#This Row],[Equity Basis Total]], "")</f>
        <v/>
      </c>
      <c r="V97" s="268">
        <v>127.3</v>
      </c>
      <c r="W97" s="268">
        <v>113.45</v>
      </c>
      <c r="X97" s="4" t="str">
        <f>IF(AND(ISNUMBER(SnapshotTable[[#This Row],[Equity Basis Per Share]]),ISNUMBER(SnapshotTable[[#This Row],[Equity Target]])),SnapshotTable[[#This Row],[Equity Target]]-SnapshotTable[[#This Row],[Equity Basis Per Share]],"")</f>
        <v/>
      </c>
      <c r="Y97" s="4" t="str">
        <f>IF(AND(ISNUMBER(SnapshotTable[[#This Row],[Equity Basis Per Share]]),ISNUMBER(SnapshotTable[[#This Row],[Equity Stop Loss]])),SnapshotTable[[#This Row],[Equity Stop Loss]]-SnapshotTable[[#This Row],[Equity Basis Per Share]],"")</f>
        <v/>
      </c>
      <c r="Z97" s="275" t="str">
        <f>IFERROR( TEXT(SnapshotTable[[#This Row],[Equity Max Gain Per Share]] /ABS( SnapshotTable[[#This Row],[Equity Max Loss Per Share]]),"0.0 " ) &amp; " : 1", "")</f>
        <v/>
      </c>
      <c r="AA97" s="31" t="str">
        <f>IF(ISNUMBER(SnapshotTable[[#This Row],[Equity Max Gain Per Share]]),SnapshotTable[[#This Row],[Equity Max Gain Per Share]] * SnapshotTable[[#This Row],[Equity Shares]],"")</f>
        <v/>
      </c>
      <c r="AB97" s="31" t="str">
        <f>IF(ISNUMBER(SnapshotTable[[#This Row],[Equity Max Loss Per Share]]),SnapshotTable[[#This Row],[Equity Max Loss Per Share]] * SnapshotTable[[#This Row],[Equity Shares]],"")</f>
        <v/>
      </c>
      <c r="AC97" s="150"/>
      <c r="AD97" s="350"/>
      <c r="AE97" s="31">
        <f>(SnapshotTable[[#This Row],[Annual Dividend Per Share]] / 4) * SnapshotTable[[#This Row],[Equity Shares]]</f>
        <v>0</v>
      </c>
      <c r="AF97" s="31">
        <f>SnapshotTable[[#This Row],[Quarterly Div $]] * 4</f>
        <v>0</v>
      </c>
      <c r="AG97" s="7">
        <f>IF(SnapshotTable[[#This Row],[Annual Dividend Per Share]]&gt;0, SnapshotTable[[#This Row],[Annual Dividend Per Share]]  / SnapshotTable[[#This Row],[Last Price]], 0)</f>
        <v>0</v>
      </c>
      <c r="AH97" s="350"/>
      <c r="AI97" s="330"/>
      <c r="AJ97" s="138"/>
      <c r="AK97" s="152" t="str">
        <f>IF(ISNUMBER( SnapshotTable[[#This Row],[EBF Target]]),(SnapshotTable[[#This Row],[EBF Target]] - SnapshotTable[[#This Row],[Last Price]]) / SnapshotTable[[#This Row],[Last Price]], "")</f>
        <v/>
      </c>
      <c r="AL97" s="152" t="str">
        <f>IF(AND(SnapshotTable[[#This Row],[Equity Basis Total]] &gt; 0,ISNUMBER( SnapshotTable[[#This Row],[Long Term Target]])), SnapshotTable[[#This Row],[From Basis $]] / SnapshotTable[[#This Row],[Equity Basis Total]], "")</f>
        <v/>
      </c>
      <c r="AM97" s="9">
        <f>IF( AND(SnapshotTable[[#This Row],[Equity Shares]] &gt;0,ISNUMBER( SnapshotTable[[#This Row],[Long Term Target]])),(SnapshotTable[[#This Row],[Equity Shares]] * SnapshotTable[[#This Row],[Long Term Target]]) - SnapshotTable[[#This Row],[Equity Basis Total]],0)</f>
        <v>0</v>
      </c>
      <c r="AN97" s="9">
        <f>IF( AND(SnapshotTable[[#This Row],[Equity Shares]] &gt;0,ISNUMBER( SnapshotTable[[#This Row],[Long Term Target]])),(SnapshotTable[[#This Row],[Equity Shares]]*SnapshotTable[[#This Row],[Long Term Target]]) - SnapshotTable[[#This Row],[Equity Value]],0)</f>
        <v>0</v>
      </c>
      <c r="AO97" s="152" t="str">
        <f>IF(AND(ISNUMBER( SnapshotTable[[#This Row],[Long Term Target]]), ISNUMBER(SnapshotTable[[#This Row],[Last Price]])),(SnapshotTable[[#This Row],[Long Term Target]] - SnapshotTable[[#This Row],[Last Price]]) / SnapshotTable[[#This Row],[Last Price]], "")</f>
        <v/>
      </c>
      <c r="AP97" s="5"/>
      <c r="AQ97" s="38"/>
      <c r="AR97" s="5"/>
      <c r="AS97" s="38"/>
      <c r="AT97" s="146"/>
      <c r="AU97" s="187" t="str">
        <f>IF(OR(SnapshotTable[[#This Row],[LP No Fill]]="Y",SnapshotTable[[#This Row],[SP Is Filled]],SnapshotTable[[#This Row],[LC Not Filled]]="Y",SnapshotTable[[#This Row],[SC Is Filled]]),"Y","")</f>
        <v/>
      </c>
      <c r="AV97" s="338"/>
      <c r="AW97" s="339"/>
      <c r="AX97" s="220"/>
      <c r="AY97" s="219" t="str">
        <f>IF(SnapshotTable[[#This Row],[Implied Move]]&gt;0, SnapshotTable[[#This Row],[Last Price]]-SnapshotTable[[#This Row],[Implied Move]],"")</f>
        <v/>
      </c>
      <c r="AZ97" s="219" t="str">
        <f>IF(SnapshotTable[[#This Row],[Implied Move]]&gt;0, SnapshotTable[[#This Row],[Last Price]] + SnapshotTable[[#This Row],[Implied Move]],"")</f>
        <v/>
      </c>
      <c r="BA97" s="331"/>
      <c r="BB97" s="347"/>
      <c r="BC9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7" s="351"/>
      <c r="BE97" s="138"/>
      <c r="BF97" s="166"/>
      <c r="BG97" s="167"/>
      <c r="BH97" s="167"/>
      <c r="BI97" s="221"/>
      <c r="BJ97" s="153">
        <f>IF(SnapshotTable[[#This Row],[LP Qty]] &gt; 0, SnapshotTable[[#This Row],[LP Qty]] * SnapshotTable[[#This Row],[LP Book Price]] * 100,0)</f>
        <v>0</v>
      </c>
      <c r="BK97" s="136">
        <f>IF(SnapshotTable[[#This Row],[LP Premium]] &gt; 0, SnapshotTable[[#This Row],[LP Qty]] * SnapshotTable[[#This Row],[LP Strike Price]] * 100,0)</f>
        <v>0</v>
      </c>
      <c r="BL97" s="154"/>
      <c r="BM97" s="385" t="str">
        <f>IF(SnapshotTable[[#This Row],[LP Premium]] &gt; 0,SnapshotTable[[#This Row],[LP Exp Date]]-MAX(SnapshotTable[[#This Row],[LP Book Date]], SnapshotTable[[#This Row],[LP Fill Date]]),"")</f>
        <v/>
      </c>
      <c r="BN97" s="385" t="str">
        <f>IF(ISNUMBER( SnapshotTable[[#This Row],[LP Term]]), SnapshotTable[[#This Row],[LP Exp Date]] - MockToday,"")</f>
        <v/>
      </c>
      <c r="BO97" s="163" t="str">
        <f>IF(AND(SnapshotTable[[#This Row],[LP Exp Date]]&gt;0, SnapshotTable[[#This Row],[LP Strike Price]]&gt;0,SnapshotTable[[#This Row],[LP Qty]]&gt;0,SnapshotTable[[#This Row],[LP Book Date]]&gt;0,SnapshotTable[[#This Row],[LP Book Price]]&gt;0,SnapshotTable[[#This Row],[LP Fill Date]]=0),"Y","")</f>
        <v/>
      </c>
      <c r="BP97" s="31" t="str">
        <f>IF(AND(SnapshotTable[[#This Row],[LP No Fill]]&lt;&gt;"Y",SnapshotTable[[#This Row],[LP Contract Value]]&gt;0, SnapshotTable[[#This Row],[LP Qty]]&gt;0), SnapshotTable[[#This Row],[LP Contract Value]]*SnapshotTable[[#This Row],[LP Qty]]*100,"")</f>
        <v/>
      </c>
      <c r="BQ97" s="13"/>
      <c r="BR97" s="5" t="str">
        <f>IF(SnapshotTable[[#This Row],[SP Exp Date]]&lt;&gt;"",TRUNC(SnapshotTable[[#This Row],[Last Price]]),"")</f>
        <v/>
      </c>
      <c r="BS97" s="36"/>
      <c r="BT97" s="147"/>
      <c r="BU97" s="13"/>
      <c r="BV97" s="5"/>
      <c r="BW97" s="419" t="b">
        <f>AND(ISNUMBER(SnapshotTable[[#This Row],[SP Exp Date]]), ISNUMBER(SnapshotTable[[#This Row],[SP Strike Price]]), ISNUMBER(SnapshotTable[[#This Row],[SP Qty]]), ISNUMBER(SnapshotTable[[#This Row],[SP Book Date]]), ISNUMBER(SnapshotTable[[#This Row],[SP Book Price]]))</f>
        <v>0</v>
      </c>
      <c r="BX97" s="419" t="b">
        <f>AND(SnapshotTable[[#This Row],[SP Is Booked]], NOT(ISBLANK(SnapshotTable[[#This Row],[SP Fill Date]])))</f>
        <v>0</v>
      </c>
      <c r="BY97" s="33">
        <f>IF(SnapshotTable[[#This Row],[SP Is Booked]], SnapshotTable[[#This Row],[SP Qty]] * SnapshotTable[[#This Row],[SP Book Price]] * 100, 0)</f>
        <v>0</v>
      </c>
      <c r="BZ97" s="373"/>
      <c r="CA97" s="368">
        <f>SnapshotTable[[#This Row],[LP Qty]]</f>
        <v>0</v>
      </c>
      <c r="CB97" s="4" t="str">
        <f>IF(SnapshotTable[[#This Row],[SP Is Booked]], SnapshotTable[[#This Row],[SP Strike Price]] - SnapshotTable[[#This Row],[SP Book Price]], "")</f>
        <v/>
      </c>
      <c r="CC97" s="19" t="str">
        <f>IF(SnapshotTable[[#This Row],[SP Is Booked]],SnapshotTable[[#This Row],[SP Exp Date]]-MAX(SnapshotTable[[#This Row],[SP Book Date]], SnapshotTable[[#This Row],[SP Fill Date]]),"")</f>
        <v/>
      </c>
      <c r="CD97" s="7" t="str">
        <f>IF(SnapshotTable[[#This Row],[SP Is Booked]], SnapshotTable[[#This Row],[SP Book Price]]/SnapshotTable[[#This Row],[SP Strike Price]], "")</f>
        <v/>
      </c>
      <c r="CE97" s="7" t="str">
        <f>IF(ISNUMBER(SnapshotTable[[#This Row],[SP ROO Term]]),SnapshotTable[[#This Row],[SP ROO Term]]*(365/SnapshotTable[[#This Row],[SP Term]]),"")</f>
        <v/>
      </c>
      <c r="CF97" s="236">
        <f>SnapshotTable[[#This Row],[LP Strike Price]] * SnapshotTable[[#This Row],[LP Qty]] * 100</f>
        <v>0</v>
      </c>
      <c r="CG97" s="31" t="e">
        <f>IF(ISNUMBER(SnapshotTable[[#This Row],[SP Premium]]), (SnapshotTable[[#This Row],[SP Qty]] * SnapshotTable[[#This Row],[SP Strike Price]]* 100) - SnapshotTable[[#This Row],[LP Protection]], 0)</f>
        <v>#VALUE!</v>
      </c>
      <c r="CH97" s="7" t="str">
        <f>IF(ISNUMBER(SnapshotTable[[#This Row],[SP Break Even]]),-1 * (SnapshotTable[[#This Row],[SP Break Even]] - SnapshotTable[[#This Row],[Last Price]]) / SnapshotTable[[#This Row],[Last Price]], "")</f>
        <v/>
      </c>
      <c r="CI97" s="31">
        <f>IF(AND(ISNUMBER((SnapshotTable[[#This Row],[SP Potential Spend]])), SnapshotTable[[#This Row],[SP Strike Price]] &gt; SnapshotTable[[#This Row],[Last Price]], SnapshotTable[[#This Row],[SP Is Filled]]), SnapshotTable[[#This Row],[SP Potential Spend]] -  SnapshotTable[[#This Row],[LP Max Value]], 0)</f>
        <v>0</v>
      </c>
      <c r="CJ97" s="244"/>
      <c r="CK97" s="31" t="str">
        <f>IF(ISNUMBER(SnapshotTable[[#This Row],[SP Potential Spend]]),IF(ISNUMBER(SnapshotTable[[#This Row],[SP POW]]), SnapshotTable[[#This Row],[SP POW]] * SnapshotTable[[#This Row],[SP Potential Spend]], SnapshotTable[[#This Row],[SP Potential Spend]]), "")</f>
        <v/>
      </c>
      <c r="CL97" s="164" t="e">
        <f>IF(NOT(SnapshotTable[[#This Row],[SP Is Filled]]),(SnapshotTable[[#This Row],[SP Qty]] * SnapshotTable[[#This Row],[SP Strike Price]] * 100) - SnapshotTable[[#This Row],[LP Max Value]],"")</f>
        <v>#VALUE!</v>
      </c>
      <c r="CM97" s="31" t="str">
        <f>IF(SnapshotTable[[#This Row],[SP Actual Spend]]&lt;&gt;0, ((SnapshotTable[[#This Row],[SP Strike Price]]-SnapshotTable[[#This Row],[Last Price]]) *(SnapshotTable[[#This Row],[SP Qty]]*100) - SnapshotTable[[#This Row],[SP Premium]]) * - 1, "")</f>
        <v/>
      </c>
      <c r="CN97" s="154"/>
      <c r="CO97" s="369"/>
      <c r="CP97" s="320" t="str">
        <f>IF(SnapshotTable[[#This Row],[SP Is Filled]], btc_max_buyback_amount(SnapshotTable[[#This Row],[SP Fill Date]],SnapshotTable[[#This Row],[SP Exp Date]], SnapshotTable[[#This Row],[SP Book Price]]),"")</f>
        <v/>
      </c>
      <c r="CQ97" s="78"/>
      <c r="CR97" s="76"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7" s="155" t="str">
        <f>IF(SnapshotTable[[#This Row],[SP Is Filled]], btc_next_cutoff_date(SnapshotTable[[#This Row],[SP Fill Date]],SnapshotTable[[#This Row],[SP Exp Date]]),"")</f>
        <v/>
      </c>
      <c r="CT97" s="235" t="str" cm="1">
        <f t="array" ref="CT97">IF(SnapshotTable[[#This Row],[SP Is Filled]], btc_should_buy_back(SnapshotTable[[#This Row],[SP Fill Date]], SnapshotTable[[#This Row],[SP Exp Date]], SnapshotTable[[#This Row],[SP Book Price]], SnapshotTable[[#This Row],[SP Current Ask]], MockToday, SnapshotTable[[#This Row],[SP Buyback Override]]),"")</f>
        <v/>
      </c>
      <c r="CU97" s="156"/>
      <c r="CV97" s="235"/>
      <c r="CW97" s="378" t="str">
        <f>IF(ISNUMBER( SnapshotTable[[#This Row],[SP Term]]), SnapshotTable[[#This Row],[SP Exp Date]] - MockToday,"")</f>
        <v/>
      </c>
      <c r="CX97" s="31" t="str">
        <f>IF(SnapshotTable[[#This Row],[SP Is Filled]],SnapshotTable[[#This Row],[SP Buyback Price to Use]] * 100 * SnapshotTable[[#This Row],[SP Qty]], "")</f>
        <v/>
      </c>
      <c r="CY97" s="4" t="str">
        <f>IF(ISNUMBER(SnapshotTable[[#This Row],[SP Strike Price]]), SnapshotTable[[#This Row],[SP Strike Price]] * (1 - SP_MaxLoss_StrikePct), "")</f>
        <v/>
      </c>
      <c r="CZ97" s="31" t="str">
        <f>IF(ISNUMBER(SnapshotTable[[#This Row],[SP Strike  Stop Per Share]]),SnapshotTable[[#This Row],[SP Premium]] - ((SnapshotTable[[#This Row],[SP Strike Price]]-SnapshotTable[[#This Row],[SP Strike  Stop Per Share]]) *(SnapshotTable[[#This Row],[SP Qty]] * 100)),"")</f>
        <v/>
      </c>
      <c r="DA97" s="4" t="str">
        <f>IF(AND(ISNUMBER(SnapshotTable[[#This Row],[SP Premium]]),SnapshotTable[[#This Row],[SP Premium]]&gt;0), SnapshotTable[[#This Row],[SP Book Price]] * (1 + SP_MaxLoss_OptionPct), "")</f>
        <v/>
      </c>
      <c r="DB97" s="31" t="str">
        <f>IF(ISNUMBER(SnapshotTable[[#This Row],[SP Option  Stop Contract]]),(SnapshotTable[[#This Row],[SP Option  Stop Contract]] *(SnapshotTable[[#This Row],[SP Qty]] * 100) - SnapshotTable[[#This Row],[SP Premium]]),"")</f>
        <v/>
      </c>
      <c r="DC97" s="4"/>
      <c r="DD97" s="4"/>
      <c r="DE97" s="4" t="str">
        <f>IF(AND(SnapshotTable[[#This Row],[SP Qty]]&gt;0, SnapshotTable[[#This Row],[SP Stop To Use]]&gt;0),SnapshotTable[[#This Row],[SP Premium]] - ( SnapshotTable[[#This Row],[SP Qty]] * SnapshotTable[[#This Row],[SP Stop To Use]] * 100), "")</f>
        <v/>
      </c>
      <c r="DF97" s="31" t="str">
        <f>IF(AND(SnapshotTable[[#This Row],[SP Qty]]&gt;0,SnapshotTable[[#This Row],[SP Current Ask]]&gt;0), SnapshotTable[[#This Row],[SP Qty]] * SnapshotTable[[#This Row],[SP Current Ask]] * -100, "")</f>
        <v/>
      </c>
      <c r="DG97" s="31" t="str">
        <f>IF(ISNUMBER((SnapshotTable[[#This Row],[SP Total Value]])), SnapshotTable[[#This Row],[SP Premium]] + SnapshotTable[[#This Row],[SP Total Value]], "")</f>
        <v/>
      </c>
      <c r="DH97" s="294" t="str">
        <f>IF(ISNUMBER((SnapshotTable[[#This Row],[SP Total Value]])), SnapshotTable[[#This Row],[SP Gain Loss]] / SnapshotTable[[#This Row],[SP Premium]], "")</f>
        <v/>
      </c>
      <c r="DI97" s="406"/>
      <c r="DJ97" s="138"/>
      <c r="DK97" s="148"/>
      <c r="DL97" s="147"/>
      <c r="DM97" s="147"/>
      <c r="DO97" s="31">
        <f>IF(SnapshotTable[[#This Row],[LC Symbol Count]]=1, SnapshotTable[[#This Row],[LC Qty]] * SnapshotTable[[#This Row],[LC Book Price]] * 100, 0)</f>
        <v>0</v>
      </c>
      <c r="DP97" s="289" t="str">
        <f>IF(AND(SnapshotTable[[#This Row],[LC Exp Date]]&gt;0, SnapshotTable[[#This Row],[LC Strike Price]]&gt;0,SnapshotTable[[#This Row],[LC Qty]]&gt;0,SnapshotTable[[#This Row],[LC Book Date]]&gt;0,SnapshotTable[[#This Row],[LC Book Price]]&gt;0,SnapshotTable[[#This Row],[LC Fill Date]]=0),"Y","")</f>
        <v/>
      </c>
      <c r="DQ97" s="386" t="str">
        <f>IF(SnapshotTable[[#This Row],[LC Premium]] &gt; 0,SnapshotTable[[#This Row],[LC Exp Date]]-MAX(SnapshotTable[[#This Row],[LC Book Date]], SnapshotTable[[#This Row],[LC Fill Date]]),"")</f>
        <v/>
      </c>
      <c r="DR97" s="386" t="str">
        <f>IF(ISNUMBER(SnapshotTable[[#This Row],[LC Term]]), SnapshotTable[[#This Row],[LC Exp Date]] - MockToday, "")</f>
        <v/>
      </c>
      <c r="DS97" s="355" t="str">
        <f>IF(SnapshotTable[[#This Row],[LC Premium]]&gt;0,SnapshotTable[[#This Row],[LC Strike Price]] + SnapshotTable[[#This Row],[LC Book Price]],"")</f>
        <v/>
      </c>
      <c r="DT97" s="163"/>
      <c r="DU97" s="9" t="str">
        <f>IF(AND(SnapshotTable[[#This Row],[LC Symbol Count]]&gt;0, SnapshotTable[[#This Row],[LC Contract Value]]&gt;0), SnapshotTable[[#This Row],[LC Contract Value]] * SnapshotTable[[#This Row],[LC Qty]] * 100, "")</f>
        <v/>
      </c>
      <c r="DV97" s="9" t="str">
        <f>IF(AND(ISNUMBER(SnapshotTable[[#This Row],[LC Total Value]]), SnapshotTable[[#This Row],[LC Not Filled]]&lt;&gt;"Y"), SnapshotTable[[#This Row],[LC Total Value]]-SnapshotTable[[#This Row],[LC Premium]],"")</f>
        <v/>
      </c>
      <c r="DW97" s="240" t="str">
        <f>IF(ISNUMBER(SnapshotTable[[#This Row],[LC Actual Gain Loss]]), SnapshotTable[[#This Row],[LC Actual Gain Loss]] / SnapshotTable[[#This Row],[LC Premium]],"")</f>
        <v/>
      </c>
      <c r="DX97" s="284" t="str">
        <f>IF(ISNUMBER(SnapshotTable[[#This Row],[LC Book Price]]),SnapshotTable[[#This Row],[LC Book Price]] * 1.5,"")</f>
        <v/>
      </c>
      <c r="DY97" s="265" t="str">
        <f>IF(SnapshotTable[[#This Row],[LC Premium]]&gt;0, SnapshotTable[[#This Row],[LC Next Target]] * SnapshotTable[[#This Row],[LC Qty]] * 100,"")</f>
        <v/>
      </c>
      <c r="DZ97" s="265" t="str">
        <f>IF(ISNUMBER(SnapshotTable[[#This Row],[LC Target Gross]]), SnapshotTable[[#This Row],[LC Target Gross]] - SnapshotTable[[#This Row],[LC Premium]], "")</f>
        <v/>
      </c>
      <c r="EA97" s="305" t="str">
        <f>IF(ISNUMBER(SnapshotTable[[#This Row],[LC Target Gain Loss]]), SnapshotTable[[#This Row],[LC Target Gain Loss]]/SnapshotTable[[#This Row],[LC Premium]], "")</f>
        <v/>
      </c>
      <c r="EB97" s="262"/>
      <c r="EC97" s="290" t="str">
        <f>IF(SnapshotTable[[#This Row],[LC Premium]]&gt;0, SnapshotTable[[#This Row],[LC Book Price]] * (1 - LC_StopLoss_Pct),"")</f>
        <v/>
      </c>
      <c r="ED97" s="284"/>
      <c r="EE97" s="290" t="str">
        <f>IF(ISNUMBER(SnapshotTable[[#This Row],[LC Contract Value]]),IF(ISNUMBER(SnapshotTable[[#This Row],[LC Stop Loss Override]]), SnapshotTable[[#This Row],[LC Stop Loss Override]],SnapshotTable[[#This Row],[LC Stop Loss Calc Target]]),"")</f>
        <v/>
      </c>
      <c r="EF97" s="321" t="str">
        <f>IF(ISNUMBER(SnapshotTable[[#This Row],[LC Stop  To Use]]), (SnapshotTable[[#This Row],[LC Stop  To Use]] * SnapshotTable[[#This Row],[LC Qty]] * 100),"")</f>
        <v/>
      </c>
      <c r="EG97" s="9" t="str">
        <f>IF(ISNUMBER(SnapshotTable[[#This Row],[LC Total Value]]),SnapshotTable[[#This Row],[LC Stop Loss Amount]] - SnapshotTable[[#This Row],[LC Premium]],"")</f>
        <v/>
      </c>
      <c r="EH97" s="9">
        <f>IF(ISNUMBER(SnapshotTable[[#This Row],[LC Premium]]), SnapshotTable[[#This Row],[LC Qty]] * 100 * SnapshotTable[[#This Row],[LC Strike Price]], "")</f>
        <v>0</v>
      </c>
      <c r="EI97" s="240" t="str">
        <f>IF(AND(ISNUMBER(SnapshotTable[[#This Row],[LC Total Value]]),SnapshotTable[[#This Row],[LC Total Value]]&gt;0),SnapshotTable[[#This Row],[LC Stop Gain Loss]]  / SnapshotTable[[#This Row],[LC Premium]],"")</f>
        <v/>
      </c>
      <c r="EJ97" s="35">
        <f>IF(ISNUMBER(SnapshotTable[[#This Row],[Equity Shares]]),TRUNC(SnapshotTable[[#This Row],[Equity Shares]] / 100),0) + SnapshotTable[[#This Row],[LC Qty]]</f>
        <v>0</v>
      </c>
      <c r="EK97" s="147"/>
      <c r="EL97" s="138" t="str">
        <f>IF(SnapshotTable[[#This Row],[SC Exp Date]]&lt;&gt;"",TRUNC(SnapshotTable[[#This Row],[Last Price]]),"")</f>
        <v/>
      </c>
      <c r="EM97" s="148"/>
      <c r="EN97" s="147"/>
      <c r="EO97" s="147"/>
      <c r="EP97" s="138"/>
      <c r="EQ97" s="419" t="b">
        <f>AND(ISNUMBER(SnapshotTable[[#This Row],[SC Exp Date]]), ISNUMBER(SnapshotTable[[#This Row],[SC Strike Price]]), ISNUMBER(SnapshotTable[[#This Row],[SC Qty]]), ISNUMBER(SnapshotTable[[#This Row],[SC Book Date]]), ISNUMBER(SnapshotTable[[#This Row],[SC Book Price]]))</f>
        <v>0</v>
      </c>
      <c r="ER97" s="419" t="b">
        <f>AND(SnapshotTable[[#This Row],[SC Is Booked]], NOT(ISBLANK(SnapshotTable[[#This Row],[SC Fill Date]])))</f>
        <v>0</v>
      </c>
      <c r="ES97" s="370"/>
      <c r="ET97" s="34" t="str">
        <f>IF(AND(ISNUMBER(SnapshotTable[[#This Row],[SC Exp Date]]), ISNUMBER(SnapshotTable[[#This Row],[SC Book Date]])), SnapshotTable[[#This Row],[SC Exp Date]] - MAX(SnapshotTable[[#This Row],[SC Book Date]], SnapshotTable[[#This Row],[SC Fill Date]]) + 1, "")</f>
        <v/>
      </c>
      <c r="EU97" s="34" t="str">
        <f>IF(ISNUMBER(SnapshotTable[[#This Row],[SC Term]]), SnapshotTable[[#This Row],[SC Exp Date]]- MockToday, "")</f>
        <v/>
      </c>
      <c r="EV97" s="31">
        <f>IF(SnapshotTable[[#This Row],[SC Is Booked]], SnapshotTable[[#This Row],[SC Qty]] * SnapshotTable[[#This Row],[SC Book Price]] * 100, 0)</f>
        <v>0</v>
      </c>
      <c r="EW97" s="4" t="str">
        <f>IF(AND(ISNUMBER(SnapshotTable[[#This Row],[Last Price]]), ISNUMBER( SnapshotTable[[#This Row],[SC Book Price]])), SnapshotTable[[#This Row],[Last Price]] - SnapshotTable[[#This Row],[SC Book Price]],"")</f>
        <v/>
      </c>
      <c r="EX97" s="374" t="str">
        <f>IF(SnapshotTable[[#This Row],[SC Is Booked]],IF(SnapshotTable[[#This Row],[SC Intrinsic Value]] &gt; 0, SnapshotTable[[#This Row],[SC Strike Price]], SnapshotTable[[#This Row],[Last Price]]), "")</f>
        <v/>
      </c>
      <c r="EY97" s="4">
        <f>IF(SnapshotTable[[#This Row],[SC Is Booked]], (MinimumPremiumRequired * SnapshotTable[[#This Row],[SC Basis]] * SnapshotTable[[#This Row],[SC Term]]), 0)</f>
        <v>0</v>
      </c>
      <c r="EZ97" s="283"/>
      <c r="FA97" s="218"/>
      <c r="FB97" s="370"/>
      <c r="FC97" s="4">
        <f>IF(SnapshotTable[[#This Row],[SC Is Filled]], btc_max_buyback_amount(SnapshotTable[[#This Row],[SC Fill Date]],SnapshotTable[[#This Row],[SC Exp Date]], SnapshotTable[[#This Row],[SC Book Price]]),0)</f>
        <v>0</v>
      </c>
      <c r="FD97" s="5"/>
      <c r="FE97" s="144" t="str">
        <f>IF(SnapshotTable[[#This Row],[SC Is Filled]], btc_next_cutoff_date(SnapshotTable[[#This Row],[SC Fill Date]],SnapshotTable[[#This Row],[SC Exp Date]]),"")</f>
        <v/>
      </c>
      <c r="FF97" s="4" t="str" cm="1">
        <f t="array" ref="FF97">IF(SnapshotTable[[#This Row],[SC Is Filled]], btc_should_buy_back(SnapshotTable[[#This Row],[SC Fill Date]], SnapshotTable[[#This Row],[SC Exp Date]], SnapshotTable[[#This Row],[SC Book Price]], SnapshotTable[[#This Row],[SC Current Ask]], MockToday, SnapshotTable[[#This Row],[SC Buyback Override]]),"")</f>
        <v/>
      </c>
      <c r="FG97" s="31">
        <f>IF(SnapshotTable[[#This Row],[SC Is Filled]], MAX(0,SnapshotTable[[#This Row],[Last Price]]  - SnapshotTable[[#This Row],[SC Strike Price]]), 0)</f>
        <v>0</v>
      </c>
      <c r="FH97" s="382">
        <f>IF(SnapshotTable[[#This Row],[SC Is Filled]], IF(ISNUMBER(SnapshotTable[[#This Row],[SC Current Ask]]), SnapshotTable[[#This Row],[SC Current Ask]], SnapshotTable[[#This Row],[SC Book Price]]) - SnapshotTable[[#This Row],[SC Intrinsic Value]], 0)</f>
        <v>0</v>
      </c>
      <c r="FI97" s="143"/>
      <c r="FJ97" s="32" t="str">
        <f>IF(SnapshotTable[[#This Row],[SC Is Filled]],100 * SnapshotTable[[#This Row],[SC Qty]] * IF(ISNUMBER(SnapshotTable[[#This Row],[SC Buyback Override]]), SnapshotTable[[#This Row],[SC Buyback Override]], SnapshotTable[[#This Row],[SC Current Ask]]), "")</f>
        <v/>
      </c>
      <c r="FK97" s="250" t="str">
        <f>IF(SnapshotTable[[#This Row],[SC Time Val]]&gt;0, SnapshotTable[[#This Row],[SC Time Val]] / SnapshotTable[[#This Row],[Last Price]],"")</f>
        <v/>
      </c>
      <c r="FL97" s="302" t="str">
        <f>IF(SnapshotTable[[#This Row],[SC Is Booked]], ((SnapshotTable[[#This Row],[Last Price]] -SnapshotTable[[#This Row],[SC Strike Price]]) / SnapshotTable[[#This Row],[Last Price]]) * -1, "")</f>
        <v/>
      </c>
      <c r="FM97" s="157" t="str">
        <f>IF(SnapshotTable[[#This Row],[SC Is Booked]],  (SnapshotTable[[#This Row],[SC Qty]] * 100 * SnapshotTable[[#This Row],[SC Strike Price]]) - SnapshotTable[[#This Row],[SC Current Ask]], "")</f>
        <v/>
      </c>
      <c r="FN97"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7" s="157" t="str">
        <f>IF(AND(ISNUMBER(SnapshotTable[[#This Row],[SC Exercise Gross]]), ISNUMBER(SnapshotTable[[#This Row],[Equity Basis Per Share]] )), SnapshotTable[[#This Row],[SC Exercise Gross]] - SnapshotTable[[#This Row],[Equity Basis Total]] +  SnapshotTable[[#This Row],[SC Premium]], "")</f>
        <v/>
      </c>
      <c r="FP97" s="5" t="str">
        <f>IF(ISNUMBER(SnapshotTable[[#This Row],[SC Exercise Gross]]), (SnapshotTable[[#This Row],[SC Exercise Gross]]) / (SnapshotTable[[#This Row],[SC Qty]] * 100), "")</f>
        <v/>
      </c>
      <c r="FQ97" s="27" t="str">
        <f>IF(SnapshotTable[[#This Row],[SC Is Booked]],SnapshotTable[[#This Row],[SC Time Val]] /SnapshotTable[[#This Row],[SC Basis]], "")</f>
        <v/>
      </c>
      <c r="FR97" s="27" t="str" cm="1">
        <f t="array" ref="FR97">IF(AND(ISNUMBER(SnapshotTable[[#This Row],[SC Term]]),ISNUMBER(SnapshotTable[[#This Row],[SC Simple ROO]])), EllmanAnnualize(SnapshotTable[[#This Row],[SC DTE]], SnapshotTable[[#This Row],[SC Simple ROO]] ),"")</f>
        <v/>
      </c>
      <c r="FS97" s="4" t="e">
        <f>IF(SnapshotTable[[#This Row],[SC Strike Price]] &gt; SnapshotTable[[#This Row],[Last Price]], SnapshotTable[[#This Row],[SC Strike Price]] - SnapshotTable[[#This Row],[Last Price]],0)</f>
        <v>#VALUE!</v>
      </c>
      <c r="FT97" s="27" t="e">
        <f>IF(AND(ISNUMBER(SnapshotTable[[#This Row],[SC Upside Potential]]), SnapshotTable[[#This Row],[SC Upside Potential]] &gt; 0),(SnapshotTable[[#This Row],[SC Upside Potential]]/ SnapshotTable[[#This Row],[ACB]]),"")</f>
        <v>#VALUE!</v>
      </c>
      <c r="FU97" s="333" t="str">
        <f>IF(SnapshotTable[[#This Row],[SC Intrinsic Value]] &gt; 0,SnapshotTable[[#This Row],[SC Intrinsic Value]],"")</f>
        <v/>
      </c>
      <c r="FV97" s="27" t="str">
        <f>IF(AND( ISNUMBER( SnapshotTable[[#This Row],[ACB]]),ISNUMBER(SnapshotTable[[#This Row],[SC Downside Protect]])),SnapshotTable[[#This Row],[SC Downside Protect]] / SnapshotTable[[#This Row],[ACB]],"")</f>
        <v/>
      </c>
      <c r="FW97" s="236" t="str">
        <f>IF(AND(ISNUMBER(SnapshotTable[[#This Row],[SC Simple ROO]]),SnapshotTable[[#This Row],[SC Simple ROO]] &gt; 0), SnapshotTable[[#This Row],[SC Premium]] + (SnapshotTable[[#This Row],[SC Qty]] * SnapshotTable[[#This Row],[SC Upside Potential]]), "")</f>
        <v/>
      </c>
      <c r="FX97" s="302" t="str" cm="1">
        <f t="array" ref="FX97">IF(ISNUMBER(SnapshotTable[[#This Row],[SC Max Dollars]]), annualize(SnapshotTable[[#This Row],[SC Term]],(SnapshotTable[[#This Row],[SC Max Dollars]]/SnapshotTable[[#This Row],[SC Basis]])),"")</f>
        <v/>
      </c>
      <c r="FY97" s="236" t="str">
        <f>IF(AND(SnapshotTable[[#This Row],[SC Qty]]&gt;0,SnapshotTable[[#This Row],[SC Current Ask]]&gt;0), SnapshotTable[[#This Row],[SC Qty]] * SnapshotTable[[#This Row],[SC Current Ask]] * -100, "")</f>
        <v/>
      </c>
      <c r="FZ97" s="235" t="str">
        <f>IF(ISNUMBER((SnapshotTable[[#This Row],[SC Current Value]])), SnapshotTable[[#This Row],[SC Premium]] + SnapshotTable[[#This Row],[SC Current Value]], "")</f>
        <v/>
      </c>
      <c r="GA97" s="294" t="str">
        <f>IFERROR( IF(ISNUMBER((SnapshotTable[[#This Row],[SC Current Value]])), SnapshotTable[[#This Row],[SC Gain Loss]] / SnapshotTable[[#This Row],[SC Premium]], ""), "")</f>
        <v/>
      </c>
      <c r="GB97" s="42">
        <f>SnapshotTable[[#This Row],[Equity Shares]] * SaleSharesToConsiderPercentage</f>
        <v>0</v>
      </c>
      <c r="GC97" s="40">
        <f>SnapshotTable[[#This Row],[Long Term Target]] * SellingPriceToConsiderBasedOnTargetPercentage</f>
        <v>0</v>
      </c>
      <c r="GD97" s="40">
        <f>SnapshotTable[[#This Row],[Last Price]] * (1+ SellingPriceToConsiderBasedOnTargetPercentage)</f>
        <v>231.6405</v>
      </c>
      <c r="GE97" s="41"/>
      <c r="GF97" s="40"/>
      <c r="GG97" s="31">
        <f>SnapshotTable[[#This Row],[Booked Sale Shares]] * SnapshotTable[[#This Row],[Booked Sale Price]]</f>
        <v>0</v>
      </c>
      <c r="GH97" s="31" t="str">
        <f>IF(SnapshotTable[[#This Row],[Equity Basis Total]] &gt; 0, SnapshotTable[[#This Row],[Equity Basis Per Share]] * SnapshotTable[[#This Row],[Booked Sale Shares]], "")</f>
        <v/>
      </c>
      <c r="GI97" s="31">
        <f>IF(SnapshotTable[[#This Row],[Sale Proceeds]]&gt;0, SnapshotTable[[#This Row],[Sale Proceeds]] - SnapshotTable[[#This Row],[Sale Basis]], 0)</f>
        <v>0</v>
      </c>
      <c r="GJ97" s="158" t="str">
        <f>IF(SnapshotTable[[#This Row],[Sale G/L]]&gt;0, SnapshotTable[[#This Row],[Sale G/L]] / SnapshotTable[[#This Row],[Sale Basis]], IF(ISNUMBER(SnapshotTable[[#This Row],[SC Exercise P&amp;L (TAX)]]), SnapshotTable[[#This Row],[SC Exercise P&amp;L (TAX)]] / SnapshotTable[[#This Row],[SC Basis]], ""))</f>
        <v/>
      </c>
      <c r="GK97" s="27"/>
      <c r="GL97" s="159" t="str">
        <f>IF(AND(SnapshotTable[[#This Row],[LP Exp Date]]&gt;0,SnapshotTable[[#This Row],[LP Strike Price]]&gt;0), [1]!ToOptionSymbol(SnapshotTable[[#This Row],[Symbol]], SnapshotTable[[#This Row],[LP Strike Price]],SnapshotTable[[#This Row],[LP Exp Date]],1), "")</f>
        <v/>
      </c>
      <c r="GM97" s="30" t="str">
        <f>IF(LEN(SnapshotTable[[#This Row],[LP Symbol]])&gt;0, 1, "")</f>
        <v/>
      </c>
      <c r="GN97" s="43" t="str">
        <f>IF(AND(SnapshotTable[[#This Row],[SP Exp Date]]&gt;0,SnapshotTable[[#This Row],[SP Strike Price]]&gt;0), [1]!ToOptionSymbol(SnapshotTable[[#This Row],[Symbol]], SnapshotTable[[#This Row],[SP Strike Price]],SnapshotTable[[#This Row],[SP Exp Date]],1), "")</f>
        <v/>
      </c>
      <c r="GO97" s="30" t="str">
        <f>IF(LEN(SnapshotTable[[#This Row],[SP Symbol]])&gt;0, 1, "")</f>
        <v/>
      </c>
      <c r="GP97" s="159" t="str">
        <f>IF(AND(SnapshotTable[[#This Row],[LC Exp Date]]&gt;0,SnapshotTable[[#This Row],[LC Strike Price]]&gt;0), [1]!ToOptionSymbol(SnapshotTable[[#This Row],[Symbol]], SnapshotTable[[#This Row],[LC Strike Price]],SnapshotTable[[#This Row],[LC Exp Date]],0), "")</f>
        <v/>
      </c>
      <c r="GQ97" s="160" t="str">
        <f>IF(LEN(SnapshotTable[[#This Row],[LC Symbol]])&gt;0, 1, "")</f>
        <v/>
      </c>
      <c r="GR97" s="159" t="str">
        <f>IF(AND(SnapshotTable[[#This Row],[SC Exp Date]]&gt;0,SnapshotTable[[#This Row],[SC Strike Price]]&gt;0), [1]!ToOptionSymbol(SnapshotTable[[#This Row],[Symbol]], SnapshotTable[[#This Row],[SC Strike Price]],SnapshotTable[[#This Row],[SC Exp Date]],0), "")</f>
        <v/>
      </c>
      <c r="GS97" s="160" t="str">
        <f>IF(LEN(SnapshotTable[[#This Row],[SC Symbol]])&gt;0, 1, "")</f>
        <v/>
      </c>
      <c r="GT97" s="161" t="str">
        <f>IF(COUNT(SnapshotTable[[#This Row],[LP Symbol Count]],SnapshotTable[[#This Row],[SP Symbol Count]],SnapshotTable[[#This Row],[LC Symbol Count]],SnapshotTable[[#This Row],[SC Symbol Count]])&gt;0, "Y", "")</f>
        <v/>
      </c>
      <c r="GU9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7" s="231" t="e">
        <f>MAX(SnapshotTable[[#This Row],[Equity Basis Total]],SnapshotTable[[#This Row],[Equity Value]]) + (SnapshotTable[[#This Row],[SP Potential Spend]]- SnapshotTable[[#This Row],[SP Premium]] + SnapshotTable[[#This Row],[LP Premium]])+ (SnapshotTable[[#This Row],[LC Premium]] - SnapshotTable[[#This Row],[SC Premium]])</f>
        <v>#VALUE!</v>
      </c>
      <c r="GW97" s="139" t="e">
        <f>IF(AND(SnapshotTable[[#This Row],[Exposure]] &lt;&gt; 0),SnapshotTable[[#This Row],[Exposure]] / SnapshotTable[[#Totals],[Exposure]], "")</f>
        <v>#VALUE!</v>
      </c>
      <c r="HE97" s="268"/>
      <c r="HF97" s="268"/>
      <c r="HK97" s="1"/>
      <c r="HL97" s="1"/>
      <c r="HM97" s="1"/>
      <c r="HN97" s="1"/>
      <c r="HO97" s="1"/>
      <c r="HP97" s="1"/>
    </row>
    <row r="98" spans="2:224" ht="12.75" hidden="1" customHeight="1" x14ac:dyDescent="0.25">
      <c r="B98" s="12" t="s">
        <v>52</v>
      </c>
      <c r="C98" s="422">
        <v>103.98</v>
      </c>
      <c r="D98" s="208"/>
      <c r="E98" s="39">
        <f>SnapshotTable[[#This Row],[Last Price]]*(1 -CrashDiscount)</f>
        <v>88.382999999999996</v>
      </c>
      <c r="F98" s="26" t="s">
        <v>51</v>
      </c>
      <c r="G98" s="26" t="s">
        <v>14</v>
      </c>
      <c r="H98" s="149"/>
      <c r="I98" s="194">
        <v>44775.673611111109</v>
      </c>
      <c r="J98" s="195">
        <v>44775.673611111109</v>
      </c>
      <c r="K98" s="196"/>
      <c r="L98" s="326"/>
      <c r="M98" s="140">
        <v>1</v>
      </c>
      <c r="N98" s="140" t="b">
        <v>1</v>
      </c>
      <c r="O98" s="140"/>
      <c r="P98" s="22"/>
      <c r="Q98" s="25"/>
      <c r="R98" s="4" t="str">
        <f>IF(SnapshotTable[[#This Row],[Equity Basis Total]] &gt; 0, SnapshotTable[[#This Row],[Equity Basis Total]] / SnapshotTable[[#This Row],[Equity Shares]], "")</f>
        <v/>
      </c>
      <c r="S98" s="269">
        <f>SnapshotTable[[#This Row],[Last Price]] * SnapshotTable[[#This Row],[Equity Shares]]</f>
        <v>0</v>
      </c>
      <c r="T98" s="269">
        <f>SnapshotTable[[#This Row],[Equity Value]] - SnapshotTable[[#This Row],[Equity Basis Total]]</f>
        <v>0</v>
      </c>
      <c r="U98" s="270" t="str">
        <f>IF(SnapshotTable[[#This Row],[Equity Basis Total]] &gt; 0, SnapshotTable[[#This Row],[Equity G/L]] / SnapshotTable[[#This Row],[Equity Basis Total]], "")</f>
        <v/>
      </c>
      <c r="V98" s="268"/>
      <c r="W98" s="268"/>
      <c r="X98" s="4" t="str">
        <f>IF(AND(ISNUMBER(SnapshotTable[[#This Row],[Equity Basis Per Share]]),ISNUMBER(SnapshotTable[[#This Row],[Equity Target]])),SnapshotTable[[#This Row],[Equity Target]]-SnapshotTable[[#This Row],[Equity Basis Per Share]],"")</f>
        <v/>
      </c>
      <c r="Y98" s="4" t="str">
        <f>IF(AND(ISNUMBER(SnapshotTable[[#This Row],[Equity Basis Per Share]]),ISNUMBER(SnapshotTable[[#This Row],[Equity Stop Loss]])),SnapshotTable[[#This Row],[Equity Stop Loss]]-SnapshotTable[[#This Row],[Equity Basis Per Share]],"")</f>
        <v/>
      </c>
      <c r="Z98" s="275" t="str">
        <f>IFERROR( TEXT(SnapshotTable[[#This Row],[Equity Max Gain Per Share]] /ABS( SnapshotTable[[#This Row],[Equity Max Loss Per Share]]),"0.0 " ) &amp; " : 1", "")</f>
        <v/>
      </c>
      <c r="AA98" s="31" t="str">
        <f>IF(ISNUMBER(SnapshotTable[[#This Row],[Equity Max Gain Per Share]]),SnapshotTable[[#This Row],[Equity Max Gain Per Share]] * SnapshotTable[[#This Row],[Equity Shares]],"")</f>
        <v/>
      </c>
      <c r="AB98" s="31" t="str">
        <f>IF(ISNUMBER(SnapshotTable[[#This Row],[Equity Max Loss Per Share]]),SnapshotTable[[#This Row],[Equity Max Loss Per Share]] * SnapshotTable[[#This Row],[Equity Shares]],"")</f>
        <v/>
      </c>
      <c r="AC98" s="150">
        <v>0.8</v>
      </c>
      <c r="AD98" s="151">
        <v>42602</v>
      </c>
      <c r="AE98" s="31">
        <f>(SnapshotTable[[#This Row],[Annual Dividend Per Share]] / 4) * SnapshotTable[[#This Row],[Equity Shares]]</f>
        <v>0</v>
      </c>
      <c r="AF98" s="31">
        <f>SnapshotTable[[#This Row],[Quarterly Div $]] * 4</f>
        <v>0</v>
      </c>
      <c r="AG98" s="7">
        <f>IF(SnapshotTable[[#This Row],[Annual Dividend Per Share]]&gt;0, SnapshotTable[[#This Row],[Annual Dividend Per Share]]  / SnapshotTable[[#This Row],[Last Price]], 0)</f>
        <v>7.6937872667820735E-3</v>
      </c>
      <c r="AH98" s="151">
        <v>42583</v>
      </c>
      <c r="AI98" s="5">
        <v>95</v>
      </c>
      <c r="AJ98" s="138">
        <v>80.28</v>
      </c>
      <c r="AK98" s="152">
        <f>IF(ISNUMBER( SnapshotTable[[#This Row],[EBF Target]]),(SnapshotTable[[#This Row],[EBF Target]] - SnapshotTable[[#This Row],[Last Price]]) / SnapshotTable[[#This Row],[Last Price]], "")</f>
        <v>-8.6362762069628812E-2</v>
      </c>
      <c r="AL98" s="152" t="str">
        <f>IF(AND(SnapshotTable[[#This Row],[Equity Basis Total]] &gt; 0,ISNUMBER( SnapshotTable[[#This Row],[Long Term Target]])), SnapshotTable[[#This Row],[From Basis $]] / SnapshotTable[[#This Row],[Equity Basis Total]], "")</f>
        <v/>
      </c>
      <c r="AM98" s="9">
        <f>IF( AND(SnapshotTable[[#This Row],[Equity Shares]] &gt;0,ISNUMBER( SnapshotTable[[#This Row],[Long Term Target]])),(SnapshotTable[[#This Row],[Equity Shares]] * SnapshotTable[[#This Row],[Long Term Target]]) - SnapshotTable[[#This Row],[Equity Basis Total]],0)</f>
        <v>0</v>
      </c>
      <c r="AN98" s="9">
        <f>IF( AND(SnapshotTable[[#This Row],[Equity Shares]] &gt;0,ISNUMBER( SnapshotTable[[#This Row],[Long Term Target]])),(SnapshotTable[[#This Row],[Equity Shares]]*SnapshotTable[[#This Row],[Long Term Target]]) - SnapshotTable[[#This Row],[Equity Value]],0)</f>
        <v>0</v>
      </c>
      <c r="AO98" s="152">
        <f>IF(AND(ISNUMBER( SnapshotTable[[#This Row],[Long Term Target]]), ISNUMBER(SnapshotTable[[#This Row],[Last Price]])),(SnapshotTable[[#This Row],[Long Term Target]] - SnapshotTable[[#This Row],[Last Price]]) / SnapshotTable[[#This Row],[Last Price]], "")</f>
        <v>-0.22792844777841895</v>
      </c>
      <c r="AP98" s="5">
        <v>82.5</v>
      </c>
      <c r="AQ98" s="38" t="s">
        <v>38</v>
      </c>
      <c r="AR98" s="5">
        <v>82.5</v>
      </c>
      <c r="AS98" s="38" t="s">
        <v>26</v>
      </c>
      <c r="AT98" s="146" t="s">
        <v>538</v>
      </c>
      <c r="AU98" s="187" t="str">
        <f>IF(OR(SnapshotTable[[#This Row],[LP No Fill]]="Y",SnapshotTable[[#This Row],[SP Is Filled]],SnapshotTable[[#This Row],[LC Not Filled]]="Y",SnapshotTable[[#This Row],[SC Is Filled]]),"Y","")</f>
        <v/>
      </c>
      <c r="AV98" s="219"/>
      <c r="AW98" s="225"/>
      <c r="AX98" s="220"/>
      <c r="AY98" s="219" t="str">
        <f>IF(SnapshotTable[[#This Row],[Implied Move]]&gt;0, SnapshotTable[[#This Row],[Last Price]]-SnapshotTable[[#This Row],[Implied Move]],"")</f>
        <v/>
      </c>
      <c r="AZ98" s="219" t="str">
        <f>IF(SnapshotTable[[#This Row],[Implied Move]]&gt;0, SnapshotTable[[#This Row],[Last Price]] + SnapshotTable[[#This Row],[Implied Move]],"")</f>
        <v/>
      </c>
      <c r="BA98" s="331"/>
      <c r="BB98" s="347"/>
      <c r="BC9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8" s="351"/>
      <c r="BE98" s="5"/>
      <c r="BF98" s="14"/>
      <c r="BG98" s="13"/>
      <c r="BH98" s="13"/>
      <c r="BI98" s="5"/>
      <c r="BJ98" s="136">
        <f>IF(SnapshotTable[[#This Row],[LP Qty]] &gt; 0, SnapshotTable[[#This Row],[LP Qty]] * SnapshotTable[[#This Row],[LP Book Price]] * 100,0)</f>
        <v>0</v>
      </c>
      <c r="BK98" s="136">
        <f>IF(SnapshotTable[[#This Row],[LP Premium]] &gt; 0, SnapshotTable[[#This Row],[LP Qty]] * SnapshotTable[[#This Row],[LP Strike Price]] * 100,0)</f>
        <v>0</v>
      </c>
      <c r="BL98" s="154"/>
      <c r="BM98" s="385" t="str">
        <f>IF(SnapshotTable[[#This Row],[LP Premium]] &gt; 0,SnapshotTable[[#This Row],[LP Exp Date]]-MAX(SnapshotTable[[#This Row],[LP Book Date]], SnapshotTable[[#This Row],[LP Fill Date]]),"")</f>
        <v/>
      </c>
      <c r="BN98" s="385" t="str">
        <f>IF(ISNUMBER( SnapshotTable[[#This Row],[LP Term]]), SnapshotTable[[#This Row],[LP Exp Date]] - MockToday,"")</f>
        <v/>
      </c>
      <c r="BO98" s="163" t="str">
        <f>IF(AND(SnapshotTable[[#This Row],[LP Exp Date]]&gt;0, SnapshotTable[[#This Row],[LP Strike Price]]&gt;0,SnapshotTable[[#This Row],[LP Qty]]&gt;0,SnapshotTable[[#This Row],[LP Book Date]]&gt;0,SnapshotTable[[#This Row],[LP Book Price]]&gt;0,SnapshotTable[[#This Row],[LP Fill Date]]=0),"Y","")</f>
        <v/>
      </c>
      <c r="BP98" s="31" t="str">
        <f>IF(AND(SnapshotTable[[#This Row],[LP No Fill]]&lt;&gt;"Y",SnapshotTable[[#This Row],[LP Contract Value]]&gt;0, SnapshotTable[[#This Row],[LP Qty]]&gt;0), SnapshotTable[[#This Row],[LP Contract Value]]*SnapshotTable[[#This Row],[LP Qty]]*100,"")</f>
        <v/>
      </c>
      <c r="BQ98" s="13"/>
      <c r="BR98" s="5" t="str">
        <f>IF(SnapshotTable[[#This Row],[SP Exp Date]]&lt;&gt;"",TRUNC(SnapshotTable[[#This Row],[Last Price]]),"")</f>
        <v/>
      </c>
      <c r="BS98" s="36"/>
      <c r="BT98" s="147"/>
      <c r="BU98" s="13"/>
      <c r="BV98" s="5"/>
      <c r="BW98" s="419" t="b">
        <f>AND(ISNUMBER(SnapshotTable[[#This Row],[SP Exp Date]]), ISNUMBER(SnapshotTable[[#This Row],[SP Strike Price]]), ISNUMBER(SnapshotTable[[#This Row],[SP Qty]]), ISNUMBER(SnapshotTable[[#This Row],[SP Book Date]]), ISNUMBER(SnapshotTable[[#This Row],[SP Book Price]]))</f>
        <v>0</v>
      </c>
      <c r="BX98" s="419" t="b">
        <f>AND(SnapshotTable[[#This Row],[SP Is Booked]], NOT(ISBLANK(SnapshotTable[[#This Row],[SP Fill Date]])))</f>
        <v>0</v>
      </c>
      <c r="BY98" s="33">
        <f>IF(SnapshotTable[[#This Row],[SP Is Booked]], SnapshotTable[[#This Row],[SP Qty]] * SnapshotTable[[#This Row],[SP Book Price]] * 100, 0)</f>
        <v>0</v>
      </c>
      <c r="BZ98" s="369"/>
      <c r="CA98" s="368">
        <f>SnapshotTable[[#This Row],[LP Qty]]</f>
        <v>0</v>
      </c>
      <c r="CB98" s="4" t="str">
        <f>IF(SnapshotTable[[#This Row],[SP Is Booked]], SnapshotTable[[#This Row],[SP Strike Price]] - SnapshotTable[[#This Row],[SP Book Price]], "")</f>
        <v/>
      </c>
      <c r="CC98" s="19" t="str">
        <f>IF(SnapshotTable[[#This Row],[SP Is Booked]],SnapshotTable[[#This Row],[SP Exp Date]]-MAX(SnapshotTable[[#This Row],[SP Book Date]], SnapshotTable[[#This Row],[SP Fill Date]]),"")</f>
        <v/>
      </c>
      <c r="CD98" s="7" t="str">
        <f>IF(SnapshotTable[[#This Row],[SP Is Booked]], SnapshotTable[[#This Row],[SP Book Price]]/SnapshotTable[[#This Row],[SP Strike Price]], "")</f>
        <v/>
      </c>
      <c r="CE98" s="7" t="str">
        <f>IF(ISNUMBER(SnapshotTable[[#This Row],[SP ROO Term]]),SnapshotTable[[#This Row],[SP ROO Term]]*(365/SnapshotTable[[#This Row],[SP Term]]),"")</f>
        <v/>
      </c>
      <c r="CF98" s="236">
        <f>SnapshotTable[[#This Row],[LP Strike Price]] * SnapshotTable[[#This Row],[LP Qty]] * 100</f>
        <v>0</v>
      </c>
      <c r="CG98" s="31" t="e">
        <f>IF(ISNUMBER(SnapshotTable[[#This Row],[SP Premium]]), (SnapshotTable[[#This Row],[SP Qty]] * SnapshotTable[[#This Row],[SP Strike Price]]* 100) - SnapshotTable[[#This Row],[LP Protection]], 0)</f>
        <v>#VALUE!</v>
      </c>
      <c r="CH98" s="7" t="str">
        <f>IF(ISNUMBER(SnapshotTable[[#This Row],[SP Break Even]]),-1 * (SnapshotTable[[#This Row],[SP Break Even]] - SnapshotTable[[#This Row],[Last Price]]) / SnapshotTable[[#This Row],[Last Price]], "")</f>
        <v/>
      </c>
      <c r="CI98" s="31">
        <f>IF(AND(ISNUMBER((SnapshotTable[[#This Row],[SP Potential Spend]])), SnapshotTable[[#This Row],[SP Strike Price]] &gt; SnapshotTable[[#This Row],[Last Price]], SnapshotTable[[#This Row],[SP Is Filled]]), SnapshotTable[[#This Row],[SP Potential Spend]] -  SnapshotTable[[#This Row],[LP Max Value]], 0)</f>
        <v>0</v>
      </c>
      <c r="CJ98" s="244"/>
      <c r="CK98" s="31" t="str">
        <f>IF(ISNUMBER(SnapshotTable[[#This Row],[SP Potential Spend]]),IF(ISNUMBER(SnapshotTable[[#This Row],[SP POW]]), SnapshotTable[[#This Row],[SP POW]] * SnapshotTable[[#This Row],[SP Potential Spend]], SnapshotTable[[#This Row],[SP Potential Spend]]), "")</f>
        <v/>
      </c>
      <c r="CL98" s="164" t="e">
        <f>IF(NOT(SnapshotTable[[#This Row],[SP Is Filled]]),(SnapshotTable[[#This Row],[SP Qty]] * SnapshotTable[[#This Row],[SP Strike Price]] * 100) - SnapshotTable[[#This Row],[LP Max Value]],"")</f>
        <v>#VALUE!</v>
      </c>
      <c r="CM98" s="31" t="str">
        <f>IF(SnapshotTable[[#This Row],[SP Actual Spend]]&lt;&gt;0, ((SnapshotTable[[#This Row],[SP Strike Price]]-SnapshotTable[[#This Row],[Last Price]]) *(SnapshotTable[[#This Row],[SP Qty]]*100) - SnapshotTable[[#This Row],[SP Premium]]) * - 1, "")</f>
        <v/>
      </c>
      <c r="CN98" s="78">
        <v>0</v>
      </c>
      <c r="CO98" s="369"/>
      <c r="CP98" s="4" t="str">
        <f>IF(SnapshotTable[[#This Row],[SP Is Filled]], btc_max_buyback_amount(SnapshotTable[[#This Row],[SP Fill Date]],SnapshotTable[[#This Row],[SP Exp Date]], SnapshotTable[[#This Row],[SP Book Price]]),"")</f>
        <v/>
      </c>
      <c r="CQ98" s="78"/>
      <c r="CR9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8" s="155" t="str">
        <f>IF(SnapshotTable[[#This Row],[SP Is Filled]], btc_next_cutoff_date(SnapshotTable[[#This Row],[SP Fill Date]],SnapshotTable[[#This Row],[SP Exp Date]]),"")</f>
        <v/>
      </c>
      <c r="CT98" s="235" t="str" cm="1">
        <f t="array" ref="CT98">IF(SnapshotTable[[#This Row],[SP Is Filled]], btc_should_buy_back(SnapshotTable[[#This Row],[SP Fill Date]], SnapshotTable[[#This Row],[SP Exp Date]], SnapshotTable[[#This Row],[SP Book Price]], SnapshotTable[[#This Row],[SP Current Ask]], MockToday, SnapshotTable[[#This Row],[SP Buyback Override]]),"")</f>
        <v/>
      </c>
      <c r="CU98" s="143"/>
      <c r="CV98" s="235"/>
      <c r="CW98" s="378" t="str">
        <f>IF(ISNUMBER( SnapshotTable[[#This Row],[SP Term]]), SnapshotTable[[#This Row],[SP Exp Date]] - MockToday,"")</f>
        <v/>
      </c>
      <c r="CX98" s="31" t="str">
        <f>IF(SnapshotTable[[#This Row],[SP Is Filled]],SnapshotTable[[#This Row],[SP Buyback Price to Use]] * 100 * SnapshotTable[[#This Row],[SP Qty]], "")</f>
        <v/>
      </c>
      <c r="CY98" s="4" t="str">
        <f>IF(ISNUMBER(SnapshotTable[[#This Row],[SP Strike Price]]), SnapshotTable[[#This Row],[SP Strike Price]] * (1 - SP_MaxLoss_StrikePct), "")</f>
        <v/>
      </c>
      <c r="CZ98" s="31" t="str">
        <f>IF(ISNUMBER(SnapshotTable[[#This Row],[SP Strike  Stop Per Share]]),SnapshotTable[[#This Row],[SP Premium]] - ((SnapshotTable[[#This Row],[SP Strike Price]]-SnapshotTable[[#This Row],[SP Strike  Stop Per Share]]) *(SnapshotTable[[#This Row],[SP Qty]] * 100)),"")</f>
        <v/>
      </c>
      <c r="DA98" s="4" t="str">
        <f>IF(AND(ISNUMBER(SnapshotTable[[#This Row],[SP Premium]]),SnapshotTable[[#This Row],[SP Premium]]&gt;0), SnapshotTable[[#This Row],[SP Book Price]] * (1 + SP_MaxLoss_OptionPct), "")</f>
        <v/>
      </c>
      <c r="DB98" s="31" t="str">
        <f>IF(ISNUMBER(SnapshotTable[[#This Row],[SP Option  Stop Contract]]),(SnapshotTable[[#This Row],[SP Option  Stop Contract]] *(SnapshotTable[[#This Row],[SP Qty]] * 100) - SnapshotTable[[#This Row],[SP Premium]]),"")</f>
        <v/>
      </c>
      <c r="DC98" s="4"/>
      <c r="DD98" s="4"/>
      <c r="DE98" s="4" t="str">
        <f>IF(AND(SnapshotTable[[#This Row],[SP Qty]]&gt;0, SnapshotTable[[#This Row],[SP Stop To Use]]&gt;0),SnapshotTable[[#This Row],[SP Premium]] - ( SnapshotTable[[#This Row],[SP Qty]] * SnapshotTable[[#This Row],[SP Stop To Use]] * 100), "")</f>
        <v/>
      </c>
      <c r="DF98" s="31" t="str">
        <f>IF(AND(SnapshotTable[[#This Row],[SP Qty]]&gt;0,SnapshotTable[[#This Row],[SP Current Ask]]&gt;0), SnapshotTable[[#This Row],[SP Qty]] * SnapshotTable[[#This Row],[SP Current Ask]] * -100, "")</f>
        <v/>
      </c>
      <c r="DG98" s="31" t="str">
        <f>IF(ISNUMBER((SnapshotTable[[#This Row],[SP Total Value]])), SnapshotTable[[#This Row],[SP Premium]] + SnapshotTable[[#This Row],[SP Total Value]], "")</f>
        <v/>
      </c>
      <c r="DH98" s="294" t="str">
        <f>IF(ISNUMBER((SnapshotTable[[#This Row],[SP Total Value]])), SnapshotTable[[#This Row],[SP Gain Loss]] / SnapshotTable[[#This Row],[SP Premium]], "")</f>
        <v/>
      </c>
      <c r="DI98" s="406"/>
      <c r="DJ98" s="138"/>
      <c r="DK98" s="148"/>
      <c r="DL98" s="13"/>
      <c r="DM98" s="13"/>
      <c r="DO98" s="31">
        <f>IF(SnapshotTable[[#This Row],[LC Symbol Count]]=1, SnapshotTable[[#This Row],[LC Qty]] * SnapshotTable[[#This Row],[LC Book Price]] * 100, 0)</f>
        <v>0</v>
      </c>
      <c r="DP98" s="163" t="str">
        <f>IF(AND(SnapshotTable[[#This Row],[LC Exp Date]]&gt;0, SnapshotTable[[#This Row],[LC Strike Price]]&gt;0,SnapshotTable[[#This Row],[LC Qty]]&gt;0,SnapshotTable[[#This Row],[LC Book Date]]&gt;0,SnapshotTable[[#This Row],[LC Book Price]]&gt;0,SnapshotTable[[#This Row],[LC Fill Date]]=0),"Y","")</f>
        <v/>
      </c>
      <c r="DQ98" s="386" t="str">
        <f>IF(SnapshotTable[[#This Row],[LC Premium]] &gt; 0,SnapshotTable[[#This Row],[LC Exp Date]]-MAX(SnapshotTable[[#This Row],[LC Book Date]], SnapshotTable[[#This Row],[LC Fill Date]]),"")</f>
        <v/>
      </c>
      <c r="DR98" s="386" t="str">
        <f>IF(ISNUMBER(SnapshotTable[[#This Row],[LC Term]]), SnapshotTable[[#This Row],[LC Exp Date]] - MockToday, "")</f>
        <v/>
      </c>
      <c r="DS98" s="234" t="str">
        <f>IF(SnapshotTable[[#This Row],[LC Premium]]&gt;0,SnapshotTable[[#This Row],[LC Strike Price]] + SnapshotTable[[#This Row],[LC Book Price]],"")</f>
        <v/>
      </c>
      <c r="DU98" s="9" t="str">
        <f>IF(AND(SnapshotTable[[#This Row],[LC Symbol Count]]&gt;0, SnapshotTable[[#This Row],[LC Contract Value]]&gt;0), SnapshotTable[[#This Row],[LC Contract Value]] * SnapshotTable[[#This Row],[LC Qty]] * 100, "")</f>
        <v/>
      </c>
      <c r="DV98" s="9" t="str">
        <f>IF(AND(ISNUMBER(SnapshotTable[[#This Row],[LC Total Value]]), SnapshotTable[[#This Row],[LC Not Filled]]&lt;&gt;"Y"), SnapshotTable[[#This Row],[LC Total Value]]-SnapshotTable[[#This Row],[LC Premium]],"")</f>
        <v/>
      </c>
      <c r="DW98" s="240" t="str">
        <f>IF(ISNUMBER(SnapshotTable[[#This Row],[LC Actual Gain Loss]]), SnapshotTable[[#This Row],[LC Actual Gain Loss]] / SnapshotTable[[#This Row],[LC Premium]],"")</f>
        <v/>
      </c>
      <c r="DX98" s="284" t="str">
        <f>IF(ISNUMBER(SnapshotTable[[#This Row],[LC Book Price]]),SnapshotTable[[#This Row],[LC Book Price]] * 1.5,"")</f>
        <v/>
      </c>
      <c r="DY98" s="265" t="str">
        <f>IF(SnapshotTable[[#This Row],[LC Premium]]&gt;0, SnapshotTable[[#This Row],[LC Next Target]] * SnapshotTable[[#This Row],[LC Qty]] * 100,"")</f>
        <v/>
      </c>
      <c r="DZ98" s="265" t="str">
        <f>IF(ISNUMBER(SnapshotTable[[#This Row],[LC Target Gross]]), SnapshotTable[[#This Row],[LC Target Gross]] - SnapshotTable[[#This Row],[LC Premium]], "")</f>
        <v/>
      </c>
      <c r="EA98" s="305" t="str">
        <f>IF(ISNUMBER(SnapshotTable[[#This Row],[LC Target Gain Loss]]), SnapshotTable[[#This Row],[LC Target Gain Loss]]/SnapshotTable[[#This Row],[LC Premium]], "")</f>
        <v/>
      </c>
      <c r="EB98" s="262"/>
      <c r="EC98" s="283" t="str">
        <f>IF(SnapshotTable[[#This Row],[LC Premium]]&gt;0, SnapshotTable[[#This Row],[LC Book Price]] * (1 - LC_StopLoss_Pct),"")</f>
        <v/>
      </c>
      <c r="ED98" s="284"/>
      <c r="EE98" s="283" t="str">
        <f>IF(ISNUMBER(SnapshotTable[[#This Row],[LC Contract Value]]),IF(ISNUMBER(SnapshotTable[[#This Row],[LC Stop Loss Override]]), SnapshotTable[[#This Row],[LC Stop Loss Override]],SnapshotTable[[#This Row],[LC Stop Loss Calc Target]]),"")</f>
        <v/>
      </c>
      <c r="EF98" s="31" t="str">
        <f>IF(ISNUMBER(SnapshotTable[[#This Row],[LC Stop  To Use]]), (SnapshotTable[[#This Row],[LC Stop  To Use]] * SnapshotTable[[#This Row],[LC Qty]] * 100),"")</f>
        <v/>
      </c>
      <c r="EG98" s="9" t="str">
        <f>IF(ISNUMBER(SnapshotTable[[#This Row],[LC Total Value]]),SnapshotTable[[#This Row],[LC Stop Loss Amount]] - SnapshotTable[[#This Row],[LC Premium]],"")</f>
        <v/>
      </c>
      <c r="EH98" s="9">
        <f>IF(ISNUMBER(SnapshotTable[[#This Row],[LC Premium]]), SnapshotTable[[#This Row],[LC Qty]] * 100 * SnapshotTable[[#This Row],[LC Strike Price]], "")</f>
        <v>0</v>
      </c>
      <c r="EI98" s="240" t="str">
        <f>IF(AND(ISNUMBER(SnapshotTable[[#This Row],[LC Total Value]]),SnapshotTable[[#This Row],[LC Total Value]]&gt;0),SnapshotTable[[#This Row],[LC Stop Gain Loss]]  / SnapshotTable[[#This Row],[LC Premium]],"")</f>
        <v/>
      </c>
      <c r="EJ98" s="35">
        <f>IF(ISNUMBER(SnapshotTable[[#This Row],[Equity Shares]]),TRUNC(SnapshotTable[[#This Row],[Equity Shares]] / 100),0) + SnapshotTable[[#This Row],[LC Qty]]</f>
        <v>0</v>
      </c>
      <c r="EK98" s="147"/>
      <c r="EL98" s="138" t="str">
        <f>IF(SnapshotTable[[#This Row],[SC Exp Date]]&lt;&gt;"",TRUNC(SnapshotTable[[#This Row],[Last Price]]),"")</f>
        <v/>
      </c>
      <c r="EM98" s="148"/>
      <c r="EN98" s="147"/>
      <c r="EO98" s="147"/>
      <c r="EP98" s="138"/>
      <c r="EQ98" s="419" t="b">
        <f>AND(ISNUMBER(SnapshotTable[[#This Row],[SC Exp Date]]), ISNUMBER(SnapshotTable[[#This Row],[SC Strike Price]]), ISNUMBER(SnapshotTable[[#This Row],[SC Qty]]), ISNUMBER(SnapshotTable[[#This Row],[SC Book Date]]), ISNUMBER(SnapshotTable[[#This Row],[SC Book Price]]))</f>
        <v>0</v>
      </c>
      <c r="ER98" s="419" t="b">
        <f>AND(SnapshotTable[[#This Row],[SC Is Booked]], NOT(ISBLANK(SnapshotTable[[#This Row],[SC Fill Date]])))</f>
        <v>0</v>
      </c>
      <c r="ES98" s="370"/>
      <c r="ET98" s="34" t="str">
        <f>IF(AND(ISNUMBER(SnapshotTable[[#This Row],[SC Exp Date]]), ISNUMBER(SnapshotTable[[#This Row],[SC Book Date]])), SnapshotTable[[#This Row],[SC Exp Date]] - MAX(SnapshotTable[[#This Row],[SC Book Date]], SnapshotTable[[#This Row],[SC Fill Date]]) + 1, "")</f>
        <v/>
      </c>
      <c r="EU98" s="34" t="str">
        <f>IF(ISNUMBER(SnapshotTable[[#This Row],[SC Term]]), SnapshotTable[[#This Row],[SC Exp Date]]- MockToday, "")</f>
        <v/>
      </c>
      <c r="EV98" s="31">
        <f>IF(SnapshotTable[[#This Row],[SC Is Booked]], SnapshotTable[[#This Row],[SC Qty]] * SnapshotTable[[#This Row],[SC Book Price]] * 100, 0)</f>
        <v>0</v>
      </c>
      <c r="EW98" s="4" t="str">
        <f>IF(AND(ISNUMBER(SnapshotTable[[#This Row],[Last Price]]), ISNUMBER( SnapshotTable[[#This Row],[SC Book Price]])), SnapshotTable[[#This Row],[Last Price]] - SnapshotTable[[#This Row],[SC Book Price]],"")</f>
        <v/>
      </c>
      <c r="EX98" s="234" t="str">
        <f>IF(SnapshotTable[[#This Row],[SC Is Booked]],IF(SnapshotTable[[#This Row],[SC Intrinsic Value]] &gt; 0, SnapshotTable[[#This Row],[SC Strike Price]], SnapshotTable[[#This Row],[Last Price]]), "")</f>
        <v/>
      </c>
      <c r="EY98" s="4">
        <f>IF(SnapshotTable[[#This Row],[SC Is Booked]], (MinimumPremiumRequired * SnapshotTable[[#This Row],[SC Basis]] * SnapshotTable[[#This Row],[SC Term]]), 0)</f>
        <v>0</v>
      </c>
      <c r="EZ98" s="283"/>
      <c r="FA98" s="218"/>
      <c r="FB98" s="370"/>
      <c r="FC98" s="4">
        <f>IF(SnapshotTable[[#This Row],[SC Is Filled]], btc_max_buyback_amount(SnapshotTable[[#This Row],[SC Fill Date]],SnapshotTable[[#This Row],[SC Exp Date]], SnapshotTable[[#This Row],[SC Book Price]]),0)</f>
        <v>0</v>
      </c>
      <c r="FD98" s="5"/>
      <c r="FE98" s="144" t="str">
        <f>IF(SnapshotTable[[#This Row],[SC Is Filled]], btc_next_cutoff_date(SnapshotTable[[#This Row],[SC Fill Date]],SnapshotTable[[#This Row],[SC Exp Date]]),"")</f>
        <v/>
      </c>
      <c r="FF98" s="4" t="str" cm="1">
        <f t="array" ref="FF98">IF(SnapshotTable[[#This Row],[SC Is Filled]], btc_should_buy_back(SnapshotTable[[#This Row],[SC Fill Date]], SnapshotTable[[#This Row],[SC Exp Date]], SnapshotTable[[#This Row],[SC Book Price]], SnapshotTable[[#This Row],[SC Current Ask]], MockToday, SnapshotTable[[#This Row],[SC Buyback Override]]),"")</f>
        <v/>
      </c>
      <c r="FG98" s="4">
        <f>IF(SnapshotTable[[#This Row],[SC Is Filled]], MAX(0,SnapshotTable[[#This Row],[Last Price]]  - SnapshotTable[[#This Row],[SC Strike Price]]), 0)</f>
        <v>0</v>
      </c>
      <c r="FH98" s="382">
        <f>IF(SnapshotTable[[#This Row],[SC Is Filled]], IF(ISNUMBER(SnapshotTable[[#This Row],[SC Current Ask]]), SnapshotTable[[#This Row],[SC Current Ask]], SnapshotTable[[#This Row],[SC Book Price]]) - SnapshotTable[[#This Row],[SC Intrinsic Value]], 0)</f>
        <v>0</v>
      </c>
      <c r="FI98" s="143"/>
      <c r="FJ98" s="32" t="str">
        <f>IF(SnapshotTable[[#This Row],[SC Is Filled]],100 * SnapshotTable[[#This Row],[SC Qty]] * IF(ISNUMBER(SnapshotTable[[#This Row],[SC Buyback Override]]), SnapshotTable[[#This Row],[SC Buyback Override]], SnapshotTable[[#This Row],[SC Current Ask]]), "")</f>
        <v/>
      </c>
      <c r="FK98" s="250" t="str">
        <f>IF(SnapshotTable[[#This Row],[SC Time Val]]&gt;0, SnapshotTable[[#This Row],[SC Time Val]] / SnapshotTable[[#This Row],[Last Price]],"")</f>
        <v/>
      </c>
      <c r="FL98" s="302" t="str">
        <f>IF(SnapshotTable[[#This Row],[SC Is Booked]], ((SnapshotTable[[#This Row],[Last Price]] -SnapshotTable[[#This Row],[SC Strike Price]]) / SnapshotTable[[#This Row],[Last Price]]) * -1, "")</f>
        <v/>
      </c>
      <c r="FM98" s="157" t="str">
        <f>IF(SnapshotTable[[#This Row],[SC Is Booked]],  (SnapshotTable[[#This Row],[SC Qty]] * 100 * SnapshotTable[[#This Row],[SC Strike Price]]) - SnapshotTable[[#This Row],[SC Current Ask]], "")</f>
        <v/>
      </c>
      <c r="FN9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8" s="31" t="str">
        <f>IF(AND(ISNUMBER(SnapshotTable[[#This Row],[SC Exercise Gross]]), ISNUMBER(SnapshotTable[[#This Row],[Equity Basis Per Share]] )), SnapshotTable[[#This Row],[SC Exercise Gross]] - SnapshotTable[[#This Row],[Equity Basis Total]] +  SnapshotTable[[#This Row],[SC Premium]], "")</f>
        <v/>
      </c>
      <c r="FP98" s="5" t="str">
        <f>IF(ISNUMBER(SnapshotTable[[#This Row],[SC Exercise Gross]]), (SnapshotTable[[#This Row],[SC Exercise Gross]]) / (SnapshotTable[[#This Row],[SC Qty]] * 100), "")</f>
        <v/>
      </c>
      <c r="FQ98" s="27" t="str">
        <f>IF(SnapshotTable[[#This Row],[SC Is Booked]],SnapshotTable[[#This Row],[SC Time Val]] /SnapshotTable[[#This Row],[SC Basis]], "")</f>
        <v/>
      </c>
      <c r="FR98" s="27" t="str" cm="1">
        <f t="array" ref="FR98">IF(AND(ISNUMBER(SnapshotTable[[#This Row],[SC Term]]),ISNUMBER(SnapshotTable[[#This Row],[SC Simple ROO]])), EllmanAnnualize(SnapshotTable[[#This Row],[SC DTE]], SnapshotTable[[#This Row],[SC Simple ROO]] ),"")</f>
        <v/>
      </c>
      <c r="FS98" s="4" t="e">
        <f>IF(SnapshotTable[[#This Row],[SC Strike Price]] &gt; SnapshotTable[[#This Row],[Last Price]], SnapshotTable[[#This Row],[SC Strike Price]] - SnapshotTable[[#This Row],[Last Price]],0)</f>
        <v>#VALUE!</v>
      </c>
      <c r="FT98" s="27" t="e">
        <f>IF(AND(ISNUMBER(SnapshotTable[[#This Row],[SC Upside Potential]]), SnapshotTable[[#This Row],[SC Upside Potential]] &gt; 0),(SnapshotTable[[#This Row],[SC Upside Potential]]/ SnapshotTable[[#This Row],[ACB]]),"")</f>
        <v>#VALUE!</v>
      </c>
      <c r="FU98" s="333" t="str">
        <f>IF(SnapshotTable[[#This Row],[SC Intrinsic Value]] &gt; 0,SnapshotTable[[#This Row],[SC Intrinsic Value]],"")</f>
        <v/>
      </c>
      <c r="FV98" s="27" t="str">
        <f>IF(AND( ISNUMBER( SnapshotTable[[#This Row],[ACB]]),ISNUMBER(SnapshotTable[[#This Row],[SC Downside Protect]])),SnapshotTable[[#This Row],[SC Downside Protect]] / SnapshotTable[[#This Row],[ACB]],"")</f>
        <v/>
      </c>
      <c r="FW98" s="236" t="str">
        <f>IF(AND(ISNUMBER(SnapshotTable[[#This Row],[SC Simple ROO]]),SnapshotTable[[#This Row],[SC Simple ROO]] &gt; 0), SnapshotTable[[#This Row],[SC Premium]] + (SnapshotTable[[#This Row],[SC Qty]] * SnapshotTable[[#This Row],[SC Upside Potential]]), "")</f>
        <v/>
      </c>
      <c r="FX98" s="302" t="str" cm="1">
        <f t="array" ref="FX98">IF(ISNUMBER(SnapshotTable[[#This Row],[SC Max Dollars]]), annualize(SnapshotTable[[#This Row],[SC Term]],(SnapshotTable[[#This Row],[SC Max Dollars]]/SnapshotTable[[#This Row],[SC Basis]])),"")</f>
        <v/>
      </c>
      <c r="FY98" s="236" t="str">
        <f>IF(AND(SnapshotTable[[#This Row],[SC Qty]]&gt;0,SnapshotTable[[#This Row],[SC Current Ask]]&gt;0), SnapshotTable[[#This Row],[SC Qty]] * SnapshotTable[[#This Row],[SC Current Ask]] * -100, "")</f>
        <v/>
      </c>
      <c r="FZ98" s="31" t="str">
        <f>IF(ISNUMBER((SnapshotTable[[#This Row],[SC Current Value]])), SnapshotTable[[#This Row],[SC Premium]] + SnapshotTable[[#This Row],[SC Current Value]], "")</f>
        <v/>
      </c>
      <c r="GA98" s="294" t="str">
        <f>IFERROR( IF(ISNUMBER((SnapshotTable[[#This Row],[SC Current Value]])), SnapshotTable[[#This Row],[SC Gain Loss]] / SnapshotTable[[#This Row],[SC Premium]], ""), "")</f>
        <v/>
      </c>
      <c r="GB98" s="42">
        <f>SnapshotTable[[#This Row],[Equity Shares]] * SaleSharesToConsiderPercentage</f>
        <v>0</v>
      </c>
      <c r="GC98" s="40">
        <f>SnapshotTable[[#This Row],[Long Term Target]] * SellingPriceToConsiderBasedOnTargetPercentage</f>
        <v>76.265999999999991</v>
      </c>
      <c r="GD98" s="40">
        <f>SnapshotTable[[#This Row],[Last Price]] * (1+ SellingPriceToConsiderBasedOnTargetPercentage)</f>
        <v>202.761</v>
      </c>
      <c r="GE98" s="41"/>
      <c r="GF98" s="40">
        <v>88.88</v>
      </c>
      <c r="GG98" s="31">
        <f>SnapshotTable[[#This Row],[Booked Sale Shares]] * SnapshotTable[[#This Row],[Booked Sale Price]]</f>
        <v>0</v>
      </c>
      <c r="GH98" s="31" t="str">
        <f>IF(SnapshotTable[[#This Row],[Equity Basis Total]] &gt; 0, SnapshotTable[[#This Row],[Equity Basis Per Share]] * SnapshotTable[[#This Row],[Booked Sale Shares]], "")</f>
        <v/>
      </c>
      <c r="GI98" s="31">
        <f>IF(SnapshotTable[[#This Row],[Sale Proceeds]]&gt;0, SnapshotTable[[#This Row],[Sale Proceeds]] - SnapshotTable[[#This Row],[Sale Basis]], 0)</f>
        <v>0</v>
      </c>
      <c r="GJ98" s="27" t="str">
        <f>IF(SnapshotTable[[#This Row],[Sale G/L]]&gt;0, SnapshotTable[[#This Row],[Sale G/L]] / SnapshotTable[[#This Row],[Sale Basis]], IF(ISNUMBER(SnapshotTable[[#This Row],[SC Exercise P&amp;L (TAX)]]), SnapshotTable[[#This Row],[SC Exercise P&amp;L (TAX)]] / SnapshotTable[[#This Row],[SC Basis]], ""))</f>
        <v/>
      </c>
      <c r="GK98" s="27" t="s">
        <v>753</v>
      </c>
      <c r="GL98" s="43" t="str">
        <f>IF(AND(SnapshotTable[[#This Row],[LP Exp Date]]&gt;0,SnapshotTable[[#This Row],[LP Strike Price]]&gt;0), [1]!ToOptionSymbol(SnapshotTable[[#This Row],[Symbol]], SnapshotTable[[#This Row],[LP Strike Price]],SnapshotTable[[#This Row],[LP Exp Date]],1), "")</f>
        <v/>
      </c>
      <c r="GM98" s="30" t="str">
        <f>IF(LEN(SnapshotTable[[#This Row],[LP Symbol]])&gt;0, 1, "")</f>
        <v/>
      </c>
      <c r="GN98" s="43" t="str">
        <f>IF(AND(SnapshotTable[[#This Row],[SP Exp Date]]&gt;0,SnapshotTable[[#This Row],[SP Strike Price]]&gt;0), [1]!ToOptionSymbol(SnapshotTable[[#This Row],[Symbol]], SnapshotTable[[#This Row],[SP Strike Price]],SnapshotTable[[#This Row],[SP Exp Date]],1), "")</f>
        <v/>
      </c>
      <c r="GO98" s="30" t="str">
        <f>IF(LEN(SnapshotTable[[#This Row],[SP Symbol]])&gt;0, 1, "")</f>
        <v/>
      </c>
      <c r="GP98" s="43" t="str">
        <f>IF(AND(SnapshotTable[[#This Row],[LC Exp Date]]&gt;0,SnapshotTable[[#This Row],[LC Strike Price]]&gt;0), [1]!ToOptionSymbol(SnapshotTable[[#This Row],[Symbol]], SnapshotTable[[#This Row],[LC Strike Price]],SnapshotTable[[#This Row],[LC Exp Date]],0), "")</f>
        <v/>
      </c>
      <c r="GQ98" s="30" t="str">
        <f>IF(LEN(SnapshotTable[[#This Row],[LC Symbol]])&gt;0, 1, "")</f>
        <v/>
      </c>
      <c r="GR98" s="43" t="str">
        <f>IF(AND(SnapshotTable[[#This Row],[SC Exp Date]]&gt;0,SnapshotTable[[#This Row],[SC Strike Price]]&gt;0), [1]!ToOptionSymbol(SnapshotTable[[#This Row],[Symbol]], SnapshotTable[[#This Row],[SC Strike Price]],SnapshotTable[[#This Row],[SC Exp Date]],0), "")</f>
        <v/>
      </c>
      <c r="GS98" s="30" t="str">
        <f>IF(LEN(SnapshotTable[[#This Row],[SC Symbol]])&gt;0, 1, "")</f>
        <v/>
      </c>
      <c r="GT98" s="29" t="str">
        <f>IF(COUNT(SnapshotTable[[#This Row],[LP Symbol Count]],SnapshotTable[[#This Row],[SP Symbol Count]],SnapshotTable[[#This Row],[LC Symbol Count]],SnapshotTable[[#This Row],[SC Symbol Count]])&gt;0, "Y", "")</f>
        <v/>
      </c>
      <c r="GU9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8" s="231" t="e">
        <f>MAX(SnapshotTable[[#This Row],[Equity Basis Total]],SnapshotTable[[#This Row],[Equity Value]]) + (SnapshotTable[[#This Row],[SP Potential Spend]]- SnapshotTable[[#This Row],[SP Premium]] + SnapshotTable[[#This Row],[LP Premium]])+ (SnapshotTable[[#This Row],[LC Premium]] - SnapshotTable[[#This Row],[SC Premium]])</f>
        <v>#VALUE!</v>
      </c>
      <c r="GW98" s="139" t="e">
        <f>IF(AND(SnapshotTable[[#This Row],[Exposure]] &lt;&gt; 0),SnapshotTable[[#This Row],[Exposure]] / SnapshotTable[[#Totals],[Exposure]], "")</f>
        <v>#VALUE!</v>
      </c>
      <c r="HE98" s="268"/>
      <c r="HF98" s="268"/>
      <c r="HK98" s="1"/>
      <c r="HL98" s="1"/>
      <c r="HM98" s="1"/>
      <c r="HN98" s="1"/>
      <c r="HO98" s="1"/>
      <c r="HP98" s="1"/>
    </row>
    <row r="99" spans="2:224" ht="12.75" hidden="1" customHeight="1" x14ac:dyDescent="0.25">
      <c r="B99" s="12" t="s">
        <v>1109</v>
      </c>
      <c r="C99" s="422">
        <v>21.88</v>
      </c>
      <c r="D99" s="208"/>
      <c r="E99" s="39">
        <f>SnapshotTable[[#This Row],[Last Price]]*(1 -CrashDiscount)</f>
        <v>18.597999999999999</v>
      </c>
      <c r="F99" s="26"/>
      <c r="G99" s="26"/>
      <c r="H99" s="149"/>
      <c r="I99" s="194"/>
      <c r="J99" s="195"/>
      <c r="K99" s="196"/>
      <c r="L99" s="326"/>
      <c r="M99" s="140"/>
      <c r="N99" s="140"/>
      <c r="O99" s="140"/>
      <c r="P99" s="22"/>
      <c r="Q99" s="25"/>
      <c r="R99" s="4" t="str">
        <f>IF(SnapshotTable[[#This Row],[Equity Basis Total]] &gt; 0, SnapshotTable[[#This Row],[Equity Basis Total]] / SnapshotTable[[#This Row],[Equity Shares]], "")</f>
        <v/>
      </c>
      <c r="S99" s="269">
        <f>SnapshotTable[[#This Row],[Last Price]] * SnapshotTable[[#This Row],[Equity Shares]]</f>
        <v>0</v>
      </c>
      <c r="T99" s="269">
        <f>SnapshotTable[[#This Row],[Equity Value]] - SnapshotTable[[#This Row],[Equity Basis Total]]</f>
        <v>0</v>
      </c>
      <c r="U99" s="270" t="str">
        <f>IF(SnapshotTable[[#This Row],[Equity Basis Total]] &gt; 0, SnapshotTable[[#This Row],[Equity G/L]] / SnapshotTable[[#This Row],[Equity Basis Total]], "")</f>
        <v/>
      </c>
      <c r="V99" s="268"/>
      <c r="W99" s="268"/>
      <c r="X99" s="4" t="str">
        <f>IF(AND(ISNUMBER(SnapshotTable[[#This Row],[Equity Basis Per Share]]),ISNUMBER(SnapshotTable[[#This Row],[Equity Target]])),SnapshotTable[[#This Row],[Equity Target]]-SnapshotTable[[#This Row],[Equity Basis Per Share]],"")</f>
        <v/>
      </c>
      <c r="Y99" s="4" t="str">
        <f>IF(AND(ISNUMBER(SnapshotTable[[#This Row],[Equity Basis Per Share]]),ISNUMBER(SnapshotTable[[#This Row],[Equity Stop Loss]])),SnapshotTable[[#This Row],[Equity Stop Loss]]-SnapshotTable[[#This Row],[Equity Basis Per Share]],"")</f>
        <v/>
      </c>
      <c r="Z99" s="275" t="str">
        <f>IFERROR( TEXT(SnapshotTable[[#This Row],[Equity Max Gain Per Share]] /ABS( SnapshotTable[[#This Row],[Equity Max Loss Per Share]]),"0.0 " ) &amp; " : 1", "")</f>
        <v/>
      </c>
      <c r="AA99" s="31" t="str">
        <f>IF(ISNUMBER(SnapshotTable[[#This Row],[Equity Max Gain Per Share]]),SnapshotTable[[#This Row],[Equity Max Gain Per Share]] * SnapshotTable[[#This Row],[Equity Shares]],"")</f>
        <v/>
      </c>
      <c r="AB99" s="31" t="str">
        <f>IF(ISNUMBER(SnapshotTable[[#This Row],[Equity Max Loss Per Share]]),SnapshotTable[[#This Row],[Equity Max Loss Per Share]] * SnapshotTable[[#This Row],[Equity Shares]],"")</f>
        <v/>
      </c>
      <c r="AC99" s="150"/>
      <c r="AD99" s="151"/>
      <c r="AE99" s="31">
        <f>(SnapshotTable[[#This Row],[Annual Dividend Per Share]] / 4) * SnapshotTable[[#This Row],[Equity Shares]]</f>
        <v>0</v>
      </c>
      <c r="AF99" s="31">
        <f>SnapshotTable[[#This Row],[Quarterly Div $]] * 4</f>
        <v>0</v>
      </c>
      <c r="AG99" s="7">
        <f>IF(SnapshotTable[[#This Row],[Annual Dividend Per Share]]&gt;0, SnapshotTable[[#This Row],[Annual Dividend Per Share]]  / SnapshotTable[[#This Row],[Last Price]], 0)</f>
        <v>0</v>
      </c>
      <c r="AH99" s="151"/>
      <c r="AI99" s="5"/>
      <c r="AJ99" s="138"/>
      <c r="AK99" s="152" t="str">
        <f>IF(ISNUMBER( SnapshotTable[[#This Row],[EBF Target]]),(SnapshotTable[[#This Row],[EBF Target]] - SnapshotTable[[#This Row],[Last Price]]) / SnapshotTable[[#This Row],[Last Price]], "")</f>
        <v/>
      </c>
      <c r="AL99" s="152" t="str">
        <f>IF(AND(SnapshotTable[[#This Row],[Equity Basis Total]] &gt; 0,ISNUMBER( SnapshotTable[[#This Row],[Long Term Target]])), SnapshotTable[[#This Row],[From Basis $]] / SnapshotTable[[#This Row],[Equity Basis Total]], "")</f>
        <v/>
      </c>
      <c r="AM99" s="9">
        <f>IF( AND(SnapshotTable[[#This Row],[Equity Shares]] &gt;0,ISNUMBER( SnapshotTable[[#This Row],[Long Term Target]])),(SnapshotTable[[#This Row],[Equity Shares]] * SnapshotTable[[#This Row],[Long Term Target]]) - SnapshotTable[[#This Row],[Equity Basis Total]],0)</f>
        <v>0</v>
      </c>
      <c r="AN99" s="9">
        <f>IF( AND(SnapshotTable[[#This Row],[Equity Shares]] &gt;0,ISNUMBER( SnapshotTable[[#This Row],[Long Term Target]])),(SnapshotTable[[#This Row],[Equity Shares]]*SnapshotTable[[#This Row],[Long Term Target]]) - SnapshotTable[[#This Row],[Equity Value]],0)</f>
        <v>0</v>
      </c>
      <c r="AO99" s="152" t="str">
        <f>IF(AND(ISNUMBER( SnapshotTable[[#This Row],[Long Term Target]]), ISNUMBER(SnapshotTable[[#This Row],[Last Price]])),(SnapshotTable[[#This Row],[Long Term Target]] - SnapshotTable[[#This Row],[Last Price]]) / SnapshotTable[[#This Row],[Last Price]], "")</f>
        <v/>
      </c>
      <c r="AP99" s="5"/>
      <c r="AQ99" s="38"/>
      <c r="AR99" s="5"/>
      <c r="AS99" s="38"/>
      <c r="AT99" s="146"/>
      <c r="AU99" s="187" t="str">
        <f>IF(OR(SnapshotTable[[#This Row],[LP No Fill]]="Y",SnapshotTable[[#This Row],[SP Is Filled]],SnapshotTable[[#This Row],[LC Not Filled]]="Y",SnapshotTable[[#This Row],[SC Is Filled]]),"Y","")</f>
        <v/>
      </c>
      <c r="AV99" s="219"/>
      <c r="AW99" s="225"/>
      <c r="AX99" s="220"/>
      <c r="AY99" s="219" t="str">
        <f>IF(SnapshotTable[[#This Row],[Implied Move]]&gt;0, SnapshotTable[[#This Row],[Last Price]]-SnapshotTable[[#This Row],[Implied Move]],"")</f>
        <v/>
      </c>
      <c r="AZ99" s="219" t="str">
        <f>IF(SnapshotTable[[#This Row],[Implied Move]]&gt;0, SnapshotTable[[#This Row],[Last Price]] + SnapshotTable[[#This Row],[Implied Move]],"")</f>
        <v/>
      </c>
      <c r="BA99" s="331"/>
      <c r="BB99" s="347"/>
      <c r="BC9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9" s="351"/>
      <c r="BE99" s="5"/>
      <c r="BF99" s="14"/>
      <c r="BG99" s="13"/>
      <c r="BH99" s="13"/>
      <c r="BI99" s="5"/>
      <c r="BJ99" s="136">
        <f>IF(SnapshotTable[[#This Row],[LP Qty]] &gt; 0, SnapshotTable[[#This Row],[LP Qty]] * SnapshotTable[[#This Row],[LP Book Price]] * 100,0)</f>
        <v>0</v>
      </c>
      <c r="BK99" s="136">
        <f>IF(SnapshotTable[[#This Row],[LP Premium]] &gt; 0, SnapshotTable[[#This Row],[LP Qty]] * SnapshotTable[[#This Row],[LP Strike Price]] * 100,0)</f>
        <v>0</v>
      </c>
      <c r="BL99" s="154"/>
      <c r="BM99" s="385" t="str">
        <f>IF(SnapshotTable[[#This Row],[LP Premium]] &gt; 0,SnapshotTable[[#This Row],[LP Exp Date]]-MAX(SnapshotTable[[#This Row],[LP Book Date]], SnapshotTable[[#This Row],[LP Fill Date]]),"")</f>
        <v/>
      </c>
      <c r="BN99" s="385" t="str">
        <f>IF(ISNUMBER( SnapshotTable[[#This Row],[LP Term]]), SnapshotTable[[#This Row],[LP Exp Date]] - MockToday,"")</f>
        <v/>
      </c>
      <c r="BO99" s="163" t="str">
        <f>IF(AND(SnapshotTable[[#This Row],[LP Exp Date]]&gt;0, SnapshotTable[[#This Row],[LP Strike Price]]&gt;0,SnapshotTable[[#This Row],[LP Qty]]&gt;0,SnapshotTable[[#This Row],[LP Book Date]]&gt;0,SnapshotTable[[#This Row],[LP Book Price]]&gt;0,SnapshotTable[[#This Row],[LP Fill Date]]=0),"Y","")</f>
        <v/>
      </c>
      <c r="BP99" s="31" t="str">
        <f>IF(AND(SnapshotTable[[#This Row],[LP No Fill]]&lt;&gt;"Y",SnapshotTable[[#This Row],[LP Contract Value]]&gt;0, SnapshotTable[[#This Row],[LP Qty]]&gt;0), SnapshotTable[[#This Row],[LP Contract Value]]*SnapshotTable[[#This Row],[LP Qty]]*100,"")</f>
        <v/>
      </c>
      <c r="BQ99" s="13"/>
      <c r="BR99" s="5" t="str">
        <f>IF(SnapshotTable[[#This Row],[SP Exp Date]]&lt;&gt;"",TRUNC(SnapshotTable[[#This Row],[Last Price]]),"")</f>
        <v/>
      </c>
      <c r="BS99" s="36"/>
      <c r="BT99" s="147"/>
      <c r="BU99" s="13"/>
      <c r="BV99" s="5"/>
      <c r="BW99" s="419" t="b">
        <f>AND(ISNUMBER(SnapshotTable[[#This Row],[SP Exp Date]]), ISNUMBER(SnapshotTable[[#This Row],[SP Strike Price]]), ISNUMBER(SnapshotTable[[#This Row],[SP Qty]]), ISNUMBER(SnapshotTable[[#This Row],[SP Book Date]]), ISNUMBER(SnapshotTable[[#This Row],[SP Book Price]]))</f>
        <v>0</v>
      </c>
      <c r="BX99" s="419" t="b">
        <f>AND(SnapshotTable[[#This Row],[SP Is Booked]], NOT(ISBLANK(SnapshotTable[[#This Row],[SP Fill Date]])))</f>
        <v>0</v>
      </c>
      <c r="BY99" s="33">
        <f>IF(SnapshotTable[[#This Row],[SP Is Booked]], SnapshotTable[[#This Row],[SP Qty]] * SnapshotTable[[#This Row],[SP Book Price]] * 100, 0)</f>
        <v>0</v>
      </c>
      <c r="BZ99" s="369"/>
      <c r="CA99" s="368">
        <f>SnapshotTable[[#This Row],[LP Qty]]</f>
        <v>0</v>
      </c>
      <c r="CB99" s="4" t="str">
        <f>IF(SnapshotTable[[#This Row],[SP Is Booked]], SnapshotTable[[#This Row],[SP Strike Price]] - SnapshotTable[[#This Row],[SP Book Price]], "")</f>
        <v/>
      </c>
      <c r="CC99" s="19" t="str">
        <f>IF(SnapshotTable[[#This Row],[SP Is Booked]],SnapshotTable[[#This Row],[SP Exp Date]]-MAX(SnapshotTable[[#This Row],[SP Book Date]], SnapshotTable[[#This Row],[SP Fill Date]]),"")</f>
        <v/>
      </c>
      <c r="CD99" s="7" t="str">
        <f>IF(SnapshotTable[[#This Row],[SP Is Booked]], SnapshotTable[[#This Row],[SP Book Price]]/SnapshotTable[[#This Row],[SP Strike Price]], "")</f>
        <v/>
      </c>
      <c r="CE99" s="7" t="str">
        <f>IF(ISNUMBER(SnapshotTable[[#This Row],[SP ROO Term]]),SnapshotTable[[#This Row],[SP ROO Term]]*(365/SnapshotTable[[#This Row],[SP Term]]),"")</f>
        <v/>
      </c>
      <c r="CF99" s="236">
        <f>SnapshotTable[[#This Row],[LP Strike Price]] * SnapshotTable[[#This Row],[LP Qty]] * 100</f>
        <v>0</v>
      </c>
      <c r="CG99" s="31" t="e">
        <f>IF(ISNUMBER(SnapshotTable[[#This Row],[SP Premium]]), (SnapshotTable[[#This Row],[SP Qty]] * SnapshotTable[[#This Row],[SP Strike Price]]* 100) - SnapshotTable[[#This Row],[LP Protection]], 0)</f>
        <v>#VALUE!</v>
      </c>
      <c r="CH99" s="7" t="str">
        <f>IF(ISNUMBER(SnapshotTable[[#This Row],[SP Break Even]]),-1 * (SnapshotTable[[#This Row],[SP Break Even]] - SnapshotTable[[#This Row],[Last Price]]) / SnapshotTable[[#This Row],[Last Price]], "")</f>
        <v/>
      </c>
      <c r="CI99" s="31">
        <f>IF(AND(ISNUMBER((SnapshotTable[[#This Row],[SP Potential Spend]])), SnapshotTable[[#This Row],[SP Strike Price]] &gt; SnapshotTable[[#This Row],[Last Price]], SnapshotTable[[#This Row],[SP Is Filled]]), SnapshotTable[[#This Row],[SP Potential Spend]] -  SnapshotTable[[#This Row],[LP Max Value]], 0)</f>
        <v>0</v>
      </c>
      <c r="CJ99" s="244"/>
      <c r="CK99" s="31" t="str">
        <f>IF(ISNUMBER(SnapshotTable[[#This Row],[SP Potential Spend]]),IF(ISNUMBER(SnapshotTable[[#This Row],[SP POW]]), SnapshotTable[[#This Row],[SP POW]] * SnapshotTable[[#This Row],[SP Potential Spend]], SnapshotTable[[#This Row],[SP Potential Spend]]), "")</f>
        <v/>
      </c>
      <c r="CL99" s="164" t="e">
        <f>IF(NOT(SnapshotTable[[#This Row],[SP Is Filled]]),(SnapshotTable[[#This Row],[SP Qty]] * SnapshotTable[[#This Row],[SP Strike Price]] * 100) - SnapshotTable[[#This Row],[LP Max Value]],"")</f>
        <v>#VALUE!</v>
      </c>
      <c r="CM99" s="31" t="str">
        <f>IF(SnapshotTable[[#This Row],[SP Actual Spend]]&lt;&gt;0, ((SnapshotTable[[#This Row],[SP Strike Price]]-SnapshotTable[[#This Row],[Last Price]]) *(SnapshotTable[[#This Row],[SP Qty]]*100) - SnapshotTable[[#This Row],[SP Premium]]) * - 1, "")</f>
        <v/>
      </c>
      <c r="CN99" s="78"/>
      <c r="CO99" s="369"/>
      <c r="CP99" s="4" t="str">
        <f>IF(SnapshotTable[[#This Row],[SP Is Filled]], btc_max_buyback_amount(SnapshotTable[[#This Row],[SP Fill Date]],SnapshotTable[[#This Row],[SP Exp Date]], SnapshotTable[[#This Row],[SP Book Price]]),"")</f>
        <v/>
      </c>
      <c r="CQ99" s="78"/>
      <c r="CR9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9" s="155" t="str">
        <f>IF(SnapshotTable[[#This Row],[SP Is Filled]], btc_next_cutoff_date(SnapshotTable[[#This Row],[SP Fill Date]],SnapshotTable[[#This Row],[SP Exp Date]]),"")</f>
        <v/>
      </c>
      <c r="CT99" s="235" t="str" cm="1">
        <f t="array" ref="CT99">IF(SnapshotTable[[#This Row],[SP Is Filled]], btc_should_buy_back(SnapshotTable[[#This Row],[SP Fill Date]], SnapshotTable[[#This Row],[SP Exp Date]], SnapshotTable[[#This Row],[SP Book Price]], SnapshotTable[[#This Row],[SP Current Ask]], MockToday, SnapshotTable[[#This Row],[SP Buyback Override]]),"")</f>
        <v/>
      </c>
      <c r="CU99" s="156"/>
      <c r="CV99" s="235"/>
      <c r="CW99" s="378" t="str">
        <f>IF(ISNUMBER( SnapshotTable[[#This Row],[SP Term]]), SnapshotTable[[#This Row],[SP Exp Date]] - MockToday,"")</f>
        <v/>
      </c>
      <c r="CX99" s="31" t="str">
        <f>IF(SnapshotTable[[#This Row],[SP Is Filled]],SnapshotTable[[#This Row],[SP Buyback Price to Use]] * 100 * SnapshotTable[[#This Row],[SP Qty]], "")</f>
        <v/>
      </c>
      <c r="CY99" s="4" t="str">
        <f>IF(ISNUMBER(SnapshotTable[[#This Row],[SP Strike Price]]), SnapshotTable[[#This Row],[SP Strike Price]] * (1 - SP_MaxLoss_StrikePct), "")</f>
        <v/>
      </c>
      <c r="CZ99" s="31" t="str">
        <f>IF(ISNUMBER(SnapshotTable[[#This Row],[SP Strike  Stop Per Share]]),SnapshotTable[[#This Row],[SP Premium]] - ((SnapshotTable[[#This Row],[SP Strike Price]]-SnapshotTable[[#This Row],[SP Strike  Stop Per Share]]) *(SnapshotTable[[#This Row],[SP Qty]] * 100)),"")</f>
        <v/>
      </c>
      <c r="DA99" s="4" t="str">
        <f>IF(AND(ISNUMBER(SnapshotTable[[#This Row],[SP Premium]]),SnapshotTable[[#This Row],[SP Premium]]&gt;0), SnapshotTable[[#This Row],[SP Book Price]] * (1 + SP_MaxLoss_OptionPct), "")</f>
        <v/>
      </c>
      <c r="DB99" s="31" t="str">
        <f>IF(ISNUMBER(SnapshotTable[[#This Row],[SP Option  Stop Contract]]),(SnapshotTable[[#This Row],[SP Option  Stop Contract]] *(SnapshotTable[[#This Row],[SP Qty]] * 100) - SnapshotTable[[#This Row],[SP Premium]]),"")</f>
        <v/>
      </c>
      <c r="DC99" s="4"/>
      <c r="DD99" s="4"/>
      <c r="DE99" s="4" t="str">
        <f>IF(AND(SnapshotTable[[#This Row],[SP Qty]]&gt;0, SnapshotTable[[#This Row],[SP Stop To Use]]&gt;0),SnapshotTable[[#This Row],[SP Premium]] - ( SnapshotTable[[#This Row],[SP Qty]] * SnapshotTable[[#This Row],[SP Stop To Use]] * 100), "")</f>
        <v/>
      </c>
      <c r="DF99" s="31" t="str">
        <f>IF(AND(SnapshotTable[[#This Row],[SP Qty]]&gt;0,SnapshotTable[[#This Row],[SP Current Ask]]&gt;0), SnapshotTable[[#This Row],[SP Qty]] * SnapshotTable[[#This Row],[SP Current Ask]] * -100, "")</f>
        <v/>
      </c>
      <c r="DG99" s="31" t="str">
        <f>IF(ISNUMBER((SnapshotTable[[#This Row],[SP Total Value]])), SnapshotTable[[#This Row],[SP Premium]] + SnapshotTable[[#This Row],[SP Total Value]], "")</f>
        <v/>
      </c>
      <c r="DH99" s="294" t="str">
        <f>IF(ISNUMBER((SnapshotTable[[#This Row],[SP Total Value]])), SnapshotTable[[#This Row],[SP Gain Loss]] / SnapshotTable[[#This Row],[SP Premium]], "")</f>
        <v/>
      </c>
      <c r="DI99" s="406"/>
      <c r="DJ99" s="138"/>
      <c r="DK99" s="148"/>
      <c r="DL99" s="13"/>
      <c r="DM99" s="13"/>
      <c r="DO99" s="31">
        <f>IF(SnapshotTable[[#This Row],[LC Symbol Count]]=1, SnapshotTable[[#This Row],[LC Qty]] * SnapshotTable[[#This Row],[LC Book Price]] * 100, 0)</f>
        <v>0</v>
      </c>
      <c r="DP99" s="163" t="str">
        <f>IF(AND(SnapshotTable[[#This Row],[LC Exp Date]]&gt;0, SnapshotTable[[#This Row],[LC Strike Price]]&gt;0,SnapshotTable[[#This Row],[LC Qty]]&gt;0,SnapshotTable[[#This Row],[LC Book Date]]&gt;0,SnapshotTable[[#This Row],[LC Book Price]]&gt;0,SnapshotTable[[#This Row],[LC Fill Date]]=0),"Y","")</f>
        <v/>
      </c>
      <c r="DQ99" s="386" t="str">
        <f>IF(SnapshotTable[[#This Row],[LC Premium]] &gt; 0,SnapshotTable[[#This Row],[LC Exp Date]]-MAX(SnapshotTable[[#This Row],[LC Book Date]], SnapshotTable[[#This Row],[LC Fill Date]]),"")</f>
        <v/>
      </c>
      <c r="DR99" s="386" t="str">
        <f>IF(ISNUMBER(SnapshotTable[[#This Row],[LC Term]]), SnapshotTable[[#This Row],[LC Exp Date]] - MockToday, "")</f>
        <v/>
      </c>
      <c r="DS99" s="234" t="str">
        <f>IF(SnapshotTable[[#This Row],[LC Premium]]&gt;0,SnapshotTable[[#This Row],[LC Strike Price]] + SnapshotTable[[#This Row],[LC Book Price]],"")</f>
        <v/>
      </c>
      <c r="DU99" s="9" t="str">
        <f>IF(AND(SnapshotTable[[#This Row],[LC Symbol Count]]&gt;0, SnapshotTable[[#This Row],[LC Contract Value]]&gt;0), SnapshotTable[[#This Row],[LC Contract Value]] * SnapshotTable[[#This Row],[LC Qty]] * 100, "")</f>
        <v/>
      </c>
      <c r="DV99" s="9" t="str">
        <f>IF(AND(ISNUMBER(SnapshotTable[[#This Row],[LC Total Value]]), SnapshotTable[[#This Row],[LC Not Filled]]&lt;&gt;"Y"), SnapshotTable[[#This Row],[LC Total Value]]-SnapshotTable[[#This Row],[LC Premium]],"")</f>
        <v/>
      </c>
      <c r="DW99" s="240" t="str">
        <f>IF(ISNUMBER(SnapshotTable[[#This Row],[LC Actual Gain Loss]]), SnapshotTable[[#This Row],[LC Actual Gain Loss]] / SnapshotTable[[#This Row],[LC Premium]],"")</f>
        <v/>
      </c>
      <c r="DX99" s="284" t="str">
        <f>IF(ISNUMBER(SnapshotTable[[#This Row],[LC Book Price]]),SnapshotTable[[#This Row],[LC Book Price]] * 1.5,"")</f>
        <v/>
      </c>
      <c r="DY99" s="265" t="str">
        <f>IF(SnapshotTable[[#This Row],[LC Premium]]&gt;0, SnapshotTable[[#This Row],[LC Next Target]] * SnapshotTable[[#This Row],[LC Qty]] * 100,"")</f>
        <v/>
      </c>
      <c r="DZ99" s="265" t="str">
        <f>IF(ISNUMBER(SnapshotTable[[#This Row],[LC Target Gross]]), SnapshotTable[[#This Row],[LC Target Gross]] - SnapshotTable[[#This Row],[LC Premium]], "")</f>
        <v/>
      </c>
      <c r="EA99" s="305" t="str">
        <f>IF(ISNUMBER(SnapshotTable[[#This Row],[LC Target Gain Loss]]), SnapshotTable[[#This Row],[LC Target Gain Loss]]/SnapshotTable[[#This Row],[LC Premium]], "")</f>
        <v/>
      </c>
      <c r="EB99" s="262"/>
      <c r="EC99" s="283" t="str">
        <f>IF(SnapshotTable[[#This Row],[LC Premium]]&gt;0, SnapshotTable[[#This Row],[LC Book Price]] * (1 - LC_StopLoss_Pct),"")</f>
        <v/>
      </c>
      <c r="ED99" s="284"/>
      <c r="EE99" s="283" t="str">
        <f>IF(ISNUMBER(SnapshotTable[[#This Row],[LC Contract Value]]),IF(ISNUMBER(SnapshotTable[[#This Row],[LC Stop Loss Override]]), SnapshotTable[[#This Row],[LC Stop Loss Override]],SnapshotTable[[#This Row],[LC Stop Loss Calc Target]]),"")</f>
        <v/>
      </c>
      <c r="EF99" s="31" t="str">
        <f>IF(ISNUMBER(SnapshotTable[[#This Row],[LC Stop  To Use]]), (SnapshotTable[[#This Row],[LC Stop  To Use]] * SnapshotTable[[#This Row],[LC Qty]] * 100),"")</f>
        <v/>
      </c>
      <c r="EG99" s="9" t="str">
        <f>IF(ISNUMBER(SnapshotTable[[#This Row],[LC Total Value]]),SnapshotTable[[#This Row],[LC Stop Loss Amount]] - SnapshotTable[[#This Row],[LC Premium]],"")</f>
        <v/>
      </c>
      <c r="EH99" s="9">
        <f>IF(ISNUMBER(SnapshotTable[[#This Row],[LC Premium]]), SnapshotTable[[#This Row],[LC Qty]] * 100 * SnapshotTable[[#This Row],[LC Strike Price]], "")</f>
        <v>0</v>
      </c>
      <c r="EI99" s="240" t="str">
        <f>IF(AND(ISNUMBER(SnapshotTable[[#This Row],[LC Total Value]]),SnapshotTable[[#This Row],[LC Total Value]]&gt;0),SnapshotTable[[#This Row],[LC Stop Gain Loss]]  / SnapshotTable[[#This Row],[LC Premium]],"")</f>
        <v/>
      </c>
      <c r="EJ99" s="35">
        <f>IF(ISNUMBER(SnapshotTable[[#This Row],[Equity Shares]]),TRUNC(SnapshotTable[[#This Row],[Equity Shares]] / 100),0) + SnapshotTable[[#This Row],[LC Qty]]</f>
        <v>0</v>
      </c>
      <c r="EK99" s="147"/>
      <c r="EL99" s="138" t="str">
        <f>IF(SnapshotTable[[#This Row],[SC Exp Date]]&lt;&gt;"",TRUNC(SnapshotTable[[#This Row],[Last Price]]),"")</f>
        <v/>
      </c>
      <c r="EM99" s="148"/>
      <c r="EN99" s="147"/>
      <c r="EO99" s="147"/>
      <c r="EP99" s="138"/>
      <c r="EQ99" s="419" t="b">
        <f>AND(ISNUMBER(SnapshotTable[[#This Row],[SC Exp Date]]), ISNUMBER(SnapshotTable[[#This Row],[SC Strike Price]]), ISNUMBER(SnapshotTable[[#This Row],[SC Qty]]), ISNUMBER(SnapshotTable[[#This Row],[SC Book Date]]), ISNUMBER(SnapshotTable[[#This Row],[SC Book Price]]))</f>
        <v>0</v>
      </c>
      <c r="ER99" s="419" t="b">
        <f>AND(SnapshotTable[[#This Row],[SC Is Booked]], NOT(ISBLANK(SnapshotTable[[#This Row],[SC Fill Date]])))</f>
        <v>0</v>
      </c>
      <c r="ES99" s="370"/>
      <c r="ET99" s="34" t="str">
        <f>IF(AND(ISNUMBER(SnapshotTable[[#This Row],[SC Exp Date]]), ISNUMBER(SnapshotTable[[#This Row],[SC Book Date]])), SnapshotTable[[#This Row],[SC Exp Date]] - MAX(SnapshotTable[[#This Row],[SC Book Date]], SnapshotTable[[#This Row],[SC Fill Date]]) + 1, "")</f>
        <v/>
      </c>
      <c r="EU99" s="34" t="str">
        <f>IF(ISNUMBER(SnapshotTable[[#This Row],[SC Term]]), SnapshotTable[[#This Row],[SC Exp Date]]- MockToday, "")</f>
        <v/>
      </c>
      <c r="EV99" s="31">
        <f>IF(SnapshotTable[[#This Row],[SC Is Booked]], SnapshotTable[[#This Row],[SC Qty]] * SnapshotTable[[#This Row],[SC Book Price]] * 100, 0)</f>
        <v>0</v>
      </c>
      <c r="EW99" s="4" t="str">
        <f>IF(AND(ISNUMBER(SnapshotTable[[#This Row],[Last Price]]), ISNUMBER( SnapshotTable[[#This Row],[SC Book Price]])), SnapshotTable[[#This Row],[Last Price]] - SnapshotTable[[#This Row],[SC Book Price]],"")</f>
        <v/>
      </c>
      <c r="EX99" s="234" t="str">
        <f>IF(SnapshotTable[[#This Row],[SC Is Booked]],IF(SnapshotTable[[#This Row],[SC Intrinsic Value]] &gt; 0, SnapshotTable[[#This Row],[SC Strike Price]], SnapshotTable[[#This Row],[Last Price]]), "")</f>
        <v/>
      </c>
      <c r="EY99" s="4">
        <f>IF(SnapshotTable[[#This Row],[SC Is Booked]], (MinimumPremiumRequired * SnapshotTable[[#This Row],[SC Basis]] * SnapshotTable[[#This Row],[SC Term]]), 0)</f>
        <v>0</v>
      </c>
      <c r="EZ99" s="283"/>
      <c r="FA99" s="218"/>
      <c r="FB99" s="370"/>
      <c r="FC99" s="4">
        <f>IF(SnapshotTable[[#This Row],[SC Is Filled]], btc_max_buyback_amount(SnapshotTable[[#This Row],[SC Fill Date]],SnapshotTable[[#This Row],[SC Exp Date]], SnapshotTable[[#This Row],[SC Book Price]]),0)</f>
        <v>0</v>
      </c>
      <c r="FD99" s="5"/>
      <c r="FE99" s="144" t="str">
        <f>IF(SnapshotTable[[#This Row],[SC Is Filled]], btc_next_cutoff_date(SnapshotTable[[#This Row],[SC Fill Date]],SnapshotTable[[#This Row],[SC Exp Date]]),"")</f>
        <v/>
      </c>
      <c r="FF99" s="4" t="str" cm="1">
        <f t="array" ref="FF99">IF(SnapshotTable[[#This Row],[SC Is Filled]], btc_should_buy_back(SnapshotTable[[#This Row],[SC Fill Date]], SnapshotTable[[#This Row],[SC Exp Date]], SnapshotTable[[#This Row],[SC Book Price]], SnapshotTable[[#This Row],[SC Current Ask]], MockToday, SnapshotTable[[#This Row],[SC Buyback Override]]),"")</f>
        <v/>
      </c>
      <c r="FG99" s="4">
        <f>IF(SnapshotTable[[#This Row],[SC Is Filled]], MAX(0,SnapshotTable[[#This Row],[Last Price]]  - SnapshotTable[[#This Row],[SC Strike Price]]), 0)</f>
        <v>0</v>
      </c>
      <c r="FH99" s="382">
        <f>IF(SnapshotTable[[#This Row],[SC Is Filled]], IF(ISNUMBER(SnapshotTable[[#This Row],[SC Current Ask]]), SnapshotTable[[#This Row],[SC Current Ask]], SnapshotTable[[#This Row],[SC Book Price]]) - SnapshotTable[[#This Row],[SC Intrinsic Value]], 0)</f>
        <v>0</v>
      </c>
      <c r="FI99" s="143"/>
      <c r="FJ99" s="32" t="str">
        <f>IF(SnapshotTable[[#This Row],[SC Is Filled]],100 * SnapshotTable[[#This Row],[SC Qty]] * IF(ISNUMBER(SnapshotTable[[#This Row],[SC Buyback Override]]), SnapshotTable[[#This Row],[SC Buyback Override]], SnapshotTable[[#This Row],[SC Current Ask]]), "")</f>
        <v/>
      </c>
      <c r="FK99" s="250" t="str">
        <f>IF(SnapshotTable[[#This Row],[SC Time Val]]&gt;0, SnapshotTable[[#This Row],[SC Time Val]] / SnapshotTable[[#This Row],[Last Price]],"")</f>
        <v/>
      </c>
      <c r="FL99" s="302" t="str">
        <f>IF(SnapshotTable[[#This Row],[SC Is Booked]], ((SnapshotTable[[#This Row],[Last Price]] -SnapshotTable[[#This Row],[SC Strike Price]]) / SnapshotTable[[#This Row],[Last Price]]) * -1, "")</f>
        <v/>
      </c>
      <c r="FM99" s="157" t="str">
        <f>IF(SnapshotTable[[#This Row],[SC Is Booked]],  (SnapshotTable[[#This Row],[SC Qty]] * 100 * SnapshotTable[[#This Row],[SC Strike Price]]) - SnapshotTable[[#This Row],[SC Current Ask]], "")</f>
        <v/>
      </c>
      <c r="FN9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9" s="31" t="str">
        <f>IF(AND(ISNUMBER(SnapshotTable[[#This Row],[SC Exercise Gross]]), ISNUMBER(SnapshotTable[[#This Row],[Equity Basis Per Share]] )), SnapshotTable[[#This Row],[SC Exercise Gross]] - SnapshotTable[[#This Row],[Equity Basis Total]] +  SnapshotTable[[#This Row],[SC Premium]], "")</f>
        <v/>
      </c>
      <c r="FP99" s="5" t="str">
        <f>IF(ISNUMBER(SnapshotTable[[#This Row],[SC Exercise Gross]]), (SnapshotTable[[#This Row],[SC Exercise Gross]]) / (SnapshotTable[[#This Row],[SC Qty]] * 100), "")</f>
        <v/>
      </c>
      <c r="FQ99" s="27" t="str">
        <f>IF(SnapshotTable[[#This Row],[SC Is Booked]],SnapshotTable[[#This Row],[SC Time Val]] /SnapshotTable[[#This Row],[SC Basis]], "")</f>
        <v/>
      </c>
      <c r="FR99" s="27" t="str" cm="1">
        <f t="array" ref="FR99">IF(AND(ISNUMBER(SnapshotTable[[#This Row],[SC Term]]),ISNUMBER(SnapshotTable[[#This Row],[SC Simple ROO]])), EllmanAnnualize(SnapshotTable[[#This Row],[SC DTE]], SnapshotTable[[#This Row],[SC Simple ROO]] ),"")</f>
        <v/>
      </c>
      <c r="FS99" s="4" t="e">
        <f>IF(SnapshotTable[[#This Row],[SC Strike Price]] &gt; SnapshotTable[[#This Row],[Last Price]], SnapshotTable[[#This Row],[SC Strike Price]] - SnapshotTable[[#This Row],[Last Price]],0)</f>
        <v>#VALUE!</v>
      </c>
      <c r="FT99" s="27" t="e">
        <f>IF(AND(ISNUMBER(SnapshotTable[[#This Row],[SC Upside Potential]]), SnapshotTable[[#This Row],[SC Upside Potential]] &gt; 0),(SnapshotTable[[#This Row],[SC Upside Potential]]/ SnapshotTable[[#This Row],[ACB]]),"")</f>
        <v>#VALUE!</v>
      </c>
      <c r="FU99" s="333" t="str">
        <f>IF(SnapshotTable[[#This Row],[SC Intrinsic Value]] &gt; 0,SnapshotTable[[#This Row],[SC Intrinsic Value]],"")</f>
        <v/>
      </c>
      <c r="FV99" s="27" t="str">
        <f>IF(AND( ISNUMBER( SnapshotTable[[#This Row],[ACB]]),ISNUMBER(SnapshotTable[[#This Row],[SC Downside Protect]])),SnapshotTable[[#This Row],[SC Downside Protect]] / SnapshotTable[[#This Row],[ACB]],"")</f>
        <v/>
      </c>
      <c r="FW99" s="236" t="str">
        <f>IF(AND(ISNUMBER(SnapshotTable[[#This Row],[SC Simple ROO]]),SnapshotTable[[#This Row],[SC Simple ROO]] &gt; 0), SnapshotTable[[#This Row],[SC Premium]] + (SnapshotTable[[#This Row],[SC Qty]] * SnapshotTable[[#This Row],[SC Upside Potential]]), "")</f>
        <v/>
      </c>
      <c r="FX99" s="302" t="str" cm="1">
        <f t="array" ref="FX99">IF(ISNUMBER(SnapshotTable[[#This Row],[SC Max Dollars]]), annualize(SnapshotTable[[#This Row],[SC Term]],(SnapshotTable[[#This Row],[SC Max Dollars]]/SnapshotTable[[#This Row],[SC Basis]])),"")</f>
        <v/>
      </c>
      <c r="FY99" s="236" t="str">
        <f>IF(AND(SnapshotTable[[#This Row],[SC Qty]]&gt;0,SnapshotTable[[#This Row],[SC Current Ask]]&gt;0), SnapshotTable[[#This Row],[SC Qty]] * SnapshotTable[[#This Row],[SC Current Ask]] * -100, "")</f>
        <v/>
      </c>
      <c r="FZ99" s="31" t="str">
        <f>IF(ISNUMBER((SnapshotTable[[#This Row],[SC Current Value]])), SnapshotTable[[#This Row],[SC Premium]] + SnapshotTable[[#This Row],[SC Current Value]], "")</f>
        <v/>
      </c>
      <c r="GA99" s="294" t="str">
        <f>IFERROR( IF(ISNUMBER((SnapshotTable[[#This Row],[SC Current Value]])), SnapshotTable[[#This Row],[SC Gain Loss]] / SnapshotTable[[#This Row],[SC Premium]], ""), "")</f>
        <v/>
      </c>
      <c r="GB99" s="42">
        <f>SnapshotTable[[#This Row],[Equity Shares]] * SaleSharesToConsiderPercentage</f>
        <v>0</v>
      </c>
      <c r="GC99" s="40">
        <f>SnapshotTable[[#This Row],[Long Term Target]] * SellingPriceToConsiderBasedOnTargetPercentage</f>
        <v>0</v>
      </c>
      <c r="GD99" s="40">
        <f>SnapshotTable[[#This Row],[Last Price]] * (1+ SellingPriceToConsiderBasedOnTargetPercentage)</f>
        <v>42.665999999999997</v>
      </c>
      <c r="GE99" s="41"/>
      <c r="GF99" s="40"/>
      <c r="GG99" s="31">
        <f>SnapshotTable[[#This Row],[Booked Sale Shares]] * SnapshotTable[[#This Row],[Booked Sale Price]]</f>
        <v>0</v>
      </c>
      <c r="GH99" s="31" t="str">
        <f>IF(SnapshotTable[[#This Row],[Equity Basis Total]] &gt; 0, SnapshotTable[[#This Row],[Equity Basis Per Share]] * SnapshotTable[[#This Row],[Booked Sale Shares]], "")</f>
        <v/>
      </c>
      <c r="GI99" s="31">
        <f>IF(SnapshotTable[[#This Row],[Sale Proceeds]]&gt;0, SnapshotTable[[#This Row],[Sale Proceeds]] - SnapshotTable[[#This Row],[Sale Basis]], 0)</f>
        <v>0</v>
      </c>
      <c r="GJ99" s="27" t="str">
        <f>IF(SnapshotTable[[#This Row],[Sale G/L]]&gt;0, SnapshotTable[[#This Row],[Sale G/L]] / SnapshotTable[[#This Row],[Sale Basis]], IF(ISNUMBER(SnapshotTable[[#This Row],[SC Exercise P&amp;L (TAX)]]), SnapshotTable[[#This Row],[SC Exercise P&amp;L (TAX)]] / SnapshotTable[[#This Row],[SC Basis]], ""))</f>
        <v/>
      </c>
      <c r="GK99" s="27" t="s">
        <v>1113</v>
      </c>
      <c r="GL99" s="43" t="str">
        <f>IF(AND(SnapshotTable[[#This Row],[LP Exp Date]]&gt;0,SnapshotTable[[#This Row],[LP Strike Price]]&gt;0), [1]!ToOptionSymbol(SnapshotTable[[#This Row],[Symbol]], SnapshotTable[[#This Row],[LP Strike Price]],SnapshotTable[[#This Row],[LP Exp Date]],1), "")</f>
        <v/>
      </c>
      <c r="GM99" s="30" t="str">
        <f>IF(LEN(SnapshotTable[[#This Row],[LP Symbol]])&gt;0, 1, "")</f>
        <v/>
      </c>
      <c r="GN99" s="43" t="str">
        <f>IF(AND(SnapshotTable[[#This Row],[SP Exp Date]]&gt;0,SnapshotTable[[#This Row],[SP Strike Price]]&gt;0), [1]!ToOptionSymbol(SnapshotTable[[#This Row],[Symbol]], SnapshotTable[[#This Row],[SP Strike Price]],SnapshotTable[[#This Row],[SP Exp Date]],1), "")</f>
        <v/>
      </c>
      <c r="GO99" s="30" t="str">
        <f>IF(LEN(SnapshotTable[[#This Row],[SP Symbol]])&gt;0, 1, "")</f>
        <v/>
      </c>
      <c r="GP99" s="43" t="str">
        <f>IF(AND(SnapshotTable[[#This Row],[LC Exp Date]]&gt;0,SnapshotTable[[#This Row],[LC Strike Price]]&gt;0), [1]!ToOptionSymbol(SnapshotTable[[#This Row],[Symbol]], SnapshotTable[[#This Row],[LC Strike Price]],SnapshotTable[[#This Row],[LC Exp Date]],0), "")</f>
        <v/>
      </c>
      <c r="GQ99" s="30" t="str">
        <f>IF(LEN(SnapshotTable[[#This Row],[LC Symbol]])&gt;0, 1, "")</f>
        <v/>
      </c>
      <c r="GR99" s="43" t="str">
        <f>IF(AND(SnapshotTable[[#This Row],[SC Exp Date]]&gt;0,SnapshotTable[[#This Row],[SC Strike Price]]&gt;0), [1]!ToOptionSymbol(SnapshotTable[[#This Row],[Symbol]], SnapshotTable[[#This Row],[SC Strike Price]],SnapshotTable[[#This Row],[SC Exp Date]],0), "")</f>
        <v/>
      </c>
      <c r="GS99" s="30" t="str">
        <f>IF(LEN(SnapshotTable[[#This Row],[SC Symbol]])&gt;0, 1, "")</f>
        <v/>
      </c>
      <c r="GT99" s="29" t="str">
        <f>IF(COUNT(SnapshotTable[[#This Row],[LP Symbol Count]],SnapshotTable[[#This Row],[SP Symbol Count]],SnapshotTable[[#This Row],[LC Symbol Count]],SnapshotTable[[#This Row],[SC Symbol Count]])&gt;0, "Y", "")</f>
        <v/>
      </c>
      <c r="GU9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9" s="231" t="e">
        <f>MAX(SnapshotTable[[#This Row],[Equity Basis Total]],SnapshotTable[[#This Row],[Equity Value]]) + (SnapshotTable[[#This Row],[SP Potential Spend]]- SnapshotTable[[#This Row],[SP Premium]] + SnapshotTable[[#This Row],[LP Premium]])+ (SnapshotTable[[#This Row],[LC Premium]] - SnapshotTable[[#This Row],[SC Premium]])</f>
        <v>#VALUE!</v>
      </c>
      <c r="GW99" s="139" t="e">
        <f>IF(AND(SnapshotTable[[#This Row],[Exposure]] &lt;&gt; 0),SnapshotTable[[#This Row],[Exposure]] / SnapshotTable[[#Totals],[Exposure]], "")</f>
        <v>#VALUE!</v>
      </c>
      <c r="HE99" s="268"/>
      <c r="HF99" s="268"/>
      <c r="HK99" s="1"/>
      <c r="HL99" s="1"/>
      <c r="HM99" s="1"/>
      <c r="HN99" s="1"/>
      <c r="HO99" s="1"/>
      <c r="HP99" s="1"/>
    </row>
    <row r="100" spans="2:224" ht="12.75" hidden="1" customHeight="1" x14ac:dyDescent="0.25">
      <c r="B100" s="12" t="s">
        <v>1109</v>
      </c>
      <c r="C100" s="422">
        <v>21.88</v>
      </c>
      <c r="D100" s="208"/>
      <c r="E100" s="39">
        <f>SnapshotTable[[#This Row],[Last Price]]*(1 -CrashDiscount)</f>
        <v>18.597999999999999</v>
      </c>
      <c r="F100" s="26" t="s">
        <v>842</v>
      </c>
      <c r="G100" s="26" t="s">
        <v>821</v>
      </c>
      <c r="H100" s="149"/>
      <c r="I100" s="194">
        <v>45161</v>
      </c>
      <c r="J100" s="195"/>
      <c r="K100" s="196"/>
      <c r="L100" s="326"/>
      <c r="M100" s="140"/>
      <c r="N100" s="140"/>
      <c r="O100" s="140"/>
      <c r="P100" s="22"/>
      <c r="Q100" s="25"/>
      <c r="R100" s="4" t="str">
        <f>IF(SnapshotTable[[#This Row],[Equity Basis Total]] &gt; 0, SnapshotTable[[#This Row],[Equity Basis Total]] / SnapshotTable[[#This Row],[Equity Shares]], "")</f>
        <v/>
      </c>
      <c r="S100" s="269">
        <f>SnapshotTable[[#This Row],[Last Price]] * SnapshotTable[[#This Row],[Equity Shares]]</f>
        <v>0</v>
      </c>
      <c r="T100" s="269">
        <f>SnapshotTable[[#This Row],[Equity Value]] - SnapshotTable[[#This Row],[Equity Basis Total]]</f>
        <v>0</v>
      </c>
      <c r="U100" s="270" t="str">
        <f>IF(SnapshotTable[[#This Row],[Equity Basis Total]] &gt; 0, SnapshotTable[[#This Row],[Equity G/L]] / SnapshotTable[[#This Row],[Equity Basis Total]], "")</f>
        <v/>
      </c>
      <c r="V100" s="268">
        <v>48.68</v>
      </c>
      <c r="W100" s="268">
        <v>44.76</v>
      </c>
      <c r="X100" s="4" t="str">
        <f>IF(AND(ISNUMBER(SnapshotTable[[#This Row],[Equity Basis Per Share]]),ISNUMBER(SnapshotTable[[#This Row],[Equity Target]])),SnapshotTable[[#This Row],[Equity Target]]-SnapshotTable[[#This Row],[Equity Basis Per Share]],"")</f>
        <v/>
      </c>
      <c r="Y100" s="4" t="str">
        <f>IF(AND(ISNUMBER(SnapshotTable[[#This Row],[Equity Basis Per Share]]),ISNUMBER(SnapshotTable[[#This Row],[Equity Stop Loss]])),SnapshotTable[[#This Row],[Equity Stop Loss]]-SnapshotTable[[#This Row],[Equity Basis Per Share]],"")</f>
        <v/>
      </c>
      <c r="Z100" s="275" t="str">
        <f>IFERROR( TEXT(SnapshotTable[[#This Row],[Equity Max Gain Per Share]] /ABS( SnapshotTable[[#This Row],[Equity Max Loss Per Share]]),"0.0 " ) &amp; " : 1", "")</f>
        <v/>
      </c>
      <c r="AA100" s="31" t="str">
        <f>IF(ISNUMBER(SnapshotTable[[#This Row],[Equity Max Gain Per Share]]),SnapshotTable[[#This Row],[Equity Max Gain Per Share]] * SnapshotTable[[#This Row],[Equity Shares]],"")</f>
        <v/>
      </c>
      <c r="AB100" s="31" t="str">
        <f>IF(ISNUMBER(SnapshotTable[[#This Row],[Equity Max Loss Per Share]]),SnapshotTable[[#This Row],[Equity Max Loss Per Share]] * SnapshotTable[[#This Row],[Equity Shares]],"")</f>
        <v/>
      </c>
      <c r="AC100" s="150"/>
      <c r="AD100" s="151"/>
      <c r="AE100" s="31">
        <f>(SnapshotTable[[#This Row],[Annual Dividend Per Share]] / 4) * SnapshotTable[[#This Row],[Equity Shares]]</f>
        <v>0</v>
      </c>
      <c r="AF100" s="31">
        <f>SnapshotTable[[#This Row],[Quarterly Div $]] * 4</f>
        <v>0</v>
      </c>
      <c r="AG100" s="7">
        <f>IF(SnapshotTable[[#This Row],[Annual Dividend Per Share]]&gt;0, SnapshotTable[[#This Row],[Annual Dividend Per Share]]  / SnapshotTable[[#This Row],[Last Price]], 0)</f>
        <v>0</v>
      </c>
      <c r="AH100" s="151"/>
      <c r="AI100" s="5"/>
      <c r="AJ100" s="138"/>
      <c r="AK100" s="152" t="str">
        <f>IF(ISNUMBER( SnapshotTable[[#This Row],[EBF Target]]),(SnapshotTable[[#This Row],[EBF Target]] - SnapshotTable[[#This Row],[Last Price]]) / SnapshotTable[[#This Row],[Last Price]], "")</f>
        <v/>
      </c>
      <c r="AL100" s="152" t="str">
        <f>IF(AND(SnapshotTable[[#This Row],[Equity Basis Total]] &gt; 0,ISNUMBER( SnapshotTable[[#This Row],[Long Term Target]])), SnapshotTable[[#This Row],[From Basis $]] / SnapshotTable[[#This Row],[Equity Basis Total]], "")</f>
        <v/>
      </c>
      <c r="AM100" s="9">
        <f>IF( AND(SnapshotTable[[#This Row],[Equity Shares]] &gt;0,ISNUMBER( SnapshotTable[[#This Row],[Long Term Target]])),(SnapshotTable[[#This Row],[Equity Shares]] * SnapshotTable[[#This Row],[Long Term Target]]) - SnapshotTable[[#This Row],[Equity Basis Total]],0)</f>
        <v>0</v>
      </c>
      <c r="AN100" s="9">
        <f>IF( AND(SnapshotTable[[#This Row],[Equity Shares]] &gt;0,ISNUMBER( SnapshotTable[[#This Row],[Long Term Target]])),(SnapshotTable[[#This Row],[Equity Shares]]*SnapshotTable[[#This Row],[Long Term Target]]) - SnapshotTable[[#This Row],[Equity Value]],0)</f>
        <v>0</v>
      </c>
      <c r="AO100" s="152" t="str">
        <f>IF(AND(ISNUMBER( SnapshotTable[[#This Row],[Long Term Target]]), ISNUMBER(SnapshotTable[[#This Row],[Last Price]])),(SnapshotTable[[#This Row],[Long Term Target]] - SnapshotTable[[#This Row],[Last Price]]) / SnapshotTable[[#This Row],[Last Price]], "")</f>
        <v/>
      </c>
      <c r="AP100" s="5">
        <v>48.68</v>
      </c>
      <c r="AQ100" s="38" t="s">
        <v>89</v>
      </c>
      <c r="AR100" s="5">
        <v>44.76</v>
      </c>
      <c r="AS100" s="38" t="s">
        <v>32</v>
      </c>
      <c r="AT100" s="146"/>
      <c r="AU100" s="187" t="str">
        <f>IF(OR(SnapshotTable[[#This Row],[LP No Fill]]="Y",SnapshotTable[[#This Row],[SP Is Filled]],SnapshotTable[[#This Row],[LC Not Filled]]="Y",SnapshotTable[[#This Row],[SC Is Filled]]),"Y","")</f>
        <v/>
      </c>
      <c r="AV100" s="219"/>
      <c r="AW100" s="225"/>
      <c r="AX100" s="220"/>
      <c r="AY100" s="219" t="str">
        <f>IF(SnapshotTable[[#This Row],[Implied Move]]&gt;0, SnapshotTable[[#This Row],[Last Price]]-SnapshotTable[[#This Row],[Implied Move]],"")</f>
        <v/>
      </c>
      <c r="AZ100" s="219" t="str">
        <f>IF(SnapshotTable[[#This Row],[Implied Move]]&gt;0, SnapshotTable[[#This Row],[Last Price]] + SnapshotTable[[#This Row],[Implied Move]],"")</f>
        <v/>
      </c>
      <c r="BA100" s="331">
        <v>46.13</v>
      </c>
      <c r="BB100" s="347"/>
      <c r="BC10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0" s="351"/>
      <c r="BE100" s="5"/>
      <c r="BF100" s="14"/>
      <c r="BG100" s="13"/>
      <c r="BH100" s="13"/>
      <c r="BI100" s="5"/>
      <c r="BJ100" s="136">
        <f>IF(SnapshotTable[[#This Row],[LP Qty]] &gt; 0, SnapshotTable[[#This Row],[LP Qty]] * SnapshotTable[[#This Row],[LP Book Price]] * 100,0)</f>
        <v>0</v>
      </c>
      <c r="BK100" s="136">
        <f>IF(SnapshotTable[[#This Row],[LP Premium]] &gt; 0, SnapshotTable[[#This Row],[LP Qty]] * SnapshotTable[[#This Row],[LP Strike Price]] * 100,0)</f>
        <v>0</v>
      </c>
      <c r="BL100" s="154"/>
      <c r="BM100" s="385" t="str">
        <f>IF(SnapshotTable[[#This Row],[LP Premium]] &gt; 0,SnapshotTable[[#This Row],[LP Exp Date]]-MAX(SnapshotTable[[#This Row],[LP Book Date]], SnapshotTable[[#This Row],[LP Fill Date]]),"")</f>
        <v/>
      </c>
      <c r="BN100" s="385" t="str">
        <f>IF(ISNUMBER( SnapshotTable[[#This Row],[LP Term]]), SnapshotTable[[#This Row],[LP Exp Date]] - MockToday,"")</f>
        <v/>
      </c>
      <c r="BO100" s="163" t="str">
        <f>IF(AND(SnapshotTable[[#This Row],[LP Exp Date]]&gt;0, SnapshotTable[[#This Row],[LP Strike Price]]&gt;0,SnapshotTable[[#This Row],[LP Qty]]&gt;0,SnapshotTable[[#This Row],[LP Book Date]]&gt;0,SnapshotTable[[#This Row],[LP Book Price]]&gt;0,SnapshotTable[[#This Row],[LP Fill Date]]=0),"Y","")</f>
        <v/>
      </c>
      <c r="BP100" s="31" t="str">
        <f>IF(AND(SnapshotTable[[#This Row],[LP No Fill]]&lt;&gt;"Y",SnapshotTable[[#This Row],[LP Contract Value]]&gt;0, SnapshotTable[[#This Row],[LP Qty]]&gt;0), SnapshotTable[[#This Row],[LP Contract Value]]*SnapshotTable[[#This Row],[LP Qty]]*100,"")</f>
        <v/>
      </c>
      <c r="BQ100" s="13"/>
      <c r="BR100" s="5" t="str">
        <f>IF(SnapshotTable[[#This Row],[SP Exp Date]]&lt;&gt;"",TRUNC(SnapshotTable[[#This Row],[Last Price]]),"")</f>
        <v/>
      </c>
      <c r="BS100" s="36"/>
      <c r="BT100" s="147"/>
      <c r="BU100" s="13"/>
      <c r="BV100" s="5"/>
      <c r="BW100" s="419" t="b">
        <f>AND(ISNUMBER(SnapshotTable[[#This Row],[SP Exp Date]]), ISNUMBER(SnapshotTable[[#This Row],[SP Strike Price]]), ISNUMBER(SnapshotTable[[#This Row],[SP Qty]]), ISNUMBER(SnapshotTable[[#This Row],[SP Book Date]]), ISNUMBER(SnapshotTable[[#This Row],[SP Book Price]]))</f>
        <v>0</v>
      </c>
      <c r="BX100" s="419" t="b">
        <f>AND(SnapshotTable[[#This Row],[SP Is Booked]], NOT(ISBLANK(SnapshotTable[[#This Row],[SP Fill Date]])))</f>
        <v>0</v>
      </c>
      <c r="BY100" s="33">
        <f>IF(SnapshotTable[[#This Row],[SP Is Booked]], SnapshotTable[[#This Row],[SP Qty]] * SnapshotTable[[#This Row],[SP Book Price]] * 100, 0)</f>
        <v>0</v>
      </c>
      <c r="BZ100" s="369"/>
      <c r="CA100" s="368">
        <f>SnapshotTable[[#This Row],[LP Qty]]</f>
        <v>0</v>
      </c>
      <c r="CB100" s="4" t="str">
        <f>IF(SnapshotTable[[#This Row],[SP Is Booked]], SnapshotTable[[#This Row],[SP Strike Price]] - SnapshotTable[[#This Row],[SP Book Price]], "")</f>
        <v/>
      </c>
      <c r="CC100" s="19" t="str">
        <f>IF(SnapshotTable[[#This Row],[SP Is Booked]],SnapshotTable[[#This Row],[SP Exp Date]]-MAX(SnapshotTable[[#This Row],[SP Book Date]], SnapshotTable[[#This Row],[SP Fill Date]]),"")</f>
        <v/>
      </c>
      <c r="CD100" s="7" t="str">
        <f>IF(SnapshotTable[[#This Row],[SP Is Booked]], SnapshotTable[[#This Row],[SP Book Price]]/SnapshotTable[[#This Row],[SP Strike Price]], "")</f>
        <v/>
      </c>
      <c r="CE100" s="7" t="str">
        <f>IF(ISNUMBER(SnapshotTable[[#This Row],[SP ROO Term]]),SnapshotTable[[#This Row],[SP ROO Term]]*(365/SnapshotTable[[#This Row],[SP Term]]),"")</f>
        <v/>
      </c>
      <c r="CF100" s="236">
        <f>SnapshotTable[[#This Row],[LP Strike Price]] * SnapshotTable[[#This Row],[LP Qty]] * 100</f>
        <v>0</v>
      </c>
      <c r="CG100" s="31" t="e">
        <f>IF(ISNUMBER(SnapshotTable[[#This Row],[SP Premium]]), (SnapshotTable[[#This Row],[SP Qty]] * SnapshotTable[[#This Row],[SP Strike Price]]* 100) - SnapshotTable[[#This Row],[LP Protection]], 0)</f>
        <v>#VALUE!</v>
      </c>
      <c r="CH100" s="7" t="str">
        <f>IF(ISNUMBER(SnapshotTable[[#This Row],[SP Break Even]]),-1 * (SnapshotTable[[#This Row],[SP Break Even]] - SnapshotTable[[#This Row],[Last Price]]) / SnapshotTable[[#This Row],[Last Price]], "")</f>
        <v/>
      </c>
      <c r="CI100" s="31">
        <f>IF(AND(ISNUMBER((SnapshotTable[[#This Row],[SP Potential Spend]])), SnapshotTable[[#This Row],[SP Strike Price]] &gt; SnapshotTable[[#This Row],[Last Price]], SnapshotTable[[#This Row],[SP Is Filled]]), SnapshotTable[[#This Row],[SP Potential Spend]] -  SnapshotTable[[#This Row],[LP Max Value]], 0)</f>
        <v>0</v>
      </c>
      <c r="CJ100" s="244"/>
      <c r="CK100" s="31" t="str">
        <f>IF(ISNUMBER(SnapshotTable[[#This Row],[SP Potential Spend]]),IF(ISNUMBER(SnapshotTable[[#This Row],[SP POW]]), SnapshotTable[[#This Row],[SP POW]] * SnapshotTable[[#This Row],[SP Potential Spend]], SnapshotTable[[#This Row],[SP Potential Spend]]), "")</f>
        <v/>
      </c>
      <c r="CL100" s="164" t="e">
        <f>IF(NOT(SnapshotTable[[#This Row],[SP Is Filled]]),(SnapshotTable[[#This Row],[SP Qty]] * SnapshotTable[[#This Row],[SP Strike Price]] * 100) - SnapshotTable[[#This Row],[LP Max Value]],"")</f>
        <v>#VALUE!</v>
      </c>
      <c r="CM100" s="31" t="str">
        <f>IF(SnapshotTable[[#This Row],[SP Actual Spend]]&lt;&gt;0, ((SnapshotTable[[#This Row],[SP Strike Price]]-SnapshotTable[[#This Row],[Last Price]]) *(SnapshotTable[[#This Row],[SP Qty]]*100) - SnapshotTable[[#This Row],[SP Premium]]) * - 1, "")</f>
        <v/>
      </c>
      <c r="CN100" s="78"/>
      <c r="CO100" s="369"/>
      <c r="CP100" s="4" t="str">
        <f>IF(SnapshotTable[[#This Row],[SP Is Filled]], btc_max_buyback_amount(SnapshotTable[[#This Row],[SP Fill Date]],SnapshotTable[[#This Row],[SP Exp Date]], SnapshotTable[[#This Row],[SP Book Price]]),"")</f>
        <v/>
      </c>
      <c r="CQ100" s="78"/>
      <c r="CR10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0" s="155" t="str">
        <f>IF(SnapshotTable[[#This Row],[SP Is Filled]], btc_next_cutoff_date(SnapshotTable[[#This Row],[SP Fill Date]],SnapshotTable[[#This Row],[SP Exp Date]]),"")</f>
        <v/>
      </c>
      <c r="CT100" s="235" t="str" cm="1">
        <f t="array" ref="CT100">IF(SnapshotTable[[#This Row],[SP Is Filled]], btc_should_buy_back(SnapshotTable[[#This Row],[SP Fill Date]], SnapshotTable[[#This Row],[SP Exp Date]], SnapshotTable[[#This Row],[SP Book Price]], SnapshotTable[[#This Row],[SP Current Ask]], MockToday, SnapshotTable[[#This Row],[SP Buyback Override]]),"")</f>
        <v/>
      </c>
      <c r="CU100" s="143"/>
      <c r="CV100" s="235"/>
      <c r="CW100" s="378" t="str">
        <f>IF(ISNUMBER( SnapshotTable[[#This Row],[SP Term]]), SnapshotTable[[#This Row],[SP Exp Date]] - MockToday,"")</f>
        <v/>
      </c>
      <c r="CX100" s="31" t="str">
        <f>IF(SnapshotTable[[#This Row],[SP Is Filled]],SnapshotTable[[#This Row],[SP Buyback Price to Use]] * 100 * SnapshotTable[[#This Row],[SP Qty]], "")</f>
        <v/>
      </c>
      <c r="CY100" s="4" t="str">
        <f>IF(ISNUMBER(SnapshotTable[[#This Row],[SP Strike Price]]), SnapshotTable[[#This Row],[SP Strike Price]] * (1 - SP_MaxLoss_StrikePct), "")</f>
        <v/>
      </c>
      <c r="CZ100" s="31" t="str">
        <f>IF(ISNUMBER(SnapshotTable[[#This Row],[SP Strike  Stop Per Share]]),SnapshotTable[[#This Row],[SP Premium]] - ((SnapshotTable[[#This Row],[SP Strike Price]]-SnapshotTable[[#This Row],[SP Strike  Stop Per Share]]) *(SnapshotTable[[#This Row],[SP Qty]] * 100)),"")</f>
        <v/>
      </c>
      <c r="DA100" s="4" t="str">
        <f>IF(AND(ISNUMBER(SnapshotTable[[#This Row],[SP Premium]]),SnapshotTable[[#This Row],[SP Premium]]&gt;0), SnapshotTable[[#This Row],[SP Book Price]] * (1 + SP_MaxLoss_OptionPct), "")</f>
        <v/>
      </c>
      <c r="DB100" s="31" t="str">
        <f>IF(ISNUMBER(SnapshotTable[[#This Row],[SP Option  Stop Contract]]),(SnapshotTable[[#This Row],[SP Option  Stop Contract]] *(SnapshotTable[[#This Row],[SP Qty]] * 100) - SnapshotTable[[#This Row],[SP Premium]]),"")</f>
        <v/>
      </c>
      <c r="DC100" s="4"/>
      <c r="DD100" s="4"/>
      <c r="DE100" s="4" t="str">
        <f>IF(AND(SnapshotTable[[#This Row],[SP Qty]]&gt;0, SnapshotTable[[#This Row],[SP Stop To Use]]&gt;0),SnapshotTable[[#This Row],[SP Premium]] - ( SnapshotTable[[#This Row],[SP Qty]] * SnapshotTable[[#This Row],[SP Stop To Use]] * 100), "")</f>
        <v/>
      </c>
      <c r="DF100" s="31" t="str">
        <f>IF(AND(SnapshotTable[[#This Row],[SP Qty]]&gt;0,SnapshotTable[[#This Row],[SP Current Ask]]&gt;0), SnapshotTable[[#This Row],[SP Qty]] * SnapshotTable[[#This Row],[SP Current Ask]] * -100, "")</f>
        <v/>
      </c>
      <c r="DG100" s="31" t="str">
        <f>IF(ISNUMBER((SnapshotTable[[#This Row],[SP Total Value]])), SnapshotTable[[#This Row],[SP Premium]] + SnapshotTable[[#This Row],[SP Total Value]], "")</f>
        <v/>
      </c>
      <c r="DH100" s="294" t="str">
        <f>IF(ISNUMBER((SnapshotTable[[#This Row],[SP Total Value]])), SnapshotTable[[#This Row],[SP Gain Loss]] / SnapshotTable[[#This Row],[SP Premium]], "")</f>
        <v/>
      </c>
      <c r="DI100" s="406"/>
      <c r="DJ100" s="138"/>
      <c r="DK100" s="148"/>
      <c r="DL100" s="13"/>
      <c r="DM100" s="13"/>
      <c r="DO100" s="31">
        <f>IF(SnapshotTable[[#This Row],[LC Symbol Count]]=1, SnapshotTable[[#This Row],[LC Qty]] * SnapshotTable[[#This Row],[LC Book Price]] * 100, 0)</f>
        <v>0</v>
      </c>
      <c r="DP100" s="163" t="str">
        <f>IF(AND(SnapshotTable[[#This Row],[LC Exp Date]]&gt;0, SnapshotTable[[#This Row],[LC Strike Price]]&gt;0,SnapshotTable[[#This Row],[LC Qty]]&gt;0,SnapshotTable[[#This Row],[LC Book Date]]&gt;0,SnapshotTable[[#This Row],[LC Book Price]]&gt;0,SnapshotTable[[#This Row],[LC Fill Date]]=0),"Y","")</f>
        <v/>
      </c>
      <c r="DQ100" s="386" t="str">
        <f>IF(SnapshotTable[[#This Row],[LC Premium]] &gt; 0,SnapshotTable[[#This Row],[LC Exp Date]]-MAX(SnapshotTable[[#This Row],[LC Book Date]], SnapshotTable[[#This Row],[LC Fill Date]]),"")</f>
        <v/>
      </c>
      <c r="DR100" s="386" t="str">
        <f>IF(ISNUMBER(SnapshotTable[[#This Row],[LC Term]]), SnapshotTable[[#This Row],[LC Exp Date]] - MockToday, "")</f>
        <v/>
      </c>
      <c r="DS100" s="234" t="str">
        <f>IF(SnapshotTable[[#This Row],[LC Premium]]&gt;0,SnapshotTable[[#This Row],[LC Strike Price]] + SnapshotTable[[#This Row],[LC Book Price]],"")</f>
        <v/>
      </c>
      <c r="DU100" s="9" t="str">
        <f>IF(AND(SnapshotTable[[#This Row],[LC Symbol Count]]&gt;0, SnapshotTable[[#This Row],[LC Contract Value]]&gt;0), SnapshotTable[[#This Row],[LC Contract Value]] * SnapshotTable[[#This Row],[LC Qty]] * 100, "")</f>
        <v/>
      </c>
      <c r="DV100" s="9" t="str">
        <f>IF(AND(ISNUMBER(SnapshotTable[[#This Row],[LC Total Value]]), SnapshotTable[[#This Row],[LC Not Filled]]&lt;&gt;"Y"), SnapshotTable[[#This Row],[LC Total Value]]-SnapshotTable[[#This Row],[LC Premium]],"")</f>
        <v/>
      </c>
      <c r="DW100" s="240" t="str">
        <f>IF(ISNUMBER(SnapshotTable[[#This Row],[LC Actual Gain Loss]]), SnapshotTable[[#This Row],[LC Actual Gain Loss]] / SnapshotTable[[#This Row],[LC Premium]],"")</f>
        <v/>
      </c>
      <c r="DX100" s="284" t="str">
        <f>IF(ISNUMBER(SnapshotTable[[#This Row],[LC Book Price]]),SnapshotTable[[#This Row],[LC Book Price]] * 1.5,"")</f>
        <v/>
      </c>
      <c r="DY100" s="265" t="str">
        <f>IF(SnapshotTable[[#This Row],[LC Premium]]&gt;0, SnapshotTable[[#This Row],[LC Next Target]] * SnapshotTable[[#This Row],[LC Qty]] * 100,"")</f>
        <v/>
      </c>
      <c r="DZ100" s="265" t="str">
        <f>IF(ISNUMBER(SnapshotTable[[#This Row],[LC Target Gross]]), SnapshotTable[[#This Row],[LC Target Gross]] - SnapshotTable[[#This Row],[LC Premium]], "")</f>
        <v/>
      </c>
      <c r="EA100" s="305" t="str">
        <f>IF(ISNUMBER(SnapshotTable[[#This Row],[LC Target Gain Loss]]), SnapshotTable[[#This Row],[LC Target Gain Loss]]/SnapshotTable[[#This Row],[LC Premium]], "")</f>
        <v/>
      </c>
      <c r="EB100" s="262"/>
      <c r="EC100" s="283" t="str">
        <f>IF(SnapshotTable[[#This Row],[LC Premium]]&gt;0, SnapshotTable[[#This Row],[LC Book Price]] * (1 - LC_StopLoss_Pct),"")</f>
        <v/>
      </c>
      <c r="ED100" s="284"/>
      <c r="EE100" s="283" t="str">
        <f>IF(ISNUMBER(SnapshotTable[[#This Row],[LC Contract Value]]),IF(ISNUMBER(SnapshotTable[[#This Row],[LC Stop Loss Override]]), SnapshotTable[[#This Row],[LC Stop Loss Override]],SnapshotTable[[#This Row],[LC Stop Loss Calc Target]]),"")</f>
        <v/>
      </c>
      <c r="EF100" s="31" t="str">
        <f>IF(ISNUMBER(SnapshotTable[[#This Row],[LC Stop  To Use]]), (SnapshotTable[[#This Row],[LC Stop  To Use]] * SnapshotTable[[#This Row],[LC Qty]] * 100),"")</f>
        <v/>
      </c>
      <c r="EG100" s="9" t="str">
        <f>IF(ISNUMBER(SnapshotTable[[#This Row],[LC Total Value]]),SnapshotTable[[#This Row],[LC Stop Loss Amount]] - SnapshotTable[[#This Row],[LC Premium]],"")</f>
        <v/>
      </c>
      <c r="EH100" s="9">
        <f>IF(ISNUMBER(SnapshotTable[[#This Row],[LC Premium]]), SnapshotTable[[#This Row],[LC Qty]] * 100 * SnapshotTable[[#This Row],[LC Strike Price]], "")</f>
        <v>0</v>
      </c>
      <c r="EI100" s="240" t="str">
        <f>IF(AND(ISNUMBER(SnapshotTable[[#This Row],[LC Total Value]]),SnapshotTable[[#This Row],[LC Total Value]]&gt;0),SnapshotTable[[#This Row],[LC Stop Gain Loss]]  / SnapshotTable[[#This Row],[LC Premium]],"")</f>
        <v/>
      </c>
      <c r="EJ100" s="35">
        <f>IF(ISNUMBER(SnapshotTable[[#This Row],[Equity Shares]]),TRUNC(SnapshotTable[[#This Row],[Equity Shares]] / 100),0) + SnapshotTable[[#This Row],[LC Qty]]</f>
        <v>0</v>
      </c>
      <c r="EK100" s="147"/>
      <c r="EL100" s="138" t="str">
        <f>IF(SnapshotTable[[#This Row],[SC Exp Date]]&lt;&gt;"",TRUNC(SnapshotTable[[#This Row],[Last Price]]),"")</f>
        <v/>
      </c>
      <c r="EM100" s="148"/>
      <c r="EN100" s="147"/>
      <c r="EO100" s="147"/>
      <c r="EP100" s="138"/>
      <c r="EQ100" s="419" t="b">
        <f>AND(ISNUMBER(SnapshotTable[[#This Row],[SC Exp Date]]), ISNUMBER(SnapshotTable[[#This Row],[SC Strike Price]]), ISNUMBER(SnapshotTable[[#This Row],[SC Qty]]), ISNUMBER(SnapshotTable[[#This Row],[SC Book Date]]), ISNUMBER(SnapshotTable[[#This Row],[SC Book Price]]))</f>
        <v>0</v>
      </c>
      <c r="ER100" s="419" t="b">
        <f>AND(SnapshotTable[[#This Row],[SC Is Booked]], NOT(ISBLANK(SnapshotTable[[#This Row],[SC Fill Date]])))</f>
        <v>0</v>
      </c>
      <c r="ES100" s="370"/>
      <c r="ET100" s="34" t="str">
        <f>IF(AND(ISNUMBER(SnapshotTable[[#This Row],[SC Exp Date]]), ISNUMBER(SnapshotTable[[#This Row],[SC Book Date]])), SnapshotTable[[#This Row],[SC Exp Date]] - MAX(SnapshotTable[[#This Row],[SC Book Date]], SnapshotTable[[#This Row],[SC Fill Date]]) + 1, "")</f>
        <v/>
      </c>
      <c r="EU100" s="34" t="str">
        <f>IF(ISNUMBER(SnapshotTable[[#This Row],[SC Term]]), SnapshotTable[[#This Row],[SC Exp Date]]- MockToday, "")</f>
        <v/>
      </c>
      <c r="EV100" s="31">
        <f>IF(SnapshotTable[[#This Row],[SC Is Booked]], SnapshotTable[[#This Row],[SC Qty]] * SnapshotTable[[#This Row],[SC Book Price]] * 100, 0)</f>
        <v>0</v>
      </c>
      <c r="EW100" s="4" t="str">
        <f>IF(AND(ISNUMBER(SnapshotTable[[#This Row],[Last Price]]), ISNUMBER( SnapshotTable[[#This Row],[SC Book Price]])), SnapshotTable[[#This Row],[Last Price]] - SnapshotTable[[#This Row],[SC Book Price]],"")</f>
        <v/>
      </c>
      <c r="EX100" s="234" t="str">
        <f>IF(SnapshotTable[[#This Row],[SC Is Booked]],IF(SnapshotTable[[#This Row],[SC Intrinsic Value]] &gt; 0, SnapshotTable[[#This Row],[SC Strike Price]], SnapshotTable[[#This Row],[Last Price]]), "")</f>
        <v/>
      </c>
      <c r="EY100" s="4">
        <f>IF(SnapshotTable[[#This Row],[SC Is Booked]], (MinimumPremiumRequired * SnapshotTable[[#This Row],[SC Basis]] * SnapshotTable[[#This Row],[SC Term]]), 0)</f>
        <v>0</v>
      </c>
      <c r="EZ100" s="283"/>
      <c r="FA100" s="218"/>
      <c r="FB100" s="370"/>
      <c r="FC100" s="4">
        <f>IF(SnapshotTable[[#This Row],[SC Is Filled]], btc_max_buyback_amount(SnapshotTable[[#This Row],[SC Fill Date]],SnapshotTable[[#This Row],[SC Exp Date]], SnapshotTable[[#This Row],[SC Book Price]]),0)</f>
        <v>0</v>
      </c>
      <c r="FD100" s="5"/>
      <c r="FE100" s="144" t="str">
        <f>IF(SnapshotTable[[#This Row],[SC Is Filled]], btc_next_cutoff_date(SnapshotTable[[#This Row],[SC Fill Date]],SnapshotTable[[#This Row],[SC Exp Date]]),"")</f>
        <v/>
      </c>
      <c r="FF100" s="4" t="str" cm="1">
        <f t="array" ref="FF100">IF(SnapshotTable[[#This Row],[SC Is Filled]], btc_should_buy_back(SnapshotTable[[#This Row],[SC Fill Date]], SnapshotTable[[#This Row],[SC Exp Date]], SnapshotTable[[#This Row],[SC Book Price]], SnapshotTable[[#This Row],[SC Current Ask]], MockToday, SnapshotTable[[#This Row],[SC Buyback Override]]),"")</f>
        <v/>
      </c>
      <c r="FG100" s="4">
        <f>IF(SnapshotTable[[#This Row],[SC Is Filled]], MAX(0,SnapshotTable[[#This Row],[Last Price]]  - SnapshotTable[[#This Row],[SC Strike Price]]), 0)</f>
        <v>0</v>
      </c>
      <c r="FH100" s="382">
        <f>IF(SnapshotTable[[#This Row],[SC Is Filled]], IF(ISNUMBER(SnapshotTable[[#This Row],[SC Current Ask]]), SnapshotTable[[#This Row],[SC Current Ask]], SnapshotTable[[#This Row],[SC Book Price]]) - SnapshotTable[[#This Row],[SC Intrinsic Value]], 0)</f>
        <v>0</v>
      </c>
      <c r="FI100" s="143"/>
      <c r="FJ100" s="32" t="str">
        <f>IF(SnapshotTable[[#This Row],[SC Is Filled]],100 * SnapshotTable[[#This Row],[SC Qty]] * IF(ISNUMBER(SnapshotTable[[#This Row],[SC Buyback Override]]), SnapshotTable[[#This Row],[SC Buyback Override]], SnapshotTable[[#This Row],[SC Current Ask]]), "")</f>
        <v/>
      </c>
      <c r="FK100" s="250" t="str">
        <f>IF(SnapshotTable[[#This Row],[SC Time Val]]&gt;0, SnapshotTable[[#This Row],[SC Time Val]] / SnapshotTable[[#This Row],[Last Price]],"")</f>
        <v/>
      </c>
      <c r="FL100" s="302" t="str">
        <f>IF(SnapshotTable[[#This Row],[SC Is Booked]], ((SnapshotTable[[#This Row],[Last Price]] -SnapshotTable[[#This Row],[SC Strike Price]]) / SnapshotTable[[#This Row],[Last Price]]) * -1, "")</f>
        <v/>
      </c>
      <c r="FM100" s="157" t="str">
        <f>IF(SnapshotTable[[#This Row],[SC Is Booked]],  (SnapshotTable[[#This Row],[SC Qty]] * 100 * SnapshotTable[[#This Row],[SC Strike Price]]) - SnapshotTable[[#This Row],[SC Current Ask]], "")</f>
        <v/>
      </c>
      <c r="FN10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0" s="31" t="str">
        <f>IF(AND(ISNUMBER(SnapshotTable[[#This Row],[SC Exercise Gross]]), ISNUMBER(SnapshotTable[[#This Row],[Equity Basis Per Share]] )), SnapshotTable[[#This Row],[SC Exercise Gross]] - SnapshotTable[[#This Row],[Equity Basis Total]] +  SnapshotTable[[#This Row],[SC Premium]], "")</f>
        <v/>
      </c>
      <c r="FP100" s="5" t="str">
        <f>IF(ISNUMBER(SnapshotTable[[#This Row],[SC Exercise Gross]]), (SnapshotTable[[#This Row],[SC Exercise Gross]]) / (SnapshotTable[[#This Row],[SC Qty]] * 100), "")</f>
        <v/>
      </c>
      <c r="FQ100" s="27" t="str">
        <f>IF(SnapshotTable[[#This Row],[SC Is Booked]],SnapshotTable[[#This Row],[SC Time Val]] /SnapshotTable[[#This Row],[SC Basis]], "")</f>
        <v/>
      </c>
      <c r="FR100" s="27" t="str" cm="1">
        <f t="array" ref="FR100">IF(AND(ISNUMBER(SnapshotTable[[#This Row],[SC Term]]),ISNUMBER(SnapshotTable[[#This Row],[SC Simple ROO]])), EllmanAnnualize(SnapshotTable[[#This Row],[SC DTE]], SnapshotTable[[#This Row],[SC Simple ROO]] ),"")</f>
        <v/>
      </c>
      <c r="FS100" s="4" t="e">
        <f>IF(SnapshotTable[[#This Row],[SC Strike Price]] &gt; SnapshotTable[[#This Row],[Last Price]], SnapshotTable[[#This Row],[SC Strike Price]] - SnapshotTable[[#This Row],[Last Price]],0)</f>
        <v>#VALUE!</v>
      </c>
      <c r="FT100" s="27" t="e">
        <f>IF(AND(ISNUMBER(SnapshotTable[[#This Row],[SC Upside Potential]]), SnapshotTable[[#This Row],[SC Upside Potential]] &gt; 0),(SnapshotTable[[#This Row],[SC Upside Potential]]/ SnapshotTable[[#This Row],[ACB]]),"")</f>
        <v>#VALUE!</v>
      </c>
      <c r="FU100" s="333" t="str">
        <f>IF(SnapshotTable[[#This Row],[SC Intrinsic Value]] &gt; 0,SnapshotTable[[#This Row],[SC Intrinsic Value]],"")</f>
        <v/>
      </c>
      <c r="FV100" s="27" t="str">
        <f>IF(AND( ISNUMBER( SnapshotTable[[#This Row],[ACB]]),ISNUMBER(SnapshotTable[[#This Row],[SC Downside Protect]])),SnapshotTable[[#This Row],[SC Downside Protect]] / SnapshotTable[[#This Row],[ACB]],"")</f>
        <v/>
      </c>
      <c r="FW100" s="236" t="str">
        <f>IF(AND(ISNUMBER(SnapshotTable[[#This Row],[SC Simple ROO]]),SnapshotTable[[#This Row],[SC Simple ROO]] &gt; 0), SnapshotTable[[#This Row],[SC Premium]] + (SnapshotTable[[#This Row],[SC Qty]] * SnapshotTable[[#This Row],[SC Upside Potential]]), "")</f>
        <v/>
      </c>
      <c r="FX100" s="302" t="str" cm="1">
        <f t="array" ref="FX100">IF(ISNUMBER(SnapshotTable[[#This Row],[SC Max Dollars]]), annualize(SnapshotTable[[#This Row],[SC Term]],(SnapshotTable[[#This Row],[SC Max Dollars]]/SnapshotTable[[#This Row],[SC Basis]])),"")</f>
        <v/>
      </c>
      <c r="FY100" s="236" t="str">
        <f>IF(AND(SnapshotTable[[#This Row],[SC Qty]]&gt;0,SnapshotTable[[#This Row],[SC Current Ask]]&gt;0), SnapshotTable[[#This Row],[SC Qty]] * SnapshotTable[[#This Row],[SC Current Ask]] * -100, "")</f>
        <v/>
      </c>
      <c r="FZ100" s="31" t="str">
        <f>IF(ISNUMBER((SnapshotTable[[#This Row],[SC Current Value]])), SnapshotTable[[#This Row],[SC Premium]] + SnapshotTable[[#This Row],[SC Current Value]], "")</f>
        <v/>
      </c>
      <c r="GA100" s="294" t="str">
        <f>IFERROR( IF(ISNUMBER((SnapshotTable[[#This Row],[SC Current Value]])), SnapshotTable[[#This Row],[SC Gain Loss]] / SnapshotTable[[#This Row],[SC Premium]], ""), "")</f>
        <v/>
      </c>
      <c r="GB100" s="42">
        <f>SnapshotTable[[#This Row],[Equity Shares]] * SaleSharesToConsiderPercentage</f>
        <v>0</v>
      </c>
      <c r="GC100" s="40">
        <f>SnapshotTable[[#This Row],[Long Term Target]] * SellingPriceToConsiderBasedOnTargetPercentage</f>
        <v>0</v>
      </c>
      <c r="GD100" s="40">
        <f>SnapshotTable[[#This Row],[Last Price]] * (1+ SellingPriceToConsiderBasedOnTargetPercentage)</f>
        <v>42.665999999999997</v>
      </c>
      <c r="GE100" s="41"/>
      <c r="GF100" s="40"/>
      <c r="GG100" s="31">
        <f>SnapshotTable[[#This Row],[Booked Sale Shares]] * SnapshotTable[[#This Row],[Booked Sale Price]]</f>
        <v>0</v>
      </c>
      <c r="GH100" s="31" t="str">
        <f>IF(SnapshotTable[[#This Row],[Equity Basis Total]] &gt; 0, SnapshotTable[[#This Row],[Equity Basis Per Share]] * SnapshotTable[[#This Row],[Booked Sale Shares]], "")</f>
        <v/>
      </c>
      <c r="GI100" s="31">
        <f>IF(SnapshotTable[[#This Row],[Sale Proceeds]]&gt;0, SnapshotTable[[#This Row],[Sale Proceeds]] - SnapshotTable[[#This Row],[Sale Basis]], 0)</f>
        <v>0</v>
      </c>
      <c r="GJ100" s="27" t="str">
        <f>IF(SnapshotTable[[#This Row],[Sale G/L]]&gt;0, SnapshotTable[[#This Row],[Sale G/L]] / SnapshotTable[[#This Row],[Sale Basis]], IF(ISNUMBER(SnapshotTable[[#This Row],[SC Exercise P&amp;L (TAX)]]), SnapshotTable[[#This Row],[SC Exercise P&amp;L (TAX)]] / SnapshotTable[[#This Row],[SC Basis]], ""))</f>
        <v/>
      </c>
      <c r="GK100" s="27"/>
      <c r="GL100" s="43" t="str">
        <f>IF(AND(SnapshotTable[[#This Row],[LP Exp Date]]&gt;0,SnapshotTable[[#This Row],[LP Strike Price]]&gt;0), [1]!ToOptionSymbol(SnapshotTable[[#This Row],[Symbol]], SnapshotTable[[#This Row],[LP Strike Price]],SnapshotTable[[#This Row],[LP Exp Date]],1), "")</f>
        <v/>
      </c>
      <c r="GM100" s="30" t="str">
        <f>IF(LEN(SnapshotTable[[#This Row],[LP Symbol]])&gt;0, 1, "")</f>
        <v/>
      </c>
      <c r="GN100" s="43" t="str">
        <f>IF(AND(SnapshotTable[[#This Row],[SP Exp Date]]&gt;0,SnapshotTable[[#This Row],[SP Strike Price]]&gt;0), [1]!ToOptionSymbol(SnapshotTable[[#This Row],[Symbol]], SnapshotTable[[#This Row],[SP Strike Price]],SnapshotTable[[#This Row],[SP Exp Date]],1), "")</f>
        <v/>
      </c>
      <c r="GO100" s="30" t="str">
        <f>IF(LEN(SnapshotTable[[#This Row],[SP Symbol]])&gt;0, 1, "")</f>
        <v/>
      </c>
      <c r="GP100" s="43" t="str">
        <f>IF(AND(SnapshotTable[[#This Row],[LC Exp Date]]&gt;0,SnapshotTable[[#This Row],[LC Strike Price]]&gt;0), [1]!ToOptionSymbol(SnapshotTable[[#This Row],[Symbol]], SnapshotTable[[#This Row],[LC Strike Price]],SnapshotTable[[#This Row],[LC Exp Date]],0), "")</f>
        <v/>
      </c>
      <c r="GQ100" s="30" t="str">
        <f>IF(LEN(SnapshotTable[[#This Row],[LC Symbol]])&gt;0, 1, "")</f>
        <v/>
      </c>
      <c r="GR100" s="43" t="str">
        <f>IF(AND(SnapshotTable[[#This Row],[SC Exp Date]]&gt;0,SnapshotTable[[#This Row],[SC Strike Price]]&gt;0), [1]!ToOptionSymbol(SnapshotTable[[#This Row],[Symbol]], SnapshotTable[[#This Row],[SC Strike Price]],SnapshotTable[[#This Row],[SC Exp Date]],0), "")</f>
        <v/>
      </c>
      <c r="GS100" s="30" t="str">
        <f>IF(LEN(SnapshotTable[[#This Row],[SC Symbol]])&gt;0, 1, "")</f>
        <v/>
      </c>
      <c r="GT100" s="29" t="str">
        <f>IF(COUNT(SnapshotTable[[#This Row],[LP Symbol Count]],SnapshotTable[[#This Row],[SP Symbol Count]],SnapshotTable[[#This Row],[LC Symbol Count]],SnapshotTable[[#This Row],[SC Symbol Count]])&gt;0, "Y", "")</f>
        <v/>
      </c>
      <c r="GU10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0" s="231" t="e">
        <f>MAX(SnapshotTable[[#This Row],[Equity Basis Total]],SnapshotTable[[#This Row],[Equity Value]]) + (SnapshotTable[[#This Row],[SP Potential Spend]]- SnapshotTable[[#This Row],[SP Premium]] + SnapshotTable[[#This Row],[LP Premium]])+ (SnapshotTable[[#This Row],[LC Premium]] - SnapshotTable[[#This Row],[SC Premium]])</f>
        <v>#VALUE!</v>
      </c>
      <c r="GW100" s="139" t="e">
        <f>IF(AND(SnapshotTable[[#This Row],[Exposure]] &lt;&gt; 0),SnapshotTable[[#This Row],[Exposure]] / SnapshotTable[[#Totals],[Exposure]], "")</f>
        <v>#VALUE!</v>
      </c>
      <c r="HE100" s="268"/>
      <c r="HF100" s="268"/>
      <c r="HK100" s="1"/>
      <c r="HL100" s="1"/>
      <c r="HM100" s="1"/>
      <c r="HN100" s="1"/>
      <c r="HO100" s="1"/>
      <c r="HP100" s="1"/>
    </row>
    <row r="101" spans="2:224" ht="12.75" hidden="1" customHeight="1" x14ac:dyDescent="0.25">
      <c r="B101" s="12" t="s">
        <v>561</v>
      </c>
      <c r="C101" s="422">
        <v>27.17</v>
      </c>
      <c r="D101" s="208"/>
      <c r="E101" s="39">
        <f>SnapshotTable[[#This Row],[Last Price]]*(1 -CrashDiscount)</f>
        <v>23.0945</v>
      </c>
      <c r="F101" s="26" t="s">
        <v>239</v>
      </c>
      <c r="G101" s="26" t="s">
        <v>14</v>
      </c>
      <c r="H101" s="149"/>
      <c r="I101" s="194">
        <v>44791.760416666664</v>
      </c>
      <c r="J101" s="195">
        <v>44791.760416666664</v>
      </c>
      <c r="K101" s="196"/>
      <c r="L101" s="326"/>
      <c r="M101" s="140"/>
      <c r="N101" s="140"/>
      <c r="O101" s="140"/>
      <c r="P101" s="22"/>
      <c r="Q101" s="25"/>
      <c r="R101" s="4" t="str">
        <f>IF(SnapshotTable[[#This Row],[Equity Basis Total]] &gt; 0, SnapshotTable[[#This Row],[Equity Basis Total]] / SnapshotTable[[#This Row],[Equity Shares]], "")</f>
        <v/>
      </c>
      <c r="S101" s="269">
        <f>SnapshotTable[[#This Row],[Last Price]] * SnapshotTable[[#This Row],[Equity Shares]]</f>
        <v>0</v>
      </c>
      <c r="T101" s="269">
        <f>SnapshotTable[[#This Row],[Equity Value]] - SnapshotTable[[#This Row],[Equity Basis Total]]</f>
        <v>0</v>
      </c>
      <c r="U101" s="270" t="str">
        <f>IF(SnapshotTable[[#This Row],[Equity Basis Total]] &gt; 0, SnapshotTable[[#This Row],[Equity G/L]] / SnapshotTable[[#This Row],[Equity Basis Total]], "")</f>
        <v/>
      </c>
      <c r="V101" s="268"/>
      <c r="W101" s="268"/>
      <c r="X101" s="4" t="str">
        <f>IF(AND(ISNUMBER(SnapshotTable[[#This Row],[Equity Basis Per Share]]),ISNUMBER(SnapshotTable[[#This Row],[Equity Target]])),SnapshotTable[[#This Row],[Equity Target]]-SnapshotTable[[#This Row],[Equity Basis Per Share]],"")</f>
        <v/>
      </c>
      <c r="Y101" s="4" t="str">
        <f>IF(AND(ISNUMBER(SnapshotTable[[#This Row],[Equity Basis Per Share]]),ISNUMBER(SnapshotTable[[#This Row],[Equity Stop Loss]])),SnapshotTable[[#This Row],[Equity Stop Loss]]-SnapshotTable[[#This Row],[Equity Basis Per Share]],"")</f>
        <v/>
      </c>
      <c r="Z101" s="275" t="str">
        <f>IFERROR( TEXT(SnapshotTable[[#This Row],[Equity Max Gain Per Share]] /ABS( SnapshotTable[[#This Row],[Equity Max Loss Per Share]]),"0.0 " ) &amp; " : 1", "")</f>
        <v/>
      </c>
      <c r="AA101" s="31" t="str">
        <f>IF(ISNUMBER(SnapshotTable[[#This Row],[Equity Max Gain Per Share]]),SnapshotTable[[#This Row],[Equity Max Gain Per Share]] * SnapshotTable[[#This Row],[Equity Shares]],"")</f>
        <v/>
      </c>
      <c r="AB101" s="31" t="str">
        <f>IF(ISNUMBER(SnapshotTable[[#This Row],[Equity Max Loss Per Share]]),SnapshotTable[[#This Row],[Equity Max Loss Per Share]] * SnapshotTable[[#This Row],[Equity Shares]],"")</f>
        <v/>
      </c>
      <c r="AC101" s="150"/>
      <c r="AD101" s="151"/>
      <c r="AE101" s="31">
        <f>(SnapshotTable[[#This Row],[Annual Dividend Per Share]] / 4) * SnapshotTable[[#This Row],[Equity Shares]]</f>
        <v>0</v>
      </c>
      <c r="AF101" s="31">
        <f>SnapshotTable[[#This Row],[Quarterly Div $]] * 4</f>
        <v>0</v>
      </c>
      <c r="AG101" s="7">
        <f>IF(SnapshotTable[[#This Row],[Annual Dividend Per Share]]&gt;0, SnapshotTable[[#This Row],[Annual Dividend Per Share]]  / SnapshotTable[[#This Row],[Last Price]], 0)</f>
        <v>0</v>
      </c>
      <c r="AH101" s="151"/>
      <c r="AI101" s="5"/>
      <c r="AJ101" s="138"/>
      <c r="AK101" s="152" t="str">
        <f>IF(ISNUMBER( SnapshotTable[[#This Row],[EBF Target]]),(SnapshotTable[[#This Row],[EBF Target]] - SnapshotTable[[#This Row],[Last Price]]) / SnapshotTable[[#This Row],[Last Price]], "")</f>
        <v/>
      </c>
      <c r="AL101" s="152" t="str">
        <f>IF(AND(SnapshotTable[[#This Row],[Equity Basis Total]] &gt; 0,ISNUMBER( SnapshotTable[[#This Row],[Long Term Target]])), SnapshotTable[[#This Row],[From Basis $]] / SnapshotTable[[#This Row],[Equity Basis Total]], "")</f>
        <v/>
      </c>
      <c r="AM101" s="9">
        <f>IF( AND(SnapshotTable[[#This Row],[Equity Shares]] &gt;0,ISNUMBER( SnapshotTable[[#This Row],[Long Term Target]])),(SnapshotTable[[#This Row],[Equity Shares]] * SnapshotTable[[#This Row],[Long Term Target]]) - SnapshotTable[[#This Row],[Equity Basis Total]],0)</f>
        <v>0</v>
      </c>
      <c r="AN101" s="9">
        <f>IF( AND(SnapshotTable[[#This Row],[Equity Shares]] &gt;0,ISNUMBER( SnapshotTable[[#This Row],[Long Term Target]])),(SnapshotTable[[#This Row],[Equity Shares]]*SnapshotTable[[#This Row],[Long Term Target]]) - SnapshotTable[[#This Row],[Equity Value]],0)</f>
        <v>0</v>
      </c>
      <c r="AO101" s="152" t="str">
        <f>IF(AND(ISNUMBER( SnapshotTable[[#This Row],[Long Term Target]]), ISNUMBER(SnapshotTable[[#This Row],[Last Price]])),(SnapshotTable[[#This Row],[Long Term Target]] - SnapshotTable[[#This Row],[Last Price]]) / SnapshotTable[[#This Row],[Last Price]], "")</f>
        <v/>
      </c>
      <c r="AP101" s="5"/>
      <c r="AQ101" s="38"/>
      <c r="AR101" s="5"/>
      <c r="AS101" s="38"/>
      <c r="AT101" s="146"/>
      <c r="AU101" s="187" t="str">
        <f>IF(OR(SnapshotTable[[#This Row],[LP No Fill]]="Y",SnapshotTable[[#This Row],[SP Is Filled]],SnapshotTable[[#This Row],[LC Not Filled]]="Y",SnapshotTable[[#This Row],[SC Is Filled]]),"Y","")</f>
        <v/>
      </c>
      <c r="AV101" s="219"/>
      <c r="AW101" s="225"/>
      <c r="AX101" s="220"/>
      <c r="AY101" s="219" t="str">
        <f>IF(SnapshotTable[[#This Row],[Implied Move]]&gt;0, SnapshotTable[[#This Row],[Last Price]]-SnapshotTable[[#This Row],[Implied Move]],"")</f>
        <v/>
      </c>
      <c r="AZ101" s="219" t="str">
        <f>IF(SnapshotTable[[#This Row],[Implied Move]]&gt;0, SnapshotTable[[#This Row],[Last Price]] + SnapshotTable[[#This Row],[Implied Move]],"")</f>
        <v/>
      </c>
      <c r="BA101" s="331"/>
      <c r="BB101" s="347"/>
      <c r="BC10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1" s="351"/>
      <c r="BE101" s="5"/>
      <c r="BF101" s="14"/>
      <c r="BG101" s="13"/>
      <c r="BH101" s="13"/>
      <c r="BI101" s="5"/>
      <c r="BJ101" s="136">
        <f>IF(SnapshotTable[[#This Row],[LP Qty]] &gt; 0, SnapshotTable[[#This Row],[LP Qty]] * SnapshotTable[[#This Row],[LP Book Price]] * 100,0)</f>
        <v>0</v>
      </c>
      <c r="BK101" s="136">
        <f>IF(SnapshotTable[[#This Row],[LP Premium]] &gt; 0, SnapshotTable[[#This Row],[LP Qty]] * SnapshotTable[[#This Row],[LP Strike Price]] * 100,0)</f>
        <v>0</v>
      </c>
      <c r="BL101" s="154"/>
      <c r="BM101" s="385" t="str">
        <f>IF(SnapshotTable[[#This Row],[LP Premium]] &gt; 0,SnapshotTable[[#This Row],[LP Exp Date]]-MAX(SnapshotTable[[#This Row],[LP Book Date]], SnapshotTable[[#This Row],[LP Fill Date]]),"")</f>
        <v/>
      </c>
      <c r="BN101" s="385" t="str">
        <f>IF(ISNUMBER( SnapshotTable[[#This Row],[LP Term]]), SnapshotTable[[#This Row],[LP Exp Date]] - MockToday,"")</f>
        <v/>
      </c>
      <c r="BO101" s="163" t="str">
        <f>IF(AND(SnapshotTable[[#This Row],[LP Exp Date]]&gt;0, SnapshotTable[[#This Row],[LP Strike Price]]&gt;0,SnapshotTable[[#This Row],[LP Qty]]&gt;0,SnapshotTable[[#This Row],[LP Book Date]]&gt;0,SnapshotTable[[#This Row],[LP Book Price]]&gt;0,SnapshotTable[[#This Row],[LP Fill Date]]=0),"Y","")</f>
        <v/>
      </c>
      <c r="BP101" s="31" t="str">
        <f>IF(AND(SnapshotTable[[#This Row],[LP No Fill]]&lt;&gt;"Y",SnapshotTable[[#This Row],[LP Contract Value]]&gt;0, SnapshotTable[[#This Row],[LP Qty]]&gt;0), SnapshotTable[[#This Row],[LP Contract Value]]*SnapshotTable[[#This Row],[LP Qty]]*100,"")</f>
        <v/>
      </c>
      <c r="BQ101" s="13"/>
      <c r="BR101" s="5" t="str">
        <f>IF(SnapshotTable[[#This Row],[SP Exp Date]]&lt;&gt;"",TRUNC(SnapshotTable[[#This Row],[Last Price]]),"")</f>
        <v/>
      </c>
      <c r="BS101" s="36"/>
      <c r="BT101" s="147"/>
      <c r="BU101" s="13"/>
      <c r="BV101" s="5"/>
      <c r="BW101" s="419" t="b">
        <f>AND(ISNUMBER(SnapshotTable[[#This Row],[SP Exp Date]]), ISNUMBER(SnapshotTable[[#This Row],[SP Strike Price]]), ISNUMBER(SnapshotTable[[#This Row],[SP Qty]]), ISNUMBER(SnapshotTable[[#This Row],[SP Book Date]]), ISNUMBER(SnapshotTable[[#This Row],[SP Book Price]]))</f>
        <v>0</v>
      </c>
      <c r="BX101" s="419" t="b">
        <f>AND(SnapshotTable[[#This Row],[SP Is Booked]], NOT(ISBLANK(SnapshotTable[[#This Row],[SP Fill Date]])))</f>
        <v>0</v>
      </c>
      <c r="BY101" s="33">
        <f>IF(SnapshotTable[[#This Row],[SP Is Booked]], SnapshotTable[[#This Row],[SP Qty]] * SnapshotTable[[#This Row],[SP Book Price]] * 100, 0)</f>
        <v>0</v>
      </c>
      <c r="BZ101" s="369"/>
      <c r="CA101" s="368">
        <f>SnapshotTable[[#This Row],[LP Qty]]</f>
        <v>0</v>
      </c>
      <c r="CB101" s="4" t="str">
        <f>IF(SnapshotTable[[#This Row],[SP Is Booked]], SnapshotTable[[#This Row],[SP Strike Price]] - SnapshotTable[[#This Row],[SP Book Price]], "")</f>
        <v/>
      </c>
      <c r="CC101" s="19" t="str">
        <f>IF(SnapshotTable[[#This Row],[SP Is Booked]],SnapshotTable[[#This Row],[SP Exp Date]]-MAX(SnapshotTable[[#This Row],[SP Book Date]], SnapshotTable[[#This Row],[SP Fill Date]]),"")</f>
        <v/>
      </c>
      <c r="CD101" s="7" t="str">
        <f>IF(SnapshotTable[[#This Row],[SP Is Booked]], SnapshotTable[[#This Row],[SP Book Price]]/SnapshotTable[[#This Row],[SP Strike Price]], "")</f>
        <v/>
      </c>
      <c r="CE101" s="7" t="str">
        <f>IF(ISNUMBER(SnapshotTable[[#This Row],[SP ROO Term]]),SnapshotTable[[#This Row],[SP ROO Term]]*(365/SnapshotTable[[#This Row],[SP Term]]),"")</f>
        <v/>
      </c>
      <c r="CF101" s="236">
        <f>SnapshotTable[[#This Row],[LP Strike Price]] * SnapshotTable[[#This Row],[LP Qty]] * 100</f>
        <v>0</v>
      </c>
      <c r="CG101" s="31" t="e">
        <f>IF(ISNUMBER(SnapshotTable[[#This Row],[SP Premium]]), (SnapshotTable[[#This Row],[SP Qty]] * SnapshotTable[[#This Row],[SP Strike Price]]* 100) - SnapshotTable[[#This Row],[LP Protection]], 0)</f>
        <v>#VALUE!</v>
      </c>
      <c r="CH101" s="7" t="str">
        <f>IF(ISNUMBER(SnapshotTable[[#This Row],[SP Break Even]]),-1 * (SnapshotTable[[#This Row],[SP Break Even]] - SnapshotTable[[#This Row],[Last Price]]) / SnapshotTable[[#This Row],[Last Price]], "")</f>
        <v/>
      </c>
      <c r="CI101" s="31">
        <f>IF(AND(ISNUMBER((SnapshotTable[[#This Row],[SP Potential Spend]])), SnapshotTable[[#This Row],[SP Strike Price]] &gt; SnapshotTable[[#This Row],[Last Price]], SnapshotTable[[#This Row],[SP Is Filled]]), SnapshotTable[[#This Row],[SP Potential Spend]] -  SnapshotTable[[#This Row],[LP Max Value]], 0)</f>
        <v>0</v>
      </c>
      <c r="CJ101" s="244"/>
      <c r="CK101" s="31" t="str">
        <f>IF(ISNUMBER(SnapshotTable[[#This Row],[SP Potential Spend]]),IF(ISNUMBER(SnapshotTable[[#This Row],[SP POW]]), SnapshotTable[[#This Row],[SP POW]] * SnapshotTable[[#This Row],[SP Potential Spend]], SnapshotTable[[#This Row],[SP Potential Spend]]), "")</f>
        <v/>
      </c>
      <c r="CL101" s="164" t="e">
        <f>IF(NOT(SnapshotTable[[#This Row],[SP Is Filled]]),(SnapshotTable[[#This Row],[SP Qty]] * SnapshotTable[[#This Row],[SP Strike Price]] * 100) - SnapshotTable[[#This Row],[LP Max Value]],"")</f>
        <v>#VALUE!</v>
      </c>
      <c r="CM101" s="31" t="str">
        <f>IF(SnapshotTable[[#This Row],[SP Actual Spend]]&lt;&gt;0, ((SnapshotTable[[#This Row],[SP Strike Price]]-SnapshotTable[[#This Row],[Last Price]]) *(SnapshotTable[[#This Row],[SP Qty]]*100) - SnapshotTable[[#This Row],[SP Premium]]) * - 1, "")</f>
        <v/>
      </c>
      <c r="CN101" s="78"/>
      <c r="CO101" s="369"/>
      <c r="CP101" s="4" t="str">
        <f>IF(SnapshotTable[[#This Row],[SP Is Filled]], btc_max_buyback_amount(SnapshotTable[[#This Row],[SP Fill Date]],SnapshotTable[[#This Row],[SP Exp Date]], SnapshotTable[[#This Row],[SP Book Price]]),"")</f>
        <v/>
      </c>
      <c r="CQ101" s="78"/>
      <c r="CR10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1" s="155" t="str">
        <f>IF(SnapshotTable[[#This Row],[SP Is Filled]], btc_next_cutoff_date(SnapshotTable[[#This Row],[SP Fill Date]],SnapshotTable[[#This Row],[SP Exp Date]]),"")</f>
        <v/>
      </c>
      <c r="CT101" s="235" t="str" cm="1">
        <f t="array" ref="CT101">IF(SnapshotTable[[#This Row],[SP Is Filled]], btc_should_buy_back(SnapshotTable[[#This Row],[SP Fill Date]], SnapshotTable[[#This Row],[SP Exp Date]], SnapshotTable[[#This Row],[SP Book Price]], SnapshotTable[[#This Row],[SP Current Ask]], MockToday, SnapshotTable[[#This Row],[SP Buyback Override]]),"")</f>
        <v/>
      </c>
      <c r="CU101" s="143"/>
      <c r="CV101" s="235"/>
      <c r="CW101" s="378" t="str">
        <f>IF(ISNUMBER( SnapshotTable[[#This Row],[SP Term]]), SnapshotTable[[#This Row],[SP Exp Date]] - MockToday,"")</f>
        <v/>
      </c>
      <c r="CX101" s="31" t="str">
        <f>IF(SnapshotTable[[#This Row],[SP Is Filled]],SnapshotTable[[#This Row],[SP Buyback Price to Use]] * 100 * SnapshotTable[[#This Row],[SP Qty]], "")</f>
        <v/>
      </c>
      <c r="CY101" s="4" t="str">
        <f>IF(ISNUMBER(SnapshotTable[[#This Row],[SP Strike Price]]), SnapshotTable[[#This Row],[SP Strike Price]] * (1 - SP_MaxLoss_StrikePct), "")</f>
        <v/>
      </c>
      <c r="CZ101" s="31" t="str">
        <f>IF(ISNUMBER(SnapshotTable[[#This Row],[SP Strike  Stop Per Share]]),SnapshotTable[[#This Row],[SP Premium]] - ((SnapshotTable[[#This Row],[SP Strike Price]]-SnapshotTable[[#This Row],[SP Strike  Stop Per Share]]) *(SnapshotTable[[#This Row],[SP Qty]] * 100)),"")</f>
        <v/>
      </c>
      <c r="DA101" s="4" t="str">
        <f>IF(AND(ISNUMBER(SnapshotTable[[#This Row],[SP Premium]]),SnapshotTable[[#This Row],[SP Premium]]&gt;0), SnapshotTable[[#This Row],[SP Book Price]] * (1 + SP_MaxLoss_OptionPct), "")</f>
        <v/>
      </c>
      <c r="DB101" s="31" t="str">
        <f>IF(ISNUMBER(SnapshotTable[[#This Row],[SP Option  Stop Contract]]),(SnapshotTable[[#This Row],[SP Option  Stop Contract]] *(SnapshotTable[[#This Row],[SP Qty]] * 100) - SnapshotTable[[#This Row],[SP Premium]]),"")</f>
        <v/>
      </c>
      <c r="DC101" s="4"/>
      <c r="DD101" s="4"/>
      <c r="DE101" s="4" t="str">
        <f>IF(AND(SnapshotTable[[#This Row],[SP Qty]]&gt;0, SnapshotTable[[#This Row],[SP Stop To Use]]&gt;0),SnapshotTable[[#This Row],[SP Premium]] - ( SnapshotTable[[#This Row],[SP Qty]] * SnapshotTable[[#This Row],[SP Stop To Use]] * 100), "")</f>
        <v/>
      </c>
      <c r="DF101" s="31" t="str">
        <f>IF(AND(SnapshotTable[[#This Row],[SP Qty]]&gt;0,SnapshotTable[[#This Row],[SP Current Ask]]&gt;0), SnapshotTable[[#This Row],[SP Qty]] * SnapshotTable[[#This Row],[SP Current Ask]] * -100, "")</f>
        <v/>
      </c>
      <c r="DG101" s="31" t="str">
        <f>IF(ISNUMBER((SnapshotTable[[#This Row],[SP Total Value]])), SnapshotTable[[#This Row],[SP Premium]] + SnapshotTable[[#This Row],[SP Total Value]], "")</f>
        <v/>
      </c>
      <c r="DH101" s="294" t="str">
        <f>IF(ISNUMBER((SnapshotTable[[#This Row],[SP Total Value]])), SnapshotTable[[#This Row],[SP Gain Loss]] / SnapshotTable[[#This Row],[SP Premium]], "")</f>
        <v/>
      </c>
      <c r="DI101" s="406"/>
      <c r="DJ101" s="138"/>
      <c r="DK101" s="148"/>
      <c r="DL101" s="13"/>
      <c r="DM101" s="13"/>
      <c r="DO101" s="31">
        <f>IF(SnapshotTable[[#This Row],[LC Symbol Count]]=1, SnapshotTable[[#This Row],[LC Qty]] * SnapshotTable[[#This Row],[LC Book Price]] * 100, 0)</f>
        <v>0</v>
      </c>
      <c r="DP101" s="163" t="str">
        <f>IF(AND(SnapshotTable[[#This Row],[LC Exp Date]]&gt;0, SnapshotTable[[#This Row],[LC Strike Price]]&gt;0,SnapshotTable[[#This Row],[LC Qty]]&gt;0,SnapshotTable[[#This Row],[LC Book Date]]&gt;0,SnapshotTable[[#This Row],[LC Book Price]]&gt;0,SnapshotTable[[#This Row],[LC Fill Date]]=0),"Y","")</f>
        <v/>
      </c>
      <c r="DQ101" s="386" t="str">
        <f>IF(SnapshotTable[[#This Row],[LC Premium]] &gt; 0,SnapshotTable[[#This Row],[LC Exp Date]]-MAX(SnapshotTable[[#This Row],[LC Book Date]], SnapshotTable[[#This Row],[LC Fill Date]]),"")</f>
        <v/>
      </c>
      <c r="DR101" s="386" t="str">
        <f>IF(ISNUMBER(SnapshotTable[[#This Row],[LC Term]]), SnapshotTable[[#This Row],[LC Exp Date]] - MockToday, "")</f>
        <v/>
      </c>
      <c r="DS101" s="234" t="str">
        <f>IF(SnapshotTable[[#This Row],[LC Premium]]&gt;0,SnapshotTable[[#This Row],[LC Strike Price]] + SnapshotTable[[#This Row],[LC Book Price]],"")</f>
        <v/>
      </c>
      <c r="DU101" s="9" t="str">
        <f>IF(AND(SnapshotTable[[#This Row],[LC Symbol Count]]&gt;0, SnapshotTable[[#This Row],[LC Contract Value]]&gt;0), SnapshotTable[[#This Row],[LC Contract Value]] * SnapshotTable[[#This Row],[LC Qty]] * 100, "")</f>
        <v/>
      </c>
      <c r="DV101" s="9" t="str">
        <f>IF(AND(ISNUMBER(SnapshotTable[[#This Row],[LC Total Value]]), SnapshotTable[[#This Row],[LC Not Filled]]&lt;&gt;"Y"), SnapshotTable[[#This Row],[LC Total Value]]-SnapshotTable[[#This Row],[LC Premium]],"")</f>
        <v/>
      </c>
      <c r="DW101" s="240" t="str">
        <f>IF(ISNUMBER(SnapshotTable[[#This Row],[LC Actual Gain Loss]]), SnapshotTable[[#This Row],[LC Actual Gain Loss]] / SnapshotTable[[#This Row],[LC Premium]],"")</f>
        <v/>
      </c>
      <c r="DX101" s="284" t="str">
        <f>IF(ISNUMBER(SnapshotTable[[#This Row],[LC Book Price]]),SnapshotTable[[#This Row],[LC Book Price]] * 1.5,"")</f>
        <v/>
      </c>
      <c r="DY101" s="265" t="str">
        <f>IF(SnapshotTable[[#This Row],[LC Premium]]&gt;0, SnapshotTable[[#This Row],[LC Next Target]] * SnapshotTable[[#This Row],[LC Qty]] * 100,"")</f>
        <v/>
      </c>
      <c r="DZ101" s="265" t="str">
        <f>IF(ISNUMBER(SnapshotTable[[#This Row],[LC Target Gross]]), SnapshotTable[[#This Row],[LC Target Gross]] - SnapshotTable[[#This Row],[LC Premium]], "")</f>
        <v/>
      </c>
      <c r="EA101" s="305" t="str">
        <f>IF(ISNUMBER(SnapshotTable[[#This Row],[LC Target Gain Loss]]), SnapshotTable[[#This Row],[LC Target Gain Loss]]/SnapshotTable[[#This Row],[LC Premium]], "")</f>
        <v/>
      </c>
      <c r="EB101" s="262"/>
      <c r="EC101" s="283" t="str">
        <f>IF(SnapshotTable[[#This Row],[LC Premium]]&gt;0, SnapshotTable[[#This Row],[LC Book Price]] * (1 - LC_StopLoss_Pct),"")</f>
        <v/>
      </c>
      <c r="ED101" s="284"/>
      <c r="EE101" s="283" t="str">
        <f>IF(ISNUMBER(SnapshotTable[[#This Row],[LC Contract Value]]),IF(ISNUMBER(SnapshotTable[[#This Row],[LC Stop Loss Override]]), SnapshotTable[[#This Row],[LC Stop Loss Override]],SnapshotTable[[#This Row],[LC Stop Loss Calc Target]]),"")</f>
        <v/>
      </c>
      <c r="EF101" s="31" t="str">
        <f>IF(ISNUMBER(SnapshotTable[[#This Row],[LC Stop  To Use]]), (SnapshotTable[[#This Row],[LC Stop  To Use]] * SnapshotTable[[#This Row],[LC Qty]] * 100),"")</f>
        <v/>
      </c>
      <c r="EG101" s="9" t="str">
        <f>IF(ISNUMBER(SnapshotTable[[#This Row],[LC Total Value]]),SnapshotTable[[#This Row],[LC Stop Loss Amount]] - SnapshotTable[[#This Row],[LC Premium]],"")</f>
        <v/>
      </c>
      <c r="EH101" s="9">
        <f>IF(ISNUMBER(SnapshotTable[[#This Row],[LC Premium]]), SnapshotTable[[#This Row],[LC Qty]] * 100 * SnapshotTable[[#This Row],[LC Strike Price]], "")</f>
        <v>0</v>
      </c>
      <c r="EI101" s="240" t="str">
        <f>IF(AND(ISNUMBER(SnapshotTable[[#This Row],[LC Total Value]]),SnapshotTable[[#This Row],[LC Total Value]]&gt;0),SnapshotTable[[#This Row],[LC Stop Gain Loss]]  / SnapshotTable[[#This Row],[LC Premium]],"")</f>
        <v/>
      </c>
      <c r="EJ101" s="35">
        <f>IF(ISNUMBER(SnapshotTable[[#This Row],[Equity Shares]]),TRUNC(SnapshotTable[[#This Row],[Equity Shares]] / 100),0) + SnapshotTable[[#This Row],[LC Qty]]</f>
        <v>0</v>
      </c>
      <c r="EK101" s="147"/>
      <c r="EL101" s="138" t="str">
        <f>IF(SnapshotTable[[#This Row],[SC Exp Date]]&lt;&gt;"",TRUNC(SnapshotTable[[#This Row],[Last Price]]),"")</f>
        <v/>
      </c>
      <c r="EM101" s="148"/>
      <c r="EN101" s="147"/>
      <c r="EO101" s="147"/>
      <c r="EP101" s="138"/>
      <c r="EQ101" s="419" t="b">
        <f>AND(ISNUMBER(SnapshotTable[[#This Row],[SC Exp Date]]), ISNUMBER(SnapshotTable[[#This Row],[SC Strike Price]]), ISNUMBER(SnapshotTable[[#This Row],[SC Qty]]), ISNUMBER(SnapshotTable[[#This Row],[SC Book Date]]), ISNUMBER(SnapshotTable[[#This Row],[SC Book Price]]))</f>
        <v>0</v>
      </c>
      <c r="ER101" s="419" t="b">
        <f>AND(SnapshotTable[[#This Row],[SC Is Booked]], NOT(ISBLANK(SnapshotTable[[#This Row],[SC Fill Date]])))</f>
        <v>0</v>
      </c>
      <c r="ES101" s="370"/>
      <c r="ET101" s="34" t="str">
        <f>IF(AND(ISNUMBER(SnapshotTable[[#This Row],[SC Exp Date]]), ISNUMBER(SnapshotTable[[#This Row],[SC Book Date]])), SnapshotTable[[#This Row],[SC Exp Date]] - MAX(SnapshotTable[[#This Row],[SC Book Date]], SnapshotTable[[#This Row],[SC Fill Date]]) + 1, "")</f>
        <v/>
      </c>
      <c r="EU101" s="34" t="str">
        <f>IF(ISNUMBER(SnapshotTable[[#This Row],[SC Term]]), SnapshotTable[[#This Row],[SC Exp Date]]- MockToday, "")</f>
        <v/>
      </c>
      <c r="EV101" s="31">
        <f>IF(SnapshotTable[[#This Row],[SC Is Booked]], SnapshotTable[[#This Row],[SC Qty]] * SnapshotTable[[#This Row],[SC Book Price]] * 100, 0)</f>
        <v>0</v>
      </c>
      <c r="EW101" s="4" t="str">
        <f>IF(AND(ISNUMBER(SnapshotTable[[#This Row],[Last Price]]), ISNUMBER( SnapshotTable[[#This Row],[SC Book Price]])), SnapshotTable[[#This Row],[Last Price]] - SnapshotTable[[#This Row],[SC Book Price]],"")</f>
        <v/>
      </c>
      <c r="EX101" s="234" t="str">
        <f>IF(SnapshotTable[[#This Row],[SC Is Booked]],IF(SnapshotTable[[#This Row],[SC Intrinsic Value]] &gt; 0, SnapshotTable[[#This Row],[SC Strike Price]], SnapshotTable[[#This Row],[Last Price]]), "")</f>
        <v/>
      </c>
      <c r="EY101" s="4">
        <f>IF(SnapshotTable[[#This Row],[SC Is Booked]], (MinimumPremiumRequired * SnapshotTable[[#This Row],[SC Basis]] * SnapshotTable[[#This Row],[SC Term]]), 0)</f>
        <v>0</v>
      </c>
      <c r="EZ101" s="283"/>
      <c r="FA101" s="218"/>
      <c r="FB101" s="370"/>
      <c r="FC101" s="4">
        <f>IF(SnapshotTable[[#This Row],[SC Is Filled]], btc_max_buyback_amount(SnapshotTable[[#This Row],[SC Fill Date]],SnapshotTable[[#This Row],[SC Exp Date]], SnapshotTable[[#This Row],[SC Book Price]]),0)</f>
        <v>0</v>
      </c>
      <c r="FD101" s="5"/>
      <c r="FE101" s="144" t="str">
        <f>IF(SnapshotTable[[#This Row],[SC Is Filled]], btc_next_cutoff_date(SnapshotTable[[#This Row],[SC Fill Date]],SnapshotTable[[#This Row],[SC Exp Date]]),"")</f>
        <v/>
      </c>
      <c r="FF101" s="4" t="str" cm="1">
        <f t="array" ref="FF101">IF(SnapshotTable[[#This Row],[SC Is Filled]], btc_should_buy_back(SnapshotTable[[#This Row],[SC Fill Date]], SnapshotTable[[#This Row],[SC Exp Date]], SnapshotTable[[#This Row],[SC Book Price]], SnapshotTable[[#This Row],[SC Current Ask]], MockToday, SnapshotTable[[#This Row],[SC Buyback Override]]),"")</f>
        <v/>
      </c>
      <c r="FG101" s="4">
        <f>IF(SnapshotTable[[#This Row],[SC Is Filled]], MAX(0,SnapshotTable[[#This Row],[Last Price]]  - SnapshotTable[[#This Row],[SC Strike Price]]), 0)</f>
        <v>0</v>
      </c>
      <c r="FH101" s="382">
        <f>IF(SnapshotTable[[#This Row],[SC Is Filled]], IF(ISNUMBER(SnapshotTable[[#This Row],[SC Current Ask]]), SnapshotTable[[#This Row],[SC Current Ask]], SnapshotTable[[#This Row],[SC Book Price]]) - SnapshotTable[[#This Row],[SC Intrinsic Value]], 0)</f>
        <v>0</v>
      </c>
      <c r="FI101" s="143"/>
      <c r="FJ101" s="32" t="str">
        <f>IF(SnapshotTable[[#This Row],[SC Is Filled]],100 * SnapshotTable[[#This Row],[SC Qty]] * IF(ISNUMBER(SnapshotTable[[#This Row],[SC Buyback Override]]), SnapshotTable[[#This Row],[SC Buyback Override]], SnapshotTable[[#This Row],[SC Current Ask]]), "")</f>
        <v/>
      </c>
      <c r="FK101" s="250" t="str">
        <f>IF(SnapshotTable[[#This Row],[SC Time Val]]&gt;0, SnapshotTable[[#This Row],[SC Time Val]] / SnapshotTable[[#This Row],[Last Price]],"")</f>
        <v/>
      </c>
      <c r="FL101" s="302" t="str">
        <f>IF(SnapshotTable[[#This Row],[SC Is Booked]], ((SnapshotTable[[#This Row],[Last Price]] -SnapshotTable[[#This Row],[SC Strike Price]]) / SnapshotTable[[#This Row],[Last Price]]) * -1, "")</f>
        <v/>
      </c>
      <c r="FM101" s="157" t="str">
        <f>IF(SnapshotTable[[#This Row],[SC Is Booked]],  (SnapshotTable[[#This Row],[SC Qty]] * 100 * SnapshotTable[[#This Row],[SC Strike Price]]) - SnapshotTable[[#This Row],[SC Current Ask]], "")</f>
        <v/>
      </c>
      <c r="FN10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1" s="31" t="str">
        <f>IF(AND(ISNUMBER(SnapshotTable[[#This Row],[SC Exercise Gross]]), ISNUMBER(SnapshotTable[[#This Row],[Equity Basis Per Share]] )), SnapshotTable[[#This Row],[SC Exercise Gross]] - SnapshotTable[[#This Row],[Equity Basis Total]] +  SnapshotTable[[#This Row],[SC Premium]], "")</f>
        <v/>
      </c>
      <c r="FP101" s="5" t="str">
        <f>IF(ISNUMBER(SnapshotTable[[#This Row],[SC Exercise Gross]]), (SnapshotTable[[#This Row],[SC Exercise Gross]]) / (SnapshotTable[[#This Row],[SC Qty]] * 100), "")</f>
        <v/>
      </c>
      <c r="FQ101" s="27" t="str">
        <f>IF(SnapshotTable[[#This Row],[SC Is Booked]],SnapshotTable[[#This Row],[SC Time Val]] /SnapshotTable[[#This Row],[SC Basis]], "")</f>
        <v/>
      </c>
      <c r="FR101" s="27" t="str" cm="1">
        <f t="array" ref="FR101">IF(AND(ISNUMBER(SnapshotTable[[#This Row],[SC Term]]),ISNUMBER(SnapshotTable[[#This Row],[SC Simple ROO]])), EllmanAnnualize(SnapshotTable[[#This Row],[SC DTE]], SnapshotTable[[#This Row],[SC Simple ROO]] ),"")</f>
        <v/>
      </c>
      <c r="FS101" s="4" t="e">
        <f>IF(SnapshotTable[[#This Row],[SC Strike Price]] &gt; SnapshotTable[[#This Row],[Last Price]], SnapshotTable[[#This Row],[SC Strike Price]] - SnapshotTable[[#This Row],[Last Price]],0)</f>
        <v>#VALUE!</v>
      </c>
      <c r="FT101" s="27" t="e">
        <f>IF(AND(ISNUMBER(SnapshotTable[[#This Row],[SC Upside Potential]]), SnapshotTable[[#This Row],[SC Upside Potential]] &gt; 0),(SnapshotTable[[#This Row],[SC Upside Potential]]/ SnapshotTable[[#This Row],[ACB]]),"")</f>
        <v>#VALUE!</v>
      </c>
      <c r="FU101" s="333" t="str">
        <f>IF(SnapshotTable[[#This Row],[SC Intrinsic Value]] &gt; 0,SnapshotTable[[#This Row],[SC Intrinsic Value]],"")</f>
        <v/>
      </c>
      <c r="FV101" s="27" t="str">
        <f>IF(AND( ISNUMBER( SnapshotTable[[#This Row],[ACB]]),ISNUMBER(SnapshotTable[[#This Row],[SC Downside Protect]])),SnapshotTable[[#This Row],[SC Downside Protect]] / SnapshotTable[[#This Row],[ACB]],"")</f>
        <v/>
      </c>
      <c r="FW101" s="236" t="str">
        <f>IF(AND(ISNUMBER(SnapshotTable[[#This Row],[SC Simple ROO]]),SnapshotTable[[#This Row],[SC Simple ROO]] &gt; 0), SnapshotTable[[#This Row],[SC Premium]] + (SnapshotTable[[#This Row],[SC Qty]] * SnapshotTable[[#This Row],[SC Upside Potential]]), "")</f>
        <v/>
      </c>
      <c r="FX101" s="302" t="str" cm="1">
        <f t="array" ref="FX101">IF(ISNUMBER(SnapshotTable[[#This Row],[SC Max Dollars]]), annualize(SnapshotTable[[#This Row],[SC Term]],(SnapshotTable[[#This Row],[SC Max Dollars]]/SnapshotTable[[#This Row],[SC Basis]])),"")</f>
        <v/>
      </c>
      <c r="FY101" s="236" t="str">
        <f>IF(AND(SnapshotTable[[#This Row],[SC Qty]]&gt;0,SnapshotTable[[#This Row],[SC Current Ask]]&gt;0), SnapshotTable[[#This Row],[SC Qty]] * SnapshotTable[[#This Row],[SC Current Ask]] * -100, "")</f>
        <v/>
      </c>
      <c r="FZ101" s="31" t="str">
        <f>IF(ISNUMBER((SnapshotTable[[#This Row],[SC Current Value]])), SnapshotTable[[#This Row],[SC Premium]] + SnapshotTable[[#This Row],[SC Current Value]], "")</f>
        <v/>
      </c>
      <c r="GA101" s="294" t="str">
        <f>IFERROR( IF(ISNUMBER((SnapshotTable[[#This Row],[SC Current Value]])), SnapshotTable[[#This Row],[SC Gain Loss]] / SnapshotTable[[#This Row],[SC Premium]], ""), "")</f>
        <v/>
      </c>
      <c r="GB101" s="42">
        <f>SnapshotTable[[#This Row],[Equity Shares]] * SaleSharesToConsiderPercentage</f>
        <v>0</v>
      </c>
      <c r="GC101" s="40">
        <f>SnapshotTable[[#This Row],[Long Term Target]] * SellingPriceToConsiderBasedOnTargetPercentage</f>
        <v>0</v>
      </c>
      <c r="GD101" s="40">
        <f>SnapshotTable[[#This Row],[Last Price]] * (1+ SellingPriceToConsiderBasedOnTargetPercentage)</f>
        <v>52.981500000000004</v>
      </c>
      <c r="GE101" s="41"/>
      <c r="GF101" s="40"/>
      <c r="GG101" s="31">
        <f>SnapshotTable[[#This Row],[Booked Sale Shares]] * SnapshotTable[[#This Row],[Booked Sale Price]]</f>
        <v>0</v>
      </c>
      <c r="GH101" s="31" t="str">
        <f>IF(SnapshotTable[[#This Row],[Equity Basis Total]] &gt; 0, SnapshotTable[[#This Row],[Equity Basis Per Share]] * SnapshotTable[[#This Row],[Booked Sale Shares]], "")</f>
        <v/>
      </c>
      <c r="GI101" s="31">
        <f>IF(SnapshotTable[[#This Row],[Sale Proceeds]]&gt;0, SnapshotTable[[#This Row],[Sale Proceeds]] - SnapshotTable[[#This Row],[Sale Basis]], 0)</f>
        <v>0</v>
      </c>
      <c r="GJ101" s="27" t="str">
        <f>IF(SnapshotTable[[#This Row],[Sale G/L]]&gt;0, SnapshotTable[[#This Row],[Sale G/L]] / SnapshotTable[[#This Row],[Sale Basis]], IF(ISNUMBER(SnapshotTable[[#This Row],[SC Exercise P&amp;L (TAX)]]), SnapshotTable[[#This Row],[SC Exercise P&amp;L (TAX)]] / SnapshotTable[[#This Row],[SC Basis]], ""))</f>
        <v/>
      </c>
      <c r="GK101" s="27" t="s">
        <v>671</v>
      </c>
      <c r="GL101" s="43" t="str">
        <f>IF(AND(SnapshotTable[[#This Row],[LP Exp Date]]&gt;0,SnapshotTable[[#This Row],[LP Strike Price]]&gt;0), [1]!ToOptionSymbol(SnapshotTable[[#This Row],[Symbol]], SnapshotTable[[#This Row],[LP Strike Price]],SnapshotTable[[#This Row],[LP Exp Date]],1), "")</f>
        <v/>
      </c>
      <c r="GM101" s="30" t="str">
        <f>IF(LEN(SnapshotTable[[#This Row],[LP Symbol]])&gt;0, 1, "")</f>
        <v/>
      </c>
      <c r="GN101" s="43" t="str">
        <f>IF(AND(SnapshotTable[[#This Row],[SP Exp Date]]&gt;0,SnapshotTable[[#This Row],[SP Strike Price]]&gt;0), [1]!ToOptionSymbol(SnapshotTable[[#This Row],[Symbol]], SnapshotTable[[#This Row],[SP Strike Price]],SnapshotTable[[#This Row],[SP Exp Date]],1), "")</f>
        <v/>
      </c>
      <c r="GO101" s="30" t="str">
        <f>IF(LEN(SnapshotTable[[#This Row],[SP Symbol]])&gt;0, 1, "")</f>
        <v/>
      </c>
      <c r="GP101" s="43" t="str">
        <f>IF(AND(SnapshotTable[[#This Row],[LC Exp Date]]&gt;0,SnapshotTable[[#This Row],[LC Strike Price]]&gt;0), [1]!ToOptionSymbol(SnapshotTable[[#This Row],[Symbol]], SnapshotTable[[#This Row],[LC Strike Price]],SnapshotTable[[#This Row],[LC Exp Date]],0), "")</f>
        <v/>
      </c>
      <c r="GQ101" s="30" t="str">
        <f>IF(LEN(SnapshotTable[[#This Row],[LC Symbol]])&gt;0, 1, "")</f>
        <v/>
      </c>
      <c r="GR101" s="43" t="str">
        <f>IF(AND(SnapshotTable[[#This Row],[SC Exp Date]]&gt;0,SnapshotTable[[#This Row],[SC Strike Price]]&gt;0), [1]!ToOptionSymbol(SnapshotTable[[#This Row],[Symbol]], SnapshotTable[[#This Row],[SC Strike Price]],SnapshotTable[[#This Row],[SC Exp Date]],0), "")</f>
        <v/>
      </c>
      <c r="GS101" s="30" t="str">
        <f>IF(LEN(SnapshotTable[[#This Row],[SC Symbol]])&gt;0, 1, "")</f>
        <v/>
      </c>
      <c r="GT101" s="29" t="str">
        <f>IF(COUNT(SnapshotTable[[#This Row],[LP Symbol Count]],SnapshotTable[[#This Row],[SP Symbol Count]],SnapshotTable[[#This Row],[LC Symbol Count]],SnapshotTable[[#This Row],[SC Symbol Count]])&gt;0, "Y", "")</f>
        <v/>
      </c>
      <c r="GU10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1" s="231" t="e">
        <f>MAX(SnapshotTable[[#This Row],[Equity Basis Total]],SnapshotTable[[#This Row],[Equity Value]]) + (SnapshotTable[[#This Row],[SP Potential Spend]]- SnapshotTable[[#This Row],[SP Premium]] + SnapshotTable[[#This Row],[LP Premium]])+ (SnapshotTable[[#This Row],[LC Premium]] - SnapshotTable[[#This Row],[SC Premium]])</f>
        <v>#VALUE!</v>
      </c>
      <c r="GW101" s="139" t="e">
        <f>IF(AND(SnapshotTable[[#This Row],[Exposure]] &lt;&gt; 0),SnapshotTable[[#This Row],[Exposure]] / SnapshotTable[[#Totals],[Exposure]], "")</f>
        <v>#VALUE!</v>
      </c>
      <c r="HE101" s="268"/>
      <c r="HF101" s="268"/>
      <c r="HK101" s="1"/>
      <c r="HL101" s="1"/>
      <c r="HM101" s="1"/>
      <c r="HN101" s="1"/>
      <c r="HO101" s="1"/>
      <c r="HP101" s="1"/>
    </row>
    <row r="102" spans="2:224" ht="12.75" hidden="1" customHeight="1" x14ac:dyDescent="0.25">
      <c r="B102" s="12" t="s">
        <v>137</v>
      </c>
      <c r="C102" s="422">
        <v>135.65</v>
      </c>
      <c r="D102" s="208" t="s">
        <v>850</v>
      </c>
      <c r="E102" s="39">
        <f>SnapshotTable[[#This Row],[Last Price]]*(1 -CrashDiscount)</f>
        <v>115.30249999999999</v>
      </c>
      <c r="F102" s="26" t="s">
        <v>940</v>
      </c>
      <c r="G102" s="26" t="s">
        <v>821</v>
      </c>
      <c r="H102" s="149"/>
      <c r="I102" s="194">
        <v>44754.25</v>
      </c>
      <c r="J102" s="195">
        <v>44754.25</v>
      </c>
      <c r="K102" s="196" t="s">
        <v>3</v>
      </c>
      <c r="L102" s="326"/>
      <c r="M102" s="140">
        <v>1</v>
      </c>
      <c r="N102" s="140"/>
      <c r="O102" s="140">
        <v>2</v>
      </c>
      <c r="P102" s="22"/>
      <c r="Q102" s="25"/>
      <c r="R102" s="4" t="str">
        <f>IF(SnapshotTable[[#This Row],[Equity Basis Total]] &gt; 0, SnapshotTable[[#This Row],[Equity Basis Total]] / SnapshotTable[[#This Row],[Equity Shares]], "")</f>
        <v/>
      </c>
      <c r="S102" s="269">
        <f>SnapshotTable[[#This Row],[Last Price]] * SnapshotTable[[#This Row],[Equity Shares]]</f>
        <v>0</v>
      </c>
      <c r="T102" s="269">
        <f>SnapshotTable[[#This Row],[Equity Value]] - SnapshotTable[[#This Row],[Equity Basis Total]]</f>
        <v>0</v>
      </c>
      <c r="U102" s="270" t="str">
        <f>IF(SnapshotTable[[#This Row],[Equity Basis Total]] &gt; 0, SnapshotTable[[#This Row],[Equity G/L]] / SnapshotTable[[#This Row],[Equity Basis Total]], "")</f>
        <v/>
      </c>
      <c r="V102" s="268">
        <v>147</v>
      </c>
      <c r="W102" s="268">
        <v>130</v>
      </c>
      <c r="X102" s="4" t="str">
        <f>IF(AND(ISNUMBER(SnapshotTable[[#This Row],[Equity Basis Per Share]]),ISNUMBER(SnapshotTable[[#This Row],[Equity Target]])),SnapshotTable[[#This Row],[Equity Target]]-SnapshotTable[[#This Row],[Equity Basis Per Share]],"")</f>
        <v/>
      </c>
      <c r="Y102" s="4" t="str">
        <f>IF(AND(ISNUMBER(SnapshotTable[[#This Row],[Equity Basis Per Share]]),ISNUMBER(SnapshotTable[[#This Row],[Equity Stop Loss]])),SnapshotTable[[#This Row],[Equity Stop Loss]]-SnapshotTable[[#This Row],[Equity Basis Per Share]],"")</f>
        <v/>
      </c>
      <c r="Z102" s="275" t="str">
        <f>IFERROR( TEXT(SnapshotTable[[#This Row],[Equity Max Gain Per Share]] /ABS( SnapshotTable[[#This Row],[Equity Max Loss Per Share]]),"0.0 " ) &amp; " : 1", "")</f>
        <v/>
      </c>
      <c r="AA102" s="31" t="str">
        <f>IF(ISNUMBER(SnapshotTable[[#This Row],[Equity Max Gain Per Share]]),SnapshotTable[[#This Row],[Equity Max Gain Per Share]] * SnapshotTable[[#This Row],[Equity Shares]],"")</f>
        <v/>
      </c>
      <c r="AB102" s="31" t="str">
        <f>IF(ISNUMBER(SnapshotTable[[#This Row],[Equity Max Loss Per Share]]),SnapshotTable[[#This Row],[Equity Max Loss Per Share]] * SnapshotTable[[#This Row],[Equity Shares]],"")</f>
        <v/>
      </c>
      <c r="AC102" s="150">
        <v>3.84</v>
      </c>
      <c r="AD102" s="151">
        <v>44012</v>
      </c>
      <c r="AE102" s="31">
        <f>(SnapshotTable[[#This Row],[Annual Dividend Per Share]] / 4) * SnapshotTable[[#This Row],[Equity Shares]]</f>
        <v>0</v>
      </c>
      <c r="AF102" s="31">
        <f>SnapshotTable[[#This Row],[Quarterly Div $]] * 4</f>
        <v>0</v>
      </c>
      <c r="AG102" s="7">
        <f>IF(SnapshotTable[[#This Row],[Annual Dividend Per Share]]&gt;0, SnapshotTable[[#This Row],[Annual Dividend Per Share]]  / SnapshotTable[[#This Row],[Last Price]], 0)</f>
        <v>2.8308145963877623E-2</v>
      </c>
      <c r="AH102" s="151">
        <v>44017</v>
      </c>
      <c r="AI102" s="5">
        <v>175</v>
      </c>
      <c r="AJ102" s="138">
        <v>151.96</v>
      </c>
      <c r="AK102" s="152">
        <f>IF(ISNUMBER( SnapshotTable[[#This Row],[EBF Target]]),(SnapshotTable[[#This Row],[EBF Target]] - SnapshotTable[[#This Row],[Last Price]]) / SnapshotTable[[#This Row],[Last Price]], "")</f>
        <v>0.29008477699963137</v>
      </c>
      <c r="AL102" s="152" t="str">
        <f>IF(AND(SnapshotTable[[#This Row],[Equity Basis Total]] &gt; 0,ISNUMBER( SnapshotTable[[#This Row],[Long Term Target]])), SnapshotTable[[#This Row],[From Basis $]] / SnapshotTable[[#This Row],[Equity Basis Total]], "")</f>
        <v/>
      </c>
      <c r="AM102" s="9">
        <f>IF( AND(SnapshotTable[[#This Row],[Equity Shares]] &gt;0,ISNUMBER( SnapshotTable[[#This Row],[Long Term Target]])),(SnapshotTable[[#This Row],[Equity Shares]] * SnapshotTable[[#This Row],[Long Term Target]]) - SnapshotTable[[#This Row],[Equity Basis Total]],0)</f>
        <v>0</v>
      </c>
      <c r="AN102" s="9">
        <f>IF( AND(SnapshotTable[[#This Row],[Equity Shares]] &gt;0,ISNUMBER( SnapshotTable[[#This Row],[Long Term Target]])),(SnapshotTable[[#This Row],[Equity Shares]]*SnapshotTable[[#This Row],[Long Term Target]]) - SnapshotTable[[#This Row],[Equity Value]],0)</f>
        <v>0</v>
      </c>
      <c r="AO102" s="152">
        <f>IF(AND(ISNUMBER( SnapshotTable[[#This Row],[Long Term Target]]), ISNUMBER(SnapshotTable[[#This Row],[Last Price]])),(SnapshotTable[[#This Row],[Long Term Target]] - SnapshotTable[[#This Row],[Last Price]]) / SnapshotTable[[#This Row],[Last Price]], "")</f>
        <v>0.12023590121636565</v>
      </c>
      <c r="AP102" s="5">
        <v>138</v>
      </c>
      <c r="AQ102" s="38" t="s">
        <v>27</v>
      </c>
      <c r="AR102" s="5">
        <v>138</v>
      </c>
      <c r="AS102" s="38" t="s">
        <v>38</v>
      </c>
      <c r="AT102" s="146" t="s">
        <v>542</v>
      </c>
      <c r="AU102" s="187" t="str">
        <f>IF(OR(SnapshotTable[[#This Row],[LP No Fill]]="Y",SnapshotTable[[#This Row],[SP Is Filled]],SnapshotTable[[#This Row],[LC Not Filled]]="Y",SnapshotTable[[#This Row],[SC Is Filled]]),"Y","")</f>
        <v/>
      </c>
      <c r="AV102" s="219"/>
      <c r="AW102" s="225">
        <v>2.91</v>
      </c>
      <c r="AX102" s="220">
        <v>44287</v>
      </c>
      <c r="AY102" s="219">
        <f>IF(SnapshotTable[[#This Row],[Implied Move]]&gt;0, SnapshotTable[[#This Row],[Last Price]]-SnapshotTable[[#This Row],[Implied Move]],"")</f>
        <v>132.74</v>
      </c>
      <c r="AZ102" s="219">
        <f>IF(SnapshotTable[[#This Row],[Implied Move]]&gt;0, SnapshotTable[[#This Row],[Last Price]] + SnapshotTable[[#This Row],[Implied Move]],"")</f>
        <v>138.56</v>
      </c>
      <c r="BA102" s="331">
        <v>139.66999999999999</v>
      </c>
      <c r="BB102" s="404"/>
      <c r="BC10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2" s="351"/>
      <c r="BE102" s="5"/>
      <c r="BF102" s="14"/>
      <c r="BG102" s="13"/>
      <c r="BH102" s="13"/>
      <c r="BI102" s="5"/>
      <c r="BJ102" s="136">
        <f>IF(SnapshotTable[[#This Row],[LP Qty]] &gt; 0, SnapshotTable[[#This Row],[LP Qty]] * SnapshotTable[[#This Row],[LP Book Price]] * 100,0)</f>
        <v>0</v>
      </c>
      <c r="BK102" s="136">
        <f>IF(SnapshotTable[[#This Row],[LP Premium]] &gt; 0, SnapshotTable[[#This Row],[LP Qty]] * SnapshotTable[[#This Row],[LP Strike Price]] * 100,0)</f>
        <v>0</v>
      </c>
      <c r="BL102" s="154"/>
      <c r="BM102" s="385" t="str">
        <f>IF(SnapshotTable[[#This Row],[LP Premium]] &gt; 0,SnapshotTable[[#This Row],[LP Exp Date]]-MAX(SnapshotTable[[#This Row],[LP Book Date]], SnapshotTable[[#This Row],[LP Fill Date]]),"")</f>
        <v/>
      </c>
      <c r="BN102" s="385" t="str">
        <f>IF(ISNUMBER( SnapshotTable[[#This Row],[LP Term]]), SnapshotTable[[#This Row],[LP Exp Date]] - MockToday,"")</f>
        <v/>
      </c>
      <c r="BO102" s="163" t="str">
        <f>IF(AND(SnapshotTable[[#This Row],[LP Exp Date]]&gt;0, SnapshotTable[[#This Row],[LP Strike Price]]&gt;0,SnapshotTable[[#This Row],[LP Qty]]&gt;0,SnapshotTable[[#This Row],[LP Book Date]]&gt;0,SnapshotTable[[#This Row],[LP Book Price]]&gt;0,SnapshotTable[[#This Row],[LP Fill Date]]=0),"Y","")</f>
        <v/>
      </c>
      <c r="BP102" s="31" t="str">
        <f>IF(AND(SnapshotTable[[#This Row],[LP No Fill]]&lt;&gt;"Y",SnapshotTable[[#This Row],[LP Contract Value]]&gt;0, SnapshotTable[[#This Row],[LP Qty]]&gt;0), SnapshotTable[[#This Row],[LP Contract Value]]*SnapshotTable[[#This Row],[LP Qty]]*100,"")</f>
        <v/>
      </c>
      <c r="BQ102" s="13"/>
      <c r="BR102" s="5" t="str">
        <f>IF(SnapshotTable[[#This Row],[SP Exp Date]]&lt;&gt;"",TRUNC(SnapshotTable[[#This Row],[Last Price]]),"")</f>
        <v/>
      </c>
      <c r="BS102" s="36"/>
      <c r="BT102" s="147"/>
      <c r="BU102" s="13"/>
      <c r="BV102" s="5"/>
      <c r="BW102" s="419" t="b">
        <f>AND(ISNUMBER(SnapshotTable[[#This Row],[SP Exp Date]]), ISNUMBER(SnapshotTable[[#This Row],[SP Strike Price]]), ISNUMBER(SnapshotTable[[#This Row],[SP Qty]]), ISNUMBER(SnapshotTable[[#This Row],[SP Book Date]]), ISNUMBER(SnapshotTable[[#This Row],[SP Book Price]]))</f>
        <v>0</v>
      </c>
      <c r="BX102" s="419" t="b">
        <f>AND(SnapshotTable[[#This Row],[SP Is Booked]], NOT(ISBLANK(SnapshotTable[[#This Row],[SP Fill Date]])))</f>
        <v>0</v>
      </c>
      <c r="BY102" s="33">
        <f>IF(SnapshotTable[[#This Row],[SP Is Booked]], SnapshotTable[[#This Row],[SP Qty]] * SnapshotTable[[#This Row],[SP Book Price]] * 100, 0)</f>
        <v>0</v>
      </c>
      <c r="BZ102" s="369">
        <v>0.18</v>
      </c>
      <c r="CA102" s="368">
        <f>SnapshotTable[[#This Row],[LP Qty]]</f>
        <v>0</v>
      </c>
      <c r="CB102" s="4" t="str">
        <f>IF(SnapshotTable[[#This Row],[SP Is Booked]], SnapshotTable[[#This Row],[SP Strike Price]] - SnapshotTable[[#This Row],[SP Book Price]], "")</f>
        <v/>
      </c>
      <c r="CC102" s="19" t="str">
        <f>IF(SnapshotTable[[#This Row],[SP Is Booked]],SnapshotTable[[#This Row],[SP Exp Date]]-MAX(SnapshotTable[[#This Row],[SP Book Date]], SnapshotTable[[#This Row],[SP Fill Date]]),"")</f>
        <v/>
      </c>
      <c r="CD102" s="7" t="str">
        <f>IF(SnapshotTable[[#This Row],[SP Is Booked]], SnapshotTable[[#This Row],[SP Book Price]]/SnapshotTable[[#This Row],[SP Strike Price]], "")</f>
        <v/>
      </c>
      <c r="CE102" s="7" t="str">
        <f>IF(ISNUMBER(SnapshotTable[[#This Row],[SP ROO Term]]),SnapshotTable[[#This Row],[SP ROO Term]]*(365/SnapshotTable[[#This Row],[SP Term]]),"")</f>
        <v/>
      </c>
      <c r="CF102" s="236">
        <f>SnapshotTable[[#This Row],[LP Strike Price]] * SnapshotTable[[#This Row],[LP Qty]] * 100</f>
        <v>0</v>
      </c>
      <c r="CG102" s="31" t="e">
        <f>IF(ISNUMBER(SnapshotTable[[#This Row],[SP Premium]]), (SnapshotTable[[#This Row],[SP Qty]] * SnapshotTable[[#This Row],[SP Strike Price]]* 100) - SnapshotTable[[#This Row],[LP Protection]], 0)</f>
        <v>#VALUE!</v>
      </c>
      <c r="CH102" s="7" t="str">
        <f>IF(ISNUMBER(SnapshotTable[[#This Row],[SP Break Even]]),-1 * (SnapshotTable[[#This Row],[SP Break Even]] - SnapshotTable[[#This Row],[Last Price]]) / SnapshotTable[[#This Row],[Last Price]], "")</f>
        <v/>
      </c>
      <c r="CI102" s="31">
        <f>IF(AND(ISNUMBER((SnapshotTable[[#This Row],[SP Potential Spend]])), SnapshotTable[[#This Row],[SP Strike Price]] &gt; SnapshotTable[[#This Row],[Last Price]], SnapshotTable[[#This Row],[SP Is Filled]]), SnapshotTable[[#This Row],[SP Potential Spend]] -  SnapshotTable[[#This Row],[LP Max Value]], 0)</f>
        <v>0</v>
      </c>
      <c r="CJ102" s="244"/>
      <c r="CK102" s="31" t="str">
        <f>IF(ISNUMBER(SnapshotTable[[#This Row],[SP Potential Spend]]),IF(ISNUMBER(SnapshotTable[[#This Row],[SP POW]]), SnapshotTable[[#This Row],[SP POW]] * SnapshotTable[[#This Row],[SP Potential Spend]], SnapshotTable[[#This Row],[SP Potential Spend]]), "")</f>
        <v/>
      </c>
      <c r="CL102" s="164" t="e">
        <f>IF(NOT(SnapshotTable[[#This Row],[SP Is Filled]]),(SnapshotTable[[#This Row],[SP Qty]] * SnapshotTable[[#This Row],[SP Strike Price]] * 100) - SnapshotTable[[#This Row],[LP Max Value]],"")</f>
        <v>#VALUE!</v>
      </c>
      <c r="CM102" s="31" t="str">
        <f>IF(SnapshotTable[[#This Row],[SP Actual Spend]]&lt;&gt;0, ((SnapshotTable[[#This Row],[SP Strike Price]]-SnapshotTable[[#This Row],[Last Price]]) *(SnapshotTable[[#This Row],[SP Qty]]*100) - SnapshotTable[[#This Row],[SP Premium]]) * - 1, "")</f>
        <v/>
      </c>
      <c r="CN102" s="218"/>
      <c r="CO102" s="369"/>
      <c r="CP102" s="4" t="str">
        <f>IF(SnapshotTable[[#This Row],[SP Is Filled]], btc_max_buyback_amount(SnapshotTable[[#This Row],[SP Fill Date]],SnapshotTable[[#This Row],[SP Exp Date]], SnapshotTable[[#This Row],[SP Book Price]]),"")</f>
        <v/>
      </c>
      <c r="CQ102" s="78"/>
      <c r="CR10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2" s="155" t="str">
        <f>IF(SnapshotTable[[#This Row],[SP Is Filled]], btc_next_cutoff_date(SnapshotTable[[#This Row],[SP Fill Date]],SnapshotTable[[#This Row],[SP Exp Date]]),"")</f>
        <v/>
      </c>
      <c r="CT102" s="235" t="str" cm="1">
        <f t="array" ref="CT102">IF(SnapshotTable[[#This Row],[SP Is Filled]], btc_should_buy_back(SnapshotTable[[#This Row],[SP Fill Date]], SnapshotTable[[#This Row],[SP Exp Date]], SnapshotTable[[#This Row],[SP Book Price]], SnapshotTable[[#This Row],[SP Current Ask]], MockToday, SnapshotTable[[#This Row],[SP Buyback Override]]),"")</f>
        <v/>
      </c>
      <c r="CU102" s="143"/>
      <c r="CV102" s="235"/>
      <c r="CW102" s="378" t="str">
        <f>IF(ISNUMBER( SnapshotTable[[#This Row],[SP Term]]), SnapshotTable[[#This Row],[SP Exp Date]] - MockToday,"")</f>
        <v/>
      </c>
      <c r="CX102" s="31" t="str">
        <f>IF(SnapshotTable[[#This Row],[SP Is Filled]],SnapshotTable[[#This Row],[SP Buyback Price to Use]] * 100 * SnapshotTable[[#This Row],[SP Qty]], "")</f>
        <v/>
      </c>
      <c r="CY102" s="4" t="str">
        <f>IF(ISNUMBER(SnapshotTable[[#This Row],[SP Strike Price]]), SnapshotTable[[#This Row],[SP Strike Price]] * (1 - SP_MaxLoss_StrikePct), "")</f>
        <v/>
      </c>
      <c r="CZ102" s="31" t="str">
        <f>IF(ISNUMBER(SnapshotTable[[#This Row],[SP Strike  Stop Per Share]]),SnapshotTable[[#This Row],[SP Premium]] - ((SnapshotTable[[#This Row],[SP Strike Price]]-SnapshotTable[[#This Row],[SP Strike  Stop Per Share]]) *(SnapshotTable[[#This Row],[SP Qty]] * 100)),"")</f>
        <v/>
      </c>
      <c r="DA102" s="4" t="str">
        <f>IF(AND(ISNUMBER(SnapshotTable[[#This Row],[SP Premium]]),SnapshotTable[[#This Row],[SP Premium]]&gt;0), SnapshotTable[[#This Row],[SP Book Price]] * (1 + SP_MaxLoss_OptionPct), "")</f>
        <v/>
      </c>
      <c r="DB102" s="31" t="str">
        <f>IF(ISNUMBER(SnapshotTable[[#This Row],[SP Option  Stop Contract]]),(SnapshotTable[[#This Row],[SP Option  Stop Contract]] *(SnapshotTable[[#This Row],[SP Qty]] * 100) - SnapshotTable[[#This Row],[SP Premium]]),"")</f>
        <v/>
      </c>
      <c r="DC102" s="4"/>
      <c r="DD102" s="4"/>
      <c r="DE102" s="4" t="str">
        <f>IF(AND(SnapshotTable[[#This Row],[SP Qty]]&gt;0, SnapshotTable[[#This Row],[SP Stop To Use]]&gt;0),SnapshotTable[[#This Row],[SP Premium]] - ( SnapshotTable[[#This Row],[SP Qty]] * SnapshotTable[[#This Row],[SP Stop To Use]] * 100), "")</f>
        <v/>
      </c>
      <c r="DF102" s="31" t="str">
        <f>IF(AND(SnapshotTable[[#This Row],[SP Qty]]&gt;0,SnapshotTable[[#This Row],[SP Current Ask]]&gt;0), SnapshotTable[[#This Row],[SP Qty]] * SnapshotTable[[#This Row],[SP Current Ask]] * -100, "")</f>
        <v/>
      </c>
      <c r="DG102" s="31" t="str">
        <f>IF(ISNUMBER((SnapshotTable[[#This Row],[SP Total Value]])), SnapshotTable[[#This Row],[SP Premium]] + SnapshotTable[[#This Row],[SP Total Value]], "")</f>
        <v/>
      </c>
      <c r="DH102" s="294" t="str">
        <f>IF(ISNUMBER((SnapshotTable[[#This Row],[SP Total Value]])), SnapshotTable[[#This Row],[SP Gain Loss]] / SnapshotTable[[#This Row],[SP Premium]], "")</f>
        <v/>
      </c>
      <c r="DI102" s="406"/>
      <c r="DJ102" s="138"/>
      <c r="DK102" s="148"/>
      <c r="DL102" s="13"/>
      <c r="DM102" s="13"/>
      <c r="DO102" s="31">
        <f>IF(SnapshotTable[[#This Row],[LC Symbol Count]]=1, SnapshotTable[[#This Row],[LC Qty]] * SnapshotTable[[#This Row],[LC Book Price]] * 100, 0)</f>
        <v>0</v>
      </c>
      <c r="DP102" s="163" t="str">
        <f>IF(AND(SnapshotTable[[#This Row],[LC Exp Date]]&gt;0, SnapshotTable[[#This Row],[LC Strike Price]]&gt;0,SnapshotTable[[#This Row],[LC Qty]]&gt;0,SnapshotTable[[#This Row],[LC Book Date]]&gt;0,SnapshotTable[[#This Row],[LC Book Price]]&gt;0,SnapshotTable[[#This Row],[LC Fill Date]]=0),"Y","")</f>
        <v/>
      </c>
      <c r="DQ102" s="386" t="str">
        <f>IF(SnapshotTable[[#This Row],[LC Premium]] &gt; 0,SnapshotTable[[#This Row],[LC Exp Date]]-MAX(SnapshotTable[[#This Row],[LC Book Date]], SnapshotTable[[#This Row],[LC Fill Date]]),"")</f>
        <v/>
      </c>
      <c r="DR102" s="386" t="str">
        <f>IF(ISNUMBER(SnapshotTable[[#This Row],[LC Term]]), SnapshotTable[[#This Row],[LC Exp Date]] - MockToday, "")</f>
        <v/>
      </c>
      <c r="DS102" s="234" t="str">
        <f>IF(SnapshotTable[[#This Row],[LC Premium]]&gt;0,SnapshotTable[[#This Row],[LC Strike Price]] + SnapshotTable[[#This Row],[LC Book Price]],"")</f>
        <v/>
      </c>
      <c r="DT102" s="5">
        <v>0</v>
      </c>
      <c r="DU102" s="9" t="str">
        <f>IF(AND(SnapshotTable[[#This Row],[LC Symbol Count]]&gt;0, SnapshotTable[[#This Row],[LC Contract Value]]&gt;0), SnapshotTable[[#This Row],[LC Contract Value]] * SnapshotTable[[#This Row],[LC Qty]] * 100, "")</f>
        <v/>
      </c>
      <c r="DV102" s="9" t="str">
        <f>IF(AND(ISNUMBER(SnapshotTable[[#This Row],[LC Total Value]]), SnapshotTable[[#This Row],[LC Not Filled]]&lt;&gt;"Y"), SnapshotTable[[#This Row],[LC Total Value]]-SnapshotTable[[#This Row],[LC Premium]],"")</f>
        <v/>
      </c>
      <c r="DW102" s="240" t="str">
        <f>IF(ISNUMBER(SnapshotTable[[#This Row],[LC Actual Gain Loss]]), SnapshotTable[[#This Row],[LC Actual Gain Loss]] / SnapshotTable[[#This Row],[LC Premium]],"")</f>
        <v/>
      </c>
      <c r="DX102" s="284" t="str">
        <f>IF(ISNUMBER(SnapshotTable[[#This Row],[LC Book Price]]),SnapshotTable[[#This Row],[LC Book Price]] * 1.5,"")</f>
        <v/>
      </c>
      <c r="DY102" s="265" t="str">
        <f>IF(SnapshotTable[[#This Row],[LC Premium]]&gt;0, SnapshotTable[[#This Row],[LC Next Target]] * SnapshotTable[[#This Row],[LC Qty]] * 100,"")</f>
        <v/>
      </c>
      <c r="DZ102" s="265" t="str">
        <f>IF(ISNUMBER(SnapshotTable[[#This Row],[LC Target Gross]]), SnapshotTable[[#This Row],[LC Target Gross]] - SnapshotTable[[#This Row],[LC Premium]], "")</f>
        <v/>
      </c>
      <c r="EA102" s="305" t="str">
        <f>IF(ISNUMBER(SnapshotTable[[#This Row],[LC Target Gain Loss]]), SnapshotTable[[#This Row],[LC Target Gain Loss]]/SnapshotTable[[#This Row],[LC Premium]], "")</f>
        <v/>
      </c>
      <c r="EB102" s="262"/>
      <c r="EC102" s="283" t="str">
        <f>IF(SnapshotTable[[#This Row],[LC Premium]]&gt;0, SnapshotTable[[#This Row],[LC Book Price]] * (1 - LC_StopLoss_Pct),"")</f>
        <v/>
      </c>
      <c r="ED102" s="284"/>
      <c r="EE102" s="283" t="str">
        <f>IF(ISNUMBER(SnapshotTable[[#This Row],[LC Contract Value]]),IF(ISNUMBER(SnapshotTable[[#This Row],[LC Stop Loss Override]]), SnapshotTable[[#This Row],[LC Stop Loss Override]],SnapshotTable[[#This Row],[LC Stop Loss Calc Target]]),"")</f>
        <v/>
      </c>
      <c r="EF102" s="31" t="str">
        <f>IF(ISNUMBER(SnapshotTable[[#This Row],[LC Stop  To Use]]), (SnapshotTable[[#This Row],[LC Stop  To Use]] * SnapshotTable[[#This Row],[LC Qty]] * 100),"")</f>
        <v/>
      </c>
      <c r="EG102" s="9" t="str">
        <f>IF(ISNUMBER(SnapshotTable[[#This Row],[LC Total Value]]),SnapshotTable[[#This Row],[LC Stop Loss Amount]] - SnapshotTable[[#This Row],[LC Premium]],"")</f>
        <v/>
      </c>
      <c r="EH102" s="9">
        <f>IF(ISNUMBER(SnapshotTable[[#This Row],[LC Premium]]), SnapshotTable[[#This Row],[LC Qty]] * 100 * SnapshotTable[[#This Row],[LC Strike Price]], "")</f>
        <v>0</v>
      </c>
      <c r="EI102" s="240" t="str">
        <f>IF(AND(ISNUMBER(SnapshotTable[[#This Row],[LC Total Value]]),SnapshotTable[[#This Row],[LC Total Value]]&gt;0),SnapshotTable[[#This Row],[LC Stop Gain Loss]]  / SnapshotTable[[#This Row],[LC Premium]],"")</f>
        <v/>
      </c>
      <c r="EJ102" s="35">
        <f>IF(ISNUMBER(SnapshotTable[[#This Row],[Equity Shares]]),TRUNC(SnapshotTable[[#This Row],[Equity Shares]] / 100),0) + SnapshotTable[[#This Row],[LC Qty]]</f>
        <v>0</v>
      </c>
      <c r="EK102" s="147"/>
      <c r="EL102" s="138" t="str">
        <f>IF(SnapshotTable[[#This Row],[SC Exp Date]]&lt;&gt;"",TRUNC(SnapshotTable[[#This Row],[Last Price]]),"")</f>
        <v/>
      </c>
      <c r="EM102" s="148"/>
      <c r="EN102" s="147"/>
      <c r="EO102" s="147"/>
      <c r="EP102" s="138"/>
      <c r="EQ102" s="419" t="b">
        <f>AND(ISNUMBER(SnapshotTable[[#This Row],[SC Exp Date]]), ISNUMBER(SnapshotTable[[#This Row],[SC Strike Price]]), ISNUMBER(SnapshotTable[[#This Row],[SC Qty]]), ISNUMBER(SnapshotTable[[#This Row],[SC Book Date]]), ISNUMBER(SnapshotTable[[#This Row],[SC Book Price]]))</f>
        <v>0</v>
      </c>
      <c r="ER102" s="419" t="b">
        <f>AND(SnapshotTable[[#This Row],[SC Is Booked]], NOT(ISBLANK(SnapshotTable[[#This Row],[SC Fill Date]])))</f>
        <v>0</v>
      </c>
      <c r="ES102" s="370"/>
      <c r="ET102" s="34" t="str">
        <f>IF(AND(ISNUMBER(SnapshotTable[[#This Row],[SC Exp Date]]), ISNUMBER(SnapshotTable[[#This Row],[SC Book Date]])), SnapshotTable[[#This Row],[SC Exp Date]] - MAX(SnapshotTable[[#This Row],[SC Book Date]], SnapshotTable[[#This Row],[SC Fill Date]]) + 1, "")</f>
        <v/>
      </c>
      <c r="EU102" s="34" t="str">
        <f>IF(ISNUMBER(SnapshotTable[[#This Row],[SC Term]]), SnapshotTable[[#This Row],[SC Exp Date]]- MockToday, "")</f>
        <v/>
      </c>
      <c r="EV102" s="31">
        <f>IF(SnapshotTable[[#This Row],[SC Is Booked]], SnapshotTable[[#This Row],[SC Qty]] * SnapshotTable[[#This Row],[SC Book Price]] * 100, 0)</f>
        <v>0</v>
      </c>
      <c r="EW102" s="4" t="str">
        <f>IF(AND(ISNUMBER(SnapshotTable[[#This Row],[Last Price]]), ISNUMBER( SnapshotTable[[#This Row],[SC Book Price]])), SnapshotTable[[#This Row],[Last Price]] - SnapshotTable[[#This Row],[SC Book Price]],"")</f>
        <v/>
      </c>
      <c r="EX102" s="234" t="str">
        <f>IF(SnapshotTable[[#This Row],[SC Is Booked]],IF(SnapshotTable[[#This Row],[SC Intrinsic Value]] &gt; 0, SnapshotTable[[#This Row],[SC Strike Price]], SnapshotTable[[#This Row],[Last Price]]), "")</f>
        <v/>
      </c>
      <c r="EY102" s="4">
        <f>IF(SnapshotTable[[#This Row],[SC Is Booked]], (MinimumPremiumRequired * SnapshotTable[[#This Row],[SC Basis]] * SnapshotTable[[#This Row],[SC Term]]), 0)</f>
        <v>0</v>
      </c>
      <c r="EZ102" s="283"/>
      <c r="FA102" s="218"/>
      <c r="FB102" s="370"/>
      <c r="FC102" s="4">
        <f>IF(SnapshotTable[[#This Row],[SC Is Filled]], btc_max_buyback_amount(SnapshotTable[[#This Row],[SC Fill Date]],SnapshotTable[[#This Row],[SC Exp Date]], SnapshotTable[[#This Row],[SC Book Price]]),0)</f>
        <v>0</v>
      </c>
      <c r="FD102" s="5"/>
      <c r="FE102" s="144" t="str">
        <f>IF(SnapshotTable[[#This Row],[SC Is Filled]], btc_next_cutoff_date(SnapshotTable[[#This Row],[SC Fill Date]],SnapshotTable[[#This Row],[SC Exp Date]]),"")</f>
        <v/>
      </c>
      <c r="FF102" s="4" t="str" cm="1">
        <f t="array" ref="FF102">IF(SnapshotTable[[#This Row],[SC Is Filled]], btc_should_buy_back(SnapshotTable[[#This Row],[SC Fill Date]], SnapshotTable[[#This Row],[SC Exp Date]], SnapshotTable[[#This Row],[SC Book Price]], SnapshotTable[[#This Row],[SC Current Ask]], MockToday, SnapshotTable[[#This Row],[SC Buyback Override]]),"")</f>
        <v/>
      </c>
      <c r="FG102" s="4">
        <f>IF(SnapshotTable[[#This Row],[SC Is Filled]], MAX(0,SnapshotTable[[#This Row],[Last Price]]  - SnapshotTable[[#This Row],[SC Strike Price]]), 0)</f>
        <v>0</v>
      </c>
      <c r="FH102" s="382">
        <f>IF(SnapshotTable[[#This Row],[SC Is Filled]], IF(ISNUMBER(SnapshotTable[[#This Row],[SC Current Ask]]), SnapshotTable[[#This Row],[SC Current Ask]], SnapshotTable[[#This Row],[SC Book Price]]) - SnapshotTable[[#This Row],[SC Intrinsic Value]], 0)</f>
        <v>0</v>
      </c>
      <c r="FI102" s="143"/>
      <c r="FJ102" s="32" t="str">
        <f>IF(SnapshotTable[[#This Row],[SC Is Filled]],100 * SnapshotTable[[#This Row],[SC Qty]] * IF(ISNUMBER(SnapshotTable[[#This Row],[SC Buyback Override]]), SnapshotTable[[#This Row],[SC Buyback Override]], SnapshotTable[[#This Row],[SC Current Ask]]), "")</f>
        <v/>
      </c>
      <c r="FK102" s="250" t="str">
        <f>IF(SnapshotTable[[#This Row],[SC Time Val]]&gt;0, SnapshotTable[[#This Row],[SC Time Val]] / SnapshotTable[[#This Row],[Last Price]],"")</f>
        <v/>
      </c>
      <c r="FL102" s="302" t="str">
        <f>IF(SnapshotTable[[#This Row],[SC Is Booked]], ((SnapshotTable[[#This Row],[Last Price]] -SnapshotTable[[#This Row],[SC Strike Price]]) / SnapshotTable[[#This Row],[Last Price]]) * -1, "")</f>
        <v/>
      </c>
      <c r="FM102" s="157" t="str">
        <f>IF(SnapshotTable[[#This Row],[SC Is Booked]],  (SnapshotTable[[#This Row],[SC Qty]] * 100 * SnapshotTable[[#This Row],[SC Strike Price]]) - SnapshotTable[[#This Row],[SC Current Ask]], "")</f>
        <v/>
      </c>
      <c r="FN10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2" s="31" t="str">
        <f>IF(AND(ISNUMBER(SnapshotTable[[#This Row],[SC Exercise Gross]]), ISNUMBER(SnapshotTable[[#This Row],[Equity Basis Per Share]] )), SnapshotTable[[#This Row],[SC Exercise Gross]] - SnapshotTable[[#This Row],[Equity Basis Total]] +  SnapshotTable[[#This Row],[SC Premium]], "")</f>
        <v/>
      </c>
      <c r="FP102" s="5" t="str">
        <f>IF(ISNUMBER(SnapshotTable[[#This Row],[SC Exercise Gross]]), (SnapshotTable[[#This Row],[SC Exercise Gross]]) / (SnapshotTable[[#This Row],[SC Qty]] * 100), "")</f>
        <v/>
      </c>
      <c r="FQ102" s="27" t="str">
        <f>IF(SnapshotTable[[#This Row],[SC Is Booked]],SnapshotTable[[#This Row],[SC Time Val]] /SnapshotTable[[#This Row],[SC Basis]], "")</f>
        <v/>
      </c>
      <c r="FR102" s="27" t="str" cm="1">
        <f t="array" ref="FR102">IF(AND(ISNUMBER(SnapshotTable[[#This Row],[SC Term]]),ISNUMBER(SnapshotTable[[#This Row],[SC Simple ROO]])), EllmanAnnualize(SnapshotTable[[#This Row],[SC DTE]], SnapshotTable[[#This Row],[SC Simple ROO]] ),"")</f>
        <v/>
      </c>
      <c r="FS102" s="4" t="e">
        <f>IF(SnapshotTable[[#This Row],[SC Strike Price]] &gt; SnapshotTable[[#This Row],[Last Price]], SnapshotTable[[#This Row],[SC Strike Price]] - SnapshotTable[[#This Row],[Last Price]],0)</f>
        <v>#VALUE!</v>
      </c>
      <c r="FT102" s="27" t="e">
        <f>IF(AND(ISNUMBER(SnapshotTable[[#This Row],[SC Upside Potential]]), SnapshotTable[[#This Row],[SC Upside Potential]] &gt; 0),(SnapshotTable[[#This Row],[SC Upside Potential]]/ SnapshotTable[[#This Row],[ACB]]),"")</f>
        <v>#VALUE!</v>
      </c>
      <c r="FU102" s="333" t="str">
        <f>IF(SnapshotTable[[#This Row],[SC Intrinsic Value]] &gt; 0,SnapshotTable[[#This Row],[SC Intrinsic Value]],"")</f>
        <v/>
      </c>
      <c r="FV102" s="27" t="str">
        <f>IF(AND( ISNUMBER( SnapshotTable[[#This Row],[ACB]]),ISNUMBER(SnapshotTable[[#This Row],[SC Downside Protect]])),SnapshotTable[[#This Row],[SC Downside Protect]] / SnapshotTable[[#This Row],[ACB]],"")</f>
        <v/>
      </c>
      <c r="FW102" s="236" t="str">
        <f>IF(AND(ISNUMBER(SnapshotTable[[#This Row],[SC Simple ROO]]),SnapshotTable[[#This Row],[SC Simple ROO]] &gt; 0), SnapshotTable[[#This Row],[SC Premium]] + (SnapshotTable[[#This Row],[SC Qty]] * SnapshotTable[[#This Row],[SC Upside Potential]]), "")</f>
        <v/>
      </c>
      <c r="FX102" s="302" t="str" cm="1">
        <f t="array" ref="FX102">IF(ISNUMBER(SnapshotTable[[#This Row],[SC Max Dollars]]), annualize(SnapshotTable[[#This Row],[SC Term]],(SnapshotTable[[#This Row],[SC Max Dollars]]/SnapshotTable[[#This Row],[SC Basis]])),"")</f>
        <v/>
      </c>
      <c r="FY102" s="236" t="str">
        <f>IF(AND(SnapshotTable[[#This Row],[SC Qty]]&gt;0,SnapshotTable[[#This Row],[SC Current Ask]]&gt;0), SnapshotTable[[#This Row],[SC Qty]] * SnapshotTable[[#This Row],[SC Current Ask]] * -100, "")</f>
        <v/>
      </c>
      <c r="FZ102" s="31" t="str">
        <f>IF(ISNUMBER((SnapshotTable[[#This Row],[SC Current Value]])), SnapshotTable[[#This Row],[SC Premium]] + SnapshotTable[[#This Row],[SC Current Value]], "")</f>
        <v/>
      </c>
      <c r="GA102" s="294" t="str">
        <f>IFERROR( IF(ISNUMBER((SnapshotTable[[#This Row],[SC Current Value]])), SnapshotTable[[#This Row],[SC Gain Loss]] / SnapshotTable[[#This Row],[SC Premium]], ""), "")</f>
        <v/>
      </c>
      <c r="GB102" s="42">
        <f>SnapshotTable[[#This Row],[Equity Shares]] * SaleSharesToConsiderPercentage</f>
        <v>0</v>
      </c>
      <c r="GC102" s="40">
        <f>SnapshotTable[[#This Row],[Long Term Target]] * SellingPriceToConsiderBasedOnTargetPercentage</f>
        <v>144.36199999999999</v>
      </c>
      <c r="GD102" s="40">
        <f>SnapshotTable[[#This Row],[Last Price]] * (1+ SellingPriceToConsiderBasedOnTargetPercentage)</f>
        <v>264.51749999999998</v>
      </c>
      <c r="GE102" s="41"/>
      <c r="GF102" s="40"/>
      <c r="GG102" s="31">
        <f>SnapshotTable[[#This Row],[Booked Sale Shares]] * SnapshotTable[[#This Row],[Booked Sale Price]]</f>
        <v>0</v>
      </c>
      <c r="GH102" s="31" t="str">
        <f>IF(SnapshotTable[[#This Row],[Equity Basis Total]] &gt; 0, SnapshotTable[[#This Row],[Equity Basis Per Share]] * SnapshotTable[[#This Row],[Booked Sale Shares]], "")</f>
        <v/>
      </c>
      <c r="GI102" s="31">
        <f>IF(SnapshotTable[[#This Row],[Sale Proceeds]]&gt;0, SnapshotTable[[#This Row],[Sale Proceeds]] - SnapshotTable[[#This Row],[Sale Basis]], 0)</f>
        <v>0</v>
      </c>
      <c r="GJ102" s="27" t="str">
        <f>IF(SnapshotTable[[#This Row],[Sale G/L]]&gt;0, SnapshotTable[[#This Row],[Sale G/L]] / SnapshotTable[[#This Row],[Sale Basis]], IF(ISNUMBER(SnapshotTable[[#This Row],[SC Exercise P&amp;L (TAX)]]), SnapshotTable[[#This Row],[SC Exercise P&amp;L (TAX)]] / SnapshotTable[[#This Row],[SC Basis]], ""))</f>
        <v/>
      </c>
      <c r="GK102" s="27" t="s">
        <v>632</v>
      </c>
      <c r="GL102" s="43" t="str">
        <f>IF(AND(SnapshotTable[[#This Row],[LP Exp Date]]&gt;0,SnapshotTable[[#This Row],[LP Strike Price]]&gt;0), [1]!ToOptionSymbol(SnapshotTable[[#This Row],[Symbol]], SnapshotTable[[#This Row],[LP Strike Price]],SnapshotTable[[#This Row],[LP Exp Date]],1), "")</f>
        <v/>
      </c>
      <c r="GM102" s="30" t="str">
        <f>IF(LEN(SnapshotTable[[#This Row],[LP Symbol]])&gt;0, 1, "")</f>
        <v/>
      </c>
      <c r="GN102" s="43" t="str">
        <f>IF(AND(SnapshotTable[[#This Row],[SP Exp Date]]&gt;0,SnapshotTable[[#This Row],[SP Strike Price]]&gt;0), [1]!ToOptionSymbol(SnapshotTable[[#This Row],[Symbol]], SnapshotTable[[#This Row],[SP Strike Price]],SnapshotTable[[#This Row],[SP Exp Date]],1), "")</f>
        <v/>
      </c>
      <c r="GO102" s="30" t="str">
        <f>IF(LEN(SnapshotTable[[#This Row],[SP Symbol]])&gt;0, 1, "")</f>
        <v/>
      </c>
      <c r="GP102" s="43" t="str">
        <f>IF(AND(SnapshotTable[[#This Row],[LC Exp Date]]&gt;0,SnapshotTable[[#This Row],[LC Strike Price]]&gt;0), [1]!ToOptionSymbol(SnapshotTable[[#This Row],[Symbol]], SnapshotTable[[#This Row],[LC Strike Price]],SnapshotTable[[#This Row],[LC Exp Date]],0), "")</f>
        <v/>
      </c>
      <c r="GQ102" s="30" t="str">
        <f>IF(LEN(SnapshotTable[[#This Row],[LC Symbol]])&gt;0, 1, "")</f>
        <v/>
      </c>
      <c r="GR102" s="43" t="str">
        <f>IF(AND(SnapshotTable[[#This Row],[SC Exp Date]]&gt;0,SnapshotTable[[#This Row],[SC Strike Price]]&gt;0), [1]!ToOptionSymbol(SnapshotTable[[#This Row],[Symbol]], SnapshotTable[[#This Row],[SC Strike Price]],SnapshotTable[[#This Row],[SC Exp Date]],0), "")</f>
        <v/>
      </c>
      <c r="GS102" s="30" t="str">
        <f>IF(LEN(SnapshotTable[[#This Row],[SC Symbol]])&gt;0, 1, "")</f>
        <v/>
      </c>
      <c r="GT102" s="29" t="str">
        <f>IF(COUNT(SnapshotTable[[#This Row],[LP Symbol Count]],SnapshotTable[[#This Row],[SP Symbol Count]],SnapshotTable[[#This Row],[LC Symbol Count]],SnapshotTable[[#This Row],[SC Symbol Count]])&gt;0, "Y", "")</f>
        <v/>
      </c>
      <c r="GU10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2" s="231" t="e">
        <f>MAX(SnapshotTable[[#This Row],[Equity Basis Total]],SnapshotTable[[#This Row],[Equity Value]]) + (SnapshotTable[[#This Row],[SP Potential Spend]]- SnapshotTable[[#This Row],[SP Premium]] + SnapshotTable[[#This Row],[LP Premium]])+ (SnapshotTable[[#This Row],[LC Premium]] - SnapshotTable[[#This Row],[SC Premium]])</f>
        <v>#VALUE!</v>
      </c>
      <c r="GW102" s="139" t="e">
        <f>IF(AND(SnapshotTable[[#This Row],[Exposure]] &lt;&gt; 0),SnapshotTable[[#This Row],[Exposure]] / SnapshotTable[[#Totals],[Exposure]], "")</f>
        <v>#VALUE!</v>
      </c>
      <c r="HE102" s="268"/>
      <c r="HF102" s="268"/>
      <c r="HK102" s="1"/>
      <c r="HL102" s="1"/>
      <c r="HM102" s="1"/>
      <c r="HN102" s="1"/>
      <c r="HO102" s="1"/>
      <c r="HP102" s="1"/>
    </row>
    <row r="103" spans="2:224" ht="12.75" hidden="1" customHeight="1" x14ac:dyDescent="0.25">
      <c r="B103" s="12" t="s">
        <v>505</v>
      </c>
      <c r="C103" s="422">
        <v>2.78</v>
      </c>
      <c r="D103" s="208" t="s">
        <v>578</v>
      </c>
      <c r="E103" s="39">
        <f>SnapshotTable[[#This Row],[Last Price]]*(1 -CrashDiscount)</f>
        <v>2.363</v>
      </c>
      <c r="F103" s="26" t="s">
        <v>223</v>
      </c>
      <c r="G103" s="26" t="s">
        <v>49</v>
      </c>
      <c r="H103" s="149"/>
      <c r="I103" s="194">
        <v>44782.3125</v>
      </c>
      <c r="J103" s="195">
        <v>44782.3125</v>
      </c>
      <c r="K103" s="196"/>
      <c r="L103" s="326"/>
      <c r="M103" s="140"/>
      <c r="N103" s="140"/>
      <c r="O103" s="140"/>
      <c r="P103" s="22"/>
      <c r="Q103" s="25"/>
      <c r="R103" s="4" t="str">
        <f>IF(SnapshotTable[[#This Row],[Equity Basis Total]] &gt; 0, SnapshotTable[[#This Row],[Equity Basis Total]] / SnapshotTable[[#This Row],[Equity Shares]], "")</f>
        <v/>
      </c>
      <c r="S103" s="269">
        <f>SnapshotTable[[#This Row],[Last Price]] * SnapshotTable[[#This Row],[Equity Shares]]</f>
        <v>0</v>
      </c>
      <c r="T103" s="269">
        <f>SnapshotTable[[#This Row],[Equity Value]] - SnapshotTable[[#This Row],[Equity Basis Total]]</f>
        <v>0</v>
      </c>
      <c r="U103" s="270" t="str">
        <f>IF(SnapshotTable[[#This Row],[Equity Basis Total]] &gt; 0, SnapshotTable[[#This Row],[Equity G/L]] / SnapshotTable[[#This Row],[Equity Basis Total]], "")</f>
        <v/>
      </c>
      <c r="V103" s="268"/>
      <c r="W103" s="268"/>
      <c r="X103" s="4" t="str">
        <f>IF(AND(ISNUMBER(SnapshotTable[[#This Row],[Equity Basis Per Share]]),ISNUMBER(SnapshotTable[[#This Row],[Equity Target]])),SnapshotTable[[#This Row],[Equity Target]]-SnapshotTable[[#This Row],[Equity Basis Per Share]],"")</f>
        <v/>
      </c>
      <c r="Y103" s="4" t="str">
        <f>IF(AND(ISNUMBER(SnapshotTable[[#This Row],[Equity Basis Per Share]]),ISNUMBER(SnapshotTable[[#This Row],[Equity Stop Loss]])),SnapshotTable[[#This Row],[Equity Stop Loss]]-SnapshotTable[[#This Row],[Equity Basis Per Share]],"")</f>
        <v/>
      </c>
      <c r="Z103" s="275" t="str">
        <f>IFERROR( TEXT(SnapshotTable[[#This Row],[Equity Max Gain Per Share]] /ABS( SnapshotTable[[#This Row],[Equity Max Loss Per Share]]),"0.0 " ) &amp; " : 1", "")</f>
        <v/>
      </c>
      <c r="AA103" s="31" t="str">
        <f>IF(ISNUMBER(SnapshotTable[[#This Row],[Equity Max Gain Per Share]]),SnapshotTable[[#This Row],[Equity Max Gain Per Share]] * SnapshotTable[[#This Row],[Equity Shares]],"")</f>
        <v/>
      </c>
      <c r="AB103" s="31" t="str">
        <f>IF(ISNUMBER(SnapshotTable[[#This Row],[Equity Max Loss Per Share]]),SnapshotTable[[#This Row],[Equity Max Loss Per Share]] * SnapshotTable[[#This Row],[Equity Shares]],"")</f>
        <v/>
      </c>
      <c r="AC103" s="150"/>
      <c r="AD103" s="151"/>
      <c r="AE103" s="31">
        <f>(SnapshotTable[[#This Row],[Annual Dividend Per Share]] / 4) * SnapshotTable[[#This Row],[Equity Shares]]</f>
        <v>0</v>
      </c>
      <c r="AF103" s="31">
        <f>SnapshotTable[[#This Row],[Quarterly Div $]] * 4</f>
        <v>0</v>
      </c>
      <c r="AG103" s="7">
        <f>IF(SnapshotTable[[#This Row],[Annual Dividend Per Share]]&gt;0, SnapshotTable[[#This Row],[Annual Dividend Per Share]]  / SnapshotTable[[#This Row],[Last Price]], 0)</f>
        <v>0</v>
      </c>
      <c r="AH103" s="151"/>
      <c r="AI103" s="5"/>
      <c r="AJ103" s="138" t="s">
        <v>164</v>
      </c>
      <c r="AK103" s="152" t="str">
        <f>IF(ISNUMBER( SnapshotTable[[#This Row],[EBF Target]]),(SnapshotTable[[#This Row],[EBF Target]] - SnapshotTable[[#This Row],[Last Price]]) / SnapshotTable[[#This Row],[Last Price]], "")</f>
        <v/>
      </c>
      <c r="AL103" s="152" t="str">
        <f>IF(AND(SnapshotTable[[#This Row],[Equity Basis Total]] &gt; 0,ISNUMBER( SnapshotTable[[#This Row],[Long Term Target]])), SnapshotTable[[#This Row],[From Basis $]] / SnapshotTable[[#This Row],[Equity Basis Total]], "")</f>
        <v/>
      </c>
      <c r="AM103" s="9">
        <f>IF( AND(SnapshotTable[[#This Row],[Equity Shares]] &gt;0,ISNUMBER( SnapshotTable[[#This Row],[Long Term Target]])),(SnapshotTable[[#This Row],[Equity Shares]] * SnapshotTable[[#This Row],[Long Term Target]]) - SnapshotTable[[#This Row],[Equity Basis Total]],0)</f>
        <v>0</v>
      </c>
      <c r="AN103" s="9">
        <f>IF( AND(SnapshotTable[[#This Row],[Equity Shares]] &gt;0,ISNUMBER( SnapshotTable[[#This Row],[Long Term Target]])),(SnapshotTable[[#This Row],[Equity Shares]]*SnapshotTable[[#This Row],[Long Term Target]]) - SnapshotTable[[#This Row],[Equity Value]],0)</f>
        <v>0</v>
      </c>
      <c r="AO103" s="152" t="str">
        <f>IF(AND(ISNUMBER( SnapshotTable[[#This Row],[Long Term Target]]), ISNUMBER(SnapshotTable[[#This Row],[Last Price]])),(SnapshotTable[[#This Row],[Long Term Target]] - SnapshotTable[[#This Row],[Last Price]]) / SnapshotTable[[#This Row],[Last Price]], "")</f>
        <v/>
      </c>
      <c r="AP103" s="5"/>
      <c r="AQ103" s="38"/>
      <c r="AR103" s="5"/>
      <c r="AS103" s="38"/>
      <c r="AT103" s="146"/>
      <c r="AU103" s="187" t="str">
        <f>IF(OR(SnapshotTable[[#This Row],[LP No Fill]]="Y",SnapshotTable[[#This Row],[SP Is Filled]],SnapshotTable[[#This Row],[LC Not Filled]]="Y",SnapshotTable[[#This Row],[SC Is Filled]]),"Y","")</f>
        <v/>
      </c>
      <c r="AV103" s="219"/>
      <c r="AW103" s="225"/>
      <c r="AX103" s="220"/>
      <c r="AY103" s="219" t="str">
        <f>IF(SnapshotTable[[#This Row],[Implied Move]]&gt;0, SnapshotTable[[#This Row],[Last Price]]-SnapshotTable[[#This Row],[Implied Move]],"")</f>
        <v/>
      </c>
      <c r="AZ103" s="219" t="str">
        <f>IF(SnapshotTable[[#This Row],[Implied Move]]&gt;0, SnapshotTable[[#This Row],[Last Price]] + SnapshotTable[[#This Row],[Implied Move]],"")</f>
        <v/>
      </c>
      <c r="BA103" s="331"/>
      <c r="BB103" s="347"/>
      <c r="BC10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3" s="351"/>
      <c r="BE103" s="5"/>
      <c r="BF103" s="14"/>
      <c r="BG103" s="13"/>
      <c r="BH103" s="13"/>
      <c r="BI103" s="5"/>
      <c r="BJ103" s="136">
        <f>IF(SnapshotTable[[#This Row],[LP Qty]] &gt; 0, SnapshotTable[[#This Row],[LP Qty]] * SnapshotTable[[#This Row],[LP Book Price]] * 100,0)</f>
        <v>0</v>
      </c>
      <c r="BK103" s="136">
        <f>IF(SnapshotTable[[#This Row],[LP Premium]] &gt; 0, SnapshotTable[[#This Row],[LP Qty]] * SnapshotTable[[#This Row],[LP Strike Price]] * 100,0)</f>
        <v>0</v>
      </c>
      <c r="BL103" s="154"/>
      <c r="BM103" s="385" t="str">
        <f>IF(SnapshotTable[[#This Row],[LP Premium]] &gt; 0,SnapshotTable[[#This Row],[LP Exp Date]]-MAX(SnapshotTable[[#This Row],[LP Book Date]], SnapshotTable[[#This Row],[LP Fill Date]]),"")</f>
        <v/>
      </c>
      <c r="BN103" s="385" t="str">
        <f>IF(ISNUMBER( SnapshotTable[[#This Row],[LP Term]]), SnapshotTable[[#This Row],[LP Exp Date]] - MockToday,"")</f>
        <v/>
      </c>
      <c r="BO103" s="163" t="str">
        <f>IF(AND(SnapshotTable[[#This Row],[LP Exp Date]]&gt;0, SnapshotTable[[#This Row],[LP Strike Price]]&gt;0,SnapshotTable[[#This Row],[LP Qty]]&gt;0,SnapshotTable[[#This Row],[LP Book Date]]&gt;0,SnapshotTable[[#This Row],[LP Book Price]]&gt;0,SnapshotTable[[#This Row],[LP Fill Date]]=0),"Y","")</f>
        <v/>
      </c>
      <c r="BP103" s="31" t="str">
        <f>IF(AND(SnapshotTable[[#This Row],[LP No Fill]]&lt;&gt;"Y",SnapshotTable[[#This Row],[LP Contract Value]]&gt;0, SnapshotTable[[#This Row],[LP Qty]]&gt;0), SnapshotTable[[#This Row],[LP Contract Value]]*SnapshotTable[[#This Row],[LP Qty]]*100,"")</f>
        <v/>
      </c>
      <c r="BQ103" s="13"/>
      <c r="BR103" s="5" t="str">
        <f>IF(SnapshotTable[[#This Row],[SP Exp Date]]&lt;&gt;"",TRUNC(SnapshotTable[[#This Row],[Last Price]]),"")</f>
        <v/>
      </c>
      <c r="BS103" s="36"/>
      <c r="BT103" s="147"/>
      <c r="BU103" s="13"/>
      <c r="BV103" s="5"/>
      <c r="BW103" s="419" t="b">
        <f>AND(ISNUMBER(SnapshotTable[[#This Row],[SP Exp Date]]), ISNUMBER(SnapshotTable[[#This Row],[SP Strike Price]]), ISNUMBER(SnapshotTable[[#This Row],[SP Qty]]), ISNUMBER(SnapshotTable[[#This Row],[SP Book Date]]), ISNUMBER(SnapshotTable[[#This Row],[SP Book Price]]))</f>
        <v>0</v>
      </c>
      <c r="BX103" s="419" t="b">
        <f>AND(SnapshotTable[[#This Row],[SP Is Booked]], NOT(ISBLANK(SnapshotTable[[#This Row],[SP Fill Date]])))</f>
        <v>0</v>
      </c>
      <c r="BY103" s="33">
        <f>IF(SnapshotTable[[#This Row],[SP Is Booked]], SnapshotTable[[#This Row],[SP Qty]] * SnapshotTable[[#This Row],[SP Book Price]] * 100, 0)</f>
        <v>0</v>
      </c>
      <c r="BZ103" s="369"/>
      <c r="CA103" s="368">
        <f>SnapshotTable[[#This Row],[LP Qty]]</f>
        <v>0</v>
      </c>
      <c r="CB103" s="4" t="str">
        <f>IF(SnapshotTable[[#This Row],[SP Is Booked]], SnapshotTable[[#This Row],[SP Strike Price]] - SnapshotTable[[#This Row],[SP Book Price]], "")</f>
        <v/>
      </c>
      <c r="CC103" s="19" t="str">
        <f>IF(SnapshotTable[[#This Row],[SP Is Booked]],SnapshotTable[[#This Row],[SP Exp Date]]-MAX(SnapshotTable[[#This Row],[SP Book Date]], SnapshotTable[[#This Row],[SP Fill Date]]),"")</f>
        <v/>
      </c>
      <c r="CD103" s="7" t="str">
        <f>IF(SnapshotTable[[#This Row],[SP Is Booked]], SnapshotTable[[#This Row],[SP Book Price]]/SnapshotTable[[#This Row],[SP Strike Price]], "")</f>
        <v/>
      </c>
      <c r="CE103" s="7" t="str">
        <f>IF(ISNUMBER(SnapshotTable[[#This Row],[SP ROO Term]]),SnapshotTable[[#This Row],[SP ROO Term]]*(365/SnapshotTable[[#This Row],[SP Term]]),"")</f>
        <v/>
      </c>
      <c r="CF103" s="236">
        <f>SnapshotTable[[#This Row],[LP Strike Price]] * SnapshotTable[[#This Row],[LP Qty]] * 100</f>
        <v>0</v>
      </c>
      <c r="CG103" s="31" t="e">
        <f>IF(ISNUMBER(SnapshotTable[[#This Row],[SP Premium]]), (SnapshotTable[[#This Row],[SP Qty]] * SnapshotTable[[#This Row],[SP Strike Price]]* 100) - SnapshotTable[[#This Row],[LP Protection]], 0)</f>
        <v>#VALUE!</v>
      </c>
      <c r="CH103" s="7" t="str">
        <f>IF(ISNUMBER(SnapshotTable[[#This Row],[SP Break Even]]),-1 * (SnapshotTable[[#This Row],[SP Break Even]] - SnapshotTable[[#This Row],[Last Price]]) / SnapshotTable[[#This Row],[Last Price]], "")</f>
        <v/>
      </c>
      <c r="CI103" s="31">
        <f>IF(AND(ISNUMBER((SnapshotTable[[#This Row],[SP Potential Spend]])), SnapshotTable[[#This Row],[SP Strike Price]] &gt; SnapshotTable[[#This Row],[Last Price]], SnapshotTable[[#This Row],[SP Is Filled]]), SnapshotTable[[#This Row],[SP Potential Spend]] -  SnapshotTable[[#This Row],[LP Max Value]], 0)</f>
        <v>0</v>
      </c>
      <c r="CJ103" s="244"/>
      <c r="CK103" s="31" t="str">
        <f>IF(ISNUMBER(SnapshotTable[[#This Row],[SP Potential Spend]]),IF(ISNUMBER(SnapshotTable[[#This Row],[SP POW]]), SnapshotTable[[#This Row],[SP POW]] * SnapshotTable[[#This Row],[SP Potential Spend]], SnapshotTable[[#This Row],[SP Potential Spend]]), "")</f>
        <v/>
      </c>
      <c r="CL103" s="164" t="e">
        <f>IF(NOT(SnapshotTable[[#This Row],[SP Is Filled]]),(SnapshotTable[[#This Row],[SP Qty]] * SnapshotTable[[#This Row],[SP Strike Price]] * 100) - SnapshotTable[[#This Row],[LP Max Value]],"")</f>
        <v>#VALUE!</v>
      </c>
      <c r="CM103" s="31" t="str">
        <f>IF(SnapshotTable[[#This Row],[SP Actual Spend]]&lt;&gt;0, ((SnapshotTable[[#This Row],[SP Strike Price]]-SnapshotTable[[#This Row],[Last Price]]) *(SnapshotTable[[#This Row],[SP Qty]]*100) - SnapshotTable[[#This Row],[SP Premium]]) * - 1, "")</f>
        <v/>
      </c>
      <c r="CN103" s="78"/>
      <c r="CO103" s="369"/>
      <c r="CP103" s="4" t="str">
        <f>IF(SnapshotTable[[#This Row],[SP Is Filled]], btc_max_buyback_amount(SnapshotTable[[#This Row],[SP Fill Date]],SnapshotTable[[#This Row],[SP Exp Date]], SnapshotTable[[#This Row],[SP Book Price]]),"")</f>
        <v/>
      </c>
      <c r="CQ103" s="78"/>
      <c r="CR10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3" s="155" t="str">
        <f>IF(SnapshotTable[[#This Row],[SP Is Filled]], btc_next_cutoff_date(SnapshotTable[[#This Row],[SP Fill Date]],SnapshotTable[[#This Row],[SP Exp Date]]),"")</f>
        <v/>
      </c>
      <c r="CT103" s="235" t="str" cm="1">
        <f t="array" ref="CT103">IF(SnapshotTable[[#This Row],[SP Is Filled]], btc_should_buy_back(SnapshotTable[[#This Row],[SP Fill Date]], SnapshotTable[[#This Row],[SP Exp Date]], SnapshotTable[[#This Row],[SP Book Price]], SnapshotTable[[#This Row],[SP Current Ask]], MockToday, SnapshotTable[[#This Row],[SP Buyback Override]]),"")</f>
        <v/>
      </c>
      <c r="CU103" s="143"/>
      <c r="CV103" s="235"/>
      <c r="CW103" s="378" t="str">
        <f>IF(ISNUMBER( SnapshotTable[[#This Row],[SP Term]]), SnapshotTable[[#This Row],[SP Exp Date]] - MockToday,"")</f>
        <v/>
      </c>
      <c r="CX103" s="31" t="str">
        <f>IF(SnapshotTable[[#This Row],[SP Is Filled]],SnapshotTable[[#This Row],[SP Buyback Price to Use]] * 100 * SnapshotTable[[#This Row],[SP Qty]], "")</f>
        <v/>
      </c>
      <c r="CY103" s="4" t="str">
        <f>IF(ISNUMBER(SnapshotTable[[#This Row],[SP Strike Price]]), SnapshotTable[[#This Row],[SP Strike Price]] * (1 - SP_MaxLoss_StrikePct), "")</f>
        <v/>
      </c>
      <c r="CZ103" s="31" t="str">
        <f>IF(ISNUMBER(SnapshotTable[[#This Row],[SP Strike  Stop Per Share]]),SnapshotTable[[#This Row],[SP Premium]] - ((SnapshotTable[[#This Row],[SP Strike Price]]-SnapshotTable[[#This Row],[SP Strike  Stop Per Share]]) *(SnapshotTable[[#This Row],[SP Qty]] * 100)),"")</f>
        <v/>
      </c>
      <c r="DA103" s="4" t="str">
        <f>IF(AND(ISNUMBER(SnapshotTable[[#This Row],[SP Premium]]),SnapshotTable[[#This Row],[SP Premium]]&gt;0), SnapshotTable[[#This Row],[SP Book Price]] * (1 + SP_MaxLoss_OptionPct), "")</f>
        <v/>
      </c>
      <c r="DB103" s="31" t="str">
        <f>IF(ISNUMBER(SnapshotTable[[#This Row],[SP Option  Stop Contract]]),(SnapshotTable[[#This Row],[SP Option  Stop Contract]] *(SnapshotTable[[#This Row],[SP Qty]] * 100) - SnapshotTable[[#This Row],[SP Premium]]),"")</f>
        <v/>
      </c>
      <c r="DC103" s="4"/>
      <c r="DD103" s="4"/>
      <c r="DE103" s="4" t="str">
        <f>IF(AND(SnapshotTable[[#This Row],[SP Qty]]&gt;0, SnapshotTable[[#This Row],[SP Stop To Use]]&gt;0),SnapshotTable[[#This Row],[SP Premium]] - ( SnapshotTable[[#This Row],[SP Qty]] * SnapshotTable[[#This Row],[SP Stop To Use]] * 100), "")</f>
        <v/>
      </c>
      <c r="DF103" s="31" t="str">
        <f>IF(AND(SnapshotTable[[#This Row],[SP Qty]]&gt;0,SnapshotTable[[#This Row],[SP Current Ask]]&gt;0), SnapshotTable[[#This Row],[SP Qty]] * SnapshotTable[[#This Row],[SP Current Ask]] * -100, "")</f>
        <v/>
      </c>
      <c r="DG103" s="31" t="str">
        <f>IF(ISNUMBER((SnapshotTable[[#This Row],[SP Total Value]])), SnapshotTable[[#This Row],[SP Premium]] + SnapshotTable[[#This Row],[SP Total Value]], "")</f>
        <v/>
      </c>
      <c r="DH103" s="294" t="str">
        <f>IF(ISNUMBER((SnapshotTable[[#This Row],[SP Total Value]])), SnapshotTable[[#This Row],[SP Gain Loss]] / SnapshotTable[[#This Row],[SP Premium]], "")</f>
        <v/>
      </c>
      <c r="DI103" s="406"/>
      <c r="DJ103" s="138"/>
      <c r="DK103" s="148"/>
      <c r="DL103" s="13"/>
      <c r="DM103" s="13"/>
      <c r="DO103" s="31">
        <f>IF(SnapshotTable[[#This Row],[LC Symbol Count]]=1, SnapshotTable[[#This Row],[LC Qty]] * SnapshotTable[[#This Row],[LC Book Price]] * 100, 0)</f>
        <v>0</v>
      </c>
      <c r="DP103" s="163" t="str">
        <f>IF(AND(SnapshotTable[[#This Row],[LC Exp Date]]&gt;0, SnapshotTable[[#This Row],[LC Strike Price]]&gt;0,SnapshotTable[[#This Row],[LC Qty]]&gt;0,SnapshotTable[[#This Row],[LC Book Date]]&gt;0,SnapshotTable[[#This Row],[LC Book Price]]&gt;0,SnapshotTable[[#This Row],[LC Fill Date]]=0),"Y","")</f>
        <v/>
      </c>
      <c r="DQ103" s="386" t="str">
        <f>IF(SnapshotTable[[#This Row],[LC Premium]] &gt; 0,SnapshotTable[[#This Row],[LC Exp Date]]-MAX(SnapshotTable[[#This Row],[LC Book Date]], SnapshotTable[[#This Row],[LC Fill Date]]),"")</f>
        <v/>
      </c>
      <c r="DR103" s="386" t="str">
        <f>IF(ISNUMBER(SnapshotTable[[#This Row],[LC Term]]), SnapshotTable[[#This Row],[LC Exp Date]] - MockToday, "")</f>
        <v/>
      </c>
      <c r="DS103" s="234" t="str">
        <f>IF(SnapshotTable[[#This Row],[LC Premium]]&gt;0,SnapshotTable[[#This Row],[LC Strike Price]] + SnapshotTable[[#This Row],[LC Book Price]],"")</f>
        <v/>
      </c>
      <c r="DU103" s="9" t="str">
        <f>IF(AND(SnapshotTable[[#This Row],[LC Symbol Count]]&gt;0, SnapshotTable[[#This Row],[LC Contract Value]]&gt;0), SnapshotTable[[#This Row],[LC Contract Value]] * SnapshotTable[[#This Row],[LC Qty]] * 100, "")</f>
        <v/>
      </c>
      <c r="DV103" s="9" t="str">
        <f>IF(AND(ISNUMBER(SnapshotTable[[#This Row],[LC Total Value]]), SnapshotTable[[#This Row],[LC Not Filled]]&lt;&gt;"Y"), SnapshotTable[[#This Row],[LC Total Value]]-SnapshotTable[[#This Row],[LC Premium]],"")</f>
        <v/>
      </c>
      <c r="DW103" s="240" t="str">
        <f>IF(ISNUMBER(SnapshotTable[[#This Row],[LC Actual Gain Loss]]), SnapshotTable[[#This Row],[LC Actual Gain Loss]] / SnapshotTable[[#This Row],[LC Premium]],"")</f>
        <v/>
      </c>
      <c r="DX103" s="284" t="str">
        <f>IF(ISNUMBER(SnapshotTable[[#This Row],[LC Book Price]]),SnapshotTable[[#This Row],[LC Book Price]] * 1.5,"")</f>
        <v/>
      </c>
      <c r="DY103" s="265" t="str">
        <f>IF(SnapshotTable[[#This Row],[LC Premium]]&gt;0, SnapshotTable[[#This Row],[LC Next Target]] * SnapshotTable[[#This Row],[LC Qty]] * 100,"")</f>
        <v/>
      </c>
      <c r="DZ103" s="265" t="str">
        <f>IF(ISNUMBER(SnapshotTable[[#This Row],[LC Target Gross]]), SnapshotTable[[#This Row],[LC Target Gross]] - SnapshotTable[[#This Row],[LC Premium]], "")</f>
        <v/>
      </c>
      <c r="EA103" s="305" t="str">
        <f>IF(ISNUMBER(SnapshotTable[[#This Row],[LC Target Gain Loss]]), SnapshotTable[[#This Row],[LC Target Gain Loss]]/SnapshotTable[[#This Row],[LC Premium]], "")</f>
        <v/>
      </c>
      <c r="EB103" s="262"/>
      <c r="EC103" s="283" t="str">
        <f>IF(SnapshotTable[[#This Row],[LC Premium]]&gt;0, SnapshotTable[[#This Row],[LC Book Price]] * (1 - LC_StopLoss_Pct),"")</f>
        <v/>
      </c>
      <c r="ED103" s="284"/>
      <c r="EE103" s="283" t="str">
        <f>IF(ISNUMBER(SnapshotTable[[#This Row],[LC Contract Value]]),IF(ISNUMBER(SnapshotTable[[#This Row],[LC Stop Loss Override]]), SnapshotTable[[#This Row],[LC Stop Loss Override]],SnapshotTable[[#This Row],[LC Stop Loss Calc Target]]),"")</f>
        <v/>
      </c>
      <c r="EF103" s="31" t="str">
        <f>IF(ISNUMBER(SnapshotTable[[#This Row],[LC Stop  To Use]]), (SnapshotTable[[#This Row],[LC Stop  To Use]] * SnapshotTable[[#This Row],[LC Qty]] * 100),"")</f>
        <v/>
      </c>
      <c r="EG103" s="9" t="str">
        <f>IF(ISNUMBER(SnapshotTable[[#This Row],[LC Total Value]]),SnapshotTable[[#This Row],[LC Stop Loss Amount]] - SnapshotTable[[#This Row],[LC Premium]],"")</f>
        <v/>
      </c>
      <c r="EH103" s="9">
        <f>IF(ISNUMBER(SnapshotTable[[#This Row],[LC Premium]]), SnapshotTable[[#This Row],[LC Qty]] * 100 * SnapshotTable[[#This Row],[LC Strike Price]], "")</f>
        <v>0</v>
      </c>
      <c r="EI103" s="240" t="str">
        <f>IF(AND(ISNUMBER(SnapshotTable[[#This Row],[LC Total Value]]),SnapshotTable[[#This Row],[LC Total Value]]&gt;0),SnapshotTable[[#This Row],[LC Stop Gain Loss]]  / SnapshotTable[[#This Row],[LC Premium]],"")</f>
        <v/>
      </c>
      <c r="EJ103" s="35">
        <f>IF(ISNUMBER(SnapshotTable[[#This Row],[Equity Shares]]),TRUNC(SnapshotTable[[#This Row],[Equity Shares]] / 100),0) + SnapshotTable[[#This Row],[LC Qty]]</f>
        <v>0</v>
      </c>
      <c r="EK103" s="147"/>
      <c r="EL103" s="138" t="str">
        <f>IF(SnapshotTable[[#This Row],[SC Exp Date]]&lt;&gt;"",TRUNC(SnapshotTable[[#This Row],[Last Price]]),"")</f>
        <v/>
      </c>
      <c r="EM103" s="148"/>
      <c r="EN103" s="147"/>
      <c r="EO103" s="147"/>
      <c r="EP103" s="138"/>
      <c r="EQ103" s="419" t="b">
        <f>AND(ISNUMBER(SnapshotTable[[#This Row],[SC Exp Date]]), ISNUMBER(SnapshotTable[[#This Row],[SC Strike Price]]), ISNUMBER(SnapshotTable[[#This Row],[SC Qty]]), ISNUMBER(SnapshotTable[[#This Row],[SC Book Date]]), ISNUMBER(SnapshotTable[[#This Row],[SC Book Price]]))</f>
        <v>0</v>
      </c>
      <c r="ER103" s="419" t="b">
        <f>AND(SnapshotTable[[#This Row],[SC Is Booked]], NOT(ISBLANK(SnapshotTable[[#This Row],[SC Fill Date]])))</f>
        <v>0</v>
      </c>
      <c r="ES103" s="370"/>
      <c r="ET103" s="34" t="str">
        <f>IF(AND(ISNUMBER(SnapshotTable[[#This Row],[SC Exp Date]]), ISNUMBER(SnapshotTable[[#This Row],[SC Book Date]])), SnapshotTable[[#This Row],[SC Exp Date]] - MAX(SnapshotTable[[#This Row],[SC Book Date]], SnapshotTable[[#This Row],[SC Fill Date]]) + 1, "")</f>
        <v/>
      </c>
      <c r="EU103" s="34" t="str">
        <f>IF(ISNUMBER(SnapshotTable[[#This Row],[SC Term]]), SnapshotTable[[#This Row],[SC Exp Date]]- MockToday, "")</f>
        <v/>
      </c>
      <c r="EV103" s="31">
        <f>IF(SnapshotTable[[#This Row],[SC Is Booked]], SnapshotTable[[#This Row],[SC Qty]] * SnapshotTable[[#This Row],[SC Book Price]] * 100, 0)</f>
        <v>0</v>
      </c>
      <c r="EW103" s="4" t="str">
        <f>IF(AND(ISNUMBER(SnapshotTable[[#This Row],[Last Price]]), ISNUMBER( SnapshotTable[[#This Row],[SC Book Price]])), SnapshotTable[[#This Row],[Last Price]] - SnapshotTable[[#This Row],[SC Book Price]],"")</f>
        <v/>
      </c>
      <c r="EX103" s="234" t="str">
        <f>IF(SnapshotTable[[#This Row],[SC Is Booked]],IF(SnapshotTable[[#This Row],[SC Intrinsic Value]] &gt; 0, SnapshotTable[[#This Row],[SC Strike Price]], SnapshotTable[[#This Row],[Last Price]]), "")</f>
        <v/>
      </c>
      <c r="EY103" s="4">
        <f>IF(SnapshotTable[[#This Row],[SC Is Booked]], (MinimumPremiumRequired * SnapshotTable[[#This Row],[SC Basis]] * SnapshotTable[[#This Row],[SC Term]]), 0)</f>
        <v>0</v>
      </c>
      <c r="EZ103" s="283"/>
      <c r="FA103" s="218"/>
      <c r="FB103" s="370"/>
      <c r="FC103" s="4">
        <f>IF(SnapshotTable[[#This Row],[SC Is Filled]], btc_max_buyback_amount(SnapshotTable[[#This Row],[SC Fill Date]],SnapshotTable[[#This Row],[SC Exp Date]], SnapshotTable[[#This Row],[SC Book Price]]),0)</f>
        <v>0</v>
      </c>
      <c r="FD103" s="5"/>
      <c r="FE103" s="144" t="str">
        <f>IF(SnapshotTable[[#This Row],[SC Is Filled]], btc_next_cutoff_date(SnapshotTable[[#This Row],[SC Fill Date]],SnapshotTable[[#This Row],[SC Exp Date]]),"")</f>
        <v/>
      </c>
      <c r="FF103" s="4" t="str" cm="1">
        <f t="array" ref="FF103">IF(SnapshotTable[[#This Row],[SC Is Filled]], btc_should_buy_back(SnapshotTable[[#This Row],[SC Fill Date]], SnapshotTable[[#This Row],[SC Exp Date]], SnapshotTable[[#This Row],[SC Book Price]], SnapshotTable[[#This Row],[SC Current Ask]], MockToday, SnapshotTable[[#This Row],[SC Buyback Override]]),"")</f>
        <v/>
      </c>
      <c r="FG103" s="4">
        <f>IF(SnapshotTable[[#This Row],[SC Is Filled]], MAX(0,SnapshotTable[[#This Row],[Last Price]]  - SnapshotTable[[#This Row],[SC Strike Price]]), 0)</f>
        <v>0</v>
      </c>
      <c r="FH103" s="382">
        <f>IF(SnapshotTable[[#This Row],[SC Is Filled]], IF(ISNUMBER(SnapshotTable[[#This Row],[SC Current Ask]]), SnapshotTable[[#This Row],[SC Current Ask]], SnapshotTable[[#This Row],[SC Book Price]]) - SnapshotTable[[#This Row],[SC Intrinsic Value]], 0)</f>
        <v>0</v>
      </c>
      <c r="FI103" s="143"/>
      <c r="FJ103" s="32" t="str">
        <f>IF(SnapshotTable[[#This Row],[SC Is Filled]],100 * SnapshotTable[[#This Row],[SC Qty]] * IF(ISNUMBER(SnapshotTable[[#This Row],[SC Buyback Override]]), SnapshotTable[[#This Row],[SC Buyback Override]], SnapshotTable[[#This Row],[SC Current Ask]]), "")</f>
        <v/>
      </c>
      <c r="FK103" s="250" t="str">
        <f>IF(SnapshotTable[[#This Row],[SC Time Val]]&gt;0, SnapshotTable[[#This Row],[SC Time Val]] / SnapshotTable[[#This Row],[Last Price]],"")</f>
        <v/>
      </c>
      <c r="FL103" s="302" t="str">
        <f>IF(SnapshotTable[[#This Row],[SC Is Booked]], ((SnapshotTable[[#This Row],[Last Price]] -SnapshotTable[[#This Row],[SC Strike Price]]) / SnapshotTable[[#This Row],[Last Price]]) * -1, "")</f>
        <v/>
      </c>
      <c r="FM103" s="157" t="str">
        <f>IF(SnapshotTable[[#This Row],[SC Is Booked]],  (SnapshotTable[[#This Row],[SC Qty]] * 100 * SnapshotTable[[#This Row],[SC Strike Price]]) - SnapshotTable[[#This Row],[SC Current Ask]], "")</f>
        <v/>
      </c>
      <c r="FN10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3" s="31" t="str">
        <f>IF(AND(ISNUMBER(SnapshotTable[[#This Row],[SC Exercise Gross]]), ISNUMBER(SnapshotTable[[#This Row],[Equity Basis Per Share]] )), SnapshotTable[[#This Row],[SC Exercise Gross]] - SnapshotTable[[#This Row],[Equity Basis Total]] +  SnapshotTable[[#This Row],[SC Premium]], "")</f>
        <v/>
      </c>
      <c r="FP103" s="5" t="str">
        <f>IF(ISNUMBER(SnapshotTable[[#This Row],[SC Exercise Gross]]), (SnapshotTable[[#This Row],[SC Exercise Gross]]) / (SnapshotTable[[#This Row],[SC Qty]] * 100), "")</f>
        <v/>
      </c>
      <c r="FQ103" s="27" t="str">
        <f>IF(SnapshotTable[[#This Row],[SC Is Booked]],SnapshotTable[[#This Row],[SC Time Val]] /SnapshotTable[[#This Row],[SC Basis]], "")</f>
        <v/>
      </c>
      <c r="FR103" s="27" t="str" cm="1">
        <f t="array" ref="FR103">IF(AND(ISNUMBER(SnapshotTable[[#This Row],[SC Term]]),ISNUMBER(SnapshotTable[[#This Row],[SC Simple ROO]])), EllmanAnnualize(SnapshotTable[[#This Row],[SC DTE]], SnapshotTable[[#This Row],[SC Simple ROO]] ),"")</f>
        <v/>
      </c>
      <c r="FS103" s="4" t="e">
        <f>IF(SnapshotTable[[#This Row],[SC Strike Price]] &gt; SnapshotTable[[#This Row],[Last Price]], SnapshotTable[[#This Row],[SC Strike Price]] - SnapshotTable[[#This Row],[Last Price]],0)</f>
        <v>#VALUE!</v>
      </c>
      <c r="FT103" s="27" t="e">
        <f>IF(AND(ISNUMBER(SnapshotTable[[#This Row],[SC Upside Potential]]), SnapshotTable[[#This Row],[SC Upside Potential]] &gt; 0),(SnapshotTable[[#This Row],[SC Upside Potential]]/ SnapshotTable[[#This Row],[ACB]]),"")</f>
        <v>#VALUE!</v>
      </c>
      <c r="FU103" s="333" t="str">
        <f>IF(SnapshotTable[[#This Row],[SC Intrinsic Value]] &gt; 0,SnapshotTable[[#This Row],[SC Intrinsic Value]],"")</f>
        <v/>
      </c>
      <c r="FV103" s="27" t="str">
        <f>IF(AND( ISNUMBER( SnapshotTable[[#This Row],[ACB]]),ISNUMBER(SnapshotTable[[#This Row],[SC Downside Protect]])),SnapshotTable[[#This Row],[SC Downside Protect]] / SnapshotTable[[#This Row],[ACB]],"")</f>
        <v/>
      </c>
      <c r="FW103" s="236" t="str">
        <f>IF(AND(ISNUMBER(SnapshotTable[[#This Row],[SC Simple ROO]]),SnapshotTable[[#This Row],[SC Simple ROO]] &gt; 0), SnapshotTable[[#This Row],[SC Premium]] + (SnapshotTable[[#This Row],[SC Qty]] * SnapshotTable[[#This Row],[SC Upside Potential]]), "")</f>
        <v/>
      </c>
      <c r="FX103" s="302" t="str" cm="1">
        <f t="array" ref="FX103">IF(ISNUMBER(SnapshotTable[[#This Row],[SC Max Dollars]]), annualize(SnapshotTable[[#This Row],[SC Term]],(SnapshotTable[[#This Row],[SC Max Dollars]]/SnapshotTable[[#This Row],[SC Basis]])),"")</f>
        <v/>
      </c>
      <c r="FY103" s="236" t="str">
        <f>IF(AND(SnapshotTable[[#This Row],[SC Qty]]&gt;0,SnapshotTable[[#This Row],[SC Current Ask]]&gt;0), SnapshotTable[[#This Row],[SC Qty]] * SnapshotTable[[#This Row],[SC Current Ask]] * -100, "")</f>
        <v/>
      </c>
      <c r="FZ103" s="31" t="str">
        <f>IF(ISNUMBER((SnapshotTable[[#This Row],[SC Current Value]])), SnapshotTable[[#This Row],[SC Premium]] + SnapshotTable[[#This Row],[SC Current Value]], "")</f>
        <v/>
      </c>
      <c r="GA103" s="294" t="str">
        <f>IFERROR( IF(ISNUMBER((SnapshotTable[[#This Row],[SC Current Value]])), SnapshotTable[[#This Row],[SC Gain Loss]] / SnapshotTable[[#This Row],[SC Premium]], ""), "")</f>
        <v/>
      </c>
      <c r="GB103" s="42">
        <f>SnapshotTable[[#This Row],[Equity Shares]] * SaleSharesToConsiderPercentage</f>
        <v>0</v>
      </c>
      <c r="GC103" s="40" t="e">
        <f>SnapshotTable[[#This Row],[Long Term Target]] * SellingPriceToConsiderBasedOnTargetPercentage</f>
        <v>#VALUE!</v>
      </c>
      <c r="GD103" s="40">
        <f>SnapshotTable[[#This Row],[Last Price]] * (1+ SellingPriceToConsiderBasedOnTargetPercentage)</f>
        <v>5.4209999999999994</v>
      </c>
      <c r="GE103" s="41"/>
      <c r="GF103" s="40"/>
      <c r="GG103" s="31">
        <f>SnapshotTable[[#This Row],[Booked Sale Shares]] * SnapshotTable[[#This Row],[Booked Sale Price]]</f>
        <v>0</v>
      </c>
      <c r="GH103" s="31" t="str">
        <f>IF(SnapshotTable[[#This Row],[Equity Basis Total]] &gt; 0, SnapshotTable[[#This Row],[Equity Basis Per Share]] * SnapshotTable[[#This Row],[Booked Sale Shares]], "")</f>
        <v/>
      </c>
      <c r="GI103" s="31">
        <f>IF(SnapshotTable[[#This Row],[Sale Proceeds]]&gt;0, SnapshotTable[[#This Row],[Sale Proceeds]] - SnapshotTable[[#This Row],[Sale Basis]], 0)</f>
        <v>0</v>
      </c>
      <c r="GJ103" s="27" t="str">
        <f>IF(SnapshotTable[[#This Row],[Sale G/L]]&gt;0, SnapshotTable[[#This Row],[Sale G/L]] / SnapshotTable[[#This Row],[Sale Basis]], IF(ISNUMBER(SnapshotTable[[#This Row],[SC Exercise P&amp;L (TAX)]]), SnapshotTable[[#This Row],[SC Exercise P&amp;L (TAX)]] / SnapshotTable[[#This Row],[SC Basis]], ""))</f>
        <v/>
      </c>
      <c r="GK103" s="27" t="s">
        <v>752</v>
      </c>
      <c r="GL103" s="43" t="str">
        <f>IF(AND(SnapshotTable[[#This Row],[LP Exp Date]]&gt;0,SnapshotTable[[#This Row],[LP Strike Price]]&gt;0), [1]!ToOptionSymbol(SnapshotTable[[#This Row],[Symbol]], SnapshotTable[[#This Row],[LP Strike Price]],SnapshotTable[[#This Row],[LP Exp Date]],1), "")</f>
        <v/>
      </c>
      <c r="GM103" s="30" t="str">
        <f>IF(LEN(SnapshotTable[[#This Row],[LP Symbol]])&gt;0, 1, "")</f>
        <v/>
      </c>
      <c r="GN103" s="43" t="str">
        <f>IF(AND(SnapshotTable[[#This Row],[SP Exp Date]]&gt;0,SnapshotTable[[#This Row],[SP Strike Price]]&gt;0), [1]!ToOptionSymbol(SnapshotTable[[#This Row],[Symbol]], SnapshotTable[[#This Row],[SP Strike Price]],SnapshotTable[[#This Row],[SP Exp Date]],1), "")</f>
        <v/>
      </c>
      <c r="GO103" s="30" t="str">
        <f>IF(LEN(SnapshotTable[[#This Row],[SP Symbol]])&gt;0, 1, "")</f>
        <v/>
      </c>
      <c r="GP103" s="43" t="str">
        <f>IF(AND(SnapshotTable[[#This Row],[LC Exp Date]]&gt;0,SnapshotTable[[#This Row],[LC Strike Price]]&gt;0), [1]!ToOptionSymbol(SnapshotTable[[#This Row],[Symbol]], SnapshotTable[[#This Row],[LC Strike Price]],SnapshotTable[[#This Row],[LC Exp Date]],0), "")</f>
        <v/>
      </c>
      <c r="GQ103" s="30" t="str">
        <f>IF(LEN(SnapshotTable[[#This Row],[LC Symbol]])&gt;0, 1, "")</f>
        <v/>
      </c>
      <c r="GR103" s="43" t="str">
        <f>IF(AND(SnapshotTable[[#This Row],[SC Exp Date]]&gt;0,SnapshotTable[[#This Row],[SC Strike Price]]&gt;0), [1]!ToOptionSymbol(SnapshotTable[[#This Row],[Symbol]], SnapshotTable[[#This Row],[SC Strike Price]],SnapshotTable[[#This Row],[SC Exp Date]],0), "")</f>
        <v/>
      </c>
      <c r="GS103" s="30" t="str">
        <f>IF(LEN(SnapshotTable[[#This Row],[SC Symbol]])&gt;0, 1, "")</f>
        <v/>
      </c>
      <c r="GT103" s="29" t="str">
        <f>IF(COUNT(SnapshotTable[[#This Row],[LP Symbol Count]],SnapshotTable[[#This Row],[SP Symbol Count]],SnapshotTable[[#This Row],[LC Symbol Count]],SnapshotTable[[#This Row],[SC Symbol Count]])&gt;0, "Y", "")</f>
        <v/>
      </c>
      <c r="GU10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3" s="231" t="e">
        <f>MAX(SnapshotTable[[#This Row],[Equity Basis Total]],SnapshotTable[[#This Row],[Equity Value]]) + (SnapshotTable[[#This Row],[SP Potential Spend]]- SnapshotTable[[#This Row],[SP Premium]] + SnapshotTable[[#This Row],[LP Premium]])+ (SnapshotTable[[#This Row],[LC Premium]] - SnapshotTable[[#This Row],[SC Premium]])</f>
        <v>#VALUE!</v>
      </c>
      <c r="GW103" s="139" t="e">
        <f>IF(AND(SnapshotTable[[#This Row],[Exposure]] &lt;&gt; 0),SnapshotTable[[#This Row],[Exposure]] / SnapshotTable[[#Totals],[Exposure]], "")</f>
        <v>#VALUE!</v>
      </c>
      <c r="HE103" s="268"/>
      <c r="HF103" s="268"/>
      <c r="HK103" s="1"/>
      <c r="HL103" s="1"/>
      <c r="HM103" s="1"/>
      <c r="HN103" s="1"/>
      <c r="HO103" s="1"/>
      <c r="HP103" s="1"/>
    </row>
    <row r="104" spans="2:224" ht="12.75" hidden="1" customHeight="1" x14ac:dyDescent="0.25">
      <c r="B104" s="12" t="s">
        <v>1076</v>
      </c>
      <c r="C104" s="422">
        <v>136.19999999999999</v>
      </c>
      <c r="D104" s="208" t="s">
        <v>1075</v>
      </c>
      <c r="E104" s="39">
        <f>SnapshotTable[[#This Row],[Last Price]]*(1 -CrashDiscount)</f>
        <v>115.76999999999998</v>
      </c>
      <c r="F104" s="26" t="s">
        <v>1077</v>
      </c>
      <c r="G104" s="26" t="s">
        <v>610</v>
      </c>
      <c r="H104" s="149"/>
      <c r="I104" s="194">
        <v>45064.291666666664</v>
      </c>
      <c r="J104" s="195">
        <v>45064.291666666664</v>
      </c>
      <c r="K104" s="196"/>
      <c r="L104" s="326"/>
      <c r="M104" s="140"/>
      <c r="N104" s="140"/>
      <c r="O104" s="140"/>
      <c r="P104" s="22"/>
      <c r="Q104" s="25"/>
      <c r="R104" s="4" t="str">
        <f>IF(SnapshotTable[[#This Row],[Equity Basis Total]] &gt; 0, SnapshotTable[[#This Row],[Equity Basis Total]] / SnapshotTable[[#This Row],[Equity Shares]], "")</f>
        <v/>
      </c>
      <c r="S104" s="269">
        <f>SnapshotTable[[#This Row],[Last Price]] * SnapshotTable[[#This Row],[Equity Shares]]</f>
        <v>0</v>
      </c>
      <c r="T104" s="269">
        <f>SnapshotTable[[#This Row],[Equity Value]] - SnapshotTable[[#This Row],[Equity Basis Total]]</f>
        <v>0</v>
      </c>
      <c r="U104" s="270" t="str">
        <f>IF(SnapshotTable[[#This Row],[Equity Basis Total]] &gt; 0, SnapshotTable[[#This Row],[Equity G/L]] / SnapshotTable[[#This Row],[Equity Basis Total]], "")</f>
        <v/>
      </c>
      <c r="V104" s="268"/>
      <c r="W104" s="268"/>
      <c r="X104" s="4" t="str">
        <f>IF(AND(ISNUMBER(SnapshotTable[[#This Row],[Equity Basis Per Share]]),ISNUMBER(SnapshotTable[[#This Row],[Equity Target]])),SnapshotTable[[#This Row],[Equity Target]]-SnapshotTable[[#This Row],[Equity Basis Per Share]],"")</f>
        <v/>
      </c>
      <c r="Y104" s="4" t="str">
        <f>IF(AND(ISNUMBER(SnapshotTable[[#This Row],[Equity Basis Per Share]]),ISNUMBER(SnapshotTable[[#This Row],[Equity Stop Loss]])),SnapshotTable[[#This Row],[Equity Stop Loss]]-SnapshotTable[[#This Row],[Equity Basis Per Share]],"")</f>
        <v/>
      </c>
      <c r="Z104" s="275" t="str">
        <f>IFERROR( TEXT(SnapshotTable[[#This Row],[Equity Max Gain Per Share]] /ABS( SnapshotTable[[#This Row],[Equity Max Loss Per Share]]),"0.0 " ) &amp; " : 1", "")</f>
        <v/>
      </c>
      <c r="AA104" s="31" t="str">
        <f>IF(ISNUMBER(SnapshotTable[[#This Row],[Equity Max Gain Per Share]]),SnapshotTable[[#This Row],[Equity Max Gain Per Share]] * SnapshotTable[[#This Row],[Equity Shares]],"")</f>
        <v/>
      </c>
      <c r="AB104" s="31" t="str">
        <f>IF(ISNUMBER(SnapshotTable[[#This Row],[Equity Max Loss Per Share]]),SnapshotTable[[#This Row],[Equity Max Loss Per Share]] * SnapshotTable[[#This Row],[Equity Shares]],"")</f>
        <v/>
      </c>
      <c r="AC104" s="150"/>
      <c r="AD104" s="151"/>
      <c r="AE104" s="31">
        <f>(SnapshotTable[[#This Row],[Annual Dividend Per Share]] / 4) * SnapshotTable[[#This Row],[Equity Shares]]</f>
        <v>0</v>
      </c>
      <c r="AF104" s="31">
        <f>SnapshotTable[[#This Row],[Quarterly Div $]] * 4</f>
        <v>0</v>
      </c>
      <c r="AG104" s="7">
        <f>IF(SnapshotTable[[#This Row],[Annual Dividend Per Share]]&gt;0, SnapshotTable[[#This Row],[Annual Dividend Per Share]]  / SnapshotTable[[#This Row],[Last Price]], 0)</f>
        <v>0</v>
      </c>
      <c r="AH104" s="151"/>
      <c r="AI104" s="5"/>
      <c r="AJ104" s="138">
        <v>150.33000000000001</v>
      </c>
      <c r="AK104" s="152" t="str">
        <f>IF(ISNUMBER( SnapshotTable[[#This Row],[EBF Target]]),(SnapshotTable[[#This Row],[EBF Target]] - SnapshotTable[[#This Row],[Last Price]]) / SnapshotTable[[#This Row],[Last Price]], "")</f>
        <v/>
      </c>
      <c r="AL104" s="152" t="str">
        <f>IF(AND(SnapshotTable[[#This Row],[Equity Basis Total]] &gt; 0,ISNUMBER( SnapshotTable[[#This Row],[Long Term Target]])), SnapshotTable[[#This Row],[From Basis $]] / SnapshotTable[[#This Row],[Equity Basis Total]], "")</f>
        <v/>
      </c>
      <c r="AM104" s="9">
        <f>IF( AND(SnapshotTable[[#This Row],[Equity Shares]] &gt;0,ISNUMBER( SnapshotTable[[#This Row],[Long Term Target]])),(SnapshotTable[[#This Row],[Equity Shares]] * SnapshotTable[[#This Row],[Long Term Target]]) - SnapshotTable[[#This Row],[Equity Basis Total]],0)</f>
        <v>0</v>
      </c>
      <c r="AN104" s="9">
        <f>IF( AND(SnapshotTable[[#This Row],[Equity Shares]] &gt;0,ISNUMBER( SnapshotTable[[#This Row],[Long Term Target]])),(SnapshotTable[[#This Row],[Equity Shares]]*SnapshotTable[[#This Row],[Long Term Target]]) - SnapshotTable[[#This Row],[Equity Value]],0)</f>
        <v>0</v>
      </c>
      <c r="AO104" s="152">
        <f>IF(AND(ISNUMBER( SnapshotTable[[#This Row],[Long Term Target]]), ISNUMBER(SnapshotTable[[#This Row],[Last Price]])),(SnapshotTable[[#This Row],[Long Term Target]] - SnapshotTable[[#This Row],[Last Price]]) / SnapshotTable[[#This Row],[Last Price]], "")</f>
        <v>0.10374449339207067</v>
      </c>
      <c r="AP104" s="5">
        <v>119</v>
      </c>
      <c r="AQ104" s="38" t="s">
        <v>38</v>
      </c>
      <c r="AR104" s="5">
        <v>119</v>
      </c>
      <c r="AS104" s="38" t="s">
        <v>26</v>
      </c>
      <c r="AT104" s="146" t="s">
        <v>538</v>
      </c>
      <c r="AU104" s="187" t="str">
        <f>IF(OR(SnapshotTable[[#This Row],[LP No Fill]]="Y",SnapshotTable[[#This Row],[SP Is Filled]],SnapshotTable[[#This Row],[LC Not Filled]]="Y",SnapshotTable[[#This Row],[SC Is Filled]]),"Y","")</f>
        <v/>
      </c>
      <c r="AV104" s="219"/>
      <c r="AW104" s="225"/>
      <c r="AX104" s="220"/>
      <c r="AY104" s="219" t="str">
        <f>IF(SnapshotTable[[#This Row],[Implied Move]]&gt;0, SnapshotTable[[#This Row],[Last Price]]-SnapshotTable[[#This Row],[Implied Move]],"")</f>
        <v/>
      </c>
      <c r="AZ104" s="219" t="str">
        <f>IF(SnapshotTable[[#This Row],[Implied Move]]&gt;0, SnapshotTable[[#This Row],[Last Price]] + SnapshotTable[[#This Row],[Implied Move]],"")</f>
        <v/>
      </c>
      <c r="BA104" s="331">
        <v>116.6</v>
      </c>
      <c r="BB104" s="347"/>
      <c r="BC10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4" s="351"/>
      <c r="BE104" s="5"/>
      <c r="BF104" s="14"/>
      <c r="BG104" s="13"/>
      <c r="BH104" s="13"/>
      <c r="BI104" s="5"/>
      <c r="BJ104" s="136">
        <f>IF(SnapshotTable[[#This Row],[LP Qty]] &gt; 0, SnapshotTable[[#This Row],[LP Qty]] * SnapshotTable[[#This Row],[LP Book Price]] * 100,0)</f>
        <v>0</v>
      </c>
      <c r="BK104" s="136">
        <f>IF(SnapshotTable[[#This Row],[LP Premium]] &gt; 0, SnapshotTable[[#This Row],[LP Qty]] * SnapshotTable[[#This Row],[LP Strike Price]] * 100,0)</f>
        <v>0</v>
      </c>
      <c r="BL104" s="154"/>
      <c r="BM104" s="385" t="str">
        <f>IF(SnapshotTable[[#This Row],[LP Premium]] &gt; 0,SnapshotTable[[#This Row],[LP Exp Date]]-MAX(SnapshotTable[[#This Row],[LP Book Date]], SnapshotTable[[#This Row],[LP Fill Date]]),"")</f>
        <v/>
      </c>
      <c r="BN104" s="385" t="str">
        <f>IF(ISNUMBER( SnapshotTable[[#This Row],[LP Term]]), SnapshotTable[[#This Row],[LP Exp Date]] - MockToday,"")</f>
        <v/>
      </c>
      <c r="BO104" s="163" t="str">
        <f>IF(AND(SnapshotTable[[#This Row],[LP Exp Date]]&gt;0, SnapshotTable[[#This Row],[LP Strike Price]]&gt;0,SnapshotTable[[#This Row],[LP Qty]]&gt;0,SnapshotTable[[#This Row],[LP Book Date]]&gt;0,SnapshotTable[[#This Row],[LP Book Price]]&gt;0,SnapshotTable[[#This Row],[LP Fill Date]]=0),"Y","")</f>
        <v/>
      </c>
      <c r="BP104" s="31" t="str">
        <f>IF(AND(SnapshotTable[[#This Row],[LP No Fill]]&lt;&gt;"Y",SnapshotTable[[#This Row],[LP Contract Value]]&gt;0, SnapshotTable[[#This Row],[LP Qty]]&gt;0), SnapshotTable[[#This Row],[LP Contract Value]]*SnapshotTable[[#This Row],[LP Qty]]*100,"")</f>
        <v/>
      </c>
      <c r="BQ104" s="13"/>
      <c r="BR104" s="5" t="str">
        <f>IF(SnapshotTable[[#This Row],[SP Exp Date]]&lt;&gt;"",TRUNC(SnapshotTable[[#This Row],[Last Price]]),"")</f>
        <v/>
      </c>
      <c r="BS104" s="36"/>
      <c r="BT104" s="147"/>
      <c r="BU104" s="13"/>
      <c r="BV104" s="5"/>
      <c r="BW104" s="419" t="b">
        <f>AND(ISNUMBER(SnapshotTable[[#This Row],[SP Exp Date]]), ISNUMBER(SnapshotTable[[#This Row],[SP Strike Price]]), ISNUMBER(SnapshotTable[[#This Row],[SP Qty]]), ISNUMBER(SnapshotTable[[#This Row],[SP Book Date]]), ISNUMBER(SnapshotTable[[#This Row],[SP Book Price]]))</f>
        <v>0</v>
      </c>
      <c r="BX104" s="419" t="b">
        <f>AND(SnapshotTable[[#This Row],[SP Is Booked]], NOT(ISBLANK(SnapshotTable[[#This Row],[SP Fill Date]])))</f>
        <v>0</v>
      </c>
      <c r="BY104" s="33">
        <f>IF(SnapshotTable[[#This Row],[SP Is Booked]], SnapshotTable[[#This Row],[SP Qty]] * SnapshotTable[[#This Row],[SP Book Price]] * 100, 0)</f>
        <v>0</v>
      </c>
      <c r="BZ104" s="369"/>
      <c r="CA104" s="368">
        <f>SnapshotTable[[#This Row],[LP Qty]]</f>
        <v>0</v>
      </c>
      <c r="CB104" s="4" t="str">
        <f>IF(SnapshotTable[[#This Row],[SP Is Booked]], SnapshotTable[[#This Row],[SP Strike Price]] - SnapshotTable[[#This Row],[SP Book Price]], "")</f>
        <v/>
      </c>
      <c r="CC104" s="19" t="str">
        <f>IF(SnapshotTable[[#This Row],[SP Is Booked]],SnapshotTable[[#This Row],[SP Exp Date]]-MAX(SnapshotTable[[#This Row],[SP Book Date]], SnapshotTable[[#This Row],[SP Fill Date]]),"")</f>
        <v/>
      </c>
      <c r="CD104" s="7" t="str">
        <f>IF(SnapshotTable[[#This Row],[SP Is Booked]], SnapshotTable[[#This Row],[SP Book Price]]/SnapshotTable[[#This Row],[SP Strike Price]], "")</f>
        <v/>
      </c>
      <c r="CE104" s="7" t="str">
        <f>IF(ISNUMBER(SnapshotTable[[#This Row],[SP ROO Term]]),SnapshotTable[[#This Row],[SP ROO Term]]*(365/SnapshotTable[[#This Row],[SP Term]]),"")</f>
        <v/>
      </c>
      <c r="CF104" s="236">
        <f>SnapshotTable[[#This Row],[LP Strike Price]] * SnapshotTable[[#This Row],[LP Qty]] * 100</f>
        <v>0</v>
      </c>
      <c r="CG104" s="31" t="e">
        <f>IF(ISNUMBER(SnapshotTable[[#This Row],[SP Premium]]), (SnapshotTable[[#This Row],[SP Qty]] * SnapshotTable[[#This Row],[SP Strike Price]]* 100) - SnapshotTable[[#This Row],[LP Protection]], 0)</f>
        <v>#VALUE!</v>
      </c>
      <c r="CH104" s="7" t="str">
        <f>IF(ISNUMBER(SnapshotTable[[#This Row],[SP Break Even]]),-1 * (SnapshotTable[[#This Row],[SP Break Even]] - SnapshotTable[[#This Row],[Last Price]]) / SnapshotTable[[#This Row],[Last Price]], "")</f>
        <v/>
      </c>
      <c r="CI104" s="31">
        <f>IF(AND(ISNUMBER((SnapshotTable[[#This Row],[SP Potential Spend]])), SnapshotTable[[#This Row],[SP Strike Price]] &gt; SnapshotTable[[#This Row],[Last Price]], SnapshotTable[[#This Row],[SP Is Filled]]), SnapshotTable[[#This Row],[SP Potential Spend]] -  SnapshotTable[[#This Row],[LP Max Value]], 0)</f>
        <v>0</v>
      </c>
      <c r="CJ104" s="244"/>
      <c r="CK104" s="31" t="str">
        <f>IF(ISNUMBER(SnapshotTable[[#This Row],[SP Potential Spend]]),IF(ISNUMBER(SnapshotTable[[#This Row],[SP POW]]), SnapshotTable[[#This Row],[SP POW]] * SnapshotTable[[#This Row],[SP Potential Spend]], SnapshotTable[[#This Row],[SP Potential Spend]]), "")</f>
        <v/>
      </c>
      <c r="CL104" s="164" t="e">
        <f>IF(NOT(SnapshotTable[[#This Row],[SP Is Filled]]),(SnapshotTable[[#This Row],[SP Qty]] * SnapshotTable[[#This Row],[SP Strike Price]] * 100) - SnapshotTable[[#This Row],[LP Max Value]],"")</f>
        <v>#VALUE!</v>
      </c>
      <c r="CM104" s="31" t="str">
        <f>IF(SnapshotTable[[#This Row],[SP Actual Spend]]&lt;&gt;0, ((SnapshotTable[[#This Row],[SP Strike Price]]-SnapshotTable[[#This Row],[Last Price]]) *(SnapshotTable[[#This Row],[SP Qty]]*100) - SnapshotTable[[#This Row],[SP Premium]]) * - 1, "")</f>
        <v/>
      </c>
      <c r="CN104" s="78"/>
      <c r="CO104" s="369"/>
      <c r="CP104" s="4" t="str">
        <f>IF(SnapshotTable[[#This Row],[SP Is Filled]], btc_max_buyback_amount(SnapshotTable[[#This Row],[SP Fill Date]],SnapshotTable[[#This Row],[SP Exp Date]], SnapshotTable[[#This Row],[SP Book Price]]),"")</f>
        <v/>
      </c>
      <c r="CQ104" s="78"/>
      <c r="CR10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4" s="155" t="str">
        <f>IF(SnapshotTable[[#This Row],[SP Is Filled]], btc_next_cutoff_date(SnapshotTable[[#This Row],[SP Fill Date]],SnapshotTable[[#This Row],[SP Exp Date]]),"")</f>
        <v/>
      </c>
      <c r="CT104" s="235" t="str" cm="1">
        <f t="array" ref="CT104">IF(SnapshotTable[[#This Row],[SP Is Filled]], btc_should_buy_back(SnapshotTable[[#This Row],[SP Fill Date]], SnapshotTable[[#This Row],[SP Exp Date]], SnapshotTable[[#This Row],[SP Book Price]], SnapshotTable[[#This Row],[SP Current Ask]], MockToday, SnapshotTable[[#This Row],[SP Buyback Override]]),"")</f>
        <v/>
      </c>
      <c r="CU104" s="143"/>
      <c r="CV104" s="235"/>
      <c r="CW104" s="378" t="str">
        <f>IF(ISNUMBER( SnapshotTable[[#This Row],[SP Term]]), SnapshotTable[[#This Row],[SP Exp Date]] - MockToday,"")</f>
        <v/>
      </c>
      <c r="CX104" s="31" t="str">
        <f>IF(SnapshotTable[[#This Row],[SP Is Filled]],SnapshotTable[[#This Row],[SP Buyback Price to Use]] * 100 * SnapshotTable[[#This Row],[SP Qty]], "")</f>
        <v/>
      </c>
      <c r="CY104" s="4" t="str">
        <f>IF(ISNUMBER(SnapshotTable[[#This Row],[SP Strike Price]]), SnapshotTable[[#This Row],[SP Strike Price]] * (1 - SP_MaxLoss_StrikePct), "")</f>
        <v/>
      </c>
      <c r="CZ104" s="31" t="str">
        <f>IF(ISNUMBER(SnapshotTable[[#This Row],[SP Strike  Stop Per Share]]),SnapshotTable[[#This Row],[SP Premium]] - ((SnapshotTable[[#This Row],[SP Strike Price]]-SnapshotTable[[#This Row],[SP Strike  Stop Per Share]]) *(SnapshotTable[[#This Row],[SP Qty]] * 100)),"")</f>
        <v/>
      </c>
      <c r="DA104" s="4" t="str">
        <f>IF(AND(ISNUMBER(SnapshotTable[[#This Row],[SP Premium]]),SnapshotTable[[#This Row],[SP Premium]]&gt;0), SnapshotTable[[#This Row],[SP Book Price]] * (1 + SP_MaxLoss_OptionPct), "")</f>
        <v/>
      </c>
      <c r="DB104" s="31" t="str">
        <f>IF(ISNUMBER(SnapshotTable[[#This Row],[SP Option  Stop Contract]]),(SnapshotTable[[#This Row],[SP Option  Stop Contract]] *(SnapshotTable[[#This Row],[SP Qty]] * 100) - SnapshotTable[[#This Row],[SP Premium]]),"")</f>
        <v/>
      </c>
      <c r="DC104" s="4"/>
      <c r="DD104" s="4"/>
      <c r="DE104" s="4" t="str">
        <f>IF(AND(SnapshotTable[[#This Row],[SP Qty]]&gt;0, SnapshotTable[[#This Row],[SP Stop To Use]]&gt;0),SnapshotTable[[#This Row],[SP Premium]] - ( SnapshotTable[[#This Row],[SP Qty]] * SnapshotTable[[#This Row],[SP Stop To Use]] * 100), "")</f>
        <v/>
      </c>
      <c r="DF104" s="31" t="str">
        <f>IF(AND(SnapshotTable[[#This Row],[SP Qty]]&gt;0,SnapshotTable[[#This Row],[SP Current Ask]]&gt;0), SnapshotTable[[#This Row],[SP Qty]] * SnapshotTable[[#This Row],[SP Current Ask]] * -100, "")</f>
        <v/>
      </c>
      <c r="DG104" s="31" t="str">
        <f>IF(ISNUMBER((SnapshotTable[[#This Row],[SP Total Value]])), SnapshotTable[[#This Row],[SP Premium]] + SnapshotTable[[#This Row],[SP Total Value]], "")</f>
        <v/>
      </c>
      <c r="DH104" s="294" t="str">
        <f>IF(ISNUMBER((SnapshotTable[[#This Row],[SP Total Value]])), SnapshotTable[[#This Row],[SP Gain Loss]] / SnapshotTable[[#This Row],[SP Premium]], "")</f>
        <v/>
      </c>
      <c r="DI104" s="406"/>
      <c r="DJ104" s="138"/>
      <c r="DK104" s="148"/>
      <c r="DL104" s="13"/>
      <c r="DM104" s="13"/>
      <c r="DO104" s="31">
        <f>IF(SnapshotTable[[#This Row],[LC Symbol Count]]=1, SnapshotTable[[#This Row],[LC Qty]] * SnapshotTable[[#This Row],[LC Book Price]] * 100, 0)</f>
        <v>0</v>
      </c>
      <c r="DP104" s="163" t="str">
        <f>IF(AND(SnapshotTable[[#This Row],[LC Exp Date]]&gt;0, SnapshotTable[[#This Row],[LC Strike Price]]&gt;0,SnapshotTable[[#This Row],[LC Qty]]&gt;0,SnapshotTable[[#This Row],[LC Book Date]]&gt;0,SnapshotTable[[#This Row],[LC Book Price]]&gt;0,SnapshotTable[[#This Row],[LC Fill Date]]=0),"Y","")</f>
        <v/>
      </c>
      <c r="DQ104" s="386" t="str">
        <f>IF(SnapshotTable[[#This Row],[LC Premium]] &gt; 0,SnapshotTable[[#This Row],[LC Exp Date]]-MAX(SnapshotTable[[#This Row],[LC Book Date]], SnapshotTable[[#This Row],[LC Fill Date]]),"")</f>
        <v/>
      </c>
      <c r="DR104" s="386" t="str">
        <f>IF(ISNUMBER(SnapshotTable[[#This Row],[LC Term]]), SnapshotTable[[#This Row],[LC Exp Date]] - MockToday, "")</f>
        <v/>
      </c>
      <c r="DS104" s="234" t="str">
        <f>IF(SnapshotTable[[#This Row],[LC Premium]]&gt;0,SnapshotTable[[#This Row],[LC Strike Price]] + SnapshotTable[[#This Row],[LC Book Price]],"")</f>
        <v/>
      </c>
      <c r="DU104" s="9" t="str">
        <f>IF(AND(SnapshotTable[[#This Row],[LC Symbol Count]]&gt;0, SnapshotTable[[#This Row],[LC Contract Value]]&gt;0), SnapshotTable[[#This Row],[LC Contract Value]] * SnapshotTable[[#This Row],[LC Qty]] * 100, "")</f>
        <v/>
      </c>
      <c r="DV104" s="9" t="str">
        <f>IF(AND(ISNUMBER(SnapshotTable[[#This Row],[LC Total Value]]), SnapshotTable[[#This Row],[LC Not Filled]]&lt;&gt;"Y"), SnapshotTable[[#This Row],[LC Total Value]]-SnapshotTable[[#This Row],[LC Premium]],"")</f>
        <v/>
      </c>
      <c r="DW104" s="240" t="str">
        <f>IF(ISNUMBER(SnapshotTable[[#This Row],[LC Actual Gain Loss]]), SnapshotTable[[#This Row],[LC Actual Gain Loss]] / SnapshotTable[[#This Row],[LC Premium]],"")</f>
        <v/>
      </c>
      <c r="DX104" s="284" t="str">
        <f>IF(ISNUMBER(SnapshotTable[[#This Row],[LC Book Price]]),SnapshotTable[[#This Row],[LC Book Price]] * 1.5,"")</f>
        <v/>
      </c>
      <c r="DY104" s="265" t="str">
        <f>IF(SnapshotTable[[#This Row],[LC Premium]]&gt;0, SnapshotTable[[#This Row],[LC Next Target]] * SnapshotTable[[#This Row],[LC Qty]] * 100,"")</f>
        <v/>
      </c>
      <c r="DZ104" s="265" t="str">
        <f>IF(ISNUMBER(SnapshotTable[[#This Row],[LC Target Gross]]), SnapshotTable[[#This Row],[LC Target Gross]] - SnapshotTable[[#This Row],[LC Premium]], "")</f>
        <v/>
      </c>
      <c r="EA104" s="305" t="str">
        <f>IF(ISNUMBER(SnapshotTable[[#This Row],[LC Target Gain Loss]]), SnapshotTable[[#This Row],[LC Target Gain Loss]]/SnapshotTable[[#This Row],[LC Premium]], "")</f>
        <v/>
      </c>
      <c r="EB104" s="262"/>
      <c r="EC104" s="283" t="str">
        <f>IF(SnapshotTable[[#This Row],[LC Premium]]&gt;0, SnapshotTable[[#This Row],[LC Book Price]] * (1 - LC_StopLoss_Pct),"")</f>
        <v/>
      </c>
      <c r="ED104" s="284"/>
      <c r="EE104" s="283" t="str">
        <f>IF(ISNUMBER(SnapshotTable[[#This Row],[LC Contract Value]]),IF(ISNUMBER(SnapshotTable[[#This Row],[LC Stop Loss Override]]), SnapshotTable[[#This Row],[LC Stop Loss Override]],SnapshotTable[[#This Row],[LC Stop Loss Calc Target]]),"")</f>
        <v/>
      </c>
      <c r="EF104" s="31" t="str">
        <f>IF(ISNUMBER(SnapshotTable[[#This Row],[LC Stop  To Use]]), (SnapshotTable[[#This Row],[LC Stop  To Use]] * SnapshotTable[[#This Row],[LC Qty]] * 100),"")</f>
        <v/>
      </c>
      <c r="EG104" s="9" t="str">
        <f>IF(ISNUMBER(SnapshotTable[[#This Row],[LC Total Value]]),SnapshotTable[[#This Row],[LC Stop Loss Amount]] - SnapshotTable[[#This Row],[LC Premium]],"")</f>
        <v/>
      </c>
      <c r="EH104" s="9">
        <f>IF(ISNUMBER(SnapshotTable[[#This Row],[LC Premium]]), SnapshotTable[[#This Row],[LC Qty]] * 100 * SnapshotTable[[#This Row],[LC Strike Price]], "")</f>
        <v>0</v>
      </c>
      <c r="EI104" s="240" t="str">
        <f>IF(AND(ISNUMBER(SnapshotTable[[#This Row],[LC Total Value]]),SnapshotTable[[#This Row],[LC Total Value]]&gt;0),SnapshotTable[[#This Row],[LC Stop Gain Loss]]  / SnapshotTable[[#This Row],[LC Premium]],"")</f>
        <v/>
      </c>
      <c r="EJ104" s="35">
        <f>IF(ISNUMBER(SnapshotTable[[#This Row],[Equity Shares]]),TRUNC(SnapshotTable[[#This Row],[Equity Shares]] / 100),0) + SnapshotTable[[#This Row],[LC Qty]]</f>
        <v>0</v>
      </c>
      <c r="EK104" s="147"/>
      <c r="EL104" s="138" t="str">
        <f>IF(SnapshotTable[[#This Row],[SC Exp Date]]&lt;&gt;"",TRUNC(SnapshotTable[[#This Row],[Last Price]]),"")</f>
        <v/>
      </c>
      <c r="EM104" s="148"/>
      <c r="EN104" s="147"/>
      <c r="EO104" s="147"/>
      <c r="EP104" s="138"/>
      <c r="EQ104" s="419" t="b">
        <f>AND(ISNUMBER(SnapshotTable[[#This Row],[SC Exp Date]]), ISNUMBER(SnapshotTable[[#This Row],[SC Strike Price]]), ISNUMBER(SnapshotTable[[#This Row],[SC Qty]]), ISNUMBER(SnapshotTable[[#This Row],[SC Book Date]]), ISNUMBER(SnapshotTable[[#This Row],[SC Book Price]]))</f>
        <v>0</v>
      </c>
      <c r="ER104" s="419" t="b">
        <f>AND(SnapshotTable[[#This Row],[SC Is Booked]], NOT(ISBLANK(SnapshotTable[[#This Row],[SC Fill Date]])))</f>
        <v>0</v>
      </c>
      <c r="ES104" s="370"/>
      <c r="ET104" s="34" t="str">
        <f>IF(AND(ISNUMBER(SnapshotTable[[#This Row],[SC Exp Date]]), ISNUMBER(SnapshotTable[[#This Row],[SC Book Date]])), SnapshotTable[[#This Row],[SC Exp Date]] - MAX(SnapshotTable[[#This Row],[SC Book Date]], SnapshotTable[[#This Row],[SC Fill Date]]) + 1, "")</f>
        <v/>
      </c>
      <c r="EU104" s="34" t="str">
        <f>IF(ISNUMBER(SnapshotTable[[#This Row],[SC Term]]), SnapshotTable[[#This Row],[SC Exp Date]]- MockToday, "")</f>
        <v/>
      </c>
      <c r="EV104" s="31">
        <f>IF(SnapshotTable[[#This Row],[SC Is Booked]], SnapshotTable[[#This Row],[SC Qty]] * SnapshotTable[[#This Row],[SC Book Price]] * 100, 0)</f>
        <v>0</v>
      </c>
      <c r="EW104" s="4" t="str">
        <f>IF(AND(ISNUMBER(SnapshotTable[[#This Row],[Last Price]]), ISNUMBER( SnapshotTable[[#This Row],[SC Book Price]])), SnapshotTable[[#This Row],[Last Price]] - SnapshotTable[[#This Row],[SC Book Price]],"")</f>
        <v/>
      </c>
      <c r="EX104" s="234" t="str">
        <f>IF(SnapshotTable[[#This Row],[SC Is Booked]],IF(SnapshotTable[[#This Row],[SC Intrinsic Value]] &gt; 0, SnapshotTable[[#This Row],[SC Strike Price]], SnapshotTable[[#This Row],[Last Price]]), "")</f>
        <v/>
      </c>
      <c r="EY104" s="4">
        <f>IF(SnapshotTable[[#This Row],[SC Is Booked]], (MinimumPremiumRequired * SnapshotTable[[#This Row],[SC Basis]] * SnapshotTable[[#This Row],[SC Term]]), 0)</f>
        <v>0</v>
      </c>
      <c r="EZ104" s="283"/>
      <c r="FA104" s="218"/>
      <c r="FB104" s="370"/>
      <c r="FC104" s="4">
        <f>IF(SnapshotTable[[#This Row],[SC Is Filled]], btc_max_buyback_amount(SnapshotTable[[#This Row],[SC Fill Date]],SnapshotTable[[#This Row],[SC Exp Date]], SnapshotTable[[#This Row],[SC Book Price]]),0)</f>
        <v>0</v>
      </c>
      <c r="FD104" s="5"/>
      <c r="FE104" s="144" t="str">
        <f>IF(SnapshotTable[[#This Row],[SC Is Filled]], btc_next_cutoff_date(SnapshotTable[[#This Row],[SC Fill Date]],SnapshotTable[[#This Row],[SC Exp Date]]),"")</f>
        <v/>
      </c>
      <c r="FF104" s="4" t="str" cm="1">
        <f t="array" ref="FF104">IF(SnapshotTable[[#This Row],[SC Is Filled]], btc_should_buy_back(SnapshotTable[[#This Row],[SC Fill Date]], SnapshotTable[[#This Row],[SC Exp Date]], SnapshotTable[[#This Row],[SC Book Price]], SnapshotTable[[#This Row],[SC Current Ask]], MockToday, SnapshotTable[[#This Row],[SC Buyback Override]]),"")</f>
        <v/>
      </c>
      <c r="FG104" s="4">
        <f>IF(SnapshotTable[[#This Row],[SC Is Filled]], MAX(0,SnapshotTable[[#This Row],[Last Price]]  - SnapshotTable[[#This Row],[SC Strike Price]]), 0)</f>
        <v>0</v>
      </c>
      <c r="FH104" s="382">
        <f>IF(SnapshotTable[[#This Row],[SC Is Filled]], IF(ISNUMBER(SnapshotTable[[#This Row],[SC Current Ask]]), SnapshotTable[[#This Row],[SC Current Ask]], SnapshotTable[[#This Row],[SC Book Price]]) - SnapshotTable[[#This Row],[SC Intrinsic Value]], 0)</f>
        <v>0</v>
      </c>
      <c r="FI104" s="143"/>
      <c r="FJ104" s="32" t="str">
        <f>IF(SnapshotTable[[#This Row],[SC Is Filled]],100 * SnapshotTable[[#This Row],[SC Qty]] * IF(ISNUMBER(SnapshotTable[[#This Row],[SC Buyback Override]]), SnapshotTable[[#This Row],[SC Buyback Override]], SnapshotTable[[#This Row],[SC Current Ask]]), "")</f>
        <v/>
      </c>
      <c r="FK104" s="250" t="str">
        <f>IF(SnapshotTable[[#This Row],[SC Time Val]]&gt;0, SnapshotTable[[#This Row],[SC Time Val]] / SnapshotTable[[#This Row],[Last Price]],"")</f>
        <v/>
      </c>
      <c r="FL104" s="302" t="str">
        <f>IF(SnapshotTable[[#This Row],[SC Is Booked]], ((SnapshotTable[[#This Row],[Last Price]] -SnapshotTable[[#This Row],[SC Strike Price]]) / SnapshotTable[[#This Row],[Last Price]]) * -1, "")</f>
        <v/>
      </c>
      <c r="FM104" s="157" t="str">
        <f>IF(SnapshotTable[[#This Row],[SC Is Booked]],  (SnapshotTable[[#This Row],[SC Qty]] * 100 * SnapshotTable[[#This Row],[SC Strike Price]]) - SnapshotTable[[#This Row],[SC Current Ask]], "")</f>
        <v/>
      </c>
      <c r="FN10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4" s="31" t="str">
        <f>IF(AND(ISNUMBER(SnapshotTable[[#This Row],[SC Exercise Gross]]), ISNUMBER(SnapshotTable[[#This Row],[Equity Basis Per Share]] )), SnapshotTable[[#This Row],[SC Exercise Gross]] - SnapshotTable[[#This Row],[Equity Basis Total]] +  SnapshotTable[[#This Row],[SC Premium]], "")</f>
        <v/>
      </c>
      <c r="FP104" s="5" t="str">
        <f>IF(ISNUMBER(SnapshotTable[[#This Row],[SC Exercise Gross]]), (SnapshotTable[[#This Row],[SC Exercise Gross]]) / (SnapshotTable[[#This Row],[SC Qty]] * 100), "")</f>
        <v/>
      </c>
      <c r="FQ104" s="27" t="str">
        <f>IF(SnapshotTable[[#This Row],[SC Is Booked]],SnapshotTable[[#This Row],[SC Time Val]] /SnapshotTable[[#This Row],[SC Basis]], "")</f>
        <v/>
      </c>
      <c r="FR104" s="27" t="str" cm="1">
        <f t="array" ref="FR104">IF(AND(ISNUMBER(SnapshotTable[[#This Row],[SC Term]]),ISNUMBER(SnapshotTable[[#This Row],[SC Simple ROO]])), EllmanAnnualize(SnapshotTable[[#This Row],[SC DTE]], SnapshotTable[[#This Row],[SC Simple ROO]] ),"")</f>
        <v/>
      </c>
      <c r="FS104" s="4" t="e">
        <f>IF(SnapshotTable[[#This Row],[SC Strike Price]] &gt; SnapshotTable[[#This Row],[Last Price]], SnapshotTable[[#This Row],[SC Strike Price]] - SnapshotTable[[#This Row],[Last Price]],0)</f>
        <v>#VALUE!</v>
      </c>
      <c r="FT104" s="27" t="e">
        <f>IF(AND(ISNUMBER(SnapshotTable[[#This Row],[SC Upside Potential]]), SnapshotTable[[#This Row],[SC Upside Potential]] &gt; 0),(SnapshotTable[[#This Row],[SC Upside Potential]]/ SnapshotTable[[#This Row],[ACB]]),"")</f>
        <v>#VALUE!</v>
      </c>
      <c r="FU104" s="333" t="str">
        <f>IF(SnapshotTable[[#This Row],[SC Intrinsic Value]] &gt; 0,SnapshotTable[[#This Row],[SC Intrinsic Value]],"")</f>
        <v/>
      </c>
      <c r="FV104" s="27" t="str">
        <f>IF(AND( ISNUMBER( SnapshotTable[[#This Row],[ACB]]),ISNUMBER(SnapshotTable[[#This Row],[SC Downside Protect]])),SnapshotTable[[#This Row],[SC Downside Protect]] / SnapshotTable[[#This Row],[ACB]],"")</f>
        <v/>
      </c>
      <c r="FW104" s="236" t="str">
        <f>IF(AND(ISNUMBER(SnapshotTable[[#This Row],[SC Simple ROO]]),SnapshotTable[[#This Row],[SC Simple ROO]] &gt; 0), SnapshotTable[[#This Row],[SC Premium]] + (SnapshotTable[[#This Row],[SC Qty]] * SnapshotTable[[#This Row],[SC Upside Potential]]), "")</f>
        <v/>
      </c>
      <c r="FX104" s="302" t="str" cm="1">
        <f t="array" ref="FX104">IF(ISNUMBER(SnapshotTable[[#This Row],[SC Max Dollars]]), annualize(SnapshotTable[[#This Row],[SC Term]],(SnapshotTable[[#This Row],[SC Max Dollars]]/SnapshotTable[[#This Row],[SC Basis]])),"")</f>
        <v/>
      </c>
      <c r="FY104" s="236" t="str">
        <f>IF(AND(SnapshotTable[[#This Row],[SC Qty]]&gt;0,SnapshotTable[[#This Row],[SC Current Ask]]&gt;0), SnapshotTable[[#This Row],[SC Qty]] * SnapshotTable[[#This Row],[SC Current Ask]] * -100, "")</f>
        <v/>
      </c>
      <c r="FZ104" s="31" t="str">
        <f>IF(ISNUMBER((SnapshotTable[[#This Row],[SC Current Value]])), SnapshotTable[[#This Row],[SC Premium]] + SnapshotTable[[#This Row],[SC Current Value]], "")</f>
        <v/>
      </c>
      <c r="GA104" s="294" t="str">
        <f>IFERROR( IF(ISNUMBER((SnapshotTable[[#This Row],[SC Current Value]])), SnapshotTable[[#This Row],[SC Gain Loss]] / SnapshotTable[[#This Row],[SC Premium]], ""), "")</f>
        <v/>
      </c>
      <c r="GB104" s="42">
        <f>SnapshotTable[[#This Row],[Equity Shares]] * SaleSharesToConsiderPercentage</f>
        <v>0</v>
      </c>
      <c r="GC104" s="40">
        <f>SnapshotTable[[#This Row],[Long Term Target]] * SellingPriceToConsiderBasedOnTargetPercentage</f>
        <v>142.8135</v>
      </c>
      <c r="GD104" s="40">
        <f>SnapshotTable[[#This Row],[Last Price]] * (1+ SellingPriceToConsiderBasedOnTargetPercentage)</f>
        <v>265.58999999999997</v>
      </c>
      <c r="GE104" s="41"/>
      <c r="GF104" s="40"/>
      <c r="GG104" s="31">
        <f>SnapshotTable[[#This Row],[Booked Sale Shares]] * SnapshotTable[[#This Row],[Booked Sale Price]]</f>
        <v>0</v>
      </c>
      <c r="GH104" s="31" t="str">
        <f>IF(SnapshotTable[[#This Row],[Equity Basis Total]] &gt; 0, SnapshotTable[[#This Row],[Equity Basis Per Share]] * SnapshotTable[[#This Row],[Booked Sale Shares]], "")</f>
        <v/>
      </c>
      <c r="GI104" s="31">
        <f>IF(SnapshotTable[[#This Row],[Sale Proceeds]]&gt;0, SnapshotTable[[#This Row],[Sale Proceeds]] - SnapshotTable[[#This Row],[Sale Basis]], 0)</f>
        <v>0</v>
      </c>
      <c r="GJ104" s="27" t="str">
        <f>IF(SnapshotTable[[#This Row],[Sale G/L]]&gt;0, SnapshotTable[[#This Row],[Sale G/L]] / SnapshotTable[[#This Row],[Sale Basis]], IF(ISNUMBER(SnapshotTable[[#This Row],[SC Exercise P&amp;L (TAX)]]), SnapshotTable[[#This Row],[SC Exercise P&amp;L (TAX)]] / SnapshotTable[[#This Row],[SC Basis]], ""))</f>
        <v/>
      </c>
      <c r="GK104" s="27"/>
      <c r="GL104" s="43" t="str">
        <f>IF(AND(SnapshotTable[[#This Row],[LP Exp Date]]&gt;0,SnapshotTable[[#This Row],[LP Strike Price]]&gt;0), [1]!ToOptionSymbol(SnapshotTable[[#This Row],[Symbol]], SnapshotTable[[#This Row],[LP Strike Price]],SnapshotTable[[#This Row],[LP Exp Date]],1), "")</f>
        <v/>
      </c>
      <c r="GM104" s="30" t="str">
        <f>IF(LEN(SnapshotTable[[#This Row],[LP Symbol]])&gt;0, 1, "")</f>
        <v/>
      </c>
      <c r="GN104" s="43" t="str">
        <f>IF(AND(SnapshotTable[[#This Row],[SP Exp Date]]&gt;0,SnapshotTable[[#This Row],[SP Strike Price]]&gt;0), [1]!ToOptionSymbol(SnapshotTable[[#This Row],[Symbol]], SnapshotTable[[#This Row],[SP Strike Price]],SnapshotTable[[#This Row],[SP Exp Date]],1), "")</f>
        <v/>
      </c>
      <c r="GO104" s="30" t="str">
        <f>IF(LEN(SnapshotTable[[#This Row],[SP Symbol]])&gt;0, 1, "")</f>
        <v/>
      </c>
      <c r="GP104" s="43" t="str">
        <f>IF(AND(SnapshotTable[[#This Row],[LC Exp Date]]&gt;0,SnapshotTable[[#This Row],[LC Strike Price]]&gt;0), [1]!ToOptionSymbol(SnapshotTable[[#This Row],[Symbol]], SnapshotTable[[#This Row],[LC Strike Price]],SnapshotTable[[#This Row],[LC Exp Date]],0), "")</f>
        <v/>
      </c>
      <c r="GQ104" s="30" t="str">
        <f>IF(LEN(SnapshotTable[[#This Row],[LC Symbol]])&gt;0, 1, "")</f>
        <v/>
      </c>
      <c r="GR104" s="43" t="str">
        <f>IF(AND(SnapshotTable[[#This Row],[SC Exp Date]]&gt;0,SnapshotTable[[#This Row],[SC Strike Price]]&gt;0), [1]!ToOptionSymbol(SnapshotTable[[#This Row],[Symbol]], SnapshotTable[[#This Row],[SC Strike Price]],SnapshotTable[[#This Row],[SC Exp Date]],0), "")</f>
        <v/>
      </c>
      <c r="GS104" s="30" t="str">
        <f>IF(LEN(SnapshotTable[[#This Row],[SC Symbol]])&gt;0, 1, "")</f>
        <v/>
      </c>
      <c r="GT104" s="29" t="str">
        <f>IF(COUNT(SnapshotTable[[#This Row],[LP Symbol Count]],SnapshotTable[[#This Row],[SP Symbol Count]],SnapshotTable[[#This Row],[LC Symbol Count]],SnapshotTable[[#This Row],[SC Symbol Count]])&gt;0, "Y", "")</f>
        <v/>
      </c>
      <c r="GU10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4" s="231" t="e">
        <f>MAX(SnapshotTable[[#This Row],[Equity Basis Total]],SnapshotTable[[#This Row],[Equity Value]]) + (SnapshotTable[[#This Row],[SP Potential Spend]]- SnapshotTable[[#This Row],[SP Premium]] + SnapshotTable[[#This Row],[LP Premium]])+ (SnapshotTable[[#This Row],[LC Premium]] - SnapshotTable[[#This Row],[SC Premium]])</f>
        <v>#VALUE!</v>
      </c>
      <c r="GW104" s="139" t="e">
        <f>IF(AND(SnapshotTable[[#This Row],[Exposure]] &lt;&gt; 0),SnapshotTable[[#This Row],[Exposure]] / SnapshotTable[[#Totals],[Exposure]], "")</f>
        <v>#VALUE!</v>
      </c>
      <c r="HE104" s="268"/>
      <c r="HF104" s="268"/>
      <c r="HK104" s="1"/>
      <c r="HL104" s="1"/>
      <c r="HM104" s="1"/>
      <c r="HN104" s="1"/>
      <c r="HO104" s="1"/>
      <c r="HP104" s="1"/>
    </row>
    <row r="105" spans="2:224" ht="12.75" hidden="1" customHeight="1" x14ac:dyDescent="0.25">
      <c r="B105" s="12" t="s">
        <v>1244</v>
      </c>
      <c r="C105" s="422">
        <v>3.95</v>
      </c>
      <c r="D105" s="208" t="s">
        <v>258</v>
      </c>
      <c r="E105" s="39">
        <f>SnapshotTable[[#This Row],[Last Price]]*(1 -CrashDiscount)</f>
        <v>3.3574999999999999</v>
      </c>
      <c r="F105" s="26" t="s">
        <v>550</v>
      </c>
      <c r="G105" s="26" t="s">
        <v>41</v>
      </c>
      <c r="H105" s="149"/>
      <c r="I105" s="194"/>
      <c r="J105" s="195"/>
      <c r="K105" s="196"/>
      <c r="L105" s="326"/>
      <c r="M105" s="140"/>
      <c r="N105" s="140"/>
      <c r="O105" s="140"/>
      <c r="P105" s="22"/>
      <c r="Q105" s="25"/>
      <c r="R105" s="4" t="str">
        <f>IF(SnapshotTable[[#This Row],[Equity Basis Total]] &gt; 0, SnapshotTable[[#This Row],[Equity Basis Total]] / SnapshotTable[[#This Row],[Equity Shares]], "")</f>
        <v/>
      </c>
      <c r="S105" s="269">
        <f>SnapshotTable[[#This Row],[Last Price]] * SnapshotTable[[#This Row],[Equity Shares]]</f>
        <v>0</v>
      </c>
      <c r="T105" s="269">
        <f>SnapshotTable[[#This Row],[Equity Value]] - SnapshotTable[[#This Row],[Equity Basis Total]]</f>
        <v>0</v>
      </c>
      <c r="U105" s="270" t="str">
        <f>IF(SnapshotTable[[#This Row],[Equity Basis Total]] &gt; 0, SnapshotTable[[#This Row],[Equity G/L]] / SnapshotTable[[#This Row],[Equity Basis Total]], "")</f>
        <v/>
      </c>
      <c r="V105" s="268"/>
      <c r="W105" s="268"/>
      <c r="X105" s="4" t="str">
        <f>IF(AND(ISNUMBER(SnapshotTable[[#This Row],[Equity Basis Per Share]]),ISNUMBER(SnapshotTable[[#This Row],[Equity Target]])),SnapshotTable[[#This Row],[Equity Target]]-SnapshotTable[[#This Row],[Equity Basis Per Share]],"")</f>
        <v/>
      </c>
      <c r="Y105" s="4" t="str">
        <f>IF(AND(ISNUMBER(SnapshotTable[[#This Row],[Equity Basis Per Share]]),ISNUMBER(SnapshotTable[[#This Row],[Equity Stop Loss]])),SnapshotTable[[#This Row],[Equity Stop Loss]]-SnapshotTable[[#This Row],[Equity Basis Per Share]],"")</f>
        <v/>
      </c>
      <c r="Z105" s="275" t="str">
        <f>IFERROR( TEXT(SnapshotTable[[#This Row],[Equity Max Gain Per Share]] /ABS( SnapshotTable[[#This Row],[Equity Max Loss Per Share]]),"0.0 " ) &amp; " : 1", "")</f>
        <v/>
      </c>
      <c r="AA105" s="31" t="str">
        <f>IF(ISNUMBER(SnapshotTable[[#This Row],[Equity Max Gain Per Share]]),SnapshotTable[[#This Row],[Equity Max Gain Per Share]] * SnapshotTable[[#This Row],[Equity Shares]],"")</f>
        <v/>
      </c>
      <c r="AB105" s="31" t="str">
        <f>IF(ISNUMBER(SnapshotTable[[#This Row],[Equity Max Loss Per Share]]),SnapshotTable[[#This Row],[Equity Max Loss Per Share]] * SnapshotTable[[#This Row],[Equity Shares]],"")</f>
        <v/>
      </c>
      <c r="AC105" s="150"/>
      <c r="AD105" s="151"/>
      <c r="AE105" s="31">
        <f>(SnapshotTable[[#This Row],[Annual Dividend Per Share]] / 4) * SnapshotTable[[#This Row],[Equity Shares]]</f>
        <v>0</v>
      </c>
      <c r="AF105" s="31">
        <f>SnapshotTable[[#This Row],[Quarterly Div $]] * 4</f>
        <v>0</v>
      </c>
      <c r="AG105" s="7">
        <f>IF(SnapshotTable[[#This Row],[Annual Dividend Per Share]]&gt;0, SnapshotTable[[#This Row],[Annual Dividend Per Share]]  / SnapshotTable[[#This Row],[Last Price]], 0)</f>
        <v>0</v>
      </c>
      <c r="AH105" s="151"/>
      <c r="AI105" s="5"/>
      <c r="AJ105" s="138"/>
      <c r="AK105" s="152" t="str">
        <f>IF(ISNUMBER( SnapshotTable[[#This Row],[EBF Target]]),(SnapshotTable[[#This Row],[EBF Target]] - SnapshotTable[[#This Row],[Last Price]]) / SnapshotTable[[#This Row],[Last Price]], "")</f>
        <v/>
      </c>
      <c r="AL105" s="152" t="str">
        <f>IF(AND(SnapshotTable[[#This Row],[Equity Basis Total]] &gt; 0,ISNUMBER( SnapshotTable[[#This Row],[Long Term Target]])), SnapshotTable[[#This Row],[From Basis $]] / SnapshotTable[[#This Row],[Equity Basis Total]], "")</f>
        <v/>
      </c>
      <c r="AM105" s="9">
        <f>IF( AND(SnapshotTable[[#This Row],[Equity Shares]] &gt;0,ISNUMBER( SnapshotTable[[#This Row],[Long Term Target]])),(SnapshotTable[[#This Row],[Equity Shares]] * SnapshotTable[[#This Row],[Long Term Target]]) - SnapshotTable[[#This Row],[Equity Basis Total]],0)</f>
        <v>0</v>
      </c>
      <c r="AN105" s="9">
        <f>IF( AND(SnapshotTable[[#This Row],[Equity Shares]] &gt;0,ISNUMBER( SnapshotTable[[#This Row],[Long Term Target]])),(SnapshotTable[[#This Row],[Equity Shares]]*SnapshotTable[[#This Row],[Long Term Target]]) - SnapshotTable[[#This Row],[Equity Value]],0)</f>
        <v>0</v>
      </c>
      <c r="AO105" s="152" t="str">
        <f>IF(AND(ISNUMBER( SnapshotTable[[#This Row],[Long Term Target]]), ISNUMBER(SnapshotTable[[#This Row],[Last Price]])),(SnapshotTable[[#This Row],[Long Term Target]] - SnapshotTable[[#This Row],[Last Price]]) / SnapshotTable[[#This Row],[Last Price]], "")</f>
        <v/>
      </c>
      <c r="AP105" s="5">
        <v>4</v>
      </c>
      <c r="AQ105" s="38" t="s">
        <v>27</v>
      </c>
      <c r="AR105" s="5">
        <v>2</v>
      </c>
      <c r="AS105" s="38" t="s">
        <v>1083</v>
      </c>
      <c r="AT105" s="146" t="s">
        <v>533</v>
      </c>
      <c r="AU105" s="187" t="str">
        <f>IF(OR(SnapshotTable[[#This Row],[LP No Fill]]="Y",SnapshotTable[[#This Row],[SP Is Filled]],SnapshotTable[[#This Row],[LC Not Filled]]="Y",SnapshotTable[[#This Row],[SC Is Filled]]),"Y","")</f>
        <v/>
      </c>
      <c r="AV105" s="219"/>
      <c r="AW105" s="225"/>
      <c r="AX105" s="220"/>
      <c r="AY105" s="219" t="str">
        <f>IF(SnapshotTable[[#This Row],[Implied Move]]&gt;0, SnapshotTable[[#This Row],[Last Price]]-SnapshotTable[[#This Row],[Implied Move]],"")</f>
        <v/>
      </c>
      <c r="AZ105" s="219" t="str">
        <f>IF(SnapshotTable[[#This Row],[Implied Move]]&gt;0, SnapshotTable[[#This Row],[Last Price]] + SnapshotTable[[#This Row],[Implied Move]],"")</f>
        <v/>
      </c>
      <c r="BA105" s="331">
        <v>0.19</v>
      </c>
      <c r="BB105" s="347"/>
      <c r="BC10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5" s="351"/>
      <c r="BE105" s="5"/>
      <c r="BF105" s="14"/>
      <c r="BG105" s="13"/>
      <c r="BH105" s="13"/>
      <c r="BI105" s="5"/>
      <c r="BJ105" s="136">
        <f>IF(SnapshotTable[[#This Row],[LP Qty]] &gt; 0, SnapshotTable[[#This Row],[LP Qty]] * SnapshotTable[[#This Row],[LP Book Price]] * 100,0)</f>
        <v>0</v>
      </c>
      <c r="BK105" s="136">
        <f>IF(SnapshotTable[[#This Row],[LP Premium]] &gt; 0, SnapshotTable[[#This Row],[LP Qty]] * SnapshotTable[[#This Row],[LP Strike Price]] * 100,0)</f>
        <v>0</v>
      </c>
      <c r="BL105" s="154"/>
      <c r="BM105" s="385" t="str">
        <f>IF(SnapshotTable[[#This Row],[LP Premium]] &gt; 0,SnapshotTable[[#This Row],[LP Exp Date]]-MAX(SnapshotTable[[#This Row],[LP Book Date]], SnapshotTable[[#This Row],[LP Fill Date]]),"")</f>
        <v/>
      </c>
      <c r="BN105" s="385" t="str">
        <f>IF(ISNUMBER( SnapshotTable[[#This Row],[LP Term]]), SnapshotTable[[#This Row],[LP Exp Date]] - MockToday,"")</f>
        <v/>
      </c>
      <c r="BO105" s="163" t="str">
        <f>IF(AND(SnapshotTable[[#This Row],[LP Exp Date]]&gt;0, SnapshotTable[[#This Row],[LP Strike Price]]&gt;0,SnapshotTable[[#This Row],[LP Qty]]&gt;0,SnapshotTable[[#This Row],[LP Book Date]]&gt;0,SnapshotTable[[#This Row],[LP Book Price]]&gt;0,SnapshotTable[[#This Row],[LP Fill Date]]=0),"Y","")</f>
        <v/>
      </c>
      <c r="BP105" s="31" t="str">
        <f>IF(AND(SnapshotTable[[#This Row],[LP No Fill]]&lt;&gt;"Y",SnapshotTable[[#This Row],[LP Contract Value]]&gt;0, SnapshotTable[[#This Row],[LP Qty]]&gt;0), SnapshotTable[[#This Row],[LP Contract Value]]*SnapshotTable[[#This Row],[LP Qty]]*100,"")</f>
        <v/>
      </c>
      <c r="BQ105" s="13"/>
      <c r="BR105" s="5" t="str">
        <f>IF(SnapshotTable[[#This Row],[SP Exp Date]]&lt;&gt;"",TRUNC(SnapshotTable[[#This Row],[Last Price]]),"")</f>
        <v/>
      </c>
      <c r="BS105" s="36"/>
      <c r="BT105" s="147"/>
      <c r="BU105" s="13"/>
      <c r="BV105" s="5"/>
      <c r="BW105" s="419" t="b">
        <f>AND(ISNUMBER(SnapshotTable[[#This Row],[SP Exp Date]]), ISNUMBER(SnapshotTable[[#This Row],[SP Strike Price]]), ISNUMBER(SnapshotTable[[#This Row],[SP Qty]]), ISNUMBER(SnapshotTable[[#This Row],[SP Book Date]]), ISNUMBER(SnapshotTable[[#This Row],[SP Book Price]]))</f>
        <v>0</v>
      </c>
      <c r="BX105" s="419" t="b">
        <f>AND(SnapshotTable[[#This Row],[SP Is Booked]], NOT(ISBLANK(SnapshotTable[[#This Row],[SP Fill Date]])))</f>
        <v>0</v>
      </c>
      <c r="BY105" s="33">
        <f>IF(SnapshotTable[[#This Row],[SP Is Booked]], SnapshotTable[[#This Row],[SP Qty]] * SnapshotTable[[#This Row],[SP Book Price]] * 100, 0)</f>
        <v>0</v>
      </c>
      <c r="BZ105" s="369"/>
      <c r="CA105" s="368">
        <f>SnapshotTable[[#This Row],[LP Qty]]</f>
        <v>0</v>
      </c>
      <c r="CB105" s="4" t="str">
        <f>IF(SnapshotTable[[#This Row],[SP Is Booked]], SnapshotTable[[#This Row],[SP Strike Price]] - SnapshotTable[[#This Row],[SP Book Price]], "")</f>
        <v/>
      </c>
      <c r="CC105" s="19" t="str">
        <f>IF(SnapshotTable[[#This Row],[SP Is Booked]],SnapshotTable[[#This Row],[SP Exp Date]]-MAX(SnapshotTable[[#This Row],[SP Book Date]], SnapshotTable[[#This Row],[SP Fill Date]]),"")</f>
        <v/>
      </c>
      <c r="CD105" s="7" t="str">
        <f>IF(SnapshotTable[[#This Row],[SP Is Booked]], SnapshotTable[[#This Row],[SP Book Price]]/SnapshotTable[[#This Row],[SP Strike Price]], "")</f>
        <v/>
      </c>
      <c r="CE105" s="7" t="str">
        <f>IF(ISNUMBER(SnapshotTable[[#This Row],[SP ROO Term]]),SnapshotTable[[#This Row],[SP ROO Term]]*(365/SnapshotTable[[#This Row],[SP Term]]),"")</f>
        <v/>
      </c>
      <c r="CF105" s="236">
        <f>SnapshotTable[[#This Row],[LP Strike Price]] * SnapshotTable[[#This Row],[LP Qty]] * 100</f>
        <v>0</v>
      </c>
      <c r="CG105" s="31" t="e">
        <f>IF(ISNUMBER(SnapshotTable[[#This Row],[SP Premium]]), (SnapshotTable[[#This Row],[SP Qty]] * SnapshotTable[[#This Row],[SP Strike Price]]* 100) - SnapshotTable[[#This Row],[LP Protection]], 0)</f>
        <v>#VALUE!</v>
      </c>
      <c r="CH105" s="7" t="str">
        <f>IF(ISNUMBER(SnapshotTable[[#This Row],[SP Break Even]]),-1 * (SnapshotTable[[#This Row],[SP Break Even]] - SnapshotTable[[#This Row],[Last Price]]) / SnapshotTable[[#This Row],[Last Price]], "")</f>
        <v/>
      </c>
      <c r="CI105" s="31">
        <f>IF(AND(ISNUMBER((SnapshotTable[[#This Row],[SP Potential Spend]])), SnapshotTable[[#This Row],[SP Strike Price]] &gt; SnapshotTable[[#This Row],[Last Price]], SnapshotTable[[#This Row],[SP Is Filled]]), SnapshotTable[[#This Row],[SP Potential Spend]] -  SnapshotTable[[#This Row],[LP Max Value]], 0)</f>
        <v>0</v>
      </c>
      <c r="CJ105" s="244">
        <v>0.8</v>
      </c>
      <c r="CK105" s="31" t="str">
        <f>IF(ISNUMBER(SnapshotTable[[#This Row],[SP Potential Spend]]),IF(ISNUMBER(SnapshotTable[[#This Row],[SP POW]]), SnapshotTable[[#This Row],[SP POW]] * SnapshotTable[[#This Row],[SP Potential Spend]], SnapshotTable[[#This Row],[SP Potential Spend]]), "")</f>
        <v/>
      </c>
      <c r="CL105" s="164" t="e">
        <f>IF(NOT(SnapshotTable[[#This Row],[SP Is Filled]]),(SnapshotTable[[#This Row],[SP Qty]] * SnapshotTable[[#This Row],[SP Strike Price]] * 100) - SnapshotTable[[#This Row],[LP Max Value]],"")</f>
        <v>#VALUE!</v>
      </c>
      <c r="CM105" s="31" t="str">
        <f>IF(SnapshotTable[[#This Row],[SP Actual Spend]]&lt;&gt;0, ((SnapshotTable[[#This Row],[SP Strike Price]]-SnapshotTable[[#This Row],[Last Price]]) *(SnapshotTable[[#This Row],[SP Qty]]*100) - SnapshotTable[[#This Row],[SP Premium]]) * - 1, "")</f>
        <v/>
      </c>
      <c r="CN105" s="78"/>
      <c r="CO105" s="369"/>
      <c r="CP105" s="4" t="str">
        <f>IF(SnapshotTable[[#This Row],[SP Is Filled]], btc_max_buyback_amount(SnapshotTable[[#This Row],[SP Fill Date]],SnapshotTable[[#This Row],[SP Exp Date]], SnapshotTable[[#This Row],[SP Book Price]]),"")</f>
        <v/>
      </c>
      <c r="CQ105" s="78"/>
      <c r="CR10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5" s="155" t="str">
        <f>IF(SnapshotTable[[#This Row],[SP Is Filled]], btc_next_cutoff_date(SnapshotTable[[#This Row],[SP Fill Date]],SnapshotTable[[#This Row],[SP Exp Date]]),"")</f>
        <v/>
      </c>
      <c r="CT105" s="235" t="str" cm="1">
        <f t="array" ref="CT105">IF(SnapshotTable[[#This Row],[SP Is Filled]], btc_should_buy_back(SnapshotTable[[#This Row],[SP Fill Date]], SnapshotTable[[#This Row],[SP Exp Date]], SnapshotTable[[#This Row],[SP Book Price]], SnapshotTable[[#This Row],[SP Current Ask]], MockToday, SnapshotTable[[#This Row],[SP Buyback Override]]),"")</f>
        <v/>
      </c>
      <c r="CU105" s="156"/>
      <c r="CV105" s="235"/>
      <c r="CW105" s="378" t="str">
        <f>IF(ISNUMBER( SnapshotTable[[#This Row],[SP Term]]), SnapshotTable[[#This Row],[SP Exp Date]] - MockToday,"")</f>
        <v/>
      </c>
      <c r="CX105" s="31" t="str">
        <f>IF(SnapshotTable[[#This Row],[SP Is Filled]],SnapshotTable[[#This Row],[SP Buyback Price to Use]] * 100 * SnapshotTable[[#This Row],[SP Qty]], "")</f>
        <v/>
      </c>
      <c r="CY105" s="4" t="str">
        <f>IF(ISNUMBER(SnapshotTable[[#This Row],[SP Strike Price]]), SnapshotTable[[#This Row],[SP Strike Price]] * (1 - SP_MaxLoss_StrikePct), "")</f>
        <v/>
      </c>
      <c r="CZ105" s="31" t="str">
        <f>IF(ISNUMBER(SnapshotTable[[#This Row],[SP Strike  Stop Per Share]]),SnapshotTable[[#This Row],[SP Premium]] - ((SnapshotTable[[#This Row],[SP Strike Price]]-SnapshotTable[[#This Row],[SP Strike  Stop Per Share]]) *(SnapshotTable[[#This Row],[SP Qty]] * 100)),"")</f>
        <v/>
      </c>
      <c r="DA105" s="4" t="str">
        <f>IF(AND(ISNUMBER(SnapshotTable[[#This Row],[SP Premium]]),SnapshotTable[[#This Row],[SP Premium]]&gt;0), SnapshotTable[[#This Row],[SP Book Price]] * (1 + SP_MaxLoss_OptionPct), "")</f>
        <v/>
      </c>
      <c r="DB105" s="31" t="str">
        <f>IF(ISNUMBER(SnapshotTable[[#This Row],[SP Option  Stop Contract]]),(SnapshotTable[[#This Row],[SP Option  Stop Contract]] *(SnapshotTable[[#This Row],[SP Qty]] * 100) - SnapshotTable[[#This Row],[SP Premium]]),"")</f>
        <v/>
      </c>
      <c r="DC105" s="4"/>
      <c r="DD105" s="4"/>
      <c r="DE105" s="4" t="str">
        <f>IF(AND(SnapshotTable[[#This Row],[SP Qty]]&gt;0, SnapshotTable[[#This Row],[SP Stop To Use]]&gt;0),SnapshotTable[[#This Row],[SP Premium]] - ( SnapshotTable[[#This Row],[SP Qty]] * SnapshotTable[[#This Row],[SP Stop To Use]] * 100), "")</f>
        <v/>
      </c>
      <c r="DF105" s="31" t="str">
        <f>IF(AND(SnapshotTable[[#This Row],[SP Qty]]&gt;0,SnapshotTable[[#This Row],[SP Current Ask]]&gt;0), SnapshotTable[[#This Row],[SP Qty]] * SnapshotTable[[#This Row],[SP Current Ask]] * -100, "")</f>
        <v/>
      </c>
      <c r="DG105" s="31" t="str">
        <f>IF(ISNUMBER((SnapshotTable[[#This Row],[SP Total Value]])), SnapshotTable[[#This Row],[SP Premium]] + SnapshotTable[[#This Row],[SP Total Value]], "")</f>
        <v/>
      </c>
      <c r="DH105" s="294" t="str">
        <f>IF(ISNUMBER((SnapshotTable[[#This Row],[SP Total Value]])), SnapshotTable[[#This Row],[SP Gain Loss]] / SnapshotTable[[#This Row],[SP Premium]], "")</f>
        <v/>
      </c>
      <c r="DI105" s="406"/>
      <c r="DJ105" s="138"/>
      <c r="DK105" s="148"/>
      <c r="DL105" s="13"/>
      <c r="DM105" s="13"/>
      <c r="DO105" s="31">
        <f>IF(SnapshotTable[[#This Row],[LC Symbol Count]]=1, SnapshotTable[[#This Row],[LC Qty]] * SnapshotTable[[#This Row],[LC Book Price]] * 100, 0)</f>
        <v>0</v>
      </c>
      <c r="DP105" s="163" t="str">
        <f>IF(AND(SnapshotTable[[#This Row],[LC Exp Date]]&gt;0, SnapshotTable[[#This Row],[LC Strike Price]]&gt;0,SnapshotTable[[#This Row],[LC Qty]]&gt;0,SnapshotTable[[#This Row],[LC Book Date]]&gt;0,SnapshotTable[[#This Row],[LC Book Price]]&gt;0,SnapshotTable[[#This Row],[LC Fill Date]]=0),"Y","")</f>
        <v/>
      </c>
      <c r="DQ105" s="386" t="str">
        <f>IF(SnapshotTable[[#This Row],[LC Premium]] &gt; 0,SnapshotTable[[#This Row],[LC Exp Date]]-MAX(SnapshotTable[[#This Row],[LC Book Date]], SnapshotTable[[#This Row],[LC Fill Date]]),"")</f>
        <v/>
      </c>
      <c r="DR105" s="386" t="str">
        <f>IF(ISNUMBER(SnapshotTable[[#This Row],[LC Term]]), SnapshotTable[[#This Row],[LC Exp Date]] - MockToday, "")</f>
        <v/>
      </c>
      <c r="DS105" s="234" t="str">
        <f>IF(SnapshotTable[[#This Row],[LC Premium]]&gt;0,SnapshotTable[[#This Row],[LC Strike Price]] + SnapshotTable[[#This Row],[LC Book Price]],"")</f>
        <v/>
      </c>
      <c r="DU105" s="9" t="str">
        <f>IF(AND(SnapshotTable[[#This Row],[LC Symbol Count]]&gt;0, SnapshotTable[[#This Row],[LC Contract Value]]&gt;0), SnapshotTable[[#This Row],[LC Contract Value]] * SnapshotTable[[#This Row],[LC Qty]] * 100, "")</f>
        <v/>
      </c>
      <c r="DV105" s="9" t="str">
        <f>IF(AND(ISNUMBER(SnapshotTable[[#This Row],[LC Total Value]]), SnapshotTable[[#This Row],[LC Not Filled]]&lt;&gt;"Y"), SnapshotTable[[#This Row],[LC Total Value]]-SnapshotTable[[#This Row],[LC Premium]],"")</f>
        <v/>
      </c>
      <c r="DW105" s="240" t="str">
        <f>IF(ISNUMBER(SnapshotTable[[#This Row],[LC Actual Gain Loss]]), SnapshotTable[[#This Row],[LC Actual Gain Loss]] / SnapshotTable[[#This Row],[LC Premium]],"")</f>
        <v/>
      </c>
      <c r="DX105" s="284" t="str">
        <f>IF(ISNUMBER(SnapshotTable[[#This Row],[LC Book Price]]),SnapshotTable[[#This Row],[LC Book Price]] * 1.5,"")</f>
        <v/>
      </c>
      <c r="DY105" s="265" t="str">
        <f>IF(SnapshotTable[[#This Row],[LC Premium]]&gt;0, SnapshotTable[[#This Row],[LC Next Target]] * SnapshotTable[[#This Row],[LC Qty]] * 100,"")</f>
        <v/>
      </c>
      <c r="DZ105" s="265" t="str">
        <f>IF(ISNUMBER(SnapshotTable[[#This Row],[LC Target Gross]]), SnapshotTable[[#This Row],[LC Target Gross]] - SnapshotTable[[#This Row],[LC Premium]], "")</f>
        <v/>
      </c>
      <c r="EA105" s="305" t="str">
        <f>IF(ISNUMBER(SnapshotTable[[#This Row],[LC Target Gain Loss]]), SnapshotTable[[#This Row],[LC Target Gain Loss]]/SnapshotTable[[#This Row],[LC Premium]], "")</f>
        <v/>
      </c>
      <c r="EB105" s="262"/>
      <c r="EC105" s="283" t="str">
        <f>IF(SnapshotTable[[#This Row],[LC Premium]]&gt;0, SnapshotTable[[#This Row],[LC Book Price]] * (1 - LC_StopLoss_Pct),"")</f>
        <v/>
      </c>
      <c r="ED105" s="284"/>
      <c r="EE105" s="283" t="str">
        <f>IF(ISNUMBER(SnapshotTable[[#This Row],[LC Contract Value]]),IF(ISNUMBER(SnapshotTable[[#This Row],[LC Stop Loss Override]]), SnapshotTable[[#This Row],[LC Stop Loss Override]],SnapshotTable[[#This Row],[LC Stop Loss Calc Target]]),"")</f>
        <v/>
      </c>
      <c r="EF105" s="31" t="str">
        <f>IF(ISNUMBER(SnapshotTable[[#This Row],[LC Stop  To Use]]), (SnapshotTable[[#This Row],[LC Stop  To Use]] * SnapshotTable[[#This Row],[LC Qty]] * 100),"")</f>
        <v/>
      </c>
      <c r="EG105" s="9" t="str">
        <f>IF(ISNUMBER(SnapshotTable[[#This Row],[LC Total Value]]),SnapshotTable[[#This Row],[LC Stop Loss Amount]] - SnapshotTable[[#This Row],[LC Premium]],"")</f>
        <v/>
      </c>
      <c r="EH105" s="9">
        <f>IF(ISNUMBER(SnapshotTable[[#This Row],[LC Premium]]), SnapshotTable[[#This Row],[LC Qty]] * 100 * SnapshotTable[[#This Row],[LC Strike Price]], "")</f>
        <v>0</v>
      </c>
      <c r="EI105" s="240" t="str">
        <f>IF(AND(ISNUMBER(SnapshotTable[[#This Row],[LC Total Value]]),SnapshotTable[[#This Row],[LC Total Value]]&gt;0),SnapshotTable[[#This Row],[LC Stop Gain Loss]]  / SnapshotTable[[#This Row],[LC Premium]],"")</f>
        <v/>
      </c>
      <c r="EJ105" s="35">
        <f>IF(ISNUMBER(SnapshotTable[[#This Row],[Equity Shares]]),TRUNC(SnapshotTable[[#This Row],[Equity Shares]] / 100),0) + SnapshotTable[[#This Row],[LC Qty]]</f>
        <v>0</v>
      </c>
      <c r="EK105" s="147"/>
      <c r="EL105" s="138" t="str">
        <f>IF(SnapshotTable[[#This Row],[SC Exp Date]]&lt;&gt;"",TRUNC(SnapshotTable[[#This Row],[Last Price]]),"")</f>
        <v/>
      </c>
      <c r="EM105" s="148"/>
      <c r="EN105" s="147"/>
      <c r="EO105" s="147"/>
      <c r="EP105" s="138"/>
      <c r="EQ105" s="419" t="b">
        <f>AND(ISNUMBER(SnapshotTable[[#This Row],[SC Exp Date]]), ISNUMBER(SnapshotTable[[#This Row],[SC Strike Price]]), ISNUMBER(SnapshotTable[[#This Row],[SC Qty]]), ISNUMBER(SnapshotTable[[#This Row],[SC Book Date]]), ISNUMBER(SnapshotTable[[#This Row],[SC Book Price]]))</f>
        <v>0</v>
      </c>
      <c r="ER105" s="419" t="b">
        <f>AND(SnapshotTable[[#This Row],[SC Is Booked]], NOT(ISBLANK(SnapshotTable[[#This Row],[SC Fill Date]])))</f>
        <v>0</v>
      </c>
      <c r="ES105" s="370"/>
      <c r="ET105" s="34" t="str">
        <f>IF(AND(ISNUMBER(SnapshotTable[[#This Row],[SC Exp Date]]), ISNUMBER(SnapshotTable[[#This Row],[SC Book Date]])), SnapshotTable[[#This Row],[SC Exp Date]] - MAX(SnapshotTable[[#This Row],[SC Book Date]], SnapshotTable[[#This Row],[SC Fill Date]]) + 1, "")</f>
        <v/>
      </c>
      <c r="EU105" s="34" t="str">
        <f>IF(ISNUMBER(SnapshotTable[[#This Row],[SC Term]]), SnapshotTable[[#This Row],[SC Exp Date]]- MockToday, "")</f>
        <v/>
      </c>
      <c r="EV105" s="31">
        <f>IF(SnapshotTable[[#This Row],[SC Is Booked]], SnapshotTable[[#This Row],[SC Qty]] * SnapshotTable[[#This Row],[SC Book Price]] * 100, 0)</f>
        <v>0</v>
      </c>
      <c r="EW105" s="4" t="str">
        <f>IF(AND(ISNUMBER(SnapshotTable[[#This Row],[Last Price]]), ISNUMBER( SnapshotTable[[#This Row],[SC Book Price]])), SnapshotTable[[#This Row],[Last Price]] - SnapshotTable[[#This Row],[SC Book Price]],"")</f>
        <v/>
      </c>
      <c r="EX105" s="234" t="str">
        <f>IF(SnapshotTable[[#This Row],[SC Is Booked]],IF(SnapshotTable[[#This Row],[SC Intrinsic Value]] &gt; 0, SnapshotTable[[#This Row],[SC Strike Price]], SnapshotTable[[#This Row],[Last Price]]), "")</f>
        <v/>
      </c>
      <c r="EY105" s="4">
        <f>IF(SnapshotTable[[#This Row],[SC Is Booked]], (MinimumPremiumRequired * SnapshotTable[[#This Row],[SC Basis]] * SnapshotTable[[#This Row],[SC Term]]), 0)</f>
        <v>0</v>
      </c>
      <c r="EZ105" s="283"/>
      <c r="FA105" s="218"/>
      <c r="FB105" s="370"/>
      <c r="FC105" s="4">
        <f>IF(SnapshotTable[[#This Row],[SC Is Filled]], btc_max_buyback_amount(SnapshotTable[[#This Row],[SC Fill Date]],SnapshotTable[[#This Row],[SC Exp Date]], SnapshotTable[[#This Row],[SC Book Price]]),0)</f>
        <v>0</v>
      </c>
      <c r="FD105" s="5"/>
      <c r="FE105" s="144" t="str">
        <f>IF(SnapshotTable[[#This Row],[SC Is Filled]], btc_next_cutoff_date(SnapshotTable[[#This Row],[SC Fill Date]],SnapshotTable[[#This Row],[SC Exp Date]]),"")</f>
        <v/>
      </c>
      <c r="FF105" s="4" t="str" cm="1">
        <f t="array" ref="FF105">IF(SnapshotTable[[#This Row],[SC Is Filled]], btc_should_buy_back(SnapshotTable[[#This Row],[SC Fill Date]], SnapshotTable[[#This Row],[SC Exp Date]], SnapshotTable[[#This Row],[SC Book Price]], SnapshotTable[[#This Row],[SC Current Ask]], MockToday, SnapshotTable[[#This Row],[SC Buyback Override]]),"")</f>
        <v/>
      </c>
      <c r="FG105" s="4">
        <f>IF(SnapshotTable[[#This Row],[SC Is Filled]], MAX(0,SnapshotTable[[#This Row],[Last Price]]  - SnapshotTable[[#This Row],[SC Strike Price]]), 0)</f>
        <v>0</v>
      </c>
      <c r="FH105" s="382">
        <f>IF(SnapshotTable[[#This Row],[SC Is Filled]], IF(ISNUMBER(SnapshotTable[[#This Row],[SC Current Ask]]), SnapshotTable[[#This Row],[SC Current Ask]], SnapshotTable[[#This Row],[SC Book Price]]) - SnapshotTable[[#This Row],[SC Intrinsic Value]], 0)</f>
        <v>0</v>
      </c>
      <c r="FI105" s="143"/>
      <c r="FJ105" s="32" t="str">
        <f>IF(SnapshotTable[[#This Row],[SC Is Filled]],100 * SnapshotTable[[#This Row],[SC Qty]] * IF(ISNUMBER(SnapshotTable[[#This Row],[SC Buyback Override]]), SnapshotTable[[#This Row],[SC Buyback Override]], SnapshotTable[[#This Row],[SC Current Ask]]), "")</f>
        <v/>
      </c>
      <c r="FK105" s="250" t="str">
        <f>IF(SnapshotTable[[#This Row],[SC Time Val]]&gt;0, SnapshotTable[[#This Row],[SC Time Val]] / SnapshotTable[[#This Row],[Last Price]],"")</f>
        <v/>
      </c>
      <c r="FL105" s="302" t="str">
        <f>IF(SnapshotTable[[#This Row],[SC Is Booked]], ((SnapshotTable[[#This Row],[Last Price]] -SnapshotTable[[#This Row],[SC Strike Price]]) / SnapshotTable[[#This Row],[Last Price]]) * -1, "")</f>
        <v/>
      </c>
      <c r="FM105" s="157" t="str">
        <f>IF(SnapshotTable[[#This Row],[SC Is Booked]],  (SnapshotTable[[#This Row],[SC Qty]] * 100 * SnapshotTable[[#This Row],[SC Strike Price]]) - SnapshotTable[[#This Row],[SC Current Ask]], "")</f>
        <v/>
      </c>
      <c r="FN10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5" s="31" t="str">
        <f>IF(AND(ISNUMBER(SnapshotTable[[#This Row],[SC Exercise Gross]]), ISNUMBER(SnapshotTable[[#This Row],[Equity Basis Per Share]] )), SnapshotTable[[#This Row],[SC Exercise Gross]] - SnapshotTable[[#This Row],[Equity Basis Total]] +  SnapshotTable[[#This Row],[SC Premium]], "")</f>
        <v/>
      </c>
      <c r="FP105" s="5" t="str">
        <f>IF(ISNUMBER(SnapshotTable[[#This Row],[SC Exercise Gross]]), (SnapshotTable[[#This Row],[SC Exercise Gross]]) / (SnapshotTable[[#This Row],[SC Qty]] * 100), "")</f>
        <v/>
      </c>
      <c r="FQ105" s="27" t="str">
        <f>IF(SnapshotTable[[#This Row],[SC Is Booked]],SnapshotTable[[#This Row],[SC Time Val]] /SnapshotTable[[#This Row],[SC Basis]], "")</f>
        <v/>
      </c>
      <c r="FR105" s="27" t="str" cm="1">
        <f t="array" ref="FR105">IF(AND(ISNUMBER(SnapshotTable[[#This Row],[SC Term]]),ISNUMBER(SnapshotTable[[#This Row],[SC Simple ROO]])), EllmanAnnualize(SnapshotTable[[#This Row],[SC DTE]], SnapshotTable[[#This Row],[SC Simple ROO]] ),"")</f>
        <v/>
      </c>
      <c r="FS105" s="4" t="e">
        <f>IF(SnapshotTable[[#This Row],[SC Strike Price]] &gt; SnapshotTable[[#This Row],[Last Price]], SnapshotTable[[#This Row],[SC Strike Price]] - SnapshotTable[[#This Row],[Last Price]],0)</f>
        <v>#VALUE!</v>
      </c>
      <c r="FT105" s="27" t="e">
        <f>IF(AND(ISNUMBER(SnapshotTable[[#This Row],[SC Upside Potential]]), SnapshotTable[[#This Row],[SC Upside Potential]] &gt; 0),(SnapshotTable[[#This Row],[SC Upside Potential]]/ SnapshotTable[[#This Row],[ACB]]),"")</f>
        <v>#VALUE!</v>
      </c>
      <c r="FU105" s="333" t="str">
        <f>IF(SnapshotTable[[#This Row],[SC Intrinsic Value]] &gt; 0,SnapshotTable[[#This Row],[SC Intrinsic Value]],"")</f>
        <v/>
      </c>
      <c r="FV105" s="27" t="str">
        <f>IF(AND( ISNUMBER( SnapshotTable[[#This Row],[ACB]]),ISNUMBER(SnapshotTable[[#This Row],[SC Downside Protect]])),SnapshotTable[[#This Row],[SC Downside Protect]] / SnapshotTable[[#This Row],[ACB]],"")</f>
        <v/>
      </c>
      <c r="FW105" s="236" t="str">
        <f>IF(AND(ISNUMBER(SnapshotTable[[#This Row],[SC Simple ROO]]),SnapshotTable[[#This Row],[SC Simple ROO]] &gt; 0), SnapshotTable[[#This Row],[SC Premium]] + (SnapshotTable[[#This Row],[SC Qty]] * SnapshotTable[[#This Row],[SC Upside Potential]]), "")</f>
        <v/>
      </c>
      <c r="FX105" s="302" t="str" cm="1">
        <f t="array" ref="FX105">IF(ISNUMBER(SnapshotTable[[#This Row],[SC Max Dollars]]), annualize(SnapshotTable[[#This Row],[SC Term]],(SnapshotTable[[#This Row],[SC Max Dollars]]/SnapshotTable[[#This Row],[SC Basis]])),"")</f>
        <v/>
      </c>
      <c r="FY105" s="236" t="str">
        <f>IF(AND(SnapshotTable[[#This Row],[SC Qty]]&gt;0,SnapshotTable[[#This Row],[SC Current Ask]]&gt;0), SnapshotTable[[#This Row],[SC Qty]] * SnapshotTable[[#This Row],[SC Current Ask]] * -100, "")</f>
        <v/>
      </c>
      <c r="FZ105" s="31" t="str">
        <f>IF(ISNUMBER((SnapshotTable[[#This Row],[SC Current Value]])), SnapshotTable[[#This Row],[SC Premium]] + SnapshotTable[[#This Row],[SC Current Value]], "")</f>
        <v/>
      </c>
      <c r="GA105" s="294" t="str">
        <f>IFERROR( IF(ISNUMBER((SnapshotTable[[#This Row],[SC Current Value]])), SnapshotTable[[#This Row],[SC Gain Loss]] / SnapshotTable[[#This Row],[SC Premium]], ""), "")</f>
        <v/>
      </c>
      <c r="GB105" s="42">
        <f>SnapshotTable[[#This Row],[Equity Shares]] * SaleSharesToConsiderPercentage</f>
        <v>0</v>
      </c>
      <c r="GC105" s="40">
        <f>SnapshotTable[[#This Row],[Long Term Target]] * SellingPriceToConsiderBasedOnTargetPercentage</f>
        <v>0</v>
      </c>
      <c r="GD105" s="40">
        <f>SnapshotTable[[#This Row],[Last Price]] * (1+ SellingPriceToConsiderBasedOnTargetPercentage)</f>
        <v>7.7025000000000006</v>
      </c>
      <c r="GE105" s="41"/>
      <c r="GF105" s="40"/>
      <c r="GG105" s="31">
        <f>SnapshotTable[[#This Row],[Booked Sale Shares]] * SnapshotTable[[#This Row],[Booked Sale Price]]</f>
        <v>0</v>
      </c>
      <c r="GH105" s="31" t="str">
        <f>IF(SnapshotTable[[#This Row],[Equity Basis Total]] &gt; 0, SnapshotTable[[#This Row],[Equity Basis Per Share]] * SnapshotTable[[#This Row],[Booked Sale Shares]], "")</f>
        <v/>
      </c>
      <c r="GI105" s="31">
        <f>IF(SnapshotTable[[#This Row],[Sale Proceeds]]&gt;0, SnapshotTable[[#This Row],[Sale Proceeds]] - SnapshotTable[[#This Row],[Sale Basis]], 0)</f>
        <v>0</v>
      </c>
      <c r="GJ105" s="27" t="str">
        <f>IF(SnapshotTable[[#This Row],[Sale G/L]]&gt;0, SnapshotTable[[#This Row],[Sale G/L]] / SnapshotTable[[#This Row],[Sale Basis]], IF(ISNUMBER(SnapshotTable[[#This Row],[SC Exercise P&amp;L (TAX)]]), SnapshotTable[[#This Row],[SC Exercise P&amp;L (TAX)]] / SnapshotTable[[#This Row],[SC Basis]], ""))</f>
        <v/>
      </c>
      <c r="GK105" s="27" t="s">
        <v>1243</v>
      </c>
      <c r="GL105" s="43" t="str">
        <f>IF(AND(SnapshotTable[[#This Row],[LP Exp Date]]&gt;0,SnapshotTable[[#This Row],[LP Strike Price]]&gt;0), [1]!ToOptionSymbol(SnapshotTable[[#This Row],[Symbol]], SnapshotTable[[#This Row],[LP Strike Price]],SnapshotTable[[#This Row],[LP Exp Date]],1), "")</f>
        <v/>
      </c>
      <c r="GM105" s="30" t="str">
        <f>IF(LEN(SnapshotTable[[#This Row],[LP Symbol]])&gt;0, 1, "")</f>
        <v/>
      </c>
      <c r="GN105" s="43" t="str">
        <f>IF(AND(SnapshotTable[[#This Row],[SP Exp Date]]&gt;0,SnapshotTable[[#This Row],[SP Strike Price]]&gt;0), [1]!ToOptionSymbol(SnapshotTable[[#This Row],[Symbol]], SnapshotTable[[#This Row],[SP Strike Price]],SnapshotTable[[#This Row],[SP Exp Date]],1), "")</f>
        <v/>
      </c>
      <c r="GO105" s="30" t="str">
        <f>IF(LEN(SnapshotTable[[#This Row],[SP Symbol]])&gt;0, 1, "")</f>
        <v/>
      </c>
      <c r="GP105" s="43" t="str">
        <f>IF(AND(SnapshotTable[[#This Row],[LC Exp Date]]&gt;0,SnapshotTable[[#This Row],[LC Strike Price]]&gt;0), [1]!ToOptionSymbol(SnapshotTable[[#This Row],[Symbol]], SnapshotTable[[#This Row],[LC Strike Price]],SnapshotTable[[#This Row],[LC Exp Date]],0), "")</f>
        <v/>
      </c>
      <c r="GQ105" s="30" t="str">
        <f>IF(LEN(SnapshotTable[[#This Row],[LC Symbol]])&gt;0, 1, "")</f>
        <v/>
      </c>
      <c r="GR105" s="43" t="str">
        <f>IF(AND(SnapshotTable[[#This Row],[SC Exp Date]]&gt;0,SnapshotTable[[#This Row],[SC Strike Price]]&gt;0), [1]!ToOptionSymbol(SnapshotTable[[#This Row],[Symbol]], SnapshotTable[[#This Row],[SC Strike Price]],SnapshotTable[[#This Row],[SC Exp Date]],0), "")</f>
        <v/>
      </c>
      <c r="GS105" s="30" t="str">
        <f>IF(LEN(SnapshotTable[[#This Row],[SC Symbol]])&gt;0, 1, "")</f>
        <v/>
      </c>
      <c r="GT105" s="29" t="str">
        <f>IF(COUNT(SnapshotTable[[#This Row],[LP Symbol Count]],SnapshotTable[[#This Row],[SP Symbol Count]],SnapshotTable[[#This Row],[LC Symbol Count]],SnapshotTable[[#This Row],[SC Symbol Count]])&gt;0, "Y", "")</f>
        <v/>
      </c>
      <c r="GU10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5" s="231" t="e">
        <f>MAX(SnapshotTable[[#This Row],[Equity Basis Total]],SnapshotTable[[#This Row],[Equity Value]]) + (SnapshotTable[[#This Row],[SP Potential Spend]]- SnapshotTable[[#This Row],[SP Premium]] + SnapshotTable[[#This Row],[LP Premium]])+ (SnapshotTable[[#This Row],[LC Premium]] - SnapshotTable[[#This Row],[SC Premium]])</f>
        <v>#VALUE!</v>
      </c>
      <c r="GW105" s="139" t="e">
        <f>IF(AND(SnapshotTable[[#This Row],[Exposure]] &lt;&gt; 0),SnapshotTable[[#This Row],[Exposure]] / SnapshotTable[[#Totals],[Exposure]], "")</f>
        <v>#VALUE!</v>
      </c>
      <c r="HE105" s="268"/>
      <c r="HF105" s="268"/>
      <c r="HK105" s="1"/>
      <c r="HL105" s="1"/>
      <c r="HM105" s="1"/>
      <c r="HN105" s="1"/>
      <c r="HO105" s="1"/>
      <c r="HP105" s="1"/>
    </row>
    <row r="106" spans="2:224" ht="12.75" hidden="1" customHeight="1" x14ac:dyDescent="0.25">
      <c r="B106" s="12" t="s">
        <v>1240</v>
      </c>
      <c r="C106" s="422">
        <v>82.64</v>
      </c>
      <c r="D106" s="208"/>
      <c r="E106" s="39">
        <f>SnapshotTable[[#This Row],[Last Price]]*(1 -CrashDiscount)</f>
        <v>70.244</v>
      </c>
      <c r="F106" s="26" t="s">
        <v>840</v>
      </c>
      <c r="G106" s="325" t="s">
        <v>9</v>
      </c>
      <c r="H106" s="149"/>
      <c r="I106" s="194"/>
      <c r="J106" s="195"/>
      <c r="K106" s="196"/>
      <c r="L106" s="326"/>
      <c r="M106" s="140"/>
      <c r="N106" s="140"/>
      <c r="O106" s="140"/>
      <c r="P106" s="22"/>
      <c r="Q106" s="25"/>
      <c r="R106" s="4" t="str">
        <f>IF(SnapshotTable[[#This Row],[Equity Basis Total]] &gt; 0, SnapshotTable[[#This Row],[Equity Basis Total]] / SnapshotTable[[#This Row],[Equity Shares]], "")</f>
        <v/>
      </c>
      <c r="S106" s="269">
        <f>SnapshotTable[[#This Row],[Last Price]] * SnapshotTable[[#This Row],[Equity Shares]]</f>
        <v>0</v>
      </c>
      <c r="T106" s="269">
        <f>SnapshotTable[[#This Row],[Equity Value]] - SnapshotTable[[#This Row],[Equity Basis Total]]</f>
        <v>0</v>
      </c>
      <c r="U106" s="270" t="str">
        <f>IF(SnapshotTable[[#This Row],[Equity Basis Total]] &gt; 0, SnapshotTable[[#This Row],[Equity G/L]] / SnapshotTable[[#This Row],[Equity Basis Total]], "")</f>
        <v/>
      </c>
      <c r="V106" s="268"/>
      <c r="W106" s="268"/>
      <c r="X106" s="4" t="str">
        <f>IF(AND(ISNUMBER(SnapshotTable[[#This Row],[Equity Basis Per Share]]),ISNUMBER(SnapshotTable[[#This Row],[Equity Target]])),SnapshotTable[[#This Row],[Equity Target]]-SnapshotTable[[#This Row],[Equity Basis Per Share]],"")</f>
        <v/>
      </c>
      <c r="Y106" s="4" t="str">
        <f>IF(AND(ISNUMBER(SnapshotTable[[#This Row],[Equity Basis Per Share]]),ISNUMBER(SnapshotTable[[#This Row],[Equity Stop Loss]])),SnapshotTable[[#This Row],[Equity Stop Loss]]-SnapshotTable[[#This Row],[Equity Basis Per Share]],"")</f>
        <v/>
      </c>
      <c r="Z106" s="275" t="str">
        <f>IFERROR( TEXT(SnapshotTable[[#This Row],[Equity Max Gain Per Share]] /ABS( SnapshotTable[[#This Row],[Equity Max Loss Per Share]]),"0.0 " ) &amp; " : 1", "")</f>
        <v/>
      </c>
      <c r="AA106" s="31" t="str">
        <f>IF(ISNUMBER(SnapshotTable[[#This Row],[Equity Max Gain Per Share]]),SnapshotTable[[#This Row],[Equity Max Gain Per Share]] * SnapshotTable[[#This Row],[Equity Shares]],"")</f>
        <v/>
      </c>
      <c r="AB106" s="31" t="str">
        <f>IF(ISNUMBER(SnapshotTable[[#This Row],[Equity Max Loss Per Share]]),SnapshotTable[[#This Row],[Equity Max Loss Per Share]] * SnapshotTable[[#This Row],[Equity Shares]],"")</f>
        <v/>
      </c>
      <c r="AC106" s="150"/>
      <c r="AD106" s="151"/>
      <c r="AE106" s="31">
        <f>(SnapshotTable[[#This Row],[Annual Dividend Per Share]] / 4) * SnapshotTable[[#This Row],[Equity Shares]]</f>
        <v>0</v>
      </c>
      <c r="AF106" s="31">
        <f>SnapshotTable[[#This Row],[Quarterly Div $]] * 4</f>
        <v>0</v>
      </c>
      <c r="AG106" s="7">
        <f>IF(SnapshotTable[[#This Row],[Annual Dividend Per Share]]&gt;0, SnapshotTable[[#This Row],[Annual Dividend Per Share]]  / SnapshotTable[[#This Row],[Last Price]], 0)</f>
        <v>0</v>
      </c>
      <c r="AH106" s="151"/>
      <c r="AI106" s="5"/>
      <c r="AJ106" s="138"/>
      <c r="AK106" s="152" t="str">
        <f>IF(ISNUMBER( SnapshotTable[[#This Row],[EBF Target]]),(SnapshotTable[[#This Row],[EBF Target]] - SnapshotTable[[#This Row],[Last Price]]) / SnapshotTable[[#This Row],[Last Price]], "")</f>
        <v/>
      </c>
      <c r="AL106" s="152" t="str">
        <f>IF(AND(SnapshotTable[[#This Row],[Equity Basis Total]] &gt; 0,ISNUMBER( SnapshotTable[[#This Row],[Long Term Target]])), SnapshotTable[[#This Row],[From Basis $]] / SnapshotTable[[#This Row],[Equity Basis Total]], "")</f>
        <v/>
      </c>
      <c r="AM106" s="9">
        <f>IF( AND(SnapshotTable[[#This Row],[Equity Shares]] &gt;0,ISNUMBER( SnapshotTable[[#This Row],[Long Term Target]])),(SnapshotTable[[#This Row],[Equity Shares]] * SnapshotTable[[#This Row],[Long Term Target]]) - SnapshotTable[[#This Row],[Equity Basis Total]],0)</f>
        <v>0</v>
      </c>
      <c r="AN106" s="9">
        <f>IF( AND(SnapshotTable[[#This Row],[Equity Shares]] &gt;0,ISNUMBER( SnapshotTable[[#This Row],[Long Term Target]])),(SnapshotTable[[#This Row],[Equity Shares]]*SnapshotTable[[#This Row],[Long Term Target]]) - SnapshotTable[[#This Row],[Equity Value]],0)</f>
        <v>0</v>
      </c>
      <c r="AO106" s="152" t="str">
        <f>IF(AND(ISNUMBER( SnapshotTable[[#This Row],[Long Term Target]]), ISNUMBER(SnapshotTable[[#This Row],[Last Price]])),(SnapshotTable[[#This Row],[Long Term Target]] - SnapshotTable[[#This Row],[Last Price]]) / SnapshotTable[[#This Row],[Last Price]], "")</f>
        <v/>
      </c>
      <c r="AP106" s="5"/>
      <c r="AQ106" s="38"/>
      <c r="AR106" s="5"/>
      <c r="AS106" s="38"/>
      <c r="AT106" s="146"/>
      <c r="AU106" s="187" t="str">
        <f>IF(OR(SnapshotTable[[#This Row],[LP No Fill]]="Y",SnapshotTable[[#This Row],[SP Is Filled]],SnapshotTable[[#This Row],[LC Not Filled]]="Y",SnapshotTable[[#This Row],[SC Is Filled]]),"Y","")</f>
        <v/>
      </c>
      <c r="AV106" s="219"/>
      <c r="AW106" s="225"/>
      <c r="AX106" s="220"/>
      <c r="AY106" s="219" t="str">
        <f>IF(SnapshotTable[[#This Row],[Implied Move]]&gt;0, SnapshotTable[[#This Row],[Last Price]]-SnapshotTable[[#This Row],[Implied Move]],"")</f>
        <v/>
      </c>
      <c r="AZ106" s="219" t="str">
        <f>IF(SnapshotTable[[#This Row],[Implied Move]]&gt;0, SnapshotTable[[#This Row],[Last Price]] + SnapshotTable[[#This Row],[Implied Move]],"")</f>
        <v/>
      </c>
      <c r="BA106" s="331">
        <v>136.15</v>
      </c>
      <c r="BB106" s="347" t="s">
        <v>1242</v>
      </c>
      <c r="BC10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6" s="351"/>
      <c r="BE106" s="5"/>
      <c r="BF106" s="14"/>
      <c r="BG106" s="13"/>
      <c r="BH106" s="13"/>
      <c r="BI106" s="5"/>
      <c r="BJ106" s="136">
        <f>IF(SnapshotTable[[#This Row],[LP Qty]] &gt; 0, SnapshotTable[[#This Row],[LP Qty]] * SnapshotTable[[#This Row],[LP Book Price]] * 100,0)</f>
        <v>0</v>
      </c>
      <c r="BK106" s="136">
        <f>IF(SnapshotTable[[#This Row],[LP Premium]] &gt; 0, SnapshotTable[[#This Row],[LP Qty]] * SnapshotTable[[#This Row],[LP Strike Price]] * 100,0)</f>
        <v>0</v>
      </c>
      <c r="BL106" s="154"/>
      <c r="BM106" s="385" t="str">
        <f>IF(SnapshotTable[[#This Row],[LP Premium]] &gt; 0,SnapshotTable[[#This Row],[LP Exp Date]]-MAX(SnapshotTable[[#This Row],[LP Book Date]], SnapshotTable[[#This Row],[LP Fill Date]]),"")</f>
        <v/>
      </c>
      <c r="BN106" s="385" t="str">
        <f>IF(ISNUMBER( SnapshotTable[[#This Row],[LP Term]]), SnapshotTable[[#This Row],[LP Exp Date]] - MockToday,"")</f>
        <v/>
      </c>
      <c r="BO106" s="163" t="str">
        <f>IF(AND(SnapshotTable[[#This Row],[LP Exp Date]]&gt;0, SnapshotTable[[#This Row],[LP Strike Price]]&gt;0,SnapshotTable[[#This Row],[LP Qty]]&gt;0,SnapshotTable[[#This Row],[LP Book Date]]&gt;0,SnapshotTable[[#This Row],[LP Book Price]]&gt;0,SnapshotTable[[#This Row],[LP Fill Date]]=0),"Y","")</f>
        <v/>
      </c>
      <c r="BP106" s="31" t="str">
        <f>IF(AND(SnapshotTable[[#This Row],[LP No Fill]]&lt;&gt;"Y",SnapshotTable[[#This Row],[LP Contract Value]]&gt;0, SnapshotTable[[#This Row],[LP Qty]]&gt;0), SnapshotTable[[#This Row],[LP Contract Value]]*SnapshotTable[[#This Row],[LP Qty]]*100,"")</f>
        <v/>
      </c>
      <c r="BQ106" s="13"/>
      <c r="BR106" s="5" t="str">
        <f>IF(SnapshotTable[[#This Row],[SP Exp Date]]&lt;&gt;"",TRUNC(SnapshotTable[[#This Row],[Last Price]]),"")</f>
        <v/>
      </c>
      <c r="BS106" s="36"/>
      <c r="BT106" s="147"/>
      <c r="BU106" s="13"/>
      <c r="BV106" s="5"/>
      <c r="BW106" s="419" t="b">
        <f>AND(ISNUMBER(SnapshotTable[[#This Row],[SP Exp Date]]), ISNUMBER(SnapshotTable[[#This Row],[SP Strike Price]]), ISNUMBER(SnapshotTable[[#This Row],[SP Qty]]), ISNUMBER(SnapshotTable[[#This Row],[SP Book Date]]), ISNUMBER(SnapshotTable[[#This Row],[SP Book Price]]))</f>
        <v>0</v>
      </c>
      <c r="BX106" s="419" t="b">
        <f>AND(SnapshotTable[[#This Row],[SP Is Booked]], NOT(ISBLANK(SnapshotTable[[#This Row],[SP Fill Date]])))</f>
        <v>0</v>
      </c>
      <c r="BY106" s="33">
        <f>IF(SnapshotTable[[#This Row],[SP Is Booked]], SnapshotTable[[#This Row],[SP Qty]] * SnapshotTable[[#This Row],[SP Book Price]] * 100, 0)</f>
        <v>0</v>
      </c>
      <c r="BZ106" s="369"/>
      <c r="CA106" s="368">
        <f>SnapshotTable[[#This Row],[LP Qty]]</f>
        <v>0</v>
      </c>
      <c r="CB106" s="4" t="str">
        <f>IF(SnapshotTable[[#This Row],[SP Is Booked]], SnapshotTable[[#This Row],[SP Strike Price]] - SnapshotTable[[#This Row],[SP Book Price]], "")</f>
        <v/>
      </c>
      <c r="CC106" s="19" t="str">
        <f>IF(SnapshotTable[[#This Row],[SP Is Booked]],SnapshotTable[[#This Row],[SP Exp Date]]-MAX(SnapshotTable[[#This Row],[SP Book Date]], SnapshotTable[[#This Row],[SP Fill Date]]),"")</f>
        <v/>
      </c>
      <c r="CD106" s="7" t="str">
        <f>IF(SnapshotTable[[#This Row],[SP Is Booked]], SnapshotTable[[#This Row],[SP Book Price]]/SnapshotTable[[#This Row],[SP Strike Price]], "")</f>
        <v/>
      </c>
      <c r="CE106" s="7" t="str">
        <f>IF(ISNUMBER(SnapshotTable[[#This Row],[SP ROO Term]]),SnapshotTable[[#This Row],[SP ROO Term]]*(365/SnapshotTable[[#This Row],[SP Term]]),"")</f>
        <v/>
      </c>
      <c r="CF106" s="236">
        <f>SnapshotTable[[#This Row],[LP Strike Price]] * SnapshotTable[[#This Row],[LP Qty]] * 100</f>
        <v>0</v>
      </c>
      <c r="CG106" s="31" t="e">
        <f>IF(ISNUMBER(SnapshotTable[[#This Row],[SP Premium]]), (SnapshotTable[[#This Row],[SP Qty]] * SnapshotTable[[#This Row],[SP Strike Price]]* 100) - SnapshotTable[[#This Row],[LP Protection]], 0)</f>
        <v>#VALUE!</v>
      </c>
      <c r="CH106" s="7" t="str">
        <f>IF(ISNUMBER(SnapshotTable[[#This Row],[SP Break Even]]),-1 * (SnapshotTable[[#This Row],[SP Break Even]] - SnapshotTable[[#This Row],[Last Price]]) / SnapshotTable[[#This Row],[Last Price]], "")</f>
        <v/>
      </c>
      <c r="CI106" s="31">
        <f>IF(AND(ISNUMBER((SnapshotTable[[#This Row],[SP Potential Spend]])), SnapshotTable[[#This Row],[SP Strike Price]] &gt; SnapshotTable[[#This Row],[Last Price]], SnapshotTable[[#This Row],[SP Is Filled]]), SnapshotTable[[#This Row],[SP Potential Spend]] -  SnapshotTable[[#This Row],[LP Max Value]], 0)</f>
        <v>0</v>
      </c>
      <c r="CJ106" s="244"/>
      <c r="CK106" s="31" t="str">
        <f>IF(ISNUMBER(SnapshotTable[[#This Row],[SP Potential Spend]]),IF(ISNUMBER(SnapshotTable[[#This Row],[SP POW]]), SnapshotTable[[#This Row],[SP POW]] * SnapshotTable[[#This Row],[SP Potential Spend]], SnapshotTable[[#This Row],[SP Potential Spend]]), "")</f>
        <v/>
      </c>
      <c r="CL106" s="164" t="e">
        <f>IF(NOT(SnapshotTable[[#This Row],[SP Is Filled]]),(SnapshotTable[[#This Row],[SP Qty]] * SnapshotTable[[#This Row],[SP Strike Price]] * 100) - SnapshotTable[[#This Row],[LP Max Value]],"")</f>
        <v>#VALUE!</v>
      </c>
      <c r="CM106" s="31" t="str">
        <f>IF(SnapshotTable[[#This Row],[SP Actual Spend]]&lt;&gt;0, ((SnapshotTable[[#This Row],[SP Strike Price]]-SnapshotTable[[#This Row],[Last Price]]) *(SnapshotTable[[#This Row],[SP Qty]]*100) - SnapshotTable[[#This Row],[SP Premium]]) * - 1, "")</f>
        <v/>
      </c>
      <c r="CN106" s="78"/>
      <c r="CO106" s="369"/>
      <c r="CP106" s="4" t="str">
        <f>IF(SnapshotTable[[#This Row],[SP Is Filled]], btc_max_buyback_amount(SnapshotTable[[#This Row],[SP Fill Date]],SnapshotTable[[#This Row],[SP Exp Date]], SnapshotTable[[#This Row],[SP Book Price]]),"")</f>
        <v/>
      </c>
      <c r="CQ106" s="78"/>
      <c r="CR10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6" s="155" t="str">
        <f>IF(SnapshotTable[[#This Row],[SP Is Filled]], btc_next_cutoff_date(SnapshotTable[[#This Row],[SP Fill Date]],SnapshotTable[[#This Row],[SP Exp Date]]),"")</f>
        <v/>
      </c>
      <c r="CT106" s="235" t="str" cm="1">
        <f t="array" ref="CT106">IF(SnapshotTable[[#This Row],[SP Is Filled]], btc_should_buy_back(SnapshotTable[[#This Row],[SP Fill Date]], SnapshotTable[[#This Row],[SP Exp Date]], SnapshotTable[[#This Row],[SP Book Price]], SnapshotTable[[#This Row],[SP Current Ask]], MockToday, SnapshotTable[[#This Row],[SP Buyback Override]]),"")</f>
        <v/>
      </c>
      <c r="CU106" s="143"/>
      <c r="CV106" s="235"/>
      <c r="CW106" s="378" t="str">
        <f>IF(ISNUMBER( SnapshotTable[[#This Row],[SP Term]]), SnapshotTable[[#This Row],[SP Exp Date]] - MockToday,"")</f>
        <v/>
      </c>
      <c r="CX106" s="31" t="str">
        <f>IF(SnapshotTable[[#This Row],[SP Is Filled]],SnapshotTable[[#This Row],[SP Buyback Price to Use]] * 100 * SnapshotTable[[#This Row],[SP Qty]], "")</f>
        <v/>
      </c>
      <c r="CY106" s="4" t="str">
        <f>IF(ISNUMBER(SnapshotTable[[#This Row],[SP Strike Price]]), SnapshotTable[[#This Row],[SP Strike Price]] * (1 - SP_MaxLoss_StrikePct), "")</f>
        <v/>
      </c>
      <c r="CZ106" s="31" t="str">
        <f>IF(ISNUMBER(SnapshotTable[[#This Row],[SP Strike  Stop Per Share]]),SnapshotTable[[#This Row],[SP Premium]] - ((SnapshotTable[[#This Row],[SP Strike Price]]-SnapshotTable[[#This Row],[SP Strike  Stop Per Share]]) *(SnapshotTable[[#This Row],[SP Qty]] * 100)),"")</f>
        <v/>
      </c>
      <c r="DA106" s="4" t="str">
        <f>IF(AND(ISNUMBER(SnapshotTable[[#This Row],[SP Premium]]),SnapshotTable[[#This Row],[SP Premium]]&gt;0), SnapshotTable[[#This Row],[SP Book Price]] * (1 + SP_MaxLoss_OptionPct), "")</f>
        <v/>
      </c>
      <c r="DB106" s="31" t="str">
        <f>IF(ISNUMBER(SnapshotTable[[#This Row],[SP Option  Stop Contract]]),(SnapshotTable[[#This Row],[SP Option  Stop Contract]] *(SnapshotTable[[#This Row],[SP Qty]] * 100) - SnapshotTable[[#This Row],[SP Premium]]),"")</f>
        <v/>
      </c>
      <c r="DC106" s="4"/>
      <c r="DD106" s="4"/>
      <c r="DE106" s="4" t="str">
        <f>IF(AND(SnapshotTable[[#This Row],[SP Qty]]&gt;0, SnapshotTable[[#This Row],[SP Stop To Use]]&gt;0),SnapshotTable[[#This Row],[SP Premium]] - ( SnapshotTable[[#This Row],[SP Qty]] * SnapshotTable[[#This Row],[SP Stop To Use]] * 100), "")</f>
        <v/>
      </c>
      <c r="DF106" s="31" t="str">
        <f>IF(AND(SnapshotTable[[#This Row],[SP Qty]]&gt;0,SnapshotTable[[#This Row],[SP Current Ask]]&gt;0), SnapshotTable[[#This Row],[SP Qty]] * SnapshotTable[[#This Row],[SP Current Ask]] * -100, "")</f>
        <v/>
      </c>
      <c r="DG106" s="31" t="str">
        <f>IF(ISNUMBER((SnapshotTable[[#This Row],[SP Total Value]])), SnapshotTable[[#This Row],[SP Premium]] + SnapshotTable[[#This Row],[SP Total Value]], "")</f>
        <v/>
      </c>
      <c r="DH106" s="294" t="str">
        <f>IF(ISNUMBER((SnapshotTable[[#This Row],[SP Total Value]])), SnapshotTable[[#This Row],[SP Gain Loss]] / SnapshotTable[[#This Row],[SP Premium]], "")</f>
        <v/>
      </c>
      <c r="DI106" s="406"/>
      <c r="DJ106" s="138"/>
      <c r="DK106" s="148"/>
      <c r="DL106" s="13"/>
      <c r="DM106" s="13"/>
      <c r="DO106" s="31">
        <f>IF(SnapshotTable[[#This Row],[LC Symbol Count]]=1, SnapshotTable[[#This Row],[LC Qty]] * SnapshotTable[[#This Row],[LC Book Price]] * 100, 0)</f>
        <v>0</v>
      </c>
      <c r="DP106" s="163" t="str">
        <f>IF(AND(SnapshotTable[[#This Row],[LC Exp Date]]&gt;0, SnapshotTable[[#This Row],[LC Strike Price]]&gt;0,SnapshotTable[[#This Row],[LC Qty]]&gt;0,SnapshotTable[[#This Row],[LC Book Date]]&gt;0,SnapshotTable[[#This Row],[LC Book Price]]&gt;0,SnapshotTable[[#This Row],[LC Fill Date]]=0),"Y","")</f>
        <v/>
      </c>
      <c r="DQ106" s="386" t="str">
        <f>IF(SnapshotTable[[#This Row],[LC Premium]] &gt; 0,SnapshotTable[[#This Row],[LC Exp Date]]-MAX(SnapshotTable[[#This Row],[LC Book Date]], SnapshotTable[[#This Row],[LC Fill Date]]),"")</f>
        <v/>
      </c>
      <c r="DR106" s="386" t="str">
        <f>IF(ISNUMBER(SnapshotTable[[#This Row],[LC Term]]), SnapshotTable[[#This Row],[LC Exp Date]] - MockToday, "")</f>
        <v/>
      </c>
      <c r="DS106" s="234" t="str">
        <f>IF(SnapshotTable[[#This Row],[LC Premium]]&gt;0,SnapshotTable[[#This Row],[LC Strike Price]] + SnapshotTable[[#This Row],[LC Book Price]],"")</f>
        <v/>
      </c>
      <c r="DU106" s="9" t="str">
        <f>IF(AND(SnapshotTable[[#This Row],[LC Symbol Count]]&gt;0, SnapshotTable[[#This Row],[LC Contract Value]]&gt;0), SnapshotTable[[#This Row],[LC Contract Value]] * SnapshotTable[[#This Row],[LC Qty]] * 100, "")</f>
        <v/>
      </c>
      <c r="DV106" s="9" t="str">
        <f>IF(AND(ISNUMBER(SnapshotTable[[#This Row],[LC Total Value]]), SnapshotTable[[#This Row],[LC Not Filled]]&lt;&gt;"Y"), SnapshotTable[[#This Row],[LC Total Value]]-SnapshotTable[[#This Row],[LC Premium]],"")</f>
        <v/>
      </c>
      <c r="DW106" s="240" t="str">
        <f>IF(ISNUMBER(SnapshotTable[[#This Row],[LC Actual Gain Loss]]), SnapshotTable[[#This Row],[LC Actual Gain Loss]] / SnapshotTable[[#This Row],[LC Premium]],"")</f>
        <v/>
      </c>
      <c r="DX106" s="284" t="str">
        <f>IF(ISNUMBER(SnapshotTable[[#This Row],[LC Book Price]]),SnapshotTable[[#This Row],[LC Book Price]] * 1.5,"")</f>
        <v/>
      </c>
      <c r="DY106" s="265" t="str">
        <f>IF(SnapshotTable[[#This Row],[LC Premium]]&gt;0, SnapshotTable[[#This Row],[LC Next Target]] * SnapshotTable[[#This Row],[LC Qty]] * 100,"")</f>
        <v/>
      </c>
      <c r="DZ106" s="265" t="str">
        <f>IF(ISNUMBER(SnapshotTable[[#This Row],[LC Target Gross]]), SnapshotTable[[#This Row],[LC Target Gross]] - SnapshotTable[[#This Row],[LC Premium]], "")</f>
        <v/>
      </c>
      <c r="EA106" s="305" t="str">
        <f>IF(ISNUMBER(SnapshotTable[[#This Row],[LC Target Gain Loss]]), SnapshotTable[[#This Row],[LC Target Gain Loss]]/SnapshotTable[[#This Row],[LC Premium]], "")</f>
        <v/>
      </c>
      <c r="EB106" s="262"/>
      <c r="EC106" s="283" t="str">
        <f>IF(SnapshotTable[[#This Row],[LC Premium]]&gt;0, SnapshotTable[[#This Row],[LC Book Price]] * (1 - LC_StopLoss_Pct),"")</f>
        <v/>
      </c>
      <c r="ED106" s="284"/>
      <c r="EE106" s="283" t="str">
        <f>IF(ISNUMBER(SnapshotTable[[#This Row],[LC Contract Value]]),IF(ISNUMBER(SnapshotTable[[#This Row],[LC Stop Loss Override]]), SnapshotTable[[#This Row],[LC Stop Loss Override]],SnapshotTable[[#This Row],[LC Stop Loss Calc Target]]),"")</f>
        <v/>
      </c>
      <c r="EF106" s="31" t="str">
        <f>IF(ISNUMBER(SnapshotTable[[#This Row],[LC Stop  To Use]]), (SnapshotTable[[#This Row],[LC Stop  To Use]] * SnapshotTable[[#This Row],[LC Qty]] * 100),"")</f>
        <v/>
      </c>
      <c r="EG106" s="9" t="str">
        <f>IF(ISNUMBER(SnapshotTable[[#This Row],[LC Total Value]]),SnapshotTable[[#This Row],[LC Stop Loss Amount]] - SnapshotTable[[#This Row],[LC Premium]],"")</f>
        <v/>
      </c>
      <c r="EH106" s="9">
        <f>IF(ISNUMBER(SnapshotTable[[#This Row],[LC Premium]]), SnapshotTable[[#This Row],[LC Qty]] * 100 * SnapshotTable[[#This Row],[LC Strike Price]], "")</f>
        <v>0</v>
      </c>
      <c r="EI106" s="240" t="str">
        <f>IF(AND(ISNUMBER(SnapshotTable[[#This Row],[LC Total Value]]),SnapshotTable[[#This Row],[LC Total Value]]&gt;0),SnapshotTable[[#This Row],[LC Stop Gain Loss]]  / SnapshotTable[[#This Row],[LC Premium]],"")</f>
        <v/>
      </c>
      <c r="EJ106" s="35">
        <f>IF(ISNUMBER(SnapshotTable[[#This Row],[Equity Shares]]),TRUNC(SnapshotTable[[#This Row],[Equity Shares]] / 100),0) + SnapshotTable[[#This Row],[LC Qty]]</f>
        <v>0</v>
      </c>
      <c r="EK106" s="147"/>
      <c r="EL106" s="138" t="str">
        <f>IF(SnapshotTable[[#This Row],[SC Exp Date]]&lt;&gt;"",TRUNC(SnapshotTable[[#This Row],[Last Price]]),"")</f>
        <v/>
      </c>
      <c r="EM106" s="148"/>
      <c r="EN106" s="147"/>
      <c r="EO106" s="147"/>
      <c r="EP106" s="138"/>
      <c r="EQ106" s="419" t="b">
        <f>AND(ISNUMBER(SnapshotTable[[#This Row],[SC Exp Date]]), ISNUMBER(SnapshotTable[[#This Row],[SC Strike Price]]), ISNUMBER(SnapshotTable[[#This Row],[SC Qty]]), ISNUMBER(SnapshotTable[[#This Row],[SC Book Date]]), ISNUMBER(SnapshotTable[[#This Row],[SC Book Price]]))</f>
        <v>0</v>
      </c>
      <c r="ER106" s="419" t="b">
        <f>AND(SnapshotTable[[#This Row],[SC Is Booked]], NOT(ISBLANK(SnapshotTable[[#This Row],[SC Fill Date]])))</f>
        <v>0</v>
      </c>
      <c r="ES106" s="370"/>
      <c r="ET106" s="34" t="str">
        <f>IF(AND(ISNUMBER(SnapshotTable[[#This Row],[SC Exp Date]]), ISNUMBER(SnapshotTable[[#This Row],[SC Book Date]])), SnapshotTable[[#This Row],[SC Exp Date]] - MAX(SnapshotTable[[#This Row],[SC Book Date]], SnapshotTable[[#This Row],[SC Fill Date]]) + 1, "")</f>
        <v/>
      </c>
      <c r="EU106" s="34" t="str">
        <f>IF(ISNUMBER(SnapshotTable[[#This Row],[SC Term]]), SnapshotTable[[#This Row],[SC Exp Date]]- MockToday, "")</f>
        <v/>
      </c>
      <c r="EV106" s="31">
        <f>IF(SnapshotTable[[#This Row],[SC Is Booked]], SnapshotTable[[#This Row],[SC Qty]] * SnapshotTable[[#This Row],[SC Book Price]] * 100, 0)</f>
        <v>0</v>
      </c>
      <c r="EW106" s="4" t="str">
        <f>IF(AND(ISNUMBER(SnapshotTable[[#This Row],[Last Price]]), ISNUMBER( SnapshotTable[[#This Row],[SC Book Price]])), SnapshotTable[[#This Row],[Last Price]] - SnapshotTable[[#This Row],[SC Book Price]],"")</f>
        <v/>
      </c>
      <c r="EX106" s="234" t="str">
        <f>IF(SnapshotTable[[#This Row],[SC Is Booked]],IF(SnapshotTable[[#This Row],[SC Intrinsic Value]] &gt; 0, SnapshotTable[[#This Row],[SC Strike Price]], SnapshotTable[[#This Row],[Last Price]]), "")</f>
        <v/>
      </c>
      <c r="EY106" s="4">
        <f>IF(SnapshotTable[[#This Row],[SC Is Booked]], (MinimumPremiumRequired * SnapshotTable[[#This Row],[SC Basis]] * SnapshotTable[[#This Row],[SC Term]]), 0)</f>
        <v>0</v>
      </c>
      <c r="EZ106" s="283"/>
      <c r="FA106" s="218"/>
      <c r="FB106" s="370"/>
      <c r="FC106" s="4">
        <f>IF(SnapshotTable[[#This Row],[SC Is Filled]], btc_max_buyback_amount(SnapshotTable[[#This Row],[SC Fill Date]],SnapshotTable[[#This Row],[SC Exp Date]], SnapshotTable[[#This Row],[SC Book Price]]),0)</f>
        <v>0</v>
      </c>
      <c r="FD106" s="5"/>
      <c r="FE106" s="144" t="str">
        <f>IF(SnapshotTable[[#This Row],[SC Is Filled]], btc_next_cutoff_date(SnapshotTable[[#This Row],[SC Fill Date]],SnapshotTable[[#This Row],[SC Exp Date]]),"")</f>
        <v/>
      </c>
      <c r="FF106" s="4" t="str" cm="1">
        <f t="array" ref="FF106">IF(SnapshotTable[[#This Row],[SC Is Filled]], btc_should_buy_back(SnapshotTable[[#This Row],[SC Fill Date]], SnapshotTable[[#This Row],[SC Exp Date]], SnapshotTable[[#This Row],[SC Book Price]], SnapshotTable[[#This Row],[SC Current Ask]], MockToday, SnapshotTable[[#This Row],[SC Buyback Override]]),"")</f>
        <v/>
      </c>
      <c r="FG106" s="4">
        <f>IF(SnapshotTable[[#This Row],[SC Is Filled]], MAX(0,SnapshotTable[[#This Row],[Last Price]]  - SnapshotTable[[#This Row],[SC Strike Price]]), 0)</f>
        <v>0</v>
      </c>
      <c r="FH106" s="382">
        <f>IF(SnapshotTable[[#This Row],[SC Is Filled]], IF(ISNUMBER(SnapshotTable[[#This Row],[SC Current Ask]]), SnapshotTable[[#This Row],[SC Current Ask]], SnapshotTable[[#This Row],[SC Book Price]]) - SnapshotTable[[#This Row],[SC Intrinsic Value]], 0)</f>
        <v>0</v>
      </c>
      <c r="FI106" s="143"/>
      <c r="FJ106" s="32" t="str">
        <f>IF(SnapshotTable[[#This Row],[SC Is Filled]],100 * SnapshotTable[[#This Row],[SC Qty]] * IF(ISNUMBER(SnapshotTable[[#This Row],[SC Buyback Override]]), SnapshotTable[[#This Row],[SC Buyback Override]], SnapshotTable[[#This Row],[SC Current Ask]]), "")</f>
        <v/>
      </c>
      <c r="FK106" s="250" t="str">
        <f>IF(SnapshotTable[[#This Row],[SC Time Val]]&gt;0, SnapshotTable[[#This Row],[SC Time Val]] / SnapshotTable[[#This Row],[Last Price]],"")</f>
        <v/>
      </c>
      <c r="FL106" s="302" t="str">
        <f>IF(SnapshotTable[[#This Row],[SC Is Booked]], ((SnapshotTable[[#This Row],[Last Price]] -SnapshotTable[[#This Row],[SC Strike Price]]) / SnapshotTable[[#This Row],[Last Price]]) * -1, "")</f>
        <v/>
      </c>
      <c r="FM106" s="157" t="str">
        <f>IF(SnapshotTable[[#This Row],[SC Is Booked]],  (SnapshotTable[[#This Row],[SC Qty]] * 100 * SnapshotTable[[#This Row],[SC Strike Price]]) - SnapshotTable[[#This Row],[SC Current Ask]], "")</f>
        <v/>
      </c>
      <c r="FN10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6" s="31" t="str">
        <f>IF(AND(ISNUMBER(SnapshotTable[[#This Row],[SC Exercise Gross]]), ISNUMBER(SnapshotTable[[#This Row],[Equity Basis Per Share]] )), SnapshotTable[[#This Row],[SC Exercise Gross]] - SnapshotTable[[#This Row],[Equity Basis Total]] +  SnapshotTable[[#This Row],[SC Premium]], "")</f>
        <v/>
      </c>
      <c r="FP106" s="5" t="str">
        <f>IF(ISNUMBER(SnapshotTable[[#This Row],[SC Exercise Gross]]), (SnapshotTable[[#This Row],[SC Exercise Gross]]) / (SnapshotTable[[#This Row],[SC Qty]] * 100), "")</f>
        <v/>
      </c>
      <c r="FQ106" s="27" t="str">
        <f>IF(SnapshotTable[[#This Row],[SC Is Booked]],SnapshotTable[[#This Row],[SC Time Val]] /SnapshotTable[[#This Row],[SC Basis]], "")</f>
        <v/>
      </c>
      <c r="FR106" s="27" t="str" cm="1">
        <f t="array" ref="FR106">IF(AND(ISNUMBER(SnapshotTable[[#This Row],[SC Term]]),ISNUMBER(SnapshotTable[[#This Row],[SC Simple ROO]])), EllmanAnnualize(SnapshotTable[[#This Row],[SC DTE]], SnapshotTable[[#This Row],[SC Simple ROO]] ),"")</f>
        <v/>
      </c>
      <c r="FS106" s="4" t="e">
        <f>IF(SnapshotTable[[#This Row],[SC Strike Price]] &gt; SnapshotTable[[#This Row],[Last Price]], SnapshotTable[[#This Row],[SC Strike Price]] - SnapshotTable[[#This Row],[Last Price]],0)</f>
        <v>#VALUE!</v>
      </c>
      <c r="FT106" s="27" t="e">
        <f>IF(AND(ISNUMBER(SnapshotTable[[#This Row],[SC Upside Potential]]), SnapshotTable[[#This Row],[SC Upside Potential]] &gt; 0),(SnapshotTable[[#This Row],[SC Upside Potential]]/ SnapshotTable[[#This Row],[ACB]]),"")</f>
        <v>#VALUE!</v>
      </c>
      <c r="FU106" s="333" t="str">
        <f>IF(SnapshotTable[[#This Row],[SC Intrinsic Value]] &gt; 0,SnapshotTable[[#This Row],[SC Intrinsic Value]],"")</f>
        <v/>
      </c>
      <c r="FV106" s="27" t="str">
        <f>IF(AND( ISNUMBER( SnapshotTable[[#This Row],[ACB]]),ISNUMBER(SnapshotTable[[#This Row],[SC Downside Protect]])),SnapshotTable[[#This Row],[SC Downside Protect]] / SnapshotTable[[#This Row],[ACB]],"")</f>
        <v/>
      </c>
      <c r="FW106" s="236" t="str">
        <f>IF(AND(ISNUMBER(SnapshotTable[[#This Row],[SC Simple ROO]]),SnapshotTable[[#This Row],[SC Simple ROO]] &gt; 0), SnapshotTable[[#This Row],[SC Premium]] + (SnapshotTable[[#This Row],[SC Qty]] * SnapshotTable[[#This Row],[SC Upside Potential]]), "")</f>
        <v/>
      </c>
      <c r="FX106" s="302" t="str" cm="1">
        <f t="array" ref="FX106">IF(ISNUMBER(SnapshotTable[[#This Row],[SC Max Dollars]]), annualize(SnapshotTable[[#This Row],[SC Term]],(SnapshotTable[[#This Row],[SC Max Dollars]]/SnapshotTable[[#This Row],[SC Basis]])),"")</f>
        <v/>
      </c>
      <c r="FY106" s="236" t="str">
        <f>IF(AND(SnapshotTable[[#This Row],[SC Qty]]&gt;0,SnapshotTable[[#This Row],[SC Current Ask]]&gt;0), SnapshotTable[[#This Row],[SC Qty]] * SnapshotTable[[#This Row],[SC Current Ask]] * -100, "")</f>
        <v/>
      </c>
      <c r="FZ106" s="31" t="str">
        <f>IF(ISNUMBER((SnapshotTable[[#This Row],[SC Current Value]])), SnapshotTable[[#This Row],[SC Premium]] + SnapshotTable[[#This Row],[SC Current Value]], "")</f>
        <v/>
      </c>
      <c r="GA106" s="294" t="str">
        <f>IFERROR( IF(ISNUMBER((SnapshotTable[[#This Row],[SC Current Value]])), SnapshotTable[[#This Row],[SC Gain Loss]] / SnapshotTable[[#This Row],[SC Premium]], ""), "")</f>
        <v/>
      </c>
      <c r="GB106" s="42">
        <f>SnapshotTable[[#This Row],[Equity Shares]] * SaleSharesToConsiderPercentage</f>
        <v>0</v>
      </c>
      <c r="GC106" s="40">
        <f>SnapshotTable[[#This Row],[Long Term Target]] * SellingPriceToConsiderBasedOnTargetPercentage</f>
        <v>0</v>
      </c>
      <c r="GD106" s="40">
        <f>SnapshotTable[[#This Row],[Last Price]] * (1+ SellingPriceToConsiderBasedOnTargetPercentage)</f>
        <v>161.148</v>
      </c>
      <c r="GE106" s="41"/>
      <c r="GF106" s="40"/>
      <c r="GG106" s="31">
        <f>SnapshotTable[[#This Row],[Booked Sale Shares]] * SnapshotTable[[#This Row],[Booked Sale Price]]</f>
        <v>0</v>
      </c>
      <c r="GH106" s="31" t="str">
        <f>IF(SnapshotTable[[#This Row],[Equity Basis Total]] &gt; 0, SnapshotTable[[#This Row],[Equity Basis Per Share]] * SnapshotTable[[#This Row],[Booked Sale Shares]], "")</f>
        <v/>
      </c>
      <c r="GI106" s="31">
        <f>IF(SnapshotTable[[#This Row],[Sale Proceeds]]&gt;0, SnapshotTable[[#This Row],[Sale Proceeds]] - SnapshotTable[[#This Row],[Sale Basis]], 0)</f>
        <v>0</v>
      </c>
      <c r="GJ106" s="27" t="str">
        <f>IF(SnapshotTable[[#This Row],[Sale G/L]]&gt;0, SnapshotTable[[#This Row],[Sale G/L]] / SnapshotTable[[#This Row],[Sale Basis]], IF(ISNUMBER(SnapshotTable[[#This Row],[SC Exercise P&amp;L (TAX)]]), SnapshotTable[[#This Row],[SC Exercise P&amp;L (TAX)]] / SnapshotTable[[#This Row],[SC Basis]], ""))</f>
        <v/>
      </c>
      <c r="GK106" s="27"/>
      <c r="GL106" s="43" t="str">
        <f>IF(AND(SnapshotTable[[#This Row],[LP Exp Date]]&gt;0,SnapshotTable[[#This Row],[LP Strike Price]]&gt;0), [1]!ToOptionSymbol(SnapshotTable[[#This Row],[Symbol]], SnapshotTable[[#This Row],[LP Strike Price]],SnapshotTable[[#This Row],[LP Exp Date]],1), "")</f>
        <v/>
      </c>
      <c r="GM106" s="30" t="str">
        <f>IF(LEN(SnapshotTable[[#This Row],[LP Symbol]])&gt;0, 1, "")</f>
        <v/>
      </c>
      <c r="GN106" s="43" t="str">
        <f>IF(AND(SnapshotTable[[#This Row],[SP Exp Date]]&gt;0,SnapshotTable[[#This Row],[SP Strike Price]]&gt;0), [1]!ToOptionSymbol(SnapshotTable[[#This Row],[Symbol]], SnapshotTable[[#This Row],[SP Strike Price]],SnapshotTable[[#This Row],[SP Exp Date]],1), "")</f>
        <v/>
      </c>
      <c r="GO106" s="30" t="str">
        <f>IF(LEN(SnapshotTable[[#This Row],[SP Symbol]])&gt;0, 1, "")</f>
        <v/>
      </c>
      <c r="GP106" s="43" t="str">
        <f>IF(AND(SnapshotTable[[#This Row],[LC Exp Date]]&gt;0,SnapshotTable[[#This Row],[LC Strike Price]]&gt;0), [1]!ToOptionSymbol(SnapshotTable[[#This Row],[Symbol]], SnapshotTable[[#This Row],[LC Strike Price]],SnapshotTable[[#This Row],[LC Exp Date]],0), "")</f>
        <v/>
      </c>
      <c r="GQ106" s="30" t="str">
        <f>IF(LEN(SnapshotTable[[#This Row],[LC Symbol]])&gt;0, 1, "")</f>
        <v/>
      </c>
      <c r="GR106" s="43" t="str">
        <f>IF(AND(SnapshotTable[[#This Row],[SC Exp Date]]&gt;0,SnapshotTable[[#This Row],[SC Strike Price]]&gt;0), [1]!ToOptionSymbol(SnapshotTable[[#This Row],[Symbol]], SnapshotTable[[#This Row],[SC Strike Price]],SnapshotTable[[#This Row],[SC Exp Date]],0), "")</f>
        <v/>
      </c>
      <c r="GS106" s="30" t="str">
        <f>IF(LEN(SnapshotTable[[#This Row],[SC Symbol]])&gt;0, 1, "")</f>
        <v/>
      </c>
      <c r="GT106" s="29" t="str">
        <f>IF(COUNT(SnapshotTable[[#This Row],[LP Symbol Count]],SnapshotTable[[#This Row],[SP Symbol Count]],SnapshotTable[[#This Row],[LC Symbol Count]],SnapshotTable[[#This Row],[SC Symbol Count]])&gt;0, "Y", "")</f>
        <v/>
      </c>
      <c r="GU10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6" s="231" t="e">
        <f>MAX(SnapshotTable[[#This Row],[Equity Basis Total]],SnapshotTable[[#This Row],[Equity Value]]) + (SnapshotTable[[#This Row],[SP Potential Spend]]- SnapshotTable[[#This Row],[SP Premium]] + SnapshotTable[[#This Row],[LP Premium]])+ (SnapshotTable[[#This Row],[LC Premium]] - SnapshotTable[[#This Row],[SC Premium]])</f>
        <v>#VALUE!</v>
      </c>
      <c r="GW106" s="139" t="e">
        <f>IF(AND(SnapshotTable[[#This Row],[Exposure]] &lt;&gt; 0),SnapshotTable[[#This Row],[Exposure]] / SnapshotTable[[#Totals],[Exposure]], "")</f>
        <v>#VALUE!</v>
      </c>
      <c r="HE106" s="268"/>
      <c r="HF106" s="268"/>
      <c r="HK106" s="1"/>
      <c r="HL106" s="1"/>
      <c r="HM106" s="1"/>
      <c r="HN106" s="1"/>
      <c r="HO106" s="1"/>
      <c r="HP106" s="1"/>
    </row>
    <row r="107" spans="2:224" ht="12.75" hidden="1" customHeight="1" x14ac:dyDescent="0.25">
      <c r="B107" s="12" t="s">
        <v>157</v>
      </c>
      <c r="C107" s="422">
        <v>11.58</v>
      </c>
      <c r="D107" s="208"/>
      <c r="E107" s="39">
        <f>SnapshotTable[[#This Row],[Last Price]]*(1 -CrashDiscount)</f>
        <v>9.843</v>
      </c>
      <c r="F107" s="26" t="s">
        <v>155</v>
      </c>
      <c r="G107" s="26" t="s">
        <v>4</v>
      </c>
      <c r="H107" s="149"/>
      <c r="I107" s="194">
        <v>44769</v>
      </c>
      <c r="J107" s="195">
        <v>44769</v>
      </c>
      <c r="K107" s="196"/>
      <c r="L107" s="326"/>
      <c r="M107" s="140"/>
      <c r="N107" s="140"/>
      <c r="O107" s="140"/>
      <c r="P107" s="22"/>
      <c r="Q107" s="25"/>
      <c r="R107" s="4" t="str">
        <f>IF(SnapshotTable[[#This Row],[Equity Basis Total]] &gt; 0, SnapshotTable[[#This Row],[Equity Basis Total]] / SnapshotTable[[#This Row],[Equity Shares]], "")</f>
        <v/>
      </c>
      <c r="S107" s="269">
        <f>SnapshotTable[[#This Row],[Last Price]] * SnapshotTable[[#This Row],[Equity Shares]]</f>
        <v>0</v>
      </c>
      <c r="T107" s="269">
        <f>SnapshotTable[[#This Row],[Equity Value]] - SnapshotTable[[#This Row],[Equity Basis Total]]</f>
        <v>0</v>
      </c>
      <c r="U107" s="270" t="str">
        <f>IF(SnapshotTable[[#This Row],[Equity Basis Total]] &gt; 0, SnapshotTable[[#This Row],[Equity G/L]] / SnapshotTable[[#This Row],[Equity Basis Total]], "")</f>
        <v/>
      </c>
      <c r="V107" s="268"/>
      <c r="W107" s="268"/>
      <c r="X107" s="4" t="str">
        <f>IF(AND(ISNUMBER(SnapshotTable[[#This Row],[Equity Basis Per Share]]),ISNUMBER(SnapshotTable[[#This Row],[Equity Target]])),SnapshotTable[[#This Row],[Equity Target]]-SnapshotTable[[#This Row],[Equity Basis Per Share]],"")</f>
        <v/>
      </c>
      <c r="Y107" s="4" t="str">
        <f>IF(AND(ISNUMBER(SnapshotTable[[#This Row],[Equity Basis Per Share]]),ISNUMBER(SnapshotTable[[#This Row],[Equity Stop Loss]])),SnapshotTable[[#This Row],[Equity Stop Loss]]-SnapshotTable[[#This Row],[Equity Basis Per Share]],"")</f>
        <v/>
      </c>
      <c r="Z107" s="275" t="str">
        <f>IFERROR( TEXT(SnapshotTable[[#This Row],[Equity Max Gain Per Share]] /ABS( SnapshotTable[[#This Row],[Equity Max Loss Per Share]]),"0.0 " ) &amp; " : 1", "")</f>
        <v/>
      </c>
      <c r="AA107" s="31" t="str">
        <f>IF(ISNUMBER(SnapshotTable[[#This Row],[Equity Max Gain Per Share]]),SnapshotTable[[#This Row],[Equity Max Gain Per Share]] * SnapshotTable[[#This Row],[Equity Shares]],"")</f>
        <v/>
      </c>
      <c r="AB107" s="31" t="str">
        <f>IF(ISNUMBER(SnapshotTable[[#This Row],[Equity Max Loss Per Share]]),SnapshotTable[[#This Row],[Equity Max Loss Per Share]] * SnapshotTable[[#This Row],[Equity Shares]],"")</f>
        <v/>
      </c>
      <c r="AC107" s="150">
        <v>0.72</v>
      </c>
      <c r="AD107" s="151">
        <v>42899</v>
      </c>
      <c r="AE107" s="31">
        <f>(SnapshotTable[[#This Row],[Annual Dividend Per Share]] / 4) * SnapshotTable[[#This Row],[Equity Shares]]</f>
        <v>0</v>
      </c>
      <c r="AF107" s="31">
        <f>SnapshotTable[[#This Row],[Quarterly Div $]] * 4</f>
        <v>0</v>
      </c>
      <c r="AG107" s="7">
        <f>IF(SnapshotTable[[#This Row],[Annual Dividend Per Share]]&gt;0, SnapshotTable[[#This Row],[Annual Dividend Per Share]]  / SnapshotTable[[#This Row],[Last Price]], 0)</f>
        <v>6.2176165803108807E-2</v>
      </c>
      <c r="AH107" s="151">
        <v>42863</v>
      </c>
      <c r="AI107" s="5"/>
      <c r="AJ107" s="138">
        <v>11.2</v>
      </c>
      <c r="AK107" s="152" t="str">
        <f>IF(ISNUMBER( SnapshotTable[[#This Row],[EBF Target]]),(SnapshotTable[[#This Row],[EBF Target]] - SnapshotTable[[#This Row],[Last Price]]) / SnapshotTable[[#This Row],[Last Price]], "")</f>
        <v/>
      </c>
      <c r="AL107" s="152" t="str">
        <f>IF(AND(SnapshotTable[[#This Row],[Equity Basis Total]] &gt; 0,ISNUMBER( SnapshotTable[[#This Row],[Long Term Target]])), SnapshotTable[[#This Row],[From Basis $]] / SnapshotTable[[#This Row],[Equity Basis Total]], "")</f>
        <v/>
      </c>
      <c r="AM107" s="9">
        <f>IF( AND(SnapshotTable[[#This Row],[Equity Shares]] &gt;0,ISNUMBER( SnapshotTable[[#This Row],[Long Term Target]])),(SnapshotTable[[#This Row],[Equity Shares]] * SnapshotTable[[#This Row],[Long Term Target]]) - SnapshotTable[[#This Row],[Equity Basis Total]],0)</f>
        <v>0</v>
      </c>
      <c r="AN107" s="9">
        <f>IF( AND(SnapshotTable[[#This Row],[Equity Shares]] &gt;0,ISNUMBER( SnapshotTable[[#This Row],[Long Term Target]])),(SnapshotTable[[#This Row],[Equity Shares]]*SnapshotTable[[#This Row],[Long Term Target]]) - SnapshotTable[[#This Row],[Equity Value]],0)</f>
        <v>0</v>
      </c>
      <c r="AO107" s="152">
        <f>IF(AND(ISNUMBER( SnapshotTable[[#This Row],[Long Term Target]]), ISNUMBER(SnapshotTable[[#This Row],[Last Price]])),(SnapshotTable[[#This Row],[Long Term Target]] - SnapshotTable[[#This Row],[Last Price]]) / SnapshotTable[[#This Row],[Last Price]], "")</f>
        <v>-3.2815198618307492E-2</v>
      </c>
      <c r="AP107" s="5"/>
      <c r="AQ107" s="38"/>
      <c r="AR107" s="5"/>
      <c r="AS107" s="38"/>
      <c r="AT107" s="146"/>
      <c r="AU107" s="187" t="str">
        <f>IF(OR(SnapshotTable[[#This Row],[LP No Fill]]="Y",SnapshotTable[[#This Row],[SP Is Filled]],SnapshotTable[[#This Row],[LC Not Filled]]="Y",SnapshotTable[[#This Row],[SC Is Filled]]),"Y","")</f>
        <v/>
      </c>
      <c r="AV107" s="219"/>
      <c r="AW107" s="225"/>
      <c r="AX107" s="220"/>
      <c r="AY107" s="219" t="str">
        <f>IF(SnapshotTable[[#This Row],[Implied Move]]&gt;0, SnapshotTable[[#This Row],[Last Price]]-SnapshotTable[[#This Row],[Implied Move]],"")</f>
        <v/>
      </c>
      <c r="AZ107" s="219" t="str">
        <f>IF(SnapshotTable[[#This Row],[Implied Move]]&gt;0, SnapshotTable[[#This Row],[Last Price]] + SnapshotTable[[#This Row],[Implied Move]],"")</f>
        <v/>
      </c>
      <c r="BA107" s="331"/>
      <c r="BB107" s="347"/>
      <c r="BC10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7" s="351"/>
      <c r="BE107" s="5"/>
      <c r="BF107" s="14"/>
      <c r="BG107" s="13"/>
      <c r="BH107" s="13"/>
      <c r="BI107" s="5"/>
      <c r="BJ107" s="136">
        <f>IF(SnapshotTable[[#This Row],[LP Qty]] &gt; 0, SnapshotTable[[#This Row],[LP Qty]] * SnapshotTable[[#This Row],[LP Book Price]] * 100,0)</f>
        <v>0</v>
      </c>
      <c r="BK107" s="136">
        <f>IF(SnapshotTable[[#This Row],[LP Premium]] &gt; 0, SnapshotTable[[#This Row],[LP Qty]] * SnapshotTable[[#This Row],[LP Strike Price]] * 100,0)</f>
        <v>0</v>
      </c>
      <c r="BL107" s="154"/>
      <c r="BM107" s="385" t="str">
        <f>IF(SnapshotTable[[#This Row],[LP Premium]] &gt; 0,SnapshotTable[[#This Row],[LP Exp Date]]-MAX(SnapshotTable[[#This Row],[LP Book Date]], SnapshotTable[[#This Row],[LP Fill Date]]),"")</f>
        <v/>
      </c>
      <c r="BN107" s="385" t="str">
        <f>IF(ISNUMBER( SnapshotTable[[#This Row],[LP Term]]), SnapshotTable[[#This Row],[LP Exp Date]] - MockToday,"")</f>
        <v/>
      </c>
      <c r="BO107" s="163" t="str">
        <f>IF(AND(SnapshotTable[[#This Row],[LP Exp Date]]&gt;0, SnapshotTable[[#This Row],[LP Strike Price]]&gt;0,SnapshotTable[[#This Row],[LP Qty]]&gt;0,SnapshotTable[[#This Row],[LP Book Date]]&gt;0,SnapshotTable[[#This Row],[LP Book Price]]&gt;0,SnapshotTable[[#This Row],[LP Fill Date]]=0),"Y","")</f>
        <v/>
      </c>
      <c r="BP107" s="31" t="str">
        <f>IF(AND(SnapshotTable[[#This Row],[LP No Fill]]&lt;&gt;"Y",SnapshotTable[[#This Row],[LP Contract Value]]&gt;0, SnapshotTable[[#This Row],[LP Qty]]&gt;0), SnapshotTable[[#This Row],[LP Contract Value]]*SnapshotTable[[#This Row],[LP Qty]]*100,"")</f>
        <v/>
      </c>
      <c r="BQ107" s="13"/>
      <c r="BR107" s="5" t="str">
        <f>IF(SnapshotTable[[#This Row],[SP Exp Date]]&lt;&gt;"",TRUNC(SnapshotTable[[#This Row],[Last Price]]),"")</f>
        <v/>
      </c>
      <c r="BS107" s="36"/>
      <c r="BT107" s="147"/>
      <c r="BU107" s="13"/>
      <c r="BV107" s="5"/>
      <c r="BW107" s="419" t="b">
        <f>AND(ISNUMBER(SnapshotTable[[#This Row],[SP Exp Date]]), ISNUMBER(SnapshotTable[[#This Row],[SP Strike Price]]), ISNUMBER(SnapshotTable[[#This Row],[SP Qty]]), ISNUMBER(SnapshotTable[[#This Row],[SP Book Date]]), ISNUMBER(SnapshotTable[[#This Row],[SP Book Price]]))</f>
        <v>0</v>
      </c>
      <c r="BX107" s="419" t="b">
        <f>AND(SnapshotTable[[#This Row],[SP Is Booked]], NOT(ISBLANK(SnapshotTable[[#This Row],[SP Fill Date]])))</f>
        <v>0</v>
      </c>
      <c r="BY107" s="33">
        <f>IF(SnapshotTable[[#This Row],[SP Is Booked]], SnapshotTable[[#This Row],[SP Qty]] * SnapshotTable[[#This Row],[SP Book Price]] * 100, 0)</f>
        <v>0</v>
      </c>
      <c r="BZ107" s="369"/>
      <c r="CA107" s="368">
        <f>SnapshotTable[[#This Row],[LP Qty]]</f>
        <v>0</v>
      </c>
      <c r="CB107" s="4" t="str">
        <f>IF(SnapshotTable[[#This Row],[SP Is Booked]], SnapshotTable[[#This Row],[SP Strike Price]] - SnapshotTable[[#This Row],[SP Book Price]], "")</f>
        <v/>
      </c>
      <c r="CC107" s="19" t="str">
        <f>IF(SnapshotTable[[#This Row],[SP Is Booked]],SnapshotTable[[#This Row],[SP Exp Date]]-MAX(SnapshotTable[[#This Row],[SP Book Date]], SnapshotTable[[#This Row],[SP Fill Date]]),"")</f>
        <v/>
      </c>
      <c r="CD107" s="7" t="str">
        <f>IF(SnapshotTable[[#This Row],[SP Is Booked]], SnapshotTable[[#This Row],[SP Book Price]]/SnapshotTable[[#This Row],[SP Strike Price]], "")</f>
        <v/>
      </c>
      <c r="CE107" s="7" t="str">
        <f>IF(ISNUMBER(SnapshotTable[[#This Row],[SP ROO Term]]),SnapshotTable[[#This Row],[SP ROO Term]]*(365/SnapshotTable[[#This Row],[SP Term]]),"")</f>
        <v/>
      </c>
      <c r="CF107" s="236">
        <f>SnapshotTable[[#This Row],[LP Strike Price]] * SnapshotTable[[#This Row],[LP Qty]] * 100</f>
        <v>0</v>
      </c>
      <c r="CG107" s="31" t="e">
        <f>IF(ISNUMBER(SnapshotTable[[#This Row],[SP Premium]]), (SnapshotTable[[#This Row],[SP Qty]] * SnapshotTable[[#This Row],[SP Strike Price]]* 100) - SnapshotTable[[#This Row],[LP Protection]], 0)</f>
        <v>#VALUE!</v>
      </c>
      <c r="CH107" s="7" t="str">
        <f>IF(ISNUMBER(SnapshotTable[[#This Row],[SP Break Even]]),-1 * (SnapshotTable[[#This Row],[SP Break Even]] - SnapshotTable[[#This Row],[Last Price]]) / SnapshotTable[[#This Row],[Last Price]], "")</f>
        <v/>
      </c>
      <c r="CI107" s="31">
        <f>IF(AND(ISNUMBER((SnapshotTable[[#This Row],[SP Potential Spend]])), SnapshotTable[[#This Row],[SP Strike Price]] &gt; SnapshotTable[[#This Row],[Last Price]], SnapshotTable[[#This Row],[SP Is Filled]]), SnapshotTable[[#This Row],[SP Potential Spend]] -  SnapshotTable[[#This Row],[LP Max Value]], 0)</f>
        <v>0</v>
      </c>
      <c r="CJ107" s="244"/>
      <c r="CK107" s="31" t="str">
        <f>IF(ISNUMBER(SnapshotTable[[#This Row],[SP Potential Spend]]),IF(ISNUMBER(SnapshotTable[[#This Row],[SP POW]]), SnapshotTable[[#This Row],[SP POW]] * SnapshotTable[[#This Row],[SP Potential Spend]], SnapshotTable[[#This Row],[SP Potential Spend]]), "")</f>
        <v/>
      </c>
      <c r="CL107" s="164" t="e">
        <f>IF(NOT(SnapshotTable[[#This Row],[SP Is Filled]]),(SnapshotTable[[#This Row],[SP Qty]] * SnapshotTable[[#This Row],[SP Strike Price]] * 100) - SnapshotTable[[#This Row],[LP Max Value]],"")</f>
        <v>#VALUE!</v>
      </c>
      <c r="CM107" s="31" t="str">
        <f>IF(SnapshotTable[[#This Row],[SP Actual Spend]]&lt;&gt;0, ((SnapshotTable[[#This Row],[SP Strike Price]]-SnapshotTable[[#This Row],[Last Price]]) *(SnapshotTable[[#This Row],[SP Qty]]*100) - SnapshotTable[[#This Row],[SP Premium]]) * - 1, "")</f>
        <v/>
      </c>
      <c r="CN107" s="78"/>
      <c r="CO107" s="369"/>
      <c r="CP107" s="4" t="str">
        <f>IF(SnapshotTable[[#This Row],[SP Is Filled]], btc_max_buyback_amount(SnapshotTable[[#This Row],[SP Fill Date]],SnapshotTable[[#This Row],[SP Exp Date]], SnapshotTable[[#This Row],[SP Book Price]]),"")</f>
        <v/>
      </c>
      <c r="CQ107" s="78"/>
      <c r="CR10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7" s="155" t="str">
        <f>IF(SnapshotTable[[#This Row],[SP Is Filled]], btc_next_cutoff_date(SnapshotTable[[#This Row],[SP Fill Date]],SnapshotTable[[#This Row],[SP Exp Date]]),"")</f>
        <v/>
      </c>
      <c r="CT107" s="235" t="str" cm="1">
        <f t="array" ref="CT107">IF(SnapshotTable[[#This Row],[SP Is Filled]], btc_should_buy_back(SnapshotTable[[#This Row],[SP Fill Date]], SnapshotTable[[#This Row],[SP Exp Date]], SnapshotTable[[#This Row],[SP Book Price]], SnapshotTable[[#This Row],[SP Current Ask]], MockToday, SnapshotTable[[#This Row],[SP Buyback Override]]),"")</f>
        <v/>
      </c>
      <c r="CU107" s="143"/>
      <c r="CV107" s="235"/>
      <c r="CW107" s="378" t="str">
        <f>IF(ISNUMBER( SnapshotTable[[#This Row],[SP Term]]), SnapshotTable[[#This Row],[SP Exp Date]] - MockToday,"")</f>
        <v/>
      </c>
      <c r="CX107" s="31" t="str">
        <f>IF(SnapshotTable[[#This Row],[SP Is Filled]],SnapshotTable[[#This Row],[SP Buyback Price to Use]] * 100 * SnapshotTable[[#This Row],[SP Qty]], "")</f>
        <v/>
      </c>
      <c r="CY107" s="4" t="str">
        <f>IF(ISNUMBER(SnapshotTable[[#This Row],[SP Strike Price]]), SnapshotTable[[#This Row],[SP Strike Price]] * (1 - SP_MaxLoss_StrikePct), "")</f>
        <v/>
      </c>
      <c r="CZ107" s="31" t="str">
        <f>IF(ISNUMBER(SnapshotTable[[#This Row],[SP Strike  Stop Per Share]]),SnapshotTable[[#This Row],[SP Premium]] - ((SnapshotTable[[#This Row],[SP Strike Price]]-SnapshotTable[[#This Row],[SP Strike  Stop Per Share]]) *(SnapshotTable[[#This Row],[SP Qty]] * 100)),"")</f>
        <v/>
      </c>
      <c r="DA107" s="4" t="str">
        <f>IF(AND(ISNUMBER(SnapshotTable[[#This Row],[SP Premium]]),SnapshotTable[[#This Row],[SP Premium]]&gt;0), SnapshotTable[[#This Row],[SP Book Price]] * (1 + SP_MaxLoss_OptionPct), "")</f>
        <v/>
      </c>
      <c r="DB107" s="31" t="str">
        <f>IF(ISNUMBER(SnapshotTable[[#This Row],[SP Option  Stop Contract]]),(SnapshotTable[[#This Row],[SP Option  Stop Contract]] *(SnapshotTable[[#This Row],[SP Qty]] * 100) - SnapshotTable[[#This Row],[SP Premium]]),"")</f>
        <v/>
      </c>
      <c r="DC107" s="4"/>
      <c r="DD107" s="4"/>
      <c r="DE107" s="4" t="str">
        <f>IF(AND(SnapshotTable[[#This Row],[SP Qty]]&gt;0, SnapshotTable[[#This Row],[SP Stop To Use]]&gt;0),SnapshotTable[[#This Row],[SP Premium]] - ( SnapshotTable[[#This Row],[SP Qty]] * SnapshotTable[[#This Row],[SP Stop To Use]] * 100), "")</f>
        <v/>
      </c>
      <c r="DF107" s="31" t="str">
        <f>IF(AND(SnapshotTable[[#This Row],[SP Qty]]&gt;0,SnapshotTable[[#This Row],[SP Current Ask]]&gt;0), SnapshotTable[[#This Row],[SP Qty]] * SnapshotTable[[#This Row],[SP Current Ask]] * -100, "")</f>
        <v/>
      </c>
      <c r="DG107" s="31" t="str">
        <f>IF(ISNUMBER((SnapshotTable[[#This Row],[SP Total Value]])), SnapshotTable[[#This Row],[SP Premium]] + SnapshotTable[[#This Row],[SP Total Value]], "")</f>
        <v/>
      </c>
      <c r="DH107" s="294" t="str">
        <f>IF(ISNUMBER((SnapshotTable[[#This Row],[SP Total Value]])), SnapshotTable[[#This Row],[SP Gain Loss]] / SnapshotTable[[#This Row],[SP Premium]], "")</f>
        <v/>
      </c>
      <c r="DI107" s="406"/>
      <c r="DJ107" s="138"/>
      <c r="DK107" s="148"/>
      <c r="DL107" s="13"/>
      <c r="DM107" s="13"/>
      <c r="DO107" s="31">
        <f>IF(SnapshotTable[[#This Row],[LC Symbol Count]]=1, SnapshotTable[[#This Row],[LC Qty]] * SnapshotTable[[#This Row],[LC Book Price]] * 100, 0)</f>
        <v>0</v>
      </c>
      <c r="DP107" s="163" t="str">
        <f>IF(AND(SnapshotTable[[#This Row],[LC Exp Date]]&gt;0, SnapshotTable[[#This Row],[LC Strike Price]]&gt;0,SnapshotTable[[#This Row],[LC Qty]]&gt;0,SnapshotTable[[#This Row],[LC Book Date]]&gt;0,SnapshotTable[[#This Row],[LC Book Price]]&gt;0,SnapshotTable[[#This Row],[LC Fill Date]]=0),"Y","")</f>
        <v/>
      </c>
      <c r="DQ107" s="386" t="str">
        <f>IF(SnapshotTable[[#This Row],[LC Premium]] &gt; 0,SnapshotTable[[#This Row],[LC Exp Date]]-MAX(SnapshotTable[[#This Row],[LC Book Date]], SnapshotTable[[#This Row],[LC Fill Date]]),"")</f>
        <v/>
      </c>
      <c r="DR107" s="386" t="str">
        <f>IF(ISNUMBER(SnapshotTable[[#This Row],[LC Term]]), SnapshotTable[[#This Row],[LC Exp Date]] - MockToday, "")</f>
        <v/>
      </c>
      <c r="DS107" s="234" t="str">
        <f>IF(SnapshotTable[[#This Row],[LC Premium]]&gt;0,SnapshotTable[[#This Row],[LC Strike Price]] + SnapshotTable[[#This Row],[LC Book Price]],"")</f>
        <v/>
      </c>
      <c r="DU107" s="9" t="str">
        <f>IF(AND(SnapshotTable[[#This Row],[LC Symbol Count]]&gt;0, SnapshotTable[[#This Row],[LC Contract Value]]&gt;0), SnapshotTable[[#This Row],[LC Contract Value]] * SnapshotTable[[#This Row],[LC Qty]] * 100, "")</f>
        <v/>
      </c>
      <c r="DV107" s="9" t="str">
        <f>IF(AND(ISNUMBER(SnapshotTable[[#This Row],[LC Total Value]]), SnapshotTable[[#This Row],[LC Not Filled]]&lt;&gt;"Y"), SnapshotTable[[#This Row],[LC Total Value]]-SnapshotTable[[#This Row],[LC Premium]],"")</f>
        <v/>
      </c>
      <c r="DW107" s="240" t="str">
        <f>IF(ISNUMBER(SnapshotTable[[#This Row],[LC Actual Gain Loss]]), SnapshotTable[[#This Row],[LC Actual Gain Loss]] / SnapshotTable[[#This Row],[LC Premium]],"")</f>
        <v/>
      </c>
      <c r="DX107" s="284" t="str">
        <f>IF(ISNUMBER(SnapshotTable[[#This Row],[LC Book Price]]),SnapshotTable[[#This Row],[LC Book Price]] * 1.5,"")</f>
        <v/>
      </c>
      <c r="DY107" s="265" t="str">
        <f>IF(SnapshotTable[[#This Row],[LC Premium]]&gt;0, SnapshotTable[[#This Row],[LC Next Target]] * SnapshotTable[[#This Row],[LC Qty]] * 100,"")</f>
        <v/>
      </c>
      <c r="DZ107" s="265" t="str">
        <f>IF(ISNUMBER(SnapshotTable[[#This Row],[LC Target Gross]]), SnapshotTable[[#This Row],[LC Target Gross]] - SnapshotTable[[#This Row],[LC Premium]], "")</f>
        <v/>
      </c>
      <c r="EA107" s="305" t="str">
        <f>IF(ISNUMBER(SnapshotTable[[#This Row],[LC Target Gain Loss]]), SnapshotTable[[#This Row],[LC Target Gain Loss]]/SnapshotTable[[#This Row],[LC Premium]], "")</f>
        <v/>
      </c>
      <c r="EB107" s="262"/>
      <c r="EC107" s="283" t="str">
        <f>IF(SnapshotTable[[#This Row],[LC Premium]]&gt;0, SnapshotTable[[#This Row],[LC Book Price]] * (1 - LC_StopLoss_Pct),"")</f>
        <v/>
      </c>
      <c r="ED107" s="284"/>
      <c r="EE107" s="283" t="str">
        <f>IF(ISNUMBER(SnapshotTable[[#This Row],[LC Contract Value]]),IF(ISNUMBER(SnapshotTable[[#This Row],[LC Stop Loss Override]]), SnapshotTable[[#This Row],[LC Stop Loss Override]],SnapshotTable[[#This Row],[LC Stop Loss Calc Target]]),"")</f>
        <v/>
      </c>
      <c r="EF107" s="31" t="str">
        <f>IF(ISNUMBER(SnapshotTable[[#This Row],[LC Stop  To Use]]), (SnapshotTable[[#This Row],[LC Stop  To Use]] * SnapshotTable[[#This Row],[LC Qty]] * 100),"")</f>
        <v/>
      </c>
      <c r="EG107" s="9" t="str">
        <f>IF(ISNUMBER(SnapshotTable[[#This Row],[LC Total Value]]),SnapshotTable[[#This Row],[LC Stop Loss Amount]] - SnapshotTable[[#This Row],[LC Premium]],"")</f>
        <v/>
      </c>
      <c r="EH107" s="9">
        <f>IF(ISNUMBER(SnapshotTable[[#This Row],[LC Premium]]), SnapshotTable[[#This Row],[LC Qty]] * 100 * SnapshotTable[[#This Row],[LC Strike Price]], "")</f>
        <v>0</v>
      </c>
      <c r="EI107" s="240" t="str">
        <f>IF(AND(ISNUMBER(SnapshotTable[[#This Row],[LC Total Value]]),SnapshotTable[[#This Row],[LC Total Value]]&gt;0),SnapshotTable[[#This Row],[LC Stop Gain Loss]]  / SnapshotTable[[#This Row],[LC Premium]],"")</f>
        <v/>
      </c>
      <c r="EJ107" s="35">
        <f>IF(ISNUMBER(SnapshotTable[[#This Row],[Equity Shares]]),TRUNC(SnapshotTable[[#This Row],[Equity Shares]] / 100),0) + SnapshotTable[[#This Row],[LC Qty]]</f>
        <v>0</v>
      </c>
      <c r="EK107" s="147"/>
      <c r="EL107" s="138" t="str">
        <f>IF(SnapshotTable[[#This Row],[SC Exp Date]]&lt;&gt;"",TRUNC(SnapshotTable[[#This Row],[Last Price]]),"")</f>
        <v/>
      </c>
      <c r="EM107" s="148"/>
      <c r="EN107" s="147"/>
      <c r="EO107" s="147"/>
      <c r="EP107" s="138"/>
      <c r="EQ107" s="419" t="b">
        <f>AND(ISNUMBER(SnapshotTable[[#This Row],[SC Exp Date]]), ISNUMBER(SnapshotTable[[#This Row],[SC Strike Price]]), ISNUMBER(SnapshotTable[[#This Row],[SC Qty]]), ISNUMBER(SnapshotTable[[#This Row],[SC Book Date]]), ISNUMBER(SnapshotTable[[#This Row],[SC Book Price]]))</f>
        <v>0</v>
      </c>
      <c r="ER107" s="419" t="b">
        <f>AND(SnapshotTable[[#This Row],[SC Is Booked]], NOT(ISBLANK(SnapshotTable[[#This Row],[SC Fill Date]])))</f>
        <v>0</v>
      </c>
      <c r="ES107" s="370"/>
      <c r="ET107" s="34" t="str">
        <f>IF(AND(ISNUMBER(SnapshotTable[[#This Row],[SC Exp Date]]), ISNUMBER(SnapshotTable[[#This Row],[SC Book Date]])), SnapshotTable[[#This Row],[SC Exp Date]] - MAX(SnapshotTable[[#This Row],[SC Book Date]], SnapshotTable[[#This Row],[SC Fill Date]]) + 1, "")</f>
        <v/>
      </c>
      <c r="EU107" s="34" t="str">
        <f>IF(ISNUMBER(SnapshotTable[[#This Row],[SC Term]]), SnapshotTable[[#This Row],[SC Exp Date]]- MockToday, "")</f>
        <v/>
      </c>
      <c r="EV107" s="31">
        <f>IF(SnapshotTable[[#This Row],[SC Is Booked]], SnapshotTable[[#This Row],[SC Qty]] * SnapshotTable[[#This Row],[SC Book Price]] * 100, 0)</f>
        <v>0</v>
      </c>
      <c r="EW107" s="4" t="str">
        <f>IF(AND(ISNUMBER(SnapshotTable[[#This Row],[Last Price]]), ISNUMBER( SnapshotTable[[#This Row],[SC Book Price]])), SnapshotTable[[#This Row],[Last Price]] - SnapshotTable[[#This Row],[SC Book Price]],"")</f>
        <v/>
      </c>
      <c r="EX107" s="234" t="str">
        <f>IF(SnapshotTable[[#This Row],[SC Is Booked]],IF(SnapshotTable[[#This Row],[SC Intrinsic Value]] &gt; 0, SnapshotTable[[#This Row],[SC Strike Price]], SnapshotTable[[#This Row],[Last Price]]), "")</f>
        <v/>
      </c>
      <c r="EY107" s="4">
        <f>IF(SnapshotTable[[#This Row],[SC Is Booked]], (MinimumPremiumRequired * SnapshotTable[[#This Row],[SC Basis]] * SnapshotTable[[#This Row],[SC Term]]), 0)</f>
        <v>0</v>
      </c>
      <c r="EZ107" s="283"/>
      <c r="FA107" s="218"/>
      <c r="FB107" s="370"/>
      <c r="FC107" s="4">
        <f>IF(SnapshotTable[[#This Row],[SC Is Filled]], btc_max_buyback_amount(SnapshotTable[[#This Row],[SC Fill Date]],SnapshotTable[[#This Row],[SC Exp Date]], SnapshotTable[[#This Row],[SC Book Price]]),0)</f>
        <v>0</v>
      </c>
      <c r="FD107" s="5"/>
      <c r="FE107" s="144" t="str">
        <f>IF(SnapshotTable[[#This Row],[SC Is Filled]], btc_next_cutoff_date(SnapshotTable[[#This Row],[SC Fill Date]],SnapshotTable[[#This Row],[SC Exp Date]]),"")</f>
        <v/>
      </c>
      <c r="FF107" s="4" t="str" cm="1">
        <f t="array" ref="FF107">IF(SnapshotTable[[#This Row],[SC Is Filled]], btc_should_buy_back(SnapshotTable[[#This Row],[SC Fill Date]], SnapshotTable[[#This Row],[SC Exp Date]], SnapshotTable[[#This Row],[SC Book Price]], SnapshotTable[[#This Row],[SC Current Ask]], MockToday, SnapshotTable[[#This Row],[SC Buyback Override]]),"")</f>
        <v/>
      </c>
      <c r="FG107" s="4">
        <f>IF(SnapshotTable[[#This Row],[SC Is Filled]], MAX(0,SnapshotTable[[#This Row],[Last Price]]  - SnapshotTable[[#This Row],[SC Strike Price]]), 0)</f>
        <v>0</v>
      </c>
      <c r="FH107" s="382">
        <f>IF(SnapshotTable[[#This Row],[SC Is Filled]], IF(ISNUMBER(SnapshotTable[[#This Row],[SC Current Ask]]), SnapshotTable[[#This Row],[SC Current Ask]], SnapshotTable[[#This Row],[SC Book Price]]) - SnapshotTable[[#This Row],[SC Intrinsic Value]], 0)</f>
        <v>0</v>
      </c>
      <c r="FI107" s="143"/>
      <c r="FJ107" s="32" t="str">
        <f>IF(SnapshotTable[[#This Row],[SC Is Filled]],100 * SnapshotTable[[#This Row],[SC Qty]] * IF(ISNUMBER(SnapshotTable[[#This Row],[SC Buyback Override]]), SnapshotTable[[#This Row],[SC Buyback Override]], SnapshotTable[[#This Row],[SC Current Ask]]), "")</f>
        <v/>
      </c>
      <c r="FK107" s="250" t="str">
        <f>IF(SnapshotTable[[#This Row],[SC Time Val]]&gt;0, SnapshotTable[[#This Row],[SC Time Val]] / SnapshotTable[[#This Row],[Last Price]],"")</f>
        <v/>
      </c>
      <c r="FL107" s="302" t="str">
        <f>IF(SnapshotTable[[#This Row],[SC Is Booked]], ((SnapshotTable[[#This Row],[Last Price]] -SnapshotTable[[#This Row],[SC Strike Price]]) / SnapshotTable[[#This Row],[Last Price]]) * -1, "")</f>
        <v/>
      </c>
      <c r="FM107" s="157" t="str">
        <f>IF(SnapshotTable[[#This Row],[SC Is Booked]],  (SnapshotTable[[#This Row],[SC Qty]] * 100 * SnapshotTable[[#This Row],[SC Strike Price]]) - SnapshotTable[[#This Row],[SC Current Ask]], "")</f>
        <v/>
      </c>
      <c r="FN10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7" s="31" t="str">
        <f>IF(AND(ISNUMBER(SnapshotTable[[#This Row],[SC Exercise Gross]]), ISNUMBER(SnapshotTable[[#This Row],[Equity Basis Per Share]] )), SnapshotTable[[#This Row],[SC Exercise Gross]] - SnapshotTable[[#This Row],[Equity Basis Total]] +  SnapshotTable[[#This Row],[SC Premium]], "")</f>
        <v/>
      </c>
      <c r="FP107" s="5" t="str">
        <f>IF(ISNUMBER(SnapshotTable[[#This Row],[SC Exercise Gross]]), (SnapshotTable[[#This Row],[SC Exercise Gross]]) / (SnapshotTable[[#This Row],[SC Qty]] * 100), "")</f>
        <v/>
      </c>
      <c r="FQ107" s="27" t="str">
        <f>IF(SnapshotTable[[#This Row],[SC Is Booked]],SnapshotTable[[#This Row],[SC Time Val]] /SnapshotTable[[#This Row],[SC Basis]], "")</f>
        <v/>
      </c>
      <c r="FR107" s="27" t="str" cm="1">
        <f t="array" ref="FR107">IF(AND(ISNUMBER(SnapshotTable[[#This Row],[SC Term]]),ISNUMBER(SnapshotTable[[#This Row],[SC Simple ROO]])), EllmanAnnualize(SnapshotTable[[#This Row],[SC DTE]], SnapshotTable[[#This Row],[SC Simple ROO]] ),"")</f>
        <v/>
      </c>
      <c r="FS107" s="4" t="e">
        <f>IF(SnapshotTable[[#This Row],[SC Strike Price]] &gt; SnapshotTable[[#This Row],[Last Price]], SnapshotTable[[#This Row],[SC Strike Price]] - SnapshotTable[[#This Row],[Last Price]],0)</f>
        <v>#VALUE!</v>
      </c>
      <c r="FT107" s="27" t="e">
        <f>IF(AND(ISNUMBER(SnapshotTable[[#This Row],[SC Upside Potential]]), SnapshotTable[[#This Row],[SC Upside Potential]] &gt; 0),(SnapshotTable[[#This Row],[SC Upside Potential]]/ SnapshotTable[[#This Row],[ACB]]),"")</f>
        <v>#VALUE!</v>
      </c>
      <c r="FU107" s="333" t="str">
        <f>IF(SnapshotTable[[#This Row],[SC Intrinsic Value]] &gt; 0,SnapshotTable[[#This Row],[SC Intrinsic Value]],"")</f>
        <v/>
      </c>
      <c r="FV107" s="27" t="str">
        <f>IF(AND( ISNUMBER( SnapshotTable[[#This Row],[ACB]]),ISNUMBER(SnapshotTable[[#This Row],[SC Downside Protect]])),SnapshotTable[[#This Row],[SC Downside Protect]] / SnapshotTable[[#This Row],[ACB]],"")</f>
        <v/>
      </c>
      <c r="FW107" s="236" t="str">
        <f>IF(AND(ISNUMBER(SnapshotTable[[#This Row],[SC Simple ROO]]),SnapshotTable[[#This Row],[SC Simple ROO]] &gt; 0), SnapshotTable[[#This Row],[SC Premium]] + (SnapshotTable[[#This Row],[SC Qty]] * SnapshotTable[[#This Row],[SC Upside Potential]]), "")</f>
        <v/>
      </c>
      <c r="FX107" s="302" t="str" cm="1">
        <f t="array" ref="FX107">IF(ISNUMBER(SnapshotTable[[#This Row],[SC Max Dollars]]), annualize(SnapshotTable[[#This Row],[SC Term]],(SnapshotTable[[#This Row],[SC Max Dollars]]/SnapshotTable[[#This Row],[SC Basis]])),"")</f>
        <v/>
      </c>
      <c r="FY107" s="236" t="str">
        <f>IF(AND(SnapshotTable[[#This Row],[SC Qty]]&gt;0,SnapshotTable[[#This Row],[SC Current Ask]]&gt;0), SnapshotTable[[#This Row],[SC Qty]] * SnapshotTable[[#This Row],[SC Current Ask]] * -100, "")</f>
        <v/>
      </c>
      <c r="FZ107" s="31" t="str">
        <f>IF(ISNUMBER((SnapshotTable[[#This Row],[SC Current Value]])), SnapshotTable[[#This Row],[SC Premium]] + SnapshotTable[[#This Row],[SC Current Value]], "")</f>
        <v/>
      </c>
      <c r="GA107" s="294" t="str">
        <f>IFERROR( IF(ISNUMBER((SnapshotTable[[#This Row],[SC Current Value]])), SnapshotTable[[#This Row],[SC Gain Loss]] / SnapshotTable[[#This Row],[SC Premium]], ""), "")</f>
        <v/>
      </c>
      <c r="GB107" s="42">
        <f>SnapshotTable[[#This Row],[Equity Shares]] * SaleSharesToConsiderPercentage</f>
        <v>0</v>
      </c>
      <c r="GC107" s="40">
        <f>SnapshotTable[[#This Row],[Long Term Target]] * SellingPriceToConsiderBasedOnTargetPercentage</f>
        <v>10.639999999999999</v>
      </c>
      <c r="GD107" s="40">
        <f>SnapshotTable[[#This Row],[Last Price]] * (1+ SellingPriceToConsiderBasedOnTargetPercentage)</f>
        <v>22.581</v>
      </c>
      <c r="GE107" s="41"/>
      <c r="GF107" s="40"/>
      <c r="GG107" s="31">
        <f>SnapshotTable[[#This Row],[Booked Sale Shares]] * SnapshotTable[[#This Row],[Booked Sale Price]]</f>
        <v>0</v>
      </c>
      <c r="GH107" s="31" t="str">
        <f>IF(SnapshotTable[[#This Row],[Equity Basis Total]] &gt; 0, SnapshotTable[[#This Row],[Equity Basis Per Share]] * SnapshotTable[[#This Row],[Booked Sale Shares]], "")</f>
        <v/>
      </c>
      <c r="GI107" s="31">
        <f>IF(SnapshotTable[[#This Row],[Sale Proceeds]]&gt;0, SnapshotTable[[#This Row],[Sale Proceeds]] - SnapshotTable[[#This Row],[Sale Basis]], 0)</f>
        <v>0</v>
      </c>
      <c r="GJ107" s="27" t="str">
        <f>IF(SnapshotTable[[#This Row],[Sale G/L]]&gt;0, SnapshotTable[[#This Row],[Sale G/L]] / SnapshotTable[[#This Row],[Sale Basis]], IF(ISNUMBER(SnapshotTable[[#This Row],[SC Exercise P&amp;L (TAX)]]), SnapshotTable[[#This Row],[SC Exercise P&amp;L (TAX)]] / SnapshotTable[[#This Row],[SC Basis]], ""))</f>
        <v/>
      </c>
      <c r="GK107" s="27" t="s">
        <v>674</v>
      </c>
      <c r="GL107" s="43" t="str">
        <f>IF(AND(SnapshotTable[[#This Row],[LP Exp Date]]&gt;0,SnapshotTable[[#This Row],[LP Strike Price]]&gt;0), [1]!ToOptionSymbol(SnapshotTable[[#This Row],[Symbol]], SnapshotTable[[#This Row],[LP Strike Price]],SnapshotTable[[#This Row],[LP Exp Date]],1), "")</f>
        <v/>
      </c>
      <c r="GM107" s="30" t="str">
        <f>IF(LEN(SnapshotTable[[#This Row],[LP Symbol]])&gt;0, 1, "")</f>
        <v/>
      </c>
      <c r="GN107" s="43" t="str">
        <f>IF(AND(SnapshotTable[[#This Row],[SP Exp Date]]&gt;0,SnapshotTable[[#This Row],[SP Strike Price]]&gt;0), [1]!ToOptionSymbol(SnapshotTable[[#This Row],[Symbol]], SnapshotTable[[#This Row],[SP Strike Price]],SnapshotTable[[#This Row],[SP Exp Date]],1), "")</f>
        <v/>
      </c>
      <c r="GO107" s="30" t="str">
        <f>IF(LEN(SnapshotTable[[#This Row],[SP Symbol]])&gt;0, 1, "")</f>
        <v/>
      </c>
      <c r="GP107" s="43" t="str">
        <f>IF(AND(SnapshotTable[[#This Row],[LC Exp Date]]&gt;0,SnapshotTable[[#This Row],[LC Strike Price]]&gt;0), [1]!ToOptionSymbol(SnapshotTable[[#This Row],[Symbol]], SnapshotTable[[#This Row],[LC Strike Price]],SnapshotTable[[#This Row],[LC Exp Date]],0), "")</f>
        <v/>
      </c>
      <c r="GQ107" s="30" t="str">
        <f>IF(LEN(SnapshotTable[[#This Row],[LC Symbol]])&gt;0, 1, "")</f>
        <v/>
      </c>
      <c r="GR107" s="43" t="str">
        <f>IF(AND(SnapshotTable[[#This Row],[SC Exp Date]]&gt;0,SnapshotTable[[#This Row],[SC Strike Price]]&gt;0), [1]!ToOptionSymbol(SnapshotTable[[#This Row],[Symbol]], SnapshotTable[[#This Row],[SC Strike Price]],SnapshotTable[[#This Row],[SC Exp Date]],0), "")</f>
        <v/>
      </c>
      <c r="GS107" s="30" t="str">
        <f>IF(LEN(SnapshotTable[[#This Row],[SC Symbol]])&gt;0, 1, "")</f>
        <v/>
      </c>
      <c r="GT107" s="29" t="str">
        <f>IF(COUNT(SnapshotTable[[#This Row],[LP Symbol Count]],SnapshotTable[[#This Row],[SP Symbol Count]],SnapshotTable[[#This Row],[LC Symbol Count]],SnapshotTable[[#This Row],[SC Symbol Count]])&gt;0, "Y", "")</f>
        <v/>
      </c>
      <c r="GU10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7" s="231" t="e">
        <f>MAX(SnapshotTable[[#This Row],[Equity Basis Total]],SnapshotTable[[#This Row],[Equity Value]]) + (SnapshotTable[[#This Row],[SP Potential Spend]]- SnapshotTable[[#This Row],[SP Premium]] + SnapshotTable[[#This Row],[LP Premium]])+ (SnapshotTable[[#This Row],[LC Premium]] - SnapshotTable[[#This Row],[SC Premium]])</f>
        <v>#VALUE!</v>
      </c>
      <c r="GW107" s="139" t="e">
        <f>IF(AND(SnapshotTable[[#This Row],[Exposure]] &lt;&gt; 0),SnapshotTable[[#This Row],[Exposure]] / SnapshotTable[[#Totals],[Exposure]], "")</f>
        <v>#VALUE!</v>
      </c>
      <c r="HE107" s="268"/>
      <c r="HF107" s="268"/>
      <c r="HK107" s="1"/>
      <c r="HL107" s="1"/>
      <c r="HM107" s="1"/>
      <c r="HN107" s="1"/>
      <c r="HO107" s="1"/>
      <c r="HP107" s="1"/>
    </row>
    <row r="108" spans="2:224" ht="12.75" hidden="1" customHeight="1" x14ac:dyDescent="0.25">
      <c r="B108" s="12" t="s">
        <v>99</v>
      </c>
      <c r="C108" s="422">
        <v>112.21</v>
      </c>
      <c r="D108" s="208" t="s">
        <v>586</v>
      </c>
      <c r="E108" s="39">
        <f>SnapshotTable[[#This Row],[Last Price]]*(1 -CrashDiscount)</f>
        <v>95.378499999999988</v>
      </c>
      <c r="F108" s="26" t="s">
        <v>210</v>
      </c>
      <c r="G108" s="26" t="s">
        <v>9</v>
      </c>
      <c r="H108" s="149"/>
      <c r="I108" s="194">
        <v>44790.670138888891</v>
      </c>
      <c r="J108" s="195">
        <v>44790.670138888891</v>
      </c>
      <c r="K108" s="196"/>
      <c r="L108" s="326"/>
      <c r="M108" s="140"/>
      <c r="N108" s="140"/>
      <c r="O108" s="140">
        <v>1</v>
      </c>
      <c r="P108" s="22"/>
      <c r="Q108" s="25"/>
      <c r="R108" s="4" t="str">
        <f>IF(SnapshotTable[[#This Row],[Equity Basis Total]] &gt; 0, SnapshotTable[[#This Row],[Equity Basis Total]] / SnapshotTable[[#This Row],[Equity Shares]], "")</f>
        <v/>
      </c>
      <c r="S108" s="269">
        <f>SnapshotTable[[#This Row],[Last Price]] * SnapshotTable[[#This Row],[Equity Shares]]</f>
        <v>0</v>
      </c>
      <c r="T108" s="269">
        <f>SnapshotTable[[#This Row],[Equity Value]] - SnapshotTable[[#This Row],[Equity Basis Total]]</f>
        <v>0</v>
      </c>
      <c r="U108" s="270" t="str">
        <f>IF(SnapshotTable[[#This Row],[Equity Basis Total]] &gt; 0, SnapshotTable[[#This Row],[Equity G/L]] / SnapshotTable[[#This Row],[Equity Basis Total]], "")</f>
        <v/>
      </c>
      <c r="V108" s="268"/>
      <c r="W108" s="268"/>
      <c r="X108" s="4" t="str">
        <f>IF(AND(ISNUMBER(SnapshotTable[[#This Row],[Equity Basis Per Share]]),ISNUMBER(SnapshotTable[[#This Row],[Equity Target]])),SnapshotTable[[#This Row],[Equity Target]]-SnapshotTable[[#This Row],[Equity Basis Per Share]],"")</f>
        <v/>
      </c>
      <c r="Y108" s="4" t="str">
        <f>IF(AND(ISNUMBER(SnapshotTable[[#This Row],[Equity Basis Per Share]]),ISNUMBER(SnapshotTable[[#This Row],[Equity Stop Loss]])),SnapshotTable[[#This Row],[Equity Stop Loss]]-SnapshotTable[[#This Row],[Equity Basis Per Share]],"")</f>
        <v/>
      </c>
      <c r="Z108" s="275" t="str">
        <f>IFERROR( TEXT(SnapshotTable[[#This Row],[Equity Max Gain Per Share]] /ABS( SnapshotTable[[#This Row],[Equity Max Loss Per Share]]),"0.0 " ) &amp; " : 1", "")</f>
        <v/>
      </c>
      <c r="AA108" s="31" t="str">
        <f>IF(ISNUMBER(SnapshotTable[[#This Row],[Equity Max Gain Per Share]]),SnapshotTable[[#This Row],[Equity Max Gain Per Share]] * SnapshotTable[[#This Row],[Equity Shares]],"")</f>
        <v/>
      </c>
      <c r="AB108" s="31" t="str">
        <f>IF(ISNUMBER(SnapshotTable[[#This Row],[Equity Max Loss Per Share]]),SnapshotTable[[#This Row],[Equity Max Loss Per Share]] * SnapshotTable[[#This Row],[Equity Shares]],"")</f>
        <v/>
      </c>
      <c r="AC108" s="150">
        <v>1.4</v>
      </c>
      <c r="AD108" s="151">
        <v>43488</v>
      </c>
      <c r="AE108" s="31">
        <f>(SnapshotTable[[#This Row],[Annual Dividend Per Share]] / 4) * SnapshotTable[[#This Row],[Equity Shares]]</f>
        <v>0</v>
      </c>
      <c r="AF108" s="31">
        <f>SnapshotTable[[#This Row],[Quarterly Div $]] * 4</f>
        <v>0</v>
      </c>
      <c r="AG108" s="7">
        <f>IF(SnapshotTable[[#This Row],[Annual Dividend Per Share]]&gt;0, SnapshotTable[[#This Row],[Annual Dividend Per Share]]  / SnapshotTable[[#This Row],[Last Price]], 0)</f>
        <v>1.2476606363069244E-2</v>
      </c>
      <c r="AH108" s="151">
        <v>43833</v>
      </c>
      <c r="AI108" s="5">
        <v>56</v>
      </c>
      <c r="AJ108" s="138">
        <v>49.35</v>
      </c>
      <c r="AK108" s="152">
        <f>IF(ISNUMBER( SnapshotTable[[#This Row],[EBF Target]]),(SnapshotTable[[#This Row],[EBF Target]] - SnapshotTable[[#This Row],[Last Price]]) / SnapshotTable[[#This Row],[Last Price]], "")</f>
        <v>-0.50093574547723019</v>
      </c>
      <c r="AL108" s="152" t="str">
        <f>IF(AND(SnapshotTable[[#This Row],[Equity Basis Total]] &gt; 0,ISNUMBER( SnapshotTable[[#This Row],[Long Term Target]])), SnapshotTable[[#This Row],[From Basis $]] / SnapshotTable[[#This Row],[Equity Basis Total]], "")</f>
        <v/>
      </c>
      <c r="AM108" s="9">
        <f>IF( AND(SnapshotTable[[#This Row],[Equity Shares]] &gt;0,ISNUMBER( SnapshotTable[[#This Row],[Long Term Target]])),(SnapshotTable[[#This Row],[Equity Shares]] * SnapshotTable[[#This Row],[Long Term Target]]) - SnapshotTable[[#This Row],[Equity Basis Total]],0)</f>
        <v>0</v>
      </c>
      <c r="AN108" s="9">
        <f>IF( AND(SnapshotTable[[#This Row],[Equity Shares]] &gt;0,ISNUMBER( SnapshotTable[[#This Row],[Long Term Target]])),(SnapshotTable[[#This Row],[Equity Shares]]*SnapshotTable[[#This Row],[Long Term Target]]) - SnapshotTable[[#This Row],[Equity Value]],0)</f>
        <v>0</v>
      </c>
      <c r="AO108" s="152">
        <f>IF(AND(ISNUMBER( SnapshotTable[[#This Row],[Long Term Target]]), ISNUMBER(SnapshotTable[[#This Row],[Last Price]])),(SnapshotTable[[#This Row],[Long Term Target]] - SnapshotTable[[#This Row],[Last Price]]) / SnapshotTable[[#This Row],[Last Price]], "")</f>
        <v>-0.56019962570180903</v>
      </c>
      <c r="AP108" s="5">
        <v>47.5</v>
      </c>
      <c r="AQ108" s="38" t="s">
        <v>38</v>
      </c>
      <c r="AR108" s="5">
        <v>47.5</v>
      </c>
      <c r="AS108" s="38" t="s">
        <v>26</v>
      </c>
      <c r="AT108" s="146" t="s">
        <v>538</v>
      </c>
      <c r="AU108" s="187" t="str">
        <f>IF(OR(SnapshotTable[[#This Row],[LP No Fill]]="Y",SnapshotTable[[#This Row],[SP Is Filled]],SnapshotTable[[#This Row],[LC Not Filled]]="Y",SnapshotTable[[#This Row],[SC Is Filled]]),"Y","")</f>
        <v/>
      </c>
      <c r="AV108" s="219"/>
      <c r="AW108" s="225"/>
      <c r="AX108" s="220"/>
      <c r="AY108" s="219" t="str">
        <f>IF(SnapshotTable[[#This Row],[Implied Move]]&gt;0, SnapshotTable[[#This Row],[Last Price]]-SnapshotTable[[#This Row],[Implied Move]],"")</f>
        <v/>
      </c>
      <c r="AZ108" s="219" t="str">
        <f>IF(SnapshotTable[[#This Row],[Implied Move]]&gt;0, SnapshotTable[[#This Row],[Last Price]] + SnapshotTable[[#This Row],[Implied Move]],"")</f>
        <v/>
      </c>
      <c r="BA108" s="331"/>
      <c r="BB108" s="347"/>
      <c r="BC10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8" s="351"/>
      <c r="BE108" s="5"/>
      <c r="BF108" s="14"/>
      <c r="BG108" s="13"/>
      <c r="BH108" s="13"/>
      <c r="BI108" s="5"/>
      <c r="BJ108" s="136">
        <f>IF(SnapshotTable[[#This Row],[LP Qty]] &gt; 0, SnapshotTable[[#This Row],[LP Qty]] * SnapshotTable[[#This Row],[LP Book Price]] * 100,0)</f>
        <v>0</v>
      </c>
      <c r="BK108" s="136">
        <f>IF(SnapshotTable[[#This Row],[LP Premium]] &gt; 0, SnapshotTable[[#This Row],[LP Qty]] * SnapshotTable[[#This Row],[LP Strike Price]] * 100,0)</f>
        <v>0</v>
      </c>
      <c r="BL108" s="154"/>
      <c r="BM108" s="385" t="str">
        <f>IF(SnapshotTable[[#This Row],[LP Premium]] &gt; 0,SnapshotTable[[#This Row],[LP Exp Date]]-MAX(SnapshotTable[[#This Row],[LP Book Date]], SnapshotTable[[#This Row],[LP Fill Date]]),"")</f>
        <v/>
      </c>
      <c r="BN108" s="385" t="str">
        <f>IF(ISNUMBER( SnapshotTable[[#This Row],[LP Term]]), SnapshotTable[[#This Row],[LP Exp Date]] - MockToday,"")</f>
        <v/>
      </c>
      <c r="BO108" s="163" t="str">
        <f>IF(AND(SnapshotTable[[#This Row],[LP Exp Date]]&gt;0, SnapshotTable[[#This Row],[LP Strike Price]]&gt;0,SnapshotTable[[#This Row],[LP Qty]]&gt;0,SnapshotTable[[#This Row],[LP Book Date]]&gt;0,SnapshotTable[[#This Row],[LP Book Price]]&gt;0,SnapshotTable[[#This Row],[LP Fill Date]]=0),"Y","")</f>
        <v/>
      </c>
      <c r="BP108" s="31" t="str">
        <f>IF(AND(SnapshotTable[[#This Row],[LP No Fill]]&lt;&gt;"Y",SnapshotTable[[#This Row],[LP Contract Value]]&gt;0, SnapshotTable[[#This Row],[LP Qty]]&gt;0), SnapshotTable[[#This Row],[LP Contract Value]]*SnapshotTable[[#This Row],[LP Qty]]*100,"")</f>
        <v/>
      </c>
      <c r="BQ108" s="13"/>
      <c r="BR108" s="5" t="str">
        <f>IF(SnapshotTable[[#This Row],[SP Exp Date]]&lt;&gt;"",TRUNC(SnapshotTable[[#This Row],[Last Price]]),"")</f>
        <v/>
      </c>
      <c r="BS108" s="36"/>
      <c r="BT108" s="147"/>
      <c r="BU108" s="13"/>
      <c r="BV108" s="5"/>
      <c r="BW108" s="419" t="b">
        <f>AND(ISNUMBER(SnapshotTable[[#This Row],[SP Exp Date]]), ISNUMBER(SnapshotTable[[#This Row],[SP Strike Price]]), ISNUMBER(SnapshotTable[[#This Row],[SP Qty]]), ISNUMBER(SnapshotTable[[#This Row],[SP Book Date]]), ISNUMBER(SnapshotTable[[#This Row],[SP Book Price]]))</f>
        <v>0</v>
      </c>
      <c r="BX108" s="419" t="b">
        <f>AND(SnapshotTable[[#This Row],[SP Is Booked]], NOT(ISBLANK(SnapshotTable[[#This Row],[SP Fill Date]])))</f>
        <v>0</v>
      </c>
      <c r="BY108" s="33">
        <f>IF(SnapshotTable[[#This Row],[SP Is Booked]], SnapshotTable[[#This Row],[SP Qty]] * SnapshotTable[[#This Row],[SP Book Price]] * 100, 0)</f>
        <v>0</v>
      </c>
      <c r="BZ108" s="369"/>
      <c r="CA108" s="368">
        <f>SnapshotTable[[#This Row],[LP Qty]]</f>
        <v>0</v>
      </c>
      <c r="CB108" s="4" t="str">
        <f>IF(SnapshotTable[[#This Row],[SP Is Booked]], SnapshotTable[[#This Row],[SP Strike Price]] - SnapshotTable[[#This Row],[SP Book Price]], "")</f>
        <v/>
      </c>
      <c r="CC108" s="19" t="str">
        <f>IF(SnapshotTable[[#This Row],[SP Is Booked]],SnapshotTable[[#This Row],[SP Exp Date]]-MAX(SnapshotTable[[#This Row],[SP Book Date]], SnapshotTable[[#This Row],[SP Fill Date]]),"")</f>
        <v/>
      </c>
      <c r="CD108" s="7" t="str">
        <f>IF(SnapshotTable[[#This Row],[SP Is Booked]], SnapshotTable[[#This Row],[SP Book Price]]/SnapshotTable[[#This Row],[SP Strike Price]], "")</f>
        <v/>
      </c>
      <c r="CE108" s="7" t="str">
        <f>IF(ISNUMBER(SnapshotTable[[#This Row],[SP ROO Term]]),SnapshotTable[[#This Row],[SP ROO Term]]*(365/SnapshotTable[[#This Row],[SP Term]]),"")</f>
        <v/>
      </c>
      <c r="CF108" s="236">
        <f>SnapshotTable[[#This Row],[LP Strike Price]] * SnapshotTable[[#This Row],[LP Qty]] * 100</f>
        <v>0</v>
      </c>
      <c r="CG108" s="31" t="e">
        <f>IF(ISNUMBER(SnapshotTable[[#This Row],[SP Premium]]), (SnapshotTable[[#This Row],[SP Qty]] * SnapshotTable[[#This Row],[SP Strike Price]]* 100) - SnapshotTable[[#This Row],[LP Protection]], 0)</f>
        <v>#VALUE!</v>
      </c>
      <c r="CH108" s="7" t="str">
        <f>IF(ISNUMBER(SnapshotTable[[#This Row],[SP Break Even]]),-1 * (SnapshotTable[[#This Row],[SP Break Even]] - SnapshotTable[[#This Row],[Last Price]]) / SnapshotTable[[#This Row],[Last Price]], "")</f>
        <v/>
      </c>
      <c r="CI108" s="31">
        <f>IF(AND(ISNUMBER((SnapshotTable[[#This Row],[SP Potential Spend]])), SnapshotTable[[#This Row],[SP Strike Price]] &gt; SnapshotTable[[#This Row],[Last Price]], SnapshotTable[[#This Row],[SP Is Filled]]), SnapshotTable[[#This Row],[SP Potential Spend]] -  SnapshotTable[[#This Row],[LP Max Value]], 0)</f>
        <v>0</v>
      </c>
      <c r="CJ108" s="244"/>
      <c r="CK108" s="31" t="str">
        <f>IF(ISNUMBER(SnapshotTable[[#This Row],[SP Potential Spend]]),IF(ISNUMBER(SnapshotTable[[#This Row],[SP POW]]), SnapshotTable[[#This Row],[SP POW]] * SnapshotTable[[#This Row],[SP Potential Spend]], SnapshotTable[[#This Row],[SP Potential Spend]]), "")</f>
        <v/>
      </c>
      <c r="CL108" s="164" t="e">
        <f>IF(NOT(SnapshotTable[[#This Row],[SP Is Filled]]),(SnapshotTable[[#This Row],[SP Qty]] * SnapshotTable[[#This Row],[SP Strike Price]] * 100) - SnapshotTable[[#This Row],[LP Max Value]],"")</f>
        <v>#VALUE!</v>
      </c>
      <c r="CM108" s="31" t="str">
        <f>IF(SnapshotTable[[#This Row],[SP Actual Spend]]&lt;&gt;0, ((SnapshotTable[[#This Row],[SP Strike Price]]-SnapshotTable[[#This Row],[Last Price]]) *(SnapshotTable[[#This Row],[SP Qty]]*100) - SnapshotTable[[#This Row],[SP Premium]]) * - 1, "")</f>
        <v/>
      </c>
      <c r="CN108" s="78"/>
      <c r="CO108" s="369"/>
      <c r="CP108" s="4" t="str">
        <f>IF(SnapshotTable[[#This Row],[SP Is Filled]], btc_max_buyback_amount(SnapshotTable[[#This Row],[SP Fill Date]],SnapshotTable[[#This Row],[SP Exp Date]], SnapshotTable[[#This Row],[SP Book Price]]),"")</f>
        <v/>
      </c>
      <c r="CQ108" s="78"/>
      <c r="CR10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8" s="155" t="str">
        <f>IF(SnapshotTable[[#This Row],[SP Is Filled]], btc_next_cutoff_date(SnapshotTable[[#This Row],[SP Fill Date]],SnapshotTable[[#This Row],[SP Exp Date]]),"")</f>
        <v/>
      </c>
      <c r="CT108" s="235" t="str" cm="1">
        <f t="array" ref="CT108">IF(SnapshotTable[[#This Row],[SP Is Filled]], btc_should_buy_back(SnapshotTable[[#This Row],[SP Fill Date]], SnapshotTable[[#This Row],[SP Exp Date]], SnapshotTable[[#This Row],[SP Book Price]], SnapshotTable[[#This Row],[SP Current Ask]], MockToday, SnapshotTable[[#This Row],[SP Buyback Override]]),"")</f>
        <v/>
      </c>
      <c r="CU108" s="143"/>
      <c r="CV108" s="235"/>
      <c r="CW108" s="378" t="str">
        <f>IF(ISNUMBER( SnapshotTable[[#This Row],[SP Term]]), SnapshotTable[[#This Row],[SP Exp Date]] - MockToday,"")</f>
        <v/>
      </c>
      <c r="CX108" s="31" t="str">
        <f>IF(SnapshotTable[[#This Row],[SP Is Filled]],SnapshotTable[[#This Row],[SP Buyback Price to Use]] * 100 * SnapshotTable[[#This Row],[SP Qty]], "")</f>
        <v/>
      </c>
      <c r="CY108" s="4" t="str">
        <f>IF(ISNUMBER(SnapshotTable[[#This Row],[SP Strike Price]]), SnapshotTable[[#This Row],[SP Strike Price]] * (1 - SP_MaxLoss_StrikePct), "")</f>
        <v/>
      </c>
      <c r="CZ108" s="31" t="str">
        <f>IF(ISNUMBER(SnapshotTable[[#This Row],[SP Strike  Stop Per Share]]),SnapshotTable[[#This Row],[SP Premium]] - ((SnapshotTable[[#This Row],[SP Strike Price]]-SnapshotTable[[#This Row],[SP Strike  Stop Per Share]]) *(SnapshotTable[[#This Row],[SP Qty]] * 100)),"")</f>
        <v/>
      </c>
      <c r="DA108" s="4" t="str">
        <f>IF(AND(ISNUMBER(SnapshotTable[[#This Row],[SP Premium]]),SnapshotTable[[#This Row],[SP Premium]]&gt;0), SnapshotTable[[#This Row],[SP Book Price]] * (1 + SP_MaxLoss_OptionPct), "")</f>
        <v/>
      </c>
      <c r="DB108" s="31" t="str">
        <f>IF(ISNUMBER(SnapshotTable[[#This Row],[SP Option  Stop Contract]]),(SnapshotTable[[#This Row],[SP Option  Stop Contract]] *(SnapshotTable[[#This Row],[SP Qty]] * 100) - SnapshotTable[[#This Row],[SP Premium]]),"")</f>
        <v/>
      </c>
      <c r="DC108" s="4"/>
      <c r="DD108" s="4"/>
      <c r="DE108" s="4" t="str">
        <f>IF(AND(SnapshotTable[[#This Row],[SP Qty]]&gt;0, SnapshotTable[[#This Row],[SP Stop To Use]]&gt;0),SnapshotTable[[#This Row],[SP Premium]] - ( SnapshotTable[[#This Row],[SP Qty]] * SnapshotTable[[#This Row],[SP Stop To Use]] * 100), "")</f>
        <v/>
      </c>
      <c r="DF108" s="31" t="str">
        <f>IF(AND(SnapshotTable[[#This Row],[SP Qty]]&gt;0,SnapshotTable[[#This Row],[SP Current Ask]]&gt;0), SnapshotTable[[#This Row],[SP Qty]] * SnapshotTable[[#This Row],[SP Current Ask]] * -100, "")</f>
        <v/>
      </c>
      <c r="DG108" s="31" t="str">
        <f>IF(ISNUMBER((SnapshotTable[[#This Row],[SP Total Value]])), SnapshotTable[[#This Row],[SP Premium]] + SnapshotTable[[#This Row],[SP Total Value]], "")</f>
        <v/>
      </c>
      <c r="DH108" s="294" t="str">
        <f>IF(ISNUMBER((SnapshotTable[[#This Row],[SP Total Value]])), SnapshotTable[[#This Row],[SP Gain Loss]] / SnapshotTable[[#This Row],[SP Premium]], "")</f>
        <v/>
      </c>
      <c r="DI108" s="406"/>
      <c r="DJ108" s="138"/>
      <c r="DK108" s="148"/>
      <c r="DL108" s="13"/>
      <c r="DM108" s="13"/>
      <c r="DO108" s="31">
        <f>IF(SnapshotTable[[#This Row],[LC Symbol Count]]=1, SnapshotTable[[#This Row],[LC Qty]] * SnapshotTable[[#This Row],[LC Book Price]] * 100, 0)</f>
        <v>0</v>
      </c>
      <c r="DP108" s="163" t="str">
        <f>IF(AND(SnapshotTable[[#This Row],[LC Exp Date]]&gt;0, SnapshotTable[[#This Row],[LC Strike Price]]&gt;0,SnapshotTable[[#This Row],[LC Qty]]&gt;0,SnapshotTable[[#This Row],[LC Book Date]]&gt;0,SnapshotTable[[#This Row],[LC Book Price]]&gt;0,SnapshotTable[[#This Row],[LC Fill Date]]=0),"Y","")</f>
        <v/>
      </c>
      <c r="DQ108" s="386" t="str">
        <f>IF(SnapshotTable[[#This Row],[LC Premium]] &gt; 0,SnapshotTable[[#This Row],[LC Exp Date]]-MAX(SnapshotTable[[#This Row],[LC Book Date]], SnapshotTable[[#This Row],[LC Fill Date]]),"")</f>
        <v/>
      </c>
      <c r="DR108" s="386" t="str">
        <f>IF(ISNUMBER(SnapshotTable[[#This Row],[LC Term]]), SnapshotTable[[#This Row],[LC Exp Date]] - MockToday, "")</f>
        <v/>
      </c>
      <c r="DS108" s="234" t="str">
        <f>IF(SnapshotTable[[#This Row],[LC Premium]]&gt;0,SnapshotTable[[#This Row],[LC Strike Price]] + SnapshotTable[[#This Row],[LC Book Price]],"")</f>
        <v/>
      </c>
      <c r="DU108" s="9" t="str">
        <f>IF(AND(SnapshotTable[[#This Row],[LC Symbol Count]]&gt;0, SnapshotTable[[#This Row],[LC Contract Value]]&gt;0), SnapshotTable[[#This Row],[LC Contract Value]] * SnapshotTable[[#This Row],[LC Qty]] * 100, "")</f>
        <v/>
      </c>
      <c r="DV108" s="9" t="str">
        <f>IF(AND(ISNUMBER(SnapshotTable[[#This Row],[LC Total Value]]), SnapshotTable[[#This Row],[LC Not Filled]]&lt;&gt;"Y"), SnapshotTable[[#This Row],[LC Total Value]]-SnapshotTable[[#This Row],[LC Premium]],"")</f>
        <v/>
      </c>
      <c r="DW108" s="240" t="str">
        <f>IF(ISNUMBER(SnapshotTable[[#This Row],[LC Actual Gain Loss]]), SnapshotTable[[#This Row],[LC Actual Gain Loss]] / SnapshotTable[[#This Row],[LC Premium]],"")</f>
        <v/>
      </c>
      <c r="DX108" s="284" t="str">
        <f>IF(ISNUMBER(SnapshotTable[[#This Row],[LC Book Price]]),SnapshotTable[[#This Row],[LC Book Price]] * 1.5,"")</f>
        <v/>
      </c>
      <c r="DY108" s="265" t="str">
        <f>IF(SnapshotTable[[#This Row],[LC Premium]]&gt;0, SnapshotTable[[#This Row],[LC Next Target]] * SnapshotTable[[#This Row],[LC Qty]] * 100,"")</f>
        <v/>
      </c>
      <c r="DZ108" s="265" t="str">
        <f>IF(ISNUMBER(SnapshotTable[[#This Row],[LC Target Gross]]), SnapshotTable[[#This Row],[LC Target Gross]] - SnapshotTable[[#This Row],[LC Premium]], "")</f>
        <v/>
      </c>
      <c r="EA108" s="305" t="str">
        <f>IF(ISNUMBER(SnapshotTable[[#This Row],[LC Target Gain Loss]]), SnapshotTable[[#This Row],[LC Target Gain Loss]]/SnapshotTable[[#This Row],[LC Premium]], "")</f>
        <v/>
      </c>
      <c r="EB108" s="262"/>
      <c r="EC108" s="283" t="str">
        <f>IF(SnapshotTable[[#This Row],[LC Premium]]&gt;0, SnapshotTable[[#This Row],[LC Book Price]] * (1 - LC_StopLoss_Pct),"")</f>
        <v/>
      </c>
      <c r="ED108" s="284"/>
      <c r="EE108" s="283" t="str">
        <f>IF(ISNUMBER(SnapshotTable[[#This Row],[LC Contract Value]]),IF(ISNUMBER(SnapshotTable[[#This Row],[LC Stop Loss Override]]), SnapshotTable[[#This Row],[LC Stop Loss Override]],SnapshotTable[[#This Row],[LC Stop Loss Calc Target]]),"")</f>
        <v/>
      </c>
      <c r="EF108" s="31" t="str">
        <f>IF(ISNUMBER(SnapshotTable[[#This Row],[LC Stop  To Use]]), (SnapshotTable[[#This Row],[LC Stop  To Use]] * SnapshotTable[[#This Row],[LC Qty]] * 100),"")</f>
        <v/>
      </c>
      <c r="EG108" s="9" t="str">
        <f>IF(ISNUMBER(SnapshotTable[[#This Row],[LC Total Value]]),SnapshotTable[[#This Row],[LC Stop Loss Amount]] - SnapshotTable[[#This Row],[LC Premium]],"")</f>
        <v/>
      </c>
      <c r="EH108" s="9">
        <f>IF(ISNUMBER(SnapshotTable[[#This Row],[LC Premium]]), SnapshotTable[[#This Row],[LC Qty]] * 100 * SnapshotTable[[#This Row],[LC Strike Price]], "")</f>
        <v>0</v>
      </c>
      <c r="EI108" s="240" t="str">
        <f>IF(AND(ISNUMBER(SnapshotTable[[#This Row],[LC Total Value]]),SnapshotTable[[#This Row],[LC Total Value]]&gt;0),SnapshotTable[[#This Row],[LC Stop Gain Loss]]  / SnapshotTable[[#This Row],[LC Premium]],"")</f>
        <v/>
      </c>
      <c r="EJ108" s="35">
        <f>IF(ISNUMBER(SnapshotTable[[#This Row],[Equity Shares]]),TRUNC(SnapshotTable[[#This Row],[Equity Shares]] / 100),0) + SnapshotTable[[#This Row],[LC Qty]]</f>
        <v>0</v>
      </c>
      <c r="EK108" s="147"/>
      <c r="EL108" s="138" t="str">
        <f>IF(SnapshotTable[[#This Row],[SC Exp Date]]&lt;&gt;"",TRUNC(SnapshotTable[[#This Row],[Last Price]]),"")</f>
        <v/>
      </c>
      <c r="EM108" s="148"/>
      <c r="EN108" s="147"/>
      <c r="EO108" s="147"/>
      <c r="EP108" s="138"/>
      <c r="EQ108" s="419" t="b">
        <f>AND(ISNUMBER(SnapshotTable[[#This Row],[SC Exp Date]]), ISNUMBER(SnapshotTable[[#This Row],[SC Strike Price]]), ISNUMBER(SnapshotTable[[#This Row],[SC Qty]]), ISNUMBER(SnapshotTable[[#This Row],[SC Book Date]]), ISNUMBER(SnapshotTable[[#This Row],[SC Book Price]]))</f>
        <v>0</v>
      </c>
      <c r="ER108" s="419" t="b">
        <f>AND(SnapshotTable[[#This Row],[SC Is Booked]], NOT(ISBLANK(SnapshotTable[[#This Row],[SC Fill Date]])))</f>
        <v>0</v>
      </c>
      <c r="ES108" s="370"/>
      <c r="ET108" s="34" t="str">
        <f>IF(AND(ISNUMBER(SnapshotTable[[#This Row],[SC Exp Date]]), ISNUMBER(SnapshotTable[[#This Row],[SC Book Date]])), SnapshotTable[[#This Row],[SC Exp Date]] - MAX(SnapshotTable[[#This Row],[SC Book Date]], SnapshotTable[[#This Row],[SC Fill Date]]) + 1, "")</f>
        <v/>
      </c>
      <c r="EU108" s="34" t="str">
        <f>IF(ISNUMBER(SnapshotTable[[#This Row],[SC Term]]), SnapshotTable[[#This Row],[SC Exp Date]]- MockToday, "")</f>
        <v/>
      </c>
      <c r="EV108" s="31">
        <f>IF(SnapshotTable[[#This Row],[SC Is Booked]], SnapshotTable[[#This Row],[SC Qty]] * SnapshotTable[[#This Row],[SC Book Price]] * 100, 0)</f>
        <v>0</v>
      </c>
      <c r="EW108" s="4" t="str">
        <f>IF(AND(ISNUMBER(SnapshotTable[[#This Row],[Last Price]]), ISNUMBER( SnapshotTable[[#This Row],[SC Book Price]])), SnapshotTable[[#This Row],[Last Price]] - SnapshotTable[[#This Row],[SC Book Price]],"")</f>
        <v/>
      </c>
      <c r="EX108" s="234" t="str">
        <f>IF(SnapshotTable[[#This Row],[SC Is Booked]],IF(SnapshotTable[[#This Row],[SC Intrinsic Value]] &gt; 0, SnapshotTable[[#This Row],[SC Strike Price]], SnapshotTable[[#This Row],[Last Price]]), "")</f>
        <v/>
      </c>
      <c r="EY108" s="4">
        <f>IF(SnapshotTable[[#This Row],[SC Is Booked]], (MinimumPremiumRequired * SnapshotTable[[#This Row],[SC Basis]] * SnapshotTable[[#This Row],[SC Term]]), 0)</f>
        <v>0</v>
      </c>
      <c r="EZ108" s="283"/>
      <c r="FA108" s="218"/>
      <c r="FB108" s="370"/>
      <c r="FC108" s="4">
        <f>IF(SnapshotTable[[#This Row],[SC Is Filled]], btc_max_buyback_amount(SnapshotTable[[#This Row],[SC Fill Date]],SnapshotTable[[#This Row],[SC Exp Date]], SnapshotTable[[#This Row],[SC Book Price]]),0)</f>
        <v>0</v>
      </c>
      <c r="FD108" s="5"/>
      <c r="FE108" s="144" t="str">
        <f>IF(SnapshotTable[[#This Row],[SC Is Filled]], btc_next_cutoff_date(SnapshotTable[[#This Row],[SC Fill Date]],SnapshotTable[[#This Row],[SC Exp Date]]),"")</f>
        <v/>
      </c>
      <c r="FF108" s="4" t="str" cm="1">
        <f t="array" ref="FF108">IF(SnapshotTable[[#This Row],[SC Is Filled]], btc_should_buy_back(SnapshotTable[[#This Row],[SC Fill Date]], SnapshotTable[[#This Row],[SC Exp Date]], SnapshotTable[[#This Row],[SC Book Price]], SnapshotTable[[#This Row],[SC Current Ask]], MockToday, SnapshotTable[[#This Row],[SC Buyback Override]]),"")</f>
        <v/>
      </c>
      <c r="FG108" s="4">
        <f>IF(SnapshotTable[[#This Row],[SC Is Filled]], MAX(0,SnapshotTable[[#This Row],[Last Price]]  - SnapshotTable[[#This Row],[SC Strike Price]]), 0)</f>
        <v>0</v>
      </c>
      <c r="FH108" s="382">
        <f>IF(SnapshotTable[[#This Row],[SC Is Filled]], IF(ISNUMBER(SnapshotTable[[#This Row],[SC Current Ask]]), SnapshotTable[[#This Row],[SC Current Ask]], SnapshotTable[[#This Row],[SC Book Price]]) - SnapshotTable[[#This Row],[SC Intrinsic Value]], 0)</f>
        <v>0</v>
      </c>
      <c r="FI108" s="143"/>
      <c r="FJ108" s="32" t="str">
        <f>IF(SnapshotTable[[#This Row],[SC Is Filled]],100 * SnapshotTable[[#This Row],[SC Qty]] * IF(ISNUMBER(SnapshotTable[[#This Row],[SC Buyback Override]]), SnapshotTable[[#This Row],[SC Buyback Override]], SnapshotTable[[#This Row],[SC Current Ask]]), "")</f>
        <v/>
      </c>
      <c r="FK108" s="250" t="str">
        <f>IF(SnapshotTable[[#This Row],[SC Time Val]]&gt;0, SnapshotTable[[#This Row],[SC Time Val]] / SnapshotTable[[#This Row],[Last Price]],"")</f>
        <v/>
      </c>
      <c r="FL108" s="302" t="str">
        <f>IF(SnapshotTable[[#This Row],[SC Is Booked]], ((SnapshotTable[[#This Row],[Last Price]] -SnapshotTable[[#This Row],[SC Strike Price]]) / SnapshotTable[[#This Row],[Last Price]]) * -1, "")</f>
        <v/>
      </c>
      <c r="FM108" s="157" t="str">
        <f>IF(SnapshotTable[[#This Row],[SC Is Booked]],  (SnapshotTable[[#This Row],[SC Qty]] * 100 * SnapshotTable[[#This Row],[SC Strike Price]]) - SnapshotTable[[#This Row],[SC Current Ask]], "")</f>
        <v/>
      </c>
      <c r="FN10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8" s="31" t="str">
        <f>IF(AND(ISNUMBER(SnapshotTable[[#This Row],[SC Exercise Gross]]), ISNUMBER(SnapshotTable[[#This Row],[Equity Basis Per Share]] )), SnapshotTable[[#This Row],[SC Exercise Gross]] - SnapshotTable[[#This Row],[Equity Basis Total]] +  SnapshotTable[[#This Row],[SC Premium]], "")</f>
        <v/>
      </c>
      <c r="FP108" s="5" t="str">
        <f>IF(ISNUMBER(SnapshotTable[[#This Row],[SC Exercise Gross]]), (SnapshotTable[[#This Row],[SC Exercise Gross]]) / (SnapshotTable[[#This Row],[SC Qty]] * 100), "")</f>
        <v/>
      </c>
      <c r="FQ108" s="27" t="str">
        <f>IF(SnapshotTable[[#This Row],[SC Is Booked]],SnapshotTable[[#This Row],[SC Time Val]] /SnapshotTable[[#This Row],[SC Basis]], "")</f>
        <v/>
      </c>
      <c r="FR108" s="27" t="str" cm="1">
        <f t="array" ref="FR108">IF(AND(ISNUMBER(SnapshotTable[[#This Row],[SC Term]]),ISNUMBER(SnapshotTable[[#This Row],[SC Simple ROO]])), EllmanAnnualize(SnapshotTable[[#This Row],[SC DTE]], SnapshotTable[[#This Row],[SC Simple ROO]] ),"")</f>
        <v/>
      </c>
      <c r="FS108" s="4" t="e">
        <f>IF(SnapshotTable[[#This Row],[SC Strike Price]] &gt; SnapshotTable[[#This Row],[Last Price]], SnapshotTable[[#This Row],[SC Strike Price]] - SnapshotTable[[#This Row],[Last Price]],0)</f>
        <v>#VALUE!</v>
      </c>
      <c r="FT108" s="27" t="e">
        <f>IF(AND(ISNUMBER(SnapshotTable[[#This Row],[SC Upside Potential]]), SnapshotTable[[#This Row],[SC Upside Potential]] &gt; 0),(SnapshotTable[[#This Row],[SC Upside Potential]]/ SnapshotTable[[#This Row],[ACB]]),"")</f>
        <v>#VALUE!</v>
      </c>
      <c r="FU108" s="333" t="str">
        <f>IF(SnapshotTable[[#This Row],[SC Intrinsic Value]] &gt; 0,SnapshotTable[[#This Row],[SC Intrinsic Value]],"")</f>
        <v/>
      </c>
      <c r="FV108" s="27" t="str">
        <f>IF(AND( ISNUMBER( SnapshotTable[[#This Row],[ACB]]),ISNUMBER(SnapshotTable[[#This Row],[SC Downside Protect]])),SnapshotTable[[#This Row],[SC Downside Protect]] / SnapshotTable[[#This Row],[ACB]],"")</f>
        <v/>
      </c>
      <c r="FW108" s="236" t="str">
        <f>IF(AND(ISNUMBER(SnapshotTable[[#This Row],[SC Simple ROO]]),SnapshotTable[[#This Row],[SC Simple ROO]] &gt; 0), SnapshotTable[[#This Row],[SC Premium]] + (SnapshotTable[[#This Row],[SC Qty]] * SnapshotTable[[#This Row],[SC Upside Potential]]), "")</f>
        <v/>
      </c>
      <c r="FX108" s="302" t="str" cm="1">
        <f t="array" ref="FX108">IF(ISNUMBER(SnapshotTable[[#This Row],[SC Max Dollars]]), annualize(SnapshotTable[[#This Row],[SC Term]],(SnapshotTable[[#This Row],[SC Max Dollars]]/SnapshotTable[[#This Row],[SC Basis]])),"")</f>
        <v/>
      </c>
      <c r="FY108" s="236" t="str">
        <f>IF(AND(SnapshotTable[[#This Row],[SC Qty]]&gt;0,SnapshotTable[[#This Row],[SC Current Ask]]&gt;0), SnapshotTable[[#This Row],[SC Qty]] * SnapshotTable[[#This Row],[SC Current Ask]] * -100, "")</f>
        <v/>
      </c>
      <c r="FZ108" s="31" t="str">
        <f>IF(ISNUMBER((SnapshotTable[[#This Row],[SC Current Value]])), SnapshotTable[[#This Row],[SC Premium]] + SnapshotTable[[#This Row],[SC Current Value]], "")</f>
        <v/>
      </c>
      <c r="GA108" s="294" t="str">
        <f>IFERROR( IF(ISNUMBER((SnapshotTable[[#This Row],[SC Current Value]])), SnapshotTable[[#This Row],[SC Gain Loss]] / SnapshotTable[[#This Row],[SC Premium]], ""), "")</f>
        <v/>
      </c>
      <c r="GB108" s="42">
        <f>SnapshotTable[[#This Row],[Equity Shares]] * SaleSharesToConsiderPercentage</f>
        <v>0</v>
      </c>
      <c r="GC108" s="40">
        <f>SnapshotTable[[#This Row],[Long Term Target]] * SellingPriceToConsiderBasedOnTargetPercentage</f>
        <v>46.8825</v>
      </c>
      <c r="GD108" s="40">
        <f>SnapshotTable[[#This Row],[Last Price]] * (1+ SellingPriceToConsiderBasedOnTargetPercentage)</f>
        <v>218.80949999999999</v>
      </c>
      <c r="GE108" s="41"/>
      <c r="GF108" s="40"/>
      <c r="GG108" s="31">
        <f>SnapshotTable[[#This Row],[Booked Sale Shares]] * SnapshotTable[[#This Row],[Booked Sale Price]]</f>
        <v>0</v>
      </c>
      <c r="GH108" s="31" t="str">
        <f>IF(SnapshotTable[[#This Row],[Equity Basis Total]] &gt; 0, SnapshotTable[[#This Row],[Equity Basis Per Share]] * SnapshotTable[[#This Row],[Booked Sale Shares]], "")</f>
        <v/>
      </c>
      <c r="GI108" s="31">
        <f>IF(SnapshotTable[[#This Row],[Sale Proceeds]]&gt;0, SnapshotTable[[#This Row],[Sale Proceeds]] - SnapshotTable[[#This Row],[Sale Basis]], 0)</f>
        <v>0</v>
      </c>
      <c r="GJ108" s="27" t="str">
        <f>IF(SnapshotTable[[#This Row],[Sale G/L]]&gt;0, SnapshotTable[[#This Row],[Sale G/L]] / SnapshotTable[[#This Row],[Sale Basis]], IF(ISNUMBER(SnapshotTable[[#This Row],[SC Exercise P&amp;L (TAX)]]), SnapshotTable[[#This Row],[SC Exercise P&amp;L (TAX)]] / SnapshotTable[[#This Row],[SC Basis]], ""))</f>
        <v/>
      </c>
      <c r="GK108" s="27" t="s">
        <v>675</v>
      </c>
      <c r="GL108" s="43" t="str">
        <f>IF(AND(SnapshotTable[[#This Row],[LP Exp Date]]&gt;0,SnapshotTable[[#This Row],[LP Strike Price]]&gt;0), [1]!ToOptionSymbol(SnapshotTable[[#This Row],[Symbol]], SnapshotTable[[#This Row],[LP Strike Price]],SnapshotTable[[#This Row],[LP Exp Date]],1), "")</f>
        <v/>
      </c>
      <c r="GM108" s="30" t="str">
        <f>IF(LEN(SnapshotTable[[#This Row],[LP Symbol]])&gt;0, 1, "")</f>
        <v/>
      </c>
      <c r="GN108" s="43" t="str">
        <f>IF(AND(SnapshotTable[[#This Row],[SP Exp Date]]&gt;0,SnapshotTable[[#This Row],[SP Strike Price]]&gt;0), [1]!ToOptionSymbol(SnapshotTable[[#This Row],[Symbol]], SnapshotTable[[#This Row],[SP Strike Price]],SnapshotTable[[#This Row],[SP Exp Date]],1), "")</f>
        <v/>
      </c>
      <c r="GO108" s="30" t="str">
        <f>IF(LEN(SnapshotTable[[#This Row],[SP Symbol]])&gt;0, 1, "")</f>
        <v/>
      </c>
      <c r="GP108" s="43" t="str">
        <f>IF(AND(SnapshotTable[[#This Row],[LC Exp Date]]&gt;0,SnapshotTable[[#This Row],[LC Strike Price]]&gt;0), [1]!ToOptionSymbol(SnapshotTable[[#This Row],[Symbol]], SnapshotTable[[#This Row],[LC Strike Price]],SnapshotTable[[#This Row],[LC Exp Date]],0), "")</f>
        <v/>
      </c>
      <c r="GQ108" s="30" t="str">
        <f>IF(LEN(SnapshotTable[[#This Row],[LC Symbol]])&gt;0, 1, "")</f>
        <v/>
      </c>
      <c r="GR108" s="43" t="str">
        <f>IF(AND(SnapshotTable[[#This Row],[SC Exp Date]]&gt;0,SnapshotTable[[#This Row],[SC Strike Price]]&gt;0), [1]!ToOptionSymbol(SnapshotTable[[#This Row],[Symbol]], SnapshotTable[[#This Row],[SC Strike Price]],SnapshotTable[[#This Row],[SC Exp Date]],0), "")</f>
        <v/>
      </c>
      <c r="GS108" s="30" t="str">
        <f>IF(LEN(SnapshotTable[[#This Row],[SC Symbol]])&gt;0, 1, "")</f>
        <v/>
      </c>
      <c r="GT108" s="29" t="str">
        <f>IF(COUNT(SnapshotTable[[#This Row],[LP Symbol Count]],SnapshotTable[[#This Row],[SP Symbol Count]],SnapshotTable[[#This Row],[LC Symbol Count]],SnapshotTable[[#This Row],[SC Symbol Count]])&gt;0, "Y", "")</f>
        <v/>
      </c>
      <c r="GU10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8" s="231" t="e">
        <f>MAX(SnapshotTable[[#This Row],[Equity Basis Total]],SnapshotTable[[#This Row],[Equity Value]]) + (SnapshotTable[[#This Row],[SP Potential Spend]]- SnapshotTable[[#This Row],[SP Premium]] + SnapshotTable[[#This Row],[LP Premium]])+ (SnapshotTable[[#This Row],[LC Premium]] - SnapshotTable[[#This Row],[SC Premium]])</f>
        <v>#VALUE!</v>
      </c>
      <c r="GW108" s="139" t="e">
        <f>IF(AND(SnapshotTable[[#This Row],[Exposure]] &lt;&gt; 0),SnapshotTable[[#This Row],[Exposure]] / SnapshotTable[[#Totals],[Exposure]], "")</f>
        <v>#VALUE!</v>
      </c>
      <c r="HE108" s="268"/>
      <c r="HF108" s="268"/>
      <c r="HK108" s="1"/>
      <c r="HL108" s="1"/>
      <c r="HM108" s="1"/>
      <c r="HN108" s="1"/>
      <c r="HO108" s="1"/>
      <c r="HP108" s="1"/>
    </row>
    <row r="109" spans="2:224" ht="12.75" hidden="1" customHeight="1" x14ac:dyDescent="0.25">
      <c r="B109" s="12" t="s">
        <v>73</v>
      </c>
      <c r="C109" s="422">
        <v>22.96</v>
      </c>
      <c r="D109" s="208"/>
      <c r="E109" s="39">
        <f>SnapshotTable[[#This Row],[Last Price]]*(1 -CrashDiscount)</f>
        <v>19.516000000000002</v>
      </c>
      <c r="F109" s="26" t="s">
        <v>72</v>
      </c>
      <c r="G109" s="26" t="s">
        <v>4</v>
      </c>
      <c r="H109" s="149"/>
      <c r="I109" s="194">
        <v>44790.670138888891</v>
      </c>
      <c r="J109" s="195">
        <v>44790.670138888891</v>
      </c>
      <c r="K109" s="196"/>
      <c r="L109" s="326"/>
      <c r="M109" s="140"/>
      <c r="N109" s="140"/>
      <c r="O109" s="140"/>
      <c r="P109" s="22"/>
      <c r="Q109" s="25"/>
      <c r="R109" s="4" t="str">
        <f>IF(SnapshotTable[[#This Row],[Equity Basis Total]] &gt; 0, SnapshotTable[[#This Row],[Equity Basis Total]] / SnapshotTable[[#This Row],[Equity Shares]], "")</f>
        <v/>
      </c>
      <c r="S109" s="269">
        <f>SnapshotTable[[#This Row],[Last Price]] * SnapshotTable[[#This Row],[Equity Shares]]</f>
        <v>0</v>
      </c>
      <c r="T109" s="269">
        <f>SnapshotTable[[#This Row],[Equity Value]] - SnapshotTable[[#This Row],[Equity Basis Total]]</f>
        <v>0</v>
      </c>
      <c r="U109" s="270" t="str">
        <f>IF(SnapshotTable[[#This Row],[Equity Basis Total]] &gt; 0, SnapshotTable[[#This Row],[Equity G/L]] / SnapshotTable[[#This Row],[Equity Basis Total]], "")</f>
        <v/>
      </c>
      <c r="V109" s="268"/>
      <c r="W109" s="268"/>
      <c r="X109" s="4" t="str">
        <f>IF(AND(ISNUMBER(SnapshotTable[[#This Row],[Equity Basis Per Share]]),ISNUMBER(SnapshotTable[[#This Row],[Equity Target]])),SnapshotTable[[#This Row],[Equity Target]]-SnapshotTable[[#This Row],[Equity Basis Per Share]],"")</f>
        <v/>
      </c>
      <c r="Y109" s="4" t="str">
        <f>IF(AND(ISNUMBER(SnapshotTable[[#This Row],[Equity Basis Per Share]]),ISNUMBER(SnapshotTable[[#This Row],[Equity Stop Loss]])),SnapshotTable[[#This Row],[Equity Stop Loss]]-SnapshotTable[[#This Row],[Equity Basis Per Share]],"")</f>
        <v/>
      </c>
      <c r="Z109" s="275" t="str">
        <f>IFERROR( TEXT(SnapshotTable[[#This Row],[Equity Max Gain Per Share]] /ABS( SnapshotTable[[#This Row],[Equity Max Loss Per Share]]),"0.0 " ) &amp; " : 1", "")</f>
        <v/>
      </c>
      <c r="AA109" s="31" t="str">
        <f>IF(ISNUMBER(SnapshotTable[[#This Row],[Equity Max Gain Per Share]]),SnapshotTable[[#This Row],[Equity Max Gain Per Share]] * SnapshotTable[[#This Row],[Equity Shares]],"")</f>
        <v/>
      </c>
      <c r="AB109" s="31" t="str">
        <f>IF(ISNUMBER(SnapshotTable[[#This Row],[Equity Max Loss Per Share]]),SnapshotTable[[#This Row],[Equity Max Loss Per Share]] * SnapshotTable[[#This Row],[Equity Shares]],"")</f>
        <v/>
      </c>
      <c r="AC109" s="150">
        <v>0.08</v>
      </c>
      <c r="AD109" s="151">
        <v>42368</v>
      </c>
      <c r="AE109" s="31">
        <f>(SnapshotTable[[#This Row],[Annual Dividend Per Share]] / 4) * SnapshotTable[[#This Row],[Equity Shares]]</f>
        <v>0</v>
      </c>
      <c r="AF109" s="31">
        <f>SnapshotTable[[#This Row],[Quarterly Div $]] * 4</f>
        <v>0</v>
      </c>
      <c r="AG109" s="7">
        <f>IF(SnapshotTable[[#This Row],[Annual Dividend Per Share]]&gt;0, SnapshotTable[[#This Row],[Annual Dividend Per Share]]  / SnapshotTable[[#This Row],[Last Price]], 0)</f>
        <v>3.4843205574912892E-3</v>
      </c>
      <c r="AH109" s="151">
        <v>42256</v>
      </c>
      <c r="AI109" s="5"/>
      <c r="AJ109" s="138">
        <v>16</v>
      </c>
      <c r="AK109" s="152" t="str">
        <f>IF(ISNUMBER( SnapshotTable[[#This Row],[EBF Target]]),(SnapshotTable[[#This Row],[EBF Target]] - SnapshotTable[[#This Row],[Last Price]]) / SnapshotTable[[#This Row],[Last Price]], "")</f>
        <v/>
      </c>
      <c r="AL109" s="152" t="str">
        <f>IF(AND(SnapshotTable[[#This Row],[Equity Basis Total]] &gt; 0,ISNUMBER( SnapshotTable[[#This Row],[Long Term Target]])), SnapshotTable[[#This Row],[From Basis $]] / SnapshotTable[[#This Row],[Equity Basis Total]], "")</f>
        <v/>
      </c>
      <c r="AM109" s="9">
        <f>IF( AND(SnapshotTable[[#This Row],[Equity Shares]] &gt;0,ISNUMBER( SnapshotTable[[#This Row],[Long Term Target]])),(SnapshotTable[[#This Row],[Equity Shares]] * SnapshotTable[[#This Row],[Long Term Target]]) - SnapshotTable[[#This Row],[Equity Basis Total]],0)</f>
        <v>0</v>
      </c>
      <c r="AN109" s="9">
        <f>IF( AND(SnapshotTable[[#This Row],[Equity Shares]] &gt;0,ISNUMBER( SnapshotTable[[#This Row],[Long Term Target]])),(SnapshotTable[[#This Row],[Equity Shares]]*SnapshotTable[[#This Row],[Long Term Target]]) - SnapshotTable[[#This Row],[Equity Value]],0)</f>
        <v>0</v>
      </c>
      <c r="AO109" s="152">
        <f>IF(AND(ISNUMBER( SnapshotTable[[#This Row],[Long Term Target]]), ISNUMBER(SnapshotTable[[#This Row],[Last Price]])),(SnapshotTable[[#This Row],[Long Term Target]] - SnapshotTable[[#This Row],[Last Price]]) / SnapshotTable[[#This Row],[Last Price]], "")</f>
        <v>-0.30313588850174217</v>
      </c>
      <c r="AP109" s="5"/>
      <c r="AQ109" s="38"/>
      <c r="AR109" s="5"/>
      <c r="AS109" s="38"/>
      <c r="AT109" s="146"/>
      <c r="AU109" s="187" t="str">
        <f>IF(OR(SnapshotTable[[#This Row],[LP No Fill]]="Y",SnapshotTable[[#This Row],[SP Is Filled]],SnapshotTable[[#This Row],[LC Not Filled]]="Y",SnapshotTable[[#This Row],[SC Is Filled]]),"Y","")</f>
        <v/>
      </c>
      <c r="AV109" s="219"/>
      <c r="AW109" s="225"/>
      <c r="AX109" s="220"/>
      <c r="AY109" s="219" t="str">
        <f>IF(SnapshotTable[[#This Row],[Implied Move]]&gt;0, SnapshotTable[[#This Row],[Last Price]]-SnapshotTable[[#This Row],[Implied Move]],"")</f>
        <v/>
      </c>
      <c r="AZ109" s="219" t="str">
        <f>IF(SnapshotTable[[#This Row],[Implied Move]]&gt;0, SnapshotTable[[#This Row],[Last Price]] + SnapshotTable[[#This Row],[Implied Move]],"")</f>
        <v/>
      </c>
      <c r="BA109" s="331"/>
      <c r="BB109" s="347"/>
      <c r="BC10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9" s="351"/>
      <c r="BE109" s="5"/>
      <c r="BF109" s="14"/>
      <c r="BG109" s="13"/>
      <c r="BH109" s="13"/>
      <c r="BI109" s="5"/>
      <c r="BJ109" s="136">
        <f>IF(SnapshotTable[[#This Row],[LP Qty]] &gt; 0, SnapshotTable[[#This Row],[LP Qty]] * SnapshotTable[[#This Row],[LP Book Price]] * 100,0)</f>
        <v>0</v>
      </c>
      <c r="BK109" s="136">
        <f>IF(SnapshotTable[[#This Row],[LP Premium]] &gt; 0, SnapshotTable[[#This Row],[LP Qty]] * SnapshotTable[[#This Row],[LP Strike Price]] * 100,0)</f>
        <v>0</v>
      </c>
      <c r="BL109" s="154"/>
      <c r="BM109" s="385" t="str">
        <f>IF(SnapshotTable[[#This Row],[LP Premium]] &gt; 0,SnapshotTable[[#This Row],[LP Exp Date]]-MAX(SnapshotTable[[#This Row],[LP Book Date]], SnapshotTable[[#This Row],[LP Fill Date]]),"")</f>
        <v/>
      </c>
      <c r="BN109" s="385" t="str">
        <f>IF(ISNUMBER( SnapshotTable[[#This Row],[LP Term]]), SnapshotTable[[#This Row],[LP Exp Date]] - MockToday,"")</f>
        <v/>
      </c>
      <c r="BO109" s="163" t="str">
        <f>IF(AND(SnapshotTable[[#This Row],[LP Exp Date]]&gt;0, SnapshotTable[[#This Row],[LP Strike Price]]&gt;0,SnapshotTable[[#This Row],[LP Qty]]&gt;0,SnapshotTable[[#This Row],[LP Book Date]]&gt;0,SnapshotTable[[#This Row],[LP Book Price]]&gt;0,SnapshotTable[[#This Row],[LP Fill Date]]=0),"Y","")</f>
        <v/>
      </c>
      <c r="BP109" s="31" t="str">
        <f>IF(AND(SnapshotTable[[#This Row],[LP No Fill]]&lt;&gt;"Y",SnapshotTable[[#This Row],[LP Contract Value]]&gt;0, SnapshotTable[[#This Row],[LP Qty]]&gt;0), SnapshotTable[[#This Row],[LP Contract Value]]*SnapshotTable[[#This Row],[LP Qty]]*100,"")</f>
        <v/>
      </c>
      <c r="BQ109" s="13"/>
      <c r="BR109" s="5" t="str">
        <f>IF(SnapshotTable[[#This Row],[SP Exp Date]]&lt;&gt;"",TRUNC(SnapshotTable[[#This Row],[Last Price]]),"")</f>
        <v/>
      </c>
      <c r="BS109" s="36"/>
      <c r="BT109" s="147"/>
      <c r="BU109" s="13"/>
      <c r="BV109" s="5"/>
      <c r="BW109" s="419" t="b">
        <f>AND(ISNUMBER(SnapshotTable[[#This Row],[SP Exp Date]]), ISNUMBER(SnapshotTable[[#This Row],[SP Strike Price]]), ISNUMBER(SnapshotTable[[#This Row],[SP Qty]]), ISNUMBER(SnapshotTable[[#This Row],[SP Book Date]]), ISNUMBER(SnapshotTable[[#This Row],[SP Book Price]]))</f>
        <v>0</v>
      </c>
      <c r="BX109" s="419" t="b">
        <f>AND(SnapshotTable[[#This Row],[SP Is Booked]], NOT(ISBLANK(SnapshotTable[[#This Row],[SP Fill Date]])))</f>
        <v>0</v>
      </c>
      <c r="BY109" s="33">
        <f>IF(SnapshotTable[[#This Row],[SP Is Booked]], SnapshotTable[[#This Row],[SP Qty]] * SnapshotTable[[#This Row],[SP Book Price]] * 100, 0)</f>
        <v>0</v>
      </c>
      <c r="BZ109" s="369"/>
      <c r="CA109" s="368">
        <f>SnapshotTable[[#This Row],[LP Qty]]</f>
        <v>0</v>
      </c>
      <c r="CB109" s="4" t="str">
        <f>IF(SnapshotTable[[#This Row],[SP Is Booked]], SnapshotTable[[#This Row],[SP Strike Price]] - SnapshotTable[[#This Row],[SP Book Price]], "")</f>
        <v/>
      </c>
      <c r="CC109" s="19" t="str">
        <f>IF(SnapshotTable[[#This Row],[SP Is Booked]],SnapshotTable[[#This Row],[SP Exp Date]]-MAX(SnapshotTable[[#This Row],[SP Book Date]], SnapshotTable[[#This Row],[SP Fill Date]]),"")</f>
        <v/>
      </c>
      <c r="CD109" s="7" t="str">
        <f>IF(SnapshotTable[[#This Row],[SP Is Booked]], SnapshotTable[[#This Row],[SP Book Price]]/SnapshotTable[[#This Row],[SP Strike Price]], "")</f>
        <v/>
      </c>
      <c r="CE109" s="7" t="str">
        <f>IF(ISNUMBER(SnapshotTable[[#This Row],[SP ROO Term]]),SnapshotTable[[#This Row],[SP ROO Term]]*(365/SnapshotTable[[#This Row],[SP Term]]),"")</f>
        <v/>
      </c>
      <c r="CF109" s="236">
        <f>SnapshotTable[[#This Row],[LP Strike Price]] * SnapshotTable[[#This Row],[LP Qty]] * 100</f>
        <v>0</v>
      </c>
      <c r="CG109" s="31" t="e">
        <f>IF(ISNUMBER(SnapshotTable[[#This Row],[SP Premium]]), (SnapshotTable[[#This Row],[SP Qty]] * SnapshotTable[[#This Row],[SP Strike Price]]* 100) - SnapshotTable[[#This Row],[LP Protection]], 0)</f>
        <v>#VALUE!</v>
      </c>
      <c r="CH109" s="7" t="str">
        <f>IF(ISNUMBER(SnapshotTable[[#This Row],[SP Break Even]]),-1 * (SnapshotTable[[#This Row],[SP Break Even]] - SnapshotTable[[#This Row],[Last Price]]) / SnapshotTable[[#This Row],[Last Price]], "")</f>
        <v/>
      </c>
      <c r="CI109" s="31">
        <f>IF(AND(ISNUMBER((SnapshotTable[[#This Row],[SP Potential Spend]])), SnapshotTable[[#This Row],[SP Strike Price]] &gt; SnapshotTable[[#This Row],[Last Price]], SnapshotTable[[#This Row],[SP Is Filled]]), SnapshotTable[[#This Row],[SP Potential Spend]] -  SnapshotTable[[#This Row],[LP Max Value]], 0)</f>
        <v>0</v>
      </c>
      <c r="CJ109" s="244"/>
      <c r="CK109" s="31" t="str">
        <f>IF(ISNUMBER(SnapshotTable[[#This Row],[SP Potential Spend]]),IF(ISNUMBER(SnapshotTable[[#This Row],[SP POW]]), SnapshotTable[[#This Row],[SP POW]] * SnapshotTable[[#This Row],[SP Potential Spend]], SnapshotTable[[#This Row],[SP Potential Spend]]), "")</f>
        <v/>
      </c>
      <c r="CL109" s="164" t="e">
        <f>IF(NOT(SnapshotTable[[#This Row],[SP Is Filled]]),(SnapshotTable[[#This Row],[SP Qty]] * SnapshotTable[[#This Row],[SP Strike Price]] * 100) - SnapshotTable[[#This Row],[LP Max Value]],"")</f>
        <v>#VALUE!</v>
      </c>
      <c r="CM109" s="31" t="str">
        <f>IF(SnapshotTable[[#This Row],[SP Actual Spend]]&lt;&gt;0, ((SnapshotTable[[#This Row],[SP Strike Price]]-SnapshotTable[[#This Row],[Last Price]]) *(SnapshotTable[[#This Row],[SP Qty]]*100) - SnapshotTable[[#This Row],[SP Premium]]) * - 1, "")</f>
        <v/>
      </c>
      <c r="CN109" s="78"/>
      <c r="CO109" s="369"/>
      <c r="CP109" s="4" t="str">
        <f>IF(SnapshotTable[[#This Row],[SP Is Filled]], btc_max_buyback_amount(SnapshotTable[[#This Row],[SP Fill Date]],SnapshotTable[[#This Row],[SP Exp Date]], SnapshotTable[[#This Row],[SP Book Price]]),"")</f>
        <v/>
      </c>
      <c r="CQ109" s="78"/>
      <c r="CR10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9" s="155" t="str">
        <f>IF(SnapshotTable[[#This Row],[SP Is Filled]], btc_next_cutoff_date(SnapshotTable[[#This Row],[SP Fill Date]],SnapshotTable[[#This Row],[SP Exp Date]]),"")</f>
        <v/>
      </c>
      <c r="CT109" s="235" t="str" cm="1">
        <f t="array" ref="CT109">IF(SnapshotTable[[#This Row],[SP Is Filled]], btc_should_buy_back(SnapshotTable[[#This Row],[SP Fill Date]], SnapshotTable[[#This Row],[SP Exp Date]], SnapshotTable[[#This Row],[SP Book Price]], SnapshotTable[[#This Row],[SP Current Ask]], MockToday, SnapshotTable[[#This Row],[SP Buyback Override]]),"")</f>
        <v/>
      </c>
      <c r="CU109" s="143"/>
      <c r="CV109" s="235"/>
      <c r="CW109" s="378" t="str">
        <f>IF(ISNUMBER( SnapshotTable[[#This Row],[SP Term]]), SnapshotTable[[#This Row],[SP Exp Date]] - MockToday,"")</f>
        <v/>
      </c>
      <c r="CX109" s="31" t="str">
        <f>IF(SnapshotTable[[#This Row],[SP Is Filled]],SnapshotTable[[#This Row],[SP Buyback Price to Use]] * 100 * SnapshotTable[[#This Row],[SP Qty]], "")</f>
        <v/>
      </c>
      <c r="CY109" s="4" t="str">
        <f>IF(ISNUMBER(SnapshotTable[[#This Row],[SP Strike Price]]), SnapshotTable[[#This Row],[SP Strike Price]] * (1 - SP_MaxLoss_StrikePct), "")</f>
        <v/>
      </c>
      <c r="CZ109" s="31" t="str">
        <f>IF(ISNUMBER(SnapshotTable[[#This Row],[SP Strike  Stop Per Share]]),SnapshotTable[[#This Row],[SP Premium]] - ((SnapshotTable[[#This Row],[SP Strike Price]]-SnapshotTable[[#This Row],[SP Strike  Stop Per Share]]) *(SnapshotTable[[#This Row],[SP Qty]] * 100)),"")</f>
        <v/>
      </c>
      <c r="DA109" s="4" t="str">
        <f>IF(AND(ISNUMBER(SnapshotTable[[#This Row],[SP Premium]]),SnapshotTable[[#This Row],[SP Premium]]&gt;0), SnapshotTable[[#This Row],[SP Book Price]] * (1 + SP_MaxLoss_OptionPct), "")</f>
        <v/>
      </c>
      <c r="DB109" s="31" t="str">
        <f>IF(ISNUMBER(SnapshotTable[[#This Row],[SP Option  Stop Contract]]),(SnapshotTable[[#This Row],[SP Option  Stop Contract]] *(SnapshotTable[[#This Row],[SP Qty]] * 100) - SnapshotTable[[#This Row],[SP Premium]]),"")</f>
        <v/>
      </c>
      <c r="DC109" s="4"/>
      <c r="DD109" s="4"/>
      <c r="DE109" s="4" t="str">
        <f>IF(AND(SnapshotTable[[#This Row],[SP Qty]]&gt;0, SnapshotTable[[#This Row],[SP Stop To Use]]&gt;0),SnapshotTable[[#This Row],[SP Premium]] - ( SnapshotTable[[#This Row],[SP Qty]] * SnapshotTable[[#This Row],[SP Stop To Use]] * 100), "")</f>
        <v/>
      </c>
      <c r="DF109" s="31" t="str">
        <f>IF(AND(SnapshotTable[[#This Row],[SP Qty]]&gt;0,SnapshotTable[[#This Row],[SP Current Ask]]&gt;0), SnapshotTable[[#This Row],[SP Qty]] * SnapshotTable[[#This Row],[SP Current Ask]] * -100, "")</f>
        <v/>
      </c>
      <c r="DG109" s="31" t="str">
        <f>IF(ISNUMBER((SnapshotTable[[#This Row],[SP Total Value]])), SnapshotTable[[#This Row],[SP Premium]] + SnapshotTable[[#This Row],[SP Total Value]], "")</f>
        <v/>
      </c>
      <c r="DH109" s="294" t="str">
        <f>IF(ISNUMBER((SnapshotTable[[#This Row],[SP Total Value]])), SnapshotTable[[#This Row],[SP Gain Loss]] / SnapshotTable[[#This Row],[SP Premium]], "")</f>
        <v/>
      </c>
      <c r="DI109" s="406"/>
      <c r="DJ109" s="138"/>
      <c r="DK109" s="148"/>
      <c r="DL109" s="13"/>
      <c r="DM109" s="13"/>
      <c r="DO109" s="31">
        <f>IF(SnapshotTable[[#This Row],[LC Symbol Count]]=1, SnapshotTable[[#This Row],[LC Qty]] * SnapshotTable[[#This Row],[LC Book Price]] * 100, 0)</f>
        <v>0</v>
      </c>
      <c r="DP109" s="163" t="str">
        <f>IF(AND(SnapshotTable[[#This Row],[LC Exp Date]]&gt;0, SnapshotTable[[#This Row],[LC Strike Price]]&gt;0,SnapshotTable[[#This Row],[LC Qty]]&gt;0,SnapshotTable[[#This Row],[LC Book Date]]&gt;0,SnapshotTable[[#This Row],[LC Book Price]]&gt;0,SnapshotTable[[#This Row],[LC Fill Date]]=0),"Y","")</f>
        <v/>
      </c>
      <c r="DQ109" s="386" t="str">
        <f>IF(SnapshotTable[[#This Row],[LC Premium]] &gt; 0,SnapshotTable[[#This Row],[LC Exp Date]]-MAX(SnapshotTable[[#This Row],[LC Book Date]], SnapshotTable[[#This Row],[LC Fill Date]]),"")</f>
        <v/>
      </c>
      <c r="DR109" s="386" t="str">
        <f>IF(ISNUMBER(SnapshotTable[[#This Row],[LC Term]]), SnapshotTable[[#This Row],[LC Exp Date]] - MockToday, "")</f>
        <v/>
      </c>
      <c r="DS109" s="234" t="str">
        <f>IF(SnapshotTable[[#This Row],[LC Premium]]&gt;0,SnapshotTable[[#This Row],[LC Strike Price]] + SnapshotTable[[#This Row],[LC Book Price]],"")</f>
        <v/>
      </c>
      <c r="DU109" s="9" t="str">
        <f>IF(AND(SnapshotTable[[#This Row],[LC Symbol Count]]&gt;0, SnapshotTable[[#This Row],[LC Contract Value]]&gt;0), SnapshotTable[[#This Row],[LC Contract Value]] * SnapshotTable[[#This Row],[LC Qty]] * 100, "")</f>
        <v/>
      </c>
      <c r="DV109" s="9" t="str">
        <f>IF(AND(ISNUMBER(SnapshotTable[[#This Row],[LC Total Value]]), SnapshotTable[[#This Row],[LC Not Filled]]&lt;&gt;"Y"), SnapshotTable[[#This Row],[LC Total Value]]-SnapshotTable[[#This Row],[LC Premium]],"")</f>
        <v/>
      </c>
      <c r="DW109" s="240" t="str">
        <f>IF(ISNUMBER(SnapshotTable[[#This Row],[LC Actual Gain Loss]]), SnapshotTable[[#This Row],[LC Actual Gain Loss]] / SnapshotTable[[#This Row],[LC Premium]],"")</f>
        <v/>
      </c>
      <c r="DX109" s="284" t="str">
        <f>IF(ISNUMBER(SnapshotTable[[#This Row],[LC Book Price]]),SnapshotTable[[#This Row],[LC Book Price]] * 1.5,"")</f>
        <v/>
      </c>
      <c r="DY109" s="265" t="str">
        <f>IF(SnapshotTable[[#This Row],[LC Premium]]&gt;0, SnapshotTable[[#This Row],[LC Next Target]] * SnapshotTable[[#This Row],[LC Qty]] * 100,"")</f>
        <v/>
      </c>
      <c r="DZ109" s="265" t="str">
        <f>IF(ISNUMBER(SnapshotTable[[#This Row],[LC Target Gross]]), SnapshotTable[[#This Row],[LC Target Gross]] - SnapshotTable[[#This Row],[LC Premium]], "")</f>
        <v/>
      </c>
      <c r="EA109" s="305" t="str">
        <f>IF(ISNUMBER(SnapshotTable[[#This Row],[LC Target Gain Loss]]), SnapshotTable[[#This Row],[LC Target Gain Loss]]/SnapshotTable[[#This Row],[LC Premium]], "")</f>
        <v/>
      </c>
      <c r="EB109" s="262"/>
      <c r="EC109" s="283" t="str">
        <f>IF(SnapshotTable[[#This Row],[LC Premium]]&gt;0, SnapshotTable[[#This Row],[LC Book Price]] * (1 - LC_StopLoss_Pct),"")</f>
        <v/>
      </c>
      <c r="ED109" s="284"/>
      <c r="EE109" s="283" t="str">
        <f>IF(ISNUMBER(SnapshotTable[[#This Row],[LC Contract Value]]),IF(ISNUMBER(SnapshotTable[[#This Row],[LC Stop Loss Override]]), SnapshotTable[[#This Row],[LC Stop Loss Override]],SnapshotTable[[#This Row],[LC Stop Loss Calc Target]]),"")</f>
        <v/>
      </c>
      <c r="EF109" s="31" t="str">
        <f>IF(ISNUMBER(SnapshotTable[[#This Row],[LC Stop  To Use]]), (SnapshotTable[[#This Row],[LC Stop  To Use]] * SnapshotTable[[#This Row],[LC Qty]] * 100),"")</f>
        <v/>
      </c>
      <c r="EG109" s="9" t="str">
        <f>IF(ISNUMBER(SnapshotTable[[#This Row],[LC Total Value]]),SnapshotTable[[#This Row],[LC Stop Loss Amount]] - SnapshotTable[[#This Row],[LC Premium]],"")</f>
        <v/>
      </c>
      <c r="EH109" s="9">
        <f>IF(ISNUMBER(SnapshotTable[[#This Row],[LC Premium]]), SnapshotTable[[#This Row],[LC Qty]] * 100 * SnapshotTable[[#This Row],[LC Strike Price]], "")</f>
        <v>0</v>
      </c>
      <c r="EI109" s="240" t="str">
        <f>IF(AND(ISNUMBER(SnapshotTable[[#This Row],[LC Total Value]]),SnapshotTable[[#This Row],[LC Total Value]]&gt;0),SnapshotTable[[#This Row],[LC Stop Gain Loss]]  / SnapshotTable[[#This Row],[LC Premium]],"")</f>
        <v/>
      </c>
      <c r="EJ109" s="35">
        <f>IF(ISNUMBER(SnapshotTable[[#This Row],[Equity Shares]]),TRUNC(SnapshotTable[[#This Row],[Equity Shares]] / 100),0) + SnapshotTable[[#This Row],[LC Qty]]</f>
        <v>0</v>
      </c>
      <c r="EK109" s="147"/>
      <c r="EL109" s="138" t="str">
        <f>IF(SnapshotTable[[#This Row],[SC Exp Date]]&lt;&gt;"",TRUNC(SnapshotTable[[#This Row],[Last Price]]),"")</f>
        <v/>
      </c>
      <c r="EM109" s="148"/>
      <c r="EN109" s="147"/>
      <c r="EO109" s="147"/>
      <c r="EP109" s="138"/>
      <c r="EQ109" s="419" t="b">
        <f>AND(ISNUMBER(SnapshotTable[[#This Row],[SC Exp Date]]), ISNUMBER(SnapshotTable[[#This Row],[SC Strike Price]]), ISNUMBER(SnapshotTable[[#This Row],[SC Qty]]), ISNUMBER(SnapshotTable[[#This Row],[SC Book Date]]), ISNUMBER(SnapshotTable[[#This Row],[SC Book Price]]))</f>
        <v>0</v>
      </c>
      <c r="ER109" s="419" t="b">
        <f>AND(SnapshotTable[[#This Row],[SC Is Booked]], NOT(ISBLANK(SnapshotTable[[#This Row],[SC Fill Date]])))</f>
        <v>0</v>
      </c>
      <c r="ES109" s="370"/>
      <c r="ET109" s="34" t="str">
        <f>IF(AND(ISNUMBER(SnapshotTable[[#This Row],[SC Exp Date]]), ISNUMBER(SnapshotTable[[#This Row],[SC Book Date]])), SnapshotTable[[#This Row],[SC Exp Date]] - MAX(SnapshotTable[[#This Row],[SC Book Date]], SnapshotTable[[#This Row],[SC Fill Date]]) + 1, "")</f>
        <v/>
      </c>
      <c r="EU109" s="34" t="str">
        <f>IF(ISNUMBER(SnapshotTable[[#This Row],[SC Term]]), SnapshotTable[[#This Row],[SC Exp Date]]- MockToday, "")</f>
        <v/>
      </c>
      <c r="EV109" s="31">
        <f>IF(SnapshotTable[[#This Row],[SC Is Booked]], SnapshotTable[[#This Row],[SC Qty]] * SnapshotTable[[#This Row],[SC Book Price]] * 100, 0)</f>
        <v>0</v>
      </c>
      <c r="EW109" s="4" t="str">
        <f>IF(AND(ISNUMBER(SnapshotTable[[#This Row],[Last Price]]), ISNUMBER( SnapshotTable[[#This Row],[SC Book Price]])), SnapshotTable[[#This Row],[Last Price]] - SnapshotTable[[#This Row],[SC Book Price]],"")</f>
        <v/>
      </c>
      <c r="EX109" s="234" t="str">
        <f>IF(SnapshotTable[[#This Row],[SC Is Booked]],IF(SnapshotTable[[#This Row],[SC Intrinsic Value]] &gt; 0, SnapshotTable[[#This Row],[SC Strike Price]], SnapshotTable[[#This Row],[Last Price]]), "")</f>
        <v/>
      </c>
      <c r="EY109" s="4">
        <f>IF(SnapshotTable[[#This Row],[SC Is Booked]], (MinimumPremiumRequired * SnapshotTable[[#This Row],[SC Basis]] * SnapshotTable[[#This Row],[SC Term]]), 0)</f>
        <v>0</v>
      </c>
      <c r="EZ109" s="283"/>
      <c r="FA109" s="218"/>
      <c r="FB109" s="370"/>
      <c r="FC109" s="4">
        <f>IF(SnapshotTable[[#This Row],[SC Is Filled]], btc_max_buyback_amount(SnapshotTable[[#This Row],[SC Fill Date]],SnapshotTable[[#This Row],[SC Exp Date]], SnapshotTable[[#This Row],[SC Book Price]]),0)</f>
        <v>0</v>
      </c>
      <c r="FD109" s="5"/>
      <c r="FE109" s="144" t="str">
        <f>IF(SnapshotTable[[#This Row],[SC Is Filled]], btc_next_cutoff_date(SnapshotTable[[#This Row],[SC Fill Date]],SnapshotTable[[#This Row],[SC Exp Date]]),"")</f>
        <v/>
      </c>
      <c r="FF109" s="4" t="str" cm="1">
        <f t="array" ref="FF109">IF(SnapshotTable[[#This Row],[SC Is Filled]], btc_should_buy_back(SnapshotTable[[#This Row],[SC Fill Date]], SnapshotTable[[#This Row],[SC Exp Date]], SnapshotTable[[#This Row],[SC Book Price]], SnapshotTable[[#This Row],[SC Current Ask]], MockToday, SnapshotTable[[#This Row],[SC Buyback Override]]),"")</f>
        <v/>
      </c>
      <c r="FG109" s="4">
        <f>IF(SnapshotTable[[#This Row],[SC Is Filled]], MAX(0,SnapshotTable[[#This Row],[Last Price]]  - SnapshotTable[[#This Row],[SC Strike Price]]), 0)</f>
        <v>0</v>
      </c>
      <c r="FH109" s="382">
        <f>IF(SnapshotTable[[#This Row],[SC Is Filled]], IF(ISNUMBER(SnapshotTable[[#This Row],[SC Current Ask]]), SnapshotTable[[#This Row],[SC Current Ask]], SnapshotTable[[#This Row],[SC Book Price]]) - SnapshotTable[[#This Row],[SC Intrinsic Value]], 0)</f>
        <v>0</v>
      </c>
      <c r="FI109" s="143"/>
      <c r="FJ109" s="32" t="str">
        <f>IF(SnapshotTable[[#This Row],[SC Is Filled]],100 * SnapshotTable[[#This Row],[SC Qty]] * IF(ISNUMBER(SnapshotTable[[#This Row],[SC Buyback Override]]), SnapshotTable[[#This Row],[SC Buyback Override]], SnapshotTable[[#This Row],[SC Current Ask]]), "")</f>
        <v/>
      </c>
      <c r="FK109" s="250" t="str">
        <f>IF(SnapshotTable[[#This Row],[SC Time Val]]&gt;0, SnapshotTable[[#This Row],[SC Time Val]] / SnapshotTable[[#This Row],[Last Price]],"")</f>
        <v/>
      </c>
      <c r="FL109" s="302" t="str">
        <f>IF(SnapshotTable[[#This Row],[SC Is Booked]], ((SnapshotTable[[#This Row],[Last Price]] -SnapshotTable[[#This Row],[SC Strike Price]]) / SnapshotTable[[#This Row],[Last Price]]) * -1, "")</f>
        <v/>
      </c>
      <c r="FM109" s="157" t="str">
        <f>IF(SnapshotTable[[#This Row],[SC Is Booked]],  (SnapshotTable[[#This Row],[SC Qty]] * 100 * SnapshotTable[[#This Row],[SC Strike Price]]) - SnapshotTable[[#This Row],[SC Current Ask]], "")</f>
        <v/>
      </c>
      <c r="FN10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9" s="31" t="str">
        <f>IF(AND(ISNUMBER(SnapshotTable[[#This Row],[SC Exercise Gross]]), ISNUMBER(SnapshotTable[[#This Row],[Equity Basis Per Share]] )), SnapshotTable[[#This Row],[SC Exercise Gross]] - SnapshotTable[[#This Row],[Equity Basis Total]] +  SnapshotTable[[#This Row],[SC Premium]], "")</f>
        <v/>
      </c>
      <c r="FP109" s="5" t="str">
        <f>IF(ISNUMBER(SnapshotTable[[#This Row],[SC Exercise Gross]]), (SnapshotTable[[#This Row],[SC Exercise Gross]]) / (SnapshotTable[[#This Row],[SC Qty]] * 100), "")</f>
        <v/>
      </c>
      <c r="FQ109" s="27" t="str">
        <f>IF(SnapshotTable[[#This Row],[SC Is Booked]],SnapshotTable[[#This Row],[SC Time Val]] /SnapshotTable[[#This Row],[SC Basis]], "")</f>
        <v/>
      </c>
      <c r="FR109" s="27" t="str" cm="1">
        <f t="array" ref="FR109">IF(AND(ISNUMBER(SnapshotTable[[#This Row],[SC Term]]),ISNUMBER(SnapshotTable[[#This Row],[SC Simple ROO]])), EllmanAnnualize(SnapshotTable[[#This Row],[SC DTE]], SnapshotTable[[#This Row],[SC Simple ROO]] ),"")</f>
        <v/>
      </c>
      <c r="FS109" s="4" t="e">
        <f>IF(SnapshotTable[[#This Row],[SC Strike Price]] &gt; SnapshotTable[[#This Row],[Last Price]], SnapshotTable[[#This Row],[SC Strike Price]] - SnapshotTable[[#This Row],[Last Price]],0)</f>
        <v>#VALUE!</v>
      </c>
      <c r="FT109" s="27" t="e">
        <f>IF(AND(ISNUMBER(SnapshotTable[[#This Row],[SC Upside Potential]]), SnapshotTable[[#This Row],[SC Upside Potential]] &gt; 0),(SnapshotTable[[#This Row],[SC Upside Potential]]/ SnapshotTable[[#This Row],[ACB]]),"")</f>
        <v>#VALUE!</v>
      </c>
      <c r="FU109" s="333" t="str">
        <f>IF(SnapshotTable[[#This Row],[SC Intrinsic Value]] &gt; 0,SnapshotTable[[#This Row],[SC Intrinsic Value]],"")</f>
        <v/>
      </c>
      <c r="FV109" s="27" t="str">
        <f>IF(AND( ISNUMBER( SnapshotTable[[#This Row],[ACB]]),ISNUMBER(SnapshotTable[[#This Row],[SC Downside Protect]])),SnapshotTable[[#This Row],[SC Downside Protect]] / SnapshotTable[[#This Row],[ACB]],"")</f>
        <v/>
      </c>
      <c r="FW109" s="236" t="str">
        <f>IF(AND(ISNUMBER(SnapshotTable[[#This Row],[SC Simple ROO]]),SnapshotTable[[#This Row],[SC Simple ROO]] &gt; 0), SnapshotTable[[#This Row],[SC Premium]] + (SnapshotTable[[#This Row],[SC Qty]] * SnapshotTable[[#This Row],[SC Upside Potential]]), "")</f>
        <v/>
      </c>
      <c r="FX109" s="302" t="str" cm="1">
        <f t="array" ref="FX109">IF(ISNUMBER(SnapshotTable[[#This Row],[SC Max Dollars]]), annualize(SnapshotTable[[#This Row],[SC Term]],(SnapshotTable[[#This Row],[SC Max Dollars]]/SnapshotTable[[#This Row],[SC Basis]])),"")</f>
        <v/>
      </c>
      <c r="FY109" s="236" t="str">
        <f>IF(AND(SnapshotTable[[#This Row],[SC Qty]]&gt;0,SnapshotTable[[#This Row],[SC Current Ask]]&gt;0), SnapshotTable[[#This Row],[SC Qty]] * SnapshotTable[[#This Row],[SC Current Ask]] * -100, "")</f>
        <v/>
      </c>
      <c r="FZ109" s="31" t="str">
        <f>IF(ISNUMBER((SnapshotTable[[#This Row],[SC Current Value]])), SnapshotTable[[#This Row],[SC Premium]] + SnapshotTable[[#This Row],[SC Current Value]], "")</f>
        <v/>
      </c>
      <c r="GA109" s="294" t="str">
        <f>IFERROR( IF(ISNUMBER((SnapshotTable[[#This Row],[SC Current Value]])), SnapshotTable[[#This Row],[SC Gain Loss]] / SnapshotTable[[#This Row],[SC Premium]], ""), "")</f>
        <v/>
      </c>
      <c r="GB109" s="42">
        <f>SnapshotTable[[#This Row],[Equity Shares]] * SaleSharesToConsiderPercentage</f>
        <v>0</v>
      </c>
      <c r="GC109" s="40">
        <f>SnapshotTable[[#This Row],[Long Term Target]] * SellingPriceToConsiderBasedOnTargetPercentage</f>
        <v>15.2</v>
      </c>
      <c r="GD109" s="40">
        <f>SnapshotTable[[#This Row],[Last Price]] * (1+ SellingPriceToConsiderBasedOnTargetPercentage)</f>
        <v>44.771999999999998</v>
      </c>
      <c r="GE109" s="41"/>
      <c r="GF109" s="40"/>
      <c r="GG109" s="31">
        <f>SnapshotTable[[#This Row],[Booked Sale Shares]] * SnapshotTable[[#This Row],[Booked Sale Price]]</f>
        <v>0</v>
      </c>
      <c r="GH109" s="31" t="str">
        <f>IF(SnapshotTable[[#This Row],[Equity Basis Total]] &gt; 0, SnapshotTable[[#This Row],[Equity Basis Per Share]] * SnapshotTable[[#This Row],[Booked Sale Shares]], "")</f>
        <v/>
      </c>
      <c r="GI109" s="31">
        <f>IF(SnapshotTable[[#This Row],[Sale Proceeds]]&gt;0, SnapshotTable[[#This Row],[Sale Proceeds]] - SnapshotTable[[#This Row],[Sale Basis]], 0)</f>
        <v>0</v>
      </c>
      <c r="GJ109" s="27" t="str">
        <f>IF(SnapshotTable[[#This Row],[Sale G/L]]&gt;0, SnapshotTable[[#This Row],[Sale G/L]] / SnapshotTable[[#This Row],[Sale Basis]], IF(ISNUMBER(SnapshotTable[[#This Row],[SC Exercise P&amp;L (TAX)]]), SnapshotTable[[#This Row],[SC Exercise P&amp;L (TAX)]] / SnapshotTable[[#This Row],[SC Basis]], ""))</f>
        <v/>
      </c>
      <c r="GK109" s="27" t="s">
        <v>676</v>
      </c>
      <c r="GL109" s="43" t="str">
        <f>IF(AND(SnapshotTable[[#This Row],[LP Exp Date]]&gt;0,SnapshotTable[[#This Row],[LP Strike Price]]&gt;0), [1]!ToOptionSymbol(SnapshotTable[[#This Row],[Symbol]], SnapshotTable[[#This Row],[LP Strike Price]],SnapshotTable[[#This Row],[LP Exp Date]],1), "")</f>
        <v/>
      </c>
      <c r="GM109" s="30" t="str">
        <f>IF(LEN(SnapshotTable[[#This Row],[LP Symbol]])&gt;0, 1, "")</f>
        <v/>
      </c>
      <c r="GN109" s="43" t="str">
        <f>IF(AND(SnapshotTable[[#This Row],[SP Exp Date]]&gt;0,SnapshotTable[[#This Row],[SP Strike Price]]&gt;0), [1]!ToOptionSymbol(SnapshotTable[[#This Row],[Symbol]], SnapshotTable[[#This Row],[SP Strike Price]],SnapshotTable[[#This Row],[SP Exp Date]],1), "")</f>
        <v/>
      </c>
      <c r="GO109" s="30" t="str">
        <f>IF(LEN(SnapshotTable[[#This Row],[SP Symbol]])&gt;0, 1, "")</f>
        <v/>
      </c>
      <c r="GP109" s="43" t="str">
        <f>IF(AND(SnapshotTable[[#This Row],[LC Exp Date]]&gt;0,SnapshotTable[[#This Row],[LC Strike Price]]&gt;0), [1]!ToOptionSymbol(SnapshotTable[[#This Row],[Symbol]], SnapshotTable[[#This Row],[LC Strike Price]],SnapshotTable[[#This Row],[LC Exp Date]],0), "")</f>
        <v/>
      </c>
      <c r="GQ109" s="30" t="str">
        <f>IF(LEN(SnapshotTable[[#This Row],[LC Symbol]])&gt;0, 1, "")</f>
        <v/>
      </c>
      <c r="GR109" s="43" t="str">
        <f>IF(AND(SnapshotTable[[#This Row],[SC Exp Date]]&gt;0,SnapshotTable[[#This Row],[SC Strike Price]]&gt;0), [1]!ToOptionSymbol(SnapshotTable[[#This Row],[Symbol]], SnapshotTable[[#This Row],[SC Strike Price]],SnapshotTable[[#This Row],[SC Exp Date]],0), "")</f>
        <v/>
      </c>
      <c r="GS109" s="30" t="str">
        <f>IF(LEN(SnapshotTable[[#This Row],[SC Symbol]])&gt;0, 1, "")</f>
        <v/>
      </c>
      <c r="GT109" s="29" t="str">
        <f>IF(COUNT(SnapshotTable[[#This Row],[LP Symbol Count]],SnapshotTable[[#This Row],[SP Symbol Count]],SnapshotTable[[#This Row],[LC Symbol Count]],SnapshotTable[[#This Row],[SC Symbol Count]])&gt;0, "Y", "")</f>
        <v/>
      </c>
      <c r="GU10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9" s="231" t="e">
        <f>MAX(SnapshotTable[[#This Row],[Equity Basis Total]],SnapshotTable[[#This Row],[Equity Value]]) + (SnapshotTable[[#This Row],[SP Potential Spend]]- SnapshotTable[[#This Row],[SP Premium]] + SnapshotTable[[#This Row],[LP Premium]])+ (SnapshotTable[[#This Row],[LC Premium]] - SnapshotTable[[#This Row],[SC Premium]])</f>
        <v>#VALUE!</v>
      </c>
      <c r="GW109" s="139" t="e">
        <f>IF(AND(SnapshotTable[[#This Row],[Exposure]] &lt;&gt; 0),SnapshotTable[[#This Row],[Exposure]] / SnapshotTable[[#Totals],[Exposure]], "")</f>
        <v>#VALUE!</v>
      </c>
      <c r="HE109" s="268"/>
      <c r="HF109" s="268"/>
      <c r="HK109" s="1"/>
      <c r="HL109" s="1"/>
      <c r="HM109" s="1"/>
      <c r="HN109" s="1"/>
      <c r="HO109" s="1"/>
      <c r="HP109" s="1"/>
    </row>
    <row r="110" spans="2:224" ht="12.75" hidden="1" customHeight="1" x14ac:dyDescent="0.25">
      <c r="B110" s="12" t="s">
        <v>526</v>
      </c>
      <c r="C110" s="422">
        <v>88.53</v>
      </c>
      <c r="D110" s="208"/>
      <c r="E110" s="39">
        <f>SnapshotTable[[#This Row],[Last Price]]*(1 -CrashDiscount)</f>
        <v>75.250500000000002</v>
      </c>
      <c r="F110" s="26" t="s">
        <v>187</v>
      </c>
      <c r="G110" s="26" t="s">
        <v>41</v>
      </c>
      <c r="H110" s="149"/>
      <c r="I110" s="194">
        <v>44776.708333333336</v>
      </c>
      <c r="J110" s="195">
        <v>44776.708333333336</v>
      </c>
      <c r="K110" s="196"/>
      <c r="L110" s="326" t="s">
        <v>205</v>
      </c>
      <c r="M110" s="140"/>
      <c r="N110" s="140" t="b">
        <v>1</v>
      </c>
      <c r="O110" s="140">
        <v>3</v>
      </c>
      <c r="P110" s="22"/>
      <c r="Q110" s="25"/>
      <c r="R110" s="4" t="str">
        <f>IF(SnapshotTable[[#This Row],[Equity Basis Total]] &gt; 0, SnapshotTable[[#This Row],[Equity Basis Total]] / SnapshotTable[[#This Row],[Equity Shares]], "")</f>
        <v/>
      </c>
      <c r="S110" s="269">
        <f>SnapshotTable[[#This Row],[Last Price]] * SnapshotTable[[#This Row],[Equity Shares]]</f>
        <v>0</v>
      </c>
      <c r="T110" s="269">
        <f>SnapshotTable[[#This Row],[Equity Value]] - SnapshotTable[[#This Row],[Equity Basis Total]]</f>
        <v>0</v>
      </c>
      <c r="U110" s="270" t="str">
        <f>IF(SnapshotTable[[#This Row],[Equity Basis Total]] &gt; 0, SnapshotTable[[#This Row],[Equity G/L]] / SnapshotTable[[#This Row],[Equity Basis Total]], "")</f>
        <v/>
      </c>
      <c r="V110" s="268"/>
      <c r="W110" s="268"/>
      <c r="X110" s="4" t="str">
        <f>IF(AND(ISNUMBER(SnapshotTable[[#This Row],[Equity Basis Per Share]]),ISNUMBER(SnapshotTable[[#This Row],[Equity Target]])),SnapshotTable[[#This Row],[Equity Target]]-SnapshotTable[[#This Row],[Equity Basis Per Share]],"")</f>
        <v/>
      </c>
      <c r="Y110" s="4" t="str">
        <f>IF(AND(ISNUMBER(SnapshotTable[[#This Row],[Equity Basis Per Share]]),ISNUMBER(SnapshotTable[[#This Row],[Equity Stop Loss]])),SnapshotTable[[#This Row],[Equity Stop Loss]]-SnapshotTable[[#This Row],[Equity Basis Per Share]],"")</f>
        <v/>
      </c>
      <c r="Z110" s="275" t="str">
        <f>IFERROR( TEXT(SnapshotTable[[#This Row],[Equity Max Gain Per Share]] /ABS( SnapshotTable[[#This Row],[Equity Max Loss Per Share]]),"0.0 " ) &amp; " : 1", "")</f>
        <v/>
      </c>
      <c r="AA110" s="31" t="str">
        <f>IF(ISNUMBER(SnapshotTable[[#This Row],[Equity Max Gain Per Share]]),SnapshotTable[[#This Row],[Equity Max Gain Per Share]] * SnapshotTable[[#This Row],[Equity Shares]],"")</f>
        <v/>
      </c>
      <c r="AB110" s="31" t="str">
        <f>IF(ISNUMBER(SnapshotTable[[#This Row],[Equity Max Loss Per Share]]),SnapshotTable[[#This Row],[Equity Max Loss Per Share]] * SnapshotTable[[#This Row],[Equity Shares]],"")</f>
        <v/>
      </c>
      <c r="AC110" s="150"/>
      <c r="AD110" s="151"/>
      <c r="AE110" s="31">
        <f>(SnapshotTable[[#This Row],[Annual Dividend Per Share]] / 4) * SnapshotTable[[#This Row],[Equity Shares]]</f>
        <v>0</v>
      </c>
      <c r="AF110" s="31">
        <f>SnapshotTable[[#This Row],[Quarterly Div $]] * 4</f>
        <v>0</v>
      </c>
      <c r="AG110" s="7">
        <f>IF(SnapshotTable[[#This Row],[Annual Dividend Per Share]]&gt;0, SnapshotTable[[#This Row],[Annual Dividend Per Share]]  / SnapshotTable[[#This Row],[Last Price]], 0)</f>
        <v>0</v>
      </c>
      <c r="AH110" s="151">
        <v>43705</v>
      </c>
      <c r="AI110" s="5">
        <v>70</v>
      </c>
      <c r="AJ110" s="138">
        <v>31.35</v>
      </c>
      <c r="AK110" s="152">
        <f>IF(ISNUMBER( SnapshotTable[[#This Row],[EBF Target]]),(SnapshotTable[[#This Row],[EBF Target]] - SnapshotTable[[#This Row],[Last Price]]) / SnapshotTable[[#This Row],[Last Price]], "")</f>
        <v>-0.20930757935163222</v>
      </c>
      <c r="AL110" s="152" t="str">
        <f>IF(AND(SnapshotTable[[#This Row],[Equity Basis Total]] &gt; 0,ISNUMBER( SnapshotTable[[#This Row],[Long Term Target]])), SnapshotTable[[#This Row],[From Basis $]] / SnapshotTable[[#This Row],[Equity Basis Total]], "")</f>
        <v/>
      </c>
      <c r="AM110" s="9">
        <f>IF( AND(SnapshotTable[[#This Row],[Equity Shares]] &gt;0,ISNUMBER( SnapshotTable[[#This Row],[Long Term Target]])),(SnapshotTable[[#This Row],[Equity Shares]] * SnapshotTable[[#This Row],[Long Term Target]]) - SnapshotTable[[#This Row],[Equity Basis Total]],0)</f>
        <v>0</v>
      </c>
      <c r="AN110" s="9">
        <f>IF( AND(SnapshotTable[[#This Row],[Equity Shares]] &gt;0,ISNUMBER( SnapshotTable[[#This Row],[Long Term Target]])),(SnapshotTable[[#This Row],[Equity Shares]]*SnapshotTable[[#This Row],[Long Term Target]]) - SnapshotTable[[#This Row],[Equity Value]],0)</f>
        <v>0</v>
      </c>
      <c r="AO110" s="152">
        <f>IF(AND(ISNUMBER( SnapshotTable[[#This Row],[Long Term Target]]), ISNUMBER(SnapshotTable[[#This Row],[Last Price]])),(SnapshotTable[[#This Row],[Long Term Target]] - SnapshotTable[[#This Row],[Last Price]]) / SnapshotTable[[#This Row],[Last Price]], "")</f>
        <v>-0.64588275160962383</v>
      </c>
      <c r="AP110" s="5">
        <v>180</v>
      </c>
      <c r="AQ110" s="38" t="s">
        <v>46</v>
      </c>
      <c r="AR110" s="5">
        <v>160</v>
      </c>
      <c r="AS110" s="38" t="s">
        <v>26</v>
      </c>
      <c r="AT110" s="146"/>
      <c r="AU110" s="187" t="str">
        <f>IF(OR(SnapshotTable[[#This Row],[LP No Fill]]="Y",SnapshotTable[[#This Row],[SP Is Filled]],SnapshotTable[[#This Row],[LC Not Filled]]="Y",SnapshotTable[[#This Row],[SC Is Filled]]),"Y","")</f>
        <v/>
      </c>
      <c r="AV110" s="219"/>
      <c r="AW110" s="225"/>
      <c r="AX110" s="220"/>
      <c r="AY110" s="219" t="str">
        <f>IF(SnapshotTable[[#This Row],[Implied Move]]&gt;0, SnapshotTable[[#This Row],[Last Price]]-SnapshotTable[[#This Row],[Implied Move]],"")</f>
        <v/>
      </c>
      <c r="AZ110" s="219" t="str">
        <f>IF(SnapshotTable[[#This Row],[Implied Move]]&gt;0, SnapshotTable[[#This Row],[Last Price]] + SnapshotTable[[#This Row],[Implied Move]],"")</f>
        <v/>
      </c>
      <c r="BA110" s="331"/>
      <c r="BB110" s="347"/>
      <c r="BC11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0" s="351"/>
      <c r="BE110" s="5"/>
      <c r="BF110" s="14"/>
      <c r="BG110" s="13"/>
      <c r="BH110" s="13"/>
      <c r="BI110" s="5"/>
      <c r="BJ110" s="136">
        <f>IF(SnapshotTable[[#This Row],[LP Qty]] &gt; 0, SnapshotTable[[#This Row],[LP Qty]] * SnapshotTable[[#This Row],[LP Book Price]] * 100,0)</f>
        <v>0</v>
      </c>
      <c r="BK110" s="136">
        <f>IF(SnapshotTable[[#This Row],[LP Premium]] &gt; 0, SnapshotTable[[#This Row],[LP Qty]] * SnapshotTable[[#This Row],[LP Strike Price]] * 100,0)</f>
        <v>0</v>
      </c>
      <c r="BL110" s="154"/>
      <c r="BM110" s="385" t="str">
        <f>IF(SnapshotTable[[#This Row],[LP Premium]] &gt; 0,SnapshotTable[[#This Row],[LP Exp Date]]-MAX(SnapshotTable[[#This Row],[LP Book Date]], SnapshotTable[[#This Row],[LP Fill Date]]),"")</f>
        <v/>
      </c>
      <c r="BN110" s="385" t="str">
        <f>IF(ISNUMBER( SnapshotTable[[#This Row],[LP Term]]), SnapshotTable[[#This Row],[LP Exp Date]] - MockToday,"")</f>
        <v/>
      </c>
      <c r="BO110" s="163" t="str">
        <f>IF(AND(SnapshotTable[[#This Row],[LP Exp Date]]&gt;0, SnapshotTable[[#This Row],[LP Strike Price]]&gt;0,SnapshotTable[[#This Row],[LP Qty]]&gt;0,SnapshotTable[[#This Row],[LP Book Date]]&gt;0,SnapshotTable[[#This Row],[LP Book Price]]&gt;0,SnapshotTable[[#This Row],[LP Fill Date]]=0),"Y","")</f>
        <v/>
      </c>
      <c r="BP110" s="31" t="str">
        <f>IF(AND(SnapshotTable[[#This Row],[LP No Fill]]&lt;&gt;"Y",SnapshotTable[[#This Row],[LP Contract Value]]&gt;0, SnapshotTable[[#This Row],[LP Qty]]&gt;0), SnapshotTable[[#This Row],[LP Contract Value]]*SnapshotTable[[#This Row],[LP Qty]]*100,"")</f>
        <v/>
      </c>
      <c r="BQ110" s="13"/>
      <c r="BR110" s="5" t="str">
        <f>IF(SnapshotTable[[#This Row],[SP Exp Date]]&lt;&gt;"",TRUNC(SnapshotTable[[#This Row],[Last Price]]),"")</f>
        <v/>
      </c>
      <c r="BS110" s="36"/>
      <c r="BT110" s="147"/>
      <c r="BU110" s="13"/>
      <c r="BV110" s="5"/>
      <c r="BW110" s="419" t="b">
        <f>AND(ISNUMBER(SnapshotTable[[#This Row],[SP Exp Date]]), ISNUMBER(SnapshotTable[[#This Row],[SP Strike Price]]), ISNUMBER(SnapshotTable[[#This Row],[SP Qty]]), ISNUMBER(SnapshotTable[[#This Row],[SP Book Date]]), ISNUMBER(SnapshotTable[[#This Row],[SP Book Price]]))</f>
        <v>0</v>
      </c>
      <c r="BX110" s="419" t="b">
        <f>AND(SnapshotTable[[#This Row],[SP Is Booked]], NOT(ISBLANK(SnapshotTable[[#This Row],[SP Fill Date]])))</f>
        <v>0</v>
      </c>
      <c r="BY110" s="33">
        <f>IF(SnapshotTable[[#This Row],[SP Is Booked]], SnapshotTable[[#This Row],[SP Qty]] * SnapshotTable[[#This Row],[SP Book Price]] * 100, 0)</f>
        <v>0</v>
      </c>
      <c r="BZ110" s="369"/>
      <c r="CA110" s="368">
        <f>SnapshotTable[[#This Row],[LP Qty]]</f>
        <v>0</v>
      </c>
      <c r="CB110" s="4" t="str">
        <f>IF(SnapshotTable[[#This Row],[SP Is Booked]], SnapshotTable[[#This Row],[SP Strike Price]] - SnapshotTable[[#This Row],[SP Book Price]], "")</f>
        <v/>
      </c>
      <c r="CC110" s="19" t="str">
        <f>IF(SnapshotTable[[#This Row],[SP Is Booked]],SnapshotTable[[#This Row],[SP Exp Date]]-MAX(SnapshotTable[[#This Row],[SP Book Date]], SnapshotTable[[#This Row],[SP Fill Date]]),"")</f>
        <v/>
      </c>
      <c r="CD110" s="7" t="str">
        <f>IF(SnapshotTable[[#This Row],[SP Is Booked]], SnapshotTable[[#This Row],[SP Book Price]]/SnapshotTable[[#This Row],[SP Strike Price]], "")</f>
        <v/>
      </c>
      <c r="CE110" s="7" t="str">
        <f>IF(ISNUMBER(SnapshotTable[[#This Row],[SP ROO Term]]),SnapshotTable[[#This Row],[SP ROO Term]]*(365/SnapshotTable[[#This Row],[SP Term]]),"")</f>
        <v/>
      </c>
      <c r="CF110" s="236">
        <f>SnapshotTable[[#This Row],[LP Strike Price]] * SnapshotTable[[#This Row],[LP Qty]] * 100</f>
        <v>0</v>
      </c>
      <c r="CG110" s="31" t="e">
        <f>IF(ISNUMBER(SnapshotTable[[#This Row],[SP Premium]]), (SnapshotTable[[#This Row],[SP Qty]] * SnapshotTable[[#This Row],[SP Strike Price]]* 100) - SnapshotTable[[#This Row],[LP Protection]], 0)</f>
        <v>#VALUE!</v>
      </c>
      <c r="CH110" s="7" t="str">
        <f>IF(ISNUMBER(SnapshotTable[[#This Row],[SP Break Even]]),-1 * (SnapshotTable[[#This Row],[SP Break Even]] - SnapshotTable[[#This Row],[Last Price]]) / SnapshotTable[[#This Row],[Last Price]], "")</f>
        <v/>
      </c>
      <c r="CI110" s="31">
        <f>IF(AND(ISNUMBER((SnapshotTable[[#This Row],[SP Potential Spend]])), SnapshotTable[[#This Row],[SP Strike Price]] &gt; SnapshotTable[[#This Row],[Last Price]], SnapshotTable[[#This Row],[SP Is Filled]]), SnapshotTable[[#This Row],[SP Potential Spend]] -  SnapshotTable[[#This Row],[LP Max Value]], 0)</f>
        <v>0</v>
      </c>
      <c r="CJ110" s="244"/>
      <c r="CK110" s="31" t="str">
        <f>IF(ISNUMBER(SnapshotTable[[#This Row],[SP Potential Spend]]),IF(ISNUMBER(SnapshotTable[[#This Row],[SP POW]]), SnapshotTable[[#This Row],[SP POW]] * SnapshotTable[[#This Row],[SP Potential Spend]], SnapshotTable[[#This Row],[SP Potential Spend]]), "")</f>
        <v/>
      </c>
      <c r="CL110" s="164" t="e">
        <f>IF(NOT(SnapshotTable[[#This Row],[SP Is Filled]]),(SnapshotTable[[#This Row],[SP Qty]] * SnapshotTable[[#This Row],[SP Strike Price]] * 100) - SnapshotTable[[#This Row],[LP Max Value]],"")</f>
        <v>#VALUE!</v>
      </c>
      <c r="CM110" s="31" t="str">
        <f>IF(SnapshotTable[[#This Row],[SP Actual Spend]]&lt;&gt;0, ((SnapshotTable[[#This Row],[SP Strike Price]]-SnapshotTable[[#This Row],[Last Price]]) *(SnapshotTable[[#This Row],[SP Qty]]*100) - SnapshotTable[[#This Row],[SP Premium]]) * - 1, "")</f>
        <v/>
      </c>
      <c r="CN110" s="78"/>
      <c r="CO110" s="369"/>
      <c r="CP110" s="4" t="str">
        <f>IF(SnapshotTable[[#This Row],[SP Is Filled]], btc_max_buyback_amount(SnapshotTable[[#This Row],[SP Fill Date]],SnapshotTable[[#This Row],[SP Exp Date]], SnapshotTable[[#This Row],[SP Book Price]]),"")</f>
        <v/>
      </c>
      <c r="CQ110" s="78"/>
      <c r="CR11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0" s="155" t="str">
        <f>IF(SnapshotTable[[#This Row],[SP Is Filled]], btc_next_cutoff_date(SnapshotTable[[#This Row],[SP Fill Date]],SnapshotTable[[#This Row],[SP Exp Date]]),"")</f>
        <v/>
      </c>
      <c r="CT110" s="235" t="str" cm="1">
        <f t="array" ref="CT110">IF(SnapshotTable[[#This Row],[SP Is Filled]], btc_should_buy_back(SnapshotTable[[#This Row],[SP Fill Date]], SnapshotTable[[#This Row],[SP Exp Date]], SnapshotTable[[#This Row],[SP Book Price]], SnapshotTable[[#This Row],[SP Current Ask]], MockToday, SnapshotTable[[#This Row],[SP Buyback Override]]),"")</f>
        <v/>
      </c>
      <c r="CU110" s="143"/>
      <c r="CV110" s="235"/>
      <c r="CW110" s="378" t="str">
        <f>IF(ISNUMBER( SnapshotTable[[#This Row],[SP Term]]), SnapshotTable[[#This Row],[SP Exp Date]] - MockToday,"")</f>
        <v/>
      </c>
      <c r="CX110" s="31" t="str">
        <f>IF(SnapshotTable[[#This Row],[SP Is Filled]],SnapshotTable[[#This Row],[SP Buyback Price to Use]] * 100 * SnapshotTable[[#This Row],[SP Qty]], "")</f>
        <v/>
      </c>
      <c r="CY110" s="4" t="str">
        <f>IF(ISNUMBER(SnapshotTable[[#This Row],[SP Strike Price]]), SnapshotTable[[#This Row],[SP Strike Price]] * (1 - SP_MaxLoss_StrikePct), "")</f>
        <v/>
      </c>
      <c r="CZ110" s="31" t="str">
        <f>IF(ISNUMBER(SnapshotTable[[#This Row],[SP Strike  Stop Per Share]]),SnapshotTable[[#This Row],[SP Premium]] - ((SnapshotTable[[#This Row],[SP Strike Price]]-SnapshotTable[[#This Row],[SP Strike  Stop Per Share]]) *(SnapshotTable[[#This Row],[SP Qty]] * 100)),"")</f>
        <v/>
      </c>
      <c r="DA110" s="4" t="str">
        <f>IF(AND(ISNUMBER(SnapshotTable[[#This Row],[SP Premium]]),SnapshotTable[[#This Row],[SP Premium]]&gt;0), SnapshotTable[[#This Row],[SP Book Price]] * (1 + SP_MaxLoss_OptionPct), "")</f>
        <v/>
      </c>
      <c r="DB110" s="31" t="str">
        <f>IF(ISNUMBER(SnapshotTable[[#This Row],[SP Option  Stop Contract]]),(SnapshotTable[[#This Row],[SP Option  Stop Contract]] *(SnapshotTable[[#This Row],[SP Qty]] * 100) - SnapshotTable[[#This Row],[SP Premium]]),"")</f>
        <v/>
      </c>
      <c r="DC110" s="4"/>
      <c r="DD110" s="4"/>
      <c r="DE110" s="4" t="str">
        <f>IF(AND(SnapshotTable[[#This Row],[SP Qty]]&gt;0, SnapshotTable[[#This Row],[SP Stop To Use]]&gt;0),SnapshotTable[[#This Row],[SP Premium]] - ( SnapshotTable[[#This Row],[SP Qty]] * SnapshotTable[[#This Row],[SP Stop To Use]] * 100), "")</f>
        <v/>
      </c>
      <c r="DF110" s="31" t="str">
        <f>IF(AND(SnapshotTable[[#This Row],[SP Qty]]&gt;0,SnapshotTable[[#This Row],[SP Current Ask]]&gt;0), SnapshotTable[[#This Row],[SP Qty]] * SnapshotTable[[#This Row],[SP Current Ask]] * -100, "")</f>
        <v/>
      </c>
      <c r="DG110" s="31" t="str">
        <f>IF(ISNUMBER((SnapshotTable[[#This Row],[SP Total Value]])), SnapshotTable[[#This Row],[SP Premium]] + SnapshotTable[[#This Row],[SP Total Value]], "")</f>
        <v/>
      </c>
      <c r="DH110" s="294" t="str">
        <f>IF(ISNUMBER((SnapshotTable[[#This Row],[SP Total Value]])), SnapshotTable[[#This Row],[SP Gain Loss]] / SnapshotTable[[#This Row],[SP Premium]], "")</f>
        <v/>
      </c>
      <c r="DI110" s="406"/>
      <c r="DJ110" s="138"/>
      <c r="DK110" s="148"/>
      <c r="DL110" s="13"/>
      <c r="DM110" s="13"/>
      <c r="DO110" s="31">
        <f>IF(SnapshotTable[[#This Row],[LC Symbol Count]]=1, SnapshotTable[[#This Row],[LC Qty]] * SnapshotTable[[#This Row],[LC Book Price]] * 100, 0)</f>
        <v>0</v>
      </c>
      <c r="DP110" s="163" t="str">
        <f>IF(AND(SnapshotTable[[#This Row],[LC Exp Date]]&gt;0, SnapshotTable[[#This Row],[LC Strike Price]]&gt;0,SnapshotTable[[#This Row],[LC Qty]]&gt;0,SnapshotTable[[#This Row],[LC Book Date]]&gt;0,SnapshotTable[[#This Row],[LC Book Price]]&gt;0,SnapshotTable[[#This Row],[LC Fill Date]]=0),"Y","")</f>
        <v/>
      </c>
      <c r="DQ110" s="386" t="str">
        <f>IF(SnapshotTable[[#This Row],[LC Premium]] &gt; 0,SnapshotTable[[#This Row],[LC Exp Date]]-MAX(SnapshotTable[[#This Row],[LC Book Date]], SnapshotTable[[#This Row],[LC Fill Date]]),"")</f>
        <v/>
      </c>
      <c r="DR110" s="386" t="str">
        <f>IF(ISNUMBER(SnapshotTable[[#This Row],[LC Term]]), SnapshotTable[[#This Row],[LC Exp Date]] - MockToday, "")</f>
        <v/>
      </c>
      <c r="DS110" s="234" t="str">
        <f>IF(SnapshotTable[[#This Row],[LC Premium]]&gt;0,SnapshotTable[[#This Row],[LC Strike Price]] + SnapshotTable[[#This Row],[LC Book Price]],"")</f>
        <v/>
      </c>
      <c r="DU110" s="9" t="str">
        <f>IF(AND(SnapshotTable[[#This Row],[LC Symbol Count]]&gt;0, SnapshotTable[[#This Row],[LC Contract Value]]&gt;0), SnapshotTable[[#This Row],[LC Contract Value]] * SnapshotTable[[#This Row],[LC Qty]] * 100, "")</f>
        <v/>
      </c>
      <c r="DV110" s="9" t="str">
        <f>IF(AND(ISNUMBER(SnapshotTable[[#This Row],[LC Total Value]]), SnapshotTable[[#This Row],[LC Not Filled]]&lt;&gt;"Y"), SnapshotTable[[#This Row],[LC Total Value]]-SnapshotTable[[#This Row],[LC Premium]],"")</f>
        <v/>
      </c>
      <c r="DW110" s="240" t="str">
        <f>IF(ISNUMBER(SnapshotTable[[#This Row],[LC Actual Gain Loss]]), SnapshotTable[[#This Row],[LC Actual Gain Loss]] / SnapshotTable[[#This Row],[LC Premium]],"")</f>
        <v/>
      </c>
      <c r="DX110" s="284" t="str">
        <f>IF(ISNUMBER(SnapshotTable[[#This Row],[LC Book Price]]),SnapshotTable[[#This Row],[LC Book Price]] * 1.5,"")</f>
        <v/>
      </c>
      <c r="DY110" s="265" t="str">
        <f>IF(SnapshotTable[[#This Row],[LC Premium]]&gt;0, SnapshotTable[[#This Row],[LC Next Target]] * SnapshotTable[[#This Row],[LC Qty]] * 100,"")</f>
        <v/>
      </c>
      <c r="DZ110" s="265" t="str">
        <f>IF(ISNUMBER(SnapshotTable[[#This Row],[LC Target Gross]]), SnapshotTable[[#This Row],[LC Target Gross]] - SnapshotTable[[#This Row],[LC Premium]], "")</f>
        <v/>
      </c>
      <c r="EA110" s="305" t="str">
        <f>IF(ISNUMBER(SnapshotTable[[#This Row],[LC Target Gain Loss]]), SnapshotTable[[#This Row],[LC Target Gain Loss]]/SnapshotTable[[#This Row],[LC Premium]], "")</f>
        <v/>
      </c>
      <c r="EB110" s="262"/>
      <c r="EC110" s="283" t="str">
        <f>IF(SnapshotTable[[#This Row],[LC Premium]]&gt;0, SnapshotTable[[#This Row],[LC Book Price]] * (1 - LC_StopLoss_Pct),"")</f>
        <v/>
      </c>
      <c r="ED110" s="284"/>
      <c r="EE110" s="283" t="str">
        <f>IF(ISNUMBER(SnapshotTable[[#This Row],[LC Contract Value]]),IF(ISNUMBER(SnapshotTable[[#This Row],[LC Stop Loss Override]]), SnapshotTable[[#This Row],[LC Stop Loss Override]],SnapshotTable[[#This Row],[LC Stop Loss Calc Target]]),"")</f>
        <v/>
      </c>
      <c r="EF110" s="31" t="str">
        <f>IF(ISNUMBER(SnapshotTable[[#This Row],[LC Stop  To Use]]), (SnapshotTable[[#This Row],[LC Stop  To Use]] * SnapshotTable[[#This Row],[LC Qty]] * 100),"")</f>
        <v/>
      </c>
      <c r="EG110" s="9" t="str">
        <f>IF(ISNUMBER(SnapshotTable[[#This Row],[LC Total Value]]),SnapshotTable[[#This Row],[LC Stop Loss Amount]] - SnapshotTable[[#This Row],[LC Premium]],"")</f>
        <v/>
      </c>
      <c r="EH110" s="9">
        <f>IF(ISNUMBER(SnapshotTable[[#This Row],[LC Premium]]), SnapshotTable[[#This Row],[LC Qty]] * 100 * SnapshotTable[[#This Row],[LC Strike Price]], "")</f>
        <v>0</v>
      </c>
      <c r="EI110" s="240" t="str">
        <f>IF(AND(ISNUMBER(SnapshotTable[[#This Row],[LC Total Value]]),SnapshotTable[[#This Row],[LC Total Value]]&gt;0),SnapshotTable[[#This Row],[LC Stop Gain Loss]]  / SnapshotTable[[#This Row],[LC Premium]],"")</f>
        <v/>
      </c>
      <c r="EJ110" s="35">
        <f>IF(ISNUMBER(SnapshotTable[[#This Row],[Equity Shares]]),TRUNC(SnapshotTable[[#This Row],[Equity Shares]] / 100),0) + SnapshotTable[[#This Row],[LC Qty]]</f>
        <v>0</v>
      </c>
      <c r="EK110" s="147"/>
      <c r="EL110" s="138" t="str">
        <f>IF(SnapshotTable[[#This Row],[SC Exp Date]]&lt;&gt;"",TRUNC(SnapshotTable[[#This Row],[Last Price]]),"")</f>
        <v/>
      </c>
      <c r="EM110" s="148"/>
      <c r="EN110" s="147"/>
      <c r="EO110" s="147"/>
      <c r="EP110" s="138"/>
      <c r="EQ110" s="419" t="b">
        <f>AND(ISNUMBER(SnapshotTable[[#This Row],[SC Exp Date]]), ISNUMBER(SnapshotTable[[#This Row],[SC Strike Price]]), ISNUMBER(SnapshotTable[[#This Row],[SC Qty]]), ISNUMBER(SnapshotTable[[#This Row],[SC Book Date]]), ISNUMBER(SnapshotTable[[#This Row],[SC Book Price]]))</f>
        <v>0</v>
      </c>
      <c r="ER110" s="419" t="b">
        <f>AND(SnapshotTable[[#This Row],[SC Is Booked]], NOT(ISBLANK(SnapshotTable[[#This Row],[SC Fill Date]])))</f>
        <v>0</v>
      </c>
      <c r="ES110" s="370"/>
      <c r="ET110" s="34" t="str">
        <f>IF(AND(ISNUMBER(SnapshotTable[[#This Row],[SC Exp Date]]), ISNUMBER(SnapshotTable[[#This Row],[SC Book Date]])), SnapshotTable[[#This Row],[SC Exp Date]] - MAX(SnapshotTable[[#This Row],[SC Book Date]], SnapshotTable[[#This Row],[SC Fill Date]]) + 1, "")</f>
        <v/>
      </c>
      <c r="EU110" s="34" t="str">
        <f>IF(ISNUMBER(SnapshotTable[[#This Row],[SC Term]]), SnapshotTable[[#This Row],[SC Exp Date]]- MockToday, "")</f>
        <v/>
      </c>
      <c r="EV110" s="31">
        <f>IF(SnapshotTable[[#This Row],[SC Is Booked]], SnapshotTable[[#This Row],[SC Qty]] * SnapshotTable[[#This Row],[SC Book Price]] * 100, 0)</f>
        <v>0</v>
      </c>
      <c r="EW110" s="4" t="str">
        <f>IF(AND(ISNUMBER(SnapshotTable[[#This Row],[Last Price]]), ISNUMBER( SnapshotTable[[#This Row],[SC Book Price]])), SnapshotTable[[#This Row],[Last Price]] - SnapshotTable[[#This Row],[SC Book Price]],"")</f>
        <v/>
      </c>
      <c r="EX110" s="234" t="str">
        <f>IF(SnapshotTable[[#This Row],[SC Is Booked]],IF(SnapshotTable[[#This Row],[SC Intrinsic Value]] &gt; 0, SnapshotTable[[#This Row],[SC Strike Price]], SnapshotTable[[#This Row],[Last Price]]), "")</f>
        <v/>
      </c>
      <c r="EY110" s="4">
        <f>IF(SnapshotTable[[#This Row],[SC Is Booked]], (MinimumPremiumRequired * SnapshotTable[[#This Row],[SC Basis]] * SnapshotTable[[#This Row],[SC Term]]), 0)</f>
        <v>0</v>
      </c>
      <c r="EZ110" s="283"/>
      <c r="FA110" s="218"/>
      <c r="FB110" s="370"/>
      <c r="FC110" s="4">
        <f>IF(SnapshotTable[[#This Row],[SC Is Filled]], btc_max_buyback_amount(SnapshotTable[[#This Row],[SC Fill Date]],SnapshotTable[[#This Row],[SC Exp Date]], SnapshotTable[[#This Row],[SC Book Price]]),0)</f>
        <v>0</v>
      </c>
      <c r="FD110" s="5"/>
      <c r="FE110" s="144" t="str">
        <f>IF(SnapshotTable[[#This Row],[SC Is Filled]], btc_next_cutoff_date(SnapshotTable[[#This Row],[SC Fill Date]],SnapshotTable[[#This Row],[SC Exp Date]]),"")</f>
        <v/>
      </c>
      <c r="FF110" s="4" t="str" cm="1">
        <f t="array" ref="FF110">IF(SnapshotTable[[#This Row],[SC Is Filled]], btc_should_buy_back(SnapshotTable[[#This Row],[SC Fill Date]], SnapshotTable[[#This Row],[SC Exp Date]], SnapshotTable[[#This Row],[SC Book Price]], SnapshotTable[[#This Row],[SC Current Ask]], MockToday, SnapshotTable[[#This Row],[SC Buyback Override]]),"")</f>
        <v/>
      </c>
      <c r="FG110" s="4">
        <f>IF(SnapshotTable[[#This Row],[SC Is Filled]], MAX(0,SnapshotTable[[#This Row],[Last Price]]  - SnapshotTable[[#This Row],[SC Strike Price]]), 0)</f>
        <v>0</v>
      </c>
      <c r="FH110" s="382">
        <f>IF(SnapshotTable[[#This Row],[SC Is Filled]], IF(ISNUMBER(SnapshotTable[[#This Row],[SC Current Ask]]), SnapshotTable[[#This Row],[SC Current Ask]], SnapshotTable[[#This Row],[SC Book Price]]) - SnapshotTable[[#This Row],[SC Intrinsic Value]], 0)</f>
        <v>0</v>
      </c>
      <c r="FI110" s="143"/>
      <c r="FJ110" s="32" t="str">
        <f>IF(SnapshotTable[[#This Row],[SC Is Filled]],100 * SnapshotTable[[#This Row],[SC Qty]] * IF(ISNUMBER(SnapshotTable[[#This Row],[SC Buyback Override]]), SnapshotTable[[#This Row],[SC Buyback Override]], SnapshotTable[[#This Row],[SC Current Ask]]), "")</f>
        <v/>
      </c>
      <c r="FK110" s="250" t="str">
        <f>IF(SnapshotTable[[#This Row],[SC Time Val]]&gt;0, SnapshotTable[[#This Row],[SC Time Val]] / SnapshotTable[[#This Row],[Last Price]],"")</f>
        <v/>
      </c>
      <c r="FL110" s="302" t="str">
        <f>IF(SnapshotTable[[#This Row],[SC Is Booked]], ((SnapshotTable[[#This Row],[Last Price]] -SnapshotTable[[#This Row],[SC Strike Price]]) / SnapshotTable[[#This Row],[Last Price]]) * -1, "")</f>
        <v/>
      </c>
      <c r="FM110" s="157" t="str">
        <f>IF(SnapshotTable[[#This Row],[SC Is Booked]],  (SnapshotTable[[#This Row],[SC Qty]] * 100 * SnapshotTable[[#This Row],[SC Strike Price]]) - SnapshotTable[[#This Row],[SC Current Ask]], "")</f>
        <v/>
      </c>
      <c r="FN11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0" s="31" t="str">
        <f>IF(AND(ISNUMBER(SnapshotTable[[#This Row],[SC Exercise Gross]]), ISNUMBER(SnapshotTable[[#This Row],[Equity Basis Per Share]] )), SnapshotTable[[#This Row],[SC Exercise Gross]] - SnapshotTable[[#This Row],[Equity Basis Total]] +  SnapshotTable[[#This Row],[SC Premium]], "")</f>
        <v/>
      </c>
      <c r="FP110" s="5" t="str">
        <f>IF(ISNUMBER(SnapshotTable[[#This Row],[SC Exercise Gross]]), (SnapshotTable[[#This Row],[SC Exercise Gross]]) / (SnapshotTable[[#This Row],[SC Qty]] * 100), "")</f>
        <v/>
      </c>
      <c r="FQ110" s="27" t="str">
        <f>IF(SnapshotTable[[#This Row],[SC Is Booked]],SnapshotTable[[#This Row],[SC Time Val]] /SnapshotTable[[#This Row],[SC Basis]], "")</f>
        <v/>
      </c>
      <c r="FR110" s="27" t="str" cm="1">
        <f t="array" ref="FR110">IF(AND(ISNUMBER(SnapshotTable[[#This Row],[SC Term]]),ISNUMBER(SnapshotTable[[#This Row],[SC Simple ROO]])), EllmanAnnualize(SnapshotTable[[#This Row],[SC DTE]], SnapshotTable[[#This Row],[SC Simple ROO]] ),"")</f>
        <v/>
      </c>
      <c r="FS110" s="4" t="e">
        <f>IF(SnapshotTable[[#This Row],[SC Strike Price]] &gt; SnapshotTable[[#This Row],[Last Price]], SnapshotTable[[#This Row],[SC Strike Price]] - SnapshotTable[[#This Row],[Last Price]],0)</f>
        <v>#VALUE!</v>
      </c>
      <c r="FT110" s="27" t="e">
        <f>IF(AND(ISNUMBER(SnapshotTable[[#This Row],[SC Upside Potential]]), SnapshotTable[[#This Row],[SC Upside Potential]] &gt; 0),(SnapshotTable[[#This Row],[SC Upside Potential]]/ SnapshotTable[[#This Row],[ACB]]),"")</f>
        <v>#VALUE!</v>
      </c>
      <c r="FU110" s="333" t="str">
        <f>IF(SnapshotTable[[#This Row],[SC Intrinsic Value]] &gt; 0,SnapshotTable[[#This Row],[SC Intrinsic Value]],"")</f>
        <v/>
      </c>
      <c r="FV110" s="27" t="str">
        <f>IF(AND( ISNUMBER( SnapshotTable[[#This Row],[ACB]]),ISNUMBER(SnapshotTable[[#This Row],[SC Downside Protect]])),SnapshotTable[[#This Row],[SC Downside Protect]] / SnapshotTable[[#This Row],[ACB]],"")</f>
        <v/>
      </c>
      <c r="FW110" s="236" t="str">
        <f>IF(AND(ISNUMBER(SnapshotTable[[#This Row],[SC Simple ROO]]),SnapshotTable[[#This Row],[SC Simple ROO]] &gt; 0), SnapshotTable[[#This Row],[SC Premium]] + (SnapshotTable[[#This Row],[SC Qty]] * SnapshotTable[[#This Row],[SC Upside Potential]]), "")</f>
        <v/>
      </c>
      <c r="FX110" s="302" t="str" cm="1">
        <f t="array" ref="FX110">IF(ISNUMBER(SnapshotTable[[#This Row],[SC Max Dollars]]), annualize(SnapshotTable[[#This Row],[SC Term]],(SnapshotTable[[#This Row],[SC Max Dollars]]/SnapshotTable[[#This Row],[SC Basis]])),"")</f>
        <v/>
      </c>
      <c r="FY110" s="236" t="str">
        <f>IF(AND(SnapshotTable[[#This Row],[SC Qty]]&gt;0,SnapshotTable[[#This Row],[SC Current Ask]]&gt;0), SnapshotTable[[#This Row],[SC Qty]] * SnapshotTable[[#This Row],[SC Current Ask]] * -100, "")</f>
        <v/>
      </c>
      <c r="FZ110" s="31" t="str">
        <f>IF(ISNUMBER((SnapshotTable[[#This Row],[SC Current Value]])), SnapshotTable[[#This Row],[SC Premium]] + SnapshotTable[[#This Row],[SC Current Value]], "")</f>
        <v/>
      </c>
      <c r="GA110" s="294" t="str">
        <f>IFERROR( IF(ISNUMBER((SnapshotTable[[#This Row],[SC Current Value]])), SnapshotTable[[#This Row],[SC Gain Loss]] / SnapshotTable[[#This Row],[SC Premium]], ""), "")</f>
        <v/>
      </c>
      <c r="GB110" s="42">
        <f>SnapshotTable[[#This Row],[Equity Shares]] * SaleSharesToConsiderPercentage</f>
        <v>0</v>
      </c>
      <c r="GC110" s="40">
        <f>SnapshotTable[[#This Row],[Long Term Target]] * SellingPriceToConsiderBasedOnTargetPercentage</f>
        <v>29.782499999999999</v>
      </c>
      <c r="GD110" s="40">
        <f>SnapshotTable[[#This Row],[Last Price]] * (1+ SellingPriceToConsiderBasedOnTargetPercentage)</f>
        <v>172.6335</v>
      </c>
      <c r="GE110" s="41"/>
      <c r="GF110" s="40"/>
      <c r="GG110" s="31">
        <f>SnapshotTable[[#This Row],[Booked Sale Shares]] * SnapshotTable[[#This Row],[Booked Sale Price]]</f>
        <v>0</v>
      </c>
      <c r="GH110" s="31" t="str">
        <f>IF(SnapshotTable[[#This Row],[Equity Basis Total]] &gt; 0, SnapshotTable[[#This Row],[Equity Basis Per Share]] * SnapshotTable[[#This Row],[Booked Sale Shares]], "")</f>
        <v/>
      </c>
      <c r="GI110" s="31">
        <f>IF(SnapshotTable[[#This Row],[Sale Proceeds]]&gt;0, SnapshotTable[[#This Row],[Sale Proceeds]] - SnapshotTable[[#This Row],[Sale Basis]], 0)</f>
        <v>0</v>
      </c>
      <c r="GJ110" s="27" t="str">
        <f>IF(SnapshotTable[[#This Row],[Sale G/L]]&gt;0, SnapshotTable[[#This Row],[Sale G/L]] / SnapshotTable[[#This Row],[Sale Basis]], IF(ISNUMBER(SnapshotTable[[#This Row],[SC Exercise P&amp;L (TAX)]]), SnapshotTable[[#This Row],[SC Exercise P&amp;L (TAX)]] / SnapshotTable[[#This Row],[SC Basis]], ""))</f>
        <v/>
      </c>
      <c r="GK110" s="27" t="s">
        <v>677</v>
      </c>
      <c r="GL110" s="43" t="str">
        <f>IF(AND(SnapshotTable[[#This Row],[LP Exp Date]]&gt;0,SnapshotTable[[#This Row],[LP Strike Price]]&gt;0), [1]!ToOptionSymbol(SnapshotTable[[#This Row],[Symbol]], SnapshotTable[[#This Row],[LP Strike Price]],SnapshotTable[[#This Row],[LP Exp Date]],1), "")</f>
        <v/>
      </c>
      <c r="GM110" s="30" t="str">
        <f>IF(LEN(SnapshotTable[[#This Row],[LP Symbol]])&gt;0, 1, "")</f>
        <v/>
      </c>
      <c r="GN110" s="43" t="str">
        <f>IF(AND(SnapshotTable[[#This Row],[SP Exp Date]]&gt;0,SnapshotTable[[#This Row],[SP Strike Price]]&gt;0), [1]!ToOptionSymbol(SnapshotTable[[#This Row],[Symbol]], SnapshotTable[[#This Row],[SP Strike Price]],SnapshotTable[[#This Row],[SP Exp Date]],1), "")</f>
        <v/>
      </c>
      <c r="GO110" s="30" t="str">
        <f>IF(LEN(SnapshotTable[[#This Row],[SP Symbol]])&gt;0, 1, "")</f>
        <v/>
      </c>
      <c r="GP110" s="43" t="str">
        <f>IF(AND(SnapshotTable[[#This Row],[LC Exp Date]]&gt;0,SnapshotTable[[#This Row],[LC Strike Price]]&gt;0), [1]!ToOptionSymbol(SnapshotTable[[#This Row],[Symbol]], SnapshotTable[[#This Row],[LC Strike Price]],SnapshotTable[[#This Row],[LC Exp Date]],0), "")</f>
        <v/>
      </c>
      <c r="GQ110" s="30" t="str">
        <f>IF(LEN(SnapshotTable[[#This Row],[LC Symbol]])&gt;0, 1, "")</f>
        <v/>
      </c>
      <c r="GR110" s="43" t="str">
        <f>IF(AND(SnapshotTable[[#This Row],[SC Exp Date]]&gt;0,SnapshotTable[[#This Row],[SC Strike Price]]&gt;0), [1]!ToOptionSymbol(SnapshotTable[[#This Row],[Symbol]], SnapshotTable[[#This Row],[SC Strike Price]],SnapshotTable[[#This Row],[SC Exp Date]],0), "")</f>
        <v/>
      </c>
      <c r="GS110" s="30" t="str">
        <f>IF(LEN(SnapshotTable[[#This Row],[SC Symbol]])&gt;0, 1, "")</f>
        <v/>
      </c>
      <c r="GT110" s="29" t="str">
        <f>IF(COUNT(SnapshotTable[[#This Row],[LP Symbol Count]],SnapshotTable[[#This Row],[SP Symbol Count]],SnapshotTable[[#This Row],[LC Symbol Count]],SnapshotTable[[#This Row],[SC Symbol Count]])&gt;0, "Y", "")</f>
        <v/>
      </c>
      <c r="GU11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0" s="231" t="e">
        <f>MAX(SnapshotTable[[#This Row],[Equity Basis Total]],SnapshotTable[[#This Row],[Equity Value]]) + (SnapshotTable[[#This Row],[SP Potential Spend]]- SnapshotTable[[#This Row],[SP Premium]] + SnapshotTable[[#This Row],[LP Premium]])+ (SnapshotTable[[#This Row],[LC Premium]] - SnapshotTable[[#This Row],[SC Premium]])</f>
        <v>#VALUE!</v>
      </c>
      <c r="GW110" s="139" t="e">
        <f>IF(AND(SnapshotTable[[#This Row],[Exposure]] &lt;&gt; 0),SnapshotTable[[#This Row],[Exposure]] / SnapshotTable[[#Totals],[Exposure]], "")</f>
        <v>#VALUE!</v>
      </c>
      <c r="HE110" s="268"/>
      <c r="HF110" s="268"/>
      <c r="HK110" s="1"/>
      <c r="HL110" s="1"/>
      <c r="HM110" s="1"/>
      <c r="HN110" s="1"/>
      <c r="HO110" s="1"/>
      <c r="HP110" s="1"/>
    </row>
    <row r="111" spans="2:224" ht="12.75" hidden="1" customHeight="1" x14ac:dyDescent="0.25">
      <c r="B111" s="12" t="s">
        <v>56</v>
      </c>
      <c r="C111" s="422">
        <v>396.81</v>
      </c>
      <c r="D111" s="208"/>
      <c r="E111" s="39">
        <f>SnapshotTable[[#This Row],[Last Price]]*(1 -CrashDiscount)</f>
        <v>337.2885</v>
      </c>
      <c r="F111" s="26" t="s">
        <v>614</v>
      </c>
      <c r="G111" s="26" t="s">
        <v>9</v>
      </c>
      <c r="H111" s="149"/>
      <c r="I111" s="194">
        <v>44798.291666666664</v>
      </c>
      <c r="J111" s="195">
        <v>44798.291666666664</v>
      </c>
      <c r="K111" s="196"/>
      <c r="L111" s="326"/>
      <c r="M111" s="140">
        <v>2</v>
      </c>
      <c r="N111" s="140" t="b">
        <v>1</v>
      </c>
      <c r="O111" s="140">
        <v>2</v>
      </c>
      <c r="P111" s="22"/>
      <c r="Q111" s="25"/>
      <c r="R111" s="4" t="str">
        <f>IF(SnapshotTable[[#This Row],[Equity Basis Total]] &gt; 0, SnapshotTable[[#This Row],[Equity Basis Total]] / SnapshotTable[[#This Row],[Equity Shares]], "")</f>
        <v/>
      </c>
      <c r="S111" s="269">
        <f>SnapshotTable[[#This Row],[Last Price]] * SnapshotTable[[#This Row],[Equity Shares]]</f>
        <v>0</v>
      </c>
      <c r="T111" s="269">
        <f>SnapshotTable[[#This Row],[Equity Value]] - SnapshotTable[[#This Row],[Equity Basis Total]]</f>
        <v>0</v>
      </c>
      <c r="U111" s="270" t="str">
        <f>IF(SnapshotTable[[#This Row],[Equity Basis Total]] &gt; 0, SnapshotTable[[#This Row],[Equity G/L]] / SnapshotTable[[#This Row],[Equity Basis Total]], "")</f>
        <v/>
      </c>
      <c r="V111" s="268"/>
      <c r="W111" s="268"/>
      <c r="X111" s="4" t="str">
        <f>IF(AND(ISNUMBER(SnapshotTable[[#This Row],[Equity Basis Per Share]]),ISNUMBER(SnapshotTable[[#This Row],[Equity Target]])),SnapshotTable[[#This Row],[Equity Target]]-SnapshotTable[[#This Row],[Equity Basis Per Share]],"")</f>
        <v/>
      </c>
      <c r="Y111" s="4" t="str">
        <f>IF(AND(ISNUMBER(SnapshotTable[[#This Row],[Equity Basis Per Share]]),ISNUMBER(SnapshotTable[[#This Row],[Equity Stop Loss]])),SnapshotTable[[#This Row],[Equity Stop Loss]]-SnapshotTable[[#This Row],[Equity Basis Per Share]],"")</f>
        <v/>
      </c>
      <c r="Z111" s="275" t="str">
        <f>IFERROR( TEXT(SnapshotTable[[#This Row],[Equity Max Gain Per Share]] /ABS( SnapshotTable[[#This Row],[Equity Max Loss Per Share]]),"0.0 " ) &amp; " : 1", "")</f>
        <v/>
      </c>
      <c r="AA111" s="31" t="str">
        <f>IF(ISNUMBER(SnapshotTable[[#This Row],[Equity Max Gain Per Share]]),SnapshotTable[[#This Row],[Equity Max Gain Per Share]] * SnapshotTable[[#This Row],[Equity Shares]],"")</f>
        <v/>
      </c>
      <c r="AB111" s="31" t="str">
        <f>IF(ISNUMBER(SnapshotTable[[#This Row],[Equity Max Loss Per Share]]),SnapshotTable[[#This Row],[Equity Max Loss Per Share]] * SnapshotTable[[#This Row],[Equity Shares]],"")</f>
        <v/>
      </c>
      <c r="AC111" s="150">
        <v>4.08</v>
      </c>
      <c r="AD111" s="151">
        <v>43008</v>
      </c>
      <c r="AE111" s="31">
        <f>(SnapshotTable[[#This Row],[Annual Dividend Per Share]] / 4) * SnapshotTable[[#This Row],[Equity Shares]]</f>
        <v>0</v>
      </c>
      <c r="AF111" s="31">
        <f>SnapshotTable[[#This Row],[Quarterly Div $]] * 4</f>
        <v>0</v>
      </c>
      <c r="AG111" s="7">
        <f>IF(SnapshotTable[[#This Row],[Annual Dividend Per Share]]&gt;0, SnapshotTable[[#This Row],[Annual Dividend Per Share]]  / SnapshotTable[[#This Row],[Last Price]], 0)</f>
        <v>1.0281998941558932E-2</v>
      </c>
      <c r="AH111" s="151">
        <v>43266</v>
      </c>
      <c r="AI111" s="5">
        <v>345</v>
      </c>
      <c r="AJ111" s="138">
        <v>476.54</v>
      </c>
      <c r="AK111" s="152">
        <f>IF(ISNUMBER( SnapshotTable[[#This Row],[EBF Target]]),(SnapshotTable[[#This Row],[EBF Target]] - SnapshotTable[[#This Row],[Last Price]]) / SnapshotTable[[#This Row],[Last Price]], "")</f>
        <v>-0.13056626597111967</v>
      </c>
      <c r="AL111" s="152" t="str">
        <f>IF(AND(SnapshotTable[[#This Row],[Equity Basis Total]] &gt; 0,ISNUMBER( SnapshotTable[[#This Row],[Long Term Target]])), SnapshotTable[[#This Row],[From Basis $]] / SnapshotTable[[#This Row],[Equity Basis Total]], "")</f>
        <v/>
      </c>
      <c r="AM111" s="9">
        <f>IF( AND(SnapshotTable[[#This Row],[Equity Shares]] &gt;0,ISNUMBER( SnapshotTable[[#This Row],[Long Term Target]])),(SnapshotTable[[#This Row],[Equity Shares]] * SnapshotTable[[#This Row],[Long Term Target]]) - SnapshotTable[[#This Row],[Equity Basis Total]],0)</f>
        <v>0</v>
      </c>
      <c r="AN111" s="9">
        <f>IF( AND(SnapshotTable[[#This Row],[Equity Shares]] &gt;0,ISNUMBER( SnapshotTable[[#This Row],[Long Term Target]])),(SnapshotTable[[#This Row],[Equity Shares]]*SnapshotTable[[#This Row],[Long Term Target]]) - SnapshotTable[[#This Row],[Equity Value]],0)</f>
        <v>0</v>
      </c>
      <c r="AO111" s="152">
        <f>IF(AND(ISNUMBER( SnapshotTable[[#This Row],[Long Term Target]]), ISNUMBER(SnapshotTable[[#This Row],[Last Price]])),(SnapshotTable[[#This Row],[Long Term Target]] - SnapshotTable[[#This Row],[Last Price]]) / SnapshotTable[[#This Row],[Last Price]], "")</f>
        <v>0.20092739598296419</v>
      </c>
      <c r="AP111" s="5">
        <v>8</v>
      </c>
      <c r="AQ111" s="38" t="s">
        <v>27</v>
      </c>
      <c r="AR111" s="5">
        <v>8</v>
      </c>
      <c r="AS111" s="38" t="s">
        <v>38</v>
      </c>
      <c r="AT111" s="146" t="s">
        <v>542</v>
      </c>
      <c r="AU111" s="187" t="str">
        <f>IF(OR(SnapshotTable[[#This Row],[LP No Fill]]="Y",SnapshotTable[[#This Row],[SP Is Filled]],SnapshotTable[[#This Row],[LC Not Filled]]="Y",SnapshotTable[[#This Row],[SC Is Filled]]),"Y","")</f>
        <v/>
      </c>
      <c r="AV111" s="219"/>
      <c r="AW111" s="225"/>
      <c r="AX111" s="220"/>
      <c r="AY111" s="219" t="str">
        <f>IF(SnapshotTable[[#This Row],[Implied Move]]&gt;0, SnapshotTable[[#This Row],[Last Price]]-SnapshotTable[[#This Row],[Implied Move]],"")</f>
        <v/>
      </c>
      <c r="AZ111" s="219" t="str">
        <f>IF(SnapshotTable[[#This Row],[Implied Move]]&gt;0, SnapshotTable[[#This Row],[Last Price]] + SnapshotTable[[#This Row],[Implied Move]],"")</f>
        <v/>
      </c>
      <c r="BA111" s="331">
        <v>232.5</v>
      </c>
      <c r="BB111" s="347"/>
      <c r="BC11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1" s="351"/>
      <c r="BE111" s="5"/>
      <c r="BF111" s="14"/>
      <c r="BG111" s="13"/>
      <c r="BH111" s="13"/>
      <c r="BI111" s="5"/>
      <c r="BJ111" s="136">
        <f>IF(SnapshotTable[[#This Row],[LP Qty]] &gt; 0, SnapshotTable[[#This Row],[LP Qty]] * SnapshotTable[[#This Row],[LP Book Price]] * 100,0)</f>
        <v>0</v>
      </c>
      <c r="BK111" s="136">
        <f>IF(SnapshotTable[[#This Row],[LP Premium]] &gt; 0, SnapshotTable[[#This Row],[LP Qty]] * SnapshotTable[[#This Row],[LP Strike Price]] * 100,0)</f>
        <v>0</v>
      </c>
      <c r="BL111" s="154"/>
      <c r="BM111" s="385" t="str">
        <f>IF(SnapshotTable[[#This Row],[LP Premium]] &gt; 0,SnapshotTable[[#This Row],[LP Exp Date]]-MAX(SnapshotTable[[#This Row],[LP Book Date]], SnapshotTable[[#This Row],[LP Fill Date]]),"")</f>
        <v/>
      </c>
      <c r="BN111" s="385" t="str">
        <f>IF(ISNUMBER( SnapshotTable[[#This Row],[LP Term]]), SnapshotTable[[#This Row],[LP Exp Date]] - MockToday,"")</f>
        <v/>
      </c>
      <c r="BO111" s="163" t="str">
        <f>IF(AND(SnapshotTable[[#This Row],[LP Exp Date]]&gt;0, SnapshotTable[[#This Row],[LP Strike Price]]&gt;0,SnapshotTable[[#This Row],[LP Qty]]&gt;0,SnapshotTable[[#This Row],[LP Book Date]]&gt;0,SnapshotTable[[#This Row],[LP Book Price]]&gt;0,SnapshotTable[[#This Row],[LP Fill Date]]=0),"Y","")</f>
        <v/>
      </c>
      <c r="BP111" s="31" t="str">
        <f>IF(AND(SnapshotTable[[#This Row],[LP No Fill]]&lt;&gt;"Y",SnapshotTable[[#This Row],[LP Contract Value]]&gt;0, SnapshotTable[[#This Row],[LP Qty]]&gt;0), SnapshotTable[[#This Row],[LP Contract Value]]*SnapshotTable[[#This Row],[LP Qty]]*100,"")</f>
        <v/>
      </c>
      <c r="BQ111" s="13"/>
      <c r="BR111" s="5" t="str">
        <f>IF(SnapshotTable[[#This Row],[SP Exp Date]]&lt;&gt;"",TRUNC(SnapshotTable[[#This Row],[Last Price]]),"")</f>
        <v/>
      </c>
      <c r="BS111" s="36"/>
      <c r="BT111" s="147"/>
      <c r="BU111" s="13"/>
      <c r="BV111" s="5"/>
      <c r="BW111" s="419" t="b">
        <f>AND(ISNUMBER(SnapshotTable[[#This Row],[SP Exp Date]]), ISNUMBER(SnapshotTable[[#This Row],[SP Strike Price]]), ISNUMBER(SnapshotTable[[#This Row],[SP Qty]]), ISNUMBER(SnapshotTable[[#This Row],[SP Book Date]]), ISNUMBER(SnapshotTable[[#This Row],[SP Book Price]]))</f>
        <v>0</v>
      </c>
      <c r="BX111" s="419" t="b">
        <f>AND(SnapshotTable[[#This Row],[SP Is Booked]], NOT(ISBLANK(SnapshotTable[[#This Row],[SP Fill Date]])))</f>
        <v>0</v>
      </c>
      <c r="BY111" s="33">
        <f>IF(SnapshotTable[[#This Row],[SP Is Booked]], SnapshotTable[[#This Row],[SP Qty]] * SnapshotTable[[#This Row],[SP Book Price]] * 100, 0)</f>
        <v>0</v>
      </c>
      <c r="BZ111" s="369"/>
      <c r="CA111" s="368">
        <f>SnapshotTable[[#This Row],[LP Qty]]</f>
        <v>0</v>
      </c>
      <c r="CB111" s="4" t="str">
        <f>IF(SnapshotTable[[#This Row],[SP Is Booked]], SnapshotTable[[#This Row],[SP Strike Price]] - SnapshotTable[[#This Row],[SP Book Price]], "")</f>
        <v/>
      </c>
      <c r="CC111" s="19" t="str">
        <f>IF(SnapshotTable[[#This Row],[SP Is Booked]],SnapshotTable[[#This Row],[SP Exp Date]]-MAX(SnapshotTable[[#This Row],[SP Book Date]], SnapshotTable[[#This Row],[SP Fill Date]]),"")</f>
        <v/>
      </c>
      <c r="CD111" s="7" t="str">
        <f>IF(SnapshotTable[[#This Row],[SP Is Booked]], SnapshotTable[[#This Row],[SP Book Price]]/SnapshotTable[[#This Row],[SP Strike Price]], "")</f>
        <v/>
      </c>
      <c r="CE111" s="7" t="str">
        <f>IF(ISNUMBER(SnapshotTable[[#This Row],[SP ROO Term]]),SnapshotTable[[#This Row],[SP ROO Term]]*(365/SnapshotTable[[#This Row],[SP Term]]),"")</f>
        <v/>
      </c>
      <c r="CF111" s="236">
        <f>SnapshotTable[[#This Row],[LP Strike Price]] * SnapshotTable[[#This Row],[LP Qty]] * 100</f>
        <v>0</v>
      </c>
      <c r="CG111" s="31" t="e">
        <f>IF(ISNUMBER(SnapshotTable[[#This Row],[SP Premium]]), (SnapshotTable[[#This Row],[SP Qty]] * SnapshotTable[[#This Row],[SP Strike Price]]* 100) - SnapshotTable[[#This Row],[LP Protection]], 0)</f>
        <v>#VALUE!</v>
      </c>
      <c r="CH111" s="7" t="str">
        <f>IF(ISNUMBER(SnapshotTable[[#This Row],[SP Break Even]]),-1 * (SnapshotTable[[#This Row],[SP Break Even]] - SnapshotTable[[#This Row],[Last Price]]) / SnapshotTable[[#This Row],[Last Price]], "")</f>
        <v/>
      </c>
      <c r="CI111" s="31">
        <f>IF(AND(ISNUMBER((SnapshotTable[[#This Row],[SP Potential Spend]])), SnapshotTable[[#This Row],[SP Strike Price]] &gt; SnapshotTable[[#This Row],[Last Price]], SnapshotTable[[#This Row],[SP Is Filled]]), SnapshotTable[[#This Row],[SP Potential Spend]] -  SnapshotTable[[#This Row],[LP Max Value]], 0)</f>
        <v>0</v>
      </c>
      <c r="CJ111" s="244"/>
      <c r="CK111" s="31" t="str">
        <f>IF(ISNUMBER(SnapshotTable[[#This Row],[SP Potential Spend]]),IF(ISNUMBER(SnapshotTable[[#This Row],[SP POW]]), SnapshotTable[[#This Row],[SP POW]] * SnapshotTable[[#This Row],[SP Potential Spend]], SnapshotTable[[#This Row],[SP Potential Spend]]), "")</f>
        <v/>
      </c>
      <c r="CL111" s="164" t="e">
        <f>IF(NOT(SnapshotTable[[#This Row],[SP Is Filled]]),(SnapshotTable[[#This Row],[SP Qty]] * SnapshotTable[[#This Row],[SP Strike Price]] * 100) - SnapshotTable[[#This Row],[LP Max Value]],"")</f>
        <v>#VALUE!</v>
      </c>
      <c r="CM111" s="31" t="str">
        <f>IF(SnapshotTable[[#This Row],[SP Actual Spend]]&lt;&gt;0, ((SnapshotTable[[#This Row],[SP Strike Price]]-SnapshotTable[[#This Row],[Last Price]]) *(SnapshotTable[[#This Row],[SP Qty]]*100) - SnapshotTable[[#This Row],[SP Premium]]) * - 1, "")</f>
        <v/>
      </c>
      <c r="CN111" s="78">
        <v>0.4</v>
      </c>
      <c r="CO111" s="369"/>
      <c r="CP111" s="4" t="str">
        <f>IF(SnapshotTable[[#This Row],[SP Is Filled]], btc_max_buyback_amount(SnapshotTable[[#This Row],[SP Fill Date]],SnapshotTable[[#This Row],[SP Exp Date]], SnapshotTable[[#This Row],[SP Book Price]]),"")</f>
        <v/>
      </c>
      <c r="CQ111" s="78"/>
      <c r="CR11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1" s="155" t="str">
        <f>IF(SnapshotTable[[#This Row],[SP Is Filled]], btc_next_cutoff_date(SnapshotTable[[#This Row],[SP Fill Date]],SnapshotTable[[#This Row],[SP Exp Date]]),"")</f>
        <v/>
      </c>
      <c r="CT111" s="235" t="str" cm="1">
        <f t="array" ref="CT111">IF(SnapshotTable[[#This Row],[SP Is Filled]], btc_should_buy_back(SnapshotTable[[#This Row],[SP Fill Date]], SnapshotTable[[#This Row],[SP Exp Date]], SnapshotTable[[#This Row],[SP Book Price]], SnapshotTable[[#This Row],[SP Current Ask]], MockToday, SnapshotTable[[#This Row],[SP Buyback Override]]),"")</f>
        <v/>
      </c>
      <c r="CU111" s="143"/>
      <c r="CV111" s="235"/>
      <c r="CW111" s="378" t="str">
        <f>IF(ISNUMBER( SnapshotTable[[#This Row],[SP Term]]), SnapshotTable[[#This Row],[SP Exp Date]] - MockToday,"")</f>
        <v/>
      </c>
      <c r="CX111" s="31" t="str">
        <f>IF(SnapshotTable[[#This Row],[SP Is Filled]],SnapshotTable[[#This Row],[SP Buyback Price to Use]] * 100 * SnapshotTable[[#This Row],[SP Qty]], "")</f>
        <v/>
      </c>
      <c r="CY111" s="4" t="str">
        <f>IF(ISNUMBER(SnapshotTable[[#This Row],[SP Strike Price]]), SnapshotTable[[#This Row],[SP Strike Price]] * (1 - SP_MaxLoss_StrikePct), "")</f>
        <v/>
      </c>
      <c r="CZ111" s="31" t="str">
        <f>IF(ISNUMBER(SnapshotTable[[#This Row],[SP Strike  Stop Per Share]]),SnapshotTable[[#This Row],[SP Premium]] - ((SnapshotTable[[#This Row],[SP Strike Price]]-SnapshotTable[[#This Row],[SP Strike  Stop Per Share]]) *(SnapshotTable[[#This Row],[SP Qty]] * 100)),"")</f>
        <v/>
      </c>
      <c r="DA111" s="4" t="str">
        <f>IF(AND(ISNUMBER(SnapshotTable[[#This Row],[SP Premium]]),SnapshotTable[[#This Row],[SP Premium]]&gt;0), SnapshotTable[[#This Row],[SP Book Price]] * (1 + SP_MaxLoss_OptionPct), "")</f>
        <v/>
      </c>
      <c r="DB111" s="31" t="str">
        <f>IF(ISNUMBER(SnapshotTable[[#This Row],[SP Option  Stop Contract]]),(SnapshotTable[[#This Row],[SP Option  Stop Contract]] *(SnapshotTable[[#This Row],[SP Qty]] * 100) - SnapshotTable[[#This Row],[SP Premium]]),"")</f>
        <v/>
      </c>
      <c r="DC111" s="4"/>
      <c r="DD111" s="4"/>
      <c r="DE111" s="4" t="str">
        <f>IF(AND(SnapshotTable[[#This Row],[SP Qty]]&gt;0, SnapshotTable[[#This Row],[SP Stop To Use]]&gt;0),SnapshotTable[[#This Row],[SP Premium]] - ( SnapshotTable[[#This Row],[SP Qty]] * SnapshotTable[[#This Row],[SP Stop To Use]] * 100), "")</f>
        <v/>
      </c>
      <c r="DF111" s="31" t="str">
        <f>IF(AND(SnapshotTable[[#This Row],[SP Qty]]&gt;0,SnapshotTable[[#This Row],[SP Current Ask]]&gt;0), SnapshotTable[[#This Row],[SP Qty]] * SnapshotTable[[#This Row],[SP Current Ask]] * -100, "")</f>
        <v/>
      </c>
      <c r="DG111" s="31" t="str">
        <f>IF(ISNUMBER((SnapshotTable[[#This Row],[SP Total Value]])), SnapshotTable[[#This Row],[SP Premium]] + SnapshotTable[[#This Row],[SP Total Value]], "")</f>
        <v/>
      </c>
      <c r="DH111" s="294" t="str">
        <f>IF(ISNUMBER((SnapshotTable[[#This Row],[SP Total Value]])), SnapshotTable[[#This Row],[SP Gain Loss]] / SnapshotTable[[#This Row],[SP Premium]], "")</f>
        <v/>
      </c>
      <c r="DI111" s="406"/>
      <c r="DJ111" s="138"/>
      <c r="DK111" s="148"/>
      <c r="DL111" s="13"/>
      <c r="DM111" s="13"/>
      <c r="DO111" s="31">
        <f>IF(SnapshotTable[[#This Row],[LC Symbol Count]]=1, SnapshotTable[[#This Row],[LC Qty]] * SnapshotTable[[#This Row],[LC Book Price]] * 100, 0)</f>
        <v>0</v>
      </c>
      <c r="DP111" s="163" t="str">
        <f>IF(AND(SnapshotTable[[#This Row],[LC Exp Date]]&gt;0, SnapshotTable[[#This Row],[LC Strike Price]]&gt;0,SnapshotTable[[#This Row],[LC Qty]]&gt;0,SnapshotTable[[#This Row],[LC Book Date]]&gt;0,SnapshotTable[[#This Row],[LC Book Price]]&gt;0,SnapshotTable[[#This Row],[LC Fill Date]]=0),"Y","")</f>
        <v/>
      </c>
      <c r="DQ111" s="386" t="str">
        <f>IF(SnapshotTable[[#This Row],[LC Premium]] &gt; 0,SnapshotTable[[#This Row],[LC Exp Date]]-MAX(SnapshotTable[[#This Row],[LC Book Date]], SnapshotTable[[#This Row],[LC Fill Date]]),"")</f>
        <v/>
      </c>
      <c r="DR111" s="386" t="str">
        <f>IF(ISNUMBER(SnapshotTable[[#This Row],[LC Term]]), SnapshotTable[[#This Row],[LC Exp Date]] - MockToday, "")</f>
        <v/>
      </c>
      <c r="DS111" s="234" t="str">
        <f>IF(SnapshotTable[[#This Row],[LC Premium]]&gt;0,SnapshotTable[[#This Row],[LC Strike Price]] + SnapshotTable[[#This Row],[LC Book Price]],"")</f>
        <v/>
      </c>
      <c r="DU111" s="9" t="str">
        <f>IF(AND(SnapshotTable[[#This Row],[LC Symbol Count]]&gt;0, SnapshotTable[[#This Row],[LC Contract Value]]&gt;0), SnapshotTable[[#This Row],[LC Contract Value]] * SnapshotTable[[#This Row],[LC Qty]] * 100, "")</f>
        <v/>
      </c>
      <c r="DV111" s="9" t="str">
        <f>IF(AND(ISNUMBER(SnapshotTable[[#This Row],[LC Total Value]]), SnapshotTable[[#This Row],[LC Not Filled]]&lt;&gt;"Y"), SnapshotTable[[#This Row],[LC Total Value]]-SnapshotTable[[#This Row],[LC Premium]],"")</f>
        <v/>
      </c>
      <c r="DW111" s="240" t="str">
        <f>IF(ISNUMBER(SnapshotTable[[#This Row],[LC Actual Gain Loss]]), SnapshotTable[[#This Row],[LC Actual Gain Loss]] / SnapshotTable[[#This Row],[LC Premium]],"")</f>
        <v/>
      </c>
      <c r="DX111" s="284" t="str">
        <f>IF(ISNUMBER(SnapshotTable[[#This Row],[LC Book Price]]),SnapshotTable[[#This Row],[LC Book Price]] * 1.5,"")</f>
        <v/>
      </c>
      <c r="DY111" s="265" t="str">
        <f>IF(SnapshotTable[[#This Row],[LC Premium]]&gt;0, SnapshotTable[[#This Row],[LC Next Target]] * SnapshotTable[[#This Row],[LC Qty]] * 100,"")</f>
        <v/>
      </c>
      <c r="DZ111" s="265" t="str">
        <f>IF(ISNUMBER(SnapshotTable[[#This Row],[LC Target Gross]]), SnapshotTable[[#This Row],[LC Target Gross]] - SnapshotTable[[#This Row],[LC Premium]], "")</f>
        <v/>
      </c>
      <c r="EA111" s="305" t="str">
        <f>IF(ISNUMBER(SnapshotTable[[#This Row],[LC Target Gain Loss]]), SnapshotTable[[#This Row],[LC Target Gain Loss]]/SnapshotTable[[#This Row],[LC Premium]], "")</f>
        <v/>
      </c>
      <c r="EB111" s="262"/>
      <c r="EC111" s="283" t="str">
        <f>IF(SnapshotTable[[#This Row],[LC Premium]]&gt;0, SnapshotTable[[#This Row],[LC Book Price]] * (1 - LC_StopLoss_Pct),"")</f>
        <v/>
      </c>
      <c r="ED111" s="284"/>
      <c r="EE111" s="283" t="str">
        <f>IF(ISNUMBER(SnapshotTable[[#This Row],[LC Contract Value]]),IF(ISNUMBER(SnapshotTable[[#This Row],[LC Stop Loss Override]]), SnapshotTable[[#This Row],[LC Stop Loss Override]],SnapshotTable[[#This Row],[LC Stop Loss Calc Target]]),"")</f>
        <v/>
      </c>
      <c r="EF111" s="31" t="str">
        <f>IF(ISNUMBER(SnapshotTable[[#This Row],[LC Stop  To Use]]), (SnapshotTable[[#This Row],[LC Stop  To Use]] * SnapshotTable[[#This Row],[LC Qty]] * 100),"")</f>
        <v/>
      </c>
      <c r="EG111" s="9" t="str">
        <f>IF(ISNUMBER(SnapshotTable[[#This Row],[LC Total Value]]),SnapshotTable[[#This Row],[LC Stop Loss Amount]] - SnapshotTable[[#This Row],[LC Premium]],"")</f>
        <v/>
      </c>
      <c r="EH111" s="9">
        <f>IF(ISNUMBER(SnapshotTable[[#This Row],[LC Premium]]), SnapshotTable[[#This Row],[LC Qty]] * 100 * SnapshotTable[[#This Row],[LC Strike Price]], "")</f>
        <v>0</v>
      </c>
      <c r="EI111" s="240" t="str">
        <f>IF(AND(ISNUMBER(SnapshotTable[[#This Row],[LC Total Value]]),SnapshotTable[[#This Row],[LC Total Value]]&gt;0),SnapshotTable[[#This Row],[LC Stop Gain Loss]]  / SnapshotTable[[#This Row],[LC Premium]],"")</f>
        <v/>
      </c>
      <c r="EJ111" s="35">
        <f>IF(ISNUMBER(SnapshotTable[[#This Row],[Equity Shares]]),TRUNC(SnapshotTable[[#This Row],[Equity Shares]] / 100),0) + SnapshotTable[[#This Row],[LC Qty]]</f>
        <v>0</v>
      </c>
      <c r="EK111" s="147"/>
      <c r="EL111" s="138" t="str">
        <f>IF(SnapshotTable[[#This Row],[SC Exp Date]]&lt;&gt;"",TRUNC(SnapshotTable[[#This Row],[Last Price]]),"")</f>
        <v/>
      </c>
      <c r="EM111" s="148"/>
      <c r="EN111" s="147"/>
      <c r="EO111" s="147"/>
      <c r="EP111" s="138"/>
      <c r="EQ111" s="419" t="b">
        <f>AND(ISNUMBER(SnapshotTable[[#This Row],[SC Exp Date]]), ISNUMBER(SnapshotTable[[#This Row],[SC Strike Price]]), ISNUMBER(SnapshotTable[[#This Row],[SC Qty]]), ISNUMBER(SnapshotTable[[#This Row],[SC Book Date]]), ISNUMBER(SnapshotTable[[#This Row],[SC Book Price]]))</f>
        <v>0</v>
      </c>
      <c r="ER111" s="419" t="b">
        <f>AND(SnapshotTable[[#This Row],[SC Is Booked]], NOT(ISBLANK(SnapshotTable[[#This Row],[SC Fill Date]])))</f>
        <v>0</v>
      </c>
      <c r="ES111" s="370"/>
      <c r="ET111" s="34" t="str">
        <f>IF(AND(ISNUMBER(SnapshotTable[[#This Row],[SC Exp Date]]), ISNUMBER(SnapshotTable[[#This Row],[SC Book Date]])), SnapshotTable[[#This Row],[SC Exp Date]] - MAX(SnapshotTable[[#This Row],[SC Book Date]], SnapshotTable[[#This Row],[SC Fill Date]]) + 1, "")</f>
        <v/>
      </c>
      <c r="EU111" s="34" t="str">
        <f>IF(ISNUMBER(SnapshotTable[[#This Row],[SC Term]]), SnapshotTable[[#This Row],[SC Exp Date]]- MockToday, "")</f>
        <v/>
      </c>
      <c r="EV111" s="31">
        <f>IF(SnapshotTable[[#This Row],[SC Is Booked]], SnapshotTable[[#This Row],[SC Qty]] * SnapshotTable[[#This Row],[SC Book Price]] * 100, 0)</f>
        <v>0</v>
      </c>
      <c r="EW111" s="4" t="str">
        <f>IF(AND(ISNUMBER(SnapshotTable[[#This Row],[Last Price]]), ISNUMBER( SnapshotTable[[#This Row],[SC Book Price]])), SnapshotTable[[#This Row],[Last Price]] - SnapshotTable[[#This Row],[SC Book Price]],"")</f>
        <v/>
      </c>
      <c r="EX111" s="234" t="str">
        <f>IF(SnapshotTable[[#This Row],[SC Is Booked]],IF(SnapshotTable[[#This Row],[SC Intrinsic Value]] &gt; 0, SnapshotTable[[#This Row],[SC Strike Price]], SnapshotTable[[#This Row],[Last Price]]), "")</f>
        <v/>
      </c>
      <c r="EY111" s="4">
        <f>IF(SnapshotTable[[#This Row],[SC Is Booked]], (MinimumPremiumRequired * SnapshotTable[[#This Row],[SC Basis]] * SnapshotTable[[#This Row],[SC Term]]), 0)</f>
        <v>0</v>
      </c>
      <c r="EZ111" s="283"/>
      <c r="FA111" s="218"/>
      <c r="FB111" s="370"/>
      <c r="FC111" s="4">
        <f>IF(SnapshotTable[[#This Row],[SC Is Filled]], btc_max_buyback_amount(SnapshotTable[[#This Row],[SC Fill Date]],SnapshotTable[[#This Row],[SC Exp Date]], SnapshotTable[[#This Row],[SC Book Price]]),0)</f>
        <v>0</v>
      </c>
      <c r="FD111" s="5"/>
      <c r="FE111" s="144" t="str">
        <f>IF(SnapshotTable[[#This Row],[SC Is Filled]], btc_next_cutoff_date(SnapshotTable[[#This Row],[SC Fill Date]],SnapshotTable[[#This Row],[SC Exp Date]]),"")</f>
        <v/>
      </c>
      <c r="FF111" s="4" t="str" cm="1">
        <f t="array" ref="FF111">IF(SnapshotTable[[#This Row],[SC Is Filled]], btc_should_buy_back(SnapshotTable[[#This Row],[SC Fill Date]], SnapshotTable[[#This Row],[SC Exp Date]], SnapshotTable[[#This Row],[SC Book Price]], SnapshotTable[[#This Row],[SC Current Ask]], MockToday, SnapshotTable[[#This Row],[SC Buyback Override]]),"")</f>
        <v/>
      </c>
      <c r="FG111" s="4">
        <f>IF(SnapshotTable[[#This Row],[SC Is Filled]], MAX(0,SnapshotTable[[#This Row],[Last Price]]  - SnapshotTable[[#This Row],[SC Strike Price]]), 0)</f>
        <v>0</v>
      </c>
      <c r="FH111" s="382">
        <f>IF(SnapshotTable[[#This Row],[SC Is Filled]], IF(ISNUMBER(SnapshotTable[[#This Row],[SC Current Ask]]), SnapshotTable[[#This Row],[SC Current Ask]], SnapshotTable[[#This Row],[SC Book Price]]) - SnapshotTable[[#This Row],[SC Intrinsic Value]], 0)</f>
        <v>0</v>
      </c>
      <c r="FI111" s="143"/>
      <c r="FJ111" s="32" t="str">
        <f>IF(SnapshotTable[[#This Row],[SC Is Filled]],100 * SnapshotTable[[#This Row],[SC Qty]] * IF(ISNUMBER(SnapshotTable[[#This Row],[SC Buyback Override]]), SnapshotTable[[#This Row],[SC Buyback Override]], SnapshotTable[[#This Row],[SC Current Ask]]), "")</f>
        <v/>
      </c>
      <c r="FK111" s="250" t="str">
        <f>IF(SnapshotTable[[#This Row],[SC Time Val]]&gt;0, SnapshotTable[[#This Row],[SC Time Val]] / SnapshotTable[[#This Row],[Last Price]],"")</f>
        <v/>
      </c>
      <c r="FL111" s="302" t="str">
        <f>IF(SnapshotTable[[#This Row],[SC Is Booked]], ((SnapshotTable[[#This Row],[Last Price]] -SnapshotTable[[#This Row],[SC Strike Price]]) / SnapshotTable[[#This Row],[Last Price]]) * -1, "")</f>
        <v/>
      </c>
      <c r="FM111" s="157" t="str">
        <f>IF(SnapshotTable[[#This Row],[SC Is Booked]],  (SnapshotTable[[#This Row],[SC Qty]] * 100 * SnapshotTable[[#This Row],[SC Strike Price]]) - SnapshotTable[[#This Row],[SC Current Ask]], "")</f>
        <v/>
      </c>
      <c r="FN11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1" s="31" t="str">
        <f>IF(AND(ISNUMBER(SnapshotTable[[#This Row],[SC Exercise Gross]]), ISNUMBER(SnapshotTable[[#This Row],[Equity Basis Per Share]] )), SnapshotTable[[#This Row],[SC Exercise Gross]] - SnapshotTable[[#This Row],[Equity Basis Total]] +  SnapshotTable[[#This Row],[SC Premium]], "")</f>
        <v/>
      </c>
      <c r="FP111" s="5" t="str">
        <f>IF(ISNUMBER(SnapshotTable[[#This Row],[SC Exercise Gross]]), (SnapshotTable[[#This Row],[SC Exercise Gross]]) / (SnapshotTable[[#This Row],[SC Qty]] * 100), "")</f>
        <v/>
      </c>
      <c r="FQ111" s="27" t="str">
        <f>IF(SnapshotTable[[#This Row],[SC Is Booked]],SnapshotTable[[#This Row],[SC Time Val]] /SnapshotTable[[#This Row],[SC Basis]], "")</f>
        <v/>
      </c>
      <c r="FR111" s="27" t="str" cm="1">
        <f t="array" ref="FR111">IF(AND(ISNUMBER(SnapshotTable[[#This Row],[SC Term]]),ISNUMBER(SnapshotTable[[#This Row],[SC Simple ROO]])), EllmanAnnualize(SnapshotTable[[#This Row],[SC DTE]], SnapshotTable[[#This Row],[SC Simple ROO]] ),"")</f>
        <v/>
      </c>
      <c r="FS111" s="4" t="e">
        <f>IF(SnapshotTable[[#This Row],[SC Strike Price]] &gt; SnapshotTable[[#This Row],[Last Price]], SnapshotTable[[#This Row],[SC Strike Price]] - SnapshotTable[[#This Row],[Last Price]],0)</f>
        <v>#VALUE!</v>
      </c>
      <c r="FT111" s="27" t="e">
        <f>IF(AND(ISNUMBER(SnapshotTable[[#This Row],[SC Upside Potential]]), SnapshotTable[[#This Row],[SC Upside Potential]] &gt; 0),(SnapshotTable[[#This Row],[SC Upside Potential]]/ SnapshotTable[[#This Row],[ACB]]),"")</f>
        <v>#VALUE!</v>
      </c>
      <c r="FU111" s="333" t="str">
        <f>IF(SnapshotTable[[#This Row],[SC Intrinsic Value]] &gt; 0,SnapshotTable[[#This Row],[SC Intrinsic Value]],"")</f>
        <v/>
      </c>
      <c r="FV111" s="27" t="str">
        <f>IF(AND( ISNUMBER( SnapshotTable[[#This Row],[ACB]]),ISNUMBER(SnapshotTable[[#This Row],[SC Downside Protect]])),SnapshotTable[[#This Row],[SC Downside Protect]] / SnapshotTable[[#This Row],[ACB]],"")</f>
        <v/>
      </c>
      <c r="FW111" s="236" t="str">
        <f>IF(AND(ISNUMBER(SnapshotTable[[#This Row],[SC Simple ROO]]),SnapshotTable[[#This Row],[SC Simple ROO]] &gt; 0), SnapshotTable[[#This Row],[SC Premium]] + (SnapshotTable[[#This Row],[SC Qty]] * SnapshotTable[[#This Row],[SC Upside Potential]]), "")</f>
        <v/>
      </c>
      <c r="FX111" s="302" t="str" cm="1">
        <f t="array" ref="FX111">IF(ISNUMBER(SnapshotTable[[#This Row],[SC Max Dollars]]), annualize(SnapshotTable[[#This Row],[SC Term]],(SnapshotTable[[#This Row],[SC Max Dollars]]/SnapshotTable[[#This Row],[SC Basis]])),"")</f>
        <v/>
      </c>
      <c r="FY111" s="236" t="str">
        <f>IF(AND(SnapshotTable[[#This Row],[SC Qty]]&gt;0,SnapshotTable[[#This Row],[SC Current Ask]]&gt;0), SnapshotTable[[#This Row],[SC Qty]] * SnapshotTable[[#This Row],[SC Current Ask]] * -100, "")</f>
        <v/>
      </c>
      <c r="FZ111" s="31" t="str">
        <f>IF(ISNUMBER((SnapshotTable[[#This Row],[SC Current Value]])), SnapshotTable[[#This Row],[SC Premium]] + SnapshotTable[[#This Row],[SC Current Value]], "")</f>
        <v/>
      </c>
      <c r="GA111" s="294" t="str">
        <f>IFERROR( IF(ISNUMBER((SnapshotTable[[#This Row],[SC Current Value]])), SnapshotTable[[#This Row],[SC Gain Loss]] / SnapshotTable[[#This Row],[SC Premium]], ""), "")</f>
        <v/>
      </c>
      <c r="GB111" s="42">
        <f>SnapshotTable[[#This Row],[Equity Shares]] * SaleSharesToConsiderPercentage</f>
        <v>0</v>
      </c>
      <c r="GC111" s="40">
        <f>SnapshotTable[[#This Row],[Long Term Target]] * SellingPriceToConsiderBasedOnTargetPercentage</f>
        <v>452.71300000000002</v>
      </c>
      <c r="GD111" s="40">
        <f>SnapshotTable[[#This Row],[Last Price]] * (1+ SellingPriceToConsiderBasedOnTargetPercentage)</f>
        <v>773.77949999999998</v>
      </c>
      <c r="GE111" s="41"/>
      <c r="GF111" s="40"/>
      <c r="GG111" s="31">
        <f>SnapshotTable[[#This Row],[Booked Sale Shares]] * SnapshotTable[[#This Row],[Booked Sale Price]]</f>
        <v>0</v>
      </c>
      <c r="GH111" s="31" t="str">
        <f>IF(SnapshotTable[[#This Row],[Equity Basis Total]] &gt; 0, SnapshotTable[[#This Row],[Equity Basis Per Share]] * SnapshotTable[[#This Row],[Booked Sale Shares]], "")</f>
        <v/>
      </c>
      <c r="GI111" s="31">
        <f>IF(SnapshotTable[[#This Row],[Sale Proceeds]]&gt;0, SnapshotTable[[#This Row],[Sale Proceeds]] - SnapshotTable[[#This Row],[Sale Basis]], 0)</f>
        <v>0</v>
      </c>
      <c r="GJ111" s="27" t="str">
        <f>IF(SnapshotTable[[#This Row],[Sale G/L]]&gt;0, SnapshotTable[[#This Row],[Sale G/L]] / SnapshotTable[[#This Row],[Sale Basis]], IF(ISNUMBER(SnapshotTable[[#This Row],[SC Exercise P&amp;L (TAX)]]), SnapshotTable[[#This Row],[SC Exercise P&amp;L (TAX)]] / SnapshotTable[[#This Row],[SC Basis]], ""))</f>
        <v/>
      </c>
      <c r="GK111" s="27" t="s">
        <v>640</v>
      </c>
      <c r="GL111" s="43" t="str">
        <f>IF(AND(SnapshotTable[[#This Row],[LP Exp Date]]&gt;0,SnapshotTable[[#This Row],[LP Strike Price]]&gt;0), [1]!ToOptionSymbol(SnapshotTable[[#This Row],[Symbol]], SnapshotTable[[#This Row],[LP Strike Price]],SnapshotTable[[#This Row],[LP Exp Date]],1), "")</f>
        <v/>
      </c>
      <c r="GM111" s="30" t="str">
        <f>IF(LEN(SnapshotTable[[#This Row],[LP Symbol]])&gt;0, 1, "")</f>
        <v/>
      </c>
      <c r="GN111" s="43" t="str">
        <f>IF(AND(SnapshotTable[[#This Row],[SP Exp Date]]&gt;0,SnapshotTable[[#This Row],[SP Strike Price]]&gt;0), [1]!ToOptionSymbol(SnapshotTable[[#This Row],[Symbol]], SnapshotTable[[#This Row],[SP Strike Price]],SnapshotTable[[#This Row],[SP Exp Date]],1), "")</f>
        <v/>
      </c>
      <c r="GO111" s="30" t="str">
        <f>IF(LEN(SnapshotTable[[#This Row],[SP Symbol]])&gt;0, 1, "")</f>
        <v/>
      </c>
      <c r="GP111" s="43" t="str">
        <f>IF(AND(SnapshotTable[[#This Row],[LC Exp Date]]&gt;0,SnapshotTable[[#This Row],[LC Strike Price]]&gt;0), [1]!ToOptionSymbol(SnapshotTable[[#This Row],[Symbol]], SnapshotTable[[#This Row],[LC Strike Price]],SnapshotTable[[#This Row],[LC Exp Date]],0), "")</f>
        <v/>
      </c>
      <c r="GQ111" s="30" t="str">
        <f>IF(LEN(SnapshotTable[[#This Row],[LC Symbol]])&gt;0, 1, "")</f>
        <v/>
      </c>
      <c r="GR111" s="43" t="str">
        <f>IF(AND(SnapshotTable[[#This Row],[SC Exp Date]]&gt;0,SnapshotTable[[#This Row],[SC Strike Price]]&gt;0), [1]!ToOptionSymbol(SnapshotTable[[#This Row],[Symbol]], SnapshotTable[[#This Row],[SC Strike Price]],SnapshotTable[[#This Row],[SC Exp Date]],0), "")</f>
        <v/>
      </c>
      <c r="GS111" s="30" t="str">
        <f>IF(LEN(SnapshotTable[[#This Row],[SC Symbol]])&gt;0, 1, "")</f>
        <v/>
      </c>
      <c r="GT111" s="29" t="str">
        <f>IF(COUNT(SnapshotTable[[#This Row],[LP Symbol Count]],SnapshotTable[[#This Row],[SP Symbol Count]],SnapshotTable[[#This Row],[LC Symbol Count]],SnapshotTable[[#This Row],[SC Symbol Count]])&gt;0, "Y", "")</f>
        <v/>
      </c>
      <c r="GU11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1" s="231" t="e">
        <f>MAX(SnapshotTable[[#This Row],[Equity Basis Total]],SnapshotTable[[#This Row],[Equity Value]]) + (SnapshotTable[[#This Row],[SP Potential Spend]]- SnapshotTable[[#This Row],[SP Premium]] + SnapshotTable[[#This Row],[LP Premium]])+ (SnapshotTable[[#This Row],[LC Premium]] - SnapshotTable[[#This Row],[SC Premium]])</f>
        <v>#VALUE!</v>
      </c>
      <c r="GW111" s="139" t="e">
        <f>IF(AND(SnapshotTable[[#This Row],[Exposure]] &lt;&gt; 0),SnapshotTable[[#This Row],[Exposure]] / SnapshotTable[[#Totals],[Exposure]], "")</f>
        <v>#VALUE!</v>
      </c>
      <c r="HE111" s="268"/>
      <c r="HF111" s="268"/>
      <c r="HK111" s="1"/>
      <c r="HL111" s="1"/>
      <c r="HM111" s="1"/>
      <c r="HN111" s="1"/>
      <c r="HO111" s="1"/>
      <c r="HP111" s="1"/>
    </row>
    <row r="112" spans="2:224" ht="12.75" hidden="1" customHeight="1" x14ac:dyDescent="0.25">
      <c r="B112" s="12" t="s">
        <v>1219</v>
      </c>
      <c r="C112" s="422">
        <v>192.98</v>
      </c>
      <c r="D112" s="208" t="s">
        <v>885</v>
      </c>
      <c r="E112" s="39">
        <f>SnapshotTable[[#This Row],[Last Price]]*(1 -CrashDiscount)</f>
        <v>164.03299999999999</v>
      </c>
      <c r="F112" s="26" t="s">
        <v>1037</v>
      </c>
      <c r="G112" s="26" t="s">
        <v>822</v>
      </c>
      <c r="H112" s="149"/>
      <c r="I112" s="194">
        <v>45318</v>
      </c>
      <c r="J112" s="195">
        <v>45135.260416666664</v>
      </c>
      <c r="K112" s="196"/>
      <c r="L112" s="326"/>
      <c r="M112" s="140"/>
      <c r="N112" s="140"/>
      <c r="O112" s="140"/>
      <c r="P112" s="22"/>
      <c r="Q112" s="25"/>
      <c r="R112" s="4" t="str">
        <f>IF(SnapshotTable[[#This Row],[Equity Basis Total]] &gt; 0, SnapshotTable[[#This Row],[Equity Basis Total]] / SnapshotTable[[#This Row],[Equity Shares]], "")</f>
        <v/>
      </c>
      <c r="S112" s="269">
        <f>SnapshotTable[[#This Row],[Last Price]] * SnapshotTable[[#This Row],[Equity Shares]]</f>
        <v>0</v>
      </c>
      <c r="T112" s="269">
        <f>SnapshotTable[[#This Row],[Equity Value]] - SnapshotTable[[#This Row],[Equity Basis Total]]</f>
        <v>0</v>
      </c>
      <c r="U112" s="270" t="str">
        <f>IF(SnapshotTable[[#This Row],[Equity Basis Total]] &gt; 0, SnapshotTable[[#This Row],[Equity G/L]] / SnapshotTable[[#This Row],[Equity Basis Total]], "")</f>
        <v/>
      </c>
      <c r="V112" s="268">
        <v>200</v>
      </c>
      <c r="W112" s="268">
        <v>171.45</v>
      </c>
      <c r="X112" s="4" t="str">
        <f>IF(AND(ISNUMBER(SnapshotTable[[#This Row],[Equity Basis Per Share]]),ISNUMBER(SnapshotTable[[#This Row],[Equity Target]])),SnapshotTable[[#This Row],[Equity Target]]-SnapshotTable[[#This Row],[Equity Basis Per Share]],"")</f>
        <v/>
      </c>
      <c r="Y112" s="4" t="str">
        <f>IF(AND(ISNUMBER(SnapshotTable[[#This Row],[Equity Basis Per Share]]),ISNUMBER(SnapshotTable[[#This Row],[Equity Stop Loss]])),SnapshotTable[[#This Row],[Equity Stop Loss]]-SnapshotTable[[#This Row],[Equity Basis Per Share]],"")</f>
        <v/>
      </c>
      <c r="Z112" s="275" t="str">
        <f>IFERROR( TEXT(SnapshotTable[[#This Row],[Equity Max Gain Per Share]] /ABS( SnapshotTable[[#This Row],[Equity Max Loss Per Share]]),"0.0 " ) &amp; " : 1", "")</f>
        <v/>
      </c>
      <c r="AA112" s="31" t="str">
        <f>IF(ISNUMBER(SnapshotTable[[#This Row],[Equity Max Gain Per Share]]),SnapshotTable[[#This Row],[Equity Max Gain Per Share]] * SnapshotTable[[#This Row],[Equity Shares]],"")</f>
        <v/>
      </c>
      <c r="AB112" s="31" t="str">
        <f>IF(ISNUMBER(SnapshotTable[[#This Row],[Equity Max Loss Per Share]]),SnapshotTable[[#This Row],[Equity Max Loss Per Share]] * SnapshotTable[[#This Row],[Equity Shares]],"")</f>
        <v/>
      </c>
      <c r="AC112" s="150">
        <v>4.28</v>
      </c>
      <c r="AD112" s="151">
        <v>42348</v>
      </c>
      <c r="AE112" s="31">
        <f>(SnapshotTable[[#This Row],[Annual Dividend Per Share]] / 4) * SnapshotTable[[#This Row],[Equity Shares]]</f>
        <v>0</v>
      </c>
      <c r="AF112" s="31">
        <f>SnapshotTable[[#This Row],[Quarterly Div $]] * 4</f>
        <v>0</v>
      </c>
      <c r="AG112" s="7">
        <f>IF(SnapshotTable[[#This Row],[Annual Dividend Per Share]]&gt;0, SnapshotTable[[#This Row],[Annual Dividend Per Share]]  / SnapshotTable[[#This Row],[Last Price]], 0)</f>
        <v>2.2178464089542962E-2</v>
      </c>
      <c r="AH112" s="151">
        <v>44791</v>
      </c>
      <c r="AI112" s="5"/>
      <c r="AJ112" s="138">
        <v>195</v>
      </c>
      <c r="AK112" s="152" t="str">
        <f>IF(ISNUMBER( SnapshotTable[[#This Row],[EBF Target]]),(SnapshotTable[[#This Row],[EBF Target]] - SnapshotTable[[#This Row],[Last Price]]) / SnapshotTable[[#This Row],[Last Price]], "")</f>
        <v/>
      </c>
      <c r="AL112" s="152" t="str">
        <f>IF(AND(SnapshotTable[[#This Row],[Equity Basis Total]] &gt; 0,ISNUMBER( SnapshotTable[[#This Row],[Long Term Target]])), SnapshotTable[[#This Row],[From Basis $]] / SnapshotTable[[#This Row],[Equity Basis Total]], "")</f>
        <v/>
      </c>
      <c r="AM112" s="9">
        <f>IF( AND(SnapshotTable[[#This Row],[Equity Shares]] &gt;0,ISNUMBER( SnapshotTable[[#This Row],[Long Term Target]])),(SnapshotTable[[#This Row],[Equity Shares]] * SnapshotTable[[#This Row],[Long Term Target]]) - SnapshotTable[[#This Row],[Equity Basis Total]],0)</f>
        <v>0</v>
      </c>
      <c r="AN112" s="9">
        <f>IF( AND(SnapshotTable[[#This Row],[Equity Shares]] &gt;0,ISNUMBER( SnapshotTable[[#This Row],[Long Term Target]])),(SnapshotTable[[#This Row],[Equity Shares]]*SnapshotTable[[#This Row],[Long Term Target]]) - SnapshotTable[[#This Row],[Equity Value]],0)</f>
        <v>0</v>
      </c>
      <c r="AO112" s="152">
        <f>IF(AND(ISNUMBER( SnapshotTable[[#This Row],[Long Term Target]]), ISNUMBER(SnapshotTable[[#This Row],[Last Price]])),(SnapshotTable[[#This Row],[Long Term Target]] - SnapshotTable[[#This Row],[Last Price]]) / SnapshotTable[[#This Row],[Last Price]], "")</f>
        <v>1.0467405948803039E-2</v>
      </c>
      <c r="AP112" s="5">
        <v>162.5</v>
      </c>
      <c r="AQ112" s="38" t="s">
        <v>27</v>
      </c>
      <c r="AR112" s="5">
        <v>145</v>
      </c>
      <c r="AS112" s="38" t="s">
        <v>26</v>
      </c>
      <c r="AT112" s="146" t="s">
        <v>553</v>
      </c>
      <c r="AU112" s="187" t="str">
        <f>IF(OR(SnapshotTable[[#This Row],[LP No Fill]]="Y",SnapshotTable[[#This Row],[SP Is Filled]],SnapshotTable[[#This Row],[LC Not Filled]]="Y",SnapshotTable[[#This Row],[SC Is Filled]]),"Y","")</f>
        <v/>
      </c>
      <c r="AV112" s="219"/>
      <c r="AW112" s="225"/>
      <c r="AX112" s="220"/>
      <c r="AY112" s="219" t="str">
        <f>IF(SnapshotTable[[#This Row],[Implied Move]]&gt;0, SnapshotTable[[#This Row],[Last Price]]-SnapshotTable[[#This Row],[Implied Move]],"")</f>
        <v/>
      </c>
      <c r="AZ112" s="219" t="str">
        <f>IF(SnapshotTable[[#This Row],[Implied Move]]&gt;0, SnapshotTable[[#This Row],[Last Price]] + SnapshotTable[[#This Row],[Implied Move]],"")</f>
        <v/>
      </c>
      <c r="BA112" s="331">
        <v>147.38999999999999</v>
      </c>
      <c r="BB112" s="347"/>
      <c r="BC11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2" s="351"/>
      <c r="BE112" s="5"/>
      <c r="BF112" s="14"/>
      <c r="BG112" s="13"/>
      <c r="BH112" s="13"/>
      <c r="BI112" s="5"/>
      <c r="BJ112" s="136">
        <f>IF(SnapshotTable[[#This Row],[LP Qty]] &gt; 0, SnapshotTable[[#This Row],[LP Qty]] * SnapshotTable[[#This Row],[LP Book Price]] * 100,0)</f>
        <v>0</v>
      </c>
      <c r="BK112" s="136">
        <f>IF(SnapshotTable[[#This Row],[LP Premium]] &gt; 0, SnapshotTable[[#This Row],[LP Qty]] * SnapshotTable[[#This Row],[LP Strike Price]] * 100,0)</f>
        <v>0</v>
      </c>
      <c r="BL112" s="154"/>
      <c r="BM112" s="385" t="str">
        <f>IF(SnapshotTable[[#This Row],[LP Premium]] &gt; 0,SnapshotTable[[#This Row],[LP Exp Date]]-MAX(SnapshotTable[[#This Row],[LP Book Date]], SnapshotTable[[#This Row],[LP Fill Date]]),"")</f>
        <v/>
      </c>
      <c r="BN112" s="385" t="str">
        <f>IF(ISNUMBER( SnapshotTable[[#This Row],[LP Term]]), SnapshotTable[[#This Row],[LP Exp Date]] - MockToday,"")</f>
        <v/>
      </c>
      <c r="BO112" s="163" t="str">
        <f>IF(AND(SnapshotTable[[#This Row],[LP Exp Date]]&gt;0, SnapshotTable[[#This Row],[LP Strike Price]]&gt;0,SnapshotTable[[#This Row],[LP Qty]]&gt;0,SnapshotTable[[#This Row],[LP Book Date]]&gt;0,SnapshotTable[[#This Row],[LP Book Price]]&gt;0,SnapshotTable[[#This Row],[LP Fill Date]]=0),"Y","")</f>
        <v/>
      </c>
      <c r="BP112" s="31" t="str">
        <f>IF(AND(SnapshotTable[[#This Row],[LP No Fill]]&lt;&gt;"Y",SnapshotTable[[#This Row],[LP Contract Value]]&gt;0, SnapshotTable[[#This Row],[LP Qty]]&gt;0), SnapshotTable[[#This Row],[LP Contract Value]]*SnapshotTable[[#This Row],[LP Qty]]*100,"")</f>
        <v/>
      </c>
      <c r="BQ112" s="13"/>
      <c r="BR112" s="5" t="str">
        <f>IF(SnapshotTable[[#This Row],[SP Exp Date]]&lt;&gt;"",TRUNC(SnapshotTable[[#This Row],[Last Price]]),"")</f>
        <v/>
      </c>
      <c r="BS112" s="36"/>
      <c r="BT112" s="147"/>
      <c r="BU112" s="13"/>
      <c r="BV112" s="5"/>
      <c r="BW112" s="419" t="b">
        <f>AND(ISNUMBER(SnapshotTable[[#This Row],[SP Exp Date]]), ISNUMBER(SnapshotTable[[#This Row],[SP Strike Price]]), ISNUMBER(SnapshotTable[[#This Row],[SP Qty]]), ISNUMBER(SnapshotTable[[#This Row],[SP Book Date]]), ISNUMBER(SnapshotTable[[#This Row],[SP Book Price]]))</f>
        <v>0</v>
      </c>
      <c r="BX112" s="419" t="b">
        <f>AND(SnapshotTable[[#This Row],[SP Is Booked]], NOT(ISBLANK(SnapshotTable[[#This Row],[SP Fill Date]])))</f>
        <v>0</v>
      </c>
      <c r="BY112" s="33">
        <f>IF(SnapshotTable[[#This Row],[SP Is Booked]], SnapshotTable[[#This Row],[SP Qty]] * SnapshotTable[[#This Row],[SP Book Price]] * 100, 0)</f>
        <v>0</v>
      </c>
      <c r="BZ112" s="369"/>
      <c r="CA112" s="368">
        <f>SnapshotTable[[#This Row],[LP Qty]]</f>
        <v>0</v>
      </c>
      <c r="CB112" s="4" t="str">
        <f>IF(SnapshotTable[[#This Row],[SP Is Booked]], SnapshotTable[[#This Row],[SP Strike Price]] - SnapshotTable[[#This Row],[SP Book Price]], "")</f>
        <v/>
      </c>
      <c r="CC112" s="19" t="str">
        <f>IF(SnapshotTable[[#This Row],[SP Is Booked]],SnapshotTable[[#This Row],[SP Exp Date]]-MAX(SnapshotTable[[#This Row],[SP Book Date]], SnapshotTable[[#This Row],[SP Fill Date]]),"")</f>
        <v/>
      </c>
      <c r="CD112" s="7" t="str">
        <f>IF(SnapshotTable[[#This Row],[SP Is Booked]], SnapshotTable[[#This Row],[SP Book Price]]/SnapshotTable[[#This Row],[SP Strike Price]], "")</f>
        <v/>
      </c>
      <c r="CE112" s="7" t="str">
        <f>IF(ISNUMBER(SnapshotTable[[#This Row],[SP ROO Term]]),SnapshotTable[[#This Row],[SP ROO Term]]*(365/SnapshotTable[[#This Row],[SP Term]]),"")</f>
        <v/>
      </c>
      <c r="CF112" s="236">
        <f>SnapshotTable[[#This Row],[LP Strike Price]] * SnapshotTable[[#This Row],[LP Qty]] * 100</f>
        <v>0</v>
      </c>
      <c r="CG112" s="31" t="e">
        <f>IF(ISNUMBER(SnapshotTable[[#This Row],[SP Premium]]), (SnapshotTable[[#This Row],[SP Qty]] * SnapshotTable[[#This Row],[SP Strike Price]]* 100) - SnapshotTable[[#This Row],[LP Protection]], 0)</f>
        <v>#VALUE!</v>
      </c>
      <c r="CH112" s="7" t="str">
        <f>IF(ISNUMBER(SnapshotTable[[#This Row],[SP Break Even]]),-1 * (SnapshotTable[[#This Row],[SP Break Even]] - SnapshotTable[[#This Row],[Last Price]]) / SnapshotTable[[#This Row],[Last Price]], "")</f>
        <v/>
      </c>
      <c r="CI112" s="31">
        <f>IF(AND(ISNUMBER((SnapshotTable[[#This Row],[SP Potential Spend]])), SnapshotTable[[#This Row],[SP Strike Price]] &gt; SnapshotTable[[#This Row],[Last Price]], SnapshotTable[[#This Row],[SP Is Filled]]), SnapshotTable[[#This Row],[SP Potential Spend]] -  SnapshotTable[[#This Row],[LP Max Value]], 0)</f>
        <v>0</v>
      </c>
      <c r="CJ112" s="244"/>
      <c r="CK112" s="31" t="str">
        <f>IF(ISNUMBER(SnapshotTable[[#This Row],[SP Potential Spend]]),IF(ISNUMBER(SnapshotTable[[#This Row],[SP POW]]), SnapshotTable[[#This Row],[SP POW]] * SnapshotTable[[#This Row],[SP Potential Spend]], SnapshotTable[[#This Row],[SP Potential Spend]]), "")</f>
        <v/>
      </c>
      <c r="CL112" s="164" t="e">
        <f>IF(NOT(SnapshotTable[[#This Row],[SP Is Filled]]),(SnapshotTable[[#This Row],[SP Qty]] * SnapshotTable[[#This Row],[SP Strike Price]] * 100) - SnapshotTable[[#This Row],[LP Max Value]],"")</f>
        <v>#VALUE!</v>
      </c>
      <c r="CM112" s="31" t="str">
        <f>IF(SnapshotTable[[#This Row],[SP Actual Spend]]&lt;&gt;0, ((SnapshotTable[[#This Row],[SP Strike Price]]-SnapshotTable[[#This Row],[Last Price]]) *(SnapshotTable[[#This Row],[SP Qty]]*100) - SnapshotTable[[#This Row],[SP Premium]]) * - 1, "")</f>
        <v/>
      </c>
      <c r="CN112" s="78"/>
      <c r="CO112" s="369"/>
      <c r="CP112" s="4" t="str">
        <f>IF(SnapshotTable[[#This Row],[SP Is Filled]], btc_max_buyback_amount(SnapshotTable[[#This Row],[SP Fill Date]],SnapshotTable[[#This Row],[SP Exp Date]], SnapshotTable[[#This Row],[SP Book Price]]),"")</f>
        <v/>
      </c>
      <c r="CQ112" s="78"/>
      <c r="CR11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2" s="155" t="str">
        <f>IF(SnapshotTable[[#This Row],[SP Is Filled]], btc_next_cutoff_date(SnapshotTable[[#This Row],[SP Fill Date]],SnapshotTable[[#This Row],[SP Exp Date]]),"")</f>
        <v/>
      </c>
      <c r="CT112" s="235" t="str" cm="1">
        <f t="array" ref="CT112">IF(SnapshotTable[[#This Row],[SP Is Filled]], btc_should_buy_back(SnapshotTable[[#This Row],[SP Fill Date]], SnapshotTable[[#This Row],[SP Exp Date]], SnapshotTable[[#This Row],[SP Book Price]], SnapshotTable[[#This Row],[SP Current Ask]], MockToday, SnapshotTable[[#This Row],[SP Buyback Override]]),"")</f>
        <v/>
      </c>
      <c r="CU112" s="156"/>
      <c r="CV112" s="235"/>
      <c r="CW112" s="378" t="str">
        <f>IF(ISNUMBER( SnapshotTable[[#This Row],[SP Term]]), SnapshotTable[[#This Row],[SP Exp Date]] - MockToday,"")</f>
        <v/>
      </c>
      <c r="CX112" s="31" t="str">
        <f>IF(SnapshotTable[[#This Row],[SP Is Filled]],SnapshotTable[[#This Row],[SP Buyback Price to Use]] * 100 * SnapshotTable[[#This Row],[SP Qty]], "")</f>
        <v/>
      </c>
      <c r="CY112" s="4" t="str">
        <f>IF(ISNUMBER(SnapshotTable[[#This Row],[SP Strike Price]]), SnapshotTable[[#This Row],[SP Strike Price]] * (1 - SP_MaxLoss_StrikePct), "")</f>
        <v/>
      </c>
      <c r="CZ112" s="31" t="str">
        <f>IF(ISNUMBER(SnapshotTable[[#This Row],[SP Strike  Stop Per Share]]),SnapshotTable[[#This Row],[SP Premium]] - ((SnapshotTable[[#This Row],[SP Strike Price]]-SnapshotTable[[#This Row],[SP Strike  Stop Per Share]]) *(SnapshotTable[[#This Row],[SP Qty]] * 100)),"")</f>
        <v/>
      </c>
      <c r="DA112" s="4" t="str">
        <f>IF(AND(ISNUMBER(SnapshotTable[[#This Row],[SP Premium]]),SnapshotTable[[#This Row],[SP Premium]]&gt;0), SnapshotTable[[#This Row],[SP Book Price]] * (1 + SP_MaxLoss_OptionPct), "")</f>
        <v/>
      </c>
      <c r="DB112" s="31" t="str">
        <f>IF(ISNUMBER(SnapshotTable[[#This Row],[SP Option  Stop Contract]]),(SnapshotTable[[#This Row],[SP Option  Stop Contract]] *(SnapshotTable[[#This Row],[SP Qty]] * 100) - SnapshotTable[[#This Row],[SP Premium]]),"")</f>
        <v/>
      </c>
      <c r="DC112" s="4"/>
      <c r="DD112" s="4"/>
      <c r="DE112" s="4" t="str">
        <f>IF(AND(SnapshotTable[[#This Row],[SP Qty]]&gt;0, SnapshotTable[[#This Row],[SP Stop To Use]]&gt;0),SnapshotTable[[#This Row],[SP Premium]] - ( SnapshotTable[[#This Row],[SP Qty]] * SnapshotTable[[#This Row],[SP Stop To Use]] * 100), "")</f>
        <v/>
      </c>
      <c r="DF112" s="31" t="str">
        <f>IF(AND(SnapshotTable[[#This Row],[SP Qty]]&gt;0,SnapshotTable[[#This Row],[SP Current Ask]]&gt;0), SnapshotTable[[#This Row],[SP Qty]] * SnapshotTable[[#This Row],[SP Current Ask]] * -100, "")</f>
        <v/>
      </c>
      <c r="DG112" s="31" t="str">
        <f>IF(ISNUMBER((SnapshotTable[[#This Row],[SP Total Value]])), SnapshotTable[[#This Row],[SP Premium]] + SnapshotTable[[#This Row],[SP Total Value]], "")</f>
        <v/>
      </c>
      <c r="DH112" s="294" t="str">
        <f>IF(ISNUMBER((SnapshotTable[[#This Row],[SP Total Value]])), SnapshotTable[[#This Row],[SP Gain Loss]] / SnapshotTable[[#This Row],[SP Premium]], "")</f>
        <v/>
      </c>
      <c r="DI112" s="406"/>
      <c r="DJ112" s="138"/>
      <c r="DK112" s="148"/>
      <c r="DL112" s="13"/>
      <c r="DM112" s="13"/>
      <c r="DO112" s="31">
        <f>IF(SnapshotTable[[#This Row],[LC Symbol Count]]=1, SnapshotTable[[#This Row],[LC Qty]] * SnapshotTable[[#This Row],[LC Book Price]] * 100, 0)</f>
        <v>0</v>
      </c>
      <c r="DP112" s="163" t="str">
        <f>IF(AND(SnapshotTable[[#This Row],[LC Exp Date]]&gt;0, SnapshotTable[[#This Row],[LC Strike Price]]&gt;0,SnapshotTable[[#This Row],[LC Qty]]&gt;0,SnapshotTable[[#This Row],[LC Book Date]]&gt;0,SnapshotTable[[#This Row],[LC Book Price]]&gt;0,SnapshotTable[[#This Row],[LC Fill Date]]=0),"Y","")</f>
        <v/>
      </c>
      <c r="DQ112" s="386" t="str">
        <f>IF(SnapshotTable[[#This Row],[LC Premium]] &gt; 0,SnapshotTable[[#This Row],[LC Exp Date]]-MAX(SnapshotTable[[#This Row],[LC Book Date]], SnapshotTable[[#This Row],[LC Fill Date]]),"")</f>
        <v/>
      </c>
      <c r="DR112" s="386" t="str">
        <f>IF(ISNUMBER(SnapshotTable[[#This Row],[LC Term]]), SnapshotTable[[#This Row],[LC Exp Date]] - MockToday, "")</f>
        <v/>
      </c>
      <c r="DS112" s="234" t="str">
        <f>IF(SnapshotTable[[#This Row],[LC Premium]]&gt;0,SnapshotTable[[#This Row],[LC Strike Price]] + SnapshotTable[[#This Row],[LC Book Price]],"")</f>
        <v/>
      </c>
      <c r="DU112" s="9" t="str">
        <f>IF(AND(SnapshotTable[[#This Row],[LC Symbol Count]]&gt;0, SnapshotTable[[#This Row],[LC Contract Value]]&gt;0), SnapshotTable[[#This Row],[LC Contract Value]] * SnapshotTable[[#This Row],[LC Qty]] * 100, "")</f>
        <v/>
      </c>
      <c r="DV112" s="9" t="str">
        <f>IF(AND(ISNUMBER(SnapshotTable[[#This Row],[LC Total Value]]), SnapshotTable[[#This Row],[LC Not Filled]]&lt;&gt;"Y"), SnapshotTable[[#This Row],[LC Total Value]]-SnapshotTable[[#This Row],[LC Premium]],"")</f>
        <v/>
      </c>
      <c r="DW112" s="240" t="str">
        <f>IF(ISNUMBER(SnapshotTable[[#This Row],[LC Actual Gain Loss]]), SnapshotTable[[#This Row],[LC Actual Gain Loss]] / SnapshotTable[[#This Row],[LC Premium]],"")</f>
        <v/>
      </c>
      <c r="DX112" s="284" t="str">
        <f>IF(ISNUMBER(SnapshotTable[[#This Row],[LC Book Price]]),SnapshotTable[[#This Row],[LC Book Price]] * 1.5,"")</f>
        <v/>
      </c>
      <c r="DY112" s="265" t="str">
        <f>IF(SnapshotTable[[#This Row],[LC Premium]]&gt;0, SnapshotTable[[#This Row],[LC Next Target]] * SnapshotTable[[#This Row],[LC Qty]] * 100,"")</f>
        <v/>
      </c>
      <c r="DZ112" s="265" t="str">
        <f>IF(ISNUMBER(SnapshotTable[[#This Row],[LC Target Gross]]), SnapshotTable[[#This Row],[LC Target Gross]] - SnapshotTable[[#This Row],[LC Premium]], "")</f>
        <v/>
      </c>
      <c r="EA112" s="305" t="str">
        <f>IF(ISNUMBER(SnapshotTable[[#This Row],[LC Target Gain Loss]]), SnapshotTable[[#This Row],[LC Target Gain Loss]]/SnapshotTable[[#This Row],[LC Premium]], "")</f>
        <v/>
      </c>
      <c r="EB112" s="262"/>
      <c r="EC112" s="283" t="str">
        <f>IF(SnapshotTable[[#This Row],[LC Premium]]&gt;0, SnapshotTable[[#This Row],[LC Book Price]] * (1 - LC_StopLoss_Pct),"")</f>
        <v/>
      </c>
      <c r="ED112" s="284"/>
      <c r="EE112" s="283" t="str">
        <f>IF(ISNUMBER(SnapshotTable[[#This Row],[LC Contract Value]]),IF(ISNUMBER(SnapshotTable[[#This Row],[LC Stop Loss Override]]), SnapshotTable[[#This Row],[LC Stop Loss Override]],SnapshotTable[[#This Row],[LC Stop Loss Calc Target]]),"")</f>
        <v/>
      </c>
      <c r="EF112" s="31" t="str">
        <f>IF(ISNUMBER(SnapshotTable[[#This Row],[LC Stop  To Use]]), (SnapshotTable[[#This Row],[LC Stop  To Use]] * SnapshotTable[[#This Row],[LC Qty]] * 100),"")</f>
        <v/>
      </c>
      <c r="EG112" s="9" t="str">
        <f>IF(ISNUMBER(SnapshotTable[[#This Row],[LC Total Value]]),SnapshotTable[[#This Row],[LC Stop Loss Amount]] - SnapshotTable[[#This Row],[LC Premium]],"")</f>
        <v/>
      </c>
      <c r="EH112" s="9">
        <f>IF(ISNUMBER(SnapshotTable[[#This Row],[LC Premium]]), SnapshotTable[[#This Row],[LC Qty]] * 100 * SnapshotTable[[#This Row],[LC Strike Price]], "")</f>
        <v>0</v>
      </c>
      <c r="EI112" s="240" t="str">
        <f>IF(AND(ISNUMBER(SnapshotTable[[#This Row],[LC Total Value]]),SnapshotTable[[#This Row],[LC Total Value]]&gt;0),SnapshotTable[[#This Row],[LC Stop Gain Loss]]  / SnapshotTable[[#This Row],[LC Premium]],"")</f>
        <v/>
      </c>
      <c r="EJ112" s="35">
        <f>IF(ISNUMBER(SnapshotTable[[#This Row],[Equity Shares]]),TRUNC(SnapshotTable[[#This Row],[Equity Shares]] / 100),0) + SnapshotTable[[#This Row],[LC Qty]]</f>
        <v>0</v>
      </c>
      <c r="EK112" s="147"/>
      <c r="EL112" s="138" t="str">
        <f>IF(SnapshotTable[[#This Row],[SC Exp Date]]&lt;&gt;"",TRUNC(SnapshotTable[[#This Row],[Last Price]]),"")</f>
        <v/>
      </c>
      <c r="EM112" s="148"/>
      <c r="EN112" s="147"/>
      <c r="EO112" s="147"/>
      <c r="EP112" s="138"/>
      <c r="EQ112" s="419" t="b">
        <f>AND(ISNUMBER(SnapshotTable[[#This Row],[SC Exp Date]]), ISNUMBER(SnapshotTable[[#This Row],[SC Strike Price]]), ISNUMBER(SnapshotTable[[#This Row],[SC Qty]]), ISNUMBER(SnapshotTable[[#This Row],[SC Book Date]]), ISNUMBER(SnapshotTable[[#This Row],[SC Book Price]]))</f>
        <v>0</v>
      </c>
      <c r="ER112" s="419" t="b">
        <f>AND(SnapshotTable[[#This Row],[SC Is Booked]], NOT(ISBLANK(SnapshotTable[[#This Row],[SC Fill Date]])))</f>
        <v>0</v>
      </c>
      <c r="ES112" s="370"/>
      <c r="ET112" s="34" t="str">
        <f>IF(AND(ISNUMBER(SnapshotTable[[#This Row],[SC Exp Date]]), ISNUMBER(SnapshotTable[[#This Row],[SC Book Date]])), SnapshotTable[[#This Row],[SC Exp Date]] - MAX(SnapshotTable[[#This Row],[SC Book Date]], SnapshotTable[[#This Row],[SC Fill Date]]) + 1, "")</f>
        <v/>
      </c>
      <c r="EU112" s="34" t="str">
        <f>IF(ISNUMBER(SnapshotTable[[#This Row],[SC Term]]), SnapshotTable[[#This Row],[SC Exp Date]]- MockToday, "")</f>
        <v/>
      </c>
      <c r="EV112" s="31">
        <f>IF(SnapshotTable[[#This Row],[SC Is Booked]], SnapshotTable[[#This Row],[SC Qty]] * SnapshotTable[[#This Row],[SC Book Price]] * 100, 0)</f>
        <v>0</v>
      </c>
      <c r="EW112" s="4" t="str">
        <f>IF(AND(ISNUMBER(SnapshotTable[[#This Row],[Last Price]]), ISNUMBER( SnapshotTable[[#This Row],[SC Book Price]])), SnapshotTable[[#This Row],[Last Price]] - SnapshotTable[[#This Row],[SC Book Price]],"")</f>
        <v/>
      </c>
      <c r="EX112" s="234" t="str">
        <f>IF(SnapshotTable[[#This Row],[SC Is Booked]],IF(SnapshotTable[[#This Row],[SC Intrinsic Value]] &gt; 0, SnapshotTable[[#This Row],[SC Strike Price]], SnapshotTable[[#This Row],[Last Price]]), "")</f>
        <v/>
      </c>
      <c r="EY112" s="4">
        <f>IF(SnapshotTable[[#This Row],[SC Is Booked]], (MinimumPremiumRequired * SnapshotTable[[#This Row],[SC Basis]] * SnapshotTable[[#This Row],[SC Term]]), 0)</f>
        <v>0</v>
      </c>
      <c r="EZ112" s="283"/>
      <c r="FA112" s="218"/>
      <c r="FB112" s="370"/>
      <c r="FC112" s="4">
        <f>IF(SnapshotTable[[#This Row],[SC Is Filled]], btc_max_buyback_amount(SnapshotTable[[#This Row],[SC Fill Date]],SnapshotTable[[#This Row],[SC Exp Date]], SnapshotTable[[#This Row],[SC Book Price]]),0)</f>
        <v>0</v>
      </c>
      <c r="FD112" s="5"/>
      <c r="FE112" s="144" t="str">
        <f>IF(SnapshotTable[[#This Row],[SC Is Filled]], btc_next_cutoff_date(SnapshotTable[[#This Row],[SC Fill Date]],SnapshotTable[[#This Row],[SC Exp Date]]),"")</f>
        <v/>
      </c>
      <c r="FF112" s="4" t="str" cm="1">
        <f t="array" ref="FF112">IF(SnapshotTable[[#This Row],[SC Is Filled]], btc_should_buy_back(SnapshotTable[[#This Row],[SC Fill Date]], SnapshotTable[[#This Row],[SC Exp Date]], SnapshotTable[[#This Row],[SC Book Price]], SnapshotTable[[#This Row],[SC Current Ask]], MockToday, SnapshotTable[[#This Row],[SC Buyback Override]]),"")</f>
        <v/>
      </c>
      <c r="FG112" s="4">
        <f>IF(SnapshotTable[[#This Row],[SC Is Filled]], MAX(0,SnapshotTable[[#This Row],[Last Price]]  - SnapshotTable[[#This Row],[SC Strike Price]]), 0)</f>
        <v>0</v>
      </c>
      <c r="FH112" s="382">
        <f>IF(SnapshotTable[[#This Row],[SC Is Filled]], IF(ISNUMBER(SnapshotTable[[#This Row],[SC Current Ask]]), SnapshotTable[[#This Row],[SC Current Ask]], SnapshotTable[[#This Row],[SC Book Price]]) - SnapshotTable[[#This Row],[SC Intrinsic Value]], 0)</f>
        <v>0</v>
      </c>
      <c r="FI112" s="143"/>
      <c r="FJ112" s="32" t="str">
        <f>IF(SnapshotTable[[#This Row],[SC Is Filled]],100 * SnapshotTable[[#This Row],[SC Qty]] * IF(ISNUMBER(SnapshotTable[[#This Row],[SC Buyback Override]]), SnapshotTable[[#This Row],[SC Buyback Override]], SnapshotTable[[#This Row],[SC Current Ask]]), "")</f>
        <v/>
      </c>
      <c r="FK112" s="250" t="str">
        <f>IF(SnapshotTable[[#This Row],[SC Time Val]]&gt;0, SnapshotTable[[#This Row],[SC Time Val]] / SnapshotTable[[#This Row],[Last Price]],"")</f>
        <v/>
      </c>
      <c r="FL112" s="302" t="str">
        <f>IF(SnapshotTable[[#This Row],[SC Is Booked]], ((SnapshotTable[[#This Row],[Last Price]] -SnapshotTable[[#This Row],[SC Strike Price]]) / SnapshotTable[[#This Row],[Last Price]]) * -1, "")</f>
        <v/>
      </c>
      <c r="FM112" s="157" t="str">
        <f>IF(SnapshotTable[[#This Row],[SC Is Booked]],  (SnapshotTable[[#This Row],[SC Qty]] * 100 * SnapshotTable[[#This Row],[SC Strike Price]]) - SnapshotTable[[#This Row],[SC Current Ask]], "")</f>
        <v/>
      </c>
      <c r="FN11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2" s="31" t="str">
        <f>IF(AND(ISNUMBER(SnapshotTable[[#This Row],[SC Exercise Gross]]), ISNUMBER(SnapshotTable[[#This Row],[Equity Basis Per Share]] )), SnapshotTable[[#This Row],[SC Exercise Gross]] - SnapshotTable[[#This Row],[Equity Basis Total]] +  SnapshotTable[[#This Row],[SC Premium]], "")</f>
        <v/>
      </c>
      <c r="FP112" s="5" t="str">
        <f>IF(ISNUMBER(SnapshotTable[[#This Row],[SC Exercise Gross]]), (SnapshotTable[[#This Row],[SC Exercise Gross]]) / (SnapshotTable[[#This Row],[SC Qty]] * 100), "")</f>
        <v/>
      </c>
      <c r="FQ112" s="27" t="str">
        <f>IF(SnapshotTable[[#This Row],[SC Is Booked]],SnapshotTable[[#This Row],[SC Time Val]] /SnapshotTable[[#This Row],[SC Basis]], "")</f>
        <v/>
      </c>
      <c r="FR112" s="27" t="str" cm="1">
        <f t="array" ref="FR112">IF(AND(ISNUMBER(SnapshotTable[[#This Row],[SC Term]]),ISNUMBER(SnapshotTable[[#This Row],[SC Simple ROO]])), EllmanAnnualize(SnapshotTable[[#This Row],[SC DTE]], SnapshotTable[[#This Row],[SC Simple ROO]] ),"")</f>
        <v/>
      </c>
      <c r="FS112" s="4" t="e">
        <f>IF(SnapshotTable[[#This Row],[SC Strike Price]] &gt; SnapshotTable[[#This Row],[Last Price]], SnapshotTable[[#This Row],[SC Strike Price]] - SnapshotTable[[#This Row],[Last Price]],0)</f>
        <v>#VALUE!</v>
      </c>
      <c r="FT112" s="27" t="e">
        <f>IF(AND(ISNUMBER(SnapshotTable[[#This Row],[SC Upside Potential]]), SnapshotTable[[#This Row],[SC Upside Potential]] &gt; 0),(SnapshotTable[[#This Row],[SC Upside Potential]]/ SnapshotTable[[#This Row],[ACB]]),"")</f>
        <v>#VALUE!</v>
      </c>
      <c r="FU112" s="333" t="str">
        <f>IF(SnapshotTable[[#This Row],[SC Intrinsic Value]] &gt; 0,SnapshotTable[[#This Row],[SC Intrinsic Value]],"")</f>
        <v/>
      </c>
      <c r="FV112" s="27" t="str">
        <f>IF(AND( ISNUMBER( SnapshotTable[[#This Row],[ACB]]),ISNUMBER(SnapshotTable[[#This Row],[SC Downside Protect]])),SnapshotTable[[#This Row],[SC Downside Protect]] / SnapshotTable[[#This Row],[ACB]],"")</f>
        <v/>
      </c>
      <c r="FW112" s="236" t="str">
        <f>IF(AND(ISNUMBER(SnapshotTable[[#This Row],[SC Simple ROO]]),SnapshotTable[[#This Row],[SC Simple ROO]] &gt; 0), SnapshotTable[[#This Row],[SC Premium]] + (SnapshotTable[[#This Row],[SC Qty]] * SnapshotTable[[#This Row],[SC Upside Potential]]), "")</f>
        <v/>
      </c>
      <c r="FX112" s="302" t="str" cm="1">
        <f t="array" ref="FX112">IF(ISNUMBER(SnapshotTable[[#This Row],[SC Max Dollars]]), annualize(SnapshotTable[[#This Row],[SC Term]],(SnapshotTable[[#This Row],[SC Max Dollars]]/SnapshotTable[[#This Row],[SC Basis]])),"")</f>
        <v/>
      </c>
      <c r="FY112" s="236" t="str">
        <f>IF(AND(SnapshotTable[[#This Row],[SC Qty]]&gt;0,SnapshotTable[[#This Row],[SC Current Ask]]&gt;0), SnapshotTable[[#This Row],[SC Qty]] * SnapshotTable[[#This Row],[SC Current Ask]] * -100, "")</f>
        <v/>
      </c>
      <c r="FZ112" s="31" t="str">
        <f>IF(ISNUMBER((SnapshotTable[[#This Row],[SC Current Value]])), SnapshotTable[[#This Row],[SC Premium]] + SnapshotTable[[#This Row],[SC Current Value]], "")</f>
        <v/>
      </c>
      <c r="GA112" s="294" t="str">
        <f>IFERROR( IF(ISNUMBER((SnapshotTable[[#This Row],[SC Current Value]])), SnapshotTable[[#This Row],[SC Gain Loss]] / SnapshotTable[[#This Row],[SC Premium]], ""), "")</f>
        <v/>
      </c>
      <c r="GB112" s="42">
        <f>SnapshotTable[[#This Row],[Equity Shares]] * SaleSharesToConsiderPercentage</f>
        <v>0</v>
      </c>
      <c r="GC112" s="40">
        <f>SnapshotTable[[#This Row],[Long Term Target]] * SellingPriceToConsiderBasedOnTargetPercentage</f>
        <v>185.25</v>
      </c>
      <c r="GD112" s="40">
        <f>SnapshotTable[[#This Row],[Last Price]] * (1+ SellingPriceToConsiderBasedOnTargetPercentage)</f>
        <v>376.31099999999998</v>
      </c>
      <c r="GE112" s="41"/>
      <c r="GF112" s="40"/>
      <c r="GG112" s="31">
        <f>SnapshotTable[[#This Row],[Booked Sale Shares]] * SnapshotTable[[#This Row],[Booked Sale Price]]</f>
        <v>0</v>
      </c>
      <c r="GH112" s="31" t="str">
        <f>IF(SnapshotTable[[#This Row],[Equity Basis Total]] &gt; 0, SnapshotTable[[#This Row],[Equity Basis Per Share]] * SnapshotTable[[#This Row],[Booked Sale Shares]], "")</f>
        <v/>
      </c>
      <c r="GI112" s="31">
        <f>IF(SnapshotTable[[#This Row],[Sale Proceeds]]&gt;0, SnapshotTable[[#This Row],[Sale Proceeds]] - SnapshotTable[[#This Row],[Sale Basis]], 0)</f>
        <v>0</v>
      </c>
      <c r="GJ112" s="27" t="str">
        <f>IF(SnapshotTable[[#This Row],[Sale G/L]]&gt;0, SnapshotTable[[#This Row],[Sale G/L]] / SnapshotTable[[#This Row],[Sale Basis]], IF(ISNUMBER(SnapshotTable[[#This Row],[SC Exercise P&amp;L (TAX)]]), SnapshotTable[[#This Row],[SC Exercise P&amp;L (TAX)]] / SnapshotTable[[#This Row],[SC Basis]], ""))</f>
        <v/>
      </c>
      <c r="GK112" s="27" t="s">
        <v>1114</v>
      </c>
      <c r="GL112" s="43" t="str">
        <f>IF(AND(SnapshotTable[[#This Row],[LP Exp Date]]&gt;0,SnapshotTable[[#This Row],[LP Strike Price]]&gt;0), [1]!ToOptionSymbol(SnapshotTable[[#This Row],[Symbol]], SnapshotTable[[#This Row],[LP Strike Price]],SnapshotTable[[#This Row],[LP Exp Date]],1), "")</f>
        <v/>
      </c>
      <c r="GM112" s="30" t="str">
        <f>IF(LEN(SnapshotTable[[#This Row],[LP Symbol]])&gt;0, 1, "")</f>
        <v/>
      </c>
      <c r="GN112" s="43" t="str">
        <f>IF(AND(SnapshotTable[[#This Row],[SP Exp Date]]&gt;0,SnapshotTable[[#This Row],[SP Strike Price]]&gt;0), [1]!ToOptionSymbol(SnapshotTable[[#This Row],[Symbol]], SnapshotTable[[#This Row],[SP Strike Price]],SnapshotTable[[#This Row],[SP Exp Date]],1), "")</f>
        <v/>
      </c>
      <c r="GO112" s="30" t="str">
        <f>IF(LEN(SnapshotTable[[#This Row],[SP Symbol]])&gt;0, 1, "")</f>
        <v/>
      </c>
      <c r="GP112" s="43" t="str">
        <f>IF(AND(SnapshotTable[[#This Row],[LC Exp Date]]&gt;0,SnapshotTable[[#This Row],[LC Strike Price]]&gt;0), [1]!ToOptionSymbol(SnapshotTable[[#This Row],[Symbol]], SnapshotTable[[#This Row],[LC Strike Price]],SnapshotTable[[#This Row],[LC Exp Date]],0), "")</f>
        <v/>
      </c>
      <c r="GQ112" s="30" t="str">
        <f>IF(LEN(SnapshotTable[[#This Row],[LC Symbol]])&gt;0, 1, "")</f>
        <v/>
      </c>
      <c r="GR112" s="43" t="str">
        <f>IF(AND(SnapshotTable[[#This Row],[SC Exp Date]]&gt;0,SnapshotTable[[#This Row],[SC Strike Price]]&gt;0), [1]!ToOptionSymbol(SnapshotTable[[#This Row],[Symbol]], SnapshotTable[[#This Row],[SC Strike Price]],SnapshotTable[[#This Row],[SC Exp Date]],0), "")</f>
        <v/>
      </c>
      <c r="GS112" s="30" t="str">
        <f>IF(LEN(SnapshotTable[[#This Row],[SC Symbol]])&gt;0, 1, "")</f>
        <v/>
      </c>
      <c r="GT112" s="29" t="str">
        <f>IF(COUNT(SnapshotTable[[#This Row],[LP Symbol Count]],SnapshotTable[[#This Row],[SP Symbol Count]],SnapshotTable[[#This Row],[LC Symbol Count]],SnapshotTable[[#This Row],[SC Symbol Count]])&gt;0, "Y", "")</f>
        <v/>
      </c>
      <c r="GU11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2" s="231" t="e">
        <f>MAX(SnapshotTable[[#This Row],[Equity Basis Total]],SnapshotTable[[#This Row],[Equity Value]]) + (SnapshotTable[[#This Row],[SP Potential Spend]]- SnapshotTable[[#This Row],[SP Premium]] + SnapshotTable[[#This Row],[LP Premium]])+ (SnapshotTable[[#This Row],[LC Premium]] - SnapshotTable[[#This Row],[SC Premium]])</f>
        <v>#VALUE!</v>
      </c>
      <c r="GW112" s="139" t="e">
        <f>IF(AND(SnapshotTable[[#This Row],[Exposure]] &lt;&gt; 0),SnapshotTable[[#This Row],[Exposure]] / SnapshotTable[[#Totals],[Exposure]], "")</f>
        <v>#VALUE!</v>
      </c>
      <c r="HE112" s="268"/>
      <c r="HF112" s="268"/>
      <c r="HK112" s="1"/>
      <c r="HL112" s="1"/>
      <c r="HM112" s="1"/>
      <c r="HN112" s="1"/>
      <c r="HO112" s="1"/>
      <c r="HP112" s="1"/>
    </row>
    <row r="113" spans="2:224" ht="12.75" hidden="1" customHeight="1" x14ac:dyDescent="0.25">
      <c r="B113" s="12" t="s">
        <v>1174</v>
      </c>
      <c r="C113" s="422">
        <v>90.43</v>
      </c>
      <c r="D113" s="208"/>
      <c r="E113" s="39">
        <f>SnapshotTable[[#This Row],[Last Price]]*(1 -CrashDiscount)</f>
        <v>76.865499999999997</v>
      </c>
      <c r="F113" s="26" t="s">
        <v>120</v>
      </c>
      <c r="G113" s="325" t="s">
        <v>872</v>
      </c>
      <c r="H113" s="149"/>
      <c r="I113" s="194"/>
      <c r="J113" s="195"/>
      <c r="K113" s="196"/>
      <c r="L113" s="326"/>
      <c r="M113" s="140"/>
      <c r="N113" s="140"/>
      <c r="O113" s="140"/>
      <c r="P113" s="22"/>
      <c r="Q113" s="25"/>
      <c r="R113" s="4" t="str">
        <f>IF(SnapshotTable[[#This Row],[Equity Basis Total]] &gt; 0, SnapshotTable[[#This Row],[Equity Basis Total]] / SnapshotTable[[#This Row],[Equity Shares]], "")</f>
        <v/>
      </c>
      <c r="S113" s="269">
        <f>SnapshotTable[[#This Row],[Last Price]] * SnapshotTable[[#This Row],[Equity Shares]]</f>
        <v>0</v>
      </c>
      <c r="T113" s="269">
        <f>SnapshotTable[[#This Row],[Equity Value]] - SnapshotTable[[#This Row],[Equity Basis Total]]</f>
        <v>0</v>
      </c>
      <c r="U113" s="270" t="str">
        <f>IF(SnapshotTable[[#This Row],[Equity Basis Total]] &gt; 0, SnapshotTable[[#This Row],[Equity G/L]] / SnapshotTable[[#This Row],[Equity Basis Total]], "")</f>
        <v/>
      </c>
      <c r="V113" s="268">
        <v>115.75</v>
      </c>
      <c r="W113" s="268">
        <v>99.95</v>
      </c>
      <c r="X113" s="4" t="str">
        <f>IF(AND(ISNUMBER(SnapshotTable[[#This Row],[Equity Basis Per Share]]),ISNUMBER(SnapshotTable[[#This Row],[Equity Target]])),SnapshotTable[[#This Row],[Equity Target]]-SnapshotTable[[#This Row],[Equity Basis Per Share]],"")</f>
        <v/>
      </c>
      <c r="Y113" s="4" t="str">
        <f>IF(AND(ISNUMBER(SnapshotTable[[#This Row],[Equity Basis Per Share]]),ISNUMBER(SnapshotTable[[#This Row],[Equity Stop Loss]])),SnapshotTable[[#This Row],[Equity Stop Loss]]-SnapshotTable[[#This Row],[Equity Basis Per Share]],"")</f>
        <v/>
      </c>
      <c r="Z113" s="275" t="str">
        <f>IFERROR( TEXT(SnapshotTable[[#This Row],[Equity Max Gain Per Share]] /ABS( SnapshotTable[[#This Row],[Equity Max Loss Per Share]]),"0.0 " ) &amp; " : 1", "")</f>
        <v/>
      </c>
      <c r="AA113" s="31" t="str">
        <f>IF(ISNUMBER(SnapshotTable[[#This Row],[Equity Max Gain Per Share]]),SnapshotTable[[#This Row],[Equity Max Gain Per Share]] * SnapshotTable[[#This Row],[Equity Shares]],"")</f>
        <v/>
      </c>
      <c r="AB113" s="31" t="str">
        <f>IF(ISNUMBER(SnapshotTable[[#This Row],[Equity Max Loss Per Share]]),SnapshotTable[[#This Row],[Equity Max Loss Per Share]] * SnapshotTable[[#This Row],[Equity Shares]],"")</f>
        <v/>
      </c>
      <c r="AC113" s="150"/>
      <c r="AD113" s="151"/>
      <c r="AE113" s="31">
        <f>(SnapshotTable[[#This Row],[Annual Dividend Per Share]] / 4) * SnapshotTable[[#This Row],[Equity Shares]]</f>
        <v>0</v>
      </c>
      <c r="AF113" s="31">
        <f>SnapshotTable[[#This Row],[Quarterly Div $]] * 4</f>
        <v>0</v>
      </c>
      <c r="AG113" s="7">
        <f>IF(SnapshotTable[[#This Row],[Annual Dividend Per Share]]&gt;0, SnapshotTable[[#This Row],[Annual Dividend Per Share]]  / SnapshotTable[[#This Row],[Last Price]], 0)</f>
        <v>0</v>
      </c>
      <c r="AH113" s="151"/>
      <c r="AI113" s="5"/>
      <c r="AJ113" s="138"/>
      <c r="AK113" s="152" t="str">
        <f>IF(ISNUMBER( SnapshotTable[[#This Row],[EBF Target]]),(SnapshotTable[[#This Row],[EBF Target]] - SnapshotTable[[#This Row],[Last Price]]) / SnapshotTable[[#This Row],[Last Price]], "")</f>
        <v/>
      </c>
      <c r="AL113" s="152" t="str">
        <f>IF(AND(SnapshotTable[[#This Row],[Equity Basis Total]] &gt; 0,ISNUMBER( SnapshotTable[[#This Row],[Long Term Target]])), SnapshotTable[[#This Row],[From Basis $]] / SnapshotTable[[#This Row],[Equity Basis Total]], "")</f>
        <v/>
      </c>
      <c r="AM113" s="9">
        <f>IF( AND(SnapshotTable[[#This Row],[Equity Shares]] &gt;0,ISNUMBER( SnapshotTable[[#This Row],[Long Term Target]])),(SnapshotTable[[#This Row],[Equity Shares]] * SnapshotTable[[#This Row],[Long Term Target]]) - SnapshotTable[[#This Row],[Equity Basis Total]],0)</f>
        <v>0</v>
      </c>
      <c r="AN113" s="9">
        <f>IF( AND(SnapshotTable[[#This Row],[Equity Shares]] &gt;0,ISNUMBER( SnapshotTable[[#This Row],[Long Term Target]])),(SnapshotTable[[#This Row],[Equity Shares]]*SnapshotTable[[#This Row],[Long Term Target]]) - SnapshotTable[[#This Row],[Equity Value]],0)</f>
        <v>0</v>
      </c>
      <c r="AO113" s="152" t="str">
        <f>IF(AND(ISNUMBER( SnapshotTable[[#This Row],[Long Term Target]]), ISNUMBER(SnapshotTable[[#This Row],[Last Price]])),(SnapshotTable[[#This Row],[Long Term Target]] - SnapshotTable[[#This Row],[Last Price]]) / SnapshotTable[[#This Row],[Last Price]], "")</f>
        <v/>
      </c>
      <c r="AP113" s="5"/>
      <c r="AQ113" s="38"/>
      <c r="AR113" s="5"/>
      <c r="AS113" s="38"/>
      <c r="AT113" s="146"/>
      <c r="AU113" s="187" t="str">
        <f>IF(OR(SnapshotTable[[#This Row],[LP No Fill]]="Y",SnapshotTable[[#This Row],[SP Is Filled]],SnapshotTable[[#This Row],[LC Not Filled]]="Y",SnapshotTable[[#This Row],[SC Is Filled]]),"Y","")</f>
        <v/>
      </c>
      <c r="AV113" s="219"/>
      <c r="AW113" s="225"/>
      <c r="AX113" s="220"/>
      <c r="AY113" s="219" t="str">
        <f>IF(SnapshotTable[[#This Row],[Implied Move]]&gt;0, SnapshotTable[[#This Row],[Last Price]]-SnapshotTable[[#This Row],[Implied Move]],"")</f>
        <v/>
      </c>
      <c r="AZ113" s="219" t="str">
        <f>IF(SnapshotTable[[#This Row],[Implied Move]]&gt;0, SnapshotTable[[#This Row],[Last Price]] + SnapshotTable[[#This Row],[Implied Move]],"")</f>
        <v/>
      </c>
      <c r="BA113" s="331">
        <v>106.59</v>
      </c>
      <c r="BB113" s="347"/>
      <c r="BC11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3" s="351"/>
      <c r="BE113" s="5"/>
      <c r="BF113" s="14"/>
      <c r="BG113" s="13"/>
      <c r="BH113" s="13"/>
      <c r="BI113" s="5"/>
      <c r="BJ113" s="136">
        <f>IF(SnapshotTable[[#This Row],[LP Qty]] &gt; 0, SnapshotTable[[#This Row],[LP Qty]] * SnapshotTable[[#This Row],[LP Book Price]] * 100,0)</f>
        <v>0</v>
      </c>
      <c r="BK113" s="136">
        <f>IF(SnapshotTable[[#This Row],[LP Premium]] &gt; 0, SnapshotTable[[#This Row],[LP Qty]] * SnapshotTable[[#This Row],[LP Strike Price]] * 100,0)</f>
        <v>0</v>
      </c>
      <c r="BL113" s="154"/>
      <c r="BM113" s="385" t="str">
        <f>IF(SnapshotTable[[#This Row],[LP Premium]] &gt; 0,SnapshotTable[[#This Row],[LP Exp Date]]-MAX(SnapshotTable[[#This Row],[LP Book Date]], SnapshotTable[[#This Row],[LP Fill Date]]),"")</f>
        <v/>
      </c>
      <c r="BN113" s="385" t="str">
        <f>IF(ISNUMBER( SnapshotTable[[#This Row],[LP Term]]), SnapshotTable[[#This Row],[LP Exp Date]] - MockToday,"")</f>
        <v/>
      </c>
      <c r="BO113" s="163" t="str">
        <f>IF(AND(SnapshotTable[[#This Row],[LP Exp Date]]&gt;0, SnapshotTable[[#This Row],[LP Strike Price]]&gt;0,SnapshotTable[[#This Row],[LP Qty]]&gt;0,SnapshotTable[[#This Row],[LP Book Date]]&gt;0,SnapshotTable[[#This Row],[LP Book Price]]&gt;0,SnapshotTable[[#This Row],[LP Fill Date]]=0),"Y","")</f>
        <v/>
      </c>
      <c r="BP113" s="31" t="str">
        <f>IF(AND(SnapshotTable[[#This Row],[LP No Fill]]&lt;&gt;"Y",SnapshotTable[[#This Row],[LP Contract Value]]&gt;0, SnapshotTable[[#This Row],[LP Qty]]&gt;0), SnapshotTable[[#This Row],[LP Contract Value]]*SnapshotTable[[#This Row],[LP Qty]]*100,"")</f>
        <v/>
      </c>
      <c r="BQ113" s="13"/>
      <c r="BR113" s="5" t="str">
        <f>IF(SnapshotTable[[#This Row],[SP Exp Date]]&lt;&gt;"",TRUNC(SnapshotTable[[#This Row],[Last Price]]),"")</f>
        <v/>
      </c>
      <c r="BS113" s="36"/>
      <c r="BT113" s="147"/>
      <c r="BU113" s="13"/>
      <c r="BV113" s="5"/>
      <c r="BW113" s="419" t="b">
        <f>AND(ISNUMBER(SnapshotTable[[#This Row],[SP Exp Date]]), ISNUMBER(SnapshotTable[[#This Row],[SP Strike Price]]), ISNUMBER(SnapshotTable[[#This Row],[SP Qty]]), ISNUMBER(SnapshotTable[[#This Row],[SP Book Date]]), ISNUMBER(SnapshotTable[[#This Row],[SP Book Price]]))</f>
        <v>0</v>
      </c>
      <c r="BX113" s="419" t="b">
        <f>AND(SnapshotTable[[#This Row],[SP Is Booked]], NOT(ISBLANK(SnapshotTable[[#This Row],[SP Fill Date]])))</f>
        <v>0</v>
      </c>
      <c r="BY113" s="33">
        <f>IF(SnapshotTable[[#This Row],[SP Is Booked]], SnapshotTable[[#This Row],[SP Qty]] * SnapshotTable[[#This Row],[SP Book Price]] * 100, 0)</f>
        <v>0</v>
      </c>
      <c r="BZ113" s="369"/>
      <c r="CA113" s="368">
        <f>SnapshotTable[[#This Row],[LP Qty]]</f>
        <v>0</v>
      </c>
      <c r="CB113" s="4" t="str">
        <f>IF(SnapshotTable[[#This Row],[SP Is Booked]], SnapshotTable[[#This Row],[SP Strike Price]] - SnapshotTable[[#This Row],[SP Book Price]], "")</f>
        <v/>
      </c>
      <c r="CC113" s="19" t="str">
        <f>IF(SnapshotTable[[#This Row],[SP Is Booked]],SnapshotTable[[#This Row],[SP Exp Date]]-MAX(SnapshotTable[[#This Row],[SP Book Date]], SnapshotTable[[#This Row],[SP Fill Date]]),"")</f>
        <v/>
      </c>
      <c r="CD113" s="7" t="str">
        <f>IF(SnapshotTable[[#This Row],[SP Is Booked]], SnapshotTable[[#This Row],[SP Book Price]]/SnapshotTable[[#This Row],[SP Strike Price]], "")</f>
        <v/>
      </c>
      <c r="CE113" s="7" t="str">
        <f>IF(ISNUMBER(SnapshotTable[[#This Row],[SP ROO Term]]),SnapshotTable[[#This Row],[SP ROO Term]]*(365/SnapshotTable[[#This Row],[SP Term]]),"")</f>
        <v/>
      </c>
      <c r="CF113" s="236">
        <f>SnapshotTable[[#This Row],[LP Strike Price]] * SnapshotTable[[#This Row],[LP Qty]] * 100</f>
        <v>0</v>
      </c>
      <c r="CG113" s="31" t="e">
        <f>IF(ISNUMBER(SnapshotTable[[#This Row],[SP Premium]]), (SnapshotTable[[#This Row],[SP Qty]] * SnapshotTable[[#This Row],[SP Strike Price]]* 100) - SnapshotTable[[#This Row],[LP Protection]], 0)</f>
        <v>#VALUE!</v>
      </c>
      <c r="CH113" s="7" t="str">
        <f>IF(ISNUMBER(SnapshotTable[[#This Row],[SP Break Even]]),-1 * (SnapshotTable[[#This Row],[SP Break Even]] - SnapshotTable[[#This Row],[Last Price]]) / SnapshotTable[[#This Row],[Last Price]], "")</f>
        <v/>
      </c>
      <c r="CI113" s="31">
        <f>IF(AND(ISNUMBER((SnapshotTable[[#This Row],[SP Potential Spend]])), SnapshotTable[[#This Row],[SP Strike Price]] &gt; SnapshotTable[[#This Row],[Last Price]], SnapshotTable[[#This Row],[SP Is Filled]]), SnapshotTable[[#This Row],[SP Potential Spend]] -  SnapshotTable[[#This Row],[LP Max Value]], 0)</f>
        <v>0</v>
      </c>
      <c r="CJ113" s="244"/>
      <c r="CK113" s="31" t="str">
        <f>IF(ISNUMBER(SnapshotTable[[#This Row],[SP Potential Spend]]),IF(ISNUMBER(SnapshotTable[[#This Row],[SP POW]]), SnapshotTable[[#This Row],[SP POW]] * SnapshotTable[[#This Row],[SP Potential Spend]], SnapshotTable[[#This Row],[SP Potential Spend]]), "")</f>
        <v/>
      </c>
      <c r="CL113" s="164" t="e">
        <f>IF(NOT(SnapshotTable[[#This Row],[SP Is Filled]]),(SnapshotTable[[#This Row],[SP Qty]] * SnapshotTable[[#This Row],[SP Strike Price]] * 100) - SnapshotTable[[#This Row],[LP Max Value]],"")</f>
        <v>#VALUE!</v>
      </c>
      <c r="CM113" s="31" t="str">
        <f>IF(SnapshotTable[[#This Row],[SP Actual Spend]]&lt;&gt;0, ((SnapshotTable[[#This Row],[SP Strike Price]]-SnapshotTable[[#This Row],[Last Price]]) *(SnapshotTable[[#This Row],[SP Qty]]*100) - SnapshotTable[[#This Row],[SP Premium]]) * - 1, "")</f>
        <v/>
      </c>
      <c r="CN113" s="78"/>
      <c r="CO113" s="369"/>
      <c r="CP113" s="4" t="str">
        <f>IF(SnapshotTable[[#This Row],[SP Is Filled]], btc_max_buyback_amount(SnapshotTable[[#This Row],[SP Fill Date]],SnapshotTable[[#This Row],[SP Exp Date]], SnapshotTable[[#This Row],[SP Book Price]]),"")</f>
        <v/>
      </c>
      <c r="CQ113" s="78"/>
      <c r="CR11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3" s="155" t="str">
        <f>IF(SnapshotTable[[#This Row],[SP Is Filled]], btc_next_cutoff_date(SnapshotTable[[#This Row],[SP Fill Date]],SnapshotTable[[#This Row],[SP Exp Date]]),"")</f>
        <v/>
      </c>
      <c r="CT113" s="235" t="str" cm="1">
        <f t="array" ref="CT113">IF(SnapshotTable[[#This Row],[SP Is Filled]], btc_should_buy_back(SnapshotTable[[#This Row],[SP Fill Date]], SnapshotTable[[#This Row],[SP Exp Date]], SnapshotTable[[#This Row],[SP Book Price]], SnapshotTable[[#This Row],[SP Current Ask]], MockToday, SnapshotTable[[#This Row],[SP Buyback Override]]),"")</f>
        <v/>
      </c>
      <c r="CU113" s="156"/>
      <c r="CV113" s="235"/>
      <c r="CW113" s="378" t="str">
        <f>IF(ISNUMBER( SnapshotTable[[#This Row],[SP Term]]), SnapshotTable[[#This Row],[SP Exp Date]] - MockToday,"")</f>
        <v/>
      </c>
      <c r="CX113" s="31" t="str">
        <f>IF(SnapshotTable[[#This Row],[SP Is Filled]],SnapshotTable[[#This Row],[SP Buyback Price to Use]] * 100 * SnapshotTable[[#This Row],[SP Qty]], "")</f>
        <v/>
      </c>
      <c r="CY113" s="4" t="str">
        <f>IF(ISNUMBER(SnapshotTable[[#This Row],[SP Strike Price]]), SnapshotTable[[#This Row],[SP Strike Price]] * (1 - SP_MaxLoss_StrikePct), "")</f>
        <v/>
      </c>
      <c r="CZ113" s="31" t="str">
        <f>IF(ISNUMBER(SnapshotTable[[#This Row],[SP Strike  Stop Per Share]]),SnapshotTable[[#This Row],[SP Premium]] - ((SnapshotTable[[#This Row],[SP Strike Price]]-SnapshotTable[[#This Row],[SP Strike  Stop Per Share]]) *(SnapshotTable[[#This Row],[SP Qty]] * 100)),"")</f>
        <v/>
      </c>
      <c r="DA113" s="4" t="str">
        <f>IF(AND(ISNUMBER(SnapshotTable[[#This Row],[SP Premium]]),SnapshotTable[[#This Row],[SP Premium]]&gt;0), SnapshotTable[[#This Row],[SP Book Price]] * (1 + SP_MaxLoss_OptionPct), "")</f>
        <v/>
      </c>
      <c r="DB113" s="31" t="str">
        <f>IF(ISNUMBER(SnapshotTable[[#This Row],[SP Option  Stop Contract]]),(SnapshotTable[[#This Row],[SP Option  Stop Contract]] *(SnapshotTable[[#This Row],[SP Qty]] * 100) - SnapshotTable[[#This Row],[SP Premium]]),"")</f>
        <v/>
      </c>
      <c r="DC113" s="4"/>
      <c r="DD113" s="4"/>
      <c r="DE113" s="4" t="str">
        <f>IF(AND(SnapshotTable[[#This Row],[SP Qty]]&gt;0, SnapshotTable[[#This Row],[SP Stop To Use]]&gt;0),SnapshotTable[[#This Row],[SP Premium]] - ( SnapshotTable[[#This Row],[SP Qty]] * SnapshotTable[[#This Row],[SP Stop To Use]] * 100), "")</f>
        <v/>
      </c>
      <c r="DF113" s="31" t="str">
        <f>IF(AND(SnapshotTable[[#This Row],[SP Qty]]&gt;0,SnapshotTable[[#This Row],[SP Current Ask]]&gt;0), SnapshotTable[[#This Row],[SP Qty]] * SnapshotTable[[#This Row],[SP Current Ask]] * -100, "")</f>
        <v/>
      </c>
      <c r="DG113" s="31" t="str">
        <f>IF(ISNUMBER((SnapshotTable[[#This Row],[SP Total Value]])), SnapshotTable[[#This Row],[SP Premium]] + SnapshotTable[[#This Row],[SP Total Value]], "")</f>
        <v/>
      </c>
      <c r="DH113" s="294" t="str">
        <f>IF(ISNUMBER((SnapshotTable[[#This Row],[SP Total Value]])), SnapshotTable[[#This Row],[SP Gain Loss]] / SnapshotTable[[#This Row],[SP Premium]], "")</f>
        <v/>
      </c>
      <c r="DI113" s="406"/>
      <c r="DJ113" s="138"/>
      <c r="DK113" s="148"/>
      <c r="DL113" s="13"/>
      <c r="DM113" s="13"/>
      <c r="DO113" s="31">
        <f>IF(SnapshotTable[[#This Row],[LC Symbol Count]]=1, SnapshotTable[[#This Row],[LC Qty]] * SnapshotTable[[#This Row],[LC Book Price]] * 100, 0)</f>
        <v>0</v>
      </c>
      <c r="DP113" s="163" t="str">
        <f>IF(AND(SnapshotTable[[#This Row],[LC Exp Date]]&gt;0, SnapshotTable[[#This Row],[LC Strike Price]]&gt;0,SnapshotTable[[#This Row],[LC Qty]]&gt;0,SnapshotTable[[#This Row],[LC Book Date]]&gt;0,SnapshotTable[[#This Row],[LC Book Price]]&gt;0,SnapshotTable[[#This Row],[LC Fill Date]]=0),"Y","")</f>
        <v/>
      </c>
      <c r="DQ113" s="386" t="str">
        <f>IF(SnapshotTable[[#This Row],[LC Premium]] &gt; 0,SnapshotTable[[#This Row],[LC Exp Date]]-MAX(SnapshotTable[[#This Row],[LC Book Date]], SnapshotTable[[#This Row],[LC Fill Date]]),"")</f>
        <v/>
      </c>
      <c r="DR113" s="386" t="str">
        <f>IF(ISNUMBER(SnapshotTable[[#This Row],[LC Term]]), SnapshotTable[[#This Row],[LC Exp Date]] - MockToday, "")</f>
        <v/>
      </c>
      <c r="DS113" s="234" t="str">
        <f>IF(SnapshotTable[[#This Row],[LC Premium]]&gt;0,SnapshotTable[[#This Row],[LC Strike Price]] + SnapshotTable[[#This Row],[LC Book Price]],"")</f>
        <v/>
      </c>
      <c r="DU113" s="9" t="str">
        <f>IF(AND(SnapshotTable[[#This Row],[LC Symbol Count]]&gt;0, SnapshotTable[[#This Row],[LC Contract Value]]&gt;0), SnapshotTable[[#This Row],[LC Contract Value]] * SnapshotTable[[#This Row],[LC Qty]] * 100, "")</f>
        <v/>
      </c>
      <c r="DV113" s="9" t="str">
        <f>IF(AND(ISNUMBER(SnapshotTable[[#This Row],[LC Total Value]]), SnapshotTable[[#This Row],[LC Not Filled]]&lt;&gt;"Y"), SnapshotTable[[#This Row],[LC Total Value]]-SnapshotTable[[#This Row],[LC Premium]],"")</f>
        <v/>
      </c>
      <c r="DW113" s="240" t="str">
        <f>IF(ISNUMBER(SnapshotTable[[#This Row],[LC Actual Gain Loss]]), SnapshotTable[[#This Row],[LC Actual Gain Loss]] / SnapshotTable[[#This Row],[LC Premium]],"")</f>
        <v/>
      </c>
      <c r="DX113" s="284" t="str">
        <f>IF(ISNUMBER(SnapshotTable[[#This Row],[LC Book Price]]),SnapshotTable[[#This Row],[LC Book Price]] * 1.5,"")</f>
        <v/>
      </c>
      <c r="DY113" s="265" t="str">
        <f>IF(SnapshotTable[[#This Row],[LC Premium]]&gt;0, SnapshotTable[[#This Row],[LC Next Target]] * SnapshotTable[[#This Row],[LC Qty]] * 100,"")</f>
        <v/>
      </c>
      <c r="DZ113" s="265" t="str">
        <f>IF(ISNUMBER(SnapshotTable[[#This Row],[LC Target Gross]]), SnapshotTable[[#This Row],[LC Target Gross]] - SnapshotTable[[#This Row],[LC Premium]], "")</f>
        <v/>
      </c>
      <c r="EA113" s="305" t="str">
        <f>IF(ISNUMBER(SnapshotTable[[#This Row],[LC Target Gain Loss]]), SnapshotTable[[#This Row],[LC Target Gain Loss]]/SnapshotTable[[#This Row],[LC Premium]], "")</f>
        <v/>
      </c>
      <c r="EB113" s="262"/>
      <c r="EC113" s="283" t="str">
        <f>IF(SnapshotTable[[#This Row],[LC Premium]]&gt;0, SnapshotTable[[#This Row],[LC Book Price]] * (1 - LC_StopLoss_Pct),"")</f>
        <v/>
      </c>
      <c r="ED113" s="284"/>
      <c r="EE113" s="283" t="str">
        <f>IF(ISNUMBER(SnapshotTable[[#This Row],[LC Contract Value]]),IF(ISNUMBER(SnapshotTable[[#This Row],[LC Stop Loss Override]]), SnapshotTable[[#This Row],[LC Stop Loss Override]],SnapshotTable[[#This Row],[LC Stop Loss Calc Target]]),"")</f>
        <v/>
      </c>
      <c r="EF113" s="31" t="str">
        <f>IF(ISNUMBER(SnapshotTable[[#This Row],[LC Stop  To Use]]), (SnapshotTable[[#This Row],[LC Stop  To Use]] * SnapshotTable[[#This Row],[LC Qty]] * 100),"")</f>
        <v/>
      </c>
      <c r="EG113" s="9" t="str">
        <f>IF(ISNUMBER(SnapshotTable[[#This Row],[LC Total Value]]),SnapshotTable[[#This Row],[LC Stop Loss Amount]] - SnapshotTable[[#This Row],[LC Premium]],"")</f>
        <v/>
      </c>
      <c r="EH113" s="9">
        <f>IF(ISNUMBER(SnapshotTable[[#This Row],[LC Premium]]), SnapshotTable[[#This Row],[LC Qty]] * 100 * SnapshotTable[[#This Row],[LC Strike Price]], "")</f>
        <v>0</v>
      </c>
      <c r="EI113" s="240" t="str">
        <f>IF(AND(ISNUMBER(SnapshotTable[[#This Row],[LC Total Value]]),SnapshotTable[[#This Row],[LC Total Value]]&gt;0),SnapshotTable[[#This Row],[LC Stop Gain Loss]]  / SnapshotTable[[#This Row],[LC Premium]],"")</f>
        <v/>
      </c>
      <c r="EJ113" s="35">
        <f>IF(ISNUMBER(SnapshotTable[[#This Row],[Equity Shares]]),TRUNC(SnapshotTable[[#This Row],[Equity Shares]] / 100),0) + SnapshotTable[[#This Row],[LC Qty]]</f>
        <v>0</v>
      </c>
      <c r="EK113" s="147"/>
      <c r="EL113" s="138" t="str">
        <f>IF(SnapshotTable[[#This Row],[SC Exp Date]]&lt;&gt;"",TRUNC(SnapshotTable[[#This Row],[Last Price]]),"")</f>
        <v/>
      </c>
      <c r="EM113" s="148"/>
      <c r="EN113" s="147"/>
      <c r="EO113" s="147"/>
      <c r="EP113" s="138"/>
      <c r="EQ113" s="419" t="b">
        <f>AND(ISNUMBER(SnapshotTable[[#This Row],[SC Exp Date]]), ISNUMBER(SnapshotTable[[#This Row],[SC Strike Price]]), ISNUMBER(SnapshotTable[[#This Row],[SC Qty]]), ISNUMBER(SnapshotTable[[#This Row],[SC Book Date]]), ISNUMBER(SnapshotTable[[#This Row],[SC Book Price]]))</f>
        <v>0</v>
      </c>
      <c r="ER113" s="419" t="b">
        <f>AND(SnapshotTable[[#This Row],[SC Is Booked]], NOT(ISBLANK(SnapshotTable[[#This Row],[SC Fill Date]])))</f>
        <v>0</v>
      </c>
      <c r="ES113" s="370"/>
      <c r="ET113" s="34" t="str">
        <f>IF(AND(ISNUMBER(SnapshotTable[[#This Row],[SC Exp Date]]), ISNUMBER(SnapshotTable[[#This Row],[SC Book Date]])), SnapshotTable[[#This Row],[SC Exp Date]] - MAX(SnapshotTable[[#This Row],[SC Book Date]], SnapshotTable[[#This Row],[SC Fill Date]]) + 1, "")</f>
        <v/>
      </c>
      <c r="EU113" s="34" t="str">
        <f>IF(ISNUMBER(SnapshotTable[[#This Row],[SC Term]]), SnapshotTable[[#This Row],[SC Exp Date]]- MockToday, "")</f>
        <v/>
      </c>
      <c r="EV113" s="31">
        <f>IF(SnapshotTable[[#This Row],[SC Is Booked]], SnapshotTable[[#This Row],[SC Qty]] * SnapshotTable[[#This Row],[SC Book Price]] * 100, 0)</f>
        <v>0</v>
      </c>
      <c r="EW113" s="4" t="str">
        <f>IF(AND(ISNUMBER(SnapshotTable[[#This Row],[Last Price]]), ISNUMBER( SnapshotTable[[#This Row],[SC Book Price]])), SnapshotTable[[#This Row],[Last Price]] - SnapshotTable[[#This Row],[SC Book Price]],"")</f>
        <v/>
      </c>
      <c r="EX113" s="234" t="str">
        <f>IF(SnapshotTable[[#This Row],[SC Is Booked]],IF(SnapshotTable[[#This Row],[SC Intrinsic Value]] &gt; 0, SnapshotTable[[#This Row],[SC Strike Price]], SnapshotTable[[#This Row],[Last Price]]), "")</f>
        <v/>
      </c>
      <c r="EY113" s="4">
        <f>IF(SnapshotTable[[#This Row],[SC Is Booked]], (MinimumPremiumRequired * SnapshotTable[[#This Row],[SC Basis]] * SnapshotTable[[#This Row],[SC Term]]), 0)</f>
        <v>0</v>
      </c>
      <c r="EZ113" s="283"/>
      <c r="FA113" s="218"/>
      <c r="FB113" s="370"/>
      <c r="FC113" s="4">
        <f>IF(SnapshotTable[[#This Row],[SC Is Filled]], btc_max_buyback_amount(SnapshotTable[[#This Row],[SC Fill Date]],SnapshotTable[[#This Row],[SC Exp Date]], SnapshotTable[[#This Row],[SC Book Price]]),0)</f>
        <v>0</v>
      </c>
      <c r="FD113" s="5"/>
      <c r="FE113" s="144" t="str">
        <f>IF(SnapshotTable[[#This Row],[SC Is Filled]], btc_next_cutoff_date(SnapshotTable[[#This Row],[SC Fill Date]],SnapshotTable[[#This Row],[SC Exp Date]]),"")</f>
        <v/>
      </c>
      <c r="FF113" s="4" t="str" cm="1">
        <f t="array" ref="FF113">IF(SnapshotTable[[#This Row],[SC Is Filled]], btc_should_buy_back(SnapshotTable[[#This Row],[SC Fill Date]], SnapshotTable[[#This Row],[SC Exp Date]], SnapshotTable[[#This Row],[SC Book Price]], SnapshotTable[[#This Row],[SC Current Ask]], MockToday, SnapshotTable[[#This Row],[SC Buyback Override]]),"")</f>
        <v/>
      </c>
      <c r="FG113" s="4">
        <f>IF(SnapshotTable[[#This Row],[SC Is Filled]], MAX(0,SnapshotTable[[#This Row],[Last Price]]  - SnapshotTable[[#This Row],[SC Strike Price]]), 0)</f>
        <v>0</v>
      </c>
      <c r="FH113" s="382">
        <f>IF(SnapshotTable[[#This Row],[SC Is Filled]], IF(ISNUMBER(SnapshotTable[[#This Row],[SC Current Ask]]), SnapshotTable[[#This Row],[SC Current Ask]], SnapshotTable[[#This Row],[SC Book Price]]) - SnapshotTable[[#This Row],[SC Intrinsic Value]], 0)</f>
        <v>0</v>
      </c>
      <c r="FI113" s="143">
        <v>45786</v>
      </c>
      <c r="FJ113" s="32" t="str">
        <f>IF(SnapshotTable[[#This Row],[SC Is Filled]],100 * SnapshotTable[[#This Row],[SC Qty]] * IF(ISNUMBER(SnapshotTable[[#This Row],[SC Buyback Override]]), SnapshotTable[[#This Row],[SC Buyback Override]], SnapshotTable[[#This Row],[SC Current Ask]]), "")</f>
        <v/>
      </c>
      <c r="FK113" s="250" t="str">
        <f>IF(SnapshotTable[[#This Row],[SC Time Val]]&gt;0, SnapshotTable[[#This Row],[SC Time Val]] / SnapshotTable[[#This Row],[Last Price]],"")</f>
        <v/>
      </c>
      <c r="FL113" s="302" t="str">
        <f>IF(SnapshotTable[[#This Row],[SC Is Booked]], ((SnapshotTable[[#This Row],[Last Price]] -SnapshotTable[[#This Row],[SC Strike Price]]) / SnapshotTable[[#This Row],[Last Price]]) * -1, "")</f>
        <v/>
      </c>
      <c r="FM113" s="157" t="str">
        <f>IF(SnapshotTable[[#This Row],[SC Is Booked]],  (SnapshotTable[[#This Row],[SC Qty]] * 100 * SnapshotTable[[#This Row],[SC Strike Price]]) - SnapshotTable[[#This Row],[SC Current Ask]], "")</f>
        <v/>
      </c>
      <c r="FN11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3" s="31" t="str">
        <f>IF(AND(ISNUMBER(SnapshotTable[[#This Row],[SC Exercise Gross]]), ISNUMBER(SnapshotTable[[#This Row],[Equity Basis Per Share]] )), SnapshotTable[[#This Row],[SC Exercise Gross]] - SnapshotTable[[#This Row],[Equity Basis Total]] +  SnapshotTable[[#This Row],[SC Premium]], "")</f>
        <v/>
      </c>
      <c r="FP113" s="5" t="str">
        <f>IF(ISNUMBER(SnapshotTable[[#This Row],[SC Exercise Gross]]), (SnapshotTable[[#This Row],[SC Exercise Gross]]) / (SnapshotTable[[#This Row],[SC Qty]] * 100), "")</f>
        <v/>
      </c>
      <c r="FQ113" s="27" t="str">
        <f>IF(SnapshotTable[[#This Row],[SC Is Booked]],SnapshotTable[[#This Row],[SC Time Val]] /SnapshotTable[[#This Row],[SC Basis]], "")</f>
        <v/>
      </c>
      <c r="FR113" s="27" t="str" cm="1">
        <f t="array" ref="FR113">IF(AND(ISNUMBER(SnapshotTable[[#This Row],[SC Term]]),ISNUMBER(SnapshotTable[[#This Row],[SC Simple ROO]])), EllmanAnnualize(SnapshotTable[[#This Row],[SC DTE]], SnapshotTable[[#This Row],[SC Simple ROO]] ),"")</f>
        <v/>
      </c>
      <c r="FS113" s="4" t="e">
        <f>IF(SnapshotTable[[#This Row],[SC Strike Price]] &gt; SnapshotTable[[#This Row],[Last Price]], SnapshotTable[[#This Row],[SC Strike Price]] - SnapshotTable[[#This Row],[Last Price]],0)</f>
        <v>#VALUE!</v>
      </c>
      <c r="FT113" s="27" t="e">
        <f>IF(AND(ISNUMBER(SnapshotTable[[#This Row],[SC Upside Potential]]), SnapshotTable[[#This Row],[SC Upside Potential]] &gt; 0),(SnapshotTable[[#This Row],[SC Upside Potential]]/ SnapshotTable[[#This Row],[ACB]]),"")</f>
        <v>#VALUE!</v>
      </c>
      <c r="FU113" s="333" t="str">
        <f>IF(SnapshotTable[[#This Row],[SC Intrinsic Value]] &gt; 0,SnapshotTable[[#This Row],[SC Intrinsic Value]],"")</f>
        <v/>
      </c>
      <c r="FV113" s="27" t="str">
        <f>IF(AND( ISNUMBER( SnapshotTable[[#This Row],[ACB]]),ISNUMBER(SnapshotTable[[#This Row],[SC Downside Protect]])),SnapshotTable[[#This Row],[SC Downside Protect]] / SnapshotTable[[#This Row],[ACB]],"")</f>
        <v/>
      </c>
      <c r="FW113" s="236" t="str">
        <f>IF(AND(ISNUMBER(SnapshotTable[[#This Row],[SC Simple ROO]]),SnapshotTable[[#This Row],[SC Simple ROO]] &gt; 0), SnapshotTable[[#This Row],[SC Premium]] + (SnapshotTable[[#This Row],[SC Qty]] * SnapshotTable[[#This Row],[SC Upside Potential]]), "")</f>
        <v/>
      </c>
      <c r="FX113" s="302" t="str" cm="1">
        <f t="array" ref="FX113">IF(ISNUMBER(SnapshotTable[[#This Row],[SC Max Dollars]]), annualize(SnapshotTable[[#This Row],[SC Term]],(SnapshotTable[[#This Row],[SC Max Dollars]]/SnapshotTable[[#This Row],[SC Basis]])),"")</f>
        <v/>
      </c>
      <c r="FY113" s="236" t="str">
        <f>IF(AND(SnapshotTable[[#This Row],[SC Qty]]&gt;0,SnapshotTable[[#This Row],[SC Current Ask]]&gt;0), SnapshotTable[[#This Row],[SC Qty]] * SnapshotTable[[#This Row],[SC Current Ask]] * -100, "")</f>
        <v/>
      </c>
      <c r="FZ113" s="31" t="str">
        <f>IF(ISNUMBER((SnapshotTable[[#This Row],[SC Current Value]])), SnapshotTable[[#This Row],[SC Premium]] + SnapshotTable[[#This Row],[SC Current Value]], "")</f>
        <v/>
      </c>
      <c r="GA113" s="294" t="str">
        <f>IFERROR( IF(ISNUMBER((SnapshotTable[[#This Row],[SC Current Value]])), SnapshotTable[[#This Row],[SC Gain Loss]] / SnapshotTable[[#This Row],[SC Premium]], ""), "")</f>
        <v/>
      </c>
      <c r="GB113" s="42">
        <f>SnapshotTable[[#This Row],[Equity Shares]] * SaleSharesToConsiderPercentage</f>
        <v>0</v>
      </c>
      <c r="GC113" s="40">
        <f>SnapshotTable[[#This Row],[Long Term Target]] * SellingPriceToConsiderBasedOnTargetPercentage</f>
        <v>0</v>
      </c>
      <c r="GD113" s="40">
        <f>SnapshotTable[[#This Row],[Last Price]] * (1+ SellingPriceToConsiderBasedOnTargetPercentage)</f>
        <v>176.33850000000001</v>
      </c>
      <c r="GE113" s="41"/>
      <c r="GF113" s="40"/>
      <c r="GG113" s="31">
        <f>SnapshotTable[[#This Row],[Booked Sale Shares]] * SnapshotTable[[#This Row],[Booked Sale Price]]</f>
        <v>0</v>
      </c>
      <c r="GH113" s="31" t="str">
        <f>IF(SnapshotTable[[#This Row],[Equity Basis Total]] &gt; 0, SnapshotTable[[#This Row],[Equity Basis Per Share]] * SnapshotTable[[#This Row],[Booked Sale Shares]], "")</f>
        <v/>
      </c>
      <c r="GI113" s="31">
        <f>IF(SnapshotTable[[#This Row],[Sale Proceeds]]&gt;0, SnapshotTable[[#This Row],[Sale Proceeds]] - SnapshotTable[[#This Row],[Sale Basis]], 0)</f>
        <v>0</v>
      </c>
      <c r="GJ113" s="27" t="str">
        <f>IF(SnapshotTable[[#This Row],[Sale G/L]]&gt;0, SnapshotTable[[#This Row],[Sale G/L]] / SnapshotTable[[#This Row],[Sale Basis]], IF(ISNUMBER(SnapshotTable[[#This Row],[SC Exercise P&amp;L (TAX)]]), SnapshotTable[[#This Row],[SC Exercise P&amp;L (TAX)]] / SnapshotTable[[#This Row],[SC Basis]], ""))</f>
        <v/>
      </c>
      <c r="GK113" s="27"/>
      <c r="GL113" s="43" t="str">
        <f>IF(AND(SnapshotTable[[#This Row],[LP Exp Date]]&gt;0,SnapshotTable[[#This Row],[LP Strike Price]]&gt;0), [1]!ToOptionSymbol(SnapshotTable[[#This Row],[Symbol]], SnapshotTable[[#This Row],[LP Strike Price]],SnapshotTable[[#This Row],[LP Exp Date]],1), "")</f>
        <v/>
      </c>
      <c r="GM113" s="30" t="str">
        <f>IF(LEN(SnapshotTable[[#This Row],[LP Symbol]])&gt;0, 1, "")</f>
        <v/>
      </c>
      <c r="GN113" s="43" t="str">
        <f>IF(AND(SnapshotTable[[#This Row],[SP Exp Date]]&gt;0,SnapshotTable[[#This Row],[SP Strike Price]]&gt;0), [1]!ToOptionSymbol(SnapshotTable[[#This Row],[Symbol]], SnapshotTable[[#This Row],[SP Strike Price]],SnapshotTable[[#This Row],[SP Exp Date]],1), "")</f>
        <v/>
      </c>
      <c r="GO113" s="30" t="str">
        <f>IF(LEN(SnapshotTable[[#This Row],[SP Symbol]])&gt;0, 1, "")</f>
        <v/>
      </c>
      <c r="GP113" s="43" t="str">
        <f>IF(AND(SnapshotTable[[#This Row],[LC Exp Date]]&gt;0,SnapshotTable[[#This Row],[LC Strike Price]]&gt;0), [1]!ToOptionSymbol(SnapshotTable[[#This Row],[Symbol]], SnapshotTable[[#This Row],[LC Strike Price]],SnapshotTable[[#This Row],[LC Exp Date]],0), "")</f>
        <v/>
      </c>
      <c r="GQ113" s="30" t="str">
        <f>IF(LEN(SnapshotTable[[#This Row],[LC Symbol]])&gt;0, 1, "")</f>
        <v/>
      </c>
      <c r="GR113" s="43" t="str">
        <f>IF(AND(SnapshotTable[[#This Row],[SC Exp Date]]&gt;0,SnapshotTable[[#This Row],[SC Strike Price]]&gt;0), [1]!ToOptionSymbol(SnapshotTable[[#This Row],[Symbol]], SnapshotTable[[#This Row],[SC Strike Price]],SnapshotTable[[#This Row],[SC Exp Date]],0), "")</f>
        <v/>
      </c>
      <c r="GS113" s="30" t="str">
        <f>IF(LEN(SnapshotTable[[#This Row],[SC Symbol]])&gt;0, 1, "")</f>
        <v/>
      </c>
      <c r="GT113" s="29" t="str">
        <f>IF(COUNT(SnapshotTable[[#This Row],[LP Symbol Count]],SnapshotTable[[#This Row],[SP Symbol Count]],SnapshotTable[[#This Row],[LC Symbol Count]],SnapshotTable[[#This Row],[SC Symbol Count]])&gt;0, "Y", "")</f>
        <v/>
      </c>
      <c r="GU11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3" s="231" t="e">
        <f>MAX(SnapshotTable[[#This Row],[Equity Basis Total]],SnapshotTable[[#This Row],[Equity Value]]) + (SnapshotTable[[#This Row],[SP Potential Spend]]- SnapshotTable[[#This Row],[SP Premium]] + SnapshotTable[[#This Row],[LP Premium]])+ (SnapshotTable[[#This Row],[LC Premium]] - SnapshotTable[[#This Row],[SC Premium]])</f>
        <v>#VALUE!</v>
      </c>
      <c r="GW113" s="139" t="e">
        <f>IF(AND(SnapshotTable[[#This Row],[Exposure]] &lt;&gt; 0),SnapshotTable[[#This Row],[Exposure]] / SnapshotTable[[#Totals],[Exposure]], "")</f>
        <v>#VALUE!</v>
      </c>
      <c r="HE113" s="268"/>
      <c r="HF113" s="268"/>
      <c r="HK113" s="1"/>
      <c r="HL113" s="1"/>
      <c r="HM113" s="1"/>
      <c r="HN113" s="1"/>
      <c r="HO113" s="1"/>
      <c r="HP113" s="1"/>
    </row>
    <row r="114" spans="2:224" ht="12.75" hidden="1" customHeight="1" x14ac:dyDescent="0.25">
      <c r="B114" s="12" t="s">
        <v>976</v>
      </c>
      <c r="C114" s="422">
        <v>29.94</v>
      </c>
      <c r="D114" s="208" t="s">
        <v>578</v>
      </c>
      <c r="E114" s="39">
        <f>SnapshotTable[[#This Row],[Last Price]]*(1 -CrashDiscount)</f>
        <v>25.449000000000002</v>
      </c>
      <c r="F114" s="26" t="s">
        <v>64</v>
      </c>
      <c r="G114" s="26" t="s">
        <v>610</v>
      </c>
      <c r="H114" s="149"/>
      <c r="I114" s="194">
        <v>44775.666666666664</v>
      </c>
      <c r="J114" s="195">
        <v>44775.666666666664</v>
      </c>
      <c r="K114" s="196"/>
      <c r="L114" s="326"/>
      <c r="M114" s="140"/>
      <c r="N114" s="140"/>
      <c r="O114" s="140"/>
      <c r="P114" s="22"/>
      <c r="Q114" s="25"/>
      <c r="R114" s="4" t="str">
        <f>IF(SnapshotTable[[#This Row],[Equity Basis Total]] &gt; 0, SnapshotTable[[#This Row],[Equity Basis Total]] / SnapshotTable[[#This Row],[Equity Shares]], "")</f>
        <v/>
      </c>
      <c r="S114" s="269">
        <f>SnapshotTable[[#This Row],[Last Price]] * SnapshotTable[[#This Row],[Equity Shares]]</f>
        <v>0</v>
      </c>
      <c r="T114" s="269">
        <f>SnapshotTable[[#This Row],[Equity Value]] - SnapshotTable[[#This Row],[Equity Basis Total]]</f>
        <v>0</v>
      </c>
      <c r="U114" s="270" t="str">
        <f>IF(SnapshotTable[[#This Row],[Equity Basis Total]] &gt; 0, SnapshotTable[[#This Row],[Equity G/L]] / SnapshotTable[[#This Row],[Equity Basis Total]], "")</f>
        <v/>
      </c>
      <c r="V114" s="268">
        <v>100</v>
      </c>
      <c r="W114" s="268">
        <v>86.17</v>
      </c>
      <c r="X114" s="4" t="str">
        <f>IF(AND(ISNUMBER(SnapshotTable[[#This Row],[Equity Basis Per Share]]),ISNUMBER(SnapshotTable[[#This Row],[Equity Target]])),SnapshotTable[[#This Row],[Equity Target]]-SnapshotTable[[#This Row],[Equity Basis Per Share]],"")</f>
        <v/>
      </c>
      <c r="Y114" s="4" t="str">
        <f>IF(AND(ISNUMBER(SnapshotTable[[#This Row],[Equity Basis Per Share]]),ISNUMBER(SnapshotTable[[#This Row],[Equity Stop Loss]])),SnapshotTable[[#This Row],[Equity Stop Loss]]-SnapshotTable[[#This Row],[Equity Basis Per Share]],"")</f>
        <v/>
      </c>
      <c r="Z114" s="275" t="str">
        <f>IFERROR( TEXT(SnapshotTable[[#This Row],[Equity Max Gain Per Share]] /ABS( SnapshotTable[[#This Row],[Equity Max Loss Per Share]]),"0.0 " ) &amp; " : 1", "")</f>
        <v/>
      </c>
      <c r="AA114" s="31" t="str">
        <f>IF(ISNUMBER(SnapshotTable[[#This Row],[Equity Max Gain Per Share]]),SnapshotTable[[#This Row],[Equity Max Gain Per Share]] * SnapshotTable[[#This Row],[Equity Shares]],"")</f>
        <v/>
      </c>
      <c r="AB114" s="31" t="str">
        <f>IF(ISNUMBER(SnapshotTable[[#This Row],[Equity Max Loss Per Share]]),SnapshotTable[[#This Row],[Equity Max Loss Per Share]] * SnapshotTable[[#This Row],[Equity Shares]],"")</f>
        <v/>
      </c>
      <c r="AC114" s="150"/>
      <c r="AD114" s="151"/>
      <c r="AE114" s="31">
        <f>(SnapshotTable[[#This Row],[Annual Dividend Per Share]] / 4) * SnapshotTable[[#This Row],[Equity Shares]]</f>
        <v>0</v>
      </c>
      <c r="AF114" s="31">
        <f>SnapshotTable[[#This Row],[Quarterly Div $]] * 4</f>
        <v>0</v>
      </c>
      <c r="AG114" s="7">
        <f>IF(SnapshotTable[[#This Row],[Annual Dividend Per Share]]&gt;0, SnapshotTable[[#This Row],[Annual Dividend Per Share]]  / SnapshotTable[[#This Row],[Last Price]], 0)</f>
        <v>0</v>
      </c>
      <c r="AH114" s="151"/>
      <c r="AI114" s="5"/>
      <c r="AJ114" s="138">
        <v>102.64</v>
      </c>
      <c r="AK114" s="152" t="str">
        <f>IF(ISNUMBER( SnapshotTable[[#This Row],[EBF Target]]),(SnapshotTable[[#This Row],[EBF Target]] - SnapshotTable[[#This Row],[Last Price]]) / SnapshotTable[[#This Row],[Last Price]], "")</f>
        <v/>
      </c>
      <c r="AL114" s="152" t="str">
        <f>IF(AND(SnapshotTable[[#This Row],[Equity Basis Total]] &gt; 0,ISNUMBER( SnapshotTable[[#This Row],[Long Term Target]])), SnapshotTable[[#This Row],[From Basis $]] / SnapshotTable[[#This Row],[Equity Basis Total]], "")</f>
        <v/>
      </c>
      <c r="AM114" s="9">
        <f>IF( AND(SnapshotTable[[#This Row],[Equity Shares]] &gt;0,ISNUMBER( SnapshotTable[[#This Row],[Long Term Target]])),(SnapshotTable[[#This Row],[Equity Shares]] * SnapshotTable[[#This Row],[Long Term Target]]) - SnapshotTable[[#This Row],[Equity Basis Total]],0)</f>
        <v>0</v>
      </c>
      <c r="AN114" s="9">
        <f>IF( AND(SnapshotTable[[#This Row],[Equity Shares]] &gt;0,ISNUMBER( SnapshotTable[[#This Row],[Long Term Target]])),(SnapshotTable[[#This Row],[Equity Shares]]*SnapshotTable[[#This Row],[Long Term Target]]) - SnapshotTable[[#This Row],[Equity Value]],0)</f>
        <v>0</v>
      </c>
      <c r="AO114" s="152">
        <f>IF(AND(ISNUMBER( SnapshotTable[[#This Row],[Long Term Target]]), ISNUMBER(SnapshotTable[[#This Row],[Last Price]])),(SnapshotTable[[#This Row],[Long Term Target]] - SnapshotTable[[#This Row],[Last Price]]) / SnapshotTable[[#This Row],[Last Price]], "")</f>
        <v>2.4281897127588512</v>
      </c>
      <c r="AP114" s="5">
        <v>94</v>
      </c>
      <c r="AQ114" s="38" t="s">
        <v>27</v>
      </c>
      <c r="AR114" s="5">
        <v>86.5</v>
      </c>
      <c r="AS114" s="38" t="s">
        <v>32</v>
      </c>
      <c r="AT114" s="146" t="s">
        <v>542</v>
      </c>
      <c r="AU114" s="187" t="str">
        <f>IF(OR(SnapshotTable[[#This Row],[LP No Fill]]="Y",SnapshotTable[[#This Row],[SP Is Filled]],SnapshotTable[[#This Row],[LC Not Filled]]="Y",SnapshotTable[[#This Row],[SC Is Filled]]),"Y","")</f>
        <v/>
      </c>
      <c r="AV114" s="219"/>
      <c r="AW114" s="225"/>
      <c r="AX114" s="220"/>
      <c r="AY114" s="219" t="str">
        <f>IF(SnapshotTable[[#This Row],[Implied Move]]&gt;0, SnapshotTable[[#This Row],[Last Price]]-SnapshotTable[[#This Row],[Implied Move]],"")</f>
        <v/>
      </c>
      <c r="AZ114" s="219" t="str">
        <f>IF(SnapshotTable[[#This Row],[Implied Move]]&gt;0, SnapshotTable[[#This Row],[Last Price]] + SnapshotTable[[#This Row],[Implied Move]],"")</f>
        <v/>
      </c>
      <c r="BA114" s="331">
        <v>79.23</v>
      </c>
      <c r="BB114" s="347"/>
      <c r="BC11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4" s="351"/>
      <c r="BE114" s="5"/>
      <c r="BF114" s="14"/>
      <c r="BG114" s="13"/>
      <c r="BH114" s="13"/>
      <c r="BI114" s="5"/>
      <c r="BJ114" s="136">
        <f>IF(SnapshotTable[[#This Row],[LP Qty]] &gt; 0, SnapshotTable[[#This Row],[LP Qty]] * SnapshotTable[[#This Row],[LP Book Price]] * 100,0)</f>
        <v>0</v>
      </c>
      <c r="BK114" s="136">
        <f>IF(SnapshotTable[[#This Row],[LP Premium]] &gt; 0, SnapshotTable[[#This Row],[LP Qty]] * SnapshotTable[[#This Row],[LP Strike Price]] * 100,0)</f>
        <v>0</v>
      </c>
      <c r="BL114" s="154"/>
      <c r="BM114" s="385" t="str">
        <f>IF(SnapshotTable[[#This Row],[LP Premium]] &gt; 0,SnapshotTable[[#This Row],[LP Exp Date]]-MAX(SnapshotTable[[#This Row],[LP Book Date]], SnapshotTable[[#This Row],[LP Fill Date]]),"")</f>
        <v/>
      </c>
      <c r="BN114" s="385" t="str">
        <f>IF(ISNUMBER( SnapshotTable[[#This Row],[LP Term]]), SnapshotTable[[#This Row],[LP Exp Date]] - MockToday,"")</f>
        <v/>
      </c>
      <c r="BO114" s="163" t="str">
        <f>IF(AND(SnapshotTable[[#This Row],[LP Exp Date]]&gt;0, SnapshotTable[[#This Row],[LP Strike Price]]&gt;0,SnapshotTable[[#This Row],[LP Qty]]&gt;0,SnapshotTable[[#This Row],[LP Book Date]]&gt;0,SnapshotTable[[#This Row],[LP Book Price]]&gt;0,SnapshotTable[[#This Row],[LP Fill Date]]=0),"Y","")</f>
        <v/>
      </c>
      <c r="BP114" s="31" t="str">
        <f>IF(AND(SnapshotTable[[#This Row],[LP No Fill]]&lt;&gt;"Y",SnapshotTable[[#This Row],[LP Contract Value]]&gt;0, SnapshotTable[[#This Row],[LP Qty]]&gt;0), SnapshotTable[[#This Row],[LP Contract Value]]*SnapshotTable[[#This Row],[LP Qty]]*100,"")</f>
        <v/>
      </c>
      <c r="BQ114" s="13"/>
      <c r="BR114" s="5" t="str">
        <f>IF(SnapshotTable[[#This Row],[SP Exp Date]]&lt;&gt;"",TRUNC(SnapshotTable[[#This Row],[Last Price]]),"")</f>
        <v/>
      </c>
      <c r="BS114" s="36"/>
      <c r="BT114" s="147"/>
      <c r="BU114" s="13"/>
      <c r="BV114" s="5"/>
      <c r="BW114" s="419" t="b">
        <f>AND(ISNUMBER(SnapshotTable[[#This Row],[SP Exp Date]]), ISNUMBER(SnapshotTable[[#This Row],[SP Strike Price]]), ISNUMBER(SnapshotTable[[#This Row],[SP Qty]]), ISNUMBER(SnapshotTable[[#This Row],[SP Book Date]]), ISNUMBER(SnapshotTable[[#This Row],[SP Book Price]]))</f>
        <v>0</v>
      </c>
      <c r="BX114" s="419" t="b">
        <f>AND(SnapshotTable[[#This Row],[SP Is Booked]], NOT(ISBLANK(SnapshotTable[[#This Row],[SP Fill Date]])))</f>
        <v>0</v>
      </c>
      <c r="BY114" s="33">
        <f>IF(SnapshotTable[[#This Row],[SP Is Booked]], SnapshotTable[[#This Row],[SP Qty]] * SnapshotTable[[#This Row],[SP Book Price]] * 100, 0)</f>
        <v>0</v>
      </c>
      <c r="BZ114" s="369"/>
      <c r="CA114" s="368">
        <f>SnapshotTable[[#This Row],[LP Qty]]</f>
        <v>0</v>
      </c>
      <c r="CB114" s="4" t="str">
        <f>IF(SnapshotTable[[#This Row],[SP Is Booked]], SnapshotTable[[#This Row],[SP Strike Price]] - SnapshotTable[[#This Row],[SP Book Price]], "")</f>
        <v/>
      </c>
      <c r="CC114" s="19" t="str">
        <f>IF(SnapshotTable[[#This Row],[SP Is Booked]],SnapshotTable[[#This Row],[SP Exp Date]]-MAX(SnapshotTable[[#This Row],[SP Book Date]], SnapshotTable[[#This Row],[SP Fill Date]]),"")</f>
        <v/>
      </c>
      <c r="CD114" s="7" t="str">
        <f>IF(SnapshotTable[[#This Row],[SP Is Booked]], SnapshotTable[[#This Row],[SP Book Price]]/SnapshotTable[[#This Row],[SP Strike Price]], "")</f>
        <v/>
      </c>
      <c r="CE114" s="7" t="str">
        <f>IF(ISNUMBER(SnapshotTable[[#This Row],[SP ROO Term]]),SnapshotTable[[#This Row],[SP ROO Term]]*(365/SnapshotTable[[#This Row],[SP Term]]),"")</f>
        <v/>
      </c>
      <c r="CF114" s="236">
        <f>SnapshotTable[[#This Row],[LP Strike Price]] * SnapshotTable[[#This Row],[LP Qty]] * 100</f>
        <v>0</v>
      </c>
      <c r="CG114" s="31" t="e">
        <f>IF(ISNUMBER(SnapshotTable[[#This Row],[SP Premium]]), (SnapshotTable[[#This Row],[SP Qty]] * SnapshotTable[[#This Row],[SP Strike Price]]* 100) - SnapshotTable[[#This Row],[LP Protection]], 0)</f>
        <v>#VALUE!</v>
      </c>
      <c r="CH114" s="7" t="str">
        <f>IF(ISNUMBER(SnapshotTable[[#This Row],[SP Break Even]]),-1 * (SnapshotTable[[#This Row],[SP Break Even]] - SnapshotTable[[#This Row],[Last Price]]) / SnapshotTable[[#This Row],[Last Price]], "")</f>
        <v/>
      </c>
      <c r="CI114" s="31">
        <f>IF(AND(ISNUMBER((SnapshotTable[[#This Row],[SP Potential Spend]])), SnapshotTable[[#This Row],[SP Strike Price]] &gt; SnapshotTable[[#This Row],[Last Price]], SnapshotTable[[#This Row],[SP Is Filled]]), SnapshotTable[[#This Row],[SP Potential Spend]] -  SnapshotTable[[#This Row],[LP Max Value]], 0)</f>
        <v>0</v>
      </c>
      <c r="CJ114" s="244"/>
      <c r="CK114" s="31" t="str">
        <f>IF(ISNUMBER(SnapshotTable[[#This Row],[SP Potential Spend]]),IF(ISNUMBER(SnapshotTable[[#This Row],[SP POW]]), SnapshotTable[[#This Row],[SP POW]] * SnapshotTable[[#This Row],[SP Potential Spend]], SnapshotTable[[#This Row],[SP Potential Spend]]), "")</f>
        <v/>
      </c>
      <c r="CL114" s="164" t="e">
        <f>IF(NOT(SnapshotTable[[#This Row],[SP Is Filled]]),(SnapshotTable[[#This Row],[SP Qty]] * SnapshotTable[[#This Row],[SP Strike Price]] * 100) - SnapshotTable[[#This Row],[LP Max Value]],"")</f>
        <v>#VALUE!</v>
      </c>
      <c r="CM114" s="31" t="str">
        <f>IF(SnapshotTable[[#This Row],[SP Actual Spend]]&lt;&gt;0, ((SnapshotTable[[#This Row],[SP Strike Price]]-SnapshotTable[[#This Row],[Last Price]]) *(SnapshotTable[[#This Row],[SP Qty]]*100) - SnapshotTable[[#This Row],[SP Premium]]) * - 1, "")</f>
        <v/>
      </c>
      <c r="CN114" s="78"/>
      <c r="CO114" s="369"/>
      <c r="CP114" s="4" t="str">
        <f>IF(SnapshotTable[[#This Row],[SP Is Filled]], btc_max_buyback_amount(SnapshotTable[[#This Row],[SP Fill Date]],SnapshotTable[[#This Row],[SP Exp Date]], SnapshotTable[[#This Row],[SP Book Price]]),"")</f>
        <v/>
      </c>
      <c r="CQ114" s="78"/>
      <c r="CR11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4" s="155" t="str">
        <f>IF(SnapshotTable[[#This Row],[SP Is Filled]], btc_next_cutoff_date(SnapshotTable[[#This Row],[SP Fill Date]],SnapshotTable[[#This Row],[SP Exp Date]]),"")</f>
        <v/>
      </c>
      <c r="CT114" s="235" t="str" cm="1">
        <f t="array" ref="CT114">IF(SnapshotTable[[#This Row],[SP Is Filled]], btc_should_buy_back(SnapshotTable[[#This Row],[SP Fill Date]], SnapshotTable[[#This Row],[SP Exp Date]], SnapshotTable[[#This Row],[SP Book Price]], SnapshotTable[[#This Row],[SP Current Ask]], MockToday, SnapshotTable[[#This Row],[SP Buyback Override]]),"")</f>
        <v/>
      </c>
      <c r="CU114" s="143"/>
      <c r="CV114" s="235"/>
      <c r="CW114" s="378" t="str">
        <f>IF(ISNUMBER( SnapshotTable[[#This Row],[SP Term]]), SnapshotTable[[#This Row],[SP Exp Date]] - MockToday,"")</f>
        <v/>
      </c>
      <c r="CX114" s="31" t="str">
        <f>IF(SnapshotTable[[#This Row],[SP Is Filled]],SnapshotTable[[#This Row],[SP Buyback Price to Use]] * 100 * SnapshotTable[[#This Row],[SP Qty]], "")</f>
        <v/>
      </c>
      <c r="CY114" s="4" t="str">
        <f>IF(ISNUMBER(SnapshotTable[[#This Row],[SP Strike Price]]), SnapshotTable[[#This Row],[SP Strike Price]] * (1 - SP_MaxLoss_StrikePct), "")</f>
        <v/>
      </c>
      <c r="CZ114" s="31" t="str">
        <f>IF(ISNUMBER(SnapshotTable[[#This Row],[SP Strike  Stop Per Share]]),SnapshotTable[[#This Row],[SP Premium]] - ((SnapshotTable[[#This Row],[SP Strike Price]]-SnapshotTable[[#This Row],[SP Strike  Stop Per Share]]) *(SnapshotTable[[#This Row],[SP Qty]] * 100)),"")</f>
        <v/>
      </c>
      <c r="DA114" s="4" t="str">
        <f>IF(AND(ISNUMBER(SnapshotTable[[#This Row],[SP Premium]]),SnapshotTable[[#This Row],[SP Premium]]&gt;0), SnapshotTable[[#This Row],[SP Book Price]] * (1 + SP_MaxLoss_OptionPct), "")</f>
        <v/>
      </c>
      <c r="DB114" s="31" t="str">
        <f>IF(ISNUMBER(SnapshotTable[[#This Row],[SP Option  Stop Contract]]),(SnapshotTable[[#This Row],[SP Option  Stop Contract]] *(SnapshotTable[[#This Row],[SP Qty]] * 100) - SnapshotTable[[#This Row],[SP Premium]]),"")</f>
        <v/>
      </c>
      <c r="DC114" s="4"/>
      <c r="DD114" s="4"/>
      <c r="DE114" s="4" t="str">
        <f>IF(AND(SnapshotTable[[#This Row],[SP Qty]]&gt;0, SnapshotTable[[#This Row],[SP Stop To Use]]&gt;0),SnapshotTable[[#This Row],[SP Premium]] - ( SnapshotTable[[#This Row],[SP Qty]] * SnapshotTable[[#This Row],[SP Stop To Use]] * 100), "")</f>
        <v/>
      </c>
      <c r="DF114" s="31" t="str">
        <f>IF(AND(SnapshotTable[[#This Row],[SP Qty]]&gt;0,SnapshotTable[[#This Row],[SP Current Ask]]&gt;0), SnapshotTable[[#This Row],[SP Qty]] * SnapshotTable[[#This Row],[SP Current Ask]] * -100, "")</f>
        <v/>
      </c>
      <c r="DG114" s="31" t="str">
        <f>IF(ISNUMBER((SnapshotTable[[#This Row],[SP Total Value]])), SnapshotTable[[#This Row],[SP Premium]] + SnapshotTable[[#This Row],[SP Total Value]], "")</f>
        <v/>
      </c>
      <c r="DH114" s="294" t="str">
        <f>IF(ISNUMBER((SnapshotTable[[#This Row],[SP Total Value]])), SnapshotTable[[#This Row],[SP Gain Loss]] / SnapshotTable[[#This Row],[SP Premium]], "")</f>
        <v/>
      </c>
      <c r="DI114" s="406"/>
      <c r="DJ114" s="138"/>
      <c r="DK114" s="148"/>
      <c r="DL114" s="13"/>
      <c r="DM114" s="13"/>
      <c r="DO114" s="31">
        <f>IF(SnapshotTable[[#This Row],[LC Symbol Count]]=1, SnapshotTable[[#This Row],[LC Qty]] * SnapshotTable[[#This Row],[LC Book Price]] * 100, 0)</f>
        <v>0</v>
      </c>
      <c r="DP114" s="163" t="str">
        <f>IF(AND(SnapshotTable[[#This Row],[LC Exp Date]]&gt;0, SnapshotTable[[#This Row],[LC Strike Price]]&gt;0,SnapshotTable[[#This Row],[LC Qty]]&gt;0,SnapshotTable[[#This Row],[LC Book Date]]&gt;0,SnapshotTable[[#This Row],[LC Book Price]]&gt;0,SnapshotTable[[#This Row],[LC Fill Date]]=0),"Y","")</f>
        <v/>
      </c>
      <c r="DQ114" s="386" t="str">
        <f>IF(SnapshotTable[[#This Row],[LC Premium]] &gt; 0,SnapshotTable[[#This Row],[LC Exp Date]]-MAX(SnapshotTable[[#This Row],[LC Book Date]], SnapshotTable[[#This Row],[LC Fill Date]]),"")</f>
        <v/>
      </c>
      <c r="DR114" s="386" t="str">
        <f>IF(ISNUMBER(SnapshotTable[[#This Row],[LC Term]]), SnapshotTable[[#This Row],[LC Exp Date]] - MockToday, "")</f>
        <v/>
      </c>
      <c r="DS114" s="234" t="str">
        <f>IF(SnapshotTable[[#This Row],[LC Premium]]&gt;0,SnapshotTable[[#This Row],[LC Strike Price]] + SnapshotTable[[#This Row],[LC Book Price]],"")</f>
        <v/>
      </c>
      <c r="DU114" s="9" t="str">
        <f>IF(AND(SnapshotTable[[#This Row],[LC Symbol Count]]&gt;0, SnapshotTable[[#This Row],[LC Contract Value]]&gt;0), SnapshotTable[[#This Row],[LC Contract Value]] * SnapshotTable[[#This Row],[LC Qty]] * 100, "")</f>
        <v/>
      </c>
      <c r="DV114" s="9" t="str">
        <f>IF(AND(ISNUMBER(SnapshotTable[[#This Row],[LC Total Value]]), SnapshotTable[[#This Row],[LC Not Filled]]&lt;&gt;"Y"), SnapshotTable[[#This Row],[LC Total Value]]-SnapshotTable[[#This Row],[LC Premium]],"")</f>
        <v/>
      </c>
      <c r="DW114" s="240" t="str">
        <f>IF(ISNUMBER(SnapshotTable[[#This Row],[LC Actual Gain Loss]]), SnapshotTable[[#This Row],[LC Actual Gain Loss]] / SnapshotTable[[#This Row],[LC Premium]],"")</f>
        <v/>
      </c>
      <c r="DX114" s="284" t="str">
        <f>IF(ISNUMBER(SnapshotTable[[#This Row],[LC Book Price]]),SnapshotTable[[#This Row],[LC Book Price]] * 1.5,"")</f>
        <v/>
      </c>
      <c r="DY114" s="265" t="str">
        <f>IF(SnapshotTable[[#This Row],[LC Premium]]&gt;0, SnapshotTable[[#This Row],[LC Next Target]] * SnapshotTable[[#This Row],[LC Qty]] * 100,"")</f>
        <v/>
      </c>
      <c r="DZ114" s="265" t="str">
        <f>IF(ISNUMBER(SnapshotTable[[#This Row],[LC Target Gross]]), SnapshotTable[[#This Row],[LC Target Gross]] - SnapshotTable[[#This Row],[LC Premium]], "")</f>
        <v/>
      </c>
      <c r="EA114" s="305" t="str">
        <f>IF(ISNUMBER(SnapshotTable[[#This Row],[LC Target Gain Loss]]), SnapshotTable[[#This Row],[LC Target Gain Loss]]/SnapshotTable[[#This Row],[LC Premium]], "")</f>
        <v/>
      </c>
      <c r="EB114" s="262"/>
      <c r="EC114" s="283" t="str">
        <f>IF(SnapshotTable[[#This Row],[LC Premium]]&gt;0, SnapshotTable[[#This Row],[LC Book Price]] * (1 - LC_StopLoss_Pct),"")</f>
        <v/>
      </c>
      <c r="ED114" s="284"/>
      <c r="EE114" s="283" t="str">
        <f>IF(ISNUMBER(SnapshotTable[[#This Row],[LC Contract Value]]),IF(ISNUMBER(SnapshotTable[[#This Row],[LC Stop Loss Override]]), SnapshotTable[[#This Row],[LC Stop Loss Override]],SnapshotTable[[#This Row],[LC Stop Loss Calc Target]]),"")</f>
        <v/>
      </c>
      <c r="EF114" s="31" t="str">
        <f>IF(ISNUMBER(SnapshotTable[[#This Row],[LC Stop  To Use]]), (SnapshotTable[[#This Row],[LC Stop  To Use]] * SnapshotTable[[#This Row],[LC Qty]] * 100),"")</f>
        <v/>
      </c>
      <c r="EG114" s="9" t="str">
        <f>IF(ISNUMBER(SnapshotTable[[#This Row],[LC Total Value]]),SnapshotTable[[#This Row],[LC Stop Loss Amount]] - SnapshotTable[[#This Row],[LC Premium]],"")</f>
        <v/>
      </c>
      <c r="EH114" s="9">
        <f>IF(ISNUMBER(SnapshotTable[[#This Row],[LC Premium]]), SnapshotTable[[#This Row],[LC Qty]] * 100 * SnapshotTable[[#This Row],[LC Strike Price]], "")</f>
        <v>0</v>
      </c>
      <c r="EI114" s="240" t="str">
        <f>IF(AND(ISNUMBER(SnapshotTable[[#This Row],[LC Total Value]]),SnapshotTable[[#This Row],[LC Total Value]]&gt;0),SnapshotTable[[#This Row],[LC Stop Gain Loss]]  / SnapshotTable[[#This Row],[LC Premium]],"")</f>
        <v/>
      </c>
      <c r="EJ114" s="35">
        <f>IF(ISNUMBER(SnapshotTable[[#This Row],[Equity Shares]]),TRUNC(SnapshotTable[[#This Row],[Equity Shares]] / 100),0) + SnapshotTable[[#This Row],[LC Qty]]</f>
        <v>0</v>
      </c>
      <c r="EK114" s="147"/>
      <c r="EL114" s="138" t="str">
        <f>IF(SnapshotTable[[#This Row],[SC Exp Date]]&lt;&gt;"",TRUNC(SnapshotTable[[#This Row],[Last Price]]),"")</f>
        <v/>
      </c>
      <c r="EM114" s="148"/>
      <c r="EN114" s="147"/>
      <c r="EO114" s="147"/>
      <c r="EP114" s="138"/>
      <c r="EQ114" s="419" t="b">
        <f>AND(ISNUMBER(SnapshotTable[[#This Row],[SC Exp Date]]), ISNUMBER(SnapshotTable[[#This Row],[SC Strike Price]]), ISNUMBER(SnapshotTable[[#This Row],[SC Qty]]), ISNUMBER(SnapshotTable[[#This Row],[SC Book Date]]), ISNUMBER(SnapshotTable[[#This Row],[SC Book Price]]))</f>
        <v>0</v>
      </c>
      <c r="ER114" s="419" t="b">
        <f>AND(SnapshotTable[[#This Row],[SC Is Booked]], NOT(ISBLANK(SnapshotTable[[#This Row],[SC Fill Date]])))</f>
        <v>0</v>
      </c>
      <c r="ES114" s="370"/>
      <c r="ET114" s="34" t="str">
        <f>IF(AND(ISNUMBER(SnapshotTable[[#This Row],[SC Exp Date]]), ISNUMBER(SnapshotTable[[#This Row],[SC Book Date]])), SnapshotTable[[#This Row],[SC Exp Date]] - MAX(SnapshotTable[[#This Row],[SC Book Date]], SnapshotTable[[#This Row],[SC Fill Date]]) + 1, "")</f>
        <v/>
      </c>
      <c r="EU114" s="34" t="str">
        <f>IF(ISNUMBER(SnapshotTable[[#This Row],[SC Term]]), SnapshotTable[[#This Row],[SC Exp Date]]- MockToday, "")</f>
        <v/>
      </c>
      <c r="EV114" s="31">
        <f>IF(SnapshotTable[[#This Row],[SC Is Booked]], SnapshotTable[[#This Row],[SC Qty]] * SnapshotTable[[#This Row],[SC Book Price]] * 100, 0)</f>
        <v>0</v>
      </c>
      <c r="EW114" s="4" t="str">
        <f>IF(AND(ISNUMBER(SnapshotTable[[#This Row],[Last Price]]), ISNUMBER( SnapshotTable[[#This Row],[SC Book Price]])), SnapshotTable[[#This Row],[Last Price]] - SnapshotTable[[#This Row],[SC Book Price]],"")</f>
        <v/>
      </c>
      <c r="EX114" s="234" t="str">
        <f>IF(SnapshotTable[[#This Row],[SC Is Booked]],IF(SnapshotTable[[#This Row],[SC Intrinsic Value]] &gt; 0, SnapshotTable[[#This Row],[SC Strike Price]], SnapshotTable[[#This Row],[Last Price]]), "")</f>
        <v/>
      </c>
      <c r="EY114" s="4">
        <f>IF(SnapshotTable[[#This Row],[SC Is Booked]], (MinimumPremiumRequired * SnapshotTable[[#This Row],[SC Basis]] * SnapshotTable[[#This Row],[SC Term]]), 0)</f>
        <v>0</v>
      </c>
      <c r="EZ114" s="283"/>
      <c r="FA114" s="218"/>
      <c r="FB114" s="370"/>
      <c r="FC114" s="4">
        <f>IF(SnapshotTable[[#This Row],[SC Is Filled]], btc_max_buyback_amount(SnapshotTable[[#This Row],[SC Fill Date]],SnapshotTable[[#This Row],[SC Exp Date]], SnapshotTable[[#This Row],[SC Book Price]]),0)</f>
        <v>0</v>
      </c>
      <c r="FD114" s="5"/>
      <c r="FE114" s="144" t="str">
        <f>IF(SnapshotTable[[#This Row],[SC Is Filled]], btc_next_cutoff_date(SnapshotTable[[#This Row],[SC Fill Date]],SnapshotTable[[#This Row],[SC Exp Date]]),"")</f>
        <v/>
      </c>
      <c r="FF114" s="4" t="str" cm="1">
        <f t="array" ref="FF114">IF(SnapshotTable[[#This Row],[SC Is Filled]], btc_should_buy_back(SnapshotTable[[#This Row],[SC Fill Date]], SnapshotTable[[#This Row],[SC Exp Date]], SnapshotTable[[#This Row],[SC Book Price]], SnapshotTable[[#This Row],[SC Current Ask]], MockToday, SnapshotTable[[#This Row],[SC Buyback Override]]),"")</f>
        <v/>
      </c>
      <c r="FG114" s="4">
        <f>IF(SnapshotTable[[#This Row],[SC Is Filled]], MAX(0,SnapshotTable[[#This Row],[Last Price]]  - SnapshotTable[[#This Row],[SC Strike Price]]), 0)</f>
        <v>0</v>
      </c>
      <c r="FH114" s="382">
        <f>IF(SnapshotTable[[#This Row],[SC Is Filled]], IF(ISNUMBER(SnapshotTable[[#This Row],[SC Current Ask]]), SnapshotTable[[#This Row],[SC Current Ask]], SnapshotTable[[#This Row],[SC Book Price]]) - SnapshotTable[[#This Row],[SC Intrinsic Value]], 0)</f>
        <v>0</v>
      </c>
      <c r="FI114" s="143"/>
      <c r="FJ114" s="32" t="str">
        <f>IF(SnapshotTable[[#This Row],[SC Is Filled]],100 * SnapshotTable[[#This Row],[SC Qty]] * IF(ISNUMBER(SnapshotTable[[#This Row],[SC Buyback Override]]), SnapshotTable[[#This Row],[SC Buyback Override]], SnapshotTable[[#This Row],[SC Current Ask]]), "")</f>
        <v/>
      </c>
      <c r="FK114" s="250" t="str">
        <f>IF(SnapshotTable[[#This Row],[SC Time Val]]&gt;0, SnapshotTable[[#This Row],[SC Time Val]] / SnapshotTable[[#This Row],[Last Price]],"")</f>
        <v/>
      </c>
      <c r="FL114" s="302" t="str">
        <f>IF(SnapshotTable[[#This Row],[SC Is Booked]], ((SnapshotTable[[#This Row],[Last Price]] -SnapshotTable[[#This Row],[SC Strike Price]]) / SnapshotTable[[#This Row],[Last Price]]) * -1, "")</f>
        <v/>
      </c>
      <c r="FM114" s="157" t="str">
        <f>IF(SnapshotTable[[#This Row],[SC Is Booked]],  (SnapshotTable[[#This Row],[SC Qty]] * 100 * SnapshotTable[[#This Row],[SC Strike Price]]) - SnapshotTable[[#This Row],[SC Current Ask]], "")</f>
        <v/>
      </c>
      <c r="FN11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4" s="31" t="str">
        <f>IF(AND(ISNUMBER(SnapshotTable[[#This Row],[SC Exercise Gross]]), ISNUMBER(SnapshotTable[[#This Row],[Equity Basis Per Share]] )), SnapshotTable[[#This Row],[SC Exercise Gross]] - SnapshotTable[[#This Row],[Equity Basis Total]] +  SnapshotTable[[#This Row],[SC Premium]], "")</f>
        <v/>
      </c>
      <c r="FP114" s="5" t="str">
        <f>IF(ISNUMBER(SnapshotTable[[#This Row],[SC Exercise Gross]]), (SnapshotTable[[#This Row],[SC Exercise Gross]]) / (SnapshotTable[[#This Row],[SC Qty]] * 100), "")</f>
        <v/>
      </c>
      <c r="FQ114" s="27" t="str">
        <f>IF(SnapshotTable[[#This Row],[SC Is Booked]],SnapshotTable[[#This Row],[SC Time Val]] /SnapshotTable[[#This Row],[SC Basis]], "")</f>
        <v/>
      </c>
      <c r="FR114" s="27" t="str" cm="1">
        <f t="array" ref="FR114">IF(AND(ISNUMBER(SnapshotTable[[#This Row],[SC Term]]),ISNUMBER(SnapshotTable[[#This Row],[SC Simple ROO]])), EllmanAnnualize(SnapshotTable[[#This Row],[SC DTE]], SnapshotTable[[#This Row],[SC Simple ROO]] ),"")</f>
        <v/>
      </c>
      <c r="FS114" s="4" t="e">
        <f>IF(SnapshotTable[[#This Row],[SC Strike Price]] &gt; SnapshotTable[[#This Row],[Last Price]], SnapshotTable[[#This Row],[SC Strike Price]] - SnapshotTable[[#This Row],[Last Price]],0)</f>
        <v>#VALUE!</v>
      </c>
      <c r="FT114" s="27" t="e">
        <f>IF(AND(ISNUMBER(SnapshotTable[[#This Row],[SC Upside Potential]]), SnapshotTable[[#This Row],[SC Upside Potential]] &gt; 0),(SnapshotTable[[#This Row],[SC Upside Potential]]/ SnapshotTable[[#This Row],[ACB]]),"")</f>
        <v>#VALUE!</v>
      </c>
      <c r="FU114" s="333" t="str">
        <f>IF(SnapshotTable[[#This Row],[SC Intrinsic Value]] &gt; 0,SnapshotTable[[#This Row],[SC Intrinsic Value]],"")</f>
        <v/>
      </c>
      <c r="FV114" s="27" t="str">
        <f>IF(AND( ISNUMBER( SnapshotTable[[#This Row],[ACB]]),ISNUMBER(SnapshotTable[[#This Row],[SC Downside Protect]])),SnapshotTable[[#This Row],[SC Downside Protect]] / SnapshotTable[[#This Row],[ACB]],"")</f>
        <v/>
      </c>
      <c r="FW114" s="236" t="str">
        <f>IF(AND(ISNUMBER(SnapshotTable[[#This Row],[SC Simple ROO]]),SnapshotTable[[#This Row],[SC Simple ROO]] &gt; 0), SnapshotTable[[#This Row],[SC Premium]] + (SnapshotTable[[#This Row],[SC Qty]] * SnapshotTable[[#This Row],[SC Upside Potential]]), "")</f>
        <v/>
      </c>
      <c r="FX114" s="302" t="str" cm="1">
        <f t="array" ref="FX114">IF(ISNUMBER(SnapshotTable[[#This Row],[SC Max Dollars]]), annualize(SnapshotTable[[#This Row],[SC Term]],(SnapshotTable[[#This Row],[SC Max Dollars]]/SnapshotTable[[#This Row],[SC Basis]])),"")</f>
        <v/>
      </c>
      <c r="FY114" s="236" t="str">
        <f>IF(AND(SnapshotTable[[#This Row],[SC Qty]]&gt;0,SnapshotTable[[#This Row],[SC Current Ask]]&gt;0), SnapshotTable[[#This Row],[SC Qty]] * SnapshotTable[[#This Row],[SC Current Ask]] * -100, "")</f>
        <v/>
      </c>
      <c r="FZ114" s="31" t="str">
        <f>IF(ISNUMBER((SnapshotTable[[#This Row],[SC Current Value]])), SnapshotTable[[#This Row],[SC Premium]] + SnapshotTable[[#This Row],[SC Current Value]], "")</f>
        <v/>
      </c>
      <c r="GA114" s="294" t="str">
        <f>IFERROR( IF(ISNUMBER((SnapshotTable[[#This Row],[SC Current Value]])), SnapshotTable[[#This Row],[SC Gain Loss]] / SnapshotTable[[#This Row],[SC Premium]], ""), "")</f>
        <v/>
      </c>
      <c r="GB114" s="42">
        <f>SnapshotTable[[#This Row],[Equity Shares]] * SaleSharesToConsiderPercentage</f>
        <v>0</v>
      </c>
      <c r="GC114" s="40">
        <f>SnapshotTable[[#This Row],[Long Term Target]] * SellingPriceToConsiderBasedOnTargetPercentage</f>
        <v>97.507999999999996</v>
      </c>
      <c r="GD114" s="40">
        <f>SnapshotTable[[#This Row],[Last Price]] * (1+ SellingPriceToConsiderBasedOnTargetPercentage)</f>
        <v>58.383000000000003</v>
      </c>
      <c r="GE114" s="41"/>
      <c r="GF114" s="40"/>
      <c r="GG114" s="31">
        <f>SnapshotTable[[#This Row],[Booked Sale Shares]] * SnapshotTable[[#This Row],[Booked Sale Price]]</f>
        <v>0</v>
      </c>
      <c r="GH114" s="31" t="str">
        <f>IF(SnapshotTable[[#This Row],[Equity Basis Total]] &gt; 0, SnapshotTable[[#This Row],[Equity Basis Per Share]] * SnapshotTable[[#This Row],[Booked Sale Shares]], "")</f>
        <v/>
      </c>
      <c r="GI114" s="31">
        <f>IF(SnapshotTable[[#This Row],[Sale Proceeds]]&gt;0, SnapshotTable[[#This Row],[Sale Proceeds]] - SnapshotTable[[#This Row],[Sale Basis]], 0)</f>
        <v>0</v>
      </c>
      <c r="GJ114" s="27" t="str">
        <f>IF(SnapshotTable[[#This Row],[Sale G/L]]&gt;0, SnapshotTable[[#This Row],[Sale G/L]] / SnapshotTable[[#This Row],[Sale Basis]], IF(ISNUMBER(SnapshotTable[[#This Row],[SC Exercise P&amp;L (TAX)]]), SnapshotTable[[#This Row],[SC Exercise P&amp;L (TAX)]] / SnapshotTable[[#This Row],[SC Basis]], ""))</f>
        <v/>
      </c>
      <c r="GK114" s="27"/>
      <c r="GL114" s="43" t="str">
        <f>IF(AND(SnapshotTable[[#This Row],[LP Exp Date]]&gt;0,SnapshotTable[[#This Row],[LP Strike Price]]&gt;0), [1]!ToOptionSymbol(SnapshotTable[[#This Row],[Symbol]], SnapshotTable[[#This Row],[LP Strike Price]],SnapshotTable[[#This Row],[LP Exp Date]],1), "")</f>
        <v/>
      </c>
      <c r="GM114" s="30" t="str">
        <f>IF(LEN(SnapshotTable[[#This Row],[LP Symbol]])&gt;0, 1, "")</f>
        <v/>
      </c>
      <c r="GN114" s="43" t="str">
        <f>IF(AND(SnapshotTable[[#This Row],[SP Exp Date]]&gt;0,SnapshotTable[[#This Row],[SP Strike Price]]&gt;0), [1]!ToOptionSymbol(SnapshotTable[[#This Row],[Symbol]], SnapshotTable[[#This Row],[SP Strike Price]],SnapshotTable[[#This Row],[SP Exp Date]],1), "")</f>
        <v/>
      </c>
      <c r="GO114" s="30" t="str">
        <f>IF(LEN(SnapshotTable[[#This Row],[SP Symbol]])&gt;0, 1, "")</f>
        <v/>
      </c>
      <c r="GP114" s="43" t="str">
        <f>IF(AND(SnapshotTable[[#This Row],[LC Exp Date]]&gt;0,SnapshotTable[[#This Row],[LC Strike Price]]&gt;0), [1]!ToOptionSymbol(SnapshotTable[[#This Row],[Symbol]], SnapshotTable[[#This Row],[LC Strike Price]],SnapshotTable[[#This Row],[LC Exp Date]],0), "")</f>
        <v/>
      </c>
      <c r="GQ114" s="30" t="str">
        <f>IF(LEN(SnapshotTable[[#This Row],[LC Symbol]])&gt;0, 1, "")</f>
        <v/>
      </c>
      <c r="GR114" s="43" t="str">
        <f>IF(AND(SnapshotTable[[#This Row],[SC Exp Date]]&gt;0,SnapshotTable[[#This Row],[SC Strike Price]]&gt;0), [1]!ToOptionSymbol(SnapshotTable[[#This Row],[Symbol]], SnapshotTable[[#This Row],[SC Strike Price]],SnapshotTable[[#This Row],[SC Exp Date]],0), "")</f>
        <v/>
      </c>
      <c r="GS114" s="30" t="str">
        <f>IF(LEN(SnapshotTable[[#This Row],[SC Symbol]])&gt;0, 1, "")</f>
        <v/>
      </c>
      <c r="GT114" s="29" t="str">
        <f>IF(COUNT(SnapshotTable[[#This Row],[LP Symbol Count]],SnapshotTable[[#This Row],[SP Symbol Count]],SnapshotTable[[#This Row],[LC Symbol Count]],SnapshotTable[[#This Row],[SC Symbol Count]])&gt;0, "Y", "")</f>
        <v/>
      </c>
      <c r="GU11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4" s="231" t="e">
        <f>MAX(SnapshotTable[[#This Row],[Equity Basis Total]],SnapshotTable[[#This Row],[Equity Value]]) + (SnapshotTable[[#This Row],[SP Potential Spend]]- SnapshotTable[[#This Row],[SP Premium]] + SnapshotTable[[#This Row],[LP Premium]])+ (SnapshotTable[[#This Row],[LC Premium]] - SnapshotTable[[#This Row],[SC Premium]])</f>
        <v>#VALUE!</v>
      </c>
      <c r="GW114" s="139" t="e">
        <f>IF(AND(SnapshotTable[[#This Row],[Exposure]] &lt;&gt; 0),SnapshotTable[[#This Row],[Exposure]] / SnapshotTable[[#Totals],[Exposure]], "")</f>
        <v>#VALUE!</v>
      </c>
      <c r="HE114" s="268"/>
      <c r="HF114" s="268"/>
      <c r="HK114" s="1"/>
      <c r="HL114" s="1"/>
      <c r="HM114" s="1"/>
      <c r="HN114" s="1"/>
      <c r="HO114" s="1"/>
      <c r="HP114" s="1"/>
    </row>
    <row r="115" spans="2:224" ht="12.75" hidden="1" customHeight="1" x14ac:dyDescent="0.25">
      <c r="B115" s="12" t="s">
        <v>118</v>
      </c>
      <c r="C115" s="422">
        <v>83.52</v>
      </c>
      <c r="D115" s="208"/>
      <c r="E115" s="39">
        <f>SnapshotTable[[#This Row],[Last Price]]*(1 -CrashDiscount)</f>
        <v>70.99199999999999</v>
      </c>
      <c r="F115" s="26" t="s">
        <v>117</v>
      </c>
      <c r="G115" s="26" t="s">
        <v>14</v>
      </c>
      <c r="H115" s="149"/>
      <c r="I115" s="194">
        <v>44755.270833333336</v>
      </c>
      <c r="J115" s="195">
        <v>44755.270833333336</v>
      </c>
      <c r="K115" s="196"/>
      <c r="L115" s="326"/>
      <c r="M115" s="140"/>
      <c r="N115" s="140"/>
      <c r="O115" s="140"/>
      <c r="P115" s="22"/>
      <c r="Q115" s="25"/>
      <c r="R115" s="4" t="str">
        <f>IF(SnapshotTable[[#This Row],[Equity Basis Total]] &gt; 0, SnapshotTable[[#This Row],[Equity Basis Total]] / SnapshotTable[[#This Row],[Equity Shares]], "")</f>
        <v/>
      </c>
      <c r="S115" s="269">
        <f>SnapshotTable[[#This Row],[Last Price]] * SnapshotTable[[#This Row],[Equity Shares]]</f>
        <v>0</v>
      </c>
      <c r="T115" s="269">
        <f>SnapshotTable[[#This Row],[Equity Value]] - SnapshotTable[[#This Row],[Equity Basis Total]]</f>
        <v>0</v>
      </c>
      <c r="U115" s="270" t="str">
        <f>IF(SnapshotTable[[#This Row],[Equity Basis Total]] &gt; 0, SnapshotTable[[#This Row],[Equity G/L]] / SnapshotTable[[#This Row],[Equity Basis Total]], "")</f>
        <v/>
      </c>
      <c r="V115" s="268"/>
      <c r="W115" s="268"/>
      <c r="X115" s="4" t="str">
        <f>IF(AND(ISNUMBER(SnapshotTable[[#This Row],[Equity Basis Per Share]]),ISNUMBER(SnapshotTable[[#This Row],[Equity Target]])),SnapshotTable[[#This Row],[Equity Target]]-SnapshotTable[[#This Row],[Equity Basis Per Share]],"")</f>
        <v/>
      </c>
      <c r="Y115" s="4" t="str">
        <f>IF(AND(ISNUMBER(SnapshotTable[[#This Row],[Equity Basis Per Share]]),ISNUMBER(SnapshotTable[[#This Row],[Equity Stop Loss]])),SnapshotTable[[#This Row],[Equity Stop Loss]]-SnapshotTable[[#This Row],[Equity Basis Per Share]],"")</f>
        <v/>
      </c>
      <c r="Z115" s="275" t="str">
        <f>IFERROR( TEXT(SnapshotTable[[#This Row],[Equity Max Gain Per Share]] /ABS( SnapshotTable[[#This Row],[Equity Max Loss Per Share]]),"0.0 " ) &amp; " : 1", "")</f>
        <v/>
      </c>
      <c r="AA115" s="31" t="str">
        <f>IF(ISNUMBER(SnapshotTable[[#This Row],[Equity Max Gain Per Share]]),SnapshotTable[[#This Row],[Equity Max Gain Per Share]] * SnapshotTable[[#This Row],[Equity Shares]],"")</f>
        <v/>
      </c>
      <c r="AB115" s="31" t="str">
        <f>IF(ISNUMBER(SnapshotTable[[#This Row],[Equity Max Loss Per Share]]),SnapshotTable[[#This Row],[Equity Max Loss Per Share]] * SnapshotTable[[#This Row],[Equity Shares]],"")</f>
        <v/>
      </c>
      <c r="AC115" s="150">
        <v>0.54</v>
      </c>
      <c r="AD115" s="151">
        <v>42530</v>
      </c>
      <c r="AE115" s="31">
        <f>(SnapshotTable[[#This Row],[Annual Dividend Per Share]] / 4) * SnapshotTable[[#This Row],[Equity Shares]]</f>
        <v>0</v>
      </c>
      <c r="AF115" s="31">
        <f>SnapshotTable[[#This Row],[Quarterly Div $]] * 4</f>
        <v>0</v>
      </c>
      <c r="AG115" s="7">
        <f>IF(SnapshotTable[[#This Row],[Annual Dividend Per Share]]&gt;0, SnapshotTable[[#This Row],[Annual Dividend Per Share]]  / SnapshotTable[[#This Row],[Last Price]], 0)</f>
        <v>6.4655172413793111E-3</v>
      </c>
      <c r="AH115" s="151">
        <v>42500</v>
      </c>
      <c r="AI115" s="5"/>
      <c r="AJ115" s="138">
        <v>60</v>
      </c>
      <c r="AK115" s="152" t="str">
        <f>IF(ISNUMBER( SnapshotTable[[#This Row],[EBF Target]]),(SnapshotTable[[#This Row],[EBF Target]] - SnapshotTable[[#This Row],[Last Price]]) / SnapshotTable[[#This Row],[Last Price]], "")</f>
        <v/>
      </c>
      <c r="AL115" s="152" t="str">
        <f>IF(AND(SnapshotTable[[#This Row],[Equity Basis Total]] &gt; 0,ISNUMBER( SnapshotTable[[#This Row],[Long Term Target]])), SnapshotTable[[#This Row],[From Basis $]] / SnapshotTable[[#This Row],[Equity Basis Total]], "")</f>
        <v/>
      </c>
      <c r="AM115" s="9">
        <f>IF( AND(SnapshotTable[[#This Row],[Equity Shares]] &gt;0,ISNUMBER( SnapshotTable[[#This Row],[Long Term Target]])),(SnapshotTable[[#This Row],[Equity Shares]] * SnapshotTable[[#This Row],[Long Term Target]]) - SnapshotTable[[#This Row],[Equity Basis Total]],0)</f>
        <v>0</v>
      </c>
      <c r="AN115" s="9">
        <f>IF( AND(SnapshotTable[[#This Row],[Equity Shares]] &gt;0,ISNUMBER( SnapshotTable[[#This Row],[Long Term Target]])),(SnapshotTable[[#This Row],[Equity Shares]]*SnapshotTable[[#This Row],[Long Term Target]]) - SnapshotTable[[#This Row],[Equity Value]],0)</f>
        <v>0</v>
      </c>
      <c r="AO115" s="152">
        <f>IF(AND(ISNUMBER( SnapshotTable[[#This Row],[Long Term Target]]), ISNUMBER(SnapshotTable[[#This Row],[Last Price]])),(SnapshotTable[[#This Row],[Long Term Target]] - SnapshotTable[[#This Row],[Last Price]]) / SnapshotTable[[#This Row],[Last Price]], "")</f>
        <v>-0.28160919540229884</v>
      </c>
      <c r="AP115" s="5">
        <v>39.5</v>
      </c>
      <c r="AQ115" s="38" t="s">
        <v>1069</v>
      </c>
      <c r="AR115" s="5">
        <v>36.200000000000003</v>
      </c>
      <c r="AS115" s="38" t="s">
        <v>89</v>
      </c>
      <c r="AT115" s="146" t="s">
        <v>1070</v>
      </c>
      <c r="AU115" s="187" t="str">
        <f>IF(OR(SnapshotTable[[#This Row],[LP No Fill]]="Y",SnapshotTable[[#This Row],[SP Is Filled]],SnapshotTable[[#This Row],[LC Not Filled]]="Y",SnapshotTable[[#This Row],[SC Is Filled]]),"Y","")</f>
        <v/>
      </c>
      <c r="AV115" s="219"/>
      <c r="AW115" s="225"/>
      <c r="AX115" s="220"/>
      <c r="AY115" s="219" t="str">
        <f>IF(SnapshotTable[[#This Row],[Implied Move]]&gt;0, SnapshotTable[[#This Row],[Last Price]]-SnapshotTable[[#This Row],[Implied Move]],"")</f>
        <v/>
      </c>
      <c r="AZ115" s="219" t="str">
        <f>IF(SnapshotTable[[#This Row],[Implied Move]]&gt;0, SnapshotTable[[#This Row],[Last Price]] + SnapshotTable[[#This Row],[Implied Move]],"")</f>
        <v/>
      </c>
      <c r="BA115" s="331">
        <v>2.1800000000000002</v>
      </c>
      <c r="BB115" s="347"/>
      <c r="BC11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5" s="351"/>
      <c r="BE115" s="5"/>
      <c r="BF115" s="14"/>
      <c r="BG115" s="13"/>
      <c r="BH115" s="13"/>
      <c r="BI115" s="5"/>
      <c r="BJ115" s="136">
        <f>IF(SnapshotTable[[#This Row],[LP Qty]] &gt; 0, SnapshotTable[[#This Row],[LP Qty]] * SnapshotTable[[#This Row],[LP Book Price]] * 100,0)</f>
        <v>0</v>
      </c>
      <c r="BK115" s="136">
        <f>IF(SnapshotTable[[#This Row],[LP Premium]] &gt; 0, SnapshotTable[[#This Row],[LP Qty]] * SnapshotTable[[#This Row],[LP Strike Price]] * 100,0)</f>
        <v>0</v>
      </c>
      <c r="BL115" s="154"/>
      <c r="BM115" s="385" t="str">
        <f>IF(SnapshotTable[[#This Row],[LP Premium]] &gt; 0,SnapshotTable[[#This Row],[LP Exp Date]]-MAX(SnapshotTable[[#This Row],[LP Book Date]], SnapshotTable[[#This Row],[LP Fill Date]]),"")</f>
        <v/>
      </c>
      <c r="BN115" s="385" t="str">
        <f>IF(ISNUMBER( SnapshotTable[[#This Row],[LP Term]]), SnapshotTable[[#This Row],[LP Exp Date]] - MockToday,"")</f>
        <v/>
      </c>
      <c r="BO115" s="163" t="str">
        <f>IF(AND(SnapshotTable[[#This Row],[LP Exp Date]]&gt;0, SnapshotTable[[#This Row],[LP Strike Price]]&gt;0,SnapshotTable[[#This Row],[LP Qty]]&gt;0,SnapshotTable[[#This Row],[LP Book Date]]&gt;0,SnapshotTable[[#This Row],[LP Book Price]]&gt;0,SnapshotTable[[#This Row],[LP Fill Date]]=0),"Y","")</f>
        <v/>
      </c>
      <c r="BP115" s="31" t="str">
        <f>IF(AND(SnapshotTable[[#This Row],[LP No Fill]]&lt;&gt;"Y",SnapshotTable[[#This Row],[LP Contract Value]]&gt;0, SnapshotTable[[#This Row],[LP Qty]]&gt;0), SnapshotTable[[#This Row],[LP Contract Value]]*SnapshotTable[[#This Row],[LP Qty]]*100,"")</f>
        <v/>
      </c>
      <c r="BQ115" s="13"/>
      <c r="BR115" s="5" t="str">
        <f>IF(SnapshotTable[[#This Row],[SP Exp Date]]&lt;&gt;"",TRUNC(SnapshotTable[[#This Row],[Last Price]]),"")</f>
        <v/>
      </c>
      <c r="BS115" s="36"/>
      <c r="BT115" s="147"/>
      <c r="BU115" s="13"/>
      <c r="BV115" s="5"/>
      <c r="BW115" s="419" t="b">
        <f>AND(ISNUMBER(SnapshotTable[[#This Row],[SP Exp Date]]), ISNUMBER(SnapshotTable[[#This Row],[SP Strike Price]]), ISNUMBER(SnapshotTable[[#This Row],[SP Qty]]), ISNUMBER(SnapshotTable[[#This Row],[SP Book Date]]), ISNUMBER(SnapshotTable[[#This Row],[SP Book Price]]))</f>
        <v>0</v>
      </c>
      <c r="BX115" s="419" t="b">
        <f>AND(SnapshotTable[[#This Row],[SP Is Booked]], NOT(ISBLANK(SnapshotTable[[#This Row],[SP Fill Date]])))</f>
        <v>0</v>
      </c>
      <c r="BY115" s="33">
        <f>IF(SnapshotTable[[#This Row],[SP Is Booked]], SnapshotTable[[#This Row],[SP Qty]] * SnapshotTable[[#This Row],[SP Book Price]] * 100, 0)</f>
        <v>0</v>
      </c>
      <c r="BZ115" s="369"/>
      <c r="CA115" s="368">
        <f>SnapshotTable[[#This Row],[LP Qty]]</f>
        <v>0</v>
      </c>
      <c r="CB115" s="4" t="str">
        <f>IF(SnapshotTable[[#This Row],[SP Is Booked]], SnapshotTable[[#This Row],[SP Strike Price]] - SnapshotTable[[#This Row],[SP Book Price]], "")</f>
        <v/>
      </c>
      <c r="CC115" s="19" t="str">
        <f>IF(SnapshotTable[[#This Row],[SP Is Booked]],SnapshotTable[[#This Row],[SP Exp Date]]-MAX(SnapshotTable[[#This Row],[SP Book Date]], SnapshotTable[[#This Row],[SP Fill Date]]),"")</f>
        <v/>
      </c>
      <c r="CD115" s="7" t="str">
        <f>IF(SnapshotTable[[#This Row],[SP Is Booked]], SnapshotTable[[#This Row],[SP Book Price]]/SnapshotTable[[#This Row],[SP Strike Price]], "")</f>
        <v/>
      </c>
      <c r="CE115" s="7" t="str">
        <f>IF(ISNUMBER(SnapshotTable[[#This Row],[SP ROO Term]]),SnapshotTable[[#This Row],[SP ROO Term]]*(365/SnapshotTable[[#This Row],[SP Term]]),"")</f>
        <v/>
      </c>
      <c r="CF115" s="236">
        <f>SnapshotTable[[#This Row],[LP Strike Price]] * SnapshotTable[[#This Row],[LP Qty]] * 100</f>
        <v>0</v>
      </c>
      <c r="CG115" s="31" t="e">
        <f>IF(ISNUMBER(SnapshotTable[[#This Row],[SP Premium]]), (SnapshotTable[[#This Row],[SP Qty]] * SnapshotTable[[#This Row],[SP Strike Price]]* 100) - SnapshotTable[[#This Row],[LP Protection]], 0)</f>
        <v>#VALUE!</v>
      </c>
      <c r="CH115" s="7" t="str">
        <f>IF(ISNUMBER(SnapshotTable[[#This Row],[SP Break Even]]),-1 * (SnapshotTable[[#This Row],[SP Break Even]] - SnapshotTable[[#This Row],[Last Price]]) / SnapshotTable[[#This Row],[Last Price]], "")</f>
        <v/>
      </c>
      <c r="CI115" s="31">
        <f>IF(AND(ISNUMBER((SnapshotTable[[#This Row],[SP Potential Spend]])), SnapshotTable[[#This Row],[SP Strike Price]] &gt; SnapshotTable[[#This Row],[Last Price]], SnapshotTable[[#This Row],[SP Is Filled]]), SnapshotTable[[#This Row],[SP Potential Spend]] -  SnapshotTable[[#This Row],[LP Max Value]], 0)</f>
        <v>0</v>
      </c>
      <c r="CJ115" s="244"/>
      <c r="CK115" s="31" t="str">
        <f>IF(ISNUMBER(SnapshotTable[[#This Row],[SP Potential Spend]]),IF(ISNUMBER(SnapshotTable[[#This Row],[SP POW]]), SnapshotTable[[#This Row],[SP POW]] * SnapshotTable[[#This Row],[SP Potential Spend]], SnapshotTable[[#This Row],[SP Potential Spend]]), "")</f>
        <v/>
      </c>
      <c r="CL115" s="164" t="e">
        <f>IF(NOT(SnapshotTable[[#This Row],[SP Is Filled]]),(SnapshotTable[[#This Row],[SP Qty]] * SnapshotTable[[#This Row],[SP Strike Price]] * 100) - SnapshotTable[[#This Row],[LP Max Value]],"")</f>
        <v>#VALUE!</v>
      </c>
      <c r="CM115" s="31" t="str">
        <f>IF(SnapshotTable[[#This Row],[SP Actual Spend]]&lt;&gt;0, ((SnapshotTable[[#This Row],[SP Strike Price]]-SnapshotTable[[#This Row],[Last Price]]) *(SnapshotTable[[#This Row],[SP Qty]]*100) - SnapshotTable[[#This Row],[SP Premium]]) * - 1, "")</f>
        <v/>
      </c>
      <c r="CN115" s="78"/>
      <c r="CO115" s="369"/>
      <c r="CP115" s="4" t="str">
        <f>IF(SnapshotTable[[#This Row],[SP Is Filled]], btc_max_buyback_amount(SnapshotTable[[#This Row],[SP Fill Date]],SnapshotTable[[#This Row],[SP Exp Date]], SnapshotTable[[#This Row],[SP Book Price]]),"")</f>
        <v/>
      </c>
      <c r="CQ115" s="78"/>
      <c r="CR11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5" s="155" t="str">
        <f>IF(SnapshotTable[[#This Row],[SP Is Filled]], btc_next_cutoff_date(SnapshotTable[[#This Row],[SP Fill Date]],SnapshotTable[[#This Row],[SP Exp Date]]),"")</f>
        <v/>
      </c>
      <c r="CT115" s="235" t="str" cm="1">
        <f t="array" ref="CT115">IF(SnapshotTable[[#This Row],[SP Is Filled]], btc_should_buy_back(SnapshotTable[[#This Row],[SP Fill Date]], SnapshotTable[[#This Row],[SP Exp Date]], SnapshotTable[[#This Row],[SP Book Price]], SnapshotTable[[#This Row],[SP Current Ask]], MockToday, SnapshotTable[[#This Row],[SP Buyback Override]]),"")</f>
        <v/>
      </c>
      <c r="CU115" s="143"/>
      <c r="CV115" s="235"/>
      <c r="CW115" s="378" t="str">
        <f>IF(ISNUMBER( SnapshotTable[[#This Row],[SP Term]]), SnapshotTable[[#This Row],[SP Exp Date]] - MockToday,"")</f>
        <v/>
      </c>
      <c r="CX115" s="31" t="str">
        <f>IF(SnapshotTable[[#This Row],[SP Is Filled]],SnapshotTable[[#This Row],[SP Buyback Price to Use]] * 100 * SnapshotTable[[#This Row],[SP Qty]], "")</f>
        <v/>
      </c>
      <c r="CY115" s="4" t="str">
        <f>IF(ISNUMBER(SnapshotTable[[#This Row],[SP Strike Price]]), SnapshotTable[[#This Row],[SP Strike Price]] * (1 - SP_MaxLoss_StrikePct), "")</f>
        <v/>
      </c>
      <c r="CZ115" s="31" t="str">
        <f>IF(ISNUMBER(SnapshotTable[[#This Row],[SP Strike  Stop Per Share]]),SnapshotTable[[#This Row],[SP Premium]] - ((SnapshotTable[[#This Row],[SP Strike Price]]-SnapshotTable[[#This Row],[SP Strike  Stop Per Share]]) *(SnapshotTable[[#This Row],[SP Qty]] * 100)),"")</f>
        <v/>
      </c>
      <c r="DA115" s="4" t="str">
        <f>IF(AND(ISNUMBER(SnapshotTable[[#This Row],[SP Premium]]),SnapshotTable[[#This Row],[SP Premium]]&gt;0), SnapshotTable[[#This Row],[SP Book Price]] * (1 + SP_MaxLoss_OptionPct), "")</f>
        <v/>
      </c>
      <c r="DB115" s="31" t="str">
        <f>IF(ISNUMBER(SnapshotTable[[#This Row],[SP Option  Stop Contract]]),(SnapshotTable[[#This Row],[SP Option  Stop Contract]] *(SnapshotTable[[#This Row],[SP Qty]] * 100) - SnapshotTable[[#This Row],[SP Premium]]),"")</f>
        <v/>
      </c>
      <c r="DC115" s="4"/>
      <c r="DD115" s="4"/>
      <c r="DE115" s="4" t="str">
        <f>IF(AND(SnapshotTable[[#This Row],[SP Qty]]&gt;0, SnapshotTable[[#This Row],[SP Stop To Use]]&gt;0),SnapshotTable[[#This Row],[SP Premium]] - ( SnapshotTable[[#This Row],[SP Qty]] * SnapshotTable[[#This Row],[SP Stop To Use]] * 100), "")</f>
        <v/>
      </c>
      <c r="DF115" s="31" t="str">
        <f>IF(AND(SnapshotTable[[#This Row],[SP Qty]]&gt;0,SnapshotTable[[#This Row],[SP Current Ask]]&gt;0), SnapshotTable[[#This Row],[SP Qty]] * SnapshotTable[[#This Row],[SP Current Ask]] * -100, "")</f>
        <v/>
      </c>
      <c r="DG115" s="31" t="str">
        <f>IF(ISNUMBER((SnapshotTable[[#This Row],[SP Total Value]])), SnapshotTable[[#This Row],[SP Premium]] + SnapshotTable[[#This Row],[SP Total Value]], "")</f>
        <v/>
      </c>
      <c r="DH115" s="294" t="str">
        <f>IF(ISNUMBER((SnapshotTable[[#This Row],[SP Total Value]])), SnapshotTable[[#This Row],[SP Gain Loss]] / SnapshotTable[[#This Row],[SP Premium]], "")</f>
        <v/>
      </c>
      <c r="DI115" s="406"/>
      <c r="DJ115" s="138"/>
      <c r="DK115" s="148"/>
      <c r="DL115" s="13"/>
      <c r="DM115" s="13"/>
      <c r="DO115" s="31">
        <f>IF(SnapshotTable[[#This Row],[LC Symbol Count]]=1, SnapshotTable[[#This Row],[LC Qty]] * SnapshotTable[[#This Row],[LC Book Price]] * 100, 0)</f>
        <v>0</v>
      </c>
      <c r="DP115" s="163" t="str">
        <f>IF(AND(SnapshotTable[[#This Row],[LC Exp Date]]&gt;0, SnapshotTable[[#This Row],[LC Strike Price]]&gt;0,SnapshotTable[[#This Row],[LC Qty]]&gt;0,SnapshotTable[[#This Row],[LC Book Date]]&gt;0,SnapshotTable[[#This Row],[LC Book Price]]&gt;0,SnapshotTable[[#This Row],[LC Fill Date]]=0),"Y","")</f>
        <v/>
      </c>
      <c r="DQ115" s="386" t="str">
        <f>IF(SnapshotTable[[#This Row],[LC Premium]] &gt; 0,SnapshotTable[[#This Row],[LC Exp Date]]-MAX(SnapshotTable[[#This Row],[LC Book Date]], SnapshotTable[[#This Row],[LC Fill Date]]),"")</f>
        <v/>
      </c>
      <c r="DR115" s="386" t="str">
        <f>IF(ISNUMBER(SnapshotTable[[#This Row],[LC Term]]), SnapshotTable[[#This Row],[LC Exp Date]] - MockToday, "")</f>
        <v/>
      </c>
      <c r="DS115" s="234" t="str">
        <f>IF(SnapshotTable[[#This Row],[LC Premium]]&gt;0,SnapshotTable[[#This Row],[LC Strike Price]] + SnapshotTable[[#This Row],[LC Book Price]],"")</f>
        <v/>
      </c>
      <c r="DU115" s="9" t="str">
        <f>IF(AND(SnapshotTable[[#This Row],[LC Symbol Count]]&gt;0, SnapshotTable[[#This Row],[LC Contract Value]]&gt;0), SnapshotTable[[#This Row],[LC Contract Value]] * SnapshotTable[[#This Row],[LC Qty]] * 100, "")</f>
        <v/>
      </c>
      <c r="DV115" s="9" t="str">
        <f>IF(AND(ISNUMBER(SnapshotTable[[#This Row],[LC Total Value]]), SnapshotTable[[#This Row],[LC Not Filled]]&lt;&gt;"Y"), SnapshotTable[[#This Row],[LC Total Value]]-SnapshotTable[[#This Row],[LC Premium]],"")</f>
        <v/>
      </c>
      <c r="DW115" s="240" t="str">
        <f>IF(ISNUMBER(SnapshotTable[[#This Row],[LC Actual Gain Loss]]), SnapshotTable[[#This Row],[LC Actual Gain Loss]] / SnapshotTable[[#This Row],[LC Premium]],"")</f>
        <v/>
      </c>
      <c r="DX115" s="284" t="str">
        <f>IF(ISNUMBER(SnapshotTable[[#This Row],[LC Book Price]]),SnapshotTable[[#This Row],[LC Book Price]] * 1.5,"")</f>
        <v/>
      </c>
      <c r="DY115" s="265" t="str">
        <f>IF(SnapshotTable[[#This Row],[LC Premium]]&gt;0, SnapshotTable[[#This Row],[LC Next Target]] * SnapshotTable[[#This Row],[LC Qty]] * 100,"")</f>
        <v/>
      </c>
      <c r="DZ115" s="265" t="str">
        <f>IF(ISNUMBER(SnapshotTable[[#This Row],[LC Target Gross]]), SnapshotTable[[#This Row],[LC Target Gross]] - SnapshotTable[[#This Row],[LC Premium]], "")</f>
        <v/>
      </c>
      <c r="EA115" s="305" t="str">
        <f>IF(ISNUMBER(SnapshotTable[[#This Row],[LC Target Gain Loss]]), SnapshotTable[[#This Row],[LC Target Gain Loss]]/SnapshotTable[[#This Row],[LC Premium]], "")</f>
        <v/>
      </c>
      <c r="EB115" s="262"/>
      <c r="EC115" s="283" t="str">
        <f>IF(SnapshotTable[[#This Row],[LC Premium]]&gt;0, SnapshotTable[[#This Row],[LC Book Price]] * (1 - LC_StopLoss_Pct),"")</f>
        <v/>
      </c>
      <c r="ED115" s="284"/>
      <c r="EE115" s="283" t="str">
        <f>IF(ISNUMBER(SnapshotTable[[#This Row],[LC Contract Value]]),IF(ISNUMBER(SnapshotTable[[#This Row],[LC Stop Loss Override]]), SnapshotTable[[#This Row],[LC Stop Loss Override]],SnapshotTable[[#This Row],[LC Stop Loss Calc Target]]),"")</f>
        <v/>
      </c>
      <c r="EF115" s="31" t="str">
        <f>IF(ISNUMBER(SnapshotTable[[#This Row],[LC Stop  To Use]]), (SnapshotTable[[#This Row],[LC Stop  To Use]] * SnapshotTable[[#This Row],[LC Qty]] * 100),"")</f>
        <v/>
      </c>
      <c r="EG115" s="9" t="str">
        <f>IF(ISNUMBER(SnapshotTable[[#This Row],[LC Total Value]]),SnapshotTable[[#This Row],[LC Stop Loss Amount]] - SnapshotTable[[#This Row],[LC Premium]],"")</f>
        <v/>
      </c>
      <c r="EH115" s="9">
        <f>IF(ISNUMBER(SnapshotTable[[#This Row],[LC Premium]]), SnapshotTable[[#This Row],[LC Qty]] * 100 * SnapshotTable[[#This Row],[LC Strike Price]], "")</f>
        <v>0</v>
      </c>
      <c r="EI115" s="240" t="str">
        <f>IF(AND(ISNUMBER(SnapshotTable[[#This Row],[LC Total Value]]),SnapshotTable[[#This Row],[LC Total Value]]&gt;0),SnapshotTable[[#This Row],[LC Stop Gain Loss]]  / SnapshotTable[[#This Row],[LC Premium]],"")</f>
        <v/>
      </c>
      <c r="EJ115" s="35">
        <f>IF(ISNUMBER(SnapshotTable[[#This Row],[Equity Shares]]),TRUNC(SnapshotTable[[#This Row],[Equity Shares]] / 100),0) + SnapshotTable[[#This Row],[LC Qty]]</f>
        <v>0</v>
      </c>
      <c r="EK115" s="147"/>
      <c r="EL115" s="138" t="str">
        <f>IF(SnapshotTable[[#This Row],[SC Exp Date]]&lt;&gt;"",TRUNC(SnapshotTable[[#This Row],[Last Price]]),"")</f>
        <v/>
      </c>
      <c r="EM115" s="148"/>
      <c r="EN115" s="147"/>
      <c r="EO115" s="147"/>
      <c r="EP115" s="138"/>
      <c r="EQ115" s="419" t="b">
        <f>AND(ISNUMBER(SnapshotTable[[#This Row],[SC Exp Date]]), ISNUMBER(SnapshotTable[[#This Row],[SC Strike Price]]), ISNUMBER(SnapshotTable[[#This Row],[SC Qty]]), ISNUMBER(SnapshotTable[[#This Row],[SC Book Date]]), ISNUMBER(SnapshotTable[[#This Row],[SC Book Price]]))</f>
        <v>0</v>
      </c>
      <c r="ER115" s="419" t="b">
        <f>AND(SnapshotTable[[#This Row],[SC Is Booked]], NOT(ISBLANK(SnapshotTable[[#This Row],[SC Fill Date]])))</f>
        <v>0</v>
      </c>
      <c r="ES115" s="370"/>
      <c r="ET115" s="34" t="str">
        <f>IF(AND(ISNUMBER(SnapshotTable[[#This Row],[SC Exp Date]]), ISNUMBER(SnapshotTable[[#This Row],[SC Book Date]])), SnapshotTable[[#This Row],[SC Exp Date]] - MAX(SnapshotTable[[#This Row],[SC Book Date]], SnapshotTable[[#This Row],[SC Fill Date]]) + 1, "")</f>
        <v/>
      </c>
      <c r="EU115" s="34" t="str">
        <f>IF(ISNUMBER(SnapshotTable[[#This Row],[SC Term]]), SnapshotTable[[#This Row],[SC Exp Date]]- MockToday, "")</f>
        <v/>
      </c>
      <c r="EV115" s="31">
        <f>IF(SnapshotTable[[#This Row],[SC Is Booked]], SnapshotTable[[#This Row],[SC Qty]] * SnapshotTable[[#This Row],[SC Book Price]] * 100, 0)</f>
        <v>0</v>
      </c>
      <c r="EW115" s="4" t="str">
        <f>IF(AND(ISNUMBER(SnapshotTable[[#This Row],[Last Price]]), ISNUMBER( SnapshotTable[[#This Row],[SC Book Price]])), SnapshotTable[[#This Row],[Last Price]] - SnapshotTable[[#This Row],[SC Book Price]],"")</f>
        <v/>
      </c>
      <c r="EX115" s="234" t="str">
        <f>IF(SnapshotTable[[#This Row],[SC Is Booked]],IF(SnapshotTable[[#This Row],[SC Intrinsic Value]] &gt; 0, SnapshotTable[[#This Row],[SC Strike Price]], SnapshotTable[[#This Row],[Last Price]]), "")</f>
        <v/>
      </c>
      <c r="EY115" s="4">
        <f>IF(SnapshotTable[[#This Row],[SC Is Booked]], (MinimumPremiumRequired * SnapshotTable[[#This Row],[SC Basis]] * SnapshotTable[[#This Row],[SC Term]]), 0)</f>
        <v>0</v>
      </c>
      <c r="EZ115" s="283"/>
      <c r="FA115" s="218"/>
      <c r="FB115" s="370"/>
      <c r="FC115" s="4">
        <f>IF(SnapshotTable[[#This Row],[SC Is Filled]], btc_max_buyback_amount(SnapshotTable[[#This Row],[SC Fill Date]],SnapshotTable[[#This Row],[SC Exp Date]], SnapshotTable[[#This Row],[SC Book Price]]),0)</f>
        <v>0</v>
      </c>
      <c r="FD115" s="5"/>
      <c r="FE115" s="144" t="str">
        <f>IF(SnapshotTable[[#This Row],[SC Is Filled]], btc_next_cutoff_date(SnapshotTable[[#This Row],[SC Fill Date]],SnapshotTable[[#This Row],[SC Exp Date]]),"")</f>
        <v/>
      </c>
      <c r="FF115" s="4" t="str" cm="1">
        <f t="array" ref="FF115">IF(SnapshotTable[[#This Row],[SC Is Filled]], btc_should_buy_back(SnapshotTable[[#This Row],[SC Fill Date]], SnapshotTable[[#This Row],[SC Exp Date]], SnapshotTable[[#This Row],[SC Book Price]], SnapshotTable[[#This Row],[SC Current Ask]], MockToday, SnapshotTable[[#This Row],[SC Buyback Override]]),"")</f>
        <v/>
      </c>
      <c r="FG115" s="4">
        <f>IF(SnapshotTable[[#This Row],[SC Is Filled]], MAX(0,SnapshotTable[[#This Row],[Last Price]]  - SnapshotTable[[#This Row],[SC Strike Price]]), 0)</f>
        <v>0</v>
      </c>
      <c r="FH115" s="382">
        <f>IF(SnapshotTable[[#This Row],[SC Is Filled]], IF(ISNUMBER(SnapshotTable[[#This Row],[SC Current Ask]]), SnapshotTable[[#This Row],[SC Current Ask]], SnapshotTable[[#This Row],[SC Book Price]]) - SnapshotTable[[#This Row],[SC Intrinsic Value]], 0)</f>
        <v>0</v>
      </c>
      <c r="FI115" s="143"/>
      <c r="FJ115" s="32" t="str">
        <f>IF(SnapshotTable[[#This Row],[SC Is Filled]],100 * SnapshotTable[[#This Row],[SC Qty]] * IF(ISNUMBER(SnapshotTable[[#This Row],[SC Buyback Override]]), SnapshotTable[[#This Row],[SC Buyback Override]], SnapshotTable[[#This Row],[SC Current Ask]]), "")</f>
        <v/>
      </c>
      <c r="FK115" s="250" t="str">
        <f>IF(SnapshotTable[[#This Row],[SC Time Val]]&gt;0, SnapshotTable[[#This Row],[SC Time Val]] / SnapshotTable[[#This Row],[Last Price]],"")</f>
        <v/>
      </c>
      <c r="FL115" s="302" t="str">
        <f>IF(SnapshotTable[[#This Row],[SC Is Booked]], ((SnapshotTable[[#This Row],[Last Price]] -SnapshotTable[[#This Row],[SC Strike Price]]) / SnapshotTable[[#This Row],[Last Price]]) * -1, "")</f>
        <v/>
      </c>
      <c r="FM115" s="157" t="str">
        <f>IF(SnapshotTable[[#This Row],[SC Is Booked]],  (SnapshotTable[[#This Row],[SC Qty]] * 100 * SnapshotTable[[#This Row],[SC Strike Price]]) - SnapshotTable[[#This Row],[SC Current Ask]], "")</f>
        <v/>
      </c>
      <c r="FN11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5" s="31" t="str">
        <f>IF(AND(ISNUMBER(SnapshotTable[[#This Row],[SC Exercise Gross]]), ISNUMBER(SnapshotTable[[#This Row],[Equity Basis Per Share]] )), SnapshotTable[[#This Row],[SC Exercise Gross]] - SnapshotTable[[#This Row],[Equity Basis Total]] +  SnapshotTable[[#This Row],[SC Premium]], "")</f>
        <v/>
      </c>
      <c r="FP115" s="5" t="str">
        <f>IF(ISNUMBER(SnapshotTable[[#This Row],[SC Exercise Gross]]), (SnapshotTable[[#This Row],[SC Exercise Gross]]) / (SnapshotTable[[#This Row],[SC Qty]] * 100), "")</f>
        <v/>
      </c>
      <c r="FQ115" s="27" t="str">
        <f>IF(SnapshotTable[[#This Row],[SC Is Booked]],SnapshotTable[[#This Row],[SC Time Val]] /SnapshotTable[[#This Row],[SC Basis]], "")</f>
        <v/>
      </c>
      <c r="FR115" s="27" t="str" cm="1">
        <f t="array" ref="FR115">IF(AND(ISNUMBER(SnapshotTable[[#This Row],[SC Term]]),ISNUMBER(SnapshotTable[[#This Row],[SC Simple ROO]])), EllmanAnnualize(SnapshotTable[[#This Row],[SC DTE]], SnapshotTable[[#This Row],[SC Simple ROO]] ),"")</f>
        <v/>
      </c>
      <c r="FS115" s="4" t="e">
        <f>IF(SnapshotTable[[#This Row],[SC Strike Price]] &gt; SnapshotTable[[#This Row],[Last Price]], SnapshotTable[[#This Row],[SC Strike Price]] - SnapshotTable[[#This Row],[Last Price]],0)</f>
        <v>#VALUE!</v>
      </c>
      <c r="FT115" s="27" t="e">
        <f>IF(AND(ISNUMBER(SnapshotTable[[#This Row],[SC Upside Potential]]), SnapshotTable[[#This Row],[SC Upside Potential]] &gt; 0),(SnapshotTable[[#This Row],[SC Upside Potential]]/ SnapshotTable[[#This Row],[ACB]]),"")</f>
        <v>#VALUE!</v>
      </c>
      <c r="FU115" s="333" t="str">
        <f>IF(SnapshotTable[[#This Row],[SC Intrinsic Value]] &gt; 0,SnapshotTable[[#This Row],[SC Intrinsic Value]],"")</f>
        <v/>
      </c>
      <c r="FV115" s="27" t="str">
        <f>IF(AND( ISNUMBER( SnapshotTable[[#This Row],[ACB]]),ISNUMBER(SnapshotTable[[#This Row],[SC Downside Protect]])),SnapshotTable[[#This Row],[SC Downside Protect]] / SnapshotTable[[#This Row],[ACB]],"")</f>
        <v/>
      </c>
      <c r="FW115" s="236" t="str">
        <f>IF(AND(ISNUMBER(SnapshotTable[[#This Row],[SC Simple ROO]]),SnapshotTable[[#This Row],[SC Simple ROO]] &gt; 0), SnapshotTable[[#This Row],[SC Premium]] + (SnapshotTable[[#This Row],[SC Qty]] * SnapshotTable[[#This Row],[SC Upside Potential]]), "")</f>
        <v/>
      </c>
      <c r="FX115" s="302" t="str" cm="1">
        <f t="array" ref="FX115">IF(ISNUMBER(SnapshotTable[[#This Row],[SC Max Dollars]]), annualize(SnapshotTable[[#This Row],[SC Term]],(SnapshotTable[[#This Row],[SC Max Dollars]]/SnapshotTable[[#This Row],[SC Basis]])),"")</f>
        <v/>
      </c>
      <c r="FY115" s="236" t="str">
        <f>IF(AND(SnapshotTable[[#This Row],[SC Qty]]&gt;0,SnapshotTable[[#This Row],[SC Current Ask]]&gt;0), SnapshotTable[[#This Row],[SC Qty]] * SnapshotTable[[#This Row],[SC Current Ask]] * -100, "")</f>
        <v/>
      </c>
      <c r="FZ115" s="31" t="str">
        <f>IF(ISNUMBER((SnapshotTable[[#This Row],[SC Current Value]])), SnapshotTable[[#This Row],[SC Premium]] + SnapshotTable[[#This Row],[SC Current Value]], "")</f>
        <v/>
      </c>
      <c r="GA115" s="294" t="str">
        <f>IFERROR( IF(ISNUMBER((SnapshotTable[[#This Row],[SC Current Value]])), SnapshotTable[[#This Row],[SC Gain Loss]] / SnapshotTable[[#This Row],[SC Premium]], ""), "")</f>
        <v/>
      </c>
      <c r="GB115" s="42">
        <f>SnapshotTable[[#This Row],[Equity Shares]] * SaleSharesToConsiderPercentage</f>
        <v>0</v>
      </c>
      <c r="GC115" s="40">
        <f>SnapshotTable[[#This Row],[Long Term Target]] * SellingPriceToConsiderBasedOnTargetPercentage</f>
        <v>57</v>
      </c>
      <c r="GD115" s="40">
        <f>SnapshotTable[[#This Row],[Last Price]] * (1+ SellingPriceToConsiderBasedOnTargetPercentage)</f>
        <v>162.86399999999998</v>
      </c>
      <c r="GE115" s="41"/>
      <c r="GF115" s="40"/>
      <c r="GG115" s="31">
        <f>SnapshotTable[[#This Row],[Booked Sale Shares]] * SnapshotTable[[#This Row],[Booked Sale Price]]</f>
        <v>0</v>
      </c>
      <c r="GH115" s="31" t="str">
        <f>IF(SnapshotTable[[#This Row],[Equity Basis Total]] &gt; 0, SnapshotTable[[#This Row],[Equity Basis Per Share]] * SnapshotTable[[#This Row],[Booked Sale Shares]], "")</f>
        <v/>
      </c>
      <c r="GI115" s="31">
        <f>IF(SnapshotTable[[#This Row],[Sale Proceeds]]&gt;0, SnapshotTable[[#This Row],[Sale Proceeds]] - SnapshotTable[[#This Row],[Sale Basis]], 0)</f>
        <v>0</v>
      </c>
      <c r="GJ115" s="27" t="str">
        <f>IF(SnapshotTable[[#This Row],[Sale G/L]]&gt;0, SnapshotTable[[#This Row],[Sale G/L]] / SnapshotTable[[#This Row],[Sale Basis]], IF(ISNUMBER(SnapshotTable[[#This Row],[SC Exercise P&amp;L (TAX)]]), SnapshotTable[[#This Row],[SC Exercise P&amp;L (TAX)]] / SnapshotTable[[#This Row],[SC Basis]], ""))</f>
        <v/>
      </c>
      <c r="GK115" s="27" t="s">
        <v>678</v>
      </c>
      <c r="GL115" s="43" t="str">
        <f>IF(AND(SnapshotTable[[#This Row],[LP Exp Date]]&gt;0,SnapshotTable[[#This Row],[LP Strike Price]]&gt;0), [1]!ToOptionSymbol(SnapshotTable[[#This Row],[Symbol]], SnapshotTable[[#This Row],[LP Strike Price]],SnapshotTable[[#This Row],[LP Exp Date]],1), "")</f>
        <v/>
      </c>
      <c r="GM115" s="30" t="str">
        <f>IF(LEN(SnapshotTable[[#This Row],[LP Symbol]])&gt;0, 1, "")</f>
        <v/>
      </c>
      <c r="GN115" s="43" t="str">
        <f>IF(AND(SnapshotTable[[#This Row],[SP Exp Date]]&gt;0,SnapshotTable[[#This Row],[SP Strike Price]]&gt;0), [1]!ToOptionSymbol(SnapshotTable[[#This Row],[Symbol]], SnapshotTable[[#This Row],[SP Strike Price]],SnapshotTable[[#This Row],[SP Exp Date]],1), "")</f>
        <v/>
      </c>
      <c r="GO115" s="30" t="str">
        <f>IF(LEN(SnapshotTable[[#This Row],[SP Symbol]])&gt;0, 1, "")</f>
        <v/>
      </c>
      <c r="GP115" s="43" t="str">
        <f>IF(AND(SnapshotTable[[#This Row],[LC Exp Date]]&gt;0,SnapshotTable[[#This Row],[LC Strike Price]]&gt;0), [1]!ToOptionSymbol(SnapshotTable[[#This Row],[Symbol]], SnapshotTable[[#This Row],[LC Strike Price]],SnapshotTable[[#This Row],[LC Exp Date]],0), "")</f>
        <v/>
      </c>
      <c r="GQ115" s="30" t="str">
        <f>IF(LEN(SnapshotTable[[#This Row],[LC Symbol]])&gt;0, 1, "")</f>
        <v/>
      </c>
      <c r="GR115" s="43" t="str">
        <f>IF(AND(SnapshotTable[[#This Row],[SC Exp Date]]&gt;0,SnapshotTable[[#This Row],[SC Strike Price]]&gt;0), [1]!ToOptionSymbol(SnapshotTable[[#This Row],[Symbol]], SnapshotTable[[#This Row],[SC Strike Price]],SnapshotTable[[#This Row],[SC Exp Date]],0), "")</f>
        <v/>
      </c>
      <c r="GS115" s="30" t="str">
        <f>IF(LEN(SnapshotTable[[#This Row],[SC Symbol]])&gt;0, 1, "")</f>
        <v/>
      </c>
      <c r="GT115" s="29" t="str">
        <f>IF(COUNT(SnapshotTable[[#This Row],[LP Symbol Count]],SnapshotTable[[#This Row],[SP Symbol Count]],SnapshotTable[[#This Row],[LC Symbol Count]],SnapshotTable[[#This Row],[SC Symbol Count]])&gt;0, "Y", "")</f>
        <v/>
      </c>
      <c r="GU11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5" s="231" t="e">
        <f>MAX(SnapshotTable[[#This Row],[Equity Basis Total]],SnapshotTable[[#This Row],[Equity Value]]) + (SnapshotTable[[#This Row],[SP Potential Spend]]- SnapshotTable[[#This Row],[SP Premium]] + SnapshotTable[[#This Row],[LP Premium]])+ (SnapshotTable[[#This Row],[LC Premium]] - SnapshotTable[[#This Row],[SC Premium]])</f>
        <v>#VALUE!</v>
      </c>
      <c r="GW115" s="139" t="e">
        <f>IF(AND(SnapshotTable[[#This Row],[Exposure]] &lt;&gt; 0),SnapshotTable[[#This Row],[Exposure]] / SnapshotTable[[#Totals],[Exposure]], "")</f>
        <v>#VALUE!</v>
      </c>
      <c r="HE115" s="268"/>
      <c r="HF115" s="268"/>
      <c r="HK115" s="1"/>
      <c r="HL115" s="1"/>
      <c r="HM115" s="1"/>
      <c r="HN115" s="1"/>
      <c r="HO115" s="1"/>
      <c r="HP115" s="1"/>
    </row>
    <row r="116" spans="2:224" ht="12.75" hidden="1" customHeight="1" x14ac:dyDescent="0.25">
      <c r="B116" s="12" t="s">
        <v>256</v>
      </c>
      <c r="C116" s="422">
        <v>100.57</v>
      </c>
      <c r="D116" s="208"/>
      <c r="E116" s="39">
        <f>SnapshotTable[[#This Row],[Last Price]]*(1 -CrashDiscount)</f>
        <v>85.484499999999997</v>
      </c>
      <c r="F116" s="26" t="s">
        <v>906</v>
      </c>
      <c r="G116" s="26" t="s">
        <v>49</v>
      </c>
      <c r="H116" s="149"/>
      <c r="I116" s="194">
        <v>44762.3125</v>
      </c>
      <c r="J116" s="195">
        <v>44762.3125</v>
      </c>
      <c r="K116" s="196"/>
      <c r="L116" s="326"/>
      <c r="M116" s="140">
        <v>2</v>
      </c>
      <c r="N116" s="140"/>
      <c r="O116" s="140"/>
      <c r="P116" s="22"/>
      <c r="Q116" s="25"/>
      <c r="R116" s="4" t="str">
        <f>IF(SnapshotTable[[#This Row],[Equity Basis Total]] &gt; 0, SnapshotTable[[#This Row],[Equity Basis Total]] / SnapshotTable[[#This Row],[Equity Shares]], "")</f>
        <v/>
      </c>
      <c r="S116" s="269">
        <f>SnapshotTable[[#This Row],[Last Price]] * SnapshotTable[[#This Row],[Equity Shares]]</f>
        <v>0</v>
      </c>
      <c r="T116" s="269">
        <f>SnapshotTable[[#This Row],[Equity Value]] - SnapshotTable[[#This Row],[Equity Basis Total]]</f>
        <v>0</v>
      </c>
      <c r="U116" s="270" t="str">
        <f>IF(SnapshotTable[[#This Row],[Equity Basis Total]] &gt; 0, SnapshotTable[[#This Row],[Equity G/L]] / SnapshotTable[[#This Row],[Equity Basis Total]], "")</f>
        <v/>
      </c>
      <c r="V116" s="268"/>
      <c r="W116" s="268"/>
      <c r="X116" s="4" t="str">
        <f>IF(AND(ISNUMBER(SnapshotTable[[#This Row],[Equity Basis Per Share]]),ISNUMBER(SnapshotTable[[#This Row],[Equity Target]])),SnapshotTable[[#This Row],[Equity Target]]-SnapshotTable[[#This Row],[Equity Basis Per Share]],"")</f>
        <v/>
      </c>
      <c r="Y116" s="4" t="str">
        <f>IF(AND(ISNUMBER(SnapshotTable[[#This Row],[Equity Basis Per Share]]),ISNUMBER(SnapshotTable[[#This Row],[Equity Stop Loss]])),SnapshotTable[[#This Row],[Equity Stop Loss]]-SnapshotTable[[#This Row],[Equity Basis Per Share]],"")</f>
        <v/>
      </c>
      <c r="Z116" s="275" t="str">
        <f>IFERROR( TEXT(SnapshotTable[[#This Row],[Equity Max Gain Per Share]] /ABS( SnapshotTable[[#This Row],[Equity Max Loss Per Share]]),"0.0 " ) &amp; " : 1", "")</f>
        <v/>
      </c>
      <c r="AA116" s="31" t="str">
        <f>IF(ISNUMBER(SnapshotTable[[#This Row],[Equity Max Gain Per Share]]),SnapshotTable[[#This Row],[Equity Max Gain Per Share]] * SnapshotTable[[#This Row],[Equity Shares]],"")</f>
        <v/>
      </c>
      <c r="AB116" s="31" t="str">
        <f>IF(ISNUMBER(SnapshotTable[[#This Row],[Equity Max Loss Per Share]]),SnapshotTable[[#This Row],[Equity Max Loss Per Share]] * SnapshotTable[[#This Row],[Equity Shares]],"")</f>
        <v/>
      </c>
      <c r="AC116" s="150">
        <v>1.32</v>
      </c>
      <c r="AD116" s="151">
        <v>42962</v>
      </c>
      <c r="AE116" s="31">
        <f>(SnapshotTable[[#This Row],[Annual Dividend Per Share]] / 4) * SnapshotTable[[#This Row],[Equity Shares]]</f>
        <v>0</v>
      </c>
      <c r="AF116" s="31">
        <f>SnapshotTable[[#This Row],[Quarterly Div $]] * 4</f>
        <v>0</v>
      </c>
      <c r="AG116" s="7">
        <f>IF(SnapshotTable[[#This Row],[Annual Dividend Per Share]]&gt;0, SnapshotTable[[#This Row],[Annual Dividend Per Share]]  / SnapshotTable[[#This Row],[Last Price]], 0)</f>
        <v>1.3125186437307349E-2</v>
      </c>
      <c r="AH116" s="151">
        <v>43841</v>
      </c>
      <c r="AI116" s="5">
        <v>110</v>
      </c>
      <c r="AJ116" s="138">
        <v>134.88</v>
      </c>
      <c r="AK116" s="152">
        <f>IF(ISNUMBER( SnapshotTable[[#This Row],[EBF Target]]),(SnapshotTable[[#This Row],[EBF Target]] - SnapshotTable[[#This Row],[Last Price]]) / SnapshotTable[[#This Row],[Last Price]], "")</f>
        <v>9.3765536442279085E-2</v>
      </c>
      <c r="AL116" s="152" t="str">
        <f>IF(AND(SnapshotTable[[#This Row],[Equity Basis Total]] &gt; 0,ISNUMBER( SnapshotTable[[#This Row],[Long Term Target]])), SnapshotTable[[#This Row],[From Basis $]] / SnapshotTable[[#This Row],[Equity Basis Total]], "")</f>
        <v/>
      </c>
      <c r="AM116" s="9">
        <f>IF( AND(SnapshotTable[[#This Row],[Equity Shares]] &gt;0,ISNUMBER( SnapshotTable[[#This Row],[Long Term Target]])),(SnapshotTable[[#This Row],[Equity Shares]] * SnapshotTable[[#This Row],[Long Term Target]]) - SnapshotTable[[#This Row],[Equity Basis Total]],0)</f>
        <v>0</v>
      </c>
      <c r="AN116" s="9">
        <f>IF( AND(SnapshotTable[[#This Row],[Equity Shares]] &gt;0,ISNUMBER( SnapshotTable[[#This Row],[Long Term Target]])),(SnapshotTable[[#This Row],[Equity Shares]]*SnapshotTable[[#This Row],[Long Term Target]]) - SnapshotTable[[#This Row],[Equity Value]],0)</f>
        <v>0</v>
      </c>
      <c r="AO116" s="152">
        <f>IF(AND(ISNUMBER( SnapshotTable[[#This Row],[Long Term Target]]), ISNUMBER(SnapshotTable[[#This Row],[Last Price]])),(SnapshotTable[[#This Row],[Long Term Target]] - SnapshotTable[[#This Row],[Last Price]]) / SnapshotTable[[#This Row],[Last Price]], "")</f>
        <v>0.34115541413940542</v>
      </c>
      <c r="AP116" s="5"/>
      <c r="AQ116" s="38"/>
      <c r="AR116" s="5"/>
      <c r="AS116" s="38"/>
      <c r="AT116" s="146"/>
      <c r="AU116" s="187" t="str">
        <f>IF(OR(SnapshotTable[[#This Row],[LP No Fill]]="Y",SnapshotTable[[#This Row],[SP Is Filled]],SnapshotTable[[#This Row],[LC Not Filled]]="Y",SnapshotTable[[#This Row],[SC Is Filled]]),"Y","")</f>
        <v/>
      </c>
      <c r="AV116" s="219"/>
      <c r="AW116" s="225"/>
      <c r="AX116" s="220"/>
      <c r="AY116" s="219" t="str">
        <f>IF(SnapshotTable[[#This Row],[Implied Move]]&gt;0, SnapshotTable[[#This Row],[Last Price]]-SnapshotTable[[#This Row],[Implied Move]],"")</f>
        <v/>
      </c>
      <c r="AZ116" s="219" t="str">
        <f>IF(SnapshotTable[[#This Row],[Implied Move]]&gt;0, SnapshotTable[[#This Row],[Last Price]] + SnapshotTable[[#This Row],[Implied Move]],"")</f>
        <v/>
      </c>
      <c r="BA116" s="331"/>
      <c r="BB116" s="347"/>
      <c r="BC11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6" s="351"/>
      <c r="BE116" s="5"/>
      <c r="BF116" s="14"/>
      <c r="BG116" s="13"/>
      <c r="BH116" s="13"/>
      <c r="BI116" s="5"/>
      <c r="BJ116" s="136">
        <f>IF(SnapshotTable[[#This Row],[LP Qty]] &gt; 0, SnapshotTable[[#This Row],[LP Qty]] * SnapshotTable[[#This Row],[LP Book Price]] * 100,0)</f>
        <v>0</v>
      </c>
      <c r="BK116" s="136">
        <f>IF(SnapshotTable[[#This Row],[LP Premium]] &gt; 0, SnapshotTable[[#This Row],[LP Qty]] * SnapshotTable[[#This Row],[LP Strike Price]] * 100,0)</f>
        <v>0</v>
      </c>
      <c r="BL116" s="154"/>
      <c r="BM116" s="385" t="str">
        <f>IF(SnapshotTable[[#This Row],[LP Premium]] &gt; 0,SnapshotTable[[#This Row],[LP Exp Date]]-MAX(SnapshotTable[[#This Row],[LP Book Date]], SnapshotTable[[#This Row],[LP Fill Date]]),"")</f>
        <v/>
      </c>
      <c r="BN116" s="385" t="str">
        <f>IF(ISNUMBER( SnapshotTable[[#This Row],[LP Term]]), SnapshotTable[[#This Row],[LP Exp Date]] - MockToday,"")</f>
        <v/>
      </c>
      <c r="BO116" s="163" t="str">
        <f>IF(AND(SnapshotTable[[#This Row],[LP Exp Date]]&gt;0, SnapshotTable[[#This Row],[LP Strike Price]]&gt;0,SnapshotTable[[#This Row],[LP Qty]]&gt;0,SnapshotTable[[#This Row],[LP Book Date]]&gt;0,SnapshotTable[[#This Row],[LP Book Price]]&gt;0,SnapshotTable[[#This Row],[LP Fill Date]]=0),"Y","")</f>
        <v/>
      </c>
      <c r="BP116" s="31" t="str">
        <f>IF(AND(SnapshotTable[[#This Row],[LP No Fill]]&lt;&gt;"Y",SnapshotTable[[#This Row],[LP Contract Value]]&gt;0, SnapshotTable[[#This Row],[LP Qty]]&gt;0), SnapshotTable[[#This Row],[LP Contract Value]]*SnapshotTable[[#This Row],[LP Qty]]*100,"")</f>
        <v/>
      </c>
      <c r="BQ116" s="13"/>
      <c r="BR116" s="5" t="str">
        <f>IF(SnapshotTable[[#This Row],[SP Exp Date]]&lt;&gt;"",TRUNC(SnapshotTable[[#This Row],[Last Price]]),"")</f>
        <v/>
      </c>
      <c r="BS116" s="36"/>
      <c r="BT116" s="147"/>
      <c r="BU116" s="13"/>
      <c r="BV116" s="5"/>
      <c r="BW116" s="419" t="b">
        <f>AND(ISNUMBER(SnapshotTable[[#This Row],[SP Exp Date]]), ISNUMBER(SnapshotTable[[#This Row],[SP Strike Price]]), ISNUMBER(SnapshotTable[[#This Row],[SP Qty]]), ISNUMBER(SnapshotTable[[#This Row],[SP Book Date]]), ISNUMBER(SnapshotTable[[#This Row],[SP Book Price]]))</f>
        <v>0</v>
      </c>
      <c r="BX116" s="419" t="b">
        <f>AND(SnapshotTable[[#This Row],[SP Is Booked]], NOT(ISBLANK(SnapshotTable[[#This Row],[SP Fill Date]])))</f>
        <v>0</v>
      </c>
      <c r="BY116" s="33">
        <f>IF(SnapshotTable[[#This Row],[SP Is Booked]], SnapshotTable[[#This Row],[SP Qty]] * SnapshotTable[[#This Row],[SP Book Price]] * 100, 0)</f>
        <v>0</v>
      </c>
      <c r="BZ116" s="369"/>
      <c r="CA116" s="368">
        <f>SnapshotTable[[#This Row],[LP Qty]]</f>
        <v>0</v>
      </c>
      <c r="CB116" s="4" t="str">
        <f>IF(SnapshotTable[[#This Row],[SP Is Booked]], SnapshotTable[[#This Row],[SP Strike Price]] - SnapshotTable[[#This Row],[SP Book Price]], "")</f>
        <v/>
      </c>
      <c r="CC116" s="19" t="str">
        <f>IF(SnapshotTable[[#This Row],[SP Is Booked]],SnapshotTable[[#This Row],[SP Exp Date]]-MAX(SnapshotTable[[#This Row],[SP Book Date]], SnapshotTable[[#This Row],[SP Fill Date]]),"")</f>
        <v/>
      </c>
      <c r="CD116" s="7" t="str">
        <f>IF(SnapshotTable[[#This Row],[SP Is Booked]], SnapshotTable[[#This Row],[SP Book Price]]/SnapshotTable[[#This Row],[SP Strike Price]], "")</f>
        <v/>
      </c>
      <c r="CE116" s="7" t="str">
        <f>IF(ISNUMBER(SnapshotTable[[#This Row],[SP ROO Term]]),SnapshotTable[[#This Row],[SP ROO Term]]*(365/SnapshotTable[[#This Row],[SP Term]]),"")</f>
        <v/>
      </c>
      <c r="CF116" s="236">
        <f>SnapshotTable[[#This Row],[LP Strike Price]] * SnapshotTable[[#This Row],[LP Qty]] * 100</f>
        <v>0</v>
      </c>
      <c r="CG116" s="31" t="e">
        <f>IF(ISNUMBER(SnapshotTable[[#This Row],[SP Premium]]), (SnapshotTable[[#This Row],[SP Qty]] * SnapshotTable[[#This Row],[SP Strike Price]]* 100) - SnapshotTable[[#This Row],[LP Protection]], 0)</f>
        <v>#VALUE!</v>
      </c>
      <c r="CH116" s="7" t="str">
        <f>IF(ISNUMBER(SnapshotTable[[#This Row],[SP Break Even]]),-1 * (SnapshotTable[[#This Row],[SP Break Even]] - SnapshotTable[[#This Row],[Last Price]]) / SnapshotTable[[#This Row],[Last Price]], "")</f>
        <v/>
      </c>
      <c r="CI116" s="31">
        <f>IF(AND(ISNUMBER((SnapshotTable[[#This Row],[SP Potential Spend]])), SnapshotTable[[#This Row],[SP Strike Price]] &gt; SnapshotTable[[#This Row],[Last Price]], SnapshotTable[[#This Row],[SP Is Filled]]), SnapshotTable[[#This Row],[SP Potential Spend]] -  SnapshotTable[[#This Row],[LP Max Value]], 0)</f>
        <v>0</v>
      </c>
      <c r="CJ116" s="244"/>
      <c r="CK116" s="31" t="str">
        <f>IF(ISNUMBER(SnapshotTable[[#This Row],[SP Potential Spend]]),IF(ISNUMBER(SnapshotTable[[#This Row],[SP POW]]), SnapshotTable[[#This Row],[SP POW]] * SnapshotTable[[#This Row],[SP Potential Spend]], SnapshotTable[[#This Row],[SP Potential Spend]]), "")</f>
        <v/>
      </c>
      <c r="CL116" s="164" t="e">
        <f>IF(NOT(SnapshotTable[[#This Row],[SP Is Filled]]),(SnapshotTable[[#This Row],[SP Qty]] * SnapshotTable[[#This Row],[SP Strike Price]] * 100) - SnapshotTable[[#This Row],[LP Max Value]],"")</f>
        <v>#VALUE!</v>
      </c>
      <c r="CM116" s="31" t="str">
        <f>IF(SnapshotTable[[#This Row],[SP Actual Spend]]&lt;&gt;0, ((SnapshotTable[[#This Row],[SP Strike Price]]-SnapshotTable[[#This Row],[Last Price]]) *(SnapshotTable[[#This Row],[SP Qty]]*100) - SnapshotTable[[#This Row],[SP Premium]]) * - 1, "")</f>
        <v/>
      </c>
      <c r="CN116" s="78"/>
      <c r="CO116" s="369"/>
      <c r="CP116" s="4" t="str">
        <f>IF(SnapshotTable[[#This Row],[SP Is Filled]], btc_max_buyback_amount(SnapshotTable[[#This Row],[SP Fill Date]],SnapshotTable[[#This Row],[SP Exp Date]], SnapshotTable[[#This Row],[SP Book Price]]),"")</f>
        <v/>
      </c>
      <c r="CQ116" s="78"/>
      <c r="CR11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6" s="155" t="str">
        <f>IF(SnapshotTable[[#This Row],[SP Is Filled]], btc_next_cutoff_date(SnapshotTable[[#This Row],[SP Fill Date]],SnapshotTable[[#This Row],[SP Exp Date]]),"")</f>
        <v/>
      </c>
      <c r="CT116" s="235" t="str" cm="1">
        <f t="array" ref="CT116">IF(SnapshotTable[[#This Row],[SP Is Filled]], btc_should_buy_back(SnapshotTable[[#This Row],[SP Fill Date]], SnapshotTable[[#This Row],[SP Exp Date]], SnapshotTable[[#This Row],[SP Book Price]], SnapshotTable[[#This Row],[SP Current Ask]], MockToday, SnapshotTable[[#This Row],[SP Buyback Override]]),"")</f>
        <v/>
      </c>
      <c r="CU116" s="143"/>
      <c r="CV116" s="235"/>
      <c r="CW116" s="378" t="str">
        <f>IF(ISNUMBER( SnapshotTable[[#This Row],[SP Term]]), SnapshotTable[[#This Row],[SP Exp Date]] - MockToday,"")</f>
        <v/>
      </c>
      <c r="CX116" s="31" t="str">
        <f>IF(SnapshotTable[[#This Row],[SP Is Filled]],SnapshotTable[[#This Row],[SP Buyback Price to Use]] * 100 * SnapshotTable[[#This Row],[SP Qty]], "")</f>
        <v/>
      </c>
      <c r="CY116" s="4" t="str">
        <f>IF(ISNUMBER(SnapshotTable[[#This Row],[SP Strike Price]]), SnapshotTable[[#This Row],[SP Strike Price]] * (1 - SP_MaxLoss_StrikePct), "")</f>
        <v/>
      </c>
      <c r="CZ116" s="31" t="str">
        <f>IF(ISNUMBER(SnapshotTable[[#This Row],[SP Strike  Stop Per Share]]),SnapshotTable[[#This Row],[SP Premium]] - ((SnapshotTable[[#This Row],[SP Strike Price]]-SnapshotTable[[#This Row],[SP Strike  Stop Per Share]]) *(SnapshotTable[[#This Row],[SP Qty]] * 100)),"")</f>
        <v/>
      </c>
      <c r="DA116" s="4" t="str">
        <f>IF(AND(ISNUMBER(SnapshotTable[[#This Row],[SP Premium]]),SnapshotTable[[#This Row],[SP Premium]]&gt;0), SnapshotTable[[#This Row],[SP Book Price]] * (1 + SP_MaxLoss_OptionPct), "")</f>
        <v/>
      </c>
      <c r="DB116" s="31" t="str">
        <f>IF(ISNUMBER(SnapshotTable[[#This Row],[SP Option  Stop Contract]]),(SnapshotTable[[#This Row],[SP Option  Stop Contract]] *(SnapshotTable[[#This Row],[SP Qty]] * 100) - SnapshotTable[[#This Row],[SP Premium]]),"")</f>
        <v/>
      </c>
      <c r="DC116" s="4"/>
      <c r="DD116" s="4"/>
      <c r="DE116" s="4" t="str">
        <f>IF(AND(SnapshotTable[[#This Row],[SP Qty]]&gt;0, SnapshotTable[[#This Row],[SP Stop To Use]]&gt;0),SnapshotTable[[#This Row],[SP Premium]] - ( SnapshotTable[[#This Row],[SP Qty]] * SnapshotTable[[#This Row],[SP Stop To Use]] * 100), "")</f>
        <v/>
      </c>
      <c r="DF116" s="31" t="str">
        <f>IF(AND(SnapshotTable[[#This Row],[SP Qty]]&gt;0,SnapshotTable[[#This Row],[SP Current Ask]]&gt;0), SnapshotTable[[#This Row],[SP Qty]] * SnapshotTable[[#This Row],[SP Current Ask]] * -100, "")</f>
        <v/>
      </c>
      <c r="DG116" s="31" t="str">
        <f>IF(ISNUMBER((SnapshotTable[[#This Row],[SP Total Value]])), SnapshotTable[[#This Row],[SP Premium]] + SnapshotTable[[#This Row],[SP Total Value]], "")</f>
        <v/>
      </c>
      <c r="DH116" s="294" t="str">
        <f>IF(ISNUMBER((SnapshotTable[[#This Row],[SP Total Value]])), SnapshotTable[[#This Row],[SP Gain Loss]] / SnapshotTable[[#This Row],[SP Premium]], "")</f>
        <v/>
      </c>
      <c r="DI116" s="406"/>
      <c r="DJ116" s="138"/>
      <c r="DK116" s="148"/>
      <c r="DL116" s="13"/>
      <c r="DM116" s="13"/>
      <c r="DO116" s="31">
        <f>IF(SnapshotTable[[#This Row],[LC Symbol Count]]=1, SnapshotTable[[#This Row],[LC Qty]] * SnapshotTable[[#This Row],[LC Book Price]] * 100, 0)</f>
        <v>0</v>
      </c>
      <c r="DP116" s="163" t="str">
        <f>IF(AND(SnapshotTable[[#This Row],[LC Exp Date]]&gt;0, SnapshotTable[[#This Row],[LC Strike Price]]&gt;0,SnapshotTable[[#This Row],[LC Qty]]&gt;0,SnapshotTable[[#This Row],[LC Book Date]]&gt;0,SnapshotTable[[#This Row],[LC Book Price]]&gt;0,SnapshotTable[[#This Row],[LC Fill Date]]=0),"Y","")</f>
        <v/>
      </c>
      <c r="DQ116" s="386" t="str">
        <f>IF(SnapshotTable[[#This Row],[LC Premium]] &gt; 0,SnapshotTable[[#This Row],[LC Exp Date]]-MAX(SnapshotTable[[#This Row],[LC Book Date]], SnapshotTable[[#This Row],[LC Fill Date]]),"")</f>
        <v/>
      </c>
      <c r="DR116" s="386" t="str">
        <f>IF(ISNUMBER(SnapshotTable[[#This Row],[LC Term]]), SnapshotTable[[#This Row],[LC Exp Date]] - MockToday, "")</f>
        <v/>
      </c>
      <c r="DS116" s="234" t="str">
        <f>IF(SnapshotTable[[#This Row],[LC Premium]]&gt;0,SnapshotTable[[#This Row],[LC Strike Price]] + SnapshotTable[[#This Row],[LC Book Price]],"")</f>
        <v/>
      </c>
      <c r="DU116" s="9" t="str">
        <f>IF(AND(SnapshotTable[[#This Row],[LC Symbol Count]]&gt;0, SnapshotTable[[#This Row],[LC Contract Value]]&gt;0), SnapshotTable[[#This Row],[LC Contract Value]] * SnapshotTable[[#This Row],[LC Qty]] * 100, "")</f>
        <v/>
      </c>
      <c r="DV116" s="9" t="str">
        <f>IF(AND(ISNUMBER(SnapshotTable[[#This Row],[LC Total Value]]), SnapshotTable[[#This Row],[LC Not Filled]]&lt;&gt;"Y"), SnapshotTable[[#This Row],[LC Total Value]]-SnapshotTable[[#This Row],[LC Premium]],"")</f>
        <v/>
      </c>
      <c r="DW116" s="240" t="str">
        <f>IF(ISNUMBER(SnapshotTable[[#This Row],[LC Actual Gain Loss]]), SnapshotTable[[#This Row],[LC Actual Gain Loss]] / SnapshotTable[[#This Row],[LC Premium]],"")</f>
        <v/>
      </c>
      <c r="DX116" s="284" t="str">
        <f>IF(ISNUMBER(SnapshotTable[[#This Row],[LC Book Price]]),SnapshotTable[[#This Row],[LC Book Price]] * 1.5,"")</f>
        <v/>
      </c>
      <c r="DY116" s="265" t="str">
        <f>IF(SnapshotTable[[#This Row],[LC Premium]]&gt;0, SnapshotTable[[#This Row],[LC Next Target]] * SnapshotTable[[#This Row],[LC Qty]] * 100,"")</f>
        <v/>
      </c>
      <c r="DZ116" s="265" t="str">
        <f>IF(ISNUMBER(SnapshotTable[[#This Row],[LC Target Gross]]), SnapshotTable[[#This Row],[LC Target Gross]] - SnapshotTable[[#This Row],[LC Premium]], "")</f>
        <v/>
      </c>
      <c r="EA116" s="305" t="str">
        <f>IF(ISNUMBER(SnapshotTable[[#This Row],[LC Target Gain Loss]]), SnapshotTable[[#This Row],[LC Target Gain Loss]]/SnapshotTable[[#This Row],[LC Premium]], "")</f>
        <v/>
      </c>
      <c r="EB116" s="262"/>
      <c r="EC116" s="283" t="str">
        <f>IF(SnapshotTable[[#This Row],[LC Premium]]&gt;0, SnapshotTable[[#This Row],[LC Book Price]] * (1 - LC_StopLoss_Pct),"")</f>
        <v/>
      </c>
      <c r="ED116" s="284"/>
      <c r="EE116" s="283" t="str">
        <f>IF(ISNUMBER(SnapshotTable[[#This Row],[LC Contract Value]]),IF(ISNUMBER(SnapshotTable[[#This Row],[LC Stop Loss Override]]), SnapshotTable[[#This Row],[LC Stop Loss Override]],SnapshotTable[[#This Row],[LC Stop Loss Calc Target]]),"")</f>
        <v/>
      </c>
      <c r="EF116" s="31" t="str">
        <f>IF(ISNUMBER(SnapshotTable[[#This Row],[LC Stop  To Use]]), (SnapshotTable[[#This Row],[LC Stop  To Use]] * SnapshotTable[[#This Row],[LC Qty]] * 100),"")</f>
        <v/>
      </c>
      <c r="EG116" s="9" t="str">
        <f>IF(ISNUMBER(SnapshotTable[[#This Row],[LC Total Value]]),SnapshotTable[[#This Row],[LC Stop Loss Amount]] - SnapshotTable[[#This Row],[LC Premium]],"")</f>
        <v/>
      </c>
      <c r="EH116" s="9">
        <f>IF(ISNUMBER(SnapshotTable[[#This Row],[LC Premium]]), SnapshotTable[[#This Row],[LC Qty]] * 100 * SnapshotTable[[#This Row],[LC Strike Price]], "")</f>
        <v>0</v>
      </c>
      <c r="EI116" s="240" t="str">
        <f>IF(AND(ISNUMBER(SnapshotTable[[#This Row],[LC Total Value]]),SnapshotTable[[#This Row],[LC Total Value]]&gt;0),SnapshotTable[[#This Row],[LC Stop Gain Loss]]  / SnapshotTable[[#This Row],[LC Premium]],"")</f>
        <v/>
      </c>
      <c r="EJ116" s="35">
        <f>IF(ISNUMBER(SnapshotTable[[#This Row],[Equity Shares]]),TRUNC(SnapshotTable[[#This Row],[Equity Shares]] / 100),0) + SnapshotTable[[#This Row],[LC Qty]]</f>
        <v>0</v>
      </c>
      <c r="EK116" s="147"/>
      <c r="EL116" s="138" t="str">
        <f>IF(SnapshotTable[[#This Row],[SC Exp Date]]&lt;&gt;"",TRUNC(SnapshotTable[[#This Row],[Last Price]]),"")</f>
        <v/>
      </c>
      <c r="EM116" s="148"/>
      <c r="EN116" s="147"/>
      <c r="EO116" s="147"/>
      <c r="EP116" s="138"/>
      <c r="EQ116" s="419" t="b">
        <f>AND(ISNUMBER(SnapshotTable[[#This Row],[SC Exp Date]]), ISNUMBER(SnapshotTable[[#This Row],[SC Strike Price]]), ISNUMBER(SnapshotTable[[#This Row],[SC Qty]]), ISNUMBER(SnapshotTable[[#This Row],[SC Book Date]]), ISNUMBER(SnapshotTable[[#This Row],[SC Book Price]]))</f>
        <v>0</v>
      </c>
      <c r="ER116" s="419" t="b">
        <f>AND(SnapshotTable[[#This Row],[SC Is Booked]], NOT(ISBLANK(SnapshotTable[[#This Row],[SC Fill Date]])))</f>
        <v>0</v>
      </c>
      <c r="ES116" s="370"/>
      <c r="ET116" s="34" t="str">
        <f>IF(AND(ISNUMBER(SnapshotTable[[#This Row],[SC Exp Date]]), ISNUMBER(SnapshotTable[[#This Row],[SC Book Date]])), SnapshotTable[[#This Row],[SC Exp Date]] - MAX(SnapshotTable[[#This Row],[SC Book Date]], SnapshotTable[[#This Row],[SC Fill Date]]) + 1, "")</f>
        <v/>
      </c>
      <c r="EU116" s="34" t="str">
        <f>IF(ISNUMBER(SnapshotTable[[#This Row],[SC Term]]), SnapshotTable[[#This Row],[SC Exp Date]]- MockToday, "")</f>
        <v/>
      </c>
      <c r="EV116" s="31">
        <f>IF(SnapshotTable[[#This Row],[SC Is Booked]], SnapshotTable[[#This Row],[SC Qty]] * SnapshotTable[[#This Row],[SC Book Price]] * 100, 0)</f>
        <v>0</v>
      </c>
      <c r="EW116" s="4" t="str">
        <f>IF(AND(ISNUMBER(SnapshotTable[[#This Row],[Last Price]]), ISNUMBER( SnapshotTable[[#This Row],[SC Book Price]])), SnapshotTable[[#This Row],[Last Price]] - SnapshotTable[[#This Row],[SC Book Price]],"")</f>
        <v/>
      </c>
      <c r="EX116" s="234" t="str">
        <f>IF(SnapshotTable[[#This Row],[SC Is Booked]],IF(SnapshotTable[[#This Row],[SC Intrinsic Value]] &gt; 0, SnapshotTable[[#This Row],[SC Strike Price]], SnapshotTable[[#This Row],[Last Price]]), "")</f>
        <v/>
      </c>
      <c r="EY116" s="4">
        <f>IF(SnapshotTable[[#This Row],[SC Is Booked]], (MinimumPremiumRequired * SnapshotTable[[#This Row],[SC Basis]] * SnapshotTable[[#This Row],[SC Term]]), 0)</f>
        <v>0</v>
      </c>
      <c r="EZ116" s="283"/>
      <c r="FA116" s="218"/>
      <c r="FB116" s="370"/>
      <c r="FC116" s="4">
        <f>IF(SnapshotTable[[#This Row],[SC Is Filled]], btc_max_buyback_amount(SnapshotTable[[#This Row],[SC Fill Date]],SnapshotTable[[#This Row],[SC Exp Date]], SnapshotTable[[#This Row],[SC Book Price]]),0)</f>
        <v>0</v>
      </c>
      <c r="FD116" s="5"/>
      <c r="FE116" s="144" t="str">
        <f>IF(SnapshotTable[[#This Row],[SC Is Filled]], btc_next_cutoff_date(SnapshotTable[[#This Row],[SC Fill Date]],SnapshotTable[[#This Row],[SC Exp Date]]),"")</f>
        <v/>
      </c>
      <c r="FF116" s="4" t="str" cm="1">
        <f t="array" ref="FF116">IF(SnapshotTable[[#This Row],[SC Is Filled]], btc_should_buy_back(SnapshotTable[[#This Row],[SC Fill Date]], SnapshotTable[[#This Row],[SC Exp Date]], SnapshotTable[[#This Row],[SC Book Price]], SnapshotTable[[#This Row],[SC Current Ask]], MockToday, SnapshotTable[[#This Row],[SC Buyback Override]]),"")</f>
        <v/>
      </c>
      <c r="FG116" s="4">
        <f>IF(SnapshotTable[[#This Row],[SC Is Filled]], MAX(0,SnapshotTable[[#This Row],[Last Price]]  - SnapshotTable[[#This Row],[SC Strike Price]]), 0)</f>
        <v>0</v>
      </c>
      <c r="FH116" s="382">
        <f>IF(SnapshotTable[[#This Row],[SC Is Filled]], IF(ISNUMBER(SnapshotTable[[#This Row],[SC Current Ask]]), SnapshotTable[[#This Row],[SC Current Ask]], SnapshotTable[[#This Row],[SC Book Price]]) - SnapshotTable[[#This Row],[SC Intrinsic Value]], 0)</f>
        <v>0</v>
      </c>
      <c r="FI116" s="143"/>
      <c r="FJ116" s="32" t="str">
        <f>IF(SnapshotTable[[#This Row],[SC Is Filled]],100 * SnapshotTable[[#This Row],[SC Qty]] * IF(ISNUMBER(SnapshotTable[[#This Row],[SC Buyback Override]]), SnapshotTable[[#This Row],[SC Buyback Override]], SnapshotTable[[#This Row],[SC Current Ask]]), "")</f>
        <v/>
      </c>
      <c r="FK116" s="250" t="str">
        <f>IF(SnapshotTable[[#This Row],[SC Time Val]]&gt;0, SnapshotTable[[#This Row],[SC Time Val]] / SnapshotTable[[#This Row],[Last Price]],"")</f>
        <v/>
      </c>
      <c r="FL116" s="302" t="str">
        <f>IF(SnapshotTable[[#This Row],[SC Is Booked]], ((SnapshotTable[[#This Row],[Last Price]] -SnapshotTable[[#This Row],[SC Strike Price]]) / SnapshotTable[[#This Row],[Last Price]]) * -1, "")</f>
        <v/>
      </c>
      <c r="FM116" s="157" t="str">
        <f>IF(SnapshotTable[[#This Row],[SC Is Booked]],  (SnapshotTable[[#This Row],[SC Qty]] * 100 * SnapshotTable[[#This Row],[SC Strike Price]]) - SnapshotTable[[#This Row],[SC Current Ask]], "")</f>
        <v/>
      </c>
      <c r="FN11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6" s="31" t="str">
        <f>IF(AND(ISNUMBER(SnapshotTable[[#This Row],[SC Exercise Gross]]), ISNUMBER(SnapshotTable[[#This Row],[Equity Basis Per Share]] )), SnapshotTable[[#This Row],[SC Exercise Gross]] - SnapshotTable[[#This Row],[Equity Basis Total]] +  SnapshotTable[[#This Row],[SC Premium]], "")</f>
        <v/>
      </c>
      <c r="FP116" s="5" t="str">
        <f>IF(ISNUMBER(SnapshotTable[[#This Row],[SC Exercise Gross]]), (SnapshotTable[[#This Row],[SC Exercise Gross]]) / (SnapshotTable[[#This Row],[SC Qty]] * 100), "")</f>
        <v/>
      </c>
      <c r="FQ116" s="27" t="str">
        <f>IF(SnapshotTable[[#This Row],[SC Is Booked]],SnapshotTable[[#This Row],[SC Time Val]] /SnapshotTable[[#This Row],[SC Basis]], "")</f>
        <v/>
      </c>
      <c r="FR116" s="27" t="str" cm="1">
        <f t="array" ref="FR116">IF(AND(ISNUMBER(SnapshotTable[[#This Row],[SC Term]]),ISNUMBER(SnapshotTable[[#This Row],[SC Simple ROO]])), EllmanAnnualize(SnapshotTable[[#This Row],[SC DTE]], SnapshotTable[[#This Row],[SC Simple ROO]] ),"")</f>
        <v/>
      </c>
      <c r="FS116" s="4" t="e">
        <f>IF(SnapshotTable[[#This Row],[SC Strike Price]] &gt; SnapshotTable[[#This Row],[Last Price]], SnapshotTable[[#This Row],[SC Strike Price]] - SnapshotTable[[#This Row],[Last Price]],0)</f>
        <v>#VALUE!</v>
      </c>
      <c r="FT116" s="27" t="e">
        <f>IF(AND(ISNUMBER(SnapshotTable[[#This Row],[SC Upside Potential]]), SnapshotTable[[#This Row],[SC Upside Potential]] &gt; 0),(SnapshotTable[[#This Row],[SC Upside Potential]]/ SnapshotTable[[#This Row],[ACB]]),"")</f>
        <v>#VALUE!</v>
      </c>
      <c r="FU116" s="333" t="str">
        <f>IF(SnapshotTable[[#This Row],[SC Intrinsic Value]] &gt; 0,SnapshotTable[[#This Row],[SC Intrinsic Value]],"")</f>
        <v/>
      </c>
      <c r="FV116" s="27" t="str">
        <f>IF(AND( ISNUMBER( SnapshotTable[[#This Row],[ACB]]),ISNUMBER(SnapshotTable[[#This Row],[SC Downside Protect]])),SnapshotTable[[#This Row],[SC Downside Protect]] / SnapshotTable[[#This Row],[ACB]],"")</f>
        <v/>
      </c>
      <c r="FW116" s="236" t="str">
        <f>IF(AND(ISNUMBER(SnapshotTable[[#This Row],[SC Simple ROO]]),SnapshotTable[[#This Row],[SC Simple ROO]] &gt; 0), SnapshotTable[[#This Row],[SC Premium]] + (SnapshotTable[[#This Row],[SC Qty]] * SnapshotTable[[#This Row],[SC Upside Potential]]), "")</f>
        <v/>
      </c>
      <c r="FX116" s="302" t="str" cm="1">
        <f t="array" ref="FX116">IF(ISNUMBER(SnapshotTable[[#This Row],[SC Max Dollars]]), annualize(SnapshotTable[[#This Row],[SC Term]],(SnapshotTable[[#This Row],[SC Max Dollars]]/SnapshotTable[[#This Row],[SC Basis]])),"")</f>
        <v/>
      </c>
      <c r="FY116" s="236" t="str">
        <f>IF(AND(SnapshotTable[[#This Row],[SC Qty]]&gt;0,SnapshotTable[[#This Row],[SC Current Ask]]&gt;0), SnapshotTable[[#This Row],[SC Qty]] * SnapshotTable[[#This Row],[SC Current Ask]] * -100, "")</f>
        <v/>
      </c>
      <c r="FZ116" s="31" t="str">
        <f>IF(ISNUMBER((SnapshotTable[[#This Row],[SC Current Value]])), SnapshotTable[[#This Row],[SC Premium]] + SnapshotTable[[#This Row],[SC Current Value]], "")</f>
        <v/>
      </c>
      <c r="GA116" s="294" t="str">
        <f>IFERROR( IF(ISNUMBER((SnapshotTable[[#This Row],[SC Current Value]])), SnapshotTable[[#This Row],[SC Gain Loss]] / SnapshotTable[[#This Row],[SC Premium]], ""), "")</f>
        <v/>
      </c>
      <c r="GB116" s="42">
        <f>SnapshotTable[[#This Row],[Equity Shares]] * SaleSharesToConsiderPercentage</f>
        <v>0</v>
      </c>
      <c r="GC116" s="40">
        <f>SnapshotTable[[#This Row],[Long Term Target]] * SellingPriceToConsiderBasedOnTargetPercentage</f>
        <v>128.136</v>
      </c>
      <c r="GD116" s="40">
        <f>SnapshotTable[[#This Row],[Last Price]] * (1+ SellingPriceToConsiderBasedOnTargetPercentage)</f>
        <v>196.11149999999998</v>
      </c>
      <c r="GE116" s="41"/>
      <c r="GF116" s="40"/>
      <c r="GG116" s="31">
        <f>SnapshotTable[[#This Row],[Booked Sale Shares]] * SnapshotTable[[#This Row],[Booked Sale Price]]</f>
        <v>0</v>
      </c>
      <c r="GH116" s="31" t="str">
        <f>IF(SnapshotTable[[#This Row],[Equity Basis Total]] &gt; 0, SnapshotTable[[#This Row],[Equity Basis Per Share]] * SnapshotTable[[#This Row],[Booked Sale Shares]], "")</f>
        <v/>
      </c>
      <c r="GI116" s="31">
        <f>IF(SnapshotTable[[#This Row],[Sale Proceeds]]&gt;0, SnapshotTable[[#This Row],[Sale Proceeds]] - SnapshotTable[[#This Row],[Sale Basis]], 0)</f>
        <v>0</v>
      </c>
      <c r="GJ116" s="27" t="str">
        <f>IF(SnapshotTable[[#This Row],[Sale G/L]]&gt;0, SnapshotTable[[#This Row],[Sale G/L]] / SnapshotTable[[#This Row],[Sale Basis]], IF(ISNUMBER(SnapshotTable[[#This Row],[SC Exercise P&amp;L (TAX)]]), SnapshotTable[[#This Row],[SC Exercise P&amp;L (TAX)]] / SnapshotTable[[#This Row],[SC Basis]], ""))</f>
        <v/>
      </c>
      <c r="GK116" s="27" t="s">
        <v>619</v>
      </c>
      <c r="GL116" s="43" t="str">
        <f>IF(AND(SnapshotTable[[#This Row],[LP Exp Date]]&gt;0,SnapshotTable[[#This Row],[LP Strike Price]]&gt;0), [1]!ToOptionSymbol(SnapshotTable[[#This Row],[Symbol]], SnapshotTable[[#This Row],[LP Strike Price]],SnapshotTable[[#This Row],[LP Exp Date]],1), "")</f>
        <v/>
      </c>
      <c r="GM116" s="30" t="str">
        <f>IF(LEN(SnapshotTable[[#This Row],[LP Symbol]])&gt;0, 1, "")</f>
        <v/>
      </c>
      <c r="GN116" s="43" t="str">
        <f>IF(AND(SnapshotTable[[#This Row],[SP Exp Date]]&gt;0,SnapshotTable[[#This Row],[SP Strike Price]]&gt;0), [1]!ToOptionSymbol(SnapshotTable[[#This Row],[Symbol]], SnapshotTable[[#This Row],[SP Strike Price]],SnapshotTable[[#This Row],[SP Exp Date]],1), "")</f>
        <v/>
      </c>
      <c r="GO116" s="30" t="str">
        <f>IF(LEN(SnapshotTable[[#This Row],[SP Symbol]])&gt;0, 1, "")</f>
        <v/>
      </c>
      <c r="GP116" s="43" t="str">
        <f>IF(AND(SnapshotTable[[#This Row],[LC Exp Date]]&gt;0,SnapshotTable[[#This Row],[LC Strike Price]]&gt;0), [1]!ToOptionSymbol(SnapshotTable[[#This Row],[Symbol]], SnapshotTable[[#This Row],[LC Strike Price]],SnapshotTable[[#This Row],[LC Exp Date]],0), "")</f>
        <v/>
      </c>
      <c r="GQ116" s="30" t="str">
        <f>IF(LEN(SnapshotTable[[#This Row],[LC Symbol]])&gt;0, 1, "")</f>
        <v/>
      </c>
      <c r="GR116" s="43" t="str">
        <f>IF(AND(SnapshotTable[[#This Row],[SC Exp Date]]&gt;0,SnapshotTable[[#This Row],[SC Strike Price]]&gt;0), [1]!ToOptionSymbol(SnapshotTable[[#This Row],[Symbol]], SnapshotTable[[#This Row],[SC Strike Price]],SnapshotTable[[#This Row],[SC Exp Date]],0), "")</f>
        <v/>
      </c>
      <c r="GS116" s="30" t="str">
        <f>IF(LEN(SnapshotTable[[#This Row],[SC Symbol]])&gt;0, 1, "")</f>
        <v/>
      </c>
      <c r="GT116" s="29" t="str">
        <f>IF(COUNT(SnapshotTable[[#This Row],[LP Symbol Count]],SnapshotTable[[#This Row],[SP Symbol Count]],SnapshotTable[[#This Row],[LC Symbol Count]],SnapshotTable[[#This Row],[SC Symbol Count]])&gt;0, "Y", "")</f>
        <v/>
      </c>
      <c r="GU11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6" s="231" t="e">
        <f>MAX(SnapshotTable[[#This Row],[Equity Basis Total]],SnapshotTable[[#This Row],[Equity Value]]) + (SnapshotTable[[#This Row],[SP Potential Spend]]- SnapshotTable[[#This Row],[SP Premium]] + SnapshotTable[[#This Row],[LP Premium]])+ (SnapshotTable[[#This Row],[LC Premium]] - SnapshotTable[[#This Row],[SC Premium]])</f>
        <v>#VALUE!</v>
      </c>
      <c r="GW116" s="139" t="e">
        <f>IF(AND(SnapshotTable[[#This Row],[Exposure]] &lt;&gt; 0),SnapshotTable[[#This Row],[Exposure]] / SnapshotTable[[#Totals],[Exposure]], "")</f>
        <v>#VALUE!</v>
      </c>
      <c r="HE116" s="268"/>
      <c r="HF116" s="268"/>
      <c r="HK116" s="1"/>
      <c r="HL116" s="1"/>
      <c r="HM116" s="1"/>
      <c r="HN116" s="1"/>
      <c r="HO116" s="1"/>
      <c r="HP116" s="1"/>
    </row>
    <row r="117" spans="2:224" ht="12.75" hidden="1" customHeight="1" x14ac:dyDescent="0.25">
      <c r="B117" s="12" t="s">
        <v>913</v>
      </c>
      <c r="C117" s="422">
        <v>245.77</v>
      </c>
      <c r="D117" s="208"/>
      <c r="E117" s="39">
        <f>SnapshotTable[[#This Row],[Last Price]]*(1 -CrashDiscount)</f>
        <v>208.90450000000001</v>
      </c>
      <c r="F117" s="26" t="s">
        <v>613</v>
      </c>
      <c r="G117" s="26" t="s">
        <v>9</v>
      </c>
      <c r="H117" s="149"/>
      <c r="I117" s="194">
        <v>44777.291666666664</v>
      </c>
      <c r="J117" s="195">
        <v>44777.291666666664</v>
      </c>
      <c r="K117" s="196"/>
      <c r="L117" s="326"/>
      <c r="M117" s="140"/>
      <c r="N117" s="140"/>
      <c r="O117" s="140"/>
      <c r="P117" s="22"/>
      <c r="Q117" s="25"/>
      <c r="R117" s="4" t="str">
        <f>IF(SnapshotTable[[#This Row],[Equity Basis Total]] &gt; 0, SnapshotTable[[#This Row],[Equity Basis Total]] / SnapshotTable[[#This Row],[Equity Shares]], "")</f>
        <v/>
      </c>
      <c r="S117" s="269">
        <f>SnapshotTable[[#This Row],[Last Price]] * SnapshotTable[[#This Row],[Equity Shares]]</f>
        <v>0</v>
      </c>
      <c r="T117" s="269">
        <f>SnapshotTable[[#This Row],[Equity Value]] - SnapshotTable[[#This Row],[Equity Basis Total]]</f>
        <v>0</v>
      </c>
      <c r="U117" s="270" t="str">
        <f>IF(SnapshotTable[[#This Row],[Equity Basis Total]] &gt; 0, SnapshotTable[[#This Row],[Equity G/L]] / SnapshotTable[[#This Row],[Equity Basis Total]], "")</f>
        <v/>
      </c>
      <c r="V117" s="268">
        <v>130</v>
      </c>
      <c r="W117" s="268">
        <v>110.5</v>
      </c>
      <c r="X117" s="4" t="str">
        <f>IF(AND(ISNUMBER(SnapshotTable[[#This Row],[Equity Basis Per Share]]),ISNUMBER(SnapshotTable[[#This Row],[Equity Target]])),SnapshotTable[[#This Row],[Equity Target]]-SnapshotTable[[#This Row],[Equity Basis Per Share]],"")</f>
        <v/>
      </c>
      <c r="Y117" s="4" t="str">
        <f>IF(AND(ISNUMBER(SnapshotTable[[#This Row],[Equity Basis Per Share]]),ISNUMBER(SnapshotTable[[#This Row],[Equity Stop Loss]])),SnapshotTable[[#This Row],[Equity Stop Loss]]-SnapshotTable[[#This Row],[Equity Basis Per Share]],"")</f>
        <v/>
      </c>
      <c r="Z117" s="275" t="str">
        <f>IFERROR( TEXT(SnapshotTable[[#This Row],[Equity Max Gain Per Share]] /ABS( SnapshotTable[[#This Row],[Equity Max Loss Per Share]]),"0.0 " ) &amp; " : 1", "")</f>
        <v/>
      </c>
      <c r="AA117" s="31" t="str">
        <f>IF(ISNUMBER(SnapshotTable[[#This Row],[Equity Max Gain Per Share]]),SnapshotTable[[#This Row],[Equity Max Gain Per Share]] * SnapshotTable[[#This Row],[Equity Shares]],"")</f>
        <v/>
      </c>
      <c r="AB117" s="31" t="str">
        <f>IF(ISNUMBER(SnapshotTable[[#This Row],[Equity Max Loss Per Share]]),SnapshotTable[[#This Row],[Equity Max Loss Per Share]] * SnapshotTable[[#This Row],[Equity Shares]],"")</f>
        <v/>
      </c>
      <c r="AC117" s="150"/>
      <c r="AD117" s="151"/>
      <c r="AE117" s="31">
        <f>(SnapshotTable[[#This Row],[Annual Dividend Per Share]] / 4) * SnapshotTable[[#This Row],[Equity Shares]]</f>
        <v>0</v>
      </c>
      <c r="AF117" s="31">
        <f>SnapshotTable[[#This Row],[Quarterly Div $]] * 4</f>
        <v>0</v>
      </c>
      <c r="AG117" s="7">
        <f>IF(SnapshotTable[[#This Row],[Annual Dividend Per Share]]&gt;0, SnapshotTable[[#This Row],[Annual Dividend Per Share]]  / SnapshotTable[[#This Row],[Last Price]], 0)</f>
        <v>0</v>
      </c>
      <c r="AH117" s="151"/>
      <c r="AI117" s="5"/>
      <c r="AJ117" s="138">
        <v>95.93</v>
      </c>
      <c r="AK117" s="152" t="str">
        <f>IF(ISNUMBER( SnapshotTable[[#This Row],[EBF Target]]),(SnapshotTable[[#This Row],[EBF Target]] - SnapshotTable[[#This Row],[Last Price]]) / SnapshotTable[[#This Row],[Last Price]], "")</f>
        <v/>
      </c>
      <c r="AL117" s="152" t="str">
        <f>IF(AND(SnapshotTable[[#This Row],[Equity Basis Total]] &gt; 0,ISNUMBER( SnapshotTable[[#This Row],[Long Term Target]])), SnapshotTable[[#This Row],[From Basis $]] / SnapshotTable[[#This Row],[Equity Basis Total]], "")</f>
        <v/>
      </c>
      <c r="AM117" s="9">
        <f>IF( AND(SnapshotTable[[#This Row],[Equity Shares]] &gt;0,ISNUMBER( SnapshotTable[[#This Row],[Long Term Target]])),(SnapshotTable[[#This Row],[Equity Shares]] * SnapshotTable[[#This Row],[Long Term Target]]) - SnapshotTable[[#This Row],[Equity Basis Total]],0)</f>
        <v>0</v>
      </c>
      <c r="AN117" s="9">
        <f>IF( AND(SnapshotTable[[#This Row],[Equity Shares]] &gt;0,ISNUMBER( SnapshotTable[[#This Row],[Long Term Target]])),(SnapshotTable[[#This Row],[Equity Shares]]*SnapshotTable[[#This Row],[Long Term Target]]) - SnapshotTable[[#This Row],[Equity Value]],0)</f>
        <v>0</v>
      </c>
      <c r="AO117" s="152">
        <f>IF(AND(ISNUMBER( SnapshotTable[[#This Row],[Long Term Target]]), ISNUMBER(SnapshotTable[[#This Row],[Last Price]])),(SnapshotTable[[#This Row],[Long Term Target]] - SnapshotTable[[#This Row],[Last Price]]) / SnapshotTable[[#This Row],[Last Price]], "")</f>
        <v>-0.60967571306506085</v>
      </c>
      <c r="AP117" s="5"/>
      <c r="AQ117" s="38"/>
      <c r="AR117" s="5"/>
      <c r="AS117" s="38"/>
      <c r="AT117" s="146"/>
      <c r="AU117" s="187" t="str">
        <f>IF(OR(SnapshotTable[[#This Row],[LP No Fill]]="Y",SnapshotTable[[#This Row],[SP Is Filled]],SnapshotTable[[#This Row],[LC Not Filled]]="Y",SnapshotTable[[#This Row],[SC Is Filled]]),"Y","")</f>
        <v/>
      </c>
      <c r="AV117" s="219"/>
      <c r="AW117" s="225"/>
      <c r="AX117" s="220"/>
      <c r="AY117" s="219" t="str">
        <f>IF(SnapshotTable[[#This Row],[Implied Move]]&gt;0, SnapshotTable[[#This Row],[Last Price]]-SnapshotTable[[#This Row],[Implied Move]],"")</f>
        <v/>
      </c>
      <c r="AZ117" s="219" t="str">
        <f>IF(SnapshotTable[[#This Row],[Implied Move]]&gt;0, SnapshotTable[[#This Row],[Last Price]] + SnapshotTable[[#This Row],[Implied Move]],"")</f>
        <v/>
      </c>
      <c r="BA117" s="331"/>
      <c r="BB117" s="347"/>
      <c r="BC11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7" s="351"/>
      <c r="BE117" s="5"/>
      <c r="BF117" s="14"/>
      <c r="BG117" s="13"/>
      <c r="BH117" s="13"/>
      <c r="BI117" s="5"/>
      <c r="BJ117" s="136">
        <f>IF(SnapshotTable[[#This Row],[LP Qty]] &gt; 0, SnapshotTable[[#This Row],[LP Qty]] * SnapshotTable[[#This Row],[LP Book Price]] * 100,0)</f>
        <v>0</v>
      </c>
      <c r="BK117" s="136">
        <f>IF(SnapshotTable[[#This Row],[LP Premium]] &gt; 0, SnapshotTable[[#This Row],[LP Qty]] * SnapshotTable[[#This Row],[LP Strike Price]] * 100,0)</f>
        <v>0</v>
      </c>
      <c r="BL117" s="154"/>
      <c r="BM117" s="385" t="str">
        <f>IF(SnapshotTable[[#This Row],[LP Premium]] &gt; 0,SnapshotTable[[#This Row],[LP Exp Date]]-MAX(SnapshotTable[[#This Row],[LP Book Date]], SnapshotTable[[#This Row],[LP Fill Date]]),"")</f>
        <v/>
      </c>
      <c r="BN117" s="385" t="str">
        <f>IF(ISNUMBER( SnapshotTable[[#This Row],[LP Term]]), SnapshotTable[[#This Row],[LP Exp Date]] - MockToday,"")</f>
        <v/>
      </c>
      <c r="BO117" s="163" t="str">
        <f>IF(AND(SnapshotTable[[#This Row],[LP Exp Date]]&gt;0, SnapshotTable[[#This Row],[LP Strike Price]]&gt;0,SnapshotTable[[#This Row],[LP Qty]]&gt;0,SnapshotTable[[#This Row],[LP Book Date]]&gt;0,SnapshotTable[[#This Row],[LP Book Price]]&gt;0,SnapshotTable[[#This Row],[LP Fill Date]]=0),"Y","")</f>
        <v/>
      </c>
      <c r="BP117" s="31" t="str">
        <f>IF(AND(SnapshotTable[[#This Row],[LP No Fill]]&lt;&gt;"Y",SnapshotTable[[#This Row],[LP Contract Value]]&gt;0, SnapshotTable[[#This Row],[LP Qty]]&gt;0), SnapshotTable[[#This Row],[LP Contract Value]]*SnapshotTable[[#This Row],[LP Qty]]*100,"")</f>
        <v/>
      </c>
      <c r="BQ117" s="13"/>
      <c r="BR117" s="5" t="str">
        <f>IF(SnapshotTable[[#This Row],[SP Exp Date]]&lt;&gt;"",TRUNC(SnapshotTable[[#This Row],[Last Price]]),"")</f>
        <v/>
      </c>
      <c r="BS117" s="36"/>
      <c r="BT117" s="147"/>
      <c r="BU117" s="13"/>
      <c r="BV117" s="5"/>
      <c r="BW117" s="419" t="b">
        <f>AND(ISNUMBER(SnapshotTable[[#This Row],[SP Exp Date]]), ISNUMBER(SnapshotTable[[#This Row],[SP Strike Price]]), ISNUMBER(SnapshotTable[[#This Row],[SP Qty]]), ISNUMBER(SnapshotTable[[#This Row],[SP Book Date]]), ISNUMBER(SnapshotTable[[#This Row],[SP Book Price]]))</f>
        <v>0</v>
      </c>
      <c r="BX117" s="419" t="b">
        <f>AND(SnapshotTable[[#This Row],[SP Is Booked]], NOT(ISBLANK(SnapshotTable[[#This Row],[SP Fill Date]])))</f>
        <v>0</v>
      </c>
      <c r="BY117" s="33">
        <f>IF(SnapshotTable[[#This Row],[SP Is Booked]], SnapshotTable[[#This Row],[SP Qty]] * SnapshotTable[[#This Row],[SP Book Price]] * 100, 0)</f>
        <v>0</v>
      </c>
      <c r="BZ117" s="369"/>
      <c r="CA117" s="368">
        <f>SnapshotTable[[#This Row],[LP Qty]]</f>
        <v>0</v>
      </c>
      <c r="CB117" s="4" t="str">
        <f>IF(SnapshotTable[[#This Row],[SP Is Booked]], SnapshotTable[[#This Row],[SP Strike Price]] - SnapshotTable[[#This Row],[SP Book Price]], "")</f>
        <v/>
      </c>
      <c r="CC117" s="19" t="str">
        <f>IF(SnapshotTable[[#This Row],[SP Is Booked]],SnapshotTable[[#This Row],[SP Exp Date]]-MAX(SnapshotTable[[#This Row],[SP Book Date]], SnapshotTable[[#This Row],[SP Fill Date]]),"")</f>
        <v/>
      </c>
      <c r="CD117" s="7" t="str">
        <f>IF(SnapshotTable[[#This Row],[SP Is Booked]], SnapshotTable[[#This Row],[SP Book Price]]/SnapshotTable[[#This Row],[SP Strike Price]], "")</f>
        <v/>
      </c>
      <c r="CE117" s="7" t="str">
        <f>IF(ISNUMBER(SnapshotTable[[#This Row],[SP ROO Term]]),SnapshotTable[[#This Row],[SP ROO Term]]*(365/SnapshotTable[[#This Row],[SP Term]]),"")</f>
        <v/>
      </c>
      <c r="CF117" s="236">
        <f>SnapshotTable[[#This Row],[LP Strike Price]] * SnapshotTable[[#This Row],[LP Qty]] * 100</f>
        <v>0</v>
      </c>
      <c r="CG117" s="31" t="e">
        <f>IF(ISNUMBER(SnapshotTable[[#This Row],[SP Premium]]), (SnapshotTable[[#This Row],[SP Qty]] * SnapshotTable[[#This Row],[SP Strike Price]]* 100) - SnapshotTable[[#This Row],[LP Protection]], 0)</f>
        <v>#VALUE!</v>
      </c>
      <c r="CH117" s="7" t="str">
        <f>IF(ISNUMBER(SnapshotTable[[#This Row],[SP Break Even]]),-1 * (SnapshotTable[[#This Row],[SP Break Even]] - SnapshotTable[[#This Row],[Last Price]]) / SnapshotTable[[#This Row],[Last Price]], "")</f>
        <v/>
      </c>
      <c r="CI117" s="31">
        <f>IF(AND(ISNUMBER((SnapshotTable[[#This Row],[SP Potential Spend]])), SnapshotTable[[#This Row],[SP Strike Price]] &gt; SnapshotTable[[#This Row],[Last Price]], SnapshotTable[[#This Row],[SP Is Filled]]), SnapshotTable[[#This Row],[SP Potential Spend]] -  SnapshotTable[[#This Row],[LP Max Value]], 0)</f>
        <v>0</v>
      </c>
      <c r="CJ117" s="244"/>
      <c r="CK117" s="31" t="str">
        <f>IF(ISNUMBER(SnapshotTable[[#This Row],[SP Potential Spend]]),IF(ISNUMBER(SnapshotTable[[#This Row],[SP POW]]), SnapshotTable[[#This Row],[SP POW]] * SnapshotTable[[#This Row],[SP Potential Spend]], SnapshotTable[[#This Row],[SP Potential Spend]]), "")</f>
        <v/>
      </c>
      <c r="CL117" s="164" t="e">
        <f>IF(NOT(SnapshotTable[[#This Row],[SP Is Filled]]),(SnapshotTable[[#This Row],[SP Qty]] * SnapshotTable[[#This Row],[SP Strike Price]] * 100) - SnapshotTable[[#This Row],[LP Max Value]],"")</f>
        <v>#VALUE!</v>
      </c>
      <c r="CM117" s="31" t="str">
        <f>IF(SnapshotTable[[#This Row],[SP Actual Spend]]&lt;&gt;0, ((SnapshotTable[[#This Row],[SP Strike Price]]-SnapshotTable[[#This Row],[Last Price]]) *(SnapshotTable[[#This Row],[SP Qty]]*100) - SnapshotTable[[#This Row],[SP Premium]]) * - 1, "")</f>
        <v/>
      </c>
      <c r="CN117" s="154"/>
      <c r="CO117" s="369"/>
      <c r="CP117" s="4" t="str">
        <f>IF(SnapshotTable[[#This Row],[SP Is Filled]], btc_max_buyback_amount(SnapshotTable[[#This Row],[SP Fill Date]],SnapshotTable[[#This Row],[SP Exp Date]], SnapshotTable[[#This Row],[SP Book Price]]),"")</f>
        <v/>
      </c>
      <c r="CQ117" s="78"/>
      <c r="CR11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7" s="155" t="str">
        <f>IF(SnapshotTable[[#This Row],[SP Is Filled]], btc_next_cutoff_date(SnapshotTable[[#This Row],[SP Fill Date]],SnapshotTable[[#This Row],[SP Exp Date]]),"")</f>
        <v/>
      </c>
      <c r="CT117" s="235" t="str" cm="1">
        <f t="array" ref="CT117">IF(SnapshotTable[[#This Row],[SP Is Filled]], btc_should_buy_back(SnapshotTable[[#This Row],[SP Fill Date]], SnapshotTable[[#This Row],[SP Exp Date]], SnapshotTable[[#This Row],[SP Book Price]], SnapshotTable[[#This Row],[SP Current Ask]], MockToday, SnapshotTable[[#This Row],[SP Buyback Override]]),"")</f>
        <v/>
      </c>
      <c r="CU117" s="156"/>
      <c r="CV117" s="235"/>
      <c r="CW117" s="378" t="str">
        <f>IF(ISNUMBER( SnapshotTable[[#This Row],[SP Term]]), SnapshotTable[[#This Row],[SP Exp Date]] - MockToday,"")</f>
        <v/>
      </c>
      <c r="CX117" s="31" t="str">
        <f>IF(SnapshotTable[[#This Row],[SP Is Filled]],SnapshotTable[[#This Row],[SP Buyback Price to Use]] * 100 * SnapshotTable[[#This Row],[SP Qty]], "")</f>
        <v/>
      </c>
      <c r="CY117" s="4" t="str">
        <f>IF(ISNUMBER(SnapshotTable[[#This Row],[SP Strike Price]]), SnapshotTable[[#This Row],[SP Strike Price]] * (1 - SP_MaxLoss_StrikePct), "")</f>
        <v/>
      </c>
      <c r="CZ117" s="31" t="str">
        <f>IF(ISNUMBER(SnapshotTable[[#This Row],[SP Strike  Stop Per Share]]),SnapshotTable[[#This Row],[SP Premium]] - ((SnapshotTable[[#This Row],[SP Strike Price]]-SnapshotTable[[#This Row],[SP Strike  Stop Per Share]]) *(SnapshotTable[[#This Row],[SP Qty]] * 100)),"")</f>
        <v/>
      </c>
      <c r="DA117" s="4" t="str">
        <f>IF(AND(ISNUMBER(SnapshotTable[[#This Row],[SP Premium]]),SnapshotTable[[#This Row],[SP Premium]]&gt;0), SnapshotTable[[#This Row],[SP Book Price]] * (1 + SP_MaxLoss_OptionPct), "")</f>
        <v/>
      </c>
      <c r="DB117" s="31" t="str">
        <f>IF(ISNUMBER(SnapshotTable[[#This Row],[SP Option  Stop Contract]]),(SnapshotTable[[#This Row],[SP Option  Stop Contract]] *(SnapshotTable[[#This Row],[SP Qty]] * 100) - SnapshotTable[[#This Row],[SP Premium]]),"")</f>
        <v/>
      </c>
      <c r="DC117" s="4"/>
      <c r="DD117" s="4"/>
      <c r="DE117" s="4" t="str">
        <f>IF(AND(SnapshotTable[[#This Row],[SP Qty]]&gt;0, SnapshotTable[[#This Row],[SP Stop To Use]]&gt;0),SnapshotTable[[#This Row],[SP Premium]] - ( SnapshotTable[[#This Row],[SP Qty]] * SnapshotTable[[#This Row],[SP Stop To Use]] * 100), "")</f>
        <v/>
      </c>
      <c r="DF117" s="31" t="str">
        <f>IF(AND(SnapshotTable[[#This Row],[SP Qty]]&gt;0,SnapshotTable[[#This Row],[SP Current Ask]]&gt;0), SnapshotTable[[#This Row],[SP Qty]] * SnapshotTable[[#This Row],[SP Current Ask]] * -100, "")</f>
        <v/>
      </c>
      <c r="DG117" s="31" t="str">
        <f>IF(ISNUMBER((SnapshotTable[[#This Row],[SP Total Value]])), SnapshotTable[[#This Row],[SP Premium]] + SnapshotTable[[#This Row],[SP Total Value]], "")</f>
        <v/>
      </c>
      <c r="DH117" s="294" t="str">
        <f>IF(ISNUMBER((SnapshotTable[[#This Row],[SP Total Value]])), SnapshotTable[[#This Row],[SP Gain Loss]] / SnapshotTable[[#This Row],[SP Premium]], "")</f>
        <v/>
      </c>
      <c r="DI117" s="406"/>
      <c r="DJ117" s="138"/>
      <c r="DK117" s="148"/>
      <c r="DL117" s="147"/>
      <c r="DM117" s="147"/>
      <c r="DO117" s="31">
        <f>IF(SnapshotTable[[#This Row],[LC Symbol Count]]=1, SnapshotTable[[#This Row],[LC Qty]] * SnapshotTable[[#This Row],[LC Book Price]] * 100, 0)</f>
        <v>0</v>
      </c>
      <c r="DP117" s="289" t="str">
        <f>IF(AND(SnapshotTable[[#This Row],[LC Exp Date]]&gt;0, SnapshotTable[[#This Row],[LC Strike Price]]&gt;0,SnapshotTable[[#This Row],[LC Qty]]&gt;0,SnapshotTable[[#This Row],[LC Book Date]]&gt;0,SnapshotTable[[#This Row],[LC Book Price]]&gt;0,SnapshotTable[[#This Row],[LC Fill Date]]=0),"Y","")</f>
        <v/>
      </c>
      <c r="DQ117" s="386" t="str">
        <f>IF(SnapshotTable[[#This Row],[LC Premium]] &gt; 0,SnapshotTable[[#This Row],[LC Exp Date]]-MAX(SnapshotTable[[#This Row],[LC Book Date]], SnapshotTable[[#This Row],[LC Fill Date]]),"")</f>
        <v/>
      </c>
      <c r="DR117" s="386" t="str">
        <f>IF(ISNUMBER(SnapshotTable[[#This Row],[LC Term]]), SnapshotTable[[#This Row],[LC Exp Date]] - MockToday, "")</f>
        <v/>
      </c>
      <c r="DS117" s="234" t="str">
        <f>IF(SnapshotTable[[#This Row],[LC Premium]]&gt;0,SnapshotTable[[#This Row],[LC Strike Price]] + SnapshotTable[[#This Row],[LC Book Price]],"")</f>
        <v/>
      </c>
      <c r="DU117" s="9" t="str">
        <f>IF(AND(SnapshotTable[[#This Row],[LC Symbol Count]]&gt;0, SnapshotTable[[#This Row],[LC Contract Value]]&gt;0), SnapshotTable[[#This Row],[LC Contract Value]] * SnapshotTable[[#This Row],[LC Qty]] * 100, "")</f>
        <v/>
      </c>
      <c r="DV117" s="9" t="str">
        <f>IF(AND(ISNUMBER(SnapshotTable[[#This Row],[LC Total Value]]), SnapshotTable[[#This Row],[LC Not Filled]]&lt;&gt;"Y"), SnapshotTable[[#This Row],[LC Total Value]]-SnapshotTable[[#This Row],[LC Premium]],"")</f>
        <v/>
      </c>
      <c r="DW117" s="240" t="str">
        <f>IF(ISNUMBER(SnapshotTable[[#This Row],[LC Actual Gain Loss]]), SnapshotTable[[#This Row],[LC Actual Gain Loss]] / SnapshotTable[[#This Row],[LC Premium]],"")</f>
        <v/>
      </c>
      <c r="DX117" s="284" t="str">
        <f>IF(ISNUMBER(SnapshotTable[[#This Row],[LC Book Price]]),SnapshotTable[[#This Row],[LC Book Price]] * 1.5,"")</f>
        <v/>
      </c>
      <c r="DY117" s="265" t="str">
        <f>IF(SnapshotTable[[#This Row],[LC Premium]]&gt;0, SnapshotTable[[#This Row],[LC Next Target]] * SnapshotTable[[#This Row],[LC Qty]] * 100,"")</f>
        <v/>
      </c>
      <c r="DZ117" s="265" t="str">
        <f>IF(ISNUMBER(SnapshotTable[[#This Row],[LC Target Gross]]), SnapshotTable[[#This Row],[LC Target Gross]] - SnapshotTable[[#This Row],[LC Premium]], "")</f>
        <v/>
      </c>
      <c r="EA117" s="305" t="str">
        <f>IF(ISNUMBER(SnapshotTable[[#This Row],[LC Target Gain Loss]]), SnapshotTable[[#This Row],[LC Target Gain Loss]]/SnapshotTable[[#This Row],[LC Premium]], "")</f>
        <v/>
      </c>
      <c r="EB117" s="262"/>
      <c r="EC117" s="283" t="str">
        <f>IF(SnapshotTable[[#This Row],[LC Premium]]&gt;0, SnapshotTable[[#This Row],[LC Book Price]] * (1 - LC_StopLoss_Pct),"")</f>
        <v/>
      </c>
      <c r="ED117" s="284"/>
      <c r="EE117" s="283" t="str">
        <f>IF(ISNUMBER(SnapshotTable[[#This Row],[LC Contract Value]]),IF(ISNUMBER(SnapshotTable[[#This Row],[LC Stop Loss Override]]), SnapshotTable[[#This Row],[LC Stop Loss Override]],SnapshotTable[[#This Row],[LC Stop Loss Calc Target]]),"")</f>
        <v/>
      </c>
      <c r="EF117" s="31" t="str">
        <f>IF(ISNUMBER(SnapshotTable[[#This Row],[LC Stop  To Use]]), (SnapshotTable[[#This Row],[LC Stop  To Use]] * SnapshotTable[[#This Row],[LC Qty]] * 100),"")</f>
        <v/>
      </c>
      <c r="EG117" s="9" t="str">
        <f>IF(ISNUMBER(SnapshotTable[[#This Row],[LC Total Value]]),SnapshotTable[[#This Row],[LC Stop Loss Amount]] - SnapshotTable[[#This Row],[LC Premium]],"")</f>
        <v/>
      </c>
      <c r="EH117" s="9">
        <f>IF(ISNUMBER(SnapshotTable[[#This Row],[LC Premium]]), SnapshotTable[[#This Row],[LC Qty]] * 100 * SnapshotTable[[#This Row],[LC Strike Price]], "")</f>
        <v>0</v>
      </c>
      <c r="EI117" s="240" t="str">
        <f>IF(AND(ISNUMBER(SnapshotTable[[#This Row],[LC Total Value]]),SnapshotTable[[#This Row],[LC Total Value]]&gt;0),SnapshotTable[[#This Row],[LC Stop Gain Loss]]  / SnapshotTable[[#This Row],[LC Premium]],"")</f>
        <v/>
      </c>
      <c r="EJ117" s="35">
        <f>IF(ISNUMBER(SnapshotTable[[#This Row],[Equity Shares]]),TRUNC(SnapshotTable[[#This Row],[Equity Shares]] / 100),0) + SnapshotTable[[#This Row],[LC Qty]]</f>
        <v>0</v>
      </c>
      <c r="EK117" s="147"/>
      <c r="EL117" s="138" t="str">
        <f>IF(SnapshotTable[[#This Row],[SC Exp Date]]&lt;&gt;"",TRUNC(SnapshotTable[[#This Row],[Last Price]]),"")</f>
        <v/>
      </c>
      <c r="EM117" s="148"/>
      <c r="EN117" s="147"/>
      <c r="EO117" s="147"/>
      <c r="EP117" s="138"/>
      <c r="EQ117" s="419" t="b">
        <f>AND(ISNUMBER(SnapshotTable[[#This Row],[SC Exp Date]]), ISNUMBER(SnapshotTable[[#This Row],[SC Strike Price]]), ISNUMBER(SnapshotTable[[#This Row],[SC Qty]]), ISNUMBER(SnapshotTable[[#This Row],[SC Book Date]]), ISNUMBER(SnapshotTable[[#This Row],[SC Book Price]]))</f>
        <v>0</v>
      </c>
      <c r="ER117" s="419" t="b">
        <f>AND(SnapshotTable[[#This Row],[SC Is Booked]], NOT(ISBLANK(SnapshotTable[[#This Row],[SC Fill Date]])))</f>
        <v>0</v>
      </c>
      <c r="ES117" s="370"/>
      <c r="ET117" s="34" t="str">
        <f>IF(AND(ISNUMBER(SnapshotTable[[#This Row],[SC Exp Date]]), ISNUMBER(SnapshotTable[[#This Row],[SC Book Date]])), SnapshotTable[[#This Row],[SC Exp Date]] - MAX(SnapshotTable[[#This Row],[SC Book Date]], SnapshotTable[[#This Row],[SC Fill Date]]) + 1, "")</f>
        <v/>
      </c>
      <c r="EU117" s="34" t="str">
        <f>IF(ISNUMBER(SnapshotTable[[#This Row],[SC Term]]), SnapshotTable[[#This Row],[SC Exp Date]]- MockToday, "")</f>
        <v/>
      </c>
      <c r="EV117" s="31">
        <f>IF(SnapshotTable[[#This Row],[SC Is Booked]], SnapshotTable[[#This Row],[SC Qty]] * SnapshotTable[[#This Row],[SC Book Price]] * 100, 0)</f>
        <v>0</v>
      </c>
      <c r="EW117" s="4" t="str">
        <f>IF(AND(ISNUMBER(SnapshotTable[[#This Row],[Last Price]]), ISNUMBER( SnapshotTable[[#This Row],[SC Book Price]])), SnapshotTable[[#This Row],[Last Price]] - SnapshotTable[[#This Row],[SC Book Price]],"")</f>
        <v/>
      </c>
      <c r="EX117" s="234" t="str">
        <f>IF(SnapshotTable[[#This Row],[SC Is Booked]],IF(SnapshotTable[[#This Row],[SC Intrinsic Value]] &gt; 0, SnapshotTable[[#This Row],[SC Strike Price]], SnapshotTable[[#This Row],[Last Price]]), "")</f>
        <v/>
      </c>
      <c r="EY117" s="4">
        <f>IF(SnapshotTable[[#This Row],[SC Is Booked]], (MinimumPremiumRequired * SnapshotTable[[#This Row],[SC Basis]] * SnapshotTable[[#This Row],[SC Term]]), 0)</f>
        <v>0</v>
      </c>
      <c r="EZ117" s="283"/>
      <c r="FA117" s="218"/>
      <c r="FB117" s="370"/>
      <c r="FC117" s="4">
        <f>IF(SnapshotTable[[#This Row],[SC Is Filled]], btc_max_buyback_amount(SnapshotTable[[#This Row],[SC Fill Date]],SnapshotTable[[#This Row],[SC Exp Date]], SnapshotTable[[#This Row],[SC Book Price]]),0)</f>
        <v>0</v>
      </c>
      <c r="FD117" s="5"/>
      <c r="FE117" s="144" t="str">
        <f>IF(SnapshotTable[[#This Row],[SC Is Filled]], btc_next_cutoff_date(SnapshotTable[[#This Row],[SC Fill Date]],SnapshotTable[[#This Row],[SC Exp Date]]),"")</f>
        <v/>
      </c>
      <c r="FF117" s="4" t="str" cm="1">
        <f t="array" ref="FF117">IF(SnapshotTable[[#This Row],[SC Is Filled]], btc_should_buy_back(SnapshotTable[[#This Row],[SC Fill Date]], SnapshotTable[[#This Row],[SC Exp Date]], SnapshotTable[[#This Row],[SC Book Price]], SnapshotTable[[#This Row],[SC Current Ask]], MockToday, SnapshotTable[[#This Row],[SC Buyback Override]]),"")</f>
        <v/>
      </c>
      <c r="FG117" s="4">
        <f>IF(SnapshotTable[[#This Row],[SC Is Filled]], MAX(0,SnapshotTable[[#This Row],[Last Price]]  - SnapshotTable[[#This Row],[SC Strike Price]]), 0)</f>
        <v>0</v>
      </c>
      <c r="FH117" s="382">
        <f>IF(SnapshotTable[[#This Row],[SC Is Filled]], IF(ISNUMBER(SnapshotTable[[#This Row],[SC Current Ask]]), SnapshotTable[[#This Row],[SC Current Ask]], SnapshotTable[[#This Row],[SC Book Price]]) - SnapshotTable[[#This Row],[SC Intrinsic Value]], 0)</f>
        <v>0</v>
      </c>
      <c r="FI117" s="143"/>
      <c r="FJ117" s="32" t="str">
        <f>IF(SnapshotTable[[#This Row],[SC Is Filled]],100 * SnapshotTable[[#This Row],[SC Qty]] * IF(ISNUMBER(SnapshotTable[[#This Row],[SC Buyback Override]]), SnapshotTable[[#This Row],[SC Buyback Override]], SnapshotTable[[#This Row],[SC Current Ask]]), "")</f>
        <v/>
      </c>
      <c r="FK117" s="250" t="str">
        <f>IF(SnapshotTable[[#This Row],[SC Time Val]]&gt;0, SnapshotTable[[#This Row],[SC Time Val]] / SnapshotTable[[#This Row],[Last Price]],"")</f>
        <v/>
      </c>
      <c r="FL117" s="302" t="str">
        <f>IF(SnapshotTable[[#This Row],[SC Is Booked]], ((SnapshotTable[[#This Row],[Last Price]] -SnapshotTable[[#This Row],[SC Strike Price]]) / SnapshotTable[[#This Row],[Last Price]]) * -1, "")</f>
        <v/>
      </c>
      <c r="FM117" s="157" t="str">
        <f>IF(SnapshotTable[[#This Row],[SC Is Booked]],  (SnapshotTable[[#This Row],[SC Qty]] * 100 * SnapshotTable[[#This Row],[SC Strike Price]]) - SnapshotTable[[#This Row],[SC Current Ask]], "")</f>
        <v/>
      </c>
      <c r="FN117"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7" s="157" t="str">
        <f>IF(AND(ISNUMBER(SnapshotTable[[#This Row],[SC Exercise Gross]]), ISNUMBER(SnapshotTable[[#This Row],[Equity Basis Per Share]] )), SnapshotTable[[#This Row],[SC Exercise Gross]] - SnapshotTable[[#This Row],[Equity Basis Total]] +  SnapshotTable[[#This Row],[SC Premium]], "")</f>
        <v/>
      </c>
      <c r="FP117" s="5" t="str">
        <f>IF(ISNUMBER(SnapshotTable[[#This Row],[SC Exercise Gross]]), (SnapshotTable[[#This Row],[SC Exercise Gross]]) / (SnapshotTable[[#This Row],[SC Qty]] * 100), "")</f>
        <v/>
      </c>
      <c r="FQ117" s="27" t="str">
        <f>IF(SnapshotTable[[#This Row],[SC Is Booked]],SnapshotTable[[#This Row],[SC Time Val]] /SnapshotTable[[#This Row],[SC Basis]], "")</f>
        <v/>
      </c>
      <c r="FR117" s="27" t="str" cm="1">
        <f t="array" ref="FR117">IF(AND(ISNUMBER(SnapshotTable[[#This Row],[SC Term]]),ISNUMBER(SnapshotTable[[#This Row],[SC Simple ROO]])), EllmanAnnualize(SnapshotTable[[#This Row],[SC DTE]], SnapshotTable[[#This Row],[SC Simple ROO]] ),"")</f>
        <v/>
      </c>
      <c r="FS117" s="4" t="e">
        <f>IF(SnapshotTable[[#This Row],[SC Strike Price]] &gt; SnapshotTable[[#This Row],[Last Price]], SnapshotTable[[#This Row],[SC Strike Price]] - SnapshotTable[[#This Row],[Last Price]],0)</f>
        <v>#VALUE!</v>
      </c>
      <c r="FT117" s="27" t="e">
        <f>IF(AND(ISNUMBER(SnapshotTable[[#This Row],[SC Upside Potential]]), SnapshotTable[[#This Row],[SC Upside Potential]] &gt; 0),(SnapshotTable[[#This Row],[SC Upside Potential]]/ SnapshotTable[[#This Row],[ACB]]),"")</f>
        <v>#VALUE!</v>
      </c>
      <c r="FU117" s="333" t="str">
        <f>IF(SnapshotTable[[#This Row],[SC Intrinsic Value]] &gt; 0,SnapshotTable[[#This Row],[SC Intrinsic Value]],"")</f>
        <v/>
      </c>
      <c r="FV117" s="27" t="str">
        <f>IF(AND( ISNUMBER( SnapshotTable[[#This Row],[ACB]]),ISNUMBER(SnapshotTable[[#This Row],[SC Downside Protect]])),SnapshotTable[[#This Row],[SC Downside Protect]] / SnapshotTable[[#This Row],[ACB]],"")</f>
        <v/>
      </c>
      <c r="FW117" s="236" t="str">
        <f>IF(AND(ISNUMBER(SnapshotTable[[#This Row],[SC Simple ROO]]),SnapshotTable[[#This Row],[SC Simple ROO]] &gt; 0), SnapshotTable[[#This Row],[SC Premium]] + (SnapshotTable[[#This Row],[SC Qty]] * SnapshotTable[[#This Row],[SC Upside Potential]]), "")</f>
        <v/>
      </c>
      <c r="FX117" s="302" t="str" cm="1">
        <f t="array" ref="FX117">IF(ISNUMBER(SnapshotTable[[#This Row],[SC Max Dollars]]), annualize(SnapshotTable[[#This Row],[SC Term]],(SnapshotTable[[#This Row],[SC Max Dollars]]/SnapshotTable[[#This Row],[SC Basis]])),"")</f>
        <v/>
      </c>
      <c r="FY117" s="236" t="str">
        <f>IF(AND(SnapshotTable[[#This Row],[SC Qty]]&gt;0,SnapshotTable[[#This Row],[SC Current Ask]]&gt;0), SnapshotTable[[#This Row],[SC Qty]] * SnapshotTable[[#This Row],[SC Current Ask]] * -100, "")</f>
        <v/>
      </c>
      <c r="FZ117" s="235" t="str">
        <f>IF(ISNUMBER((SnapshotTable[[#This Row],[SC Current Value]])), SnapshotTable[[#This Row],[SC Premium]] + SnapshotTable[[#This Row],[SC Current Value]], "")</f>
        <v/>
      </c>
      <c r="GA117" s="294" t="str">
        <f>IFERROR( IF(ISNUMBER((SnapshotTable[[#This Row],[SC Current Value]])), SnapshotTable[[#This Row],[SC Gain Loss]] / SnapshotTable[[#This Row],[SC Premium]], ""), "")</f>
        <v/>
      </c>
      <c r="GB117" s="310">
        <f>SnapshotTable[[#This Row],[Equity Shares]] * SaleSharesToConsiderPercentage</f>
        <v>0</v>
      </c>
      <c r="GC117" s="311">
        <f>SnapshotTable[[#This Row],[Long Term Target]] * SellingPriceToConsiderBasedOnTargetPercentage</f>
        <v>91.133499999999998</v>
      </c>
      <c r="GD117" s="311">
        <f>SnapshotTable[[#This Row],[Last Price]] * (1+ SellingPriceToConsiderBasedOnTargetPercentage)</f>
        <v>479.25150000000002</v>
      </c>
      <c r="GE117" s="312"/>
      <c r="GF117" s="311"/>
      <c r="GG117" s="31">
        <f>SnapshotTable[[#This Row],[Booked Sale Shares]] * SnapshotTable[[#This Row],[Booked Sale Price]]</f>
        <v>0</v>
      </c>
      <c r="GH117" s="31" t="str">
        <f>IF(SnapshotTable[[#This Row],[Equity Basis Total]] &gt; 0, SnapshotTable[[#This Row],[Equity Basis Per Share]] * SnapshotTable[[#This Row],[Booked Sale Shares]], "")</f>
        <v/>
      </c>
      <c r="GI117" s="31">
        <f>IF(SnapshotTable[[#This Row],[Sale Proceeds]]&gt;0, SnapshotTable[[#This Row],[Sale Proceeds]] - SnapshotTable[[#This Row],[Sale Basis]], 0)</f>
        <v>0</v>
      </c>
      <c r="GJ117" s="158" t="str">
        <f>IF(SnapshotTable[[#This Row],[Sale G/L]]&gt;0, SnapshotTable[[#This Row],[Sale G/L]] / SnapshotTable[[#This Row],[Sale Basis]], IF(ISNUMBER(SnapshotTable[[#This Row],[SC Exercise P&amp;L (TAX)]]), SnapshotTable[[#This Row],[SC Exercise P&amp;L (TAX)]] / SnapshotTable[[#This Row],[SC Basis]], ""))</f>
        <v/>
      </c>
      <c r="GK117" s="27"/>
      <c r="GL117" s="159" t="str">
        <f>IF(AND(SnapshotTable[[#This Row],[LP Exp Date]]&gt;0,SnapshotTable[[#This Row],[LP Strike Price]]&gt;0), [1]!ToOptionSymbol(SnapshotTable[[#This Row],[Symbol]], SnapshotTable[[#This Row],[LP Strike Price]],SnapshotTable[[#This Row],[LP Exp Date]],1), "")</f>
        <v/>
      </c>
      <c r="GM117" s="30" t="str">
        <f>IF(LEN(SnapshotTable[[#This Row],[LP Symbol]])&gt;0, 1, "")</f>
        <v/>
      </c>
      <c r="GN117" s="43" t="str">
        <f>IF(AND(SnapshotTable[[#This Row],[SP Exp Date]]&gt;0,SnapshotTable[[#This Row],[SP Strike Price]]&gt;0), [1]!ToOptionSymbol(SnapshotTable[[#This Row],[Symbol]], SnapshotTable[[#This Row],[SP Strike Price]],SnapshotTable[[#This Row],[SP Exp Date]],1), "")</f>
        <v/>
      </c>
      <c r="GO117" s="30" t="str">
        <f>IF(LEN(SnapshotTable[[#This Row],[SP Symbol]])&gt;0, 1, "")</f>
        <v/>
      </c>
      <c r="GP117" s="159" t="str">
        <f>IF(AND(SnapshotTable[[#This Row],[LC Exp Date]]&gt;0,SnapshotTable[[#This Row],[LC Strike Price]]&gt;0), [1]!ToOptionSymbol(SnapshotTable[[#This Row],[Symbol]], SnapshotTable[[#This Row],[LC Strike Price]],SnapshotTable[[#This Row],[LC Exp Date]],0), "")</f>
        <v/>
      </c>
      <c r="GQ117" s="160" t="str">
        <f>IF(LEN(SnapshotTable[[#This Row],[LC Symbol]])&gt;0, 1, "")</f>
        <v/>
      </c>
      <c r="GR117" s="159" t="str">
        <f>IF(AND(SnapshotTable[[#This Row],[SC Exp Date]]&gt;0,SnapshotTable[[#This Row],[SC Strike Price]]&gt;0), [1]!ToOptionSymbol(SnapshotTable[[#This Row],[Symbol]], SnapshotTable[[#This Row],[SC Strike Price]],SnapshotTable[[#This Row],[SC Exp Date]],0), "")</f>
        <v/>
      </c>
      <c r="GS117" s="160" t="str">
        <f>IF(LEN(SnapshotTable[[#This Row],[SC Symbol]])&gt;0, 1, "")</f>
        <v/>
      </c>
      <c r="GT117" s="161" t="str">
        <f>IF(COUNT(SnapshotTable[[#This Row],[LP Symbol Count]],SnapshotTable[[#This Row],[SP Symbol Count]],SnapshotTable[[#This Row],[LC Symbol Count]],SnapshotTable[[#This Row],[SC Symbol Count]])&gt;0, "Y", "")</f>
        <v/>
      </c>
      <c r="GU11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7" s="231" t="e">
        <f>MAX(SnapshotTable[[#This Row],[Equity Basis Total]],SnapshotTable[[#This Row],[Equity Value]]) + (SnapshotTable[[#This Row],[SP Potential Spend]]- SnapshotTable[[#This Row],[SP Premium]] + SnapshotTable[[#This Row],[LP Premium]])+ (SnapshotTable[[#This Row],[LC Premium]] - SnapshotTable[[#This Row],[SC Premium]])</f>
        <v>#VALUE!</v>
      </c>
      <c r="GW117" s="139" t="e">
        <f>IF(AND(SnapshotTable[[#This Row],[Exposure]] &lt;&gt; 0),SnapshotTable[[#This Row],[Exposure]] / SnapshotTable[[#Totals],[Exposure]], "")</f>
        <v>#VALUE!</v>
      </c>
      <c r="HE117" s="268"/>
      <c r="HF117" s="268"/>
      <c r="HK117" s="1"/>
      <c r="HL117" s="1"/>
      <c r="HM117" s="1"/>
      <c r="HN117" s="1"/>
      <c r="HO117" s="1"/>
      <c r="HP117" s="1"/>
    </row>
    <row r="118" spans="2:224" ht="12.75" hidden="1" customHeight="1" x14ac:dyDescent="0.25">
      <c r="B118" s="12" t="s">
        <v>524</v>
      </c>
      <c r="C118" s="422">
        <v>607.33000000000004</v>
      </c>
      <c r="D118" s="208" t="s">
        <v>578</v>
      </c>
      <c r="E118" s="39">
        <f>SnapshotTable[[#This Row],[Last Price]]*(1 -CrashDiscount)</f>
        <v>516.23050000000001</v>
      </c>
      <c r="F118" s="26" t="s">
        <v>525</v>
      </c>
      <c r="G118" s="26" t="s">
        <v>20</v>
      </c>
      <c r="H118" s="149"/>
      <c r="I118" s="194">
        <v>44792.28125</v>
      </c>
      <c r="J118" s="195">
        <v>44792.28125</v>
      </c>
      <c r="K118" s="196" t="s">
        <v>3</v>
      </c>
      <c r="L118" s="326"/>
      <c r="M118" s="140"/>
      <c r="N118" s="140"/>
      <c r="O118" s="140"/>
      <c r="P118" s="22"/>
      <c r="Q118" s="25"/>
      <c r="R118" s="4" t="str">
        <f>IF(SnapshotTable[[#This Row],[Equity Basis Total]] &gt; 0, SnapshotTable[[#This Row],[Equity Basis Total]] / SnapshotTable[[#This Row],[Equity Shares]], "")</f>
        <v/>
      </c>
      <c r="S118" s="269">
        <f>SnapshotTable[[#This Row],[Last Price]] * SnapshotTable[[#This Row],[Equity Shares]]</f>
        <v>0</v>
      </c>
      <c r="T118" s="269">
        <f>SnapshotTable[[#This Row],[Equity Value]] - SnapshotTable[[#This Row],[Equity Basis Total]]</f>
        <v>0</v>
      </c>
      <c r="U118" s="270" t="str">
        <f>IF(SnapshotTable[[#This Row],[Equity Basis Total]] &gt; 0, SnapshotTable[[#This Row],[Equity G/L]] / SnapshotTable[[#This Row],[Equity Basis Total]], "")</f>
        <v/>
      </c>
      <c r="V118" s="268">
        <v>430</v>
      </c>
      <c r="W118" s="268">
        <v>406.95</v>
      </c>
      <c r="X118" s="4" t="str">
        <f>IF(AND(ISNUMBER(SnapshotTable[[#This Row],[Equity Basis Per Share]]),ISNUMBER(SnapshotTable[[#This Row],[Equity Target]])),SnapshotTable[[#This Row],[Equity Target]]-SnapshotTable[[#This Row],[Equity Basis Per Share]],"")</f>
        <v/>
      </c>
      <c r="Y118" s="4" t="str">
        <f>IF(AND(ISNUMBER(SnapshotTable[[#This Row],[Equity Basis Per Share]]),ISNUMBER(SnapshotTable[[#This Row],[Equity Stop Loss]])),SnapshotTable[[#This Row],[Equity Stop Loss]]-SnapshotTable[[#This Row],[Equity Basis Per Share]],"")</f>
        <v/>
      </c>
      <c r="Z118" s="275" t="str">
        <f>IFERROR( TEXT(SnapshotTable[[#This Row],[Equity Max Gain Per Share]] /ABS( SnapshotTable[[#This Row],[Equity Max Loss Per Share]]),"0.0 " ) &amp; " : 1", "")</f>
        <v/>
      </c>
      <c r="AA118" s="31" t="str">
        <f>IF(ISNUMBER(SnapshotTable[[#This Row],[Equity Max Gain Per Share]]),SnapshotTable[[#This Row],[Equity Max Gain Per Share]] * SnapshotTable[[#This Row],[Equity Shares]],"")</f>
        <v/>
      </c>
      <c r="AB118" s="31" t="str">
        <f>IF(ISNUMBER(SnapshotTable[[#This Row],[Equity Max Loss Per Share]]),SnapshotTable[[#This Row],[Equity Max Loss Per Share]] * SnapshotTable[[#This Row],[Equity Shares]],"")</f>
        <v/>
      </c>
      <c r="AC118" s="150"/>
      <c r="AD118" s="151"/>
      <c r="AE118" s="31">
        <f>(SnapshotTable[[#This Row],[Annual Dividend Per Share]] / 4) * SnapshotTable[[#This Row],[Equity Shares]]</f>
        <v>0</v>
      </c>
      <c r="AF118" s="31">
        <f>SnapshotTable[[#This Row],[Quarterly Div $]] * 4</f>
        <v>0</v>
      </c>
      <c r="AG118" s="7">
        <f>IF(SnapshotTable[[#This Row],[Annual Dividend Per Share]]&gt;0, SnapshotTable[[#This Row],[Annual Dividend Per Share]]  / SnapshotTable[[#This Row],[Last Price]], 0)</f>
        <v>0</v>
      </c>
      <c r="AH118" s="151"/>
      <c r="AI118" s="5"/>
      <c r="AJ118" s="138">
        <v>437.3</v>
      </c>
      <c r="AK118" s="152" t="str">
        <f>IF(ISNUMBER( SnapshotTable[[#This Row],[EBF Target]]),(SnapshotTable[[#This Row],[EBF Target]] - SnapshotTable[[#This Row],[Last Price]]) / SnapshotTable[[#This Row],[Last Price]], "")</f>
        <v/>
      </c>
      <c r="AL118" s="152" t="str">
        <f>IF(AND(SnapshotTable[[#This Row],[Equity Basis Total]] &gt; 0,ISNUMBER( SnapshotTable[[#This Row],[Long Term Target]])), SnapshotTable[[#This Row],[From Basis $]] / SnapshotTable[[#This Row],[Equity Basis Total]], "")</f>
        <v/>
      </c>
      <c r="AM118" s="9">
        <f>IF( AND(SnapshotTable[[#This Row],[Equity Shares]] &gt;0,ISNUMBER( SnapshotTable[[#This Row],[Long Term Target]])),(SnapshotTable[[#This Row],[Equity Shares]] * SnapshotTable[[#This Row],[Long Term Target]]) - SnapshotTable[[#This Row],[Equity Basis Total]],0)</f>
        <v>0</v>
      </c>
      <c r="AN118" s="9">
        <f>IF( AND(SnapshotTable[[#This Row],[Equity Shares]] &gt;0,ISNUMBER( SnapshotTable[[#This Row],[Long Term Target]])),(SnapshotTable[[#This Row],[Equity Shares]]*SnapshotTable[[#This Row],[Long Term Target]]) - SnapshotTable[[#This Row],[Equity Value]],0)</f>
        <v>0</v>
      </c>
      <c r="AO118" s="152">
        <f>IF(AND(ISNUMBER( SnapshotTable[[#This Row],[Long Term Target]]), ISNUMBER(SnapshotTable[[#This Row],[Last Price]])),(SnapshotTable[[#This Row],[Long Term Target]] - SnapshotTable[[#This Row],[Last Price]]) / SnapshotTable[[#This Row],[Last Price]], "")</f>
        <v>-0.27996311725091799</v>
      </c>
      <c r="AP118" s="5">
        <v>340</v>
      </c>
      <c r="AQ118" s="38" t="s">
        <v>27</v>
      </c>
      <c r="AR118" s="5">
        <v>340</v>
      </c>
      <c r="AS118" s="38" t="s">
        <v>38</v>
      </c>
      <c r="AT118" s="146" t="s">
        <v>542</v>
      </c>
      <c r="AU118" s="187" t="str">
        <f>IF(OR(SnapshotTable[[#This Row],[LP No Fill]]="Y",SnapshotTable[[#This Row],[SP Is Filled]],SnapshotTable[[#This Row],[LC Not Filled]]="Y",SnapshotTable[[#This Row],[SC Is Filled]]),"Y","")</f>
        <v/>
      </c>
      <c r="AV118" s="219"/>
      <c r="AW118" s="225"/>
      <c r="AX118" s="220"/>
      <c r="AY118" s="219" t="str">
        <f>IF(SnapshotTable[[#This Row],[Implied Move]]&gt;0, SnapshotTable[[#This Row],[Last Price]]-SnapshotTable[[#This Row],[Implied Move]],"")</f>
        <v/>
      </c>
      <c r="AZ118" s="219" t="str">
        <f>IF(SnapshotTable[[#This Row],[Implied Move]]&gt;0, SnapshotTable[[#This Row],[Last Price]] + SnapshotTable[[#This Row],[Implied Move]],"")</f>
        <v/>
      </c>
      <c r="BA118" s="331">
        <v>401.27</v>
      </c>
      <c r="BB118" s="347"/>
      <c r="BC11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8" s="351"/>
      <c r="BE118" s="5"/>
      <c r="BF118" s="14"/>
      <c r="BG118" s="13"/>
      <c r="BH118" s="13"/>
      <c r="BI118" s="5"/>
      <c r="BJ118" s="136">
        <f>IF(SnapshotTable[[#This Row],[LP Qty]] &gt; 0, SnapshotTable[[#This Row],[LP Qty]] * SnapshotTable[[#This Row],[LP Book Price]] * 100,0)</f>
        <v>0</v>
      </c>
      <c r="BK118" s="136">
        <f>IF(SnapshotTable[[#This Row],[LP Premium]] &gt; 0, SnapshotTable[[#This Row],[LP Qty]] * SnapshotTable[[#This Row],[LP Strike Price]] * 100,0)</f>
        <v>0</v>
      </c>
      <c r="BL118" s="154"/>
      <c r="BM118" s="385" t="str">
        <f>IF(SnapshotTable[[#This Row],[LP Premium]] &gt; 0,SnapshotTable[[#This Row],[LP Exp Date]]-MAX(SnapshotTable[[#This Row],[LP Book Date]], SnapshotTable[[#This Row],[LP Fill Date]]),"")</f>
        <v/>
      </c>
      <c r="BN118" s="385" t="str">
        <f>IF(ISNUMBER( SnapshotTable[[#This Row],[LP Term]]), SnapshotTable[[#This Row],[LP Exp Date]] - MockToday,"")</f>
        <v/>
      </c>
      <c r="BO118" s="163" t="str">
        <f>IF(AND(SnapshotTable[[#This Row],[LP Exp Date]]&gt;0, SnapshotTable[[#This Row],[LP Strike Price]]&gt;0,SnapshotTable[[#This Row],[LP Qty]]&gt;0,SnapshotTable[[#This Row],[LP Book Date]]&gt;0,SnapshotTable[[#This Row],[LP Book Price]]&gt;0,SnapshotTable[[#This Row],[LP Fill Date]]=0),"Y","")</f>
        <v/>
      </c>
      <c r="BP118" s="31" t="str">
        <f>IF(AND(SnapshotTable[[#This Row],[LP No Fill]]&lt;&gt;"Y",SnapshotTable[[#This Row],[LP Contract Value]]&gt;0, SnapshotTable[[#This Row],[LP Qty]]&gt;0), SnapshotTable[[#This Row],[LP Contract Value]]*SnapshotTable[[#This Row],[LP Qty]]*100,"")</f>
        <v/>
      </c>
      <c r="BQ118" s="13"/>
      <c r="BR118" s="5" t="str">
        <f>IF(SnapshotTable[[#This Row],[SP Exp Date]]&lt;&gt;"",TRUNC(SnapshotTable[[#This Row],[Last Price]]),"")</f>
        <v/>
      </c>
      <c r="BS118" s="36"/>
      <c r="BT118" s="147"/>
      <c r="BU118" s="13"/>
      <c r="BV118" s="5"/>
      <c r="BW118" s="419" t="b">
        <f>AND(ISNUMBER(SnapshotTable[[#This Row],[SP Exp Date]]), ISNUMBER(SnapshotTable[[#This Row],[SP Strike Price]]), ISNUMBER(SnapshotTable[[#This Row],[SP Qty]]), ISNUMBER(SnapshotTable[[#This Row],[SP Book Date]]), ISNUMBER(SnapshotTable[[#This Row],[SP Book Price]]))</f>
        <v>0</v>
      </c>
      <c r="BX118" s="419" t="b">
        <f>AND(SnapshotTable[[#This Row],[SP Is Booked]], NOT(ISBLANK(SnapshotTable[[#This Row],[SP Fill Date]])))</f>
        <v>0</v>
      </c>
      <c r="BY118" s="33">
        <f>IF(SnapshotTable[[#This Row],[SP Is Booked]], SnapshotTable[[#This Row],[SP Qty]] * SnapshotTable[[#This Row],[SP Book Price]] * 100, 0)</f>
        <v>0</v>
      </c>
      <c r="BZ118" s="369"/>
      <c r="CA118" s="368">
        <f>SnapshotTable[[#This Row],[LP Qty]]</f>
        <v>0</v>
      </c>
      <c r="CB118" s="4" t="str">
        <f>IF(SnapshotTable[[#This Row],[SP Is Booked]], SnapshotTable[[#This Row],[SP Strike Price]] - SnapshotTable[[#This Row],[SP Book Price]], "")</f>
        <v/>
      </c>
      <c r="CC118" s="19" t="str">
        <f>IF(SnapshotTable[[#This Row],[SP Is Booked]],SnapshotTable[[#This Row],[SP Exp Date]]-MAX(SnapshotTable[[#This Row],[SP Book Date]], SnapshotTable[[#This Row],[SP Fill Date]]),"")</f>
        <v/>
      </c>
      <c r="CD118" s="7" t="str">
        <f>IF(SnapshotTable[[#This Row],[SP Is Booked]], SnapshotTable[[#This Row],[SP Book Price]]/SnapshotTable[[#This Row],[SP Strike Price]], "")</f>
        <v/>
      </c>
      <c r="CE118" s="7" t="str">
        <f>IF(ISNUMBER(SnapshotTable[[#This Row],[SP ROO Term]]),SnapshotTable[[#This Row],[SP ROO Term]]*(365/SnapshotTable[[#This Row],[SP Term]]),"")</f>
        <v/>
      </c>
      <c r="CF118" s="236">
        <f>SnapshotTable[[#This Row],[LP Strike Price]] * SnapshotTable[[#This Row],[LP Qty]] * 100</f>
        <v>0</v>
      </c>
      <c r="CG118" s="31" t="e">
        <f>IF(ISNUMBER(SnapshotTable[[#This Row],[SP Premium]]), (SnapshotTable[[#This Row],[SP Qty]] * SnapshotTable[[#This Row],[SP Strike Price]]* 100) - SnapshotTable[[#This Row],[LP Protection]], 0)</f>
        <v>#VALUE!</v>
      </c>
      <c r="CH118" s="7" t="str">
        <f>IF(ISNUMBER(SnapshotTable[[#This Row],[SP Break Even]]),-1 * (SnapshotTable[[#This Row],[SP Break Even]] - SnapshotTable[[#This Row],[Last Price]]) / SnapshotTable[[#This Row],[Last Price]], "")</f>
        <v/>
      </c>
      <c r="CI118" s="31">
        <f>IF(AND(ISNUMBER((SnapshotTable[[#This Row],[SP Potential Spend]])), SnapshotTable[[#This Row],[SP Strike Price]] &gt; SnapshotTable[[#This Row],[Last Price]], SnapshotTable[[#This Row],[SP Is Filled]]), SnapshotTable[[#This Row],[SP Potential Spend]] -  SnapshotTable[[#This Row],[LP Max Value]], 0)</f>
        <v>0</v>
      </c>
      <c r="CJ118" s="244"/>
      <c r="CK118" s="31" t="str">
        <f>IF(ISNUMBER(SnapshotTable[[#This Row],[SP Potential Spend]]),IF(ISNUMBER(SnapshotTable[[#This Row],[SP POW]]), SnapshotTable[[#This Row],[SP POW]] * SnapshotTable[[#This Row],[SP Potential Spend]], SnapshotTable[[#This Row],[SP Potential Spend]]), "")</f>
        <v/>
      </c>
      <c r="CL118" s="164" t="e">
        <f>IF(NOT(SnapshotTable[[#This Row],[SP Is Filled]]),(SnapshotTable[[#This Row],[SP Qty]] * SnapshotTable[[#This Row],[SP Strike Price]] * 100) - SnapshotTable[[#This Row],[LP Max Value]],"")</f>
        <v>#VALUE!</v>
      </c>
      <c r="CM118" s="31" t="str">
        <f>IF(SnapshotTable[[#This Row],[SP Actual Spend]]&lt;&gt;0, ((SnapshotTable[[#This Row],[SP Strike Price]]-SnapshotTable[[#This Row],[Last Price]]) *(SnapshotTable[[#This Row],[SP Qty]]*100) - SnapshotTable[[#This Row],[SP Premium]]) * - 1, "")</f>
        <v/>
      </c>
      <c r="CN118" s="78"/>
      <c r="CO118" s="369"/>
      <c r="CP118" s="4" t="str">
        <f>IF(SnapshotTable[[#This Row],[SP Is Filled]], btc_max_buyback_amount(SnapshotTable[[#This Row],[SP Fill Date]],SnapshotTable[[#This Row],[SP Exp Date]], SnapshotTable[[#This Row],[SP Book Price]]),"")</f>
        <v/>
      </c>
      <c r="CQ118" s="78"/>
      <c r="CR11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8" s="155" t="str">
        <f>IF(SnapshotTable[[#This Row],[SP Is Filled]], btc_next_cutoff_date(SnapshotTable[[#This Row],[SP Fill Date]],SnapshotTable[[#This Row],[SP Exp Date]]),"")</f>
        <v/>
      </c>
      <c r="CT118" s="235" t="str" cm="1">
        <f t="array" ref="CT118">IF(SnapshotTable[[#This Row],[SP Is Filled]], btc_should_buy_back(SnapshotTable[[#This Row],[SP Fill Date]], SnapshotTable[[#This Row],[SP Exp Date]], SnapshotTable[[#This Row],[SP Book Price]], SnapshotTable[[#This Row],[SP Current Ask]], MockToday, SnapshotTable[[#This Row],[SP Buyback Override]]),"")</f>
        <v/>
      </c>
      <c r="CU118" s="143"/>
      <c r="CV118" s="235"/>
      <c r="CW118" s="378" t="str">
        <f>IF(ISNUMBER( SnapshotTable[[#This Row],[SP Term]]), SnapshotTable[[#This Row],[SP Exp Date]] - MockToday,"")</f>
        <v/>
      </c>
      <c r="CX118" s="31" t="str">
        <f>IF(SnapshotTable[[#This Row],[SP Is Filled]],SnapshotTable[[#This Row],[SP Buyback Price to Use]] * 100 * SnapshotTable[[#This Row],[SP Qty]], "")</f>
        <v/>
      </c>
      <c r="CY118" s="4" t="str">
        <f>IF(ISNUMBER(SnapshotTable[[#This Row],[SP Strike Price]]), SnapshotTable[[#This Row],[SP Strike Price]] * (1 - SP_MaxLoss_StrikePct), "")</f>
        <v/>
      </c>
      <c r="CZ118" s="31" t="str">
        <f>IF(ISNUMBER(SnapshotTable[[#This Row],[SP Strike  Stop Per Share]]),SnapshotTable[[#This Row],[SP Premium]] - ((SnapshotTable[[#This Row],[SP Strike Price]]-SnapshotTable[[#This Row],[SP Strike  Stop Per Share]]) *(SnapshotTable[[#This Row],[SP Qty]] * 100)),"")</f>
        <v/>
      </c>
      <c r="DA118" s="4" t="str">
        <f>IF(AND(ISNUMBER(SnapshotTable[[#This Row],[SP Premium]]),SnapshotTable[[#This Row],[SP Premium]]&gt;0), SnapshotTable[[#This Row],[SP Book Price]] * (1 + SP_MaxLoss_OptionPct), "")</f>
        <v/>
      </c>
      <c r="DB118" s="31" t="str">
        <f>IF(ISNUMBER(SnapshotTable[[#This Row],[SP Option  Stop Contract]]),(SnapshotTable[[#This Row],[SP Option  Stop Contract]] *(SnapshotTable[[#This Row],[SP Qty]] * 100) - SnapshotTable[[#This Row],[SP Premium]]),"")</f>
        <v/>
      </c>
      <c r="DC118" s="4"/>
      <c r="DD118" s="4"/>
      <c r="DE118" s="4" t="str">
        <f>IF(AND(SnapshotTable[[#This Row],[SP Qty]]&gt;0, SnapshotTable[[#This Row],[SP Stop To Use]]&gt;0),SnapshotTable[[#This Row],[SP Premium]] - ( SnapshotTable[[#This Row],[SP Qty]] * SnapshotTable[[#This Row],[SP Stop To Use]] * 100), "")</f>
        <v/>
      </c>
      <c r="DF118" s="31" t="str">
        <f>IF(AND(SnapshotTable[[#This Row],[SP Qty]]&gt;0,SnapshotTable[[#This Row],[SP Current Ask]]&gt;0), SnapshotTable[[#This Row],[SP Qty]] * SnapshotTable[[#This Row],[SP Current Ask]] * -100, "")</f>
        <v/>
      </c>
      <c r="DG118" s="31" t="str">
        <f>IF(ISNUMBER((SnapshotTable[[#This Row],[SP Total Value]])), SnapshotTable[[#This Row],[SP Premium]] + SnapshotTable[[#This Row],[SP Total Value]], "")</f>
        <v/>
      </c>
      <c r="DH118" s="294" t="str">
        <f>IF(ISNUMBER((SnapshotTable[[#This Row],[SP Total Value]])), SnapshotTable[[#This Row],[SP Gain Loss]] / SnapshotTable[[#This Row],[SP Premium]], "")</f>
        <v/>
      </c>
      <c r="DI118" s="406"/>
      <c r="DJ118" s="138"/>
      <c r="DK118" s="148"/>
      <c r="DL118" s="13"/>
      <c r="DM118" s="13"/>
      <c r="DO118" s="31">
        <f>IF(SnapshotTable[[#This Row],[LC Symbol Count]]=1, SnapshotTable[[#This Row],[LC Qty]] * SnapshotTable[[#This Row],[LC Book Price]] * 100, 0)</f>
        <v>0</v>
      </c>
      <c r="DP118" s="163" t="str">
        <f>IF(AND(SnapshotTable[[#This Row],[LC Exp Date]]&gt;0, SnapshotTable[[#This Row],[LC Strike Price]]&gt;0,SnapshotTable[[#This Row],[LC Qty]]&gt;0,SnapshotTable[[#This Row],[LC Book Date]]&gt;0,SnapshotTable[[#This Row],[LC Book Price]]&gt;0,SnapshotTable[[#This Row],[LC Fill Date]]=0),"Y","")</f>
        <v/>
      </c>
      <c r="DQ118" s="386" t="str">
        <f>IF(SnapshotTable[[#This Row],[LC Premium]] &gt; 0,SnapshotTable[[#This Row],[LC Exp Date]]-MAX(SnapshotTable[[#This Row],[LC Book Date]], SnapshotTable[[#This Row],[LC Fill Date]]),"")</f>
        <v/>
      </c>
      <c r="DR118" s="386" t="str">
        <f>IF(ISNUMBER(SnapshotTable[[#This Row],[LC Term]]), SnapshotTable[[#This Row],[LC Exp Date]] - MockToday, "")</f>
        <v/>
      </c>
      <c r="DS118" s="234" t="str">
        <f>IF(SnapshotTable[[#This Row],[LC Premium]]&gt;0,SnapshotTable[[#This Row],[LC Strike Price]] + SnapshotTable[[#This Row],[LC Book Price]],"")</f>
        <v/>
      </c>
      <c r="DU118" s="9" t="str">
        <f>IF(AND(SnapshotTable[[#This Row],[LC Symbol Count]]&gt;0, SnapshotTable[[#This Row],[LC Contract Value]]&gt;0), SnapshotTable[[#This Row],[LC Contract Value]] * SnapshotTable[[#This Row],[LC Qty]] * 100, "")</f>
        <v/>
      </c>
      <c r="DV118" s="9" t="str">
        <f>IF(AND(ISNUMBER(SnapshotTable[[#This Row],[LC Total Value]]), SnapshotTable[[#This Row],[LC Not Filled]]&lt;&gt;"Y"), SnapshotTable[[#This Row],[LC Total Value]]-SnapshotTable[[#This Row],[LC Premium]],"")</f>
        <v/>
      </c>
      <c r="DW118" s="240" t="str">
        <f>IF(ISNUMBER(SnapshotTable[[#This Row],[LC Actual Gain Loss]]), SnapshotTable[[#This Row],[LC Actual Gain Loss]] / SnapshotTable[[#This Row],[LC Premium]],"")</f>
        <v/>
      </c>
      <c r="DX118" s="284" t="str">
        <f>IF(ISNUMBER(SnapshotTable[[#This Row],[LC Book Price]]),SnapshotTable[[#This Row],[LC Book Price]] * 1.5,"")</f>
        <v/>
      </c>
      <c r="DY118" s="265" t="str">
        <f>IF(SnapshotTable[[#This Row],[LC Premium]]&gt;0, SnapshotTable[[#This Row],[LC Next Target]] * SnapshotTable[[#This Row],[LC Qty]] * 100,"")</f>
        <v/>
      </c>
      <c r="DZ118" s="265" t="str">
        <f>IF(ISNUMBER(SnapshotTable[[#This Row],[LC Target Gross]]), SnapshotTable[[#This Row],[LC Target Gross]] - SnapshotTable[[#This Row],[LC Premium]], "")</f>
        <v/>
      </c>
      <c r="EA118" s="305" t="str">
        <f>IF(ISNUMBER(SnapshotTable[[#This Row],[LC Target Gain Loss]]), SnapshotTable[[#This Row],[LC Target Gain Loss]]/SnapshotTable[[#This Row],[LC Premium]], "")</f>
        <v/>
      </c>
      <c r="EB118" s="262"/>
      <c r="EC118" s="283" t="str">
        <f>IF(SnapshotTable[[#This Row],[LC Premium]]&gt;0, SnapshotTable[[#This Row],[LC Book Price]] * (1 - LC_StopLoss_Pct),"")</f>
        <v/>
      </c>
      <c r="ED118" s="284"/>
      <c r="EE118" s="283" t="str">
        <f>IF(ISNUMBER(SnapshotTable[[#This Row],[LC Contract Value]]),IF(ISNUMBER(SnapshotTable[[#This Row],[LC Stop Loss Override]]), SnapshotTable[[#This Row],[LC Stop Loss Override]],SnapshotTable[[#This Row],[LC Stop Loss Calc Target]]),"")</f>
        <v/>
      </c>
      <c r="EF118" s="31" t="str">
        <f>IF(ISNUMBER(SnapshotTable[[#This Row],[LC Stop  To Use]]), (SnapshotTable[[#This Row],[LC Stop  To Use]] * SnapshotTable[[#This Row],[LC Qty]] * 100),"")</f>
        <v/>
      </c>
      <c r="EG118" s="9" t="str">
        <f>IF(ISNUMBER(SnapshotTable[[#This Row],[LC Total Value]]),SnapshotTable[[#This Row],[LC Stop Loss Amount]] - SnapshotTable[[#This Row],[LC Premium]],"")</f>
        <v/>
      </c>
      <c r="EH118" s="9">
        <f>IF(ISNUMBER(SnapshotTable[[#This Row],[LC Premium]]), SnapshotTable[[#This Row],[LC Qty]] * 100 * SnapshotTable[[#This Row],[LC Strike Price]], "")</f>
        <v>0</v>
      </c>
      <c r="EI118" s="240" t="str">
        <f>IF(AND(ISNUMBER(SnapshotTable[[#This Row],[LC Total Value]]),SnapshotTable[[#This Row],[LC Total Value]]&gt;0),SnapshotTable[[#This Row],[LC Stop Gain Loss]]  / SnapshotTable[[#This Row],[LC Premium]],"")</f>
        <v/>
      </c>
      <c r="EJ118" s="35">
        <f>IF(ISNUMBER(SnapshotTable[[#This Row],[Equity Shares]]),TRUNC(SnapshotTable[[#This Row],[Equity Shares]] / 100),0) + SnapshotTable[[#This Row],[LC Qty]]</f>
        <v>0</v>
      </c>
      <c r="EK118" s="147"/>
      <c r="EL118" s="138" t="str">
        <f>IF(SnapshotTable[[#This Row],[SC Exp Date]]&lt;&gt;"",TRUNC(SnapshotTable[[#This Row],[Last Price]]),"")</f>
        <v/>
      </c>
      <c r="EM118" s="148"/>
      <c r="EN118" s="147"/>
      <c r="EO118" s="147"/>
      <c r="EP118" s="138"/>
      <c r="EQ118" s="419" t="b">
        <f>AND(ISNUMBER(SnapshotTable[[#This Row],[SC Exp Date]]), ISNUMBER(SnapshotTable[[#This Row],[SC Strike Price]]), ISNUMBER(SnapshotTable[[#This Row],[SC Qty]]), ISNUMBER(SnapshotTable[[#This Row],[SC Book Date]]), ISNUMBER(SnapshotTable[[#This Row],[SC Book Price]]))</f>
        <v>0</v>
      </c>
      <c r="ER118" s="419" t="b">
        <f>AND(SnapshotTable[[#This Row],[SC Is Booked]], NOT(ISBLANK(SnapshotTable[[#This Row],[SC Fill Date]])))</f>
        <v>0</v>
      </c>
      <c r="ES118" s="370"/>
      <c r="ET118" s="34" t="str">
        <f>IF(AND(ISNUMBER(SnapshotTable[[#This Row],[SC Exp Date]]), ISNUMBER(SnapshotTable[[#This Row],[SC Book Date]])), SnapshotTable[[#This Row],[SC Exp Date]] - MAX(SnapshotTable[[#This Row],[SC Book Date]], SnapshotTable[[#This Row],[SC Fill Date]]) + 1, "")</f>
        <v/>
      </c>
      <c r="EU118" s="34" t="str">
        <f>IF(ISNUMBER(SnapshotTable[[#This Row],[SC Term]]), SnapshotTable[[#This Row],[SC Exp Date]]- MockToday, "")</f>
        <v/>
      </c>
      <c r="EV118" s="31">
        <f>IF(SnapshotTable[[#This Row],[SC Is Booked]], SnapshotTable[[#This Row],[SC Qty]] * SnapshotTable[[#This Row],[SC Book Price]] * 100, 0)</f>
        <v>0</v>
      </c>
      <c r="EW118" s="4" t="str">
        <f>IF(AND(ISNUMBER(SnapshotTable[[#This Row],[Last Price]]), ISNUMBER( SnapshotTable[[#This Row],[SC Book Price]])), SnapshotTable[[#This Row],[Last Price]] - SnapshotTable[[#This Row],[SC Book Price]],"")</f>
        <v/>
      </c>
      <c r="EX118" s="234" t="str">
        <f>IF(SnapshotTable[[#This Row],[SC Is Booked]],IF(SnapshotTable[[#This Row],[SC Intrinsic Value]] &gt; 0, SnapshotTable[[#This Row],[SC Strike Price]], SnapshotTable[[#This Row],[Last Price]]), "")</f>
        <v/>
      </c>
      <c r="EY118" s="4">
        <f>IF(SnapshotTable[[#This Row],[SC Is Booked]], (MinimumPremiumRequired * SnapshotTable[[#This Row],[SC Basis]] * SnapshotTable[[#This Row],[SC Term]]), 0)</f>
        <v>0</v>
      </c>
      <c r="EZ118" s="283"/>
      <c r="FA118" s="218"/>
      <c r="FB118" s="370"/>
      <c r="FC118" s="4">
        <f>IF(SnapshotTable[[#This Row],[SC Is Filled]], btc_max_buyback_amount(SnapshotTable[[#This Row],[SC Fill Date]],SnapshotTable[[#This Row],[SC Exp Date]], SnapshotTable[[#This Row],[SC Book Price]]),0)</f>
        <v>0</v>
      </c>
      <c r="FD118" s="5"/>
      <c r="FE118" s="144" t="str">
        <f>IF(SnapshotTable[[#This Row],[SC Is Filled]], btc_next_cutoff_date(SnapshotTable[[#This Row],[SC Fill Date]],SnapshotTable[[#This Row],[SC Exp Date]]),"")</f>
        <v/>
      </c>
      <c r="FF118" s="4" t="str" cm="1">
        <f t="array" ref="FF118">IF(SnapshotTable[[#This Row],[SC Is Filled]], btc_should_buy_back(SnapshotTable[[#This Row],[SC Fill Date]], SnapshotTable[[#This Row],[SC Exp Date]], SnapshotTable[[#This Row],[SC Book Price]], SnapshotTable[[#This Row],[SC Current Ask]], MockToday, SnapshotTable[[#This Row],[SC Buyback Override]]),"")</f>
        <v/>
      </c>
      <c r="FG118" s="4">
        <f>IF(SnapshotTable[[#This Row],[SC Is Filled]], MAX(0,SnapshotTable[[#This Row],[Last Price]]  - SnapshotTable[[#This Row],[SC Strike Price]]), 0)</f>
        <v>0</v>
      </c>
      <c r="FH118" s="382">
        <f>IF(SnapshotTable[[#This Row],[SC Is Filled]], IF(ISNUMBER(SnapshotTable[[#This Row],[SC Current Ask]]), SnapshotTable[[#This Row],[SC Current Ask]], SnapshotTable[[#This Row],[SC Book Price]]) - SnapshotTable[[#This Row],[SC Intrinsic Value]], 0)</f>
        <v>0</v>
      </c>
      <c r="FI118" s="143"/>
      <c r="FJ118" s="32" t="str">
        <f>IF(SnapshotTable[[#This Row],[SC Is Filled]],100 * SnapshotTable[[#This Row],[SC Qty]] * IF(ISNUMBER(SnapshotTable[[#This Row],[SC Buyback Override]]), SnapshotTable[[#This Row],[SC Buyback Override]], SnapshotTable[[#This Row],[SC Current Ask]]), "")</f>
        <v/>
      </c>
      <c r="FK118" s="250" t="str">
        <f>IF(SnapshotTable[[#This Row],[SC Time Val]]&gt;0, SnapshotTable[[#This Row],[SC Time Val]] / SnapshotTable[[#This Row],[Last Price]],"")</f>
        <v/>
      </c>
      <c r="FL118" s="302" t="str">
        <f>IF(SnapshotTable[[#This Row],[SC Is Booked]], ((SnapshotTable[[#This Row],[Last Price]] -SnapshotTable[[#This Row],[SC Strike Price]]) / SnapshotTable[[#This Row],[Last Price]]) * -1, "")</f>
        <v/>
      </c>
      <c r="FM118" s="157" t="str">
        <f>IF(SnapshotTable[[#This Row],[SC Is Booked]],  (SnapshotTable[[#This Row],[SC Qty]] * 100 * SnapshotTable[[#This Row],[SC Strike Price]]) - SnapshotTable[[#This Row],[SC Current Ask]], "")</f>
        <v/>
      </c>
      <c r="FN11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8" s="31" t="str">
        <f>IF(AND(ISNUMBER(SnapshotTable[[#This Row],[SC Exercise Gross]]), ISNUMBER(SnapshotTable[[#This Row],[Equity Basis Per Share]] )), SnapshotTable[[#This Row],[SC Exercise Gross]] - SnapshotTable[[#This Row],[Equity Basis Total]] +  SnapshotTable[[#This Row],[SC Premium]], "")</f>
        <v/>
      </c>
      <c r="FP118" s="5" t="str">
        <f>IF(ISNUMBER(SnapshotTable[[#This Row],[SC Exercise Gross]]), (SnapshotTable[[#This Row],[SC Exercise Gross]]) / (SnapshotTable[[#This Row],[SC Qty]] * 100), "")</f>
        <v/>
      </c>
      <c r="FQ118" s="27" t="str">
        <f>IF(SnapshotTable[[#This Row],[SC Is Booked]],SnapshotTable[[#This Row],[SC Time Val]] /SnapshotTable[[#This Row],[SC Basis]], "")</f>
        <v/>
      </c>
      <c r="FR118" s="27" t="str" cm="1">
        <f t="array" ref="FR118">IF(AND(ISNUMBER(SnapshotTable[[#This Row],[SC Term]]),ISNUMBER(SnapshotTable[[#This Row],[SC Simple ROO]])), EllmanAnnualize(SnapshotTable[[#This Row],[SC DTE]], SnapshotTable[[#This Row],[SC Simple ROO]] ),"")</f>
        <v/>
      </c>
      <c r="FS118" s="4" t="e">
        <f>IF(SnapshotTable[[#This Row],[SC Strike Price]] &gt; SnapshotTable[[#This Row],[Last Price]], SnapshotTable[[#This Row],[SC Strike Price]] - SnapshotTable[[#This Row],[Last Price]],0)</f>
        <v>#VALUE!</v>
      </c>
      <c r="FT118" s="27" t="e">
        <f>IF(AND(ISNUMBER(SnapshotTable[[#This Row],[SC Upside Potential]]), SnapshotTable[[#This Row],[SC Upside Potential]] &gt; 0),(SnapshotTable[[#This Row],[SC Upside Potential]]/ SnapshotTable[[#This Row],[ACB]]),"")</f>
        <v>#VALUE!</v>
      </c>
      <c r="FU118" s="333" t="str">
        <f>IF(SnapshotTable[[#This Row],[SC Intrinsic Value]] &gt; 0,SnapshotTable[[#This Row],[SC Intrinsic Value]],"")</f>
        <v/>
      </c>
      <c r="FV118" s="27" t="str">
        <f>IF(AND( ISNUMBER( SnapshotTable[[#This Row],[ACB]]),ISNUMBER(SnapshotTable[[#This Row],[SC Downside Protect]])),SnapshotTable[[#This Row],[SC Downside Protect]] / SnapshotTable[[#This Row],[ACB]],"")</f>
        <v/>
      </c>
      <c r="FW118" s="236" t="str">
        <f>IF(AND(ISNUMBER(SnapshotTable[[#This Row],[SC Simple ROO]]),SnapshotTable[[#This Row],[SC Simple ROO]] &gt; 0), SnapshotTable[[#This Row],[SC Premium]] + (SnapshotTable[[#This Row],[SC Qty]] * SnapshotTable[[#This Row],[SC Upside Potential]]), "")</f>
        <v/>
      </c>
      <c r="FX118" s="302" t="str" cm="1">
        <f t="array" ref="FX118">IF(ISNUMBER(SnapshotTable[[#This Row],[SC Max Dollars]]), annualize(SnapshotTable[[#This Row],[SC Term]],(SnapshotTable[[#This Row],[SC Max Dollars]]/SnapshotTable[[#This Row],[SC Basis]])),"")</f>
        <v/>
      </c>
      <c r="FY118" s="236" t="str">
        <f>IF(AND(SnapshotTable[[#This Row],[SC Qty]]&gt;0,SnapshotTable[[#This Row],[SC Current Ask]]&gt;0), SnapshotTable[[#This Row],[SC Qty]] * SnapshotTable[[#This Row],[SC Current Ask]] * -100, "")</f>
        <v/>
      </c>
      <c r="FZ118" s="31" t="str">
        <f>IF(ISNUMBER((SnapshotTable[[#This Row],[SC Current Value]])), SnapshotTable[[#This Row],[SC Premium]] + SnapshotTable[[#This Row],[SC Current Value]], "")</f>
        <v/>
      </c>
      <c r="GA118" s="294" t="str">
        <f>IFERROR( IF(ISNUMBER((SnapshotTable[[#This Row],[SC Current Value]])), SnapshotTable[[#This Row],[SC Gain Loss]] / SnapshotTable[[#This Row],[SC Premium]], ""), "")</f>
        <v/>
      </c>
      <c r="GB118" s="42">
        <f>SnapshotTable[[#This Row],[Equity Shares]] * SaleSharesToConsiderPercentage</f>
        <v>0</v>
      </c>
      <c r="GC118" s="40">
        <f>SnapshotTable[[#This Row],[Long Term Target]] * SellingPriceToConsiderBasedOnTargetPercentage</f>
        <v>415.435</v>
      </c>
      <c r="GD118" s="40">
        <f>SnapshotTable[[#This Row],[Last Price]] * (1+ SellingPriceToConsiderBasedOnTargetPercentage)</f>
        <v>1184.2935</v>
      </c>
      <c r="GE118" s="41"/>
      <c r="GF118" s="40"/>
      <c r="GG118" s="31">
        <f>SnapshotTable[[#This Row],[Booked Sale Shares]] * SnapshotTable[[#This Row],[Booked Sale Price]]</f>
        <v>0</v>
      </c>
      <c r="GH118" s="31" t="str">
        <f>IF(SnapshotTable[[#This Row],[Equity Basis Total]] &gt; 0, SnapshotTable[[#This Row],[Equity Basis Per Share]] * SnapshotTable[[#This Row],[Booked Sale Shares]], "")</f>
        <v/>
      </c>
      <c r="GI118" s="31">
        <f>IF(SnapshotTable[[#This Row],[Sale Proceeds]]&gt;0, SnapshotTable[[#This Row],[Sale Proceeds]] - SnapshotTable[[#This Row],[Sale Basis]], 0)</f>
        <v>0</v>
      </c>
      <c r="GJ118" s="27" t="str">
        <f>IF(SnapshotTable[[#This Row],[Sale G/L]]&gt;0, SnapshotTable[[#This Row],[Sale G/L]] / SnapshotTable[[#This Row],[Sale Basis]], IF(ISNUMBER(SnapshotTable[[#This Row],[SC Exercise P&amp;L (TAX)]]), SnapshotTable[[#This Row],[SC Exercise P&amp;L (TAX)]] / SnapshotTable[[#This Row],[SC Basis]], ""))</f>
        <v/>
      </c>
      <c r="GK118" s="27" t="s">
        <v>680</v>
      </c>
      <c r="GL118" s="43" t="str">
        <f>IF(AND(SnapshotTable[[#This Row],[LP Exp Date]]&gt;0,SnapshotTable[[#This Row],[LP Strike Price]]&gt;0), [1]!ToOptionSymbol(SnapshotTable[[#This Row],[Symbol]], SnapshotTable[[#This Row],[LP Strike Price]],SnapshotTable[[#This Row],[LP Exp Date]],1), "")</f>
        <v/>
      </c>
      <c r="GM118" s="30" t="str">
        <f>IF(LEN(SnapshotTable[[#This Row],[LP Symbol]])&gt;0, 1, "")</f>
        <v/>
      </c>
      <c r="GN118" s="43" t="str">
        <f>IF(AND(SnapshotTable[[#This Row],[SP Exp Date]]&gt;0,SnapshotTable[[#This Row],[SP Strike Price]]&gt;0), [1]!ToOptionSymbol(SnapshotTable[[#This Row],[Symbol]], SnapshotTable[[#This Row],[SP Strike Price]],SnapshotTable[[#This Row],[SP Exp Date]],1), "")</f>
        <v/>
      </c>
      <c r="GO118" s="30" t="str">
        <f>IF(LEN(SnapshotTable[[#This Row],[SP Symbol]])&gt;0, 1, "")</f>
        <v/>
      </c>
      <c r="GP118" s="43" t="str">
        <f>IF(AND(SnapshotTable[[#This Row],[LC Exp Date]]&gt;0,SnapshotTable[[#This Row],[LC Strike Price]]&gt;0), [1]!ToOptionSymbol(SnapshotTable[[#This Row],[Symbol]], SnapshotTable[[#This Row],[LC Strike Price]],SnapshotTable[[#This Row],[LC Exp Date]],0), "")</f>
        <v/>
      </c>
      <c r="GQ118" s="30" t="str">
        <f>IF(LEN(SnapshotTable[[#This Row],[LC Symbol]])&gt;0, 1, "")</f>
        <v/>
      </c>
      <c r="GR118" s="43" t="str">
        <f>IF(AND(SnapshotTable[[#This Row],[SC Exp Date]]&gt;0,SnapshotTable[[#This Row],[SC Strike Price]]&gt;0), [1]!ToOptionSymbol(SnapshotTable[[#This Row],[Symbol]], SnapshotTable[[#This Row],[SC Strike Price]],SnapshotTable[[#This Row],[SC Exp Date]],0), "")</f>
        <v/>
      </c>
      <c r="GS118" s="30" t="str">
        <f>IF(LEN(SnapshotTable[[#This Row],[SC Symbol]])&gt;0, 1, "")</f>
        <v/>
      </c>
      <c r="GT118" s="29" t="str">
        <f>IF(COUNT(SnapshotTable[[#This Row],[LP Symbol Count]],SnapshotTable[[#This Row],[SP Symbol Count]],SnapshotTable[[#This Row],[LC Symbol Count]],SnapshotTable[[#This Row],[SC Symbol Count]])&gt;0, "Y", "")</f>
        <v/>
      </c>
      <c r="GU11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8" s="231" t="e">
        <f>MAX(SnapshotTable[[#This Row],[Equity Basis Total]],SnapshotTable[[#This Row],[Equity Value]]) + (SnapshotTable[[#This Row],[SP Potential Spend]]- SnapshotTable[[#This Row],[SP Premium]] + SnapshotTable[[#This Row],[LP Premium]])+ (SnapshotTable[[#This Row],[LC Premium]] - SnapshotTable[[#This Row],[SC Premium]])</f>
        <v>#VALUE!</v>
      </c>
      <c r="GW118" s="139" t="e">
        <f>IF(AND(SnapshotTable[[#This Row],[Exposure]] &lt;&gt; 0),SnapshotTable[[#This Row],[Exposure]] / SnapshotTable[[#Totals],[Exposure]], "")</f>
        <v>#VALUE!</v>
      </c>
      <c r="HE118" s="268"/>
      <c r="HF118" s="268"/>
      <c r="HK118" s="1"/>
      <c r="HL118" s="1"/>
      <c r="HM118" s="1"/>
      <c r="HN118" s="1"/>
      <c r="HO118" s="1"/>
      <c r="HP118" s="1"/>
    </row>
    <row r="119" spans="2:224" ht="12.75" hidden="1" customHeight="1" x14ac:dyDescent="0.25">
      <c r="B119" s="12" t="s">
        <v>1216</v>
      </c>
      <c r="C119" s="422">
        <v>102.47</v>
      </c>
      <c r="D119" s="208"/>
      <c r="E119" s="39">
        <f>SnapshotTable[[#This Row],[Last Price]]*(1 -CrashDiscount)</f>
        <v>87.099499999999992</v>
      </c>
      <c r="F119" s="26" t="s">
        <v>610</v>
      </c>
      <c r="G119" s="325" t="s">
        <v>1077</v>
      </c>
      <c r="H119" s="149"/>
      <c r="I119" s="194"/>
      <c r="J119" s="195"/>
      <c r="K119" s="196"/>
      <c r="L119" s="326"/>
      <c r="M119" s="140"/>
      <c r="N119" s="140"/>
      <c r="O119" s="140"/>
      <c r="P119" s="22"/>
      <c r="Q119" s="25"/>
      <c r="R119" s="4" t="str">
        <f>IF(SnapshotTable[[#This Row],[Equity Basis Total]] &gt; 0, SnapshotTable[[#This Row],[Equity Basis Total]] / SnapshotTable[[#This Row],[Equity Shares]], "")</f>
        <v/>
      </c>
      <c r="S119" s="269">
        <f>SnapshotTable[[#This Row],[Last Price]] * SnapshotTable[[#This Row],[Equity Shares]]</f>
        <v>0</v>
      </c>
      <c r="T119" s="269">
        <f>SnapshotTable[[#This Row],[Equity Value]] - SnapshotTable[[#This Row],[Equity Basis Total]]</f>
        <v>0</v>
      </c>
      <c r="U119" s="270" t="str">
        <f>IF(SnapshotTable[[#This Row],[Equity Basis Total]] &gt; 0, SnapshotTable[[#This Row],[Equity G/L]] / SnapshotTable[[#This Row],[Equity Basis Total]], "")</f>
        <v/>
      </c>
      <c r="V119" s="268"/>
      <c r="W119" s="268"/>
      <c r="X119" s="4" t="str">
        <f>IF(AND(ISNUMBER(SnapshotTable[[#This Row],[Equity Basis Per Share]]),ISNUMBER(SnapshotTable[[#This Row],[Equity Target]])),SnapshotTable[[#This Row],[Equity Target]]-SnapshotTable[[#This Row],[Equity Basis Per Share]],"")</f>
        <v/>
      </c>
      <c r="Y119" s="4" t="str">
        <f>IF(AND(ISNUMBER(SnapshotTable[[#This Row],[Equity Basis Per Share]]),ISNUMBER(SnapshotTable[[#This Row],[Equity Stop Loss]])),SnapshotTable[[#This Row],[Equity Stop Loss]]-SnapshotTable[[#This Row],[Equity Basis Per Share]],"")</f>
        <v/>
      </c>
      <c r="Z119" s="275" t="str">
        <f>IFERROR( TEXT(SnapshotTable[[#This Row],[Equity Max Gain Per Share]] /ABS( SnapshotTable[[#This Row],[Equity Max Loss Per Share]]),"0.0 " ) &amp; " : 1", "")</f>
        <v/>
      </c>
      <c r="AA119" s="31" t="str">
        <f>IF(ISNUMBER(SnapshotTable[[#This Row],[Equity Max Gain Per Share]]),SnapshotTable[[#This Row],[Equity Max Gain Per Share]] * SnapshotTable[[#This Row],[Equity Shares]],"")</f>
        <v/>
      </c>
      <c r="AB119" s="31" t="str">
        <f>IF(ISNUMBER(SnapshotTable[[#This Row],[Equity Max Loss Per Share]]),SnapshotTable[[#This Row],[Equity Max Loss Per Share]] * SnapshotTable[[#This Row],[Equity Shares]],"")</f>
        <v/>
      </c>
      <c r="AC119" s="150"/>
      <c r="AD119" s="151"/>
      <c r="AE119" s="31">
        <f>(SnapshotTable[[#This Row],[Annual Dividend Per Share]] / 4) * SnapshotTable[[#This Row],[Equity Shares]]</f>
        <v>0</v>
      </c>
      <c r="AF119" s="31">
        <f>SnapshotTable[[#This Row],[Quarterly Div $]] * 4</f>
        <v>0</v>
      </c>
      <c r="AG119" s="7">
        <f>IF(SnapshotTable[[#This Row],[Annual Dividend Per Share]]&gt;0, SnapshotTable[[#This Row],[Annual Dividend Per Share]]  / SnapshotTable[[#This Row],[Last Price]], 0)</f>
        <v>0</v>
      </c>
      <c r="AH119" s="151"/>
      <c r="AI119" s="5"/>
      <c r="AJ119" s="138"/>
      <c r="AK119" s="152" t="str">
        <f>IF(ISNUMBER( SnapshotTable[[#This Row],[EBF Target]]),(SnapshotTable[[#This Row],[EBF Target]] - SnapshotTable[[#This Row],[Last Price]]) / SnapshotTable[[#This Row],[Last Price]], "")</f>
        <v/>
      </c>
      <c r="AL119" s="152" t="str">
        <f>IF(AND(SnapshotTable[[#This Row],[Equity Basis Total]] &gt; 0,ISNUMBER( SnapshotTable[[#This Row],[Long Term Target]])), SnapshotTable[[#This Row],[From Basis $]] / SnapshotTable[[#This Row],[Equity Basis Total]], "")</f>
        <v/>
      </c>
      <c r="AM119" s="9">
        <f>IF( AND(SnapshotTable[[#This Row],[Equity Shares]] &gt;0,ISNUMBER( SnapshotTable[[#This Row],[Long Term Target]])),(SnapshotTable[[#This Row],[Equity Shares]] * SnapshotTable[[#This Row],[Long Term Target]]) - SnapshotTable[[#This Row],[Equity Basis Total]],0)</f>
        <v>0</v>
      </c>
      <c r="AN119" s="9">
        <f>IF( AND(SnapshotTable[[#This Row],[Equity Shares]] &gt;0,ISNUMBER( SnapshotTable[[#This Row],[Long Term Target]])),(SnapshotTable[[#This Row],[Equity Shares]]*SnapshotTable[[#This Row],[Long Term Target]]) - SnapshotTable[[#This Row],[Equity Value]],0)</f>
        <v>0</v>
      </c>
      <c r="AO119" s="152" t="str">
        <f>IF(AND(ISNUMBER( SnapshotTable[[#This Row],[Long Term Target]]), ISNUMBER(SnapshotTable[[#This Row],[Last Price]])),(SnapshotTable[[#This Row],[Long Term Target]] - SnapshotTable[[#This Row],[Last Price]]) / SnapshotTable[[#This Row],[Last Price]], "")</f>
        <v/>
      </c>
      <c r="AP119" s="5"/>
      <c r="AQ119" s="38"/>
      <c r="AR119" s="5"/>
      <c r="AS119" s="38"/>
      <c r="AT119" s="146"/>
      <c r="AU119" s="187" t="str">
        <f>IF(OR(SnapshotTable[[#This Row],[LP No Fill]]="Y",SnapshotTable[[#This Row],[SP Is Filled]],SnapshotTable[[#This Row],[LC Not Filled]]="Y",SnapshotTable[[#This Row],[SC Is Filled]]),"Y","")</f>
        <v/>
      </c>
      <c r="AV119" s="219"/>
      <c r="AW119" s="225"/>
      <c r="AX119" s="220"/>
      <c r="AY119" s="219" t="str">
        <f>IF(SnapshotTable[[#This Row],[Implied Move]]&gt;0, SnapshotTable[[#This Row],[Last Price]]-SnapshotTable[[#This Row],[Implied Move]],"")</f>
        <v/>
      </c>
      <c r="AZ119" s="219" t="str">
        <f>IF(SnapshotTable[[#This Row],[Implied Move]]&gt;0, SnapshotTable[[#This Row],[Last Price]] + SnapshotTable[[#This Row],[Implied Move]],"")</f>
        <v/>
      </c>
      <c r="BA119" s="331">
        <v>94.54</v>
      </c>
      <c r="BB119" s="347"/>
      <c r="BC11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9" s="351"/>
      <c r="BE119" s="5"/>
      <c r="BF119" s="14"/>
      <c r="BG119" s="13"/>
      <c r="BH119" s="13"/>
      <c r="BI119" s="5"/>
      <c r="BJ119" s="136">
        <f>IF(SnapshotTable[[#This Row],[LP Qty]] &gt; 0, SnapshotTable[[#This Row],[LP Qty]] * SnapshotTable[[#This Row],[LP Book Price]] * 100,0)</f>
        <v>0</v>
      </c>
      <c r="BK119" s="136">
        <f>IF(SnapshotTable[[#This Row],[LP Premium]] &gt; 0, SnapshotTable[[#This Row],[LP Qty]] * SnapshotTable[[#This Row],[LP Strike Price]] * 100,0)</f>
        <v>0</v>
      </c>
      <c r="BL119" s="154"/>
      <c r="BM119" s="385" t="str">
        <f>IF(SnapshotTable[[#This Row],[LP Premium]] &gt; 0,SnapshotTable[[#This Row],[LP Exp Date]]-MAX(SnapshotTable[[#This Row],[LP Book Date]], SnapshotTable[[#This Row],[LP Fill Date]]),"")</f>
        <v/>
      </c>
      <c r="BN119" s="385" t="str">
        <f>IF(ISNUMBER( SnapshotTable[[#This Row],[LP Term]]), SnapshotTable[[#This Row],[LP Exp Date]] - MockToday,"")</f>
        <v/>
      </c>
      <c r="BO119" s="163" t="str">
        <f>IF(AND(SnapshotTable[[#This Row],[LP Exp Date]]&gt;0, SnapshotTable[[#This Row],[LP Strike Price]]&gt;0,SnapshotTable[[#This Row],[LP Qty]]&gt;0,SnapshotTable[[#This Row],[LP Book Date]]&gt;0,SnapshotTable[[#This Row],[LP Book Price]]&gt;0,SnapshotTable[[#This Row],[LP Fill Date]]=0),"Y","")</f>
        <v/>
      </c>
      <c r="BP119" s="31" t="str">
        <f>IF(AND(SnapshotTable[[#This Row],[LP No Fill]]&lt;&gt;"Y",SnapshotTable[[#This Row],[LP Contract Value]]&gt;0, SnapshotTable[[#This Row],[LP Qty]]&gt;0), SnapshotTable[[#This Row],[LP Contract Value]]*SnapshotTable[[#This Row],[LP Qty]]*100,"")</f>
        <v/>
      </c>
      <c r="BQ119" s="13"/>
      <c r="BR119" s="5" t="str">
        <f>IF(SnapshotTable[[#This Row],[SP Exp Date]]&lt;&gt;"",TRUNC(SnapshotTable[[#This Row],[Last Price]]),"")</f>
        <v/>
      </c>
      <c r="BS119" s="36"/>
      <c r="BT119" s="147"/>
      <c r="BU119" s="13"/>
      <c r="BV119" s="5"/>
      <c r="BW119" s="419" t="b">
        <f>AND(ISNUMBER(SnapshotTable[[#This Row],[SP Exp Date]]), ISNUMBER(SnapshotTable[[#This Row],[SP Strike Price]]), ISNUMBER(SnapshotTable[[#This Row],[SP Qty]]), ISNUMBER(SnapshotTable[[#This Row],[SP Book Date]]), ISNUMBER(SnapshotTable[[#This Row],[SP Book Price]]))</f>
        <v>0</v>
      </c>
      <c r="BX119" s="419" t="b">
        <f>AND(SnapshotTable[[#This Row],[SP Is Booked]], NOT(ISBLANK(SnapshotTable[[#This Row],[SP Fill Date]])))</f>
        <v>0</v>
      </c>
      <c r="BY119" s="33">
        <f>IF(SnapshotTable[[#This Row],[SP Is Booked]], SnapshotTable[[#This Row],[SP Qty]] * SnapshotTable[[#This Row],[SP Book Price]] * 100, 0)</f>
        <v>0</v>
      </c>
      <c r="BZ119" s="369"/>
      <c r="CA119" s="368">
        <f>SnapshotTable[[#This Row],[LP Qty]]</f>
        <v>0</v>
      </c>
      <c r="CB119" s="4" t="str">
        <f>IF(SnapshotTable[[#This Row],[SP Is Booked]], SnapshotTable[[#This Row],[SP Strike Price]] - SnapshotTable[[#This Row],[SP Book Price]], "")</f>
        <v/>
      </c>
      <c r="CC119" s="19" t="str">
        <f>IF(SnapshotTable[[#This Row],[SP Is Booked]],SnapshotTable[[#This Row],[SP Exp Date]]-MAX(SnapshotTable[[#This Row],[SP Book Date]], SnapshotTable[[#This Row],[SP Fill Date]]),"")</f>
        <v/>
      </c>
      <c r="CD119" s="7" t="str">
        <f>IF(SnapshotTable[[#This Row],[SP Is Booked]], SnapshotTable[[#This Row],[SP Book Price]]/SnapshotTable[[#This Row],[SP Strike Price]], "")</f>
        <v/>
      </c>
      <c r="CE119" s="7" t="str">
        <f>IF(ISNUMBER(SnapshotTable[[#This Row],[SP ROO Term]]),SnapshotTable[[#This Row],[SP ROO Term]]*(365/SnapshotTable[[#This Row],[SP Term]]),"")</f>
        <v/>
      </c>
      <c r="CF119" s="236">
        <f>SnapshotTable[[#This Row],[LP Strike Price]] * SnapshotTable[[#This Row],[LP Qty]] * 100</f>
        <v>0</v>
      </c>
      <c r="CG119" s="31" t="e">
        <f>IF(ISNUMBER(SnapshotTable[[#This Row],[SP Premium]]), (SnapshotTable[[#This Row],[SP Qty]] * SnapshotTable[[#This Row],[SP Strike Price]]* 100) - SnapshotTable[[#This Row],[LP Protection]], 0)</f>
        <v>#VALUE!</v>
      </c>
      <c r="CH119" s="7" t="str">
        <f>IF(ISNUMBER(SnapshotTable[[#This Row],[SP Break Even]]),-1 * (SnapshotTable[[#This Row],[SP Break Even]] - SnapshotTable[[#This Row],[Last Price]]) / SnapshotTable[[#This Row],[Last Price]], "")</f>
        <v/>
      </c>
      <c r="CI119" s="31">
        <f>IF(AND(ISNUMBER((SnapshotTable[[#This Row],[SP Potential Spend]])), SnapshotTable[[#This Row],[SP Strike Price]] &gt; SnapshotTable[[#This Row],[Last Price]], SnapshotTable[[#This Row],[SP Is Filled]]), SnapshotTable[[#This Row],[SP Potential Spend]] -  SnapshotTable[[#This Row],[LP Max Value]], 0)</f>
        <v>0</v>
      </c>
      <c r="CJ119" s="244"/>
      <c r="CK119" s="31" t="str">
        <f>IF(ISNUMBER(SnapshotTable[[#This Row],[SP Potential Spend]]),IF(ISNUMBER(SnapshotTable[[#This Row],[SP POW]]), SnapshotTable[[#This Row],[SP POW]] * SnapshotTable[[#This Row],[SP Potential Spend]], SnapshotTable[[#This Row],[SP Potential Spend]]), "")</f>
        <v/>
      </c>
      <c r="CL119" s="164" t="e">
        <f>IF(NOT(SnapshotTable[[#This Row],[SP Is Filled]]),(SnapshotTable[[#This Row],[SP Qty]] * SnapshotTable[[#This Row],[SP Strike Price]] * 100) - SnapshotTable[[#This Row],[LP Max Value]],"")</f>
        <v>#VALUE!</v>
      </c>
      <c r="CM119" s="31" t="str">
        <f>IF(SnapshotTable[[#This Row],[SP Actual Spend]]&lt;&gt;0, ((SnapshotTable[[#This Row],[SP Strike Price]]-SnapshotTable[[#This Row],[Last Price]]) *(SnapshotTable[[#This Row],[SP Qty]]*100) - SnapshotTable[[#This Row],[SP Premium]]) * - 1, "")</f>
        <v/>
      </c>
      <c r="CN119" s="78"/>
      <c r="CO119" s="369"/>
      <c r="CP119" s="4" t="str">
        <f>IF(SnapshotTable[[#This Row],[SP Is Filled]], btc_max_buyback_amount(SnapshotTable[[#This Row],[SP Fill Date]],SnapshotTable[[#This Row],[SP Exp Date]], SnapshotTable[[#This Row],[SP Book Price]]),"")</f>
        <v/>
      </c>
      <c r="CQ119" s="78"/>
      <c r="CR11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9" s="155" t="str">
        <f>IF(SnapshotTable[[#This Row],[SP Is Filled]], btc_next_cutoff_date(SnapshotTable[[#This Row],[SP Fill Date]],SnapshotTable[[#This Row],[SP Exp Date]]),"")</f>
        <v/>
      </c>
      <c r="CT119" s="235" t="str" cm="1">
        <f t="array" ref="CT119">IF(SnapshotTable[[#This Row],[SP Is Filled]], btc_should_buy_back(SnapshotTable[[#This Row],[SP Fill Date]], SnapshotTable[[#This Row],[SP Exp Date]], SnapshotTable[[#This Row],[SP Book Price]], SnapshotTable[[#This Row],[SP Current Ask]], MockToday, SnapshotTable[[#This Row],[SP Buyback Override]]),"")</f>
        <v/>
      </c>
      <c r="CU119" s="156"/>
      <c r="CV119" s="235"/>
      <c r="CW119" s="378" t="str">
        <f>IF(ISNUMBER( SnapshotTable[[#This Row],[SP Term]]), SnapshotTable[[#This Row],[SP Exp Date]] - MockToday,"")</f>
        <v/>
      </c>
      <c r="CX119" s="31" t="str">
        <f>IF(SnapshotTable[[#This Row],[SP Is Filled]],SnapshotTable[[#This Row],[SP Buyback Price to Use]] * 100 * SnapshotTable[[#This Row],[SP Qty]], "")</f>
        <v/>
      </c>
      <c r="CY119" s="4" t="str">
        <f>IF(ISNUMBER(SnapshotTable[[#This Row],[SP Strike Price]]), SnapshotTable[[#This Row],[SP Strike Price]] * (1 - SP_MaxLoss_StrikePct), "")</f>
        <v/>
      </c>
      <c r="CZ119" s="31" t="str">
        <f>IF(ISNUMBER(SnapshotTable[[#This Row],[SP Strike  Stop Per Share]]),SnapshotTable[[#This Row],[SP Premium]] - ((SnapshotTable[[#This Row],[SP Strike Price]]-SnapshotTable[[#This Row],[SP Strike  Stop Per Share]]) *(SnapshotTable[[#This Row],[SP Qty]] * 100)),"")</f>
        <v/>
      </c>
      <c r="DA119" s="4" t="str">
        <f>IF(AND(ISNUMBER(SnapshotTable[[#This Row],[SP Premium]]),SnapshotTable[[#This Row],[SP Premium]]&gt;0), SnapshotTable[[#This Row],[SP Book Price]] * (1 + SP_MaxLoss_OptionPct), "")</f>
        <v/>
      </c>
      <c r="DB119" s="31" t="str">
        <f>IF(ISNUMBER(SnapshotTable[[#This Row],[SP Option  Stop Contract]]),(SnapshotTable[[#This Row],[SP Option  Stop Contract]] *(SnapshotTable[[#This Row],[SP Qty]] * 100) - SnapshotTable[[#This Row],[SP Premium]]),"")</f>
        <v/>
      </c>
      <c r="DC119" s="4"/>
      <c r="DD119" s="4"/>
      <c r="DE119" s="4" t="str">
        <f>IF(AND(SnapshotTable[[#This Row],[SP Qty]]&gt;0, SnapshotTable[[#This Row],[SP Stop To Use]]&gt;0),SnapshotTable[[#This Row],[SP Premium]] - ( SnapshotTable[[#This Row],[SP Qty]] * SnapshotTable[[#This Row],[SP Stop To Use]] * 100), "")</f>
        <v/>
      </c>
      <c r="DF119" s="31" t="str">
        <f>IF(AND(SnapshotTable[[#This Row],[SP Qty]]&gt;0,SnapshotTable[[#This Row],[SP Current Ask]]&gt;0), SnapshotTable[[#This Row],[SP Qty]] * SnapshotTable[[#This Row],[SP Current Ask]] * -100, "")</f>
        <v/>
      </c>
      <c r="DG119" s="31" t="str">
        <f>IF(ISNUMBER((SnapshotTable[[#This Row],[SP Total Value]])), SnapshotTable[[#This Row],[SP Premium]] + SnapshotTable[[#This Row],[SP Total Value]], "")</f>
        <v/>
      </c>
      <c r="DH119" s="294" t="str">
        <f>IF(ISNUMBER((SnapshotTable[[#This Row],[SP Total Value]])), SnapshotTable[[#This Row],[SP Gain Loss]] / SnapshotTable[[#This Row],[SP Premium]], "")</f>
        <v/>
      </c>
      <c r="DI119" s="406"/>
      <c r="DJ119" s="138"/>
      <c r="DK119" s="148"/>
      <c r="DL119" s="13"/>
      <c r="DM119" s="13"/>
      <c r="DO119" s="31">
        <f>IF(SnapshotTable[[#This Row],[LC Symbol Count]]=1, SnapshotTable[[#This Row],[LC Qty]] * SnapshotTable[[#This Row],[LC Book Price]] * 100, 0)</f>
        <v>0</v>
      </c>
      <c r="DP119" s="163" t="str">
        <f>IF(AND(SnapshotTable[[#This Row],[LC Exp Date]]&gt;0, SnapshotTable[[#This Row],[LC Strike Price]]&gt;0,SnapshotTable[[#This Row],[LC Qty]]&gt;0,SnapshotTable[[#This Row],[LC Book Date]]&gt;0,SnapshotTable[[#This Row],[LC Book Price]]&gt;0,SnapshotTable[[#This Row],[LC Fill Date]]=0),"Y","")</f>
        <v/>
      </c>
      <c r="DQ119" s="386" t="str">
        <f>IF(SnapshotTable[[#This Row],[LC Premium]] &gt; 0,SnapshotTable[[#This Row],[LC Exp Date]]-MAX(SnapshotTable[[#This Row],[LC Book Date]], SnapshotTable[[#This Row],[LC Fill Date]]),"")</f>
        <v/>
      </c>
      <c r="DR119" s="386" t="str">
        <f>IF(ISNUMBER(SnapshotTable[[#This Row],[LC Term]]), SnapshotTable[[#This Row],[LC Exp Date]] - MockToday, "")</f>
        <v/>
      </c>
      <c r="DS119" s="234" t="str">
        <f>IF(SnapshotTable[[#This Row],[LC Premium]]&gt;0,SnapshotTable[[#This Row],[LC Strike Price]] + SnapshotTable[[#This Row],[LC Book Price]],"")</f>
        <v/>
      </c>
      <c r="DU119" s="9" t="str">
        <f>IF(AND(SnapshotTable[[#This Row],[LC Symbol Count]]&gt;0, SnapshotTable[[#This Row],[LC Contract Value]]&gt;0), SnapshotTable[[#This Row],[LC Contract Value]] * SnapshotTable[[#This Row],[LC Qty]] * 100, "")</f>
        <v/>
      </c>
      <c r="DV119" s="9" t="str">
        <f>IF(AND(ISNUMBER(SnapshotTable[[#This Row],[LC Total Value]]), SnapshotTable[[#This Row],[LC Not Filled]]&lt;&gt;"Y"), SnapshotTable[[#This Row],[LC Total Value]]-SnapshotTable[[#This Row],[LC Premium]],"")</f>
        <v/>
      </c>
      <c r="DW119" s="240" t="str">
        <f>IF(ISNUMBER(SnapshotTable[[#This Row],[LC Actual Gain Loss]]), SnapshotTable[[#This Row],[LC Actual Gain Loss]] / SnapshotTable[[#This Row],[LC Premium]],"")</f>
        <v/>
      </c>
      <c r="DX119" s="284" t="str">
        <f>IF(ISNUMBER(SnapshotTable[[#This Row],[LC Book Price]]),SnapshotTable[[#This Row],[LC Book Price]] * 1.5,"")</f>
        <v/>
      </c>
      <c r="DY119" s="265" t="str">
        <f>IF(SnapshotTable[[#This Row],[LC Premium]]&gt;0, SnapshotTable[[#This Row],[LC Next Target]] * SnapshotTable[[#This Row],[LC Qty]] * 100,"")</f>
        <v/>
      </c>
      <c r="DZ119" s="265" t="str">
        <f>IF(ISNUMBER(SnapshotTable[[#This Row],[LC Target Gross]]), SnapshotTable[[#This Row],[LC Target Gross]] - SnapshotTable[[#This Row],[LC Premium]], "")</f>
        <v/>
      </c>
      <c r="EA119" s="305" t="str">
        <f>IF(ISNUMBER(SnapshotTable[[#This Row],[LC Target Gain Loss]]), SnapshotTable[[#This Row],[LC Target Gain Loss]]/SnapshotTable[[#This Row],[LC Premium]], "")</f>
        <v/>
      </c>
      <c r="EB119" s="262"/>
      <c r="EC119" s="283" t="str">
        <f>IF(SnapshotTable[[#This Row],[LC Premium]]&gt;0, SnapshotTable[[#This Row],[LC Book Price]] * (1 - LC_StopLoss_Pct),"")</f>
        <v/>
      </c>
      <c r="ED119" s="284"/>
      <c r="EE119" s="283" t="str">
        <f>IF(ISNUMBER(SnapshotTable[[#This Row],[LC Contract Value]]),IF(ISNUMBER(SnapshotTable[[#This Row],[LC Stop Loss Override]]), SnapshotTable[[#This Row],[LC Stop Loss Override]],SnapshotTable[[#This Row],[LC Stop Loss Calc Target]]),"")</f>
        <v/>
      </c>
      <c r="EF119" s="31" t="str">
        <f>IF(ISNUMBER(SnapshotTable[[#This Row],[LC Stop  To Use]]), (SnapshotTable[[#This Row],[LC Stop  To Use]] * SnapshotTable[[#This Row],[LC Qty]] * 100),"")</f>
        <v/>
      </c>
      <c r="EG119" s="9" t="str">
        <f>IF(ISNUMBER(SnapshotTable[[#This Row],[LC Total Value]]),SnapshotTable[[#This Row],[LC Stop Loss Amount]] - SnapshotTable[[#This Row],[LC Premium]],"")</f>
        <v/>
      </c>
      <c r="EH119" s="9">
        <f>IF(ISNUMBER(SnapshotTable[[#This Row],[LC Premium]]), SnapshotTable[[#This Row],[LC Qty]] * 100 * SnapshotTable[[#This Row],[LC Strike Price]], "")</f>
        <v>0</v>
      </c>
      <c r="EI119" s="240" t="str">
        <f>IF(AND(ISNUMBER(SnapshotTable[[#This Row],[LC Total Value]]),SnapshotTable[[#This Row],[LC Total Value]]&gt;0),SnapshotTable[[#This Row],[LC Stop Gain Loss]]  / SnapshotTable[[#This Row],[LC Premium]],"")</f>
        <v/>
      </c>
      <c r="EJ119" s="35">
        <f>IF(ISNUMBER(SnapshotTable[[#This Row],[Equity Shares]]),TRUNC(SnapshotTable[[#This Row],[Equity Shares]] / 100),0) + SnapshotTable[[#This Row],[LC Qty]]</f>
        <v>0</v>
      </c>
      <c r="EK119" s="147"/>
      <c r="EL119" s="138" t="str">
        <f>IF(SnapshotTable[[#This Row],[SC Exp Date]]&lt;&gt;"",TRUNC(SnapshotTable[[#This Row],[Last Price]]),"")</f>
        <v/>
      </c>
      <c r="EM119" s="148"/>
      <c r="EN119" s="147"/>
      <c r="EO119" s="147"/>
      <c r="EP119" s="138"/>
      <c r="EQ119" s="419" t="b">
        <f>AND(ISNUMBER(SnapshotTable[[#This Row],[SC Exp Date]]), ISNUMBER(SnapshotTable[[#This Row],[SC Strike Price]]), ISNUMBER(SnapshotTable[[#This Row],[SC Qty]]), ISNUMBER(SnapshotTable[[#This Row],[SC Book Date]]), ISNUMBER(SnapshotTable[[#This Row],[SC Book Price]]))</f>
        <v>0</v>
      </c>
      <c r="ER119" s="419" t="b">
        <f>AND(SnapshotTable[[#This Row],[SC Is Booked]], NOT(ISBLANK(SnapshotTable[[#This Row],[SC Fill Date]])))</f>
        <v>0</v>
      </c>
      <c r="ES119" s="370"/>
      <c r="ET119" s="34" t="str">
        <f>IF(AND(ISNUMBER(SnapshotTable[[#This Row],[SC Exp Date]]), ISNUMBER(SnapshotTable[[#This Row],[SC Book Date]])), SnapshotTable[[#This Row],[SC Exp Date]] - MAX(SnapshotTable[[#This Row],[SC Book Date]], SnapshotTable[[#This Row],[SC Fill Date]]) + 1, "")</f>
        <v/>
      </c>
      <c r="EU119" s="34" t="str">
        <f>IF(ISNUMBER(SnapshotTable[[#This Row],[SC Term]]), SnapshotTable[[#This Row],[SC Exp Date]]- MockToday, "")</f>
        <v/>
      </c>
      <c r="EV119" s="31">
        <f>IF(SnapshotTable[[#This Row],[SC Is Booked]], SnapshotTable[[#This Row],[SC Qty]] * SnapshotTable[[#This Row],[SC Book Price]] * 100, 0)</f>
        <v>0</v>
      </c>
      <c r="EW119" s="4" t="str">
        <f>IF(AND(ISNUMBER(SnapshotTable[[#This Row],[Last Price]]), ISNUMBER( SnapshotTable[[#This Row],[SC Book Price]])), SnapshotTable[[#This Row],[Last Price]] - SnapshotTable[[#This Row],[SC Book Price]],"")</f>
        <v/>
      </c>
      <c r="EX119" s="234" t="str">
        <f>IF(SnapshotTable[[#This Row],[SC Is Booked]],IF(SnapshotTable[[#This Row],[SC Intrinsic Value]] &gt; 0, SnapshotTable[[#This Row],[SC Strike Price]], SnapshotTable[[#This Row],[Last Price]]), "")</f>
        <v/>
      </c>
      <c r="EY119" s="4">
        <f>IF(SnapshotTable[[#This Row],[SC Is Booked]], (MinimumPremiumRequired * SnapshotTable[[#This Row],[SC Basis]] * SnapshotTable[[#This Row],[SC Term]]), 0)</f>
        <v>0</v>
      </c>
      <c r="EZ119" s="283"/>
      <c r="FA119" s="218"/>
      <c r="FB119" s="370"/>
      <c r="FC119" s="4">
        <f>IF(SnapshotTable[[#This Row],[SC Is Filled]], btc_max_buyback_amount(SnapshotTable[[#This Row],[SC Fill Date]],SnapshotTable[[#This Row],[SC Exp Date]], SnapshotTable[[#This Row],[SC Book Price]]),0)</f>
        <v>0</v>
      </c>
      <c r="FD119" s="5"/>
      <c r="FE119" s="144" t="str">
        <f>IF(SnapshotTable[[#This Row],[SC Is Filled]], btc_next_cutoff_date(SnapshotTable[[#This Row],[SC Fill Date]],SnapshotTable[[#This Row],[SC Exp Date]]),"")</f>
        <v/>
      </c>
      <c r="FF119" s="4" t="str" cm="1">
        <f t="array" ref="FF119">IF(SnapshotTable[[#This Row],[SC Is Filled]], btc_should_buy_back(SnapshotTable[[#This Row],[SC Fill Date]], SnapshotTable[[#This Row],[SC Exp Date]], SnapshotTable[[#This Row],[SC Book Price]], SnapshotTable[[#This Row],[SC Current Ask]], MockToday, SnapshotTable[[#This Row],[SC Buyback Override]]),"")</f>
        <v/>
      </c>
      <c r="FG119" s="4">
        <f>IF(SnapshotTable[[#This Row],[SC Is Filled]], MAX(0,SnapshotTable[[#This Row],[Last Price]]  - SnapshotTable[[#This Row],[SC Strike Price]]), 0)</f>
        <v>0</v>
      </c>
      <c r="FH119" s="382">
        <f>IF(SnapshotTable[[#This Row],[SC Is Filled]], IF(ISNUMBER(SnapshotTable[[#This Row],[SC Current Ask]]), SnapshotTable[[#This Row],[SC Current Ask]], SnapshotTable[[#This Row],[SC Book Price]]) - SnapshotTable[[#This Row],[SC Intrinsic Value]], 0)</f>
        <v>0</v>
      </c>
      <c r="FI119" s="143"/>
      <c r="FJ119" s="32" t="str">
        <f>IF(SnapshotTable[[#This Row],[SC Is Filled]],100 * SnapshotTable[[#This Row],[SC Qty]] * IF(ISNUMBER(SnapshotTable[[#This Row],[SC Buyback Override]]), SnapshotTable[[#This Row],[SC Buyback Override]], SnapshotTable[[#This Row],[SC Current Ask]]), "")</f>
        <v/>
      </c>
      <c r="FK119" s="250" t="str">
        <f>IF(SnapshotTable[[#This Row],[SC Time Val]]&gt;0, SnapshotTable[[#This Row],[SC Time Val]] / SnapshotTable[[#This Row],[Last Price]],"")</f>
        <v/>
      </c>
      <c r="FL119" s="302" t="str">
        <f>IF(SnapshotTable[[#This Row],[SC Is Booked]], ((SnapshotTable[[#This Row],[Last Price]] -SnapshotTable[[#This Row],[SC Strike Price]]) / SnapshotTable[[#This Row],[Last Price]]) * -1, "")</f>
        <v/>
      </c>
      <c r="FM119" s="157" t="str">
        <f>IF(SnapshotTable[[#This Row],[SC Is Booked]],  (SnapshotTable[[#This Row],[SC Qty]] * 100 * SnapshotTable[[#This Row],[SC Strike Price]]) - SnapshotTable[[#This Row],[SC Current Ask]], "")</f>
        <v/>
      </c>
      <c r="FN11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9" s="31" t="str">
        <f>IF(AND(ISNUMBER(SnapshotTable[[#This Row],[SC Exercise Gross]]), ISNUMBER(SnapshotTable[[#This Row],[Equity Basis Per Share]] )), SnapshotTable[[#This Row],[SC Exercise Gross]] - SnapshotTable[[#This Row],[Equity Basis Total]] +  SnapshotTable[[#This Row],[SC Premium]], "")</f>
        <v/>
      </c>
      <c r="FP119" s="5" t="str">
        <f>IF(ISNUMBER(SnapshotTable[[#This Row],[SC Exercise Gross]]), (SnapshotTable[[#This Row],[SC Exercise Gross]]) / (SnapshotTable[[#This Row],[SC Qty]] * 100), "")</f>
        <v/>
      </c>
      <c r="FQ119" s="27" t="str">
        <f>IF(SnapshotTable[[#This Row],[SC Is Booked]],SnapshotTable[[#This Row],[SC Time Val]] /SnapshotTable[[#This Row],[SC Basis]], "")</f>
        <v/>
      </c>
      <c r="FR119" s="27" t="str" cm="1">
        <f t="array" ref="FR119">IF(AND(ISNUMBER(SnapshotTable[[#This Row],[SC Term]]),ISNUMBER(SnapshotTable[[#This Row],[SC Simple ROO]])), EllmanAnnualize(SnapshotTable[[#This Row],[SC DTE]], SnapshotTable[[#This Row],[SC Simple ROO]] ),"")</f>
        <v/>
      </c>
      <c r="FS119" s="4" t="e">
        <f>IF(SnapshotTable[[#This Row],[SC Strike Price]] &gt; SnapshotTable[[#This Row],[Last Price]], SnapshotTable[[#This Row],[SC Strike Price]] - SnapshotTable[[#This Row],[Last Price]],0)</f>
        <v>#VALUE!</v>
      </c>
      <c r="FT119" s="27" t="e">
        <f>IF(AND(ISNUMBER(SnapshotTable[[#This Row],[SC Upside Potential]]), SnapshotTable[[#This Row],[SC Upside Potential]] &gt; 0),(SnapshotTable[[#This Row],[SC Upside Potential]]/ SnapshotTable[[#This Row],[ACB]]),"")</f>
        <v>#VALUE!</v>
      </c>
      <c r="FU119" s="333" t="str">
        <f>IF(SnapshotTable[[#This Row],[SC Intrinsic Value]] &gt; 0,SnapshotTable[[#This Row],[SC Intrinsic Value]],"")</f>
        <v/>
      </c>
      <c r="FV119" s="27" t="str">
        <f>IF(AND( ISNUMBER( SnapshotTable[[#This Row],[ACB]]),ISNUMBER(SnapshotTable[[#This Row],[SC Downside Protect]])),SnapshotTable[[#This Row],[SC Downside Protect]] / SnapshotTable[[#This Row],[ACB]],"")</f>
        <v/>
      </c>
      <c r="FW119" s="236" t="str">
        <f>IF(AND(ISNUMBER(SnapshotTable[[#This Row],[SC Simple ROO]]),SnapshotTable[[#This Row],[SC Simple ROO]] &gt; 0), SnapshotTable[[#This Row],[SC Premium]] + (SnapshotTable[[#This Row],[SC Qty]] * SnapshotTable[[#This Row],[SC Upside Potential]]), "")</f>
        <v/>
      </c>
      <c r="FX119" s="302" t="str" cm="1">
        <f t="array" ref="FX119">IF(ISNUMBER(SnapshotTable[[#This Row],[SC Max Dollars]]), annualize(SnapshotTable[[#This Row],[SC Term]],(SnapshotTable[[#This Row],[SC Max Dollars]]/SnapshotTable[[#This Row],[SC Basis]])),"")</f>
        <v/>
      </c>
      <c r="FY119" s="236" t="str">
        <f>IF(AND(SnapshotTable[[#This Row],[SC Qty]]&gt;0,SnapshotTable[[#This Row],[SC Current Ask]]&gt;0), SnapshotTable[[#This Row],[SC Qty]] * SnapshotTable[[#This Row],[SC Current Ask]] * -100, "")</f>
        <v/>
      </c>
      <c r="FZ119" s="31" t="str">
        <f>IF(ISNUMBER((SnapshotTable[[#This Row],[SC Current Value]])), SnapshotTable[[#This Row],[SC Premium]] + SnapshotTable[[#This Row],[SC Current Value]], "")</f>
        <v/>
      </c>
      <c r="GA119" s="294" t="str">
        <f>IFERROR( IF(ISNUMBER((SnapshotTable[[#This Row],[SC Current Value]])), SnapshotTable[[#This Row],[SC Gain Loss]] / SnapshotTable[[#This Row],[SC Premium]], ""), "")</f>
        <v/>
      </c>
      <c r="GB119" s="42">
        <f>SnapshotTable[[#This Row],[Equity Shares]] * SaleSharesToConsiderPercentage</f>
        <v>0</v>
      </c>
      <c r="GC119" s="40">
        <f>SnapshotTable[[#This Row],[Long Term Target]] * SellingPriceToConsiderBasedOnTargetPercentage</f>
        <v>0</v>
      </c>
      <c r="GD119" s="40">
        <f>SnapshotTable[[#This Row],[Last Price]] * (1+ SellingPriceToConsiderBasedOnTargetPercentage)</f>
        <v>199.81649999999999</v>
      </c>
      <c r="GE119" s="41"/>
      <c r="GF119" s="40"/>
      <c r="GG119" s="31">
        <f>SnapshotTable[[#This Row],[Booked Sale Shares]] * SnapshotTable[[#This Row],[Booked Sale Price]]</f>
        <v>0</v>
      </c>
      <c r="GH119" s="31" t="str">
        <f>IF(SnapshotTable[[#This Row],[Equity Basis Total]] &gt; 0, SnapshotTable[[#This Row],[Equity Basis Per Share]] * SnapshotTable[[#This Row],[Booked Sale Shares]], "")</f>
        <v/>
      </c>
      <c r="GI119" s="31">
        <f>IF(SnapshotTable[[#This Row],[Sale Proceeds]]&gt;0, SnapshotTable[[#This Row],[Sale Proceeds]] - SnapshotTable[[#This Row],[Sale Basis]], 0)</f>
        <v>0</v>
      </c>
      <c r="GJ119" s="27" t="str">
        <f>IF(SnapshotTable[[#This Row],[Sale G/L]]&gt;0, SnapshotTable[[#This Row],[Sale G/L]] / SnapshotTable[[#This Row],[Sale Basis]], IF(ISNUMBER(SnapshotTable[[#This Row],[SC Exercise P&amp;L (TAX)]]), SnapshotTable[[#This Row],[SC Exercise P&amp;L (TAX)]] / SnapshotTable[[#This Row],[SC Basis]], ""))</f>
        <v/>
      </c>
      <c r="GK119" s="27"/>
      <c r="GL119" s="43" t="str">
        <f>IF(AND(SnapshotTable[[#This Row],[LP Exp Date]]&gt;0,SnapshotTable[[#This Row],[LP Strike Price]]&gt;0), [1]!ToOptionSymbol(SnapshotTable[[#This Row],[Symbol]], SnapshotTable[[#This Row],[LP Strike Price]],SnapshotTable[[#This Row],[LP Exp Date]],1), "")</f>
        <v/>
      </c>
      <c r="GM119" s="30" t="str">
        <f>IF(LEN(SnapshotTable[[#This Row],[LP Symbol]])&gt;0, 1, "")</f>
        <v/>
      </c>
      <c r="GN119" s="43" t="str">
        <f>IF(AND(SnapshotTable[[#This Row],[SP Exp Date]]&gt;0,SnapshotTable[[#This Row],[SP Strike Price]]&gt;0), [1]!ToOptionSymbol(SnapshotTable[[#This Row],[Symbol]], SnapshotTable[[#This Row],[SP Strike Price]],SnapshotTable[[#This Row],[SP Exp Date]],1), "")</f>
        <v/>
      </c>
      <c r="GO119" s="30" t="str">
        <f>IF(LEN(SnapshotTable[[#This Row],[SP Symbol]])&gt;0, 1, "")</f>
        <v/>
      </c>
      <c r="GP119" s="43" t="str">
        <f>IF(AND(SnapshotTable[[#This Row],[LC Exp Date]]&gt;0,SnapshotTable[[#This Row],[LC Strike Price]]&gt;0), [1]!ToOptionSymbol(SnapshotTable[[#This Row],[Symbol]], SnapshotTable[[#This Row],[LC Strike Price]],SnapshotTable[[#This Row],[LC Exp Date]],0), "")</f>
        <v/>
      </c>
      <c r="GQ119" s="30" t="str">
        <f>IF(LEN(SnapshotTable[[#This Row],[LC Symbol]])&gt;0, 1, "")</f>
        <v/>
      </c>
      <c r="GR119" s="43" t="str">
        <f>IF(AND(SnapshotTable[[#This Row],[SC Exp Date]]&gt;0,SnapshotTable[[#This Row],[SC Strike Price]]&gt;0), [1]!ToOptionSymbol(SnapshotTable[[#This Row],[Symbol]], SnapshotTable[[#This Row],[SC Strike Price]],SnapshotTable[[#This Row],[SC Exp Date]],0), "")</f>
        <v/>
      </c>
      <c r="GS119" s="30" t="str">
        <f>IF(LEN(SnapshotTable[[#This Row],[SC Symbol]])&gt;0, 1, "")</f>
        <v/>
      </c>
      <c r="GT119" s="29" t="str">
        <f>IF(COUNT(SnapshotTable[[#This Row],[LP Symbol Count]],SnapshotTable[[#This Row],[SP Symbol Count]],SnapshotTable[[#This Row],[LC Symbol Count]],SnapshotTable[[#This Row],[SC Symbol Count]])&gt;0, "Y", "")</f>
        <v/>
      </c>
      <c r="GU11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9" s="231" t="e">
        <f>MAX(SnapshotTable[[#This Row],[Equity Basis Total]],SnapshotTable[[#This Row],[Equity Value]]) + (SnapshotTable[[#This Row],[SP Potential Spend]]- SnapshotTable[[#This Row],[SP Premium]] + SnapshotTable[[#This Row],[LP Premium]])+ (SnapshotTable[[#This Row],[LC Premium]] - SnapshotTable[[#This Row],[SC Premium]])</f>
        <v>#VALUE!</v>
      </c>
      <c r="GW119" s="139" t="e">
        <f>IF(AND(SnapshotTable[[#This Row],[Exposure]] &lt;&gt; 0),SnapshotTable[[#This Row],[Exposure]] / SnapshotTable[[#Totals],[Exposure]], "")</f>
        <v>#VALUE!</v>
      </c>
      <c r="HE119" s="268"/>
      <c r="HF119" s="268"/>
      <c r="HK119" s="1"/>
      <c r="HL119" s="1"/>
      <c r="HM119" s="1"/>
      <c r="HN119" s="1"/>
      <c r="HO119" s="1"/>
      <c r="HP119" s="1"/>
    </row>
    <row r="120" spans="2:224" ht="12.75" hidden="1" customHeight="1" x14ac:dyDescent="0.25">
      <c r="B120" s="12" t="s">
        <v>1241</v>
      </c>
      <c r="C120" s="422">
        <v>3.95</v>
      </c>
      <c r="D120" s="208" t="s">
        <v>258</v>
      </c>
      <c r="E120" s="39">
        <f>SnapshotTable[[#This Row],[Last Price]]*(1 -CrashDiscount)</f>
        <v>3.3574999999999999</v>
      </c>
      <c r="F120" s="26" t="s">
        <v>550</v>
      </c>
      <c r="G120" s="26" t="s">
        <v>41</v>
      </c>
      <c r="H120" s="149"/>
      <c r="I120" s="194"/>
      <c r="J120" s="195"/>
      <c r="K120" s="196"/>
      <c r="L120" s="326"/>
      <c r="M120" s="140"/>
      <c r="N120" s="140"/>
      <c r="O120" s="140"/>
      <c r="P120" s="22"/>
      <c r="Q120" s="25"/>
      <c r="R120" s="4" t="str">
        <f>IF(SnapshotTable[[#This Row],[Equity Basis Total]] &gt; 0, SnapshotTable[[#This Row],[Equity Basis Total]] / SnapshotTable[[#This Row],[Equity Shares]], "")</f>
        <v/>
      </c>
      <c r="S120" s="269">
        <f>SnapshotTable[[#This Row],[Last Price]] * SnapshotTable[[#This Row],[Equity Shares]]</f>
        <v>0</v>
      </c>
      <c r="T120" s="269">
        <f>SnapshotTable[[#This Row],[Equity Value]] - SnapshotTable[[#This Row],[Equity Basis Total]]</f>
        <v>0</v>
      </c>
      <c r="U120" s="270" t="str">
        <f>IF(SnapshotTable[[#This Row],[Equity Basis Total]] &gt; 0, SnapshotTable[[#This Row],[Equity G/L]] / SnapshotTable[[#This Row],[Equity Basis Total]], "")</f>
        <v/>
      </c>
      <c r="V120" s="268"/>
      <c r="W120" s="268"/>
      <c r="X120" s="4" t="str">
        <f>IF(AND(ISNUMBER(SnapshotTable[[#This Row],[Equity Basis Per Share]]),ISNUMBER(SnapshotTable[[#This Row],[Equity Target]])),SnapshotTable[[#This Row],[Equity Target]]-SnapshotTable[[#This Row],[Equity Basis Per Share]],"")</f>
        <v/>
      </c>
      <c r="Y120" s="4" t="str">
        <f>IF(AND(ISNUMBER(SnapshotTable[[#This Row],[Equity Basis Per Share]]),ISNUMBER(SnapshotTable[[#This Row],[Equity Stop Loss]])),SnapshotTable[[#This Row],[Equity Stop Loss]]-SnapshotTable[[#This Row],[Equity Basis Per Share]],"")</f>
        <v/>
      </c>
      <c r="Z120" s="275" t="str">
        <f>IFERROR( TEXT(SnapshotTable[[#This Row],[Equity Max Gain Per Share]] /ABS( SnapshotTable[[#This Row],[Equity Max Loss Per Share]]),"0.0 " ) &amp; " : 1", "")</f>
        <v/>
      </c>
      <c r="AA120" s="31" t="str">
        <f>IF(ISNUMBER(SnapshotTable[[#This Row],[Equity Max Gain Per Share]]),SnapshotTable[[#This Row],[Equity Max Gain Per Share]] * SnapshotTable[[#This Row],[Equity Shares]],"")</f>
        <v/>
      </c>
      <c r="AB120" s="31" t="str">
        <f>IF(ISNUMBER(SnapshotTable[[#This Row],[Equity Max Loss Per Share]]),SnapshotTable[[#This Row],[Equity Max Loss Per Share]] * SnapshotTable[[#This Row],[Equity Shares]],"")</f>
        <v/>
      </c>
      <c r="AC120" s="150"/>
      <c r="AD120" s="151"/>
      <c r="AE120" s="31">
        <f>(SnapshotTable[[#This Row],[Annual Dividend Per Share]] / 4) * SnapshotTable[[#This Row],[Equity Shares]]</f>
        <v>0</v>
      </c>
      <c r="AF120" s="31">
        <f>SnapshotTable[[#This Row],[Quarterly Div $]] * 4</f>
        <v>0</v>
      </c>
      <c r="AG120" s="7">
        <f>IF(SnapshotTable[[#This Row],[Annual Dividend Per Share]]&gt;0, SnapshotTable[[#This Row],[Annual Dividend Per Share]]  / SnapshotTable[[#This Row],[Last Price]], 0)</f>
        <v>0</v>
      </c>
      <c r="AH120" s="151"/>
      <c r="AI120" s="5"/>
      <c r="AJ120" s="138"/>
      <c r="AK120" s="152" t="str">
        <f>IF(ISNUMBER( SnapshotTable[[#This Row],[EBF Target]]),(SnapshotTable[[#This Row],[EBF Target]] - SnapshotTable[[#This Row],[Last Price]]) / SnapshotTable[[#This Row],[Last Price]], "")</f>
        <v/>
      </c>
      <c r="AL120" s="152" t="str">
        <f>IF(AND(SnapshotTable[[#This Row],[Equity Basis Total]] &gt; 0,ISNUMBER( SnapshotTable[[#This Row],[Long Term Target]])), SnapshotTable[[#This Row],[From Basis $]] / SnapshotTable[[#This Row],[Equity Basis Total]], "")</f>
        <v/>
      </c>
      <c r="AM120" s="9">
        <f>IF( AND(SnapshotTable[[#This Row],[Equity Shares]] &gt;0,ISNUMBER( SnapshotTable[[#This Row],[Long Term Target]])),(SnapshotTable[[#This Row],[Equity Shares]] * SnapshotTable[[#This Row],[Long Term Target]]) - SnapshotTable[[#This Row],[Equity Basis Total]],0)</f>
        <v>0</v>
      </c>
      <c r="AN120" s="9">
        <f>IF( AND(SnapshotTable[[#This Row],[Equity Shares]] &gt;0,ISNUMBER( SnapshotTable[[#This Row],[Long Term Target]])),(SnapshotTable[[#This Row],[Equity Shares]]*SnapshotTable[[#This Row],[Long Term Target]]) - SnapshotTable[[#This Row],[Equity Value]],0)</f>
        <v>0</v>
      </c>
      <c r="AO120" s="152" t="str">
        <f>IF(AND(ISNUMBER( SnapshotTable[[#This Row],[Long Term Target]]), ISNUMBER(SnapshotTable[[#This Row],[Last Price]])),(SnapshotTable[[#This Row],[Long Term Target]] - SnapshotTable[[#This Row],[Last Price]]) / SnapshotTable[[#This Row],[Last Price]], "")</f>
        <v/>
      </c>
      <c r="AP120" s="5">
        <v>4</v>
      </c>
      <c r="AQ120" s="38" t="s">
        <v>27</v>
      </c>
      <c r="AR120" s="5">
        <v>2</v>
      </c>
      <c r="AS120" s="38" t="s">
        <v>1083</v>
      </c>
      <c r="AT120" s="146" t="s">
        <v>533</v>
      </c>
      <c r="AU120" s="187" t="str">
        <f>IF(OR(SnapshotTable[[#This Row],[LP No Fill]]="Y",SnapshotTable[[#This Row],[SP Is Filled]],SnapshotTable[[#This Row],[LC Not Filled]]="Y",SnapshotTable[[#This Row],[SC Is Filled]]),"Y","")</f>
        <v/>
      </c>
      <c r="AV120" s="219"/>
      <c r="AW120" s="225"/>
      <c r="AX120" s="220"/>
      <c r="AY120" s="219" t="str">
        <f>IF(SnapshotTable[[#This Row],[Implied Move]]&gt;0, SnapshotTable[[#This Row],[Last Price]]-SnapshotTable[[#This Row],[Implied Move]],"")</f>
        <v/>
      </c>
      <c r="AZ120" s="219" t="str">
        <f>IF(SnapshotTable[[#This Row],[Implied Move]]&gt;0, SnapshotTable[[#This Row],[Last Price]] + SnapshotTable[[#This Row],[Implied Move]],"")</f>
        <v/>
      </c>
      <c r="BA120" s="331">
        <v>0.19</v>
      </c>
      <c r="BB120" s="347"/>
      <c r="BC12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0" s="351"/>
      <c r="BE120" s="5"/>
      <c r="BF120" s="14"/>
      <c r="BG120" s="13"/>
      <c r="BH120" s="13"/>
      <c r="BI120" s="5"/>
      <c r="BJ120" s="136">
        <f>IF(SnapshotTable[[#This Row],[LP Qty]] &gt; 0, SnapshotTable[[#This Row],[LP Qty]] * SnapshotTable[[#This Row],[LP Book Price]] * 100,0)</f>
        <v>0</v>
      </c>
      <c r="BK120" s="136">
        <f>IF(SnapshotTable[[#This Row],[LP Premium]] &gt; 0, SnapshotTable[[#This Row],[LP Qty]] * SnapshotTable[[#This Row],[LP Strike Price]] * 100,0)</f>
        <v>0</v>
      </c>
      <c r="BL120" s="154"/>
      <c r="BM120" s="385" t="str">
        <f>IF(SnapshotTable[[#This Row],[LP Premium]] &gt; 0,SnapshotTable[[#This Row],[LP Exp Date]]-MAX(SnapshotTable[[#This Row],[LP Book Date]], SnapshotTable[[#This Row],[LP Fill Date]]),"")</f>
        <v/>
      </c>
      <c r="BN120" s="385" t="str">
        <f>IF(ISNUMBER( SnapshotTable[[#This Row],[LP Term]]), SnapshotTable[[#This Row],[LP Exp Date]] - MockToday,"")</f>
        <v/>
      </c>
      <c r="BO120" s="163" t="str">
        <f>IF(AND(SnapshotTable[[#This Row],[LP Exp Date]]&gt;0, SnapshotTable[[#This Row],[LP Strike Price]]&gt;0,SnapshotTable[[#This Row],[LP Qty]]&gt;0,SnapshotTable[[#This Row],[LP Book Date]]&gt;0,SnapshotTable[[#This Row],[LP Book Price]]&gt;0,SnapshotTable[[#This Row],[LP Fill Date]]=0),"Y","")</f>
        <v/>
      </c>
      <c r="BP120" s="31" t="str">
        <f>IF(AND(SnapshotTable[[#This Row],[LP No Fill]]&lt;&gt;"Y",SnapshotTable[[#This Row],[LP Contract Value]]&gt;0, SnapshotTable[[#This Row],[LP Qty]]&gt;0), SnapshotTable[[#This Row],[LP Contract Value]]*SnapshotTable[[#This Row],[LP Qty]]*100,"")</f>
        <v/>
      </c>
      <c r="BQ120" s="13"/>
      <c r="BR120" s="5" t="str">
        <f>IF(SnapshotTable[[#This Row],[SP Exp Date]]&lt;&gt;"",TRUNC(SnapshotTable[[#This Row],[Last Price]]),"")</f>
        <v/>
      </c>
      <c r="BS120" s="36"/>
      <c r="BT120" s="147"/>
      <c r="BU120" s="13"/>
      <c r="BV120" s="5"/>
      <c r="BW120" s="419" t="b">
        <f>AND(ISNUMBER(SnapshotTable[[#This Row],[SP Exp Date]]), ISNUMBER(SnapshotTable[[#This Row],[SP Strike Price]]), ISNUMBER(SnapshotTable[[#This Row],[SP Qty]]), ISNUMBER(SnapshotTable[[#This Row],[SP Book Date]]), ISNUMBER(SnapshotTable[[#This Row],[SP Book Price]]))</f>
        <v>0</v>
      </c>
      <c r="BX120" s="419" t="b">
        <f>AND(SnapshotTable[[#This Row],[SP Is Booked]], NOT(ISBLANK(SnapshotTable[[#This Row],[SP Fill Date]])))</f>
        <v>0</v>
      </c>
      <c r="BY120" s="33">
        <f>IF(SnapshotTable[[#This Row],[SP Is Booked]], SnapshotTable[[#This Row],[SP Qty]] * SnapshotTable[[#This Row],[SP Book Price]] * 100, 0)</f>
        <v>0</v>
      </c>
      <c r="BZ120" s="369"/>
      <c r="CA120" s="368">
        <f>SnapshotTable[[#This Row],[LP Qty]]</f>
        <v>0</v>
      </c>
      <c r="CB120" s="4" t="str">
        <f>IF(SnapshotTable[[#This Row],[SP Is Booked]], SnapshotTable[[#This Row],[SP Strike Price]] - SnapshotTable[[#This Row],[SP Book Price]], "")</f>
        <v/>
      </c>
      <c r="CC120" s="19" t="str">
        <f>IF(SnapshotTable[[#This Row],[SP Is Booked]],SnapshotTable[[#This Row],[SP Exp Date]]-MAX(SnapshotTable[[#This Row],[SP Book Date]], SnapshotTable[[#This Row],[SP Fill Date]]),"")</f>
        <v/>
      </c>
      <c r="CD120" s="7" t="str">
        <f>IF(SnapshotTable[[#This Row],[SP Is Booked]], SnapshotTable[[#This Row],[SP Book Price]]/SnapshotTable[[#This Row],[SP Strike Price]], "")</f>
        <v/>
      </c>
      <c r="CE120" s="7" t="str">
        <f>IF(ISNUMBER(SnapshotTable[[#This Row],[SP ROO Term]]),SnapshotTable[[#This Row],[SP ROO Term]]*(365/SnapshotTable[[#This Row],[SP Term]]),"")</f>
        <v/>
      </c>
      <c r="CF120" s="236">
        <f>SnapshotTable[[#This Row],[LP Strike Price]] * SnapshotTable[[#This Row],[LP Qty]] * 100</f>
        <v>0</v>
      </c>
      <c r="CG120" s="31" t="e">
        <f>IF(ISNUMBER(SnapshotTable[[#This Row],[SP Premium]]), (SnapshotTable[[#This Row],[SP Qty]] * SnapshotTable[[#This Row],[SP Strike Price]]* 100) - SnapshotTable[[#This Row],[LP Protection]], 0)</f>
        <v>#VALUE!</v>
      </c>
      <c r="CH120" s="7" t="str">
        <f>IF(ISNUMBER(SnapshotTable[[#This Row],[SP Break Even]]),-1 * (SnapshotTable[[#This Row],[SP Break Even]] - SnapshotTable[[#This Row],[Last Price]]) / SnapshotTable[[#This Row],[Last Price]], "")</f>
        <v/>
      </c>
      <c r="CI120" s="31">
        <f>IF(AND(ISNUMBER((SnapshotTable[[#This Row],[SP Potential Spend]])), SnapshotTable[[#This Row],[SP Strike Price]] &gt; SnapshotTable[[#This Row],[Last Price]], SnapshotTable[[#This Row],[SP Is Filled]]), SnapshotTable[[#This Row],[SP Potential Spend]] -  SnapshotTable[[#This Row],[LP Max Value]], 0)</f>
        <v>0</v>
      </c>
      <c r="CJ120" s="244">
        <v>0.01</v>
      </c>
      <c r="CK120" s="31" t="str">
        <f>IF(ISNUMBER(SnapshotTable[[#This Row],[SP Potential Spend]]),IF(ISNUMBER(SnapshotTable[[#This Row],[SP POW]]), SnapshotTable[[#This Row],[SP POW]] * SnapshotTable[[#This Row],[SP Potential Spend]], SnapshotTable[[#This Row],[SP Potential Spend]]), "")</f>
        <v/>
      </c>
      <c r="CL120" s="164" t="e">
        <f>IF(NOT(SnapshotTable[[#This Row],[SP Is Filled]]),(SnapshotTable[[#This Row],[SP Qty]] * SnapshotTable[[#This Row],[SP Strike Price]] * 100) - SnapshotTable[[#This Row],[LP Max Value]],"")</f>
        <v>#VALUE!</v>
      </c>
      <c r="CM120" s="31" t="str">
        <f>IF(SnapshotTable[[#This Row],[SP Actual Spend]]&lt;&gt;0, ((SnapshotTable[[#This Row],[SP Strike Price]]-SnapshotTable[[#This Row],[Last Price]]) *(SnapshotTable[[#This Row],[SP Qty]]*100) - SnapshotTable[[#This Row],[SP Premium]]) * - 1, "")</f>
        <v/>
      </c>
      <c r="CN120" s="78"/>
      <c r="CO120" s="369"/>
      <c r="CP120" s="4" t="str">
        <f>IF(SnapshotTable[[#This Row],[SP Is Filled]], btc_max_buyback_amount(SnapshotTable[[#This Row],[SP Fill Date]],SnapshotTable[[#This Row],[SP Exp Date]], SnapshotTable[[#This Row],[SP Book Price]]),"")</f>
        <v/>
      </c>
      <c r="CQ120" s="78"/>
      <c r="CR12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0" s="155" t="str">
        <f>IF(SnapshotTable[[#This Row],[SP Is Filled]], btc_next_cutoff_date(SnapshotTable[[#This Row],[SP Fill Date]],SnapshotTable[[#This Row],[SP Exp Date]]),"")</f>
        <v/>
      </c>
      <c r="CT120" s="235" t="str" cm="1">
        <f t="array" ref="CT120">IF(SnapshotTable[[#This Row],[SP Is Filled]], btc_should_buy_back(SnapshotTable[[#This Row],[SP Fill Date]], SnapshotTable[[#This Row],[SP Exp Date]], SnapshotTable[[#This Row],[SP Book Price]], SnapshotTable[[#This Row],[SP Current Ask]], MockToday, SnapshotTable[[#This Row],[SP Buyback Override]]),"")</f>
        <v/>
      </c>
      <c r="CU120" s="156"/>
      <c r="CV120" s="235"/>
      <c r="CW120" s="378" t="str">
        <f>IF(ISNUMBER( SnapshotTable[[#This Row],[SP Term]]), SnapshotTable[[#This Row],[SP Exp Date]] - MockToday,"")</f>
        <v/>
      </c>
      <c r="CX120" s="31" t="str">
        <f>IF(SnapshotTable[[#This Row],[SP Is Filled]],SnapshotTable[[#This Row],[SP Buyback Price to Use]] * 100 * SnapshotTable[[#This Row],[SP Qty]], "")</f>
        <v/>
      </c>
      <c r="CY120" s="4" t="str">
        <f>IF(ISNUMBER(SnapshotTable[[#This Row],[SP Strike Price]]), SnapshotTable[[#This Row],[SP Strike Price]] * (1 - SP_MaxLoss_StrikePct), "")</f>
        <v/>
      </c>
      <c r="CZ120" s="31" t="str">
        <f>IF(ISNUMBER(SnapshotTable[[#This Row],[SP Strike  Stop Per Share]]),SnapshotTable[[#This Row],[SP Premium]] - ((SnapshotTable[[#This Row],[SP Strike Price]]-SnapshotTable[[#This Row],[SP Strike  Stop Per Share]]) *(SnapshotTable[[#This Row],[SP Qty]] * 100)),"")</f>
        <v/>
      </c>
      <c r="DA120" s="4" t="str">
        <f>IF(AND(ISNUMBER(SnapshotTable[[#This Row],[SP Premium]]),SnapshotTable[[#This Row],[SP Premium]]&gt;0), SnapshotTable[[#This Row],[SP Book Price]] * (1 + SP_MaxLoss_OptionPct), "")</f>
        <v/>
      </c>
      <c r="DB120" s="31" t="str">
        <f>IF(ISNUMBER(SnapshotTable[[#This Row],[SP Option  Stop Contract]]),(SnapshotTable[[#This Row],[SP Option  Stop Contract]] *(SnapshotTable[[#This Row],[SP Qty]] * 100) - SnapshotTable[[#This Row],[SP Premium]]),"")</f>
        <v/>
      </c>
      <c r="DC120" s="4"/>
      <c r="DD120" s="4"/>
      <c r="DE120" s="4" t="str">
        <f>IF(AND(SnapshotTable[[#This Row],[SP Qty]]&gt;0, SnapshotTable[[#This Row],[SP Stop To Use]]&gt;0),SnapshotTable[[#This Row],[SP Premium]] - ( SnapshotTable[[#This Row],[SP Qty]] * SnapshotTable[[#This Row],[SP Stop To Use]] * 100), "")</f>
        <v/>
      </c>
      <c r="DF120" s="31" t="str">
        <f>IF(AND(SnapshotTable[[#This Row],[SP Qty]]&gt;0,SnapshotTable[[#This Row],[SP Current Ask]]&gt;0), SnapshotTable[[#This Row],[SP Qty]] * SnapshotTable[[#This Row],[SP Current Ask]] * -100, "")</f>
        <v/>
      </c>
      <c r="DG120" s="31" t="str">
        <f>IF(ISNUMBER((SnapshotTable[[#This Row],[SP Total Value]])), SnapshotTable[[#This Row],[SP Premium]] + SnapshotTable[[#This Row],[SP Total Value]], "")</f>
        <v/>
      </c>
      <c r="DH120" s="294" t="str">
        <f>IF(ISNUMBER((SnapshotTable[[#This Row],[SP Total Value]])), SnapshotTable[[#This Row],[SP Gain Loss]] / SnapshotTable[[#This Row],[SP Premium]], "")</f>
        <v/>
      </c>
      <c r="DI120" s="406"/>
      <c r="DJ120" s="138"/>
      <c r="DK120" s="148"/>
      <c r="DL120" s="13"/>
      <c r="DM120" s="13"/>
      <c r="DO120" s="31">
        <f>IF(SnapshotTable[[#This Row],[LC Symbol Count]]=1, SnapshotTable[[#This Row],[LC Qty]] * SnapshotTable[[#This Row],[LC Book Price]] * 100, 0)</f>
        <v>0</v>
      </c>
      <c r="DP120" s="163" t="str">
        <f>IF(AND(SnapshotTable[[#This Row],[LC Exp Date]]&gt;0, SnapshotTable[[#This Row],[LC Strike Price]]&gt;0,SnapshotTable[[#This Row],[LC Qty]]&gt;0,SnapshotTable[[#This Row],[LC Book Date]]&gt;0,SnapshotTable[[#This Row],[LC Book Price]]&gt;0,SnapshotTable[[#This Row],[LC Fill Date]]=0),"Y","")</f>
        <v/>
      </c>
      <c r="DQ120" s="386" t="str">
        <f>IF(SnapshotTable[[#This Row],[LC Premium]] &gt; 0,SnapshotTable[[#This Row],[LC Exp Date]]-MAX(SnapshotTable[[#This Row],[LC Book Date]], SnapshotTable[[#This Row],[LC Fill Date]]),"")</f>
        <v/>
      </c>
      <c r="DR120" s="386" t="str">
        <f>IF(ISNUMBER(SnapshotTable[[#This Row],[LC Term]]), SnapshotTable[[#This Row],[LC Exp Date]] - MockToday, "")</f>
        <v/>
      </c>
      <c r="DS120" s="234" t="str">
        <f>IF(SnapshotTable[[#This Row],[LC Premium]]&gt;0,SnapshotTable[[#This Row],[LC Strike Price]] + SnapshotTable[[#This Row],[LC Book Price]],"")</f>
        <v/>
      </c>
      <c r="DU120" s="9" t="str">
        <f>IF(AND(SnapshotTable[[#This Row],[LC Symbol Count]]&gt;0, SnapshotTable[[#This Row],[LC Contract Value]]&gt;0), SnapshotTable[[#This Row],[LC Contract Value]] * SnapshotTable[[#This Row],[LC Qty]] * 100, "")</f>
        <v/>
      </c>
      <c r="DV120" s="9" t="str">
        <f>IF(AND(ISNUMBER(SnapshotTable[[#This Row],[LC Total Value]]), SnapshotTable[[#This Row],[LC Not Filled]]&lt;&gt;"Y"), SnapshotTable[[#This Row],[LC Total Value]]-SnapshotTable[[#This Row],[LC Premium]],"")</f>
        <v/>
      </c>
      <c r="DW120" s="240" t="str">
        <f>IF(ISNUMBER(SnapshotTable[[#This Row],[LC Actual Gain Loss]]), SnapshotTable[[#This Row],[LC Actual Gain Loss]] / SnapshotTable[[#This Row],[LC Premium]],"")</f>
        <v/>
      </c>
      <c r="DX120" s="284" t="str">
        <f>IF(ISNUMBER(SnapshotTable[[#This Row],[LC Book Price]]),SnapshotTable[[#This Row],[LC Book Price]] * 1.5,"")</f>
        <v/>
      </c>
      <c r="DY120" s="265" t="str">
        <f>IF(SnapshotTable[[#This Row],[LC Premium]]&gt;0, SnapshotTable[[#This Row],[LC Next Target]] * SnapshotTable[[#This Row],[LC Qty]] * 100,"")</f>
        <v/>
      </c>
      <c r="DZ120" s="265" t="str">
        <f>IF(ISNUMBER(SnapshotTable[[#This Row],[LC Target Gross]]), SnapshotTable[[#This Row],[LC Target Gross]] - SnapshotTable[[#This Row],[LC Premium]], "")</f>
        <v/>
      </c>
      <c r="EA120" s="305" t="str">
        <f>IF(ISNUMBER(SnapshotTable[[#This Row],[LC Target Gain Loss]]), SnapshotTable[[#This Row],[LC Target Gain Loss]]/SnapshotTable[[#This Row],[LC Premium]], "")</f>
        <v/>
      </c>
      <c r="EB120" s="262"/>
      <c r="EC120" s="283" t="str">
        <f>IF(SnapshotTable[[#This Row],[LC Premium]]&gt;0, SnapshotTable[[#This Row],[LC Book Price]] * (1 - LC_StopLoss_Pct),"")</f>
        <v/>
      </c>
      <c r="ED120" s="284"/>
      <c r="EE120" s="283" t="str">
        <f>IF(ISNUMBER(SnapshotTable[[#This Row],[LC Contract Value]]),IF(ISNUMBER(SnapshotTable[[#This Row],[LC Stop Loss Override]]), SnapshotTable[[#This Row],[LC Stop Loss Override]],SnapshotTable[[#This Row],[LC Stop Loss Calc Target]]),"")</f>
        <v/>
      </c>
      <c r="EF120" s="31" t="str">
        <f>IF(ISNUMBER(SnapshotTable[[#This Row],[LC Stop  To Use]]), (SnapshotTable[[#This Row],[LC Stop  To Use]] * SnapshotTable[[#This Row],[LC Qty]] * 100),"")</f>
        <v/>
      </c>
      <c r="EG120" s="9" t="str">
        <f>IF(ISNUMBER(SnapshotTable[[#This Row],[LC Total Value]]),SnapshotTable[[#This Row],[LC Stop Loss Amount]] - SnapshotTable[[#This Row],[LC Premium]],"")</f>
        <v/>
      </c>
      <c r="EH120" s="9">
        <f>IF(ISNUMBER(SnapshotTable[[#This Row],[LC Premium]]), SnapshotTable[[#This Row],[LC Qty]] * 100 * SnapshotTable[[#This Row],[LC Strike Price]], "")</f>
        <v>0</v>
      </c>
      <c r="EI120" s="240" t="str">
        <f>IF(AND(ISNUMBER(SnapshotTable[[#This Row],[LC Total Value]]),SnapshotTable[[#This Row],[LC Total Value]]&gt;0),SnapshotTable[[#This Row],[LC Stop Gain Loss]]  / SnapshotTable[[#This Row],[LC Premium]],"")</f>
        <v/>
      </c>
      <c r="EJ120" s="35">
        <f>IF(ISNUMBER(SnapshotTable[[#This Row],[Equity Shares]]),TRUNC(SnapshotTable[[#This Row],[Equity Shares]] / 100),0) + SnapshotTable[[#This Row],[LC Qty]]</f>
        <v>0</v>
      </c>
      <c r="EK120" s="147"/>
      <c r="EL120" s="138" t="str">
        <f>IF(SnapshotTable[[#This Row],[SC Exp Date]]&lt;&gt;"",TRUNC(SnapshotTable[[#This Row],[Last Price]]),"")</f>
        <v/>
      </c>
      <c r="EM120" s="148"/>
      <c r="EN120" s="147"/>
      <c r="EO120" s="147"/>
      <c r="EP120" s="138">
        <v>0.17</v>
      </c>
      <c r="EQ120" s="419" t="b">
        <f>AND(ISNUMBER(SnapshotTable[[#This Row],[SC Exp Date]]), ISNUMBER(SnapshotTable[[#This Row],[SC Strike Price]]), ISNUMBER(SnapshotTable[[#This Row],[SC Qty]]), ISNUMBER(SnapshotTable[[#This Row],[SC Book Date]]), ISNUMBER(SnapshotTable[[#This Row],[SC Book Price]]))</f>
        <v>0</v>
      </c>
      <c r="ER120" s="419" t="b">
        <f>AND(SnapshotTable[[#This Row],[SC Is Booked]], NOT(ISBLANK(SnapshotTable[[#This Row],[SC Fill Date]])))</f>
        <v>0</v>
      </c>
      <c r="ES120" s="370"/>
      <c r="ET120" s="34" t="str">
        <f>IF(AND(ISNUMBER(SnapshotTable[[#This Row],[SC Exp Date]]), ISNUMBER(SnapshotTable[[#This Row],[SC Book Date]])), SnapshotTable[[#This Row],[SC Exp Date]] - MAX(SnapshotTable[[#This Row],[SC Book Date]], SnapshotTable[[#This Row],[SC Fill Date]]) + 1, "")</f>
        <v/>
      </c>
      <c r="EU120" s="34" t="str">
        <f>IF(ISNUMBER(SnapshotTable[[#This Row],[SC Term]]), SnapshotTable[[#This Row],[SC Exp Date]]- MockToday, "")</f>
        <v/>
      </c>
      <c r="EV120" s="31">
        <f>IF(SnapshotTable[[#This Row],[SC Is Booked]], SnapshotTable[[#This Row],[SC Qty]] * SnapshotTable[[#This Row],[SC Book Price]] * 100, 0)</f>
        <v>0</v>
      </c>
      <c r="EW120" s="4">
        <f>IF(AND(ISNUMBER(SnapshotTable[[#This Row],[Last Price]]), ISNUMBER( SnapshotTable[[#This Row],[SC Book Price]])), SnapshotTable[[#This Row],[Last Price]] - SnapshotTable[[#This Row],[SC Book Price]],"")</f>
        <v>3.7800000000000002</v>
      </c>
      <c r="EX120" s="234" t="str">
        <f>IF(SnapshotTable[[#This Row],[SC Is Booked]],IF(SnapshotTable[[#This Row],[SC Intrinsic Value]] &gt; 0, SnapshotTable[[#This Row],[SC Strike Price]], SnapshotTable[[#This Row],[Last Price]]), "")</f>
        <v/>
      </c>
      <c r="EY120" s="4">
        <f>IF(SnapshotTable[[#This Row],[SC Is Booked]], (MinimumPremiumRequired * SnapshotTable[[#This Row],[SC Basis]] * SnapshotTable[[#This Row],[SC Term]]), 0)</f>
        <v>0</v>
      </c>
      <c r="EZ120" s="283"/>
      <c r="FA120" s="218"/>
      <c r="FB120" s="370"/>
      <c r="FC120" s="4">
        <f>IF(SnapshotTable[[#This Row],[SC Is Filled]], btc_max_buyback_amount(SnapshotTable[[#This Row],[SC Fill Date]],SnapshotTable[[#This Row],[SC Exp Date]], SnapshotTable[[#This Row],[SC Book Price]]),0)</f>
        <v>0</v>
      </c>
      <c r="FD120" s="5"/>
      <c r="FE120" s="144" t="str">
        <f>IF(SnapshotTable[[#This Row],[SC Is Filled]], btc_next_cutoff_date(SnapshotTable[[#This Row],[SC Fill Date]],SnapshotTable[[#This Row],[SC Exp Date]]),"")</f>
        <v/>
      </c>
      <c r="FF120" s="4" t="str" cm="1">
        <f t="array" ref="FF120">IF(SnapshotTable[[#This Row],[SC Is Filled]], btc_should_buy_back(SnapshotTable[[#This Row],[SC Fill Date]], SnapshotTable[[#This Row],[SC Exp Date]], SnapshotTable[[#This Row],[SC Book Price]], SnapshotTable[[#This Row],[SC Current Ask]], MockToday, SnapshotTable[[#This Row],[SC Buyback Override]]),"")</f>
        <v/>
      </c>
      <c r="FG120" s="4">
        <f>IF(SnapshotTable[[#This Row],[SC Is Filled]], MAX(0,SnapshotTable[[#This Row],[Last Price]]  - SnapshotTable[[#This Row],[SC Strike Price]]), 0)</f>
        <v>0</v>
      </c>
      <c r="FH120" s="382">
        <f>IF(SnapshotTable[[#This Row],[SC Is Filled]], IF(ISNUMBER(SnapshotTable[[#This Row],[SC Current Ask]]), SnapshotTable[[#This Row],[SC Current Ask]], SnapshotTable[[#This Row],[SC Book Price]]) - SnapshotTable[[#This Row],[SC Intrinsic Value]], 0)</f>
        <v>0</v>
      </c>
      <c r="FI120" s="143"/>
      <c r="FJ120" s="32" t="str">
        <f>IF(SnapshotTable[[#This Row],[SC Is Filled]],100 * SnapshotTable[[#This Row],[SC Qty]] * IF(ISNUMBER(SnapshotTable[[#This Row],[SC Buyback Override]]), SnapshotTable[[#This Row],[SC Buyback Override]], SnapshotTable[[#This Row],[SC Current Ask]]), "")</f>
        <v/>
      </c>
      <c r="FK120" s="250" t="str">
        <f>IF(SnapshotTable[[#This Row],[SC Time Val]]&gt;0, SnapshotTable[[#This Row],[SC Time Val]] / SnapshotTable[[#This Row],[Last Price]],"")</f>
        <v/>
      </c>
      <c r="FL120" s="302" t="str">
        <f>IF(SnapshotTable[[#This Row],[SC Is Booked]], ((SnapshotTable[[#This Row],[Last Price]] -SnapshotTable[[#This Row],[SC Strike Price]]) / SnapshotTable[[#This Row],[Last Price]]) * -1, "")</f>
        <v/>
      </c>
      <c r="FM120" s="157" t="str">
        <f>IF(SnapshotTable[[#This Row],[SC Is Booked]],  (SnapshotTable[[#This Row],[SC Qty]] * 100 * SnapshotTable[[#This Row],[SC Strike Price]]) - SnapshotTable[[#This Row],[SC Current Ask]], "")</f>
        <v/>
      </c>
      <c r="FN12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0" s="31" t="str">
        <f>IF(AND(ISNUMBER(SnapshotTable[[#This Row],[SC Exercise Gross]]), ISNUMBER(SnapshotTable[[#This Row],[Equity Basis Per Share]] )), SnapshotTable[[#This Row],[SC Exercise Gross]] - SnapshotTable[[#This Row],[Equity Basis Total]] +  SnapshotTable[[#This Row],[SC Premium]], "")</f>
        <v/>
      </c>
      <c r="FP120" s="5" t="str">
        <f>IF(ISNUMBER(SnapshotTable[[#This Row],[SC Exercise Gross]]), (SnapshotTable[[#This Row],[SC Exercise Gross]]) / (SnapshotTable[[#This Row],[SC Qty]] * 100), "")</f>
        <v/>
      </c>
      <c r="FQ120" s="27" t="str">
        <f>IF(SnapshotTable[[#This Row],[SC Is Booked]],SnapshotTable[[#This Row],[SC Time Val]] /SnapshotTable[[#This Row],[SC Basis]], "")</f>
        <v/>
      </c>
      <c r="FR120" s="27" t="str" cm="1">
        <f t="array" ref="FR120">IF(AND(ISNUMBER(SnapshotTable[[#This Row],[SC Term]]),ISNUMBER(SnapshotTable[[#This Row],[SC Simple ROO]])), EllmanAnnualize(SnapshotTable[[#This Row],[SC DTE]], SnapshotTable[[#This Row],[SC Simple ROO]] ),"")</f>
        <v/>
      </c>
      <c r="FS120" s="4" t="e">
        <f>IF(SnapshotTable[[#This Row],[SC Strike Price]] &gt; SnapshotTable[[#This Row],[Last Price]], SnapshotTable[[#This Row],[SC Strike Price]] - SnapshotTable[[#This Row],[Last Price]],0)</f>
        <v>#VALUE!</v>
      </c>
      <c r="FT120" s="27" t="e">
        <f>IF(AND(ISNUMBER(SnapshotTable[[#This Row],[SC Upside Potential]]), SnapshotTable[[#This Row],[SC Upside Potential]] &gt; 0),(SnapshotTable[[#This Row],[SC Upside Potential]]/ SnapshotTable[[#This Row],[ACB]]),"")</f>
        <v>#VALUE!</v>
      </c>
      <c r="FU120" s="333" t="str">
        <f>IF(SnapshotTable[[#This Row],[SC Intrinsic Value]] &gt; 0,SnapshotTable[[#This Row],[SC Intrinsic Value]],"")</f>
        <v/>
      </c>
      <c r="FV120" s="27" t="str">
        <f>IF(AND( ISNUMBER( SnapshotTable[[#This Row],[ACB]]),ISNUMBER(SnapshotTable[[#This Row],[SC Downside Protect]])),SnapshotTable[[#This Row],[SC Downside Protect]] / SnapshotTable[[#This Row],[ACB]],"")</f>
        <v/>
      </c>
      <c r="FW120" s="236" t="str">
        <f>IF(AND(ISNUMBER(SnapshotTable[[#This Row],[SC Simple ROO]]),SnapshotTable[[#This Row],[SC Simple ROO]] &gt; 0), SnapshotTable[[#This Row],[SC Premium]] + (SnapshotTable[[#This Row],[SC Qty]] * SnapshotTable[[#This Row],[SC Upside Potential]]), "")</f>
        <v/>
      </c>
      <c r="FX120" s="302" t="str" cm="1">
        <f t="array" ref="FX120">IF(ISNUMBER(SnapshotTable[[#This Row],[SC Max Dollars]]), annualize(SnapshotTable[[#This Row],[SC Term]],(SnapshotTable[[#This Row],[SC Max Dollars]]/SnapshotTable[[#This Row],[SC Basis]])),"")</f>
        <v/>
      </c>
      <c r="FY120" s="236" t="str">
        <f>IF(AND(SnapshotTable[[#This Row],[SC Qty]]&gt;0,SnapshotTable[[#This Row],[SC Current Ask]]&gt;0), SnapshotTable[[#This Row],[SC Qty]] * SnapshotTable[[#This Row],[SC Current Ask]] * -100, "")</f>
        <v/>
      </c>
      <c r="FZ120" s="31" t="str">
        <f>IF(ISNUMBER((SnapshotTable[[#This Row],[SC Current Value]])), SnapshotTable[[#This Row],[SC Premium]] + SnapshotTable[[#This Row],[SC Current Value]], "")</f>
        <v/>
      </c>
      <c r="GA120" s="294" t="str">
        <f>IFERROR( IF(ISNUMBER((SnapshotTable[[#This Row],[SC Current Value]])), SnapshotTable[[#This Row],[SC Gain Loss]] / SnapshotTable[[#This Row],[SC Premium]], ""), "")</f>
        <v/>
      </c>
      <c r="GB120" s="42">
        <f>SnapshotTable[[#This Row],[Equity Shares]] * SaleSharesToConsiderPercentage</f>
        <v>0</v>
      </c>
      <c r="GC120" s="40">
        <f>SnapshotTable[[#This Row],[Long Term Target]] * SellingPriceToConsiderBasedOnTargetPercentage</f>
        <v>0</v>
      </c>
      <c r="GD120" s="40">
        <f>SnapshotTable[[#This Row],[Last Price]] * (1+ SellingPriceToConsiderBasedOnTargetPercentage)</f>
        <v>7.7025000000000006</v>
      </c>
      <c r="GE120" s="41"/>
      <c r="GF120" s="40"/>
      <c r="GG120" s="31">
        <f>SnapshotTable[[#This Row],[Booked Sale Shares]] * SnapshotTable[[#This Row],[Booked Sale Price]]</f>
        <v>0</v>
      </c>
      <c r="GH120" s="31" t="str">
        <f>IF(SnapshotTable[[#This Row],[Equity Basis Total]] &gt; 0, SnapshotTable[[#This Row],[Equity Basis Per Share]] * SnapshotTable[[#This Row],[Booked Sale Shares]], "")</f>
        <v/>
      </c>
      <c r="GI120" s="31">
        <f>IF(SnapshotTable[[#This Row],[Sale Proceeds]]&gt;0, SnapshotTable[[#This Row],[Sale Proceeds]] - SnapshotTable[[#This Row],[Sale Basis]], 0)</f>
        <v>0</v>
      </c>
      <c r="GJ120" s="27" t="str">
        <f>IF(SnapshotTable[[#This Row],[Sale G/L]]&gt;0, SnapshotTable[[#This Row],[Sale G/L]] / SnapshotTable[[#This Row],[Sale Basis]], IF(ISNUMBER(SnapshotTable[[#This Row],[SC Exercise P&amp;L (TAX)]]), SnapshotTable[[#This Row],[SC Exercise P&amp;L (TAX)]] / SnapshotTable[[#This Row],[SC Basis]], ""))</f>
        <v/>
      </c>
      <c r="GK120" s="27" t="s">
        <v>1246</v>
      </c>
      <c r="GL120" s="43" t="str">
        <f>IF(AND(SnapshotTable[[#This Row],[LP Exp Date]]&gt;0,SnapshotTable[[#This Row],[LP Strike Price]]&gt;0), [1]!ToOptionSymbol(SnapshotTable[[#This Row],[Symbol]], SnapshotTable[[#This Row],[LP Strike Price]],SnapshotTable[[#This Row],[LP Exp Date]],1), "")</f>
        <v/>
      </c>
      <c r="GM120" s="30" t="str">
        <f>IF(LEN(SnapshotTable[[#This Row],[LP Symbol]])&gt;0, 1, "")</f>
        <v/>
      </c>
      <c r="GN120" s="43" t="str">
        <f>IF(AND(SnapshotTable[[#This Row],[SP Exp Date]]&gt;0,SnapshotTable[[#This Row],[SP Strike Price]]&gt;0), [1]!ToOptionSymbol(SnapshotTable[[#This Row],[Symbol]], SnapshotTable[[#This Row],[SP Strike Price]],SnapshotTable[[#This Row],[SP Exp Date]],1), "")</f>
        <v/>
      </c>
      <c r="GO120" s="30" t="str">
        <f>IF(LEN(SnapshotTable[[#This Row],[SP Symbol]])&gt;0, 1, "")</f>
        <v/>
      </c>
      <c r="GP120" s="43" t="str">
        <f>IF(AND(SnapshotTable[[#This Row],[LC Exp Date]]&gt;0,SnapshotTable[[#This Row],[LC Strike Price]]&gt;0), [1]!ToOptionSymbol(SnapshotTable[[#This Row],[Symbol]], SnapshotTable[[#This Row],[LC Strike Price]],SnapshotTable[[#This Row],[LC Exp Date]],0), "")</f>
        <v/>
      </c>
      <c r="GQ120" s="30" t="str">
        <f>IF(LEN(SnapshotTable[[#This Row],[LC Symbol]])&gt;0, 1, "")</f>
        <v/>
      </c>
      <c r="GR120" s="43" t="str">
        <f>IF(AND(SnapshotTable[[#This Row],[SC Exp Date]]&gt;0,SnapshotTable[[#This Row],[SC Strike Price]]&gt;0), [1]!ToOptionSymbol(SnapshotTable[[#This Row],[Symbol]], SnapshotTable[[#This Row],[SC Strike Price]],SnapshotTable[[#This Row],[SC Exp Date]],0), "")</f>
        <v/>
      </c>
      <c r="GS120" s="30" t="str">
        <f>IF(LEN(SnapshotTable[[#This Row],[SC Symbol]])&gt;0, 1, "")</f>
        <v/>
      </c>
      <c r="GT120" s="29" t="str">
        <f>IF(COUNT(SnapshotTable[[#This Row],[LP Symbol Count]],SnapshotTable[[#This Row],[SP Symbol Count]],SnapshotTable[[#This Row],[LC Symbol Count]],SnapshotTable[[#This Row],[SC Symbol Count]])&gt;0, "Y", "")</f>
        <v/>
      </c>
      <c r="GU12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0" s="231" t="e">
        <f>MAX(SnapshotTable[[#This Row],[Equity Basis Total]],SnapshotTable[[#This Row],[Equity Value]]) + (SnapshotTable[[#This Row],[SP Potential Spend]]- SnapshotTable[[#This Row],[SP Premium]] + SnapshotTable[[#This Row],[LP Premium]])+ (SnapshotTable[[#This Row],[LC Premium]] - SnapshotTable[[#This Row],[SC Premium]])</f>
        <v>#VALUE!</v>
      </c>
      <c r="GW120" s="139" t="e">
        <f>IF(AND(SnapshotTable[[#This Row],[Exposure]] &lt;&gt; 0),SnapshotTable[[#This Row],[Exposure]] / SnapshotTable[[#Totals],[Exposure]], "")</f>
        <v>#VALUE!</v>
      </c>
      <c r="HE120" s="268"/>
      <c r="HF120" s="268"/>
      <c r="HK120" s="1"/>
      <c r="HL120" s="1"/>
      <c r="HM120" s="1"/>
      <c r="HN120" s="1"/>
      <c r="HO120" s="1"/>
      <c r="HP120" s="1"/>
    </row>
    <row r="121" spans="2:224" s="47" customFormat="1" ht="12.75" hidden="1" customHeight="1" x14ac:dyDescent="0.25">
      <c r="B121" s="12" t="s">
        <v>244</v>
      </c>
      <c r="C121" s="422">
        <v>553.91999999999996</v>
      </c>
      <c r="D121" s="208"/>
      <c r="E121" s="39">
        <f>SnapshotTable[[#This Row],[Last Price]]*(1 -CrashDiscount)</f>
        <v>470.83199999999994</v>
      </c>
      <c r="F121" s="26" t="s">
        <v>243</v>
      </c>
      <c r="G121" s="26" t="s">
        <v>9</v>
      </c>
      <c r="H121" s="149"/>
      <c r="I121" s="194">
        <v>44791.666666666664</v>
      </c>
      <c r="J121" s="195">
        <v>44791.666666666664</v>
      </c>
      <c r="K121" s="196"/>
      <c r="L121" s="326"/>
      <c r="M121" s="140"/>
      <c r="N121" s="140"/>
      <c r="O121" s="140"/>
      <c r="P121" s="22"/>
      <c r="Q121" s="25"/>
      <c r="R121" s="4" t="str">
        <f>IF(SnapshotTable[[#This Row],[Equity Basis Total]] &gt; 0, SnapshotTable[[#This Row],[Equity Basis Total]] / SnapshotTable[[#This Row],[Equity Shares]], "")</f>
        <v/>
      </c>
      <c r="S121" s="269">
        <f>SnapshotTable[[#This Row],[Last Price]] * SnapshotTable[[#This Row],[Equity Shares]]</f>
        <v>0</v>
      </c>
      <c r="T121" s="269">
        <f>SnapshotTable[[#This Row],[Equity Value]] - SnapshotTable[[#This Row],[Equity Basis Total]]</f>
        <v>0</v>
      </c>
      <c r="U121" s="270" t="str">
        <f>IF(SnapshotTable[[#This Row],[Equity Basis Total]] &gt; 0, SnapshotTable[[#This Row],[Equity G/L]] / SnapshotTable[[#This Row],[Equity Basis Total]], "")</f>
        <v/>
      </c>
      <c r="V121" s="268">
        <v>270</v>
      </c>
      <c r="W121" s="268">
        <v>196.4</v>
      </c>
      <c r="X121" s="4" t="str">
        <f>IF(AND(ISNUMBER(SnapshotTable[[#This Row],[Equity Basis Per Share]]),ISNUMBER(SnapshotTable[[#This Row],[Equity Target]])),SnapshotTable[[#This Row],[Equity Target]]-SnapshotTable[[#This Row],[Equity Basis Per Share]],"")</f>
        <v/>
      </c>
      <c r="Y121" s="4" t="str">
        <f>IF(AND(ISNUMBER(SnapshotTable[[#This Row],[Equity Basis Per Share]]),ISNUMBER(SnapshotTable[[#This Row],[Equity Stop Loss]])),SnapshotTable[[#This Row],[Equity Stop Loss]]-SnapshotTable[[#This Row],[Equity Basis Per Share]],"")</f>
        <v/>
      </c>
      <c r="Z121" s="275" t="str">
        <f>IFERROR( TEXT(SnapshotTable[[#This Row],[Equity Max Gain Per Share]] /ABS( SnapshotTable[[#This Row],[Equity Max Loss Per Share]]),"0.0 " ) &amp; " : 1", "")</f>
        <v/>
      </c>
      <c r="AA121" s="31" t="str">
        <f>IF(ISNUMBER(SnapshotTable[[#This Row],[Equity Max Gain Per Share]]),SnapshotTable[[#This Row],[Equity Max Gain Per Share]] * SnapshotTable[[#This Row],[Equity Shares]],"")</f>
        <v/>
      </c>
      <c r="AB121" s="31" t="str">
        <f>IF(ISNUMBER(SnapshotTable[[#This Row],[Equity Max Loss Per Share]]),SnapshotTable[[#This Row],[Equity Max Loss Per Share]] * SnapshotTable[[#This Row],[Equity Shares]],"")</f>
        <v/>
      </c>
      <c r="AC121" s="150"/>
      <c r="AD121" s="151"/>
      <c r="AE121" s="31">
        <f>(SnapshotTable[[#This Row],[Annual Dividend Per Share]] / 4) * SnapshotTable[[#This Row],[Equity Shares]]</f>
        <v>0</v>
      </c>
      <c r="AF121" s="31">
        <f>SnapshotTable[[#This Row],[Quarterly Div $]] * 4</f>
        <v>0</v>
      </c>
      <c r="AG121" s="7">
        <f>IF(SnapshotTable[[#This Row],[Annual Dividend Per Share]]&gt;0, SnapshotTable[[#This Row],[Annual Dividend Per Share]]  / SnapshotTable[[#This Row],[Last Price]], 0)</f>
        <v>0</v>
      </c>
      <c r="AH121" s="151"/>
      <c r="AI121" s="5"/>
      <c r="AJ121" s="138">
        <v>115.32</v>
      </c>
      <c r="AK121" s="152" t="str">
        <f>IF(ISNUMBER( SnapshotTable[[#This Row],[EBF Target]]),(SnapshotTable[[#This Row],[EBF Target]] - SnapshotTable[[#This Row],[Last Price]]) / SnapshotTable[[#This Row],[Last Price]], "")</f>
        <v/>
      </c>
      <c r="AL121" s="152" t="str">
        <f>IF(AND(SnapshotTable[[#This Row],[Equity Basis Total]] &gt; 0,ISNUMBER( SnapshotTable[[#This Row],[Long Term Target]])), SnapshotTable[[#This Row],[From Basis $]] / SnapshotTable[[#This Row],[Equity Basis Total]], "")</f>
        <v/>
      </c>
      <c r="AM121" s="9">
        <f>IF( AND(SnapshotTable[[#This Row],[Equity Shares]] &gt;0,ISNUMBER( SnapshotTable[[#This Row],[Long Term Target]])),(SnapshotTable[[#This Row],[Equity Shares]] * SnapshotTable[[#This Row],[Long Term Target]]) - SnapshotTable[[#This Row],[Equity Basis Total]],0)</f>
        <v>0</v>
      </c>
      <c r="AN121" s="9">
        <f>IF( AND(SnapshotTable[[#This Row],[Equity Shares]] &gt;0,ISNUMBER( SnapshotTable[[#This Row],[Long Term Target]])),(SnapshotTable[[#This Row],[Equity Shares]]*SnapshotTable[[#This Row],[Long Term Target]]) - SnapshotTable[[#This Row],[Equity Value]],0)</f>
        <v>0</v>
      </c>
      <c r="AO121" s="152">
        <f>IF(AND(ISNUMBER( SnapshotTable[[#This Row],[Long Term Target]]), ISNUMBER(SnapshotTable[[#This Row],[Last Price]])),(SnapshotTable[[#This Row],[Long Term Target]] - SnapshotTable[[#This Row],[Last Price]]) / SnapshotTable[[#This Row],[Last Price]], "")</f>
        <v>-0.79181109185441945</v>
      </c>
      <c r="AP121" s="5">
        <v>8</v>
      </c>
      <c r="AQ121" s="38" t="s">
        <v>27</v>
      </c>
      <c r="AR121" s="5">
        <v>8</v>
      </c>
      <c r="AS121" s="38" t="s">
        <v>38</v>
      </c>
      <c r="AT121" s="146" t="s">
        <v>1132</v>
      </c>
      <c r="AU121" s="187" t="str">
        <f>IF(OR(SnapshotTable[[#This Row],[LP No Fill]]="Y",SnapshotTable[[#This Row],[SP Is Filled]],SnapshotTable[[#This Row],[LC Not Filled]]="Y",SnapshotTable[[#This Row],[SC Is Filled]]),"Y","")</f>
        <v/>
      </c>
      <c r="AV121" s="219"/>
      <c r="AW121" s="225"/>
      <c r="AX121" s="220"/>
      <c r="AY121" s="219" t="str">
        <f>IF(SnapshotTable[[#This Row],[Implied Move]]&gt;0, SnapshotTable[[#This Row],[Last Price]]-SnapshotTable[[#This Row],[Implied Move]],"")</f>
        <v/>
      </c>
      <c r="AZ121" s="219" t="str">
        <f>IF(SnapshotTable[[#This Row],[Implied Move]]&gt;0, SnapshotTable[[#This Row],[Last Price]] + SnapshotTable[[#This Row],[Implied Move]],"")</f>
        <v/>
      </c>
      <c r="BA121" s="331">
        <v>350.71</v>
      </c>
      <c r="BB121" s="347"/>
      <c r="BC12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1" s="351"/>
      <c r="BE121" s="5"/>
      <c r="BF121" s="14"/>
      <c r="BG121" s="13"/>
      <c r="BH121" s="13"/>
      <c r="BI121" s="5"/>
      <c r="BJ121" s="136">
        <f>IF(SnapshotTable[[#This Row],[LP Qty]] &gt; 0, SnapshotTable[[#This Row],[LP Qty]] * SnapshotTable[[#This Row],[LP Book Price]] * 100,0)</f>
        <v>0</v>
      </c>
      <c r="BK121" s="136">
        <f>IF(SnapshotTable[[#This Row],[LP Premium]] &gt; 0, SnapshotTable[[#This Row],[LP Qty]] * SnapshotTable[[#This Row],[LP Strike Price]] * 100,0)</f>
        <v>0</v>
      </c>
      <c r="BL121" s="154"/>
      <c r="BM121" s="385" t="str">
        <f>IF(SnapshotTable[[#This Row],[LP Premium]] &gt; 0,SnapshotTable[[#This Row],[LP Exp Date]]-MAX(SnapshotTable[[#This Row],[LP Book Date]], SnapshotTable[[#This Row],[LP Fill Date]]),"")</f>
        <v/>
      </c>
      <c r="BN121" s="385" t="str">
        <f>IF(ISNUMBER( SnapshotTable[[#This Row],[LP Term]]), SnapshotTable[[#This Row],[LP Exp Date]] - MockToday,"")</f>
        <v/>
      </c>
      <c r="BO121" s="163" t="str">
        <f>IF(AND(SnapshotTable[[#This Row],[LP Exp Date]]&gt;0, SnapshotTable[[#This Row],[LP Strike Price]]&gt;0,SnapshotTable[[#This Row],[LP Qty]]&gt;0,SnapshotTable[[#This Row],[LP Book Date]]&gt;0,SnapshotTable[[#This Row],[LP Book Price]]&gt;0,SnapshotTable[[#This Row],[LP Fill Date]]=0),"Y","")</f>
        <v/>
      </c>
      <c r="BP121" s="31" t="str">
        <f>IF(AND(SnapshotTable[[#This Row],[LP No Fill]]&lt;&gt;"Y",SnapshotTable[[#This Row],[LP Contract Value]]&gt;0, SnapshotTable[[#This Row],[LP Qty]]&gt;0), SnapshotTable[[#This Row],[LP Contract Value]]*SnapshotTable[[#This Row],[LP Qty]]*100,"")</f>
        <v/>
      </c>
      <c r="BQ121" s="13"/>
      <c r="BR121" s="5" t="str">
        <f>IF(SnapshotTable[[#This Row],[SP Exp Date]]&lt;&gt;"",TRUNC(SnapshotTable[[#This Row],[Last Price]]),"")</f>
        <v/>
      </c>
      <c r="BS121" s="36"/>
      <c r="BT121" s="147"/>
      <c r="BU121" s="13"/>
      <c r="BV121" s="5"/>
      <c r="BW121" s="419" t="b">
        <f>AND(ISNUMBER(SnapshotTable[[#This Row],[SP Exp Date]]), ISNUMBER(SnapshotTable[[#This Row],[SP Strike Price]]), ISNUMBER(SnapshotTable[[#This Row],[SP Qty]]), ISNUMBER(SnapshotTable[[#This Row],[SP Book Date]]), ISNUMBER(SnapshotTable[[#This Row],[SP Book Price]]))</f>
        <v>0</v>
      </c>
      <c r="BX121" s="419" t="b">
        <f>AND(SnapshotTable[[#This Row],[SP Is Booked]], NOT(ISBLANK(SnapshotTable[[#This Row],[SP Fill Date]])))</f>
        <v>0</v>
      </c>
      <c r="BY121" s="33">
        <f>IF(SnapshotTable[[#This Row],[SP Is Booked]], SnapshotTable[[#This Row],[SP Qty]] * SnapshotTable[[#This Row],[SP Book Price]] * 100, 0)</f>
        <v>0</v>
      </c>
      <c r="BZ121" s="369"/>
      <c r="CA121" s="368">
        <f>SnapshotTable[[#This Row],[LP Qty]]</f>
        <v>0</v>
      </c>
      <c r="CB121" s="4" t="str">
        <f>IF(SnapshotTable[[#This Row],[SP Is Booked]], SnapshotTable[[#This Row],[SP Strike Price]] - SnapshotTable[[#This Row],[SP Book Price]], "")</f>
        <v/>
      </c>
      <c r="CC121" s="19" t="str">
        <f>IF(SnapshotTable[[#This Row],[SP Is Booked]],SnapshotTable[[#This Row],[SP Exp Date]]-MAX(SnapshotTable[[#This Row],[SP Book Date]], SnapshotTable[[#This Row],[SP Fill Date]]),"")</f>
        <v/>
      </c>
      <c r="CD121" s="7" t="str">
        <f>IF(SnapshotTable[[#This Row],[SP Is Booked]], SnapshotTable[[#This Row],[SP Book Price]]/SnapshotTable[[#This Row],[SP Strike Price]], "")</f>
        <v/>
      </c>
      <c r="CE121" s="7" t="str">
        <f>IF(ISNUMBER(SnapshotTable[[#This Row],[SP ROO Term]]),SnapshotTable[[#This Row],[SP ROO Term]]*(365/SnapshotTable[[#This Row],[SP Term]]),"")</f>
        <v/>
      </c>
      <c r="CF121" s="236">
        <f>SnapshotTable[[#This Row],[LP Strike Price]] * SnapshotTable[[#This Row],[LP Qty]] * 100</f>
        <v>0</v>
      </c>
      <c r="CG121" s="31" t="e">
        <f>IF(ISNUMBER(SnapshotTable[[#This Row],[SP Premium]]), (SnapshotTable[[#This Row],[SP Qty]] * SnapshotTable[[#This Row],[SP Strike Price]]* 100) - SnapshotTable[[#This Row],[LP Protection]], 0)</f>
        <v>#VALUE!</v>
      </c>
      <c r="CH121" s="7" t="str">
        <f>IF(ISNUMBER(SnapshotTable[[#This Row],[SP Break Even]]),-1 * (SnapshotTable[[#This Row],[SP Break Even]] - SnapshotTable[[#This Row],[Last Price]]) / SnapshotTable[[#This Row],[Last Price]], "")</f>
        <v/>
      </c>
      <c r="CI121" s="31">
        <f>IF(AND(ISNUMBER((SnapshotTable[[#This Row],[SP Potential Spend]])), SnapshotTable[[#This Row],[SP Strike Price]] &gt; SnapshotTable[[#This Row],[Last Price]], SnapshotTable[[#This Row],[SP Is Filled]]), SnapshotTable[[#This Row],[SP Potential Spend]] -  SnapshotTable[[#This Row],[LP Max Value]], 0)</f>
        <v>0</v>
      </c>
      <c r="CJ121" s="244"/>
      <c r="CK121" s="31" t="str">
        <f>IF(ISNUMBER(SnapshotTable[[#This Row],[SP Potential Spend]]),IF(ISNUMBER(SnapshotTable[[#This Row],[SP POW]]), SnapshotTable[[#This Row],[SP POW]] * SnapshotTable[[#This Row],[SP Potential Spend]], SnapshotTable[[#This Row],[SP Potential Spend]]), "")</f>
        <v/>
      </c>
      <c r="CL121" s="164" t="e">
        <f>IF(NOT(SnapshotTable[[#This Row],[SP Is Filled]]),(SnapshotTable[[#This Row],[SP Qty]] * SnapshotTable[[#This Row],[SP Strike Price]] * 100) - SnapshotTable[[#This Row],[LP Max Value]],"")</f>
        <v>#VALUE!</v>
      </c>
      <c r="CM121" s="31" t="str">
        <f>IF(SnapshotTable[[#This Row],[SP Actual Spend]]&lt;&gt;0, ((SnapshotTable[[#This Row],[SP Strike Price]]-SnapshotTable[[#This Row],[Last Price]]) *(SnapshotTable[[#This Row],[SP Qty]]*100) - SnapshotTable[[#This Row],[SP Premium]]) * - 1, "")</f>
        <v/>
      </c>
      <c r="CN121" s="78"/>
      <c r="CO121" s="369"/>
      <c r="CP121" s="4" t="str">
        <f>IF(SnapshotTable[[#This Row],[SP Is Filled]], btc_max_buyback_amount(SnapshotTable[[#This Row],[SP Fill Date]],SnapshotTable[[#This Row],[SP Exp Date]], SnapshotTable[[#This Row],[SP Book Price]]),"")</f>
        <v/>
      </c>
      <c r="CQ121" s="78"/>
      <c r="CR12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1" s="155" t="str">
        <f>IF(SnapshotTable[[#This Row],[SP Is Filled]], btc_next_cutoff_date(SnapshotTable[[#This Row],[SP Fill Date]],SnapshotTable[[#This Row],[SP Exp Date]]),"")</f>
        <v/>
      </c>
      <c r="CT121" s="235" t="str" cm="1">
        <f t="array" ref="CT121">IF(SnapshotTable[[#This Row],[SP Is Filled]], btc_should_buy_back(SnapshotTable[[#This Row],[SP Fill Date]], SnapshotTable[[#This Row],[SP Exp Date]], SnapshotTable[[#This Row],[SP Book Price]], SnapshotTable[[#This Row],[SP Current Ask]], MockToday, SnapshotTable[[#This Row],[SP Buyback Override]]),"")</f>
        <v/>
      </c>
      <c r="CU121" s="143"/>
      <c r="CV121" s="235"/>
      <c r="CW121" s="378" t="str">
        <f>IF(ISNUMBER( SnapshotTable[[#This Row],[SP Term]]), SnapshotTable[[#This Row],[SP Exp Date]] - MockToday,"")</f>
        <v/>
      </c>
      <c r="CX121" s="31" t="str">
        <f>IF(SnapshotTable[[#This Row],[SP Is Filled]],SnapshotTable[[#This Row],[SP Buyback Price to Use]] * 100 * SnapshotTable[[#This Row],[SP Qty]], "")</f>
        <v/>
      </c>
      <c r="CY121" s="4" t="str">
        <f>IF(ISNUMBER(SnapshotTable[[#This Row],[SP Strike Price]]), SnapshotTable[[#This Row],[SP Strike Price]] * (1 - SP_MaxLoss_StrikePct), "")</f>
        <v/>
      </c>
      <c r="CZ121" s="31" t="str">
        <f>IF(ISNUMBER(SnapshotTable[[#This Row],[SP Strike  Stop Per Share]]),SnapshotTable[[#This Row],[SP Premium]] - ((SnapshotTable[[#This Row],[SP Strike Price]]-SnapshotTable[[#This Row],[SP Strike  Stop Per Share]]) *(SnapshotTable[[#This Row],[SP Qty]] * 100)),"")</f>
        <v/>
      </c>
      <c r="DA121" s="4" t="str">
        <f>IF(AND(ISNUMBER(SnapshotTable[[#This Row],[SP Premium]]),SnapshotTable[[#This Row],[SP Premium]]&gt;0), SnapshotTable[[#This Row],[SP Book Price]] * (1 + SP_MaxLoss_OptionPct), "")</f>
        <v/>
      </c>
      <c r="DB121" s="31" t="str">
        <f>IF(ISNUMBER(SnapshotTable[[#This Row],[SP Option  Stop Contract]]),(SnapshotTable[[#This Row],[SP Option  Stop Contract]] *(SnapshotTable[[#This Row],[SP Qty]] * 100) - SnapshotTable[[#This Row],[SP Premium]]),"")</f>
        <v/>
      </c>
      <c r="DC121" s="4"/>
      <c r="DD121" s="4"/>
      <c r="DE121" s="4" t="str">
        <f>IF(AND(SnapshotTable[[#This Row],[SP Qty]]&gt;0, SnapshotTable[[#This Row],[SP Stop To Use]]&gt;0),SnapshotTable[[#This Row],[SP Premium]] - ( SnapshotTable[[#This Row],[SP Qty]] * SnapshotTable[[#This Row],[SP Stop To Use]] * 100), "")</f>
        <v/>
      </c>
      <c r="DF121" s="31" t="str">
        <f>IF(AND(SnapshotTable[[#This Row],[SP Qty]]&gt;0,SnapshotTable[[#This Row],[SP Current Ask]]&gt;0), SnapshotTable[[#This Row],[SP Qty]] * SnapshotTable[[#This Row],[SP Current Ask]] * -100, "")</f>
        <v/>
      </c>
      <c r="DG121" s="31" t="str">
        <f>IF(ISNUMBER((SnapshotTable[[#This Row],[SP Total Value]])), SnapshotTable[[#This Row],[SP Premium]] + SnapshotTable[[#This Row],[SP Total Value]], "")</f>
        <v/>
      </c>
      <c r="DH121" s="294" t="str">
        <f>IF(ISNUMBER((SnapshotTable[[#This Row],[SP Total Value]])), SnapshotTable[[#This Row],[SP Gain Loss]] / SnapshotTable[[#This Row],[SP Premium]], "")</f>
        <v/>
      </c>
      <c r="DI121" s="406"/>
      <c r="DJ121" s="138"/>
      <c r="DK121" s="148"/>
      <c r="DL121" s="13"/>
      <c r="DM121" s="13"/>
      <c r="DN121" s="5"/>
      <c r="DO121" s="31">
        <f>IF(SnapshotTable[[#This Row],[LC Symbol Count]]=1, SnapshotTable[[#This Row],[LC Qty]] * SnapshotTable[[#This Row],[LC Book Price]] * 100, 0)</f>
        <v>0</v>
      </c>
      <c r="DP121" s="163" t="str">
        <f>IF(AND(SnapshotTable[[#This Row],[LC Exp Date]]&gt;0, SnapshotTable[[#This Row],[LC Strike Price]]&gt;0,SnapshotTable[[#This Row],[LC Qty]]&gt;0,SnapshotTable[[#This Row],[LC Book Date]]&gt;0,SnapshotTable[[#This Row],[LC Book Price]]&gt;0,SnapshotTable[[#This Row],[LC Fill Date]]=0),"Y","")</f>
        <v/>
      </c>
      <c r="DQ121" s="386" t="str">
        <f>IF(SnapshotTable[[#This Row],[LC Premium]] &gt; 0,SnapshotTable[[#This Row],[LC Exp Date]]-MAX(SnapshotTable[[#This Row],[LC Book Date]], SnapshotTable[[#This Row],[LC Fill Date]]),"")</f>
        <v/>
      </c>
      <c r="DR121" s="386" t="str">
        <f>IF(ISNUMBER(SnapshotTable[[#This Row],[LC Term]]), SnapshotTable[[#This Row],[LC Exp Date]] - MockToday, "")</f>
        <v/>
      </c>
      <c r="DS121" s="234" t="str">
        <f>IF(SnapshotTable[[#This Row],[LC Premium]]&gt;0,SnapshotTable[[#This Row],[LC Strike Price]] + SnapshotTable[[#This Row],[LC Book Price]],"")</f>
        <v/>
      </c>
      <c r="DT121" s="5"/>
      <c r="DU121" s="9" t="str">
        <f>IF(AND(SnapshotTable[[#This Row],[LC Symbol Count]]&gt;0, SnapshotTable[[#This Row],[LC Contract Value]]&gt;0), SnapshotTable[[#This Row],[LC Contract Value]] * SnapshotTable[[#This Row],[LC Qty]] * 100, "")</f>
        <v/>
      </c>
      <c r="DV121" s="9" t="str">
        <f>IF(AND(ISNUMBER(SnapshotTable[[#This Row],[LC Total Value]]), SnapshotTable[[#This Row],[LC Not Filled]]&lt;&gt;"Y"), SnapshotTable[[#This Row],[LC Total Value]]-SnapshotTable[[#This Row],[LC Premium]],"")</f>
        <v/>
      </c>
      <c r="DW121" s="240" t="str">
        <f>IF(ISNUMBER(SnapshotTable[[#This Row],[LC Actual Gain Loss]]), SnapshotTable[[#This Row],[LC Actual Gain Loss]] / SnapshotTable[[#This Row],[LC Premium]],"")</f>
        <v/>
      </c>
      <c r="DX121" s="284" t="str">
        <f>IF(ISNUMBER(SnapshotTable[[#This Row],[LC Book Price]]),SnapshotTable[[#This Row],[LC Book Price]] * 1.5,"")</f>
        <v/>
      </c>
      <c r="DY121" s="265" t="str">
        <f>IF(SnapshotTable[[#This Row],[LC Premium]]&gt;0, SnapshotTable[[#This Row],[LC Next Target]] * SnapshotTable[[#This Row],[LC Qty]] * 100,"")</f>
        <v/>
      </c>
      <c r="DZ121" s="265" t="str">
        <f>IF(ISNUMBER(SnapshotTable[[#This Row],[LC Target Gross]]), SnapshotTable[[#This Row],[LC Target Gross]] - SnapshotTable[[#This Row],[LC Premium]], "")</f>
        <v/>
      </c>
      <c r="EA121" s="305" t="str">
        <f>IF(ISNUMBER(SnapshotTable[[#This Row],[LC Target Gain Loss]]), SnapshotTable[[#This Row],[LC Target Gain Loss]]/SnapshotTable[[#This Row],[LC Premium]], "")</f>
        <v/>
      </c>
      <c r="EB121" s="262"/>
      <c r="EC121" s="283" t="str">
        <f>IF(SnapshotTable[[#This Row],[LC Premium]]&gt;0, SnapshotTable[[#This Row],[LC Book Price]] * (1 - LC_StopLoss_Pct),"")</f>
        <v/>
      </c>
      <c r="ED121" s="284"/>
      <c r="EE121" s="283" t="str">
        <f>IF(ISNUMBER(SnapshotTable[[#This Row],[LC Contract Value]]),IF(ISNUMBER(SnapshotTable[[#This Row],[LC Stop Loss Override]]), SnapshotTable[[#This Row],[LC Stop Loss Override]],SnapshotTable[[#This Row],[LC Stop Loss Calc Target]]),"")</f>
        <v/>
      </c>
      <c r="EF121" s="31" t="str">
        <f>IF(ISNUMBER(SnapshotTable[[#This Row],[LC Stop  To Use]]), (SnapshotTable[[#This Row],[LC Stop  To Use]] * SnapshotTable[[#This Row],[LC Qty]] * 100),"")</f>
        <v/>
      </c>
      <c r="EG121" s="9" t="str">
        <f>IF(ISNUMBER(SnapshotTable[[#This Row],[LC Total Value]]),SnapshotTable[[#This Row],[LC Stop Loss Amount]] - SnapshotTable[[#This Row],[LC Premium]],"")</f>
        <v/>
      </c>
      <c r="EH121" s="9">
        <f>IF(ISNUMBER(SnapshotTable[[#This Row],[LC Premium]]), SnapshotTable[[#This Row],[LC Qty]] * 100 * SnapshotTable[[#This Row],[LC Strike Price]], "")</f>
        <v>0</v>
      </c>
      <c r="EI121" s="240" t="str">
        <f>IF(AND(ISNUMBER(SnapshotTable[[#This Row],[LC Total Value]]),SnapshotTable[[#This Row],[LC Total Value]]&gt;0),SnapshotTable[[#This Row],[LC Stop Gain Loss]]  / SnapshotTable[[#This Row],[LC Premium]],"")</f>
        <v/>
      </c>
      <c r="EJ121" s="35">
        <f>IF(ISNUMBER(SnapshotTable[[#This Row],[Equity Shares]]),TRUNC(SnapshotTable[[#This Row],[Equity Shares]] / 100),0) + SnapshotTable[[#This Row],[LC Qty]]</f>
        <v>0</v>
      </c>
      <c r="EK121" s="147"/>
      <c r="EL121" s="138" t="str">
        <f>IF(SnapshotTable[[#This Row],[SC Exp Date]]&lt;&gt;"",TRUNC(SnapshotTable[[#This Row],[Last Price]]),"")</f>
        <v/>
      </c>
      <c r="EM121" s="148"/>
      <c r="EN121" s="147"/>
      <c r="EO121" s="147"/>
      <c r="EP121" s="138"/>
      <c r="EQ121" s="419" t="b">
        <f>AND(ISNUMBER(SnapshotTable[[#This Row],[SC Exp Date]]), ISNUMBER(SnapshotTable[[#This Row],[SC Strike Price]]), ISNUMBER(SnapshotTable[[#This Row],[SC Qty]]), ISNUMBER(SnapshotTable[[#This Row],[SC Book Date]]), ISNUMBER(SnapshotTable[[#This Row],[SC Book Price]]))</f>
        <v>0</v>
      </c>
      <c r="ER121" s="419" t="b">
        <f>AND(SnapshotTable[[#This Row],[SC Is Booked]], NOT(ISBLANK(SnapshotTable[[#This Row],[SC Fill Date]])))</f>
        <v>0</v>
      </c>
      <c r="ES121" s="370"/>
      <c r="ET121" s="34" t="str">
        <f>IF(AND(ISNUMBER(SnapshotTable[[#This Row],[SC Exp Date]]), ISNUMBER(SnapshotTable[[#This Row],[SC Book Date]])), SnapshotTable[[#This Row],[SC Exp Date]] - MAX(SnapshotTable[[#This Row],[SC Book Date]], SnapshotTable[[#This Row],[SC Fill Date]]) + 1, "")</f>
        <v/>
      </c>
      <c r="EU121" s="34" t="str">
        <f>IF(ISNUMBER(SnapshotTable[[#This Row],[SC Term]]), SnapshotTable[[#This Row],[SC Exp Date]]- MockToday, "")</f>
        <v/>
      </c>
      <c r="EV121" s="31">
        <f>IF(SnapshotTable[[#This Row],[SC Is Booked]], SnapshotTable[[#This Row],[SC Qty]] * SnapshotTable[[#This Row],[SC Book Price]] * 100, 0)</f>
        <v>0</v>
      </c>
      <c r="EW121" s="4" t="str">
        <f>IF(AND(ISNUMBER(SnapshotTable[[#This Row],[Last Price]]), ISNUMBER( SnapshotTable[[#This Row],[SC Book Price]])), SnapshotTable[[#This Row],[Last Price]] - SnapshotTable[[#This Row],[SC Book Price]],"")</f>
        <v/>
      </c>
      <c r="EX121" s="234" t="str">
        <f>IF(SnapshotTable[[#This Row],[SC Is Booked]],IF(SnapshotTable[[#This Row],[SC Intrinsic Value]] &gt; 0, SnapshotTable[[#This Row],[SC Strike Price]], SnapshotTable[[#This Row],[Last Price]]), "")</f>
        <v/>
      </c>
      <c r="EY121" s="4">
        <f>IF(SnapshotTable[[#This Row],[SC Is Booked]], (MinimumPremiumRequired * SnapshotTable[[#This Row],[SC Basis]] * SnapshotTable[[#This Row],[SC Term]]), 0)</f>
        <v>0</v>
      </c>
      <c r="EZ121" s="283"/>
      <c r="FA121" s="218"/>
      <c r="FB121" s="370"/>
      <c r="FC121" s="4">
        <f>IF(SnapshotTable[[#This Row],[SC Is Filled]], btc_max_buyback_amount(SnapshotTable[[#This Row],[SC Fill Date]],SnapshotTable[[#This Row],[SC Exp Date]], SnapshotTable[[#This Row],[SC Book Price]]),0)</f>
        <v>0</v>
      </c>
      <c r="FD121" s="5"/>
      <c r="FE121" s="144" t="str">
        <f>IF(SnapshotTable[[#This Row],[SC Is Filled]], btc_next_cutoff_date(SnapshotTable[[#This Row],[SC Fill Date]],SnapshotTable[[#This Row],[SC Exp Date]]),"")</f>
        <v/>
      </c>
      <c r="FF121" s="4" t="str" cm="1">
        <f t="array" ref="FF121">IF(SnapshotTable[[#This Row],[SC Is Filled]], btc_should_buy_back(SnapshotTable[[#This Row],[SC Fill Date]], SnapshotTable[[#This Row],[SC Exp Date]], SnapshotTable[[#This Row],[SC Book Price]], SnapshotTable[[#This Row],[SC Current Ask]], MockToday, SnapshotTable[[#This Row],[SC Buyback Override]]),"")</f>
        <v/>
      </c>
      <c r="FG121" s="4">
        <f>IF(SnapshotTable[[#This Row],[SC Is Filled]], MAX(0,SnapshotTable[[#This Row],[Last Price]]  - SnapshotTable[[#This Row],[SC Strike Price]]), 0)</f>
        <v>0</v>
      </c>
      <c r="FH121" s="382">
        <f>IF(SnapshotTable[[#This Row],[SC Is Filled]], IF(ISNUMBER(SnapshotTable[[#This Row],[SC Current Ask]]), SnapshotTable[[#This Row],[SC Current Ask]], SnapshotTable[[#This Row],[SC Book Price]]) - SnapshotTable[[#This Row],[SC Intrinsic Value]], 0)</f>
        <v>0</v>
      </c>
      <c r="FI121" s="143"/>
      <c r="FJ121" s="32" t="str">
        <f>IF(SnapshotTable[[#This Row],[SC Is Filled]],100 * SnapshotTable[[#This Row],[SC Qty]] * IF(ISNUMBER(SnapshotTable[[#This Row],[SC Buyback Override]]), SnapshotTable[[#This Row],[SC Buyback Override]], SnapshotTable[[#This Row],[SC Current Ask]]), "")</f>
        <v/>
      </c>
      <c r="FK121" s="250" t="str">
        <f>IF(SnapshotTable[[#This Row],[SC Time Val]]&gt;0, SnapshotTable[[#This Row],[SC Time Val]] / SnapshotTable[[#This Row],[Last Price]],"")</f>
        <v/>
      </c>
      <c r="FL121" s="302" t="str">
        <f>IF(SnapshotTable[[#This Row],[SC Is Booked]], ((SnapshotTable[[#This Row],[Last Price]] -SnapshotTable[[#This Row],[SC Strike Price]]) / SnapshotTable[[#This Row],[Last Price]]) * -1, "")</f>
        <v/>
      </c>
      <c r="FM121" s="157" t="str">
        <f>IF(SnapshotTable[[#This Row],[SC Is Booked]],  (SnapshotTable[[#This Row],[SC Qty]] * 100 * SnapshotTable[[#This Row],[SC Strike Price]]) - SnapshotTable[[#This Row],[SC Current Ask]], "")</f>
        <v/>
      </c>
      <c r="FN12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1" s="31" t="str">
        <f>IF(AND(ISNUMBER(SnapshotTable[[#This Row],[SC Exercise Gross]]), ISNUMBER(SnapshotTable[[#This Row],[Equity Basis Per Share]] )), SnapshotTable[[#This Row],[SC Exercise Gross]] - SnapshotTable[[#This Row],[Equity Basis Total]] +  SnapshotTable[[#This Row],[SC Premium]], "")</f>
        <v/>
      </c>
      <c r="FP121" s="5" t="str">
        <f>IF(ISNUMBER(SnapshotTable[[#This Row],[SC Exercise Gross]]), (SnapshotTable[[#This Row],[SC Exercise Gross]]) / (SnapshotTable[[#This Row],[SC Qty]] * 100), "")</f>
        <v/>
      </c>
      <c r="FQ121" s="27" t="str">
        <f>IF(SnapshotTable[[#This Row],[SC Is Booked]],SnapshotTable[[#This Row],[SC Time Val]] /SnapshotTable[[#This Row],[SC Basis]], "")</f>
        <v/>
      </c>
      <c r="FR121" s="27" t="str" cm="1">
        <f t="array" ref="FR121">IF(AND(ISNUMBER(SnapshotTable[[#This Row],[SC Term]]),ISNUMBER(SnapshotTable[[#This Row],[SC Simple ROO]])), EllmanAnnualize(SnapshotTable[[#This Row],[SC DTE]], SnapshotTable[[#This Row],[SC Simple ROO]] ),"")</f>
        <v/>
      </c>
      <c r="FS121" s="4" t="e">
        <f>IF(SnapshotTable[[#This Row],[SC Strike Price]] &gt; SnapshotTable[[#This Row],[Last Price]], SnapshotTable[[#This Row],[SC Strike Price]] - SnapshotTable[[#This Row],[Last Price]],0)</f>
        <v>#VALUE!</v>
      </c>
      <c r="FT121" s="27" t="e">
        <f>IF(AND(ISNUMBER(SnapshotTable[[#This Row],[SC Upside Potential]]), SnapshotTable[[#This Row],[SC Upside Potential]] &gt; 0),(SnapshotTable[[#This Row],[SC Upside Potential]]/ SnapshotTable[[#This Row],[ACB]]),"")</f>
        <v>#VALUE!</v>
      </c>
      <c r="FU121" s="333" t="str">
        <f>IF(SnapshotTable[[#This Row],[SC Intrinsic Value]] &gt; 0,SnapshotTable[[#This Row],[SC Intrinsic Value]],"")</f>
        <v/>
      </c>
      <c r="FV121" s="27" t="str">
        <f>IF(AND( ISNUMBER( SnapshotTable[[#This Row],[ACB]]),ISNUMBER(SnapshotTable[[#This Row],[SC Downside Protect]])),SnapshotTable[[#This Row],[SC Downside Protect]] / SnapshotTable[[#This Row],[ACB]],"")</f>
        <v/>
      </c>
      <c r="FW121" s="236" t="str">
        <f>IF(AND(ISNUMBER(SnapshotTable[[#This Row],[SC Simple ROO]]),SnapshotTable[[#This Row],[SC Simple ROO]] &gt; 0), SnapshotTable[[#This Row],[SC Premium]] + (SnapshotTable[[#This Row],[SC Qty]] * SnapshotTable[[#This Row],[SC Upside Potential]]), "")</f>
        <v/>
      </c>
      <c r="FX121" s="302" t="str" cm="1">
        <f t="array" ref="FX121">IF(ISNUMBER(SnapshotTable[[#This Row],[SC Max Dollars]]), annualize(SnapshotTable[[#This Row],[SC Term]],(SnapshotTable[[#This Row],[SC Max Dollars]]/SnapshotTable[[#This Row],[SC Basis]])),"")</f>
        <v/>
      </c>
      <c r="FY121" s="236" t="str">
        <f>IF(AND(SnapshotTable[[#This Row],[SC Qty]]&gt;0,SnapshotTable[[#This Row],[SC Current Ask]]&gt;0), SnapshotTable[[#This Row],[SC Qty]] * SnapshotTable[[#This Row],[SC Current Ask]] * -100, "")</f>
        <v/>
      </c>
      <c r="FZ121" s="31" t="str">
        <f>IF(ISNUMBER((SnapshotTable[[#This Row],[SC Current Value]])), SnapshotTable[[#This Row],[SC Premium]] + SnapshotTable[[#This Row],[SC Current Value]], "")</f>
        <v/>
      </c>
      <c r="GA121" s="294" t="str">
        <f>IFERROR( IF(ISNUMBER((SnapshotTable[[#This Row],[SC Current Value]])), SnapshotTable[[#This Row],[SC Gain Loss]] / SnapshotTable[[#This Row],[SC Premium]], ""), "")</f>
        <v/>
      </c>
      <c r="GB121" s="42">
        <f>SnapshotTable[[#This Row],[Equity Shares]] * SaleSharesToConsiderPercentage</f>
        <v>0</v>
      </c>
      <c r="GC121" s="40">
        <f>SnapshotTable[[#This Row],[Long Term Target]] * SellingPriceToConsiderBasedOnTargetPercentage</f>
        <v>109.55399999999999</v>
      </c>
      <c r="GD121" s="40">
        <f>SnapshotTable[[#This Row],[Last Price]] * (1+ SellingPriceToConsiderBasedOnTargetPercentage)</f>
        <v>1080.144</v>
      </c>
      <c r="GE121" s="41"/>
      <c r="GF121" s="40"/>
      <c r="GG121" s="31">
        <f>SnapshotTable[[#This Row],[Booked Sale Shares]] * SnapshotTable[[#This Row],[Booked Sale Price]]</f>
        <v>0</v>
      </c>
      <c r="GH121" s="31" t="str">
        <f>IF(SnapshotTable[[#This Row],[Equity Basis Total]] &gt; 0, SnapshotTable[[#This Row],[Equity Basis Per Share]] * SnapshotTable[[#This Row],[Booked Sale Shares]], "")</f>
        <v/>
      </c>
      <c r="GI121" s="31">
        <f>IF(SnapshotTable[[#This Row],[Sale Proceeds]]&gt;0, SnapshotTable[[#This Row],[Sale Proceeds]] - SnapshotTable[[#This Row],[Sale Basis]], 0)</f>
        <v>0</v>
      </c>
      <c r="GJ121" s="27" t="str">
        <f>IF(SnapshotTable[[#This Row],[Sale G/L]]&gt;0, SnapshotTable[[#This Row],[Sale G/L]] / SnapshotTable[[#This Row],[Sale Basis]], IF(ISNUMBER(SnapshotTable[[#This Row],[SC Exercise P&amp;L (TAX)]]), SnapshotTable[[#This Row],[SC Exercise P&amp;L (TAX)]] / SnapshotTable[[#This Row],[SC Basis]], ""))</f>
        <v/>
      </c>
      <c r="GK121" s="27" t="s">
        <v>630</v>
      </c>
      <c r="GL121" s="43" t="str">
        <f>IF(AND(SnapshotTable[[#This Row],[LP Exp Date]]&gt;0,SnapshotTable[[#This Row],[LP Strike Price]]&gt;0), [1]!ToOptionSymbol(SnapshotTable[[#This Row],[Symbol]], SnapshotTable[[#This Row],[LP Strike Price]],SnapshotTable[[#This Row],[LP Exp Date]],1), "")</f>
        <v/>
      </c>
      <c r="GM121" s="30" t="str">
        <f>IF(LEN(SnapshotTable[[#This Row],[LP Symbol]])&gt;0, 1, "")</f>
        <v/>
      </c>
      <c r="GN121" s="43" t="str">
        <f>IF(AND(SnapshotTable[[#This Row],[SP Exp Date]]&gt;0,SnapshotTable[[#This Row],[SP Strike Price]]&gt;0), [1]!ToOptionSymbol(SnapshotTable[[#This Row],[Symbol]], SnapshotTable[[#This Row],[SP Strike Price]],SnapshotTable[[#This Row],[SP Exp Date]],1), "")</f>
        <v/>
      </c>
      <c r="GO121" s="30" t="str">
        <f>IF(LEN(SnapshotTable[[#This Row],[SP Symbol]])&gt;0, 1, "")</f>
        <v/>
      </c>
      <c r="GP121" s="43" t="str">
        <f>IF(AND(SnapshotTable[[#This Row],[LC Exp Date]]&gt;0,SnapshotTable[[#This Row],[LC Strike Price]]&gt;0), [1]!ToOptionSymbol(SnapshotTable[[#This Row],[Symbol]], SnapshotTable[[#This Row],[LC Strike Price]],SnapshotTable[[#This Row],[LC Exp Date]],0), "")</f>
        <v/>
      </c>
      <c r="GQ121" s="30" t="str">
        <f>IF(LEN(SnapshotTable[[#This Row],[LC Symbol]])&gt;0, 1, "")</f>
        <v/>
      </c>
      <c r="GR121" s="43" t="str">
        <f>IF(AND(SnapshotTable[[#This Row],[SC Exp Date]]&gt;0,SnapshotTable[[#This Row],[SC Strike Price]]&gt;0), [1]!ToOptionSymbol(SnapshotTable[[#This Row],[Symbol]], SnapshotTable[[#This Row],[SC Strike Price]],SnapshotTable[[#This Row],[SC Exp Date]],0), "")</f>
        <v/>
      </c>
      <c r="GS121" s="30" t="str">
        <f>IF(LEN(SnapshotTable[[#This Row],[SC Symbol]])&gt;0, 1, "")</f>
        <v/>
      </c>
      <c r="GT121" s="29" t="str">
        <f>IF(COUNT(SnapshotTable[[#This Row],[LP Symbol Count]],SnapshotTable[[#This Row],[SP Symbol Count]],SnapshotTable[[#This Row],[LC Symbol Count]],SnapshotTable[[#This Row],[SC Symbol Count]])&gt;0, "Y", "")</f>
        <v/>
      </c>
      <c r="GU121" s="29"/>
      <c r="GV121" s="231" t="e">
        <f>MAX(SnapshotTable[[#This Row],[Equity Basis Total]],SnapshotTable[[#This Row],[Equity Value]]) + (SnapshotTable[[#This Row],[SP Potential Spend]]- SnapshotTable[[#This Row],[SP Premium]] + SnapshotTable[[#This Row],[LP Premium]])+ (SnapshotTable[[#This Row],[LC Premium]] - SnapshotTable[[#This Row],[SC Premium]])</f>
        <v>#VALUE!</v>
      </c>
      <c r="GW121" s="139" t="e">
        <f>IF(AND(SnapshotTable[[#This Row],[Exposure]] &lt;&gt; 0),SnapshotTable[[#This Row],[Exposure]] / SnapshotTable[[#Totals],[Exposure]], "")</f>
        <v>#VALUE!</v>
      </c>
      <c r="GY121" s="381"/>
      <c r="HE121" s="268"/>
      <c r="HF121" s="268"/>
      <c r="HG121" s="381"/>
      <c r="HH121" s="381"/>
      <c r="HI121" s="381"/>
      <c r="HJ121" s="381"/>
    </row>
    <row r="122" spans="2:224" ht="12.75" hidden="1" customHeight="1" x14ac:dyDescent="0.25">
      <c r="B122" s="12" t="s">
        <v>1054</v>
      </c>
      <c r="C122" s="422">
        <v>22.85</v>
      </c>
      <c r="D122" s="208" t="s">
        <v>578</v>
      </c>
      <c r="E122" s="39">
        <f>SnapshotTable[[#This Row],[Last Price]]*(1 -CrashDiscount)</f>
        <v>19.422499999999999</v>
      </c>
      <c r="F122" s="26" t="s">
        <v>5</v>
      </c>
      <c r="G122" s="26" t="s">
        <v>4</v>
      </c>
      <c r="H122" s="149"/>
      <c r="I122" s="194"/>
      <c r="J122" s="195"/>
      <c r="K122" s="196"/>
      <c r="L122" s="326"/>
      <c r="M122" s="140"/>
      <c r="N122" s="140"/>
      <c r="O122" s="140"/>
      <c r="P122" s="22"/>
      <c r="Q122" s="25"/>
      <c r="R122" s="4" t="str">
        <f>IF(SnapshotTable[[#This Row],[Equity Basis Total]] &gt; 0, SnapshotTable[[#This Row],[Equity Basis Total]] / SnapshotTable[[#This Row],[Equity Shares]], "")</f>
        <v/>
      </c>
      <c r="S122" s="269">
        <f>SnapshotTable[[#This Row],[Last Price]] * SnapshotTable[[#This Row],[Equity Shares]]</f>
        <v>0</v>
      </c>
      <c r="T122" s="269">
        <f>SnapshotTable[[#This Row],[Equity Value]] - SnapshotTable[[#This Row],[Equity Basis Total]]</f>
        <v>0</v>
      </c>
      <c r="U122" s="270" t="str">
        <f>IF(SnapshotTable[[#This Row],[Equity Basis Total]] &gt; 0, SnapshotTable[[#This Row],[Equity G/L]] / SnapshotTable[[#This Row],[Equity Basis Total]], "")</f>
        <v/>
      </c>
      <c r="V122" s="268"/>
      <c r="W122" s="268"/>
      <c r="X122" s="4" t="str">
        <f>IF(AND(ISNUMBER(SnapshotTable[[#This Row],[Equity Basis Per Share]]),ISNUMBER(SnapshotTable[[#This Row],[Equity Target]])),SnapshotTable[[#This Row],[Equity Target]]-SnapshotTable[[#This Row],[Equity Basis Per Share]],"")</f>
        <v/>
      </c>
      <c r="Y122" s="4" t="str">
        <f>IF(AND(ISNUMBER(SnapshotTable[[#This Row],[Equity Basis Per Share]]),ISNUMBER(SnapshotTable[[#This Row],[Equity Stop Loss]])),SnapshotTable[[#This Row],[Equity Stop Loss]]-SnapshotTable[[#This Row],[Equity Basis Per Share]],"")</f>
        <v/>
      </c>
      <c r="Z122" s="275" t="str">
        <f>IFERROR( TEXT(SnapshotTable[[#This Row],[Equity Max Gain Per Share]] /ABS( SnapshotTable[[#This Row],[Equity Max Loss Per Share]]),"0.0 " ) &amp; " : 1", "")</f>
        <v/>
      </c>
      <c r="AA122" s="31" t="str">
        <f>IF(ISNUMBER(SnapshotTable[[#This Row],[Equity Max Gain Per Share]]),SnapshotTable[[#This Row],[Equity Max Gain Per Share]] * SnapshotTable[[#This Row],[Equity Shares]],"")</f>
        <v/>
      </c>
      <c r="AB122" s="31" t="str">
        <f>IF(ISNUMBER(SnapshotTable[[#This Row],[Equity Max Loss Per Share]]),SnapshotTable[[#This Row],[Equity Max Loss Per Share]] * SnapshotTable[[#This Row],[Equity Shares]],"")</f>
        <v/>
      </c>
      <c r="AC122" s="150"/>
      <c r="AD122" s="151"/>
      <c r="AE122" s="31">
        <f>(SnapshotTable[[#This Row],[Annual Dividend Per Share]] / 4) * SnapshotTable[[#This Row],[Equity Shares]]</f>
        <v>0</v>
      </c>
      <c r="AF122" s="31">
        <f>SnapshotTable[[#This Row],[Quarterly Div $]] * 4</f>
        <v>0</v>
      </c>
      <c r="AG122" s="7">
        <f>IF(SnapshotTable[[#This Row],[Annual Dividend Per Share]]&gt;0, SnapshotTable[[#This Row],[Annual Dividend Per Share]]  / SnapshotTable[[#This Row],[Last Price]], 0)</f>
        <v>0</v>
      </c>
      <c r="AH122" s="151"/>
      <c r="AI122" s="5"/>
      <c r="AJ122" s="138"/>
      <c r="AK122" s="152" t="str">
        <f>IF(ISNUMBER( SnapshotTable[[#This Row],[EBF Target]]),(SnapshotTable[[#This Row],[EBF Target]] - SnapshotTable[[#This Row],[Last Price]]) / SnapshotTable[[#This Row],[Last Price]], "")</f>
        <v/>
      </c>
      <c r="AL122" s="152" t="str">
        <f>IF(AND(SnapshotTable[[#This Row],[Equity Basis Total]] &gt; 0,ISNUMBER( SnapshotTable[[#This Row],[Long Term Target]])), SnapshotTable[[#This Row],[From Basis $]] / SnapshotTable[[#This Row],[Equity Basis Total]], "")</f>
        <v/>
      </c>
      <c r="AM122" s="9">
        <f>IF( AND(SnapshotTable[[#This Row],[Equity Shares]] &gt;0,ISNUMBER( SnapshotTable[[#This Row],[Long Term Target]])),(SnapshotTable[[#This Row],[Equity Shares]] * SnapshotTable[[#This Row],[Long Term Target]]) - SnapshotTable[[#This Row],[Equity Basis Total]],0)</f>
        <v>0</v>
      </c>
      <c r="AN122" s="9">
        <f>IF( AND(SnapshotTable[[#This Row],[Equity Shares]] &gt;0,ISNUMBER( SnapshotTable[[#This Row],[Long Term Target]])),(SnapshotTable[[#This Row],[Equity Shares]]*SnapshotTable[[#This Row],[Long Term Target]]) - SnapshotTable[[#This Row],[Equity Value]],0)</f>
        <v>0</v>
      </c>
      <c r="AO122" s="152" t="str">
        <f>IF(AND(ISNUMBER( SnapshotTable[[#This Row],[Long Term Target]]), ISNUMBER(SnapshotTable[[#This Row],[Last Price]])),(SnapshotTable[[#This Row],[Long Term Target]] - SnapshotTable[[#This Row],[Last Price]]) / SnapshotTable[[#This Row],[Last Price]], "")</f>
        <v/>
      </c>
      <c r="AP122" s="5"/>
      <c r="AQ122" s="38" t="s">
        <v>27</v>
      </c>
      <c r="AR122" s="5"/>
      <c r="AS122" s="38" t="s">
        <v>38</v>
      </c>
      <c r="AT122" s="146" t="s">
        <v>542</v>
      </c>
      <c r="AU122" s="187" t="str">
        <f>IF(OR(SnapshotTable[[#This Row],[LP No Fill]]="Y",SnapshotTable[[#This Row],[SP Is Filled]],SnapshotTable[[#This Row],[LC Not Filled]]="Y",SnapshotTable[[#This Row],[SC Is Filled]]),"Y","")</f>
        <v/>
      </c>
      <c r="AV122" s="219"/>
      <c r="AW122" s="225"/>
      <c r="AX122" s="220"/>
      <c r="AY122" s="219" t="str">
        <f>IF(SnapshotTable[[#This Row],[Implied Move]]&gt;0, SnapshotTable[[#This Row],[Last Price]]-SnapshotTable[[#This Row],[Implied Move]],"")</f>
        <v/>
      </c>
      <c r="AZ122" s="219" t="str">
        <f>IF(SnapshotTable[[#This Row],[Implied Move]]&gt;0, SnapshotTable[[#This Row],[Last Price]] + SnapshotTable[[#This Row],[Implied Move]],"")</f>
        <v/>
      </c>
      <c r="BA122" s="331">
        <v>722</v>
      </c>
      <c r="BB122" s="347"/>
      <c r="BC12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2" s="351"/>
      <c r="BE122" s="5"/>
      <c r="BF122" s="14"/>
      <c r="BG122" s="13"/>
      <c r="BH122" s="13"/>
      <c r="BI122" s="5"/>
      <c r="BJ122" s="136">
        <f>IF(SnapshotTable[[#This Row],[LP Qty]] &gt; 0, SnapshotTable[[#This Row],[LP Qty]] * SnapshotTable[[#This Row],[LP Book Price]] * 100,0)</f>
        <v>0</v>
      </c>
      <c r="BK122" s="136">
        <f>IF(SnapshotTable[[#This Row],[LP Premium]] &gt; 0, SnapshotTable[[#This Row],[LP Qty]] * SnapshotTable[[#This Row],[LP Strike Price]] * 100,0)</f>
        <v>0</v>
      </c>
      <c r="BL122" s="154"/>
      <c r="BM122" s="385" t="str">
        <f>IF(SnapshotTable[[#This Row],[LP Premium]] &gt; 0,SnapshotTable[[#This Row],[LP Exp Date]]-MAX(SnapshotTable[[#This Row],[LP Book Date]], SnapshotTable[[#This Row],[LP Fill Date]]),"")</f>
        <v/>
      </c>
      <c r="BN122" s="385" t="str">
        <f>IF(ISNUMBER( SnapshotTable[[#This Row],[LP Term]]), SnapshotTable[[#This Row],[LP Exp Date]] - MockToday,"")</f>
        <v/>
      </c>
      <c r="BO122" s="163" t="str">
        <f>IF(AND(SnapshotTable[[#This Row],[LP Exp Date]]&gt;0, SnapshotTable[[#This Row],[LP Strike Price]]&gt;0,SnapshotTable[[#This Row],[LP Qty]]&gt;0,SnapshotTable[[#This Row],[LP Book Date]]&gt;0,SnapshotTable[[#This Row],[LP Book Price]]&gt;0,SnapshotTable[[#This Row],[LP Fill Date]]=0),"Y","")</f>
        <v/>
      </c>
      <c r="BP122" s="31" t="str">
        <f>IF(AND(SnapshotTable[[#This Row],[LP No Fill]]&lt;&gt;"Y",SnapshotTable[[#This Row],[LP Contract Value]]&gt;0, SnapshotTable[[#This Row],[LP Qty]]&gt;0), SnapshotTable[[#This Row],[LP Contract Value]]*SnapshotTable[[#This Row],[LP Qty]]*100,"")</f>
        <v/>
      </c>
      <c r="BQ122" s="13"/>
      <c r="BR122" s="5" t="str">
        <f>IF(SnapshotTable[[#This Row],[SP Exp Date]]&lt;&gt;"",TRUNC(SnapshotTable[[#This Row],[Last Price]]),"")</f>
        <v/>
      </c>
      <c r="BS122" s="36"/>
      <c r="BT122" s="147"/>
      <c r="BU122" s="13"/>
      <c r="BV122" s="5"/>
      <c r="BW122" s="419" t="b">
        <f>AND(ISNUMBER(SnapshotTable[[#This Row],[SP Exp Date]]), ISNUMBER(SnapshotTable[[#This Row],[SP Strike Price]]), ISNUMBER(SnapshotTable[[#This Row],[SP Qty]]), ISNUMBER(SnapshotTable[[#This Row],[SP Book Date]]), ISNUMBER(SnapshotTable[[#This Row],[SP Book Price]]))</f>
        <v>0</v>
      </c>
      <c r="BX122" s="419" t="b">
        <f>AND(SnapshotTable[[#This Row],[SP Is Booked]], NOT(ISBLANK(SnapshotTable[[#This Row],[SP Fill Date]])))</f>
        <v>0</v>
      </c>
      <c r="BY122" s="33">
        <f>IF(SnapshotTable[[#This Row],[SP Is Booked]], SnapshotTable[[#This Row],[SP Qty]] * SnapshotTable[[#This Row],[SP Book Price]] * 100, 0)</f>
        <v>0</v>
      </c>
      <c r="BZ122" s="369"/>
      <c r="CA122" s="368">
        <f>SnapshotTable[[#This Row],[LP Qty]]</f>
        <v>0</v>
      </c>
      <c r="CB122" s="4" t="str">
        <f>IF(SnapshotTable[[#This Row],[SP Is Booked]], SnapshotTable[[#This Row],[SP Strike Price]] - SnapshotTable[[#This Row],[SP Book Price]], "")</f>
        <v/>
      </c>
      <c r="CC122" s="19" t="str">
        <f>IF(SnapshotTable[[#This Row],[SP Is Booked]],SnapshotTable[[#This Row],[SP Exp Date]]-MAX(SnapshotTable[[#This Row],[SP Book Date]], SnapshotTable[[#This Row],[SP Fill Date]]),"")</f>
        <v/>
      </c>
      <c r="CD122" s="7" t="str">
        <f>IF(SnapshotTable[[#This Row],[SP Is Booked]], SnapshotTable[[#This Row],[SP Book Price]]/SnapshotTable[[#This Row],[SP Strike Price]], "")</f>
        <v/>
      </c>
      <c r="CE122" s="7" t="str">
        <f>IF(ISNUMBER(SnapshotTable[[#This Row],[SP ROO Term]]),SnapshotTable[[#This Row],[SP ROO Term]]*(365/SnapshotTable[[#This Row],[SP Term]]),"")</f>
        <v/>
      </c>
      <c r="CF122" s="236">
        <f>SnapshotTable[[#This Row],[LP Strike Price]] * SnapshotTable[[#This Row],[LP Qty]] * 100</f>
        <v>0</v>
      </c>
      <c r="CG122" s="31" t="e">
        <f>IF(ISNUMBER(SnapshotTable[[#This Row],[SP Premium]]), (SnapshotTable[[#This Row],[SP Qty]] * SnapshotTable[[#This Row],[SP Strike Price]]* 100) - SnapshotTable[[#This Row],[LP Protection]], 0)</f>
        <v>#VALUE!</v>
      </c>
      <c r="CH122" s="7" t="str">
        <f>IF(ISNUMBER(SnapshotTable[[#This Row],[SP Break Even]]),-1 * (SnapshotTable[[#This Row],[SP Break Even]] - SnapshotTable[[#This Row],[Last Price]]) / SnapshotTable[[#This Row],[Last Price]], "")</f>
        <v/>
      </c>
      <c r="CI122" s="31">
        <f>IF(AND(ISNUMBER((SnapshotTable[[#This Row],[SP Potential Spend]])), SnapshotTable[[#This Row],[SP Strike Price]] &gt; SnapshotTable[[#This Row],[Last Price]], SnapshotTable[[#This Row],[SP Is Filled]]), SnapshotTable[[#This Row],[SP Potential Spend]] -  SnapshotTable[[#This Row],[LP Max Value]], 0)</f>
        <v>0</v>
      </c>
      <c r="CJ122" s="244"/>
      <c r="CK122" s="31" t="str">
        <f>IF(ISNUMBER(SnapshotTable[[#This Row],[SP Potential Spend]]),IF(ISNUMBER(SnapshotTable[[#This Row],[SP POW]]), SnapshotTable[[#This Row],[SP POW]] * SnapshotTable[[#This Row],[SP Potential Spend]], SnapshotTable[[#This Row],[SP Potential Spend]]), "")</f>
        <v/>
      </c>
      <c r="CL122" s="164" t="e">
        <f>IF(NOT(SnapshotTable[[#This Row],[SP Is Filled]]),(SnapshotTable[[#This Row],[SP Qty]] * SnapshotTable[[#This Row],[SP Strike Price]] * 100) - SnapshotTable[[#This Row],[LP Max Value]],"")</f>
        <v>#VALUE!</v>
      </c>
      <c r="CM122" s="31" t="str">
        <f>IF(SnapshotTable[[#This Row],[SP Actual Spend]]&lt;&gt;0, ((SnapshotTable[[#This Row],[SP Strike Price]]-SnapshotTable[[#This Row],[Last Price]]) *(SnapshotTable[[#This Row],[SP Qty]]*100) - SnapshotTable[[#This Row],[SP Premium]]) * - 1, "")</f>
        <v/>
      </c>
      <c r="CN122" s="78"/>
      <c r="CO122" s="369"/>
      <c r="CP122" s="4" t="str">
        <f>IF(SnapshotTable[[#This Row],[SP Is Filled]], btc_max_buyback_amount(SnapshotTable[[#This Row],[SP Fill Date]],SnapshotTable[[#This Row],[SP Exp Date]], SnapshotTable[[#This Row],[SP Book Price]]),"")</f>
        <v/>
      </c>
      <c r="CQ122" s="78"/>
      <c r="CR12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2" s="155" t="str">
        <f>IF(SnapshotTable[[#This Row],[SP Is Filled]], btc_next_cutoff_date(SnapshotTable[[#This Row],[SP Fill Date]],SnapshotTable[[#This Row],[SP Exp Date]]),"")</f>
        <v/>
      </c>
      <c r="CT122" s="235" t="str" cm="1">
        <f t="array" ref="CT122">IF(SnapshotTable[[#This Row],[SP Is Filled]], btc_should_buy_back(SnapshotTable[[#This Row],[SP Fill Date]], SnapshotTable[[#This Row],[SP Exp Date]], SnapshotTable[[#This Row],[SP Book Price]], SnapshotTable[[#This Row],[SP Current Ask]], MockToday, SnapshotTable[[#This Row],[SP Buyback Override]]),"")</f>
        <v/>
      </c>
      <c r="CU122" s="156"/>
      <c r="CV122" s="235"/>
      <c r="CW122" s="378" t="str">
        <f>IF(ISNUMBER( SnapshotTable[[#This Row],[SP Term]]), SnapshotTable[[#This Row],[SP Exp Date]] - MockToday,"")</f>
        <v/>
      </c>
      <c r="CX122" s="31" t="str">
        <f>IF(SnapshotTable[[#This Row],[SP Is Filled]],SnapshotTable[[#This Row],[SP Buyback Price to Use]] * 100 * SnapshotTable[[#This Row],[SP Qty]], "")</f>
        <v/>
      </c>
      <c r="CY122" s="4" t="str">
        <f>IF(ISNUMBER(SnapshotTable[[#This Row],[SP Strike Price]]), SnapshotTable[[#This Row],[SP Strike Price]] * (1 - SP_MaxLoss_StrikePct), "")</f>
        <v/>
      </c>
      <c r="CZ122" s="31" t="str">
        <f>IF(ISNUMBER(SnapshotTable[[#This Row],[SP Strike  Stop Per Share]]),SnapshotTable[[#This Row],[SP Premium]] - ((SnapshotTable[[#This Row],[SP Strike Price]]-SnapshotTable[[#This Row],[SP Strike  Stop Per Share]]) *(SnapshotTable[[#This Row],[SP Qty]] * 100)),"")</f>
        <v/>
      </c>
      <c r="DA122" s="4" t="str">
        <f>IF(AND(ISNUMBER(SnapshotTable[[#This Row],[SP Premium]]),SnapshotTable[[#This Row],[SP Premium]]&gt;0), SnapshotTable[[#This Row],[SP Book Price]] * (1 + SP_MaxLoss_OptionPct), "")</f>
        <v/>
      </c>
      <c r="DB122" s="31" t="str">
        <f>IF(ISNUMBER(SnapshotTable[[#This Row],[SP Option  Stop Contract]]),(SnapshotTable[[#This Row],[SP Option  Stop Contract]] *(SnapshotTable[[#This Row],[SP Qty]] * 100) - SnapshotTable[[#This Row],[SP Premium]]),"")</f>
        <v/>
      </c>
      <c r="DC122" s="4"/>
      <c r="DD122" s="4"/>
      <c r="DE122" s="4" t="str">
        <f>IF(AND(SnapshotTable[[#This Row],[SP Qty]]&gt;0, SnapshotTable[[#This Row],[SP Stop To Use]]&gt;0),SnapshotTable[[#This Row],[SP Premium]] - ( SnapshotTable[[#This Row],[SP Qty]] * SnapshotTable[[#This Row],[SP Stop To Use]] * 100), "")</f>
        <v/>
      </c>
      <c r="DF122" s="31" t="str">
        <f>IF(AND(SnapshotTable[[#This Row],[SP Qty]]&gt;0,SnapshotTable[[#This Row],[SP Current Ask]]&gt;0), SnapshotTable[[#This Row],[SP Qty]] * SnapshotTable[[#This Row],[SP Current Ask]] * -100, "")</f>
        <v/>
      </c>
      <c r="DG122" s="31" t="str">
        <f>IF(ISNUMBER((SnapshotTable[[#This Row],[SP Total Value]])), SnapshotTable[[#This Row],[SP Premium]] + SnapshotTable[[#This Row],[SP Total Value]], "")</f>
        <v/>
      </c>
      <c r="DH122" s="294" t="str">
        <f>IF(ISNUMBER((SnapshotTable[[#This Row],[SP Total Value]])), SnapshotTable[[#This Row],[SP Gain Loss]] / SnapshotTable[[#This Row],[SP Premium]], "")</f>
        <v/>
      </c>
      <c r="DI122" s="406"/>
      <c r="DJ122" s="138"/>
      <c r="DK122" s="148"/>
      <c r="DL122" s="13"/>
      <c r="DM122" s="13"/>
      <c r="DO122" s="31">
        <f>IF(SnapshotTable[[#This Row],[LC Symbol Count]]=1, SnapshotTable[[#This Row],[LC Qty]] * SnapshotTable[[#This Row],[LC Book Price]] * 100, 0)</f>
        <v>0</v>
      </c>
      <c r="DP122" s="163" t="str">
        <f>IF(AND(SnapshotTable[[#This Row],[LC Exp Date]]&gt;0, SnapshotTable[[#This Row],[LC Strike Price]]&gt;0,SnapshotTable[[#This Row],[LC Qty]]&gt;0,SnapshotTable[[#This Row],[LC Book Date]]&gt;0,SnapshotTable[[#This Row],[LC Book Price]]&gt;0,SnapshotTable[[#This Row],[LC Fill Date]]=0),"Y","")</f>
        <v/>
      </c>
      <c r="DQ122" s="386" t="str">
        <f>IF(SnapshotTable[[#This Row],[LC Premium]] &gt; 0,SnapshotTable[[#This Row],[LC Exp Date]]-MAX(SnapshotTable[[#This Row],[LC Book Date]], SnapshotTable[[#This Row],[LC Fill Date]]),"")</f>
        <v/>
      </c>
      <c r="DR122" s="386" t="str">
        <f>IF(ISNUMBER(SnapshotTable[[#This Row],[LC Term]]), SnapshotTable[[#This Row],[LC Exp Date]] - MockToday, "")</f>
        <v/>
      </c>
      <c r="DS122" s="234" t="str">
        <f>IF(SnapshotTable[[#This Row],[LC Premium]]&gt;0,SnapshotTable[[#This Row],[LC Strike Price]] + SnapshotTable[[#This Row],[LC Book Price]],"")</f>
        <v/>
      </c>
      <c r="DU122" s="9" t="str">
        <f>IF(AND(SnapshotTable[[#This Row],[LC Symbol Count]]&gt;0, SnapshotTable[[#This Row],[LC Contract Value]]&gt;0), SnapshotTable[[#This Row],[LC Contract Value]] * SnapshotTable[[#This Row],[LC Qty]] * 100, "")</f>
        <v/>
      </c>
      <c r="DV122" s="9" t="str">
        <f>IF(AND(ISNUMBER(SnapshotTable[[#This Row],[LC Total Value]]), SnapshotTable[[#This Row],[LC Not Filled]]&lt;&gt;"Y"), SnapshotTable[[#This Row],[LC Total Value]]-SnapshotTable[[#This Row],[LC Premium]],"")</f>
        <v/>
      </c>
      <c r="DW122" s="240" t="str">
        <f>IF(ISNUMBER(SnapshotTable[[#This Row],[LC Actual Gain Loss]]), SnapshotTable[[#This Row],[LC Actual Gain Loss]] / SnapshotTable[[#This Row],[LC Premium]],"")</f>
        <v/>
      </c>
      <c r="DX122" s="284" t="str">
        <f>IF(ISNUMBER(SnapshotTable[[#This Row],[LC Book Price]]),SnapshotTable[[#This Row],[LC Book Price]] * 1.5,"")</f>
        <v/>
      </c>
      <c r="DY122" s="265" t="str">
        <f>IF(SnapshotTable[[#This Row],[LC Premium]]&gt;0, SnapshotTable[[#This Row],[LC Next Target]] * SnapshotTable[[#This Row],[LC Qty]] * 100,"")</f>
        <v/>
      </c>
      <c r="DZ122" s="265" t="str">
        <f>IF(ISNUMBER(SnapshotTable[[#This Row],[LC Target Gross]]), SnapshotTable[[#This Row],[LC Target Gross]] - SnapshotTable[[#This Row],[LC Premium]], "")</f>
        <v/>
      </c>
      <c r="EA122" s="305" t="str">
        <f>IF(ISNUMBER(SnapshotTable[[#This Row],[LC Target Gain Loss]]), SnapshotTable[[#This Row],[LC Target Gain Loss]]/SnapshotTable[[#This Row],[LC Premium]], "")</f>
        <v/>
      </c>
      <c r="EB122" s="262"/>
      <c r="EC122" s="283" t="str">
        <f>IF(SnapshotTable[[#This Row],[LC Premium]]&gt;0, SnapshotTable[[#This Row],[LC Book Price]] * (1 - LC_StopLoss_Pct),"")</f>
        <v/>
      </c>
      <c r="ED122" s="284"/>
      <c r="EE122" s="283" t="str">
        <f>IF(ISNUMBER(SnapshotTable[[#This Row],[LC Contract Value]]),IF(ISNUMBER(SnapshotTable[[#This Row],[LC Stop Loss Override]]), SnapshotTable[[#This Row],[LC Stop Loss Override]],SnapshotTable[[#This Row],[LC Stop Loss Calc Target]]),"")</f>
        <v/>
      </c>
      <c r="EF122" s="31" t="str">
        <f>IF(ISNUMBER(SnapshotTable[[#This Row],[LC Stop  To Use]]), (SnapshotTable[[#This Row],[LC Stop  To Use]] * SnapshotTable[[#This Row],[LC Qty]] * 100),"")</f>
        <v/>
      </c>
      <c r="EG122" s="9" t="str">
        <f>IF(ISNUMBER(SnapshotTable[[#This Row],[LC Total Value]]),SnapshotTable[[#This Row],[LC Stop Loss Amount]] - SnapshotTable[[#This Row],[LC Premium]],"")</f>
        <v/>
      </c>
      <c r="EH122" s="9">
        <f>IF(ISNUMBER(SnapshotTable[[#This Row],[LC Premium]]), SnapshotTable[[#This Row],[LC Qty]] * 100 * SnapshotTable[[#This Row],[LC Strike Price]], "")</f>
        <v>0</v>
      </c>
      <c r="EI122" s="240" t="str">
        <f>IF(AND(ISNUMBER(SnapshotTable[[#This Row],[LC Total Value]]),SnapshotTable[[#This Row],[LC Total Value]]&gt;0),SnapshotTable[[#This Row],[LC Stop Gain Loss]]  / SnapshotTable[[#This Row],[LC Premium]],"")</f>
        <v/>
      </c>
      <c r="EJ122" s="35">
        <f>IF(ISNUMBER(SnapshotTable[[#This Row],[Equity Shares]]),TRUNC(SnapshotTable[[#This Row],[Equity Shares]] / 100),0) + SnapshotTable[[#This Row],[LC Qty]]</f>
        <v>0</v>
      </c>
      <c r="EK122" s="147"/>
      <c r="EL122" s="138" t="str">
        <f>IF(SnapshotTable[[#This Row],[SC Exp Date]]&lt;&gt;"",TRUNC(SnapshotTable[[#This Row],[Last Price]]),"")</f>
        <v/>
      </c>
      <c r="EM122" s="148"/>
      <c r="EN122" s="147"/>
      <c r="EO122" s="147"/>
      <c r="EP122" s="138"/>
      <c r="EQ122" s="419" t="b">
        <f>AND(ISNUMBER(SnapshotTable[[#This Row],[SC Exp Date]]), ISNUMBER(SnapshotTable[[#This Row],[SC Strike Price]]), ISNUMBER(SnapshotTable[[#This Row],[SC Qty]]), ISNUMBER(SnapshotTable[[#This Row],[SC Book Date]]), ISNUMBER(SnapshotTable[[#This Row],[SC Book Price]]))</f>
        <v>0</v>
      </c>
      <c r="ER122" s="419" t="b">
        <f>AND(SnapshotTable[[#This Row],[SC Is Booked]], NOT(ISBLANK(SnapshotTable[[#This Row],[SC Fill Date]])))</f>
        <v>0</v>
      </c>
      <c r="ES122" s="370"/>
      <c r="ET122" s="34" t="str">
        <f>IF(AND(ISNUMBER(SnapshotTable[[#This Row],[SC Exp Date]]), ISNUMBER(SnapshotTable[[#This Row],[SC Book Date]])), SnapshotTable[[#This Row],[SC Exp Date]] - MAX(SnapshotTable[[#This Row],[SC Book Date]], SnapshotTable[[#This Row],[SC Fill Date]]) + 1, "")</f>
        <v/>
      </c>
      <c r="EU122" s="34" t="str">
        <f>IF(ISNUMBER(SnapshotTable[[#This Row],[SC Term]]), SnapshotTable[[#This Row],[SC Exp Date]]- MockToday, "")</f>
        <v/>
      </c>
      <c r="EV122" s="31">
        <f>IF(SnapshotTable[[#This Row],[SC Is Booked]], SnapshotTable[[#This Row],[SC Qty]] * SnapshotTable[[#This Row],[SC Book Price]] * 100, 0)</f>
        <v>0</v>
      </c>
      <c r="EW122" s="4" t="str">
        <f>IF(AND(ISNUMBER(SnapshotTable[[#This Row],[Last Price]]), ISNUMBER( SnapshotTable[[#This Row],[SC Book Price]])), SnapshotTable[[#This Row],[Last Price]] - SnapshotTable[[#This Row],[SC Book Price]],"")</f>
        <v/>
      </c>
      <c r="EX122" s="234" t="str">
        <f>IF(SnapshotTable[[#This Row],[SC Is Booked]],IF(SnapshotTable[[#This Row],[SC Intrinsic Value]] &gt; 0, SnapshotTable[[#This Row],[SC Strike Price]], SnapshotTable[[#This Row],[Last Price]]), "")</f>
        <v/>
      </c>
      <c r="EY122" s="4">
        <f>IF(SnapshotTable[[#This Row],[SC Is Booked]], (MinimumPremiumRequired * SnapshotTable[[#This Row],[SC Basis]] * SnapshotTable[[#This Row],[SC Term]]), 0)</f>
        <v>0</v>
      </c>
      <c r="EZ122" s="283"/>
      <c r="FA122" s="218"/>
      <c r="FB122" s="370"/>
      <c r="FC122" s="4">
        <f>IF(SnapshotTable[[#This Row],[SC Is Filled]], btc_max_buyback_amount(SnapshotTable[[#This Row],[SC Fill Date]],SnapshotTable[[#This Row],[SC Exp Date]], SnapshotTable[[#This Row],[SC Book Price]]),0)</f>
        <v>0</v>
      </c>
      <c r="FD122" s="5"/>
      <c r="FE122" s="144" t="str">
        <f>IF(SnapshotTable[[#This Row],[SC Is Filled]], btc_next_cutoff_date(SnapshotTable[[#This Row],[SC Fill Date]],SnapshotTable[[#This Row],[SC Exp Date]]),"")</f>
        <v/>
      </c>
      <c r="FF122" s="4" t="str" cm="1">
        <f t="array" ref="FF122">IF(SnapshotTable[[#This Row],[SC Is Filled]], btc_should_buy_back(SnapshotTable[[#This Row],[SC Fill Date]], SnapshotTable[[#This Row],[SC Exp Date]], SnapshotTable[[#This Row],[SC Book Price]], SnapshotTable[[#This Row],[SC Current Ask]], MockToday, SnapshotTable[[#This Row],[SC Buyback Override]]),"")</f>
        <v/>
      </c>
      <c r="FG122" s="4">
        <f>IF(SnapshotTable[[#This Row],[SC Is Filled]], MAX(0,SnapshotTable[[#This Row],[Last Price]]  - SnapshotTable[[#This Row],[SC Strike Price]]), 0)</f>
        <v>0</v>
      </c>
      <c r="FH122" s="382">
        <f>IF(SnapshotTable[[#This Row],[SC Is Filled]], IF(ISNUMBER(SnapshotTable[[#This Row],[SC Current Ask]]), SnapshotTable[[#This Row],[SC Current Ask]], SnapshotTable[[#This Row],[SC Book Price]]) - SnapshotTable[[#This Row],[SC Intrinsic Value]], 0)</f>
        <v>0</v>
      </c>
      <c r="FI122" s="143"/>
      <c r="FJ122" s="32" t="str">
        <f>IF(SnapshotTable[[#This Row],[SC Is Filled]],100 * SnapshotTable[[#This Row],[SC Qty]] * IF(ISNUMBER(SnapshotTable[[#This Row],[SC Buyback Override]]), SnapshotTable[[#This Row],[SC Buyback Override]], SnapshotTable[[#This Row],[SC Current Ask]]), "")</f>
        <v/>
      </c>
      <c r="FK122" s="250" t="str">
        <f>IF(SnapshotTable[[#This Row],[SC Time Val]]&gt;0, SnapshotTable[[#This Row],[SC Time Val]] / SnapshotTable[[#This Row],[Last Price]],"")</f>
        <v/>
      </c>
      <c r="FL122" s="302" t="str">
        <f>IF(SnapshotTable[[#This Row],[SC Is Booked]], ((SnapshotTable[[#This Row],[Last Price]] -SnapshotTable[[#This Row],[SC Strike Price]]) / SnapshotTable[[#This Row],[Last Price]]) * -1, "")</f>
        <v/>
      </c>
      <c r="FM122" s="157" t="str">
        <f>IF(SnapshotTable[[#This Row],[SC Is Booked]],  (SnapshotTable[[#This Row],[SC Qty]] * 100 * SnapshotTable[[#This Row],[SC Strike Price]]) - SnapshotTable[[#This Row],[SC Current Ask]], "")</f>
        <v/>
      </c>
      <c r="FN12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2" s="31" t="str">
        <f>IF(AND(ISNUMBER(SnapshotTable[[#This Row],[SC Exercise Gross]]), ISNUMBER(SnapshotTable[[#This Row],[Equity Basis Per Share]] )), SnapshotTable[[#This Row],[SC Exercise Gross]] - SnapshotTable[[#This Row],[Equity Basis Total]] +  SnapshotTable[[#This Row],[SC Premium]], "")</f>
        <v/>
      </c>
      <c r="FP122" s="5" t="str">
        <f>IF(ISNUMBER(SnapshotTable[[#This Row],[SC Exercise Gross]]), (SnapshotTable[[#This Row],[SC Exercise Gross]]) / (SnapshotTable[[#This Row],[SC Qty]] * 100), "")</f>
        <v/>
      </c>
      <c r="FQ122" s="27" t="str">
        <f>IF(SnapshotTable[[#This Row],[SC Is Booked]],SnapshotTable[[#This Row],[SC Time Val]] /SnapshotTable[[#This Row],[SC Basis]], "")</f>
        <v/>
      </c>
      <c r="FR122" s="27" t="str" cm="1">
        <f t="array" ref="FR122">IF(AND(ISNUMBER(SnapshotTable[[#This Row],[SC Term]]),ISNUMBER(SnapshotTable[[#This Row],[SC Simple ROO]])), EllmanAnnualize(SnapshotTable[[#This Row],[SC DTE]], SnapshotTable[[#This Row],[SC Simple ROO]] ),"")</f>
        <v/>
      </c>
      <c r="FS122" s="4" t="e">
        <f>IF(SnapshotTable[[#This Row],[SC Strike Price]] &gt; SnapshotTable[[#This Row],[Last Price]], SnapshotTable[[#This Row],[SC Strike Price]] - SnapshotTable[[#This Row],[Last Price]],0)</f>
        <v>#VALUE!</v>
      </c>
      <c r="FT122" s="27" t="e">
        <f>IF(AND(ISNUMBER(SnapshotTable[[#This Row],[SC Upside Potential]]), SnapshotTable[[#This Row],[SC Upside Potential]] &gt; 0),(SnapshotTable[[#This Row],[SC Upside Potential]]/ SnapshotTable[[#This Row],[ACB]]),"")</f>
        <v>#VALUE!</v>
      </c>
      <c r="FU122" s="333" t="str">
        <f>IF(SnapshotTable[[#This Row],[SC Intrinsic Value]] &gt; 0,SnapshotTable[[#This Row],[SC Intrinsic Value]],"")</f>
        <v/>
      </c>
      <c r="FV122" s="27" t="str">
        <f>IF(AND( ISNUMBER( SnapshotTable[[#This Row],[ACB]]),ISNUMBER(SnapshotTable[[#This Row],[SC Downside Protect]])),SnapshotTable[[#This Row],[SC Downside Protect]] / SnapshotTable[[#This Row],[ACB]],"")</f>
        <v/>
      </c>
      <c r="FW122" s="236" t="str">
        <f>IF(AND(ISNUMBER(SnapshotTable[[#This Row],[SC Simple ROO]]),SnapshotTable[[#This Row],[SC Simple ROO]] &gt; 0), SnapshotTable[[#This Row],[SC Premium]] + (SnapshotTable[[#This Row],[SC Qty]] * SnapshotTable[[#This Row],[SC Upside Potential]]), "")</f>
        <v/>
      </c>
      <c r="FX122" s="302" t="str" cm="1">
        <f t="array" ref="FX122">IF(ISNUMBER(SnapshotTable[[#This Row],[SC Max Dollars]]), annualize(SnapshotTable[[#This Row],[SC Term]],(SnapshotTable[[#This Row],[SC Max Dollars]]/SnapshotTable[[#This Row],[SC Basis]])),"")</f>
        <v/>
      </c>
      <c r="FY122" s="236" t="str">
        <f>IF(AND(SnapshotTable[[#This Row],[SC Qty]]&gt;0,SnapshotTable[[#This Row],[SC Current Ask]]&gt;0), SnapshotTable[[#This Row],[SC Qty]] * SnapshotTable[[#This Row],[SC Current Ask]] * -100, "")</f>
        <v/>
      </c>
      <c r="FZ122" s="31" t="str">
        <f>IF(ISNUMBER((SnapshotTable[[#This Row],[SC Current Value]])), SnapshotTable[[#This Row],[SC Premium]] + SnapshotTable[[#This Row],[SC Current Value]], "")</f>
        <v/>
      </c>
      <c r="GA122" s="294" t="str">
        <f>IFERROR( IF(ISNUMBER((SnapshotTable[[#This Row],[SC Current Value]])), SnapshotTable[[#This Row],[SC Gain Loss]] / SnapshotTable[[#This Row],[SC Premium]], ""), "")</f>
        <v/>
      </c>
      <c r="GB122" s="42">
        <f>SnapshotTable[[#This Row],[Equity Shares]] * SaleSharesToConsiderPercentage</f>
        <v>0</v>
      </c>
      <c r="GC122" s="40">
        <f>SnapshotTable[[#This Row],[Long Term Target]] * SellingPriceToConsiderBasedOnTargetPercentage</f>
        <v>0</v>
      </c>
      <c r="GD122" s="40">
        <f>SnapshotTable[[#This Row],[Last Price]] * (1+ SellingPriceToConsiderBasedOnTargetPercentage)</f>
        <v>44.557500000000005</v>
      </c>
      <c r="GE122" s="41"/>
      <c r="GF122" s="40"/>
      <c r="GG122" s="31">
        <f>SnapshotTable[[#This Row],[Booked Sale Shares]] * SnapshotTable[[#This Row],[Booked Sale Price]]</f>
        <v>0</v>
      </c>
      <c r="GH122" s="31" t="str">
        <f>IF(SnapshotTable[[#This Row],[Equity Basis Total]] &gt; 0, SnapshotTable[[#This Row],[Equity Basis Per Share]] * SnapshotTable[[#This Row],[Booked Sale Shares]], "")</f>
        <v/>
      </c>
      <c r="GI122" s="31">
        <f>IF(SnapshotTable[[#This Row],[Sale Proceeds]]&gt;0, SnapshotTable[[#This Row],[Sale Proceeds]] - SnapshotTable[[#This Row],[Sale Basis]], 0)</f>
        <v>0</v>
      </c>
      <c r="GJ122" s="27" t="str">
        <f>IF(SnapshotTable[[#This Row],[Sale G/L]]&gt;0, SnapshotTable[[#This Row],[Sale G/L]] / SnapshotTable[[#This Row],[Sale Basis]], IF(ISNUMBER(SnapshotTable[[#This Row],[SC Exercise P&amp;L (TAX)]]), SnapshotTable[[#This Row],[SC Exercise P&amp;L (TAX)]] / SnapshotTable[[#This Row],[SC Basis]], ""))</f>
        <v/>
      </c>
      <c r="GK122" s="27" t="s">
        <v>1112</v>
      </c>
      <c r="GL122" s="43" t="str">
        <f>IF(AND(SnapshotTable[[#This Row],[LP Exp Date]]&gt;0,SnapshotTable[[#This Row],[LP Strike Price]]&gt;0), [1]!ToOptionSymbol(SnapshotTable[[#This Row],[Symbol]], SnapshotTable[[#This Row],[LP Strike Price]],SnapshotTable[[#This Row],[LP Exp Date]],1), "")</f>
        <v/>
      </c>
      <c r="GM122" s="30" t="str">
        <f>IF(LEN(SnapshotTable[[#This Row],[LP Symbol]])&gt;0, 1, "")</f>
        <v/>
      </c>
      <c r="GN122" s="43" t="str">
        <f>IF(AND(SnapshotTable[[#This Row],[SP Exp Date]]&gt;0,SnapshotTable[[#This Row],[SP Strike Price]]&gt;0), [1]!ToOptionSymbol(SnapshotTable[[#This Row],[Symbol]], SnapshotTable[[#This Row],[SP Strike Price]],SnapshotTable[[#This Row],[SP Exp Date]],1), "")</f>
        <v/>
      </c>
      <c r="GO122" s="30" t="str">
        <f>IF(LEN(SnapshotTable[[#This Row],[SP Symbol]])&gt;0, 1, "")</f>
        <v/>
      </c>
      <c r="GP122" s="43" t="str">
        <f>IF(AND(SnapshotTable[[#This Row],[LC Exp Date]]&gt;0,SnapshotTable[[#This Row],[LC Strike Price]]&gt;0), [1]!ToOptionSymbol(SnapshotTable[[#This Row],[Symbol]], SnapshotTable[[#This Row],[LC Strike Price]],SnapshotTable[[#This Row],[LC Exp Date]],0), "")</f>
        <v/>
      </c>
      <c r="GQ122" s="30" t="str">
        <f>IF(LEN(SnapshotTable[[#This Row],[LC Symbol]])&gt;0, 1, "")</f>
        <v/>
      </c>
      <c r="GR122" s="43" t="str">
        <f>IF(AND(SnapshotTable[[#This Row],[SC Exp Date]]&gt;0,SnapshotTable[[#This Row],[SC Strike Price]]&gt;0), [1]!ToOptionSymbol(SnapshotTable[[#This Row],[Symbol]], SnapshotTable[[#This Row],[SC Strike Price]],SnapshotTable[[#This Row],[SC Exp Date]],0), "")</f>
        <v/>
      </c>
      <c r="GS122" s="30" t="str">
        <f>IF(LEN(SnapshotTable[[#This Row],[SC Symbol]])&gt;0, 1, "")</f>
        <v/>
      </c>
      <c r="GT122" s="29" t="str">
        <f>IF(COUNT(SnapshotTable[[#This Row],[LP Symbol Count]],SnapshotTable[[#This Row],[SP Symbol Count]],SnapshotTable[[#This Row],[LC Symbol Count]],SnapshotTable[[#This Row],[SC Symbol Count]])&gt;0, "Y", "")</f>
        <v/>
      </c>
      <c r="GU12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2" s="231" t="e">
        <f>MAX(SnapshotTable[[#This Row],[Equity Basis Total]],SnapshotTable[[#This Row],[Equity Value]]) + (SnapshotTable[[#This Row],[SP Potential Spend]]- SnapshotTable[[#This Row],[SP Premium]] + SnapshotTable[[#This Row],[LP Premium]])+ (SnapshotTable[[#This Row],[LC Premium]] - SnapshotTable[[#This Row],[SC Premium]])</f>
        <v>#VALUE!</v>
      </c>
      <c r="GW122" s="139" t="e">
        <f>IF(AND(SnapshotTable[[#This Row],[Exposure]] &lt;&gt; 0),SnapshotTable[[#This Row],[Exposure]] / SnapshotTable[[#Totals],[Exposure]], "")</f>
        <v>#VALUE!</v>
      </c>
      <c r="HE122" s="268"/>
      <c r="HF122" s="268"/>
      <c r="HK122" s="1"/>
      <c r="HL122" s="1"/>
      <c r="HM122" s="1"/>
      <c r="HN122" s="1"/>
      <c r="HO122" s="1"/>
      <c r="HP122" s="1"/>
    </row>
    <row r="123" spans="2:224" ht="12.75" hidden="1" customHeight="1" x14ac:dyDescent="0.25">
      <c r="B123" s="12" t="s">
        <v>1157</v>
      </c>
      <c r="C123" s="422">
        <v>441.8</v>
      </c>
      <c r="D123" s="208"/>
      <c r="E123" s="39">
        <f>SnapshotTable[[#This Row],[Last Price]]*(1 -CrashDiscount)</f>
        <v>375.53</v>
      </c>
      <c r="F123" s="26" t="s">
        <v>958</v>
      </c>
      <c r="G123" s="325" t="s">
        <v>9</v>
      </c>
      <c r="H123" s="149"/>
      <c r="I123" s="194"/>
      <c r="J123" s="195"/>
      <c r="K123" s="196"/>
      <c r="L123" s="326"/>
      <c r="M123" s="140"/>
      <c r="N123" s="140"/>
      <c r="O123" s="140"/>
      <c r="P123" s="22"/>
      <c r="Q123" s="25"/>
      <c r="R123" s="4" t="str">
        <f>IF(SnapshotTable[[#This Row],[Equity Basis Total]] &gt; 0, SnapshotTable[[#This Row],[Equity Basis Total]] / SnapshotTable[[#This Row],[Equity Shares]], "")</f>
        <v/>
      </c>
      <c r="S123" s="269">
        <f>SnapshotTable[[#This Row],[Last Price]] * SnapshotTable[[#This Row],[Equity Shares]]</f>
        <v>0</v>
      </c>
      <c r="T123" s="269">
        <f>SnapshotTable[[#This Row],[Equity Value]] - SnapshotTable[[#This Row],[Equity Basis Total]]</f>
        <v>0</v>
      </c>
      <c r="U123" s="270" t="str">
        <f>IF(SnapshotTable[[#This Row],[Equity Basis Total]] &gt; 0, SnapshotTable[[#This Row],[Equity G/L]] / SnapshotTable[[#This Row],[Equity Basis Total]], "")</f>
        <v/>
      </c>
      <c r="V123" s="268">
        <v>135</v>
      </c>
      <c r="W123" s="268">
        <v>121.7</v>
      </c>
      <c r="X123" s="4" t="str">
        <f>IF(AND(ISNUMBER(SnapshotTable[[#This Row],[Equity Basis Per Share]]),ISNUMBER(SnapshotTable[[#This Row],[Equity Target]])),SnapshotTable[[#This Row],[Equity Target]]-SnapshotTable[[#This Row],[Equity Basis Per Share]],"")</f>
        <v/>
      </c>
      <c r="Y123" s="4" t="str">
        <f>IF(AND(ISNUMBER(SnapshotTable[[#This Row],[Equity Basis Per Share]]),ISNUMBER(SnapshotTable[[#This Row],[Equity Stop Loss]])),SnapshotTable[[#This Row],[Equity Stop Loss]]-SnapshotTable[[#This Row],[Equity Basis Per Share]],"")</f>
        <v/>
      </c>
      <c r="Z123" s="275" t="str">
        <f>IFERROR( TEXT(SnapshotTable[[#This Row],[Equity Max Gain Per Share]] /ABS( SnapshotTable[[#This Row],[Equity Max Loss Per Share]]),"0.0 " ) &amp; " : 1", "")</f>
        <v/>
      </c>
      <c r="AA123" s="31" t="str">
        <f>IF(ISNUMBER(SnapshotTable[[#This Row],[Equity Max Gain Per Share]]),SnapshotTable[[#This Row],[Equity Max Gain Per Share]] * SnapshotTable[[#This Row],[Equity Shares]],"")</f>
        <v/>
      </c>
      <c r="AB123" s="31" t="str">
        <f>IF(ISNUMBER(SnapshotTable[[#This Row],[Equity Max Loss Per Share]]),SnapshotTable[[#This Row],[Equity Max Loss Per Share]] * SnapshotTable[[#This Row],[Equity Shares]],"")</f>
        <v/>
      </c>
      <c r="AC123" s="150"/>
      <c r="AD123" s="151"/>
      <c r="AE123" s="31">
        <f>(SnapshotTable[[#This Row],[Annual Dividend Per Share]] / 4) * SnapshotTable[[#This Row],[Equity Shares]]</f>
        <v>0</v>
      </c>
      <c r="AF123" s="31">
        <f>SnapshotTable[[#This Row],[Quarterly Div $]] * 4</f>
        <v>0</v>
      </c>
      <c r="AG123" s="7">
        <f>IF(SnapshotTable[[#This Row],[Annual Dividend Per Share]]&gt;0, SnapshotTable[[#This Row],[Annual Dividend Per Share]]  / SnapshotTable[[#This Row],[Last Price]], 0)</f>
        <v>0</v>
      </c>
      <c r="AH123" s="151"/>
      <c r="AI123" s="5"/>
      <c r="AJ123" s="138"/>
      <c r="AK123" s="152" t="str">
        <f>IF(ISNUMBER( SnapshotTable[[#This Row],[EBF Target]]),(SnapshotTable[[#This Row],[EBF Target]] - SnapshotTable[[#This Row],[Last Price]]) / SnapshotTable[[#This Row],[Last Price]], "")</f>
        <v/>
      </c>
      <c r="AL123" s="152" t="str">
        <f>IF(AND(SnapshotTable[[#This Row],[Equity Basis Total]] &gt; 0,ISNUMBER( SnapshotTable[[#This Row],[Long Term Target]])), SnapshotTable[[#This Row],[From Basis $]] / SnapshotTable[[#This Row],[Equity Basis Total]], "")</f>
        <v/>
      </c>
      <c r="AM123" s="9">
        <f>IF( AND(SnapshotTable[[#This Row],[Equity Shares]] &gt;0,ISNUMBER( SnapshotTable[[#This Row],[Long Term Target]])),(SnapshotTable[[#This Row],[Equity Shares]] * SnapshotTable[[#This Row],[Long Term Target]]) - SnapshotTable[[#This Row],[Equity Basis Total]],0)</f>
        <v>0</v>
      </c>
      <c r="AN123" s="9">
        <f>IF( AND(SnapshotTable[[#This Row],[Equity Shares]] &gt;0,ISNUMBER( SnapshotTable[[#This Row],[Long Term Target]])),(SnapshotTable[[#This Row],[Equity Shares]]*SnapshotTable[[#This Row],[Long Term Target]]) - SnapshotTable[[#This Row],[Equity Value]],0)</f>
        <v>0</v>
      </c>
      <c r="AO123" s="152" t="str">
        <f>IF(AND(ISNUMBER( SnapshotTable[[#This Row],[Long Term Target]]), ISNUMBER(SnapshotTable[[#This Row],[Last Price]])),(SnapshotTable[[#This Row],[Long Term Target]] - SnapshotTable[[#This Row],[Last Price]]) / SnapshotTable[[#This Row],[Last Price]], "")</f>
        <v/>
      </c>
      <c r="AP123" s="5">
        <v>135</v>
      </c>
      <c r="AQ123" s="38" t="s">
        <v>89</v>
      </c>
      <c r="AR123" s="5">
        <v>121.7</v>
      </c>
      <c r="AS123" s="38" t="s">
        <v>32</v>
      </c>
      <c r="AT123" s="146" t="s">
        <v>1132</v>
      </c>
      <c r="AU123" s="187" t="str">
        <f>IF(OR(SnapshotTable[[#This Row],[LP No Fill]]="Y",SnapshotTable[[#This Row],[SP Is Filled]],SnapshotTable[[#This Row],[LC Not Filled]]="Y",SnapshotTable[[#This Row],[SC Is Filled]]),"Y","")</f>
        <v/>
      </c>
      <c r="AV123" s="219"/>
      <c r="AW123" s="225"/>
      <c r="AX123" s="220"/>
      <c r="AY123" s="219" t="str">
        <f>IF(SnapshotTable[[#This Row],[Implied Move]]&gt;0, SnapshotTable[[#This Row],[Last Price]]-SnapshotTable[[#This Row],[Implied Move]],"")</f>
        <v/>
      </c>
      <c r="AZ123" s="219" t="str">
        <f>IF(SnapshotTable[[#This Row],[Implied Move]]&gt;0, SnapshotTable[[#This Row],[Last Price]] + SnapshotTable[[#This Row],[Implied Move]],"")</f>
        <v/>
      </c>
      <c r="BA123" s="331">
        <v>131.46</v>
      </c>
      <c r="BB123" s="347"/>
      <c r="BC12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3" s="351"/>
      <c r="BE123" s="5"/>
      <c r="BF123" s="14"/>
      <c r="BG123" s="13"/>
      <c r="BH123" s="13"/>
      <c r="BI123" s="5"/>
      <c r="BJ123" s="136">
        <f>IF(SnapshotTable[[#This Row],[LP Qty]] &gt; 0, SnapshotTable[[#This Row],[LP Qty]] * SnapshotTable[[#This Row],[LP Book Price]] * 100,0)</f>
        <v>0</v>
      </c>
      <c r="BK123" s="136">
        <f>IF(SnapshotTable[[#This Row],[LP Premium]] &gt; 0, SnapshotTable[[#This Row],[LP Qty]] * SnapshotTable[[#This Row],[LP Strike Price]] * 100,0)</f>
        <v>0</v>
      </c>
      <c r="BL123" s="154"/>
      <c r="BM123" s="385" t="str">
        <f>IF(SnapshotTable[[#This Row],[LP Premium]] &gt; 0,SnapshotTable[[#This Row],[LP Exp Date]]-MAX(SnapshotTable[[#This Row],[LP Book Date]], SnapshotTable[[#This Row],[LP Fill Date]]),"")</f>
        <v/>
      </c>
      <c r="BN123" s="385" t="str">
        <f>IF(ISNUMBER( SnapshotTable[[#This Row],[LP Term]]), SnapshotTable[[#This Row],[LP Exp Date]] - MockToday,"")</f>
        <v/>
      </c>
      <c r="BO123" s="163" t="str">
        <f>IF(AND(SnapshotTable[[#This Row],[LP Exp Date]]&gt;0, SnapshotTable[[#This Row],[LP Strike Price]]&gt;0,SnapshotTable[[#This Row],[LP Qty]]&gt;0,SnapshotTable[[#This Row],[LP Book Date]]&gt;0,SnapshotTable[[#This Row],[LP Book Price]]&gt;0,SnapshotTable[[#This Row],[LP Fill Date]]=0),"Y","")</f>
        <v/>
      </c>
      <c r="BP123" s="31" t="str">
        <f>IF(AND(SnapshotTable[[#This Row],[LP No Fill]]&lt;&gt;"Y",SnapshotTable[[#This Row],[LP Contract Value]]&gt;0, SnapshotTable[[#This Row],[LP Qty]]&gt;0), SnapshotTable[[#This Row],[LP Contract Value]]*SnapshotTable[[#This Row],[LP Qty]]*100,"")</f>
        <v/>
      </c>
      <c r="BQ123" s="13"/>
      <c r="BR123" s="5" t="str">
        <f>IF(SnapshotTable[[#This Row],[SP Exp Date]]&lt;&gt;"",TRUNC(SnapshotTable[[#This Row],[Last Price]]),"")</f>
        <v/>
      </c>
      <c r="BS123" s="36"/>
      <c r="BT123" s="147"/>
      <c r="BU123" s="13"/>
      <c r="BV123" s="5"/>
      <c r="BW123" s="419" t="b">
        <f>AND(ISNUMBER(SnapshotTable[[#This Row],[SP Exp Date]]), ISNUMBER(SnapshotTable[[#This Row],[SP Strike Price]]), ISNUMBER(SnapshotTable[[#This Row],[SP Qty]]), ISNUMBER(SnapshotTable[[#This Row],[SP Book Date]]), ISNUMBER(SnapshotTable[[#This Row],[SP Book Price]]))</f>
        <v>0</v>
      </c>
      <c r="BX123" s="419" t="b">
        <f>AND(SnapshotTable[[#This Row],[SP Is Booked]], NOT(ISBLANK(SnapshotTable[[#This Row],[SP Fill Date]])))</f>
        <v>0</v>
      </c>
      <c r="BY123" s="33">
        <f>IF(SnapshotTable[[#This Row],[SP Is Booked]], SnapshotTable[[#This Row],[SP Qty]] * SnapshotTable[[#This Row],[SP Book Price]] * 100, 0)</f>
        <v>0</v>
      </c>
      <c r="BZ123" s="369"/>
      <c r="CA123" s="368">
        <f>SnapshotTable[[#This Row],[LP Qty]]</f>
        <v>0</v>
      </c>
      <c r="CB123" s="4" t="str">
        <f>IF(SnapshotTable[[#This Row],[SP Is Booked]], SnapshotTable[[#This Row],[SP Strike Price]] - SnapshotTable[[#This Row],[SP Book Price]], "")</f>
        <v/>
      </c>
      <c r="CC123" s="19" t="str">
        <f>IF(SnapshotTable[[#This Row],[SP Is Booked]],SnapshotTable[[#This Row],[SP Exp Date]]-MAX(SnapshotTable[[#This Row],[SP Book Date]], SnapshotTable[[#This Row],[SP Fill Date]]),"")</f>
        <v/>
      </c>
      <c r="CD123" s="7" t="str">
        <f>IF(SnapshotTable[[#This Row],[SP Is Booked]], SnapshotTable[[#This Row],[SP Book Price]]/SnapshotTable[[#This Row],[SP Strike Price]], "")</f>
        <v/>
      </c>
      <c r="CE123" s="7" t="str">
        <f>IF(ISNUMBER(SnapshotTable[[#This Row],[SP ROO Term]]),SnapshotTable[[#This Row],[SP ROO Term]]*(365/SnapshotTable[[#This Row],[SP Term]]),"")</f>
        <v/>
      </c>
      <c r="CF123" s="236">
        <f>SnapshotTable[[#This Row],[LP Strike Price]] * SnapshotTable[[#This Row],[LP Qty]] * 100</f>
        <v>0</v>
      </c>
      <c r="CG123" s="31" t="e">
        <f>IF(ISNUMBER(SnapshotTable[[#This Row],[SP Premium]]), (SnapshotTable[[#This Row],[SP Qty]] * SnapshotTable[[#This Row],[SP Strike Price]]* 100) - SnapshotTable[[#This Row],[LP Protection]], 0)</f>
        <v>#VALUE!</v>
      </c>
      <c r="CH123" s="7" t="str">
        <f>IF(ISNUMBER(SnapshotTable[[#This Row],[SP Break Even]]),-1 * (SnapshotTable[[#This Row],[SP Break Even]] - SnapshotTable[[#This Row],[Last Price]]) / SnapshotTable[[#This Row],[Last Price]], "")</f>
        <v/>
      </c>
      <c r="CI123" s="31">
        <f>IF(AND(ISNUMBER((SnapshotTable[[#This Row],[SP Potential Spend]])), SnapshotTable[[#This Row],[SP Strike Price]] &gt; SnapshotTable[[#This Row],[Last Price]], SnapshotTable[[#This Row],[SP Is Filled]]), SnapshotTable[[#This Row],[SP Potential Spend]] -  SnapshotTable[[#This Row],[LP Max Value]], 0)</f>
        <v>0</v>
      </c>
      <c r="CJ123" s="244"/>
      <c r="CK123" s="31" t="str">
        <f>IF(ISNUMBER(SnapshotTable[[#This Row],[SP Potential Spend]]),IF(ISNUMBER(SnapshotTable[[#This Row],[SP POW]]), SnapshotTable[[#This Row],[SP POW]] * SnapshotTable[[#This Row],[SP Potential Spend]], SnapshotTable[[#This Row],[SP Potential Spend]]), "")</f>
        <v/>
      </c>
      <c r="CL123" s="164" t="e">
        <f>IF(NOT(SnapshotTable[[#This Row],[SP Is Filled]]),(SnapshotTable[[#This Row],[SP Qty]] * SnapshotTable[[#This Row],[SP Strike Price]] * 100) - SnapshotTable[[#This Row],[LP Max Value]],"")</f>
        <v>#VALUE!</v>
      </c>
      <c r="CM123" s="31" t="str">
        <f>IF(SnapshotTable[[#This Row],[SP Actual Spend]]&lt;&gt;0, ((SnapshotTable[[#This Row],[SP Strike Price]]-SnapshotTable[[#This Row],[Last Price]]) *(SnapshotTable[[#This Row],[SP Qty]]*100) - SnapshotTable[[#This Row],[SP Premium]]) * - 1, "")</f>
        <v/>
      </c>
      <c r="CN123" s="78"/>
      <c r="CO123" s="369"/>
      <c r="CP123" s="4" t="str">
        <f>IF(SnapshotTable[[#This Row],[SP Is Filled]], btc_max_buyback_amount(SnapshotTable[[#This Row],[SP Fill Date]],SnapshotTable[[#This Row],[SP Exp Date]], SnapshotTable[[#This Row],[SP Book Price]]),"")</f>
        <v/>
      </c>
      <c r="CQ123" s="78"/>
      <c r="CR12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3" s="155" t="str">
        <f>IF(SnapshotTable[[#This Row],[SP Is Filled]], btc_next_cutoff_date(SnapshotTable[[#This Row],[SP Fill Date]],SnapshotTable[[#This Row],[SP Exp Date]]),"")</f>
        <v/>
      </c>
      <c r="CT123" s="235" t="str" cm="1">
        <f t="array" ref="CT123">IF(SnapshotTable[[#This Row],[SP Is Filled]], btc_should_buy_back(SnapshotTable[[#This Row],[SP Fill Date]], SnapshotTable[[#This Row],[SP Exp Date]], SnapshotTable[[#This Row],[SP Book Price]], SnapshotTable[[#This Row],[SP Current Ask]], MockToday, SnapshotTable[[#This Row],[SP Buyback Override]]),"")</f>
        <v/>
      </c>
      <c r="CU123" s="156"/>
      <c r="CV123" s="235"/>
      <c r="CW123" s="378" t="str">
        <f>IF(ISNUMBER( SnapshotTable[[#This Row],[SP Term]]), SnapshotTable[[#This Row],[SP Exp Date]] - MockToday,"")</f>
        <v/>
      </c>
      <c r="CX123" s="31" t="str">
        <f>IF(SnapshotTable[[#This Row],[SP Is Filled]],SnapshotTable[[#This Row],[SP Buyback Price to Use]] * 100 * SnapshotTable[[#This Row],[SP Qty]], "")</f>
        <v/>
      </c>
      <c r="CY123" s="4" t="str">
        <f>IF(ISNUMBER(SnapshotTable[[#This Row],[SP Strike Price]]), SnapshotTable[[#This Row],[SP Strike Price]] * (1 - SP_MaxLoss_StrikePct), "")</f>
        <v/>
      </c>
      <c r="CZ123" s="31" t="str">
        <f>IF(ISNUMBER(SnapshotTable[[#This Row],[SP Strike  Stop Per Share]]),SnapshotTable[[#This Row],[SP Premium]] - ((SnapshotTable[[#This Row],[SP Strike Price]]-SnapshotTable[[#This Row],[SP Strike  Stop Per Share]]) *(SnapshotTable[[#This Row],[SP Qty]] * 100)),"")</f>
        <v/>
      </c>
      <c r="DA123" s="4" t="str">
        <f>IF(AND(ISNUMBER(SnapshotTable[[#This Row],[SP Premium]]),SnapshotTable[[#This Row],[SP Premium]]&gt;0), SnapshotTable[[#This Row],[SP Book Price]] * (1 + SP_MaxLoss_OptionPct), "")</f>
        <v/>
      </c>
      <c r="DB123" s="31" t="str">
        <f>IF(ISNUMBER(SnapshotTable[[#This Row],[SP Option  Stop Contract]]),(SnapshotTable[[#This Row],[SP Option  Stop Contract]] *(SnapshotTable[[#This Row],[SP Qty]] * 100) - SnapshotTable[[#This Row],[SP Premium]]),"")</f>
        <v/>
      </c>
      <c r="DC123" s="4"/>
      <c r="DD123" s="4"/>
      <c r="DE123" s="4" t="str">
        <f>IF(AND(SnapshotTable[[#This Row],[SP Qty]]&gt;0, SnapshotTable[[#This Row],[SP Stop To Use]]&gt;0),SnapshotTable[[#This Row],[SP Premium]] - ( SnapshotTable[[#This Row],[SP Qty]] * SnapshotTable[[#This Row],[SP Stop To Use]] * 100), "")</f>
        <v/>
      </c>
      <c r="DF123" s="31" t="str">
        <f>IF(AND(SnapshotTable[[#This Row],[SP Qty]]&gt;0,SnapshotTable[[#This Row],[SP Current Ask]]&gt;0), SnapshotTable[[#This Row],[SP Qty]] * SnapshotTable[[#This Row],[SP Current Ask]] * -100, "")</f>
        <v/>
      </c>
      <c r="DG123" s="31" t="str">
        <f>IF(ISNUMBER((SnapshotTable[[#This Row],[SP Total Value]])), SnapshotTable[[#This Row],[SP Premium]] + SnapshotTable[[#This Row],[SP Total Value]], "")</f>
        <v/>
      </c>
      <c r="DH123" s="294" t="str">
        <f>IF(ISNUMBER((SnapshotTable[[#This Row],[SP Total Value]])), SnapshotTable[[#This Row],[SP Gain Loss]] / SnapshotTable[[#This Row],[SP Premium]], "")</f>
        <v/>
      </c>
      <c r="DI123" s="406"/>
      <c r="DJ123" s="138"/>
      <c r="DK123" s="148"/>
      <c r="DL123" s="13"/>
      <c r="DM123" s="13"/>
      <c r="DO123" s="31">
        <f>IF(SnapshotTable[[#This Row],[LC Symbol Count]]=1, SnapshotTable[[#This Row],[LC Qty]] * SnapshotTable[[#This Row],[LC Book Price]] * 100, 0)</f>
        <v>0</v>
      </c>
      <c r="DP123" s="163" t="str">
        <f>IF(AND(SnapshotTable[[#This Row],[LC Exp Date]]&gt;0, SnapshotTable[[#This Row],[LC Strike Price]]&gt;0,SnapshotTable[[#This Row],[LC Qty]]&gt;0,SnapshotTable[[#This Row],[LC Book Date]]&gt;0,SnapshotTable[[#This Row],[LC Book Price]]&gt;0,SnapshotTable[[#This Row],[LC Fill Date]]=0),"Y","")</f>
        <v/>
      </c>
      <c r="DQ123" s="386" t="str">
        <f>IF(SnapshotTable[[#This Row],[LC Premium]] &gt; 0,SnapshotTable[[#This Row],[LC Exp Date]]-MAX(SnapshotTable[[#This Row],[LC Book Date]], SnapshotTable[[#This Row],[LC Fill Date]]),"")</f>
        <v/>
      </c>
      <c r="DR123" s="386" t="str">
        <f>IF(ISNUMBER(SnapshotTable[[#This Row],[LC Term]]), SnapshotTable[[#This Row],[LC Exp Date]] - MockToday, "")</f>
        <v/>
      </c>
      <c r="DS123" s="234" t="str">
        <f>IF(SnapshotTable[[#This Row],[LC Premium]]&gt;0,SnapshotTable[[#This Row],[LC Strike Price]] + SnapshotTable[[#This Row],[LC Book Price]],"")</f>
        <v/>
      </c>
      <c r="DU123" s="9" t="str">
        <f>IF(AND(SnapshotTable[[#This Row],[LC Symbol Count]]&gt;0, SnapshotTable[[#This Row],[LC Contract Value]]&gt;0), SnapshotTable[[#This Row],[LC Contract Value]] * SnapshotTable[[#This Row],[LC Qty]] * 100, "")</f>
        <v/>
      </c>
      <c r="DV123" s="9" t="str">
        <f>IF(AND(ISNUMBER(SnapshotTable[[#This Row],[LC Total Value]]), SnapshotTable[[#This Row],[LC Not Filled]]&lt;&gt;"Y"), SnapshotTable[[#This Row],[LC Total Value]]-SnapshotTable[[#This Row],[LC Premium]],"")</f>
        <v/>
      </c>
      <c r="DW123" s="240" t="str">
        <f>IF(ISNUMBER(SnapshotTable[[#This Row],[LC Actual Gain Loss]]), SnapshotTable[[#This Row],[LC Actual Gain Loss]] / SnapshotTable[[#This Row],[LC Premium]],"")</f>
        <v/>
      </c>
      <c r="DX123" s="284" t="str">
        <f>IF(ISNUMBER(SnapshotTable[[#This Row],[LC Book Price]]),SnapshotTable[[#This Row],[LC Book Price]] * 1.5,"")</f>
        <v/>
      </c>
      <c r="DY123" s="265" t="str">
        <f>IF(SnapshotTable[[#This Row],[LC Premium]]&gt;0, SnapshotTable[[#This Row],[LC Next Target]] * SnapshotTable[[#This Row],[LC Qty]] * 100,"")</f>
        <v/>
      </c>
      <c r="DZ123" s="265" t="str">
        <f>IF(ISNUMBER(SnapshotTable[[#This Row],[LC Target Gross]]), SnapshotTable[[#This Row],[LC Target Gross]] - SnapshotTable[[#This Row],[LC Premium]], "")</f>
        <v/>
      </c>
      <c r="EA123" s="305" t="str">
        <f>IF(ISNUMBER(SnapshotTable[[#This Row],[LC Target Gain Loss]]), SnapshotTable[[#This Row],[LC Target Gain Loss]]/SnapshotTable[[#This Row],[LC Premium]], "")</f>
        <v/>
      </c>
      <c r="EB123" s="262"/>
      <c r="EC123" s="283" t="str">
        <f>IF(SnapshotTable[[#This Row],[LC Premium]]&gt;0, SnapshotTable[[#This Row],[LC Book Price]] * (1 - LC_StopLoss_Pct),"")</f>
        <v/>
      </c>
      <c r="ED123" s="284"/>
      <c r="EE123" s="283" t="str">
        <f>IF(ISNUMBER(SnapshotTable[[#This Row],[LC Contract Value]]),IF(ISNUMBER(SnapshotTable[[#This Row],[LC Stop Loss Override]]), SnapshotTable[[#This Row],[LC Stop Loss Override]],SnapshotTable[[#This Row],[LC Stop Loss Calc Target]]),"")</f>
        <v/>
      </c>
      <c r="EF123" s="31" t="str">
        <f>IF(ISNUMBER(SnapshotTable[[#This Row],[LC Stop  To Use]]), (SnapshotTable[[#This Row],[LC Stop  To Use]] * SnapshotTable[[#This Row],[LC Qty]] * 100),"")</f>
        <v/>
      </c>
      <c r="EG123" s="9" t="str">
        <f>IF(ISNUMBER(SnapshotTable[[#This Row],[LC Total Value]]),SnapshotTable[[#This Row],[LC Stop Loss Amount]] - SnapshotTable[[#This Row],[LC Premium]],"")</f>
        <v/>
      </c>
      <c r="EH123" s="9">
        <f>IF(ISNUMBER(SnapshotTable[[#This Row],[LC Premium]]), SnapshotTable[[#This Row],[LC Qty]] * 100 * SnapshotTable[[#This Row],[LC Strike Price]], "")</f>
        <v>0</v>
      </c>
      <c r="EI123" s="240" t="str">
        <f>IF(AND(ISNUMBER(SnapshotTable[[#This Row],[LC Total Value]]),SnapshotTable[[#This Row],[LC Total Value]]&gt;0),SnapshotTable[[#This Row],[LC Stop Gain Loss]]  / SnapshotTable[[#This Row],[LC Premium]],"")</f>
        <v/>
      </c>
      <c r="EJ123" s="35">
        <f>IF(ISNUMBER(SnapshotTable[[#This Row],[Equity Shares]]),TRUNC(SnapshotTable[[#This Row],[Equity Shares]] / 100),0) + SnapshotTable[[#This Row],[LC Qty]]</f>
        <v>0</v>
      </c>
      <c r="EK123" s="147"/>
      <c r="EL123" s="138" t="str">
        <f>IF(SnapshotTable[[#This Row],[SC Exp Date]]&lt;&gt;"",TRUNC(SnapshotTable[[#This Row],[Last Price]]),"")</f>
        <v/>
      </c>
      <c r="EM123" s="148"/>
      <c r="EN123" s="147"/>
      <c r="EO123" s="147"/>
      <c r="EP123" s="138"/>
      <c r="EQ123" s="419" t="b">
        <f>AND(ISNUMBER(SnapshotTable[[#This Row],[SC Exp Date]]), ISNUMBER(SnapshotTable[[#This Row],[SC Strike Price]]), ISNUMBER(SnapshotTable[[#This Row],[SC Qty]]), ISNUMBER(SnapshotTable[[#This Row],[SC Book Date]]), ISNUMBER(SnapshotTable[[#This Row],[SC Book Price]]))</f>
        <v>0</v>
      </c>
      <c r="ER123" s="419" t="b">
        <f>AND(SnapshotTable[[#This Row],[SC Is Booked]], NOT(ISBLANK(SnapshotTable[[#This Row],[SC Fill Date]])))</f>
        <v>0</v>
      </c>
      <c r="ES123" s="370"/>
      <c r="ET123" s="34" t="str">
        <f>IF(AND(ISNUMBER(SnapshotTable[[#This Row],[SC Exp Date]]), ISNUMBER(SnapshotTable[[#This Row],[SC Book Date]])), SnapshotTable[[#This Row],[SC Exp Date]] - MAX(SnapshotTable[[#This Row],[SC Book Date]], SnapshotTable[[#This Row],[SC Fill Date]]) + 1, "")</f>
        <v/>
      </c>
      <c r="EU123" s="34" t="str">
        <f>IF(ISNUMBER(SnapshotTable[[#This Row],[SC Term]]), SnapshotTable[[#This Row],[SC Exp Date]]- MockToday, "")</f>
        <v/>
      </c>
      <c r="EV123" s="31">
        <f>IF(SnapshotTable[[#This Row],[SC Is Booked]], SnapshotTable[[#This Row],[SC Qty]] * SnapshotTable[[#This Row],[SC Book Price]] * 100, 0)</f>
        <v>0</v>
      </c>
      <c r="EW123" s="4" t="str">
        <f>IF(AND(ISNUMBER(SnapshotTable[[#This Row],[Last Price]]), ISNUMBER( SnapshotTable[[#This Row],[SC Book Price]])), SnapshotTable[[#This Row],[Last Price]] - SnapshotTable[[#This Row],[SC Book Price]],"")</f>
        <v/>
      </c>
      <c r="EX123" s="234" t="str">
        <f>IF(SnapshotTable[[#This Row],[SC Is Booked]],IF(SnapshotTable[[#This Row],[SC Intrinsic Value]] &gt; 0, SnapshotTable[[#This Row],[SC Strike Price]], SnapshotTable[[#This Row],[Last Price]]), "")</f>
        <v/>
      </c>
      <c r="EY123" s="4">
        <f>IF(SnapshotTable[[#This Row],[SC Is Booked]], (MinimumPremiumRequired * SnapshotTable[[#This Row],[SC Basis]] * SnapshotTable[[#This Row],[SC Term]]), 0)</f>
        <v>0</v>
      </c>
      <c r="EZ123" s="283"/>
      <c r="FA123" s="218"/>
      <c r="FB123" s="370"/>
      <c r="FC123" s="4">
        <f>IF(SnapshotTable[[#This Row],[SC Is Filled]], btc_max_buyback_amount(SnapshotTable[[#This Row],[SC Fill Date]],SnapshotTable[[#This Row],[SC Exp Date]], SnapshotTable[[#This Row],[SC Book Price]]),0)</f>
        <v>0</v>
      </c>
      <c r="FD123" s="5"/>
      <c r="FE123" s="144" t="str">
        <f>IF(SnapshotTable[[#This Row],[SC Is Filled]], btc_next_cutoff_date(SnapshotTable[[#This Row],[SC Fill Date]],SnapshotTable[[#This Row],[SC Exp Date]]),"")</f>
        <v/>
      </c>
      <c r="FF123" s="4" t="str" cm="1">
        <f t="array" ref="FF123">IF(SnapshotTable[[#This Row],[SC Is Filled]], btc_should_buy_back(SnapshotTable[[#This Row],[SC Fill Date]], SnapshotTable[[#This Row],[SC Exp Date]], SnapshotTable[[#This Row],[SC Book Price]], SnapshotTable[[#This Row],[SC Current Ask]], MockToday, SnapshotTable[[#This Row],[SC Buyback Override]]),"")</f>
        <v/>
      </c>
      <c r="FG123" s="4">
        <f>IF(SnapshotTable[[#This Row],[SC Is Filled]], MAX(0,SnapshotTable[[#This Row],[Last Price]]  - SnapshotTable[[#This Row],[SC Strike Price]]), 0)</f>
        <v>0</v>
      </c>
      <c r="FH123" s="382">
        <f>IF(SnapshotTable[[#This Row],[SC Is Filled]], IF(ISNUMBER(SnapshotTable[[#This Row],[SC Current Ask]]), SnapshotTable[[#This Row],[SC Current Ask]], SnapshotTable[[#This Row],[SC Book Price]]) - SnapshotTable[[#This Row],[SC Intrinsic Value]], 0)</f>
        <v>0</v>
      </c>
      <c r="FI123" s="143"/>
      <c r="FJ123" s="32" t="str">
        <f>IF(SnapshotTable[[#This Row],[SC Is Filled]],100 * SnapshotTable[[#This Row],[SC Qty]] * IF(ISNUMBER(SnapshotTable[[#This Row],[SC Buyback Override]]), SnapshotTable[[#This Row],[SC Buyback Override]], SnapshotTable[[#This Row],[SC Current Ask]]), "")</f>
        <v/>
      </c>
      <c r="FK123" s="250" t="str">
        <f>IF(SnapshotTable[[#This Row],[SC Time Val]]&gt;0, SnapshotTable[[#This Row],[SC Time Val]] / SnapshotTable[[#This Row],[Last Price]],"")</f>
        <v/>
      </c>
      <c r="FL123" s="302" t="str">
        <f>IF(SnapshotTable[[#This Row],[SC Is Booked]], ((SnapshotTable[[#This Row],[Last Price]] -SnapshotTable[[#This Row],[SC Strike Price]]) / SnapshotTable[[#This Row],[Last Price]]) * -1, "")</f>
        <v/>
      </c>
      <c r="FM123" s="157" t="str">
        <f>IF(SnapshotTable[[#This Row],[SC Is Booked]],  (SnapshotTable[[#This Row],[SC Qty]] * 100 * SnapshotTable[[#This Row],[SC Strike Price]]) - SnapshotTable[[#This Row],[SC Current Ask]], "")</f>
        <v/>
      </c>
      <c r="FN12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3" s="31" t="str">
        <f>IF(AND(ISNUMBER(SnapshotTable[[#This Row],[SC Exercise Gross]]), ISNUMBER(SnapshotTable[[#This Row],[Equity Basis Per Share]] )), SnapshotTable[[#This Row],[SC Exercise Gross]] - SnapshotTable[[#This Row],[Equity Basis Total]] +  SnapshotTable[[#This Row],[SC Premium]], "")</f>
        <v/>
      </c>
      <c r="FP123" s="5" t="str">
        <f>IF(ISNUMBER(SnapshotTable[[#This Row],[SC Exercise Gross]]), (SnapshotTable[[#This Row],[SC Exercise Gross]]) / (SnapshotTable[[#This Row],[SC Qty]] * 100), "")</f>
        <v/>
      </c>
      <c r="FQ123" s="27" t="str">
        <f>IF(SnapshotTable[[#This Row],[SC Is Booked]],SnapshotTable[[#This Row],[SC Time Val]] /SnapshotTable[[#This Row],[SC Basis]], "")</f>
        <v/>
      </c>
      <c r="FR123" s="27" t="str" cm="1">
        <f t="array" ref="FR123">IF(AND(ISNUMBER(SnapshotTable[[#This Row],[SC Term]]),ISNUMBER(SnapshotTable[[#This Row],[SC Simple ROO]])), EllmanAnnualize(SnapshotTable[[#This Row],[SC DTE]], SnapshotTable[[#This Row],[SC Simple ROO]] ),"")</f>
        <v/>
      </c>
      <c r="FS123" s="4" t="e">
        <f>IF(SnapshotTable[[#This Row],[SC Strike Price]] &gt; SnapshotTable[[#This Row],[Last Price]], SnapshotTable[[#This Row],[SC Strike Price]] - SnapshotTable[[#This Row],[Last Price]],0)</f>
        <v>#VALUE!</v>
      </c>
      <c r="FT123" s="27" t="e">
        <f>IF(AND(ISNUMBER(SnapshotTable[[#This Row],[SC Upside Potential]]), SnapshotTable[[#This Row],[SC Upside Potential]] &gt; 0),(SnapshotTable[[#This Row],[SC Upside Potential]]/ SnapshotTable[[#This Row],[ACB]]),"")</f>
        <v>#VALUE!</v>
      </c>
      <c r="FU123" s="333" t="str">
        <f>IF(SnapshotTable[[#This Row],[SC Intrinsic Value]] &gt; 0,SnapshotTable[[#This Row],[SC Intrinsic Value]],"")</f>
        <v/>
      </c>
      <c r="FV123" s="27" t="str">
        <f>IF(AND( ISNUMBER( SnapshotTable[[#This Row],[ACB]]),ISNUMBER(SnapshotTable[[#This Row],[SC Downside Protect]])),SnapshotTable[[#This Row],[SC Downside Protect]] / SnapshotTable[[#This Row],[ACB]],"")</f>
        <v/>
      </c>
      <c r="FW123" s="236" t="str">
        <f>IF(AND(ISNUMBER(SnapshotTable[[#This Row],[SC Simple ROO]]),SnapshotTable[[#This Row],[SC Simple ROO]] &gt; 0), SnapshotTable[[#This Row],[SC Premium]] + (SnapshotTable[[#This Row],[SC Qty]] * SnapshotTable[[#This Row],[SC Upside Potential]]), "")</f>
        <v/>
      </c>
      <c r="FX123" s="302" t="str" cm="1">
        <f t="array" ref="FX123">IF(ISNUMBER(SnapshotTable[[#This Row],[SC Max Dollars]]), annualize(SnapshotTable[[#This Row],[SC Term]],(SnapshotTable[[#This Row],[SC Max Dollars]]/SnapshotTable[[#This Row],[SC Basis]])),"")</f>
        <v/>
      </c>
      <c r="FY123" s="236" t="str">
        <f>IF(AND(SnapshotTable[[#This Row],[SC Qty]]&gt;0,SnapshotTable[[#This Row],[SC Current Ask]]&gt;0), SnapshotTable[[#This Row],[SC Qty]] * SnapshotTable[[#This Row],[SC Current Ask]] * -100, "")</f>
        <v/>
      </c>
      <c r="FZ123" s="31" t="str">
        <f>IF(ISNUMBER((SnapshotTable[[#This Row],[SC Current Value]])), SnapshotTable[[#This Row],[SC Premium]] + SnapshotTable[[#This Row],[SC Current Value]], "")</f>
        <v/>
      </c>
      <c r="GA123" s="294" t="str">
        <f>IFERROR( IF(ISNUMBER((SnapshotTable[[#This Row],[SC Current Value]])), SnapshotTable[[#This Row],[SC Gain Loss]] / SnapshotTable[[#This Row],[SC Premium]], ""), "")</f>
        <v/>
      </c>
      <c r="GB123" s="42">
        <f>SnapshotTable[[#This Row],[Equity Shares]] * SaleSharesToConsiderPercentage</f>
        <v>0</v>
      </c>
      <c r="GC123" s="40">
        <f>SnapshotTable[[#This Row],[Long Term Target]] * SellingPriceToConsiderBasedOnTargetPercentage</f>
        <v>0</v>
      </c>
      <c r="GD123" s="40">
        <f>SnapshotTable[[#This Row],[Last Price]] * (1+ SellingPriceToConsiderBasedOnTargetPercentage)</f>
        <v>861.51</v>
      </c>
      <c r="GE123" s="41"/>
      <c r="GF123" s="40"/>
      <c r="GG123" s="31">
        <f>SnapshotTable[[#This Row],[Booked Sale Shares]] * SnapshotTable[[#This Row],[Booked Sale Price]]</f>
        <v>0</v>
      </c>
      <c r="GH123" s="31" t="str">
        <f>IF(SnapshotTable[[#This Row],[Equity Basis Total]] &gt; 0, SnapshotTable[[#This Row],[Equity Basis Per Share]] * SnapshotTable[[#This Row],[Booked Sale Shares]], "")</f>
        <v/>
      </c>
      <c r="GI123" s="31">
        <f>IF(SnapshotTable[[#This Row],[Sale Proceeds]]&gt;0, SnapshotTable[[#This Row],[Sale Proceeds]] - SnapshotTable[[#This Row],[Sale Basis]], 0)</f>
        <v>0</v>
      </c>
      <c r="GJ123" s="27" t="str">
        <f>IF(SnapshotTable[[#This Row],[Sale G/L]]&gt;0, SnapshotTable[[#This Row],[Sale G/L]] / SnapshotTable[[#This Row],[Sale Basis]], IF(ISNUMBER(SnapshotTable[[#This Row],[SC Exercise P&amp;L (TAX)]]), SnapshotTable[[#This Row],[SC Exercise P&amp;L (TAX)]] / SnapshotTable[[#This Row],[SC Basis]], ""))</f>
        <v/>
      </c>
      <c r="GK123" s="27"/>
      <c r="GL123" s="43" t="str">
        <f>IF(AND(SnapshotTable[[#This Row],[LP Exp Date]]&gt;0,SnapshotTable[[#This Row],[LP Strike Price]]&gt;0), [1]!ToOptionSymbol(SnapshotTable[[#This Row],[Symbol]], SnapshotTable[[#This Row],[LP Strike Price]],SnapshotTable[[#This Row],[LP Exp Date]],1), "")</f>
        <v/>
      </c>
      <c r="GM123" s="30" t="str">
        <f>IF(LEN(SnapshotTable[[#This Row],[LP Symbol]])&gt;0, 1, "")</f>
        <v/>
      </c>
      <c r="GN123" s="43" t="str">
        <f>IF(AND(SnapshotTable[[#This Row],[SP Exp Date]]&gt;0,SnapshotTable[[#This Row],[SP Strike Price]]&gt;0), [1]!ToOptionSymbol(SnapshotTable[[#This Row],[Symbol]], SnapshotTable[[#This Row],[SP Strike Price]],SnapshotTable[[#This Row],[SP Exp Date]],1), "")</f>
        <v/>
      </c>
      <c r="GO123" s="30" t="str">
        <f>IF(LEN(SnapshotTable[[#This Row],[SP Symbol]])&gt;0, 1, "")</f>
        <v/>
      </c>
      <c r="GP123" s="43" t="str">
        <f>IF(AND(SnapshotTable[[#This Row],[LC Exp Date]]&gt;0,SnapshotTable[[#This Row],[LC Strike Price]]&gt;0), [1]!ToOptionSymbol(SnapshotTable[[#This Row],[Symbol]], SnapshotTable[[#This Row],[LC Strike Price]],SnapshotTable[[#This Row],[LC Exp Date]],0), "")</f>
        <v/>
      </c>
      <c r="GQ123" s="30" t="str">
        <f>IF(LEN(SnapshotTable[[#This Row],[LC Symbol]])&gt;0, 1, "")</f>
        <v/>
      </c>
      <c r="GR123" s="43" t="str">
        <f>IF(AND(SnapshotTable[[#This Row],[SC Exp Date]]&gt;0,SnapshotTable[[#This Row],[SC Strike Price]]&gt;0), [1]!ToOptionSymbol(SnapshotTable[[#This Row],[Symbol]], SnapshotTable[[#This Row],[SC Strike Price]],SnapshotTable[[#This Row],[SC Exp Date]],0), "")</f>
        <v/>
      </c>
      <c r="GS123" s="30" t="str">
        <f>IF(LEN(SnapshotTable[[#This Row],[SC Symbol]])&gt;0, 1, "")</f>
        <v/>
      </c>
      <c r="GT123" s="29" t="str">
        <f>IF(COUNT(SnapshotTable[[#This Row],[LP Symbol Count]],SnapshotTable[[#This Row],[SP Symbol Count]],SnapshotTable[[#This Row],[LC Symbol Count]],SnapshotTable[[#This Row],[SC Symbol Count]])&gt;0, "Y", "")</f>
        <v/>
      </c>
      <c r="GU12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3" s="231" t="e">
        <f>MAX(SnapshotTable[[#This Row],[Equity Basis Total]],SnapshotTable[[#This Row],[Equity Value]]) + (SnapshotTable[[#This Row],[SP Potential Spend]]- SnapshotTable[[#This Row],[SP Premium]] + SnapshotTable[[#This Row],[LP Premium]])+ (SnapshotTable[[#This Row],[LC Premium]] - SnapshotTable[[#This Row],[SC Premium]])</f>
        <v>#VALUE!</v>
      </c>
      <c r="GW123" s="139" t="e">
        <f>IF(AND(SnapshotTable[[#This Row],[Exposure]] &lt;&gt; 0),SnapshotTable[[#This Row],[Exposure]] / SnapshotTable[[#Totals],[Exposure]], "")</f>
        <v>#VALUE!</v>
      </c>
      <c r="HE123" s="268"/>
      <c r="HF123" s="268"/>
      <c r="HK123" s="1"/>
      <c r="HL123" s="1"/>
      <c r="HM123" s="1"/>
      <c r="HN123" s="1"/>
      <c r="HO123" s="1"/>
      <c r="HP123" s="1"/>
    </row>
    <row r="124" spans="2:224" ht="12.75" hidden="1" customHeight="1" x14ac:dyDescent="0.25">
      <c r="B124" s="12" t="s">
        <v>1008</v>
      </c>
      <c r="C124" s="422">
        <v>85.75</v>
      </c>
      <c r="D124" s="208" t="s">
        <v>578</v>
      </c>
      <c r="E124" s="39">
        <f>SnapshotTable[[#This Row],[Last Price]]*(1 -CrashDiscount)</f>
        <v>72.887500000000003</v>
      </c>
      <c r="F124" s="26" t="s">
        <v>975</v>
      </c>
      <c r="G124" s="26" t="s">
        <v>822</v>
      </c>
      <c r="H124" s="149"/>
      <c r="I124" s="194">
        <v>44777.270833333336</v>
      </c>
      <c r="J124" s="195">
        <v>44777.270833333336</v>
      </c>
      <c r="K124" s="196"/>
      <c r="L124" s="326"/>
      <c r="M124" s="140"/>
      <c r="N124" s="140"/>
      <c r="O124" s="140"/>
      <c r="P124" s="22"/>
      <c r="Q124" s="25"/>
      <c r="R124" s="4" t="str">
        <f>IF(SnapshotTable[[#This Row],[Equity Basis Total]] &gt; 0, SnapshotTable[[#This Row],[Equity Basis Total]] / SnapshotTable[[#This Row],[Equity Shares]], "")</f>
        <v/>
      </c>
      <c r="S124" s="269">
        <f>SnapshotTable[[#This Row],[Last Price]] * SnapshotTable[[#This Row],[Equity Shares]]</f>
        <v>0</v>
      </c>
      <c r="T124" s="269">
        <f>SnapshotTable[[#This Row],[Equity Value]] - SnapshotTable[[#This Row],[Equity Basis Total]]</f>
        <v>0</v>
      </c>
      <c r="U124" s="270" t="str">
        <f>IF(SnapshotTable[[#This Row],[Equity Basis Total]] &gt; 0, SnapshotTable[[#This Row],[Equity G/L]] / SnapshotTable[[#This Row],[Equity Basis Total]], "")</f>
        <v/>
      </c>
      <c r="V124" s="268">
        <v>100</v>
      </c>
      <c r="W124" s="268">
        <v>72.900000000000006</v>
      </c>
      <c r="X124" s="4" t="str">
        <f>IF(AND(ISNUMBER(SnapshotTable[[#This Row],[Equity Basis Per Share]]),ISNUMBER(SnapshotTable[[#This Row],[Equity Target]])),SnapshotTable[[#This Row],[Equity Target]]-SnapshotTable[[#This Row],[Equity Basis Per Share]],"")</f>
        <v/>
      </c>
      <c r="Y124" s="4" t="str">
        <f>IF(AND(ISNUMBER(SnapshotTable[[#This Row],[Equity Basis Per Share]]),ISNUMBER(SnapshotTable[[#This Row],[Equity Stop Loss]])),SnapshotTable[[#This Row],[Equity Stop Loss]]-SnapshotTable[[#This Row],[Equity Basis Per Share]],"")</f>
        <v/>
      </c>
      <c r="Z124" s="275" t="str">
        <f>IFERROR( TEXT(SnapshotTable[[#This Row],[Equity Max Gain Per Share]] /ABS( SnapshotTable[[#This Row],[Equity Max Loss Per Share]]),"0.0 " ) &amp; " : 1", "")</f>
        <v/>
      </c>
      <c r="AA124" s="31" t="str">
        <f>IF(ISNUMBER(SnapshotTable[[#This Row],[Equity Max Gain Per Share]]),SnapshotTable[[#This Row],[Equity Max Gain Per Share]] * SnapshotTable[[#This Row],[Equity Shares]],"")</f>
        <v/>
      </c>
      <c r="AB124" s="31" t="str">
        <f>IF(ISNUMBER(SnapshotTable[[#This Row],[Equity Max Loss Per Share]]),SnapshotTable[[#This Row],[Equity Max Loss Per Share]] * SnapshotTable[[#This Row],[Equity Shares]],"")</f>
        <v/>
      </c>
      <c r="AC124" s="150"/>
      <c r="AD124" s="151"/>
      <c r="AE124" s="31">
        <f>(SnapshotTable[[#This Row],[Annual Dividend Per Share]] / 4) * SnapshotTable[[#This Row],[Equity Shares]]</f>
        <v>0</v>
      </c>
      <c r="AF124" s="31">
        <f>SnapshotTable[[#This Row],[Quarterly Div $]] * 4</f>
        <v>0</v>
      </c>
      <c r="AG124" s="7">
        <f>IF(SnapshotTable[[#This Row],[Annual Dividend Per Share]]&gt;0, SnapshotTable[[#This Row],[Annual Dividend Per Share]]  / SnapshotTable[[#This Row],[Last Price]], 0)</f>
        <v>0</v>
      </c>
      <c r="AH124" s="151"/>
      <c r="AI124" s="5"/>
      <c r="AJ124" s="138">
        <v>87.82</v>
      </c>
      <c r="AK124" s="152" t="str">
        <f>IF(ISNUMBER( SnapshotTable[[#This Row],[EBF Target]]),(SnapshotTable[[#This Row],[EBF Target]] - SnapshotTable[[#This Row],[Last Price]]) / SnapshotTable[[#This Row],[Last Price]], "")</f>
        <v/>
      </c>
      <c r="AL124" s="152" t="str">
        <f>IF(AND(SnapshotTable[[#This Row],[Equity Basis Total]] &gt; 0,ISNUMBER( SnapshotTable[[#This Row],[Long Term Target]])), SnapshotTable[[#This Row],[From Basis $]] / SnapshotTable[[#This Row],[Equity Basis Total]], "")</f>
        <v/>
      </c>
      <c r="AM124" s="9">
        <f>IF( AND(SnapshotTable[[#This Row],[Equity Shares]] &gt;0,ISNUMBER( SnapshotTable[[#This Row],[Long Term Target]])),(SnapshotTable[[#This Row],[Equity Shares]] * SnapshotTable[[#This Row],[Long Term Target]]) - SnapshotTable[[#This Row],[Equity Basis Total]],0)</f>
        <v>0</v>
      </c>
      <c r="AN124" s="9">
        <f>IF( AND(SnapshotTable[[#This Row],[Equity Shares]] &gt;0,ISNUMBER( SnapshotTable[[#This Row],[Long Term Target]])),(SnapshotTable[[#This Row],[Equity Shares]]*SnapshotTable[[#This Row],[Long Term Target]]) - SnapshotTable[[#This Row],[Equity Value]],0)</f>
        <v>0</v>
      </c>
      <c r="AO124" s="152">
        <f>IF(AND(ISNUMBER( SnapshotTable[[#This Row],[Long Term Target]]), ISNUMBER(SnapshotTable[[#This Row],[Last Price]])),(SnapshotTable[[#This Row],[Long Term Target]] - SnapshotTable[[#This Row],[Last Price]]) / SnapshotTable[[#This Row],[Last Price]], "")</f>
        <v>2.4139941690962018E-2</v>
      </c>
      <c r="AP124" s="5"/>
      <c r="AQ124" s="38"/>
      <c r="AR124" s="5"/>
      <c r="AS124" s="38"/>
      <c r="AT124" s="146"/>
      <c r="AU124" s="187" t="str">
        <f>IF(OR(SnapshotTable[[#This Row],[LP No Fill]]="Y",SnapshotTable[[#This Row],[SP Is Filled]],SnapshotTable[[#This Row],[LC Not Filled]]="Y",SnapshotTable[[#This Row],[SC Is Filled]]),"Y","")</f>
        <v/>
      </c>
      <c r="AV124" s="219"/>
      <c r="AW124" s="225"/>
      <c r="AX124" s="220"/>
      <c r="AY124" s="219" t="str">
        <f>IF(SnapshotTable[[#This Row],[Implied Move]]&gt;0, SnapshotTable[[#This Row],[Last Price]]-SnapshotTable[[#This Row],[Implied Move]],"")</f>
        <v/>
      </c>
      <c r="AZ124" s="219" t="str">
        <f>IF(SnapshotTable[[#This Row],[Implied Move]]&gt;0, SnapshotTable[[#This Row],[Last Price]] + SnapshotTable[[#This Row],[Implied Move]],"")</f>
        <v/>
      </c>
      <c r="BA124" s="331">
        <v>76.400000000000006</v>
      </c>
      <c r="BB124" s="347"/>
      <c r="BC12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4" s="351"/>
      <c r="BE124" s="5"/>
      <c r="BF124" s="14"/>
      <c r="BG124" s="13"/>
      <c r="BH124" s="13"/>
      <c r="BI124" s="5"/>
      <c r="BJ124" s="136">
        <f>IF(SnapshotTable[[#This Row],[LP Qty]] &gt; 0, SnapshotTable[[#This Row],[LP Qty]] * SnapshotTable[[#This Row],[LP Book Price]] * 100,0)</f>
        <v>0</v>
      </c>
      <c r="BK124" s="136">
        <f>IF(SnapshotTable[[#This Row],[LP Premium]] &gt; 0, SnapshotTable[[#This Row],[LP Qty]] * SnapshotTable[[#This Row],[LP Strike Price]] * 100,0)</f>
        <v>0</v>
      </c>
      <c r="BL124" s="154"/>
      <c r="BM124" s="385" t="str">
        <f>IF(SnapshotTable[[#This Row],[LP Premium]] &gt; 0,SnapshotTable[[#This Row],[LP Exp Date]]-MAX(SnapshotTable[[#This Row],[LP Book Date]], SnapshotTable[[#This Row],[LP Fill Date]]),"")</f>
        <v/>
      </c>
      <c r="BN124" s="385" t="str">
        <f>IF(ISNUMBER( SnapshotTable[[#This Row],[LP Term]]), SnapshotTable[[#This Row],[LP Exp Date]] - MockToday,"")</f>
        <v/>
      </c>
      <c r="BO124" s="163" t="str">
        <f>IF(AND(SnapshotTable[[#This Row],[LP Exp Date]]&gt;0, SnapshotTable[[#This Row],[LP Strike Price]]&gt;0,SnapshotTable[[#This Row],[LP Qty]]&gt;0,SnapshotTable[[#This Row],[LP Book Date]]&gt;0,SnapshotTable[[#This Row],[LP Book Price]]&gt;0,SnapshotTable[[#This Row],[LP Fill Date]]=0),"Y","")</f>
        <v/>
      </c>
      <c r="BP124" s="31" t="str">
        <f>IF(AND(SnapshotTable[[#This Row],[LP No Fill]]&lt;&gt;"Y",SnapshotTable[[#This Row],[LP Contract Value]]&gt;0, SnapshotTable[[#This Row],[LP Qty]]&gt;0), SnapshotTable[[#This Row],[LP Contract Value]]*SnapshotTable[[#This Row],[LP Qty]]*100,"")</f>
        <v/>
      </c>
      <c r="BQ124" s="13"/>
      <c r="BR124" s="5" t="str">
        <f>IF(SnapshotTable[[#This Row],[SP Exp Date]]&lt;&gt;"",TRUNC(SnapshotTable[[#This Row],[Last Price]]),"")</f>
        <v/>
      </c>
      <c r="BS124" s="36"/>
      <c r="BT124" s="147"/>
      <c r="BU124" s="13"/>
      <c r="BV124" s="5"/>
      <c r="BW124" s="419" t="b">
        <f>AND(ISNUMBER(SnapshotTable[[#This Row],[SP Exp Date]]), ISNUMBER(SnapshotTable[[#This Row],[SP Strike Price]]), ISNUMBER(SnapshotTable[[#This Row],[SP Qty]]), ISNUMBER(SnapshotTable[[#This Row],[SP Book Date]]), ISNUMBER(SnapshotTable[[#This Row],[SP Book Price]]))</f>
        <v>0</v>
      </c>
      <c r="BX124" s="419" t="b">
        <f>AND(SnapshotTable[[#This Row],[SP Is Booked]], NOT(ISBLANK(SnapshotTable[[#This Row],[SP Fill Date]])))</f>
        <v>0</v>
      </c>
      <c r="BY124" s="33">
        <f>IF(SnapshotTable[[#This Row],[SP Is Booked]], SnapshotTable[[#This Row],[SP Qty]] * SnapshotTable[[#This Row],[SP Book Price]] * 100, 0)</f>
        <v>0</v>
      </c>
      <c r="BZ124" s="369"/>
      <c r="CA124" s="368">
        <f>SnapshotTable[[#This Row],[LP Qty]]</f>
        <v>0</v>
      </c>
      <c r="CB124" s="4" t="str">
        <f>IF(SnapshotTable[[#This Row],[SP Is Booked]], SnapshotTable[[#This Row],[SP Strike Price]] - SnapshotTable[[#This Row],[SP Book Price]], "")</f>
        <v/>
      </c>
      <c r="CC124" s="19" t="str">
        <f>IF(SnapshotTable[[#This Row],[SP Is Booked]],SnapshotTable[[#This Row],[SP Exp Date]]-MAX(SnapshotTable[[#This Row],[SP Book Date]], SnapshotTable[[#This Row],[SP Fill Date]]),"")</f>
        <v/>
      </c>
      <c r="CD124" s="7" t="str">
        <f>IF(SnapshotTable[[#This Row],[SP Is Booked]], SnapshotTable[[#This Row],[SP Book Price]]/SnapshotTable[[#This Row],[SP Strike Price]], "")</f>
        <v/>
      </c>
      <c r="CE124" s="7" t="str">
        <f>IF(ISNUMBER(SnapshotTable[[#This Row],[SP ROO Term]]),SnapshotTable[[#This Row],[SP ROO Term]]*(365/SnapshotTable[[#This Row],[SP Term]]),"")</f>
        <v/>
      </c>
      <c r="CF124" s="236">
        <f>SnapshotTable[[#This Row],[LP Strike Price]] * SnapshotTable[[#This Row],[LP Qty]] * 100</f>
        <v>0</v>
      </c>
      <c r="CG124" s="31" t="e">
        <f>IF(ISNUMBER(SnapshotTable[[#This Row],[SP Premium]]), (SnapshotTable[[#This Row],[SP Qty]] * SnapshotTable[[#This Row],[SP Strike Price]]* 100) - SnapshotTable[[#This Row],[LP Protection]], 0)</f>
        <v>#VALUE!</v>
      </c>
      <c r="CH124" s="7" t="str">
        <f>IF(ISNUMBER(SnapshotTable[[#This Row],[SP Break Even]]),-1 * (SnapshotTable[[#This Row],[SP Break Even]] - SnapshotTable[[#This Row],[Last Price]]) / SnapshotTable[[#This Row],[Last Price]], "")</f>
        <v/>
      </c>
      <c r="CI124" s="31">
        <f>IF(AND(ISNUMBER((SnapshotTable[[#This Row],[SP Potential Spend]])), SnapshotTable[[#This Row],[SP Strike Price]] &gt; SnapshotTable[[#This Row],[Last Price]], SnapshotTable[[#This Row],[SP Is Filled]]), SnapshotTable[[#This Row],[SP Potential Spend]] -  SnapshotTable[[#This Row],[LP Max Value]], 0)</f>
        <v>0</v>
      </c>
      <c r="CJ124" s="244"/>
      <c r="CK124" s="31" t="str">
        <f>IF(ISNUMBER(SnapshotTable[[#This Row],[SP Potential Spend]]),IF(ISNUMBER(SnapshotTable[[#This Row],[SP POW]]), SnapshotTable[[#This Row],[SP POW]] * SnapshotTable[[#This Row],[SP Potential Spend]], SnapshotTable[[#This Row],[SP Potential Spend]]), "")</f>
        <v/>
      </c>
      <c r="CL124" s="164" t="e">
        <f>IF(NOT(SnapshotTable[[#This Row],[SP Is Filled]]),(SnapshotTable[[#This Row],[SP Qty]] * SnapshotTable[[#This Row],[SP Strike Price]] * 100) - SnapshotTable[[#This Row],[LP Max Value]],"")</f>
        <v>#VALUE!</v>
      </c>
      <c r="CM124" s="31" t="str">
        <f>IF(SnapshotTable[[#This Row],[SP Actual Spend]]&lt;&gt;0, ((SnapshotTable[[#This Row],[SP Strike Price]]-SnapshotTable[[#This Row],[Last Price]]) *(SnapshotTable[[#This Row],[SP Qty]]*100) - SnapshotTable[[#This Row],[SP Premium]]) * - 1, "")</f>
        <v/>
      </c>
      <c r="CN124" s="78"/>
      <c r="CO124" s="369"/>
      <c r="CP124" s="4" t="str">
        <f>IF(SnapshotTable[[#This Row],[SP Is Filled]], btc_max_buyback_amount(SnapshotTable[[#This Row],[SP Fill Date]],SnapshotTable[[#This Row],[SP Exp Date]], SnapshotTable[[#This Row],[SP Book Price]]),"")</f>
        <v/>
      </c>
      <c r="CQ124" s="78"/>
      <c r="CR12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4" s="155" t="str">
        <f>IF(SnapshotTable[[#This Row],[SP Is Filled]], btc_next_cutoff_date(SnapshotTable[[#This Row],[SP Fill Date]],SnapshotTable[[#This Row],[SP Exp Date]]),"")</f>
        <v/>
      </c>
      <c r="CT124" s="235" t="str" cm="1">
        <f t="array" ref="CT124">IF(SnapshotTable[[#This Row],[SP Is Filled]], btc_should_buy_back(SnapshotTable[[#This Row],[SP Fill Date]], SnapshotTable[[#This Row],[SP Exp Date]], SnapshotTable[[#This Row],[SP Book Price]], SnapshotTable[[#This Row],[SP Current Ask]], MockToday, SnapshotTable[[#This Row],[SP Buyback Override]]),"")</f>
        <v/>
      </c>
      <c r="CU124" s="143"/>
      <c r="CV124" s="235"/>
      <c r="CW124" s="378" t="str">
        <f>IF(ISNUMBER( SnapshotTable[[#This Row],[SP Term]]), SnapshotTable[[#This Row],[SP Exp Date]] - MockToday,"")</f>
        <v/>
      </c>
      <c r="CX124" s="31" t="str">
        <f>IF(SnapshotTable[[#This Row],[SP Is Filled]],SnapshotTable[[#This Row],[SP Buyback Price to Use]] * 100 * SnapshotTable[[#This Row],[SP Qty]], "")</f>
        <v/>
      </c>
      <c r="CY124" s="4" t="str">
        <f>IF(ISNUMBER(SnapshotTable[[#This Row],[SP Strike Price]]), SnapshotTable[[#This Row],[SP Strike Price]] * (1 - SP_MaxLoss_StrikePct), "")</f>
        <v/>
      </c>
      <c r="CZ124" s="31" t="str">
        <f>IF(ISNUMBER(SnapshotTable[[#This Row],[SP Strike  Stop Per Share]]),SnapshotTable[[#This Row],[SP Premium]] - ((SnapshotTable[[#This Row],[SP Strike Price]]-SnapshotTable[[#This Row],[SP Strike  Stop Per Share]]) *(SnapshotTable[[#This Row],[SP Qty]] * 100)),"")</f>
        <v/>
      </c>
      <c r="DA124" s="4" t="str">
        <f>IF(AND(ISNUMBER(SnapshotTable[[#This Row],[SP Premium]]),SnapshotTable[[#This Row],[SP Premium]]&gt;0), SnapshotTable[[#This Row],[SP Book Price]] * (1 + SP_MaxLoss_OptionPct), "")</f>
        <v/>
      </c>
      <c r="DB124" s="31" t="str">
        <f>IF(ISNUMBER(SnapshotTable[[#This Row],[SP Option  Stop Contract]]),(SnapshotTable[[#This Row],[SP Option  Stop Contract]] *(SnapshotTable[[#This Row],[SP Qty]] * 100) - SnapshotTable[[#This Row],[SP Premium]]),"")</f>
        <v/>
      </c>
      <c r="DC124" s="4"/>
      <c r="DD124" s="4"/>
      <c r="DE124" s="4" t="str">
        <f>IF(AND(SnapshotTable[[#This Row],[SP Qty]]&gt;0, SnapshotTable[[#This Row],[SP Stop To Use]]&gt;0),SnapshotTable[[#This Row],[SP Premium]] - ( SnapshotTable[[#This Row],[SP Qty]] * SnapshotTable[[#This Row],[SP Stop To Use]] * 100), "")</f>
        <v/>
      </c>
      <c r="DF124" s="31" t="str">
        <f>IF(AND(SnapshotTable[[#This Row],[SP Qty]]&gt;0,SnapshotTable[[#This Row],[SP Current Ask]]&gt;0), SnapshotTable[[#This Row],[SP Qty]] * SnapshotTable[[#This Row],[SP Current Ask]] * -100, "")</f>
        <v/>
      </c>
      <c r="DG124" s="31" t="str">
        <f>IF(ISNUMBER((SnapshotTable[[#This Row],[SP Total Value]])), SnapshotTable[[#This Row],[SP Premium]] + SnapshotTable[[#This Row],[SP Total Value]], "")</f>
        <v/>
      </c>
      <c r="DH124" s="294" t="str">
        <f>IF(ISNUMBER((SnapshotTable[[#This Row],[SP Total Value]])), SnapshotTable[[#This Row],[SP Gain Loss]] / SnapshotTable[[#This Row],[SP Premium]], "")</f>
        <v/>
      </c>
      <c r="DI124" s="406"/>
      <c r="DJ124" s="138"/>
      <c r="DK124" s="148"/>
      <c r="DL124" s="13"/>
      <c r="DM124" s="13"/>
      <c r="DO124" s="31">
        <f>IF(SnapshotTable[[#This Row],[LC Symbol Count]]=1, SnapshotTable[[#This Row],[LC Qty]] * SnapshotTable[[#This Row],[LC Book Price]] * 100, 0)</f>
        <v>0</v>
      </c>
      <c r="DP124" s="163" t="str">
        <f>IF(AND(SnapshotTable[[#This Row],[LC Exp Date]]&gt;0, SnapshotTable[[#This Row],[LC Strike Price]]&gt;0,SnapshotTable[[#This Row],[LC Qty]]&gt;0,SnapshotTable[[#This Row],[LC Book Date]]&gt;0,SnapshotTable[[#This Row],[LC Book Price]]&gt;0,SnapshotTable[[#This Row],[LC Fill Date]]=0),"Y","")</f>
        <v/>
      </c>
      <c r="DQ124" s="386" t="str">
        <f>IF(SnapshotTable[[#This Row],[LC Premium]] &gt; 0,SnapshotTable[[#This Row],[LC Exp Date]]-MAX(SnapshotTable[[#This Row],[LC Book Date]], SnapshotTable[[#This Row],[LC Fill Date]]),"")</f>
        <v/>
      </c>
      <c r="DR124" s="386" t="str">
        <f>IF(ISNUMBER(SnapshotTable[[#This Row],[LC Term]]), SnapshotTable[[#This Row],[LC Exp Date]] - MockToday, "")</f>
        <v/>
      </c>
      <c r="DS124" s="234" t="str">
        <f>IF(SnapshotTable[[#This Row],[LC Premium]]&gt;0,SnapshotTable[[#This Row],[LC Strike Price]] + SnapshotTable[[#This Row],[LC Book Price]],"")</f>
        <v/>
      </c>
      <c r="DU124" s="9" t="str">
        <f>IF(AND(SnapshotTable[[#This Row],[LC Symbol Count]]&gt;0, SnapshotTable[[#This Row],[LC Contract Value]]&gt;0), SnapshotTable[[#This Row],[LC Contract Value]] * SnapshotTable[[#This Row],[LC Qty]] * 100, "")</f>
        <v/>
      </c>
      <c r="DV124" s="9" t="str">
        <f>IF(AND(ISNUMBER(SnapshotTable[[#This Row],[LC Total Value]]), SnapshotTable[[#This Row],[LC Not Filled]]&lt;&gt;"Y"), SnapshotTable[[#This Row],[LC Total Value]]-SnapshotTable[[#This Row],[LC Premium]],"")</f>
        <v/>
      </c>
      <c r="DW124" s="240" t="str">
        <f>IF(ISNUMBER(SnapshotTable[[#This Row],[LC Actual Gain Loss]]), SnapshotTable[[#This Row],[LC Actual Gain Loss]] / SnapshotTable[[#This Row],[LC Premium]],"")</f>
        <v/>
      </c>
      <c r="DX124" s="284" t="str">
        <f>IF(ISNUMBER(SnapshotTable[[#This Row],[LC Book Price]]),SnapshotTable[[#This Row],[LC Book Price]] * 1.5,"")</f>
        <v/>
      </c>
      <c r="DY124" s="265" t="str">
        <f>IF(SnapshotTable[[#This Row],[LC Premium]]&gt;0, SnapshotTable[[#This Row],[LC Next Target]] * SnapshotTable[[#This Row],[LC Qty]] * 100,"")</f>
        <v/>
      </c>
      <c r="DZ124" s="265" t="str">
        <f>IF(ISNUMBER(SnapshotTable[[#This Row],[LC Target Gross]]), SnapshotTable[[#This Row],[LC Target Gross]] - SnapshotTable[[#This Row],[LC Premium]], "")</f>
        <v/>
      </c>
      <c r="EA124" s="305" t="str">
        <f>IF(ISNUMBER(SnapshotTable[[#This Row],[LC Target Gain Loss]]), SnapshotTable[[#This Row],[LC Target Gain Loss]]/SnapshotTable[[#This Row],[LC Premium]], "")</f>
        <v/>
      </c>
      <c r="EB124" s="262"/>
      <c r="EC124" s="283" t="str">
        <f>IF(SnapshotTable[[#This Row],[LC Premium]]&gt;0, SnapshotTable[[#This Row],[LC Book Price]] * (1 - LC_StopLoss_Pct),"")</f>
        <v/>
      </c>
      <c r="ED124" s="284"/>
      <c r="EE124" s="283" t="str">
        <f>IF(ISNUMBER(SnapshotTable[[#This Row],[LC Contract Value]]),IF(ISNUMBER(SnapshotTable[[#This Row],[LC Stop Loss Override]]), SnapshotTable[[#This Row],[LC Stop Loss Override]],SnapshotTable[[#This Row],[LC Stop Loss Calc Target]]),"")</f>
        <v/>
      </c>
      <c r="EF124" s="31" t="str">
        <f>IF(ISNUMBER(SnapshotTable[[#This Row],[LC Stop  To Use]]), (SnapshotTable[[#This Row],[LC Stop  To Use]] * SnapshotTable[[#This Row],[LC Qty]] * 100),"")</f>
        <v/>
      </c>
      <c r="EG124" s="9" t="str">
        <f>IF(ISNUMBER(SnapshotTable[[#This Row],[LC Total Value]]),SnapshotTable[[#This Row],[LC Stop Loss Amount]] - SnapshotTable[[#This Row],[LC Premium]],"")</f>
        <v/>
      </c>
      <c r="EH124" s="9">
        <f>IF(ISNUMBER(SnapshotTable[[#This Row],[LC Premium]]), SnapshotTable[[#This Row],[LC Qty]] * 100 * SnapshotTable[[#This Row],[LC Strike Price]], "")</f>
        <v>0</v>
      </c>
      <c r="EI124" s="240" t="str">
        <f>IF(AND(ISNUMBER(SnapshotTable[[#This Row],[LC Total Value]]),SnapshotTable[[#This Row],[LC Total Value]]&gt;0),SnapshotTable[[#This Row],[LC Stop Gain Loss]]  / SnapshotTable[[#This Row],[LC Premium]],"")</f>
        <v/>
      </c>
      <c r="EJ124" s="35">
        <f>IF(ISNUMBER(SnapshotTable[[#This Row],[Equity Shares]]),TRUNC(SnapshotTable[[#This Row],[Equity Shares]] / 100),0) + SnapshotTable[[#This Row],[LC Qty]]</f>
        <v>0</v>
      </c>
      <c r="EK124" s="147"/>
      <c r="EL124" s="138" t="str">
        <f>IF(SnapshotTable[[#This Row],[SC Exp Date]]&lt;&gt;"",TRUNC(SnapshotTable[[#This Row],[Last Price]]),"")</f>
        <v/>
      </c>
      <c r="EM124" s="148"/>
      <c r="EN124" s="147"/>
      <c r="EO124" s="147"/>
      <c r="EP124" s="138"/>
      <c r="EQ124" s="419" t="b">
        <f>AND(ISNUMBER(SnapshotTable[[#This Row],[SC Exp Date]]), ISNUMBER(SnapshotTable[[#This Row],[SC Strike Price]]), ISNUMBER(SnapshotTable[[#This Row],[SC Qty]]), ISNUMBER(SnapshotTable[[#This Row],[SC Book Date]]), ISNUMBER(SnapshotTable[[#This Row],[SC Book Price]]))</f>
        <v>0</v>
      </c>
      <c r="ER124" s="419" t="b">
        <f>AND(SnapshotTable[[#This Row],[SC Is Booked]], NOT(ISBLANK(SnapshotTable[[#This Row],[SC Fill Date]])))</f>
        <v>0</v>
      </c>
      <c r="ES124" s="370"/>
      <c r="ET124" s="34" t="str">
        <f>IF(AND(ISNUMBER(SnapshotTable[[#This Row],[SC Exp Date]]), ISNUMBER(SnapshotTable[[#This Row],[SC Book Date]])), SnapshotTable[[#This Row],[SC Exp Date]] - MAX(SnapshotTable[[#This Row],[SC Book Date]], SnapshotTable[[#This Row],[SC Fill Date]]) + 1, "")</f>
        <v/>
      </c>
      <c r="EU124" s="34" t="str">
        <f>IF(ISNUMBER(SnapshotTable[[#This Row],[SC Term]]), SnapshotTable[[#This Row],[SC Exp Date]]- MockToday, "")</f>
        <v/>
      </c>
      <c r="EV124" s="31">
        <f>IF(SnapshotTable[[#This Row],[SC Is Booked]], SnapshotTable[[#This Row],[SC Qty]] * SnapshotTable[[#This Row],[SC Book Price]] * 100, 0)</f>
        <v>0</v>
      </c>
      <c r="EW124" s="4" t="str">
        <f>IF(AND(ISNUMBER(SnapshotTable[[#This Row],[Last Price]]), ISNUMBER( SnapshotTable[[#This Row],[SC Book Price]])), SnapshotTable[[#This Row],[Last Price]] - SnapshotTable[[#This Row],[SC Book Price]],"")</f>
        <v/>
      </c>
      <c r="EX124" s="234" t="str">
        <f>IF(SnapshotTable[[#This Row],[SC Is Booked]],IF(SnapshotTable[[#This Row],[SC Intrinsic Value]] &gt; 0, SnapshotTable[[#This Row],[SC Strike Price]], SnapshotTable[[#This Row],[Last Price]]), "")</f>
        <v/>
      </c>
      <c r="EY124" s="4">
        <f>IF(SnapshotTable[[#This Row],[SC Is Booked]], (MinimumPremiumRequired * SnapshotTable[[#This Row],[SC Basis]] * SnapshotTable[[#This Row],[SC Term]]), 0)</f>
        <v>0</v>
      </c>
      <c r="EZ124" s="283"/>
      <c r="FA124" s="218"/>
      <c r="FB124" s="370"/>
      <c r="FC124" s="4">
        <f>IF(SnapshotTable[[#This Row],[SC Is Filled]], btc_max_buyback_amount(SnapshotTable[[#This Row],[SC Fill Date]],SnapshotTable[[#This Row],[SC Exp Date]], SnapshotTable[[#This Row],[SC Book Price]]),0)</f>
        <v>0</v>
      </c>
      <c r="FD124" s="5"/>
      <c r="FE124" s="144" t="str">
        <f>IF(SnapshotTable[[#This Row],[SC Is Filled]], btc_next_cutoff_date(SnapshotTable[[#This Row],[SC Fill Date]],SnapshotTable[[#This Row],[SC Exp Date]]),"")</f>
        <v/>
      </c>
      <c r="FF124" s="4" t="str" cm="1">
        <f t="array" ref="FF124">IF(SnapshotTable[[#This Row],[SC Is Filled]], btc_should_buy_back(SnapshotTable[[#This Row],[SC Fill Date]], SnapshotTable[[#This Row],[SC Exp Date]], SnapshotTable[[#This Row],[SC Book Price]], SnapshotTable[[#This Row],[SC Current Ask]], MockToday, SnapshotTable[[#This Row],[SC Buyback Override]]),"")</f>
        <v/>
      </c>
      <c r="FG124" s="4">
        <f>IF(SnapshotTable[[#This Row],[SC Is Filled]], MAX(0,SnapshotTable[[#This Row],[Last Price]]  - SnapshotTable[[#This Row],[SC Strike Price]]), 0)</f>
        <v>0</v>
      </c>
      <c r="FH124" s="382">
        <f>IF(SnapshotTable[[#This Row],[SC Is Filled]], IF(ISNUMBER(SnapshotTable[[#This Row],[SC Current Ask]]), SnapshotTable[[#This Row],[SC Current Ask]], SnapshotTable[[#This Row],[SC Book Price]]) - SnapshotTable[[#This Row],[SC Intrinsic Value]], 0)</f>
        <v>0</v>
      </c>
      <c r="FI124" s="143"/>
      <c r="FJ124" s="32" t="str">
        <f>IF(SnapshotTable[[#This Row],[SC Is Filled]],100 * SnapshotTable[[#This Row],[SC Qty]] * IF(ISNUMBER(SnapshotTable[[#This Row],[SC Buyback Override]]), SnapshotTable[[#This Row],[SC Buyback Override]], SnapshotTable[[#This Row],[SC Current Ask]]), "")</f>
        <v/>
      </c>
      <c r="FK124" s="250" t="str">
        <f>IF(SnapshotTable[[#This Row],[SC Time Val]]&gt;0, SnapshotTable[[#This Row],[SC Time Val]] / SnapshotTable[[#This Row],[Last Price]],"")</f>
        <v/>
      </c>
      <c r="FL124" s="302" t="str">
        <f>IF(SnapshotTable[[#This Row],[SC Is Booked]], ((SnapshotTable[[#This Row],[Last Price]] -SnapshotTable[[#This Row],[SC Strike Price]]) / SnapshotTable[[#This Row],[Last Price]]) * -1, "")</f>
        <v/>
      </c>
      <c r="FM124" s="157" t="str">
        <f>IF(SnapshotTable[[#This Row],[SC Is Booked]],  (SnapshotTable[[#This Row],[SC Qty]] * 100 * SnapshotTable[[#This Row],[SC Strike Price]]) - SnapshotTable[[#This Row],[SC Current Ask]], "")</f>
        <v/>
      </c>
      <c r="FN12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4" s="31" t="str">
        <f>IF(AND(ISNUMBER(SnapshotTable[[#This Row],[SC Exercise Gross]]), ISNUMBER(SnapshotTable[[#This Row],[Equity Basis Per Share]] )), SnapshotTable[[#This Row],[SC Exercise Gross]] - SnapshotTable[[#This Row],[Equity Basis Total]] +  SnapshotTable[[#This Row],[SC Premium]], "")</f>
        <v/>
      </c>
      <c r="FP124" s="5" t="str">
        <f>IF(ISNUMBER(SnapshotTable[[#This Row],[SC Exercise Gross]]), (SnapshotTable[[#This Row],[SC Exercise Gross]]) / (SnapshotTable[[#This Row],[SC Qty]] * 100), "")</f>
        <v/>
      </c>
      <c r="FQ124" s="27" t="str">
        <f>IF(SnapshotTable[[#This Row],[SC Is Booked]],SnapshotTable[[#This Row],[SC Time Val]] /SnapshotTable[[#This Row],[SC Basis]], "")</f>
        <v/>
      </c>
      <c r="FR124" s="27" t="str" cm="1">
        <f t="array" ref="FR124">IF(AND(ISNUMBER(SnapshotTable[[#This Row],[SC Term]]),ISNUMBER(SnapshotTable[[#This Row],[SC Simple ROO]])), EllmanAnnualize(SnapshotTable[[#This Row],[SC DTE]], SnapshotTable[[#This Row],[SC Simple ROO]] ),"")</f>
        <v/>
      </c>
      <c r="FS124" s="4" t="e">
        <f>IF(SnapshotTable[[#This Row],[SC Strike Price]] &gt; SnapshotTable[[#This Row],[Last Price]], SnapshotTable[[#This Row],[SC Strike Price]] - SnapshotTable[[#This Row],[Last Price]],0)</f>
        <v>#VALUE!</v>
      </c>
      <c r="FT124" s="27" t="e">
        <f>IF(AND(ISNUMBER(SnapshotTable[[#This Row],[SC Upside Potential]]), SnapshotTable[[#This Row],[SC Upside Potential]] &gt; 0),(SnapshotTable[[#This Row],[SC Upside Potential]]/ SnapshotTable[[#This Row],[ACB]]),"")</f>
        <v>#VALUE!</v>
      </c>
      <c r="FU124" s="333" t="str">
        <f>IF(SnapshotTable[[#This Row],[SC Intrinsic Value]] &gt; 0,SnapshotTable[[#This Row],[SC Intrinsic Value]],"")</f>
        <v/>
      </c>
      <c r="FV124" s="27" t="str">
        <f>IF(AND( ISNUMBER( SnapshotTable[[#This Row],[ACB]]),ISNUMBER(SnapshotTable[[#This Row],[SC Downside Protect]])),SnapshotTable[[#This Row],[SC Downside Protect]] / SnapshotTable[[#This Row],[ACB]],"")</f>
        <v/>
      </c>
      <c r="FW124" s="236" t="str">
        <f>IF(AND(ISNUMBER(SnapshotTable[[#This Row],[SC Simple ROO]]),SnapshotTable[[#This Row],[SC Simple ROO]] &gt; 0), SnapshotTable[[#This Row],[SC Premium]] + (SnapshotTable[[#This Row],[SC Qty]] * SnapshotTable[[#This Row],[SC Upside Potential]]), "")</f>
        <v/>
      </c>
      <c r="FX124" s="302" t="str" cm="1">
        <f t="array" ref="FX124">IF(ISNUMBER(SnapshotTable[[#This Row],[SC Max Dollars]]), annualize(SnapshotTable[[#This Row],[SC Term]],(SnapshotTable[[#This Row],[SC Max Dollars]]/SnapshotTable[[#This Row],[SC Basis]])),"")</f>
        <v/>
      </c>
      <c r="FY124" s="236" t="str">
        <f>IF(AND(SnapshotTable[[#This Row],[SC Qty]]&gt;0,SnapshotTable[[#This Row],[SC Current Ask]]&gt;0), SnapshotTable[[#This Row],[SC Qty]] * SnapshotTable[[#This Row],[SC Current Ask]] * -100, "")</f>
        <v/>
      </c>
      <c r="FZ124" s="31" t="str">
        <f>IF(ISNUMBER((SnapshotTable[[#This Row],[SC Current Value]])), SnapshotTable[[#This Row],[SC Premium]] + SnapshotTable[[#This Row],[SC Current Value]], "")</f>
        <v/>
      </c>
      <c r="GA124" s="294" t="str">
        <f>IFERROR( IF(ISNUMBER((SnapshotTable[[#This Row],[SC Current Value]])), SnapshotTable[[#This Row],[SC Gain Loss]] / SnapshotTable[[#This Row],[SC Premium]], ""), "")</f>
        <v/>
      </c>
      <c r="GB124" s="42">
        <f>SnapshotTable[[#This Row],[Equity Shares]] * SaleSharesToConsiderPercentage</f>
        <v>0</v>
      </c>
      <c r="GC124" s="40">
        <f>SnapshotTable[[#This Row],[Long Term Target]] * SellingPriceToConsiderBasedOnTargetPercentage</f>
        <v>83.428999999999988</v>
      </c>
      <c r="GD124" s="40">
        <f>SnapshotTable[[#This Row],[Last Price]] * (1+ SellingPriceToConsiderBasedOnTargetPercentage)</f>
        <v>167.21250000000001</v>
      </c>
      <c r="GE124" s="41"/>
      <c r="GF124" s="40"/>
      <c r="GG124" s="31">
        <f>SnapshotTable[[#This Row],[Booked Sale Shares]] * SnapshotTable[[#This Row],[Booked Sale Price]]</f>
        <v>0</v>
      </c>
      <c r="GH124" s="31" t="str">
        <f>IF(SnapshotTable[[#This Row],[Equity Basis Total]] &gt; 0, SnapshotTable[[#This Row],[Equity Basis Per Share]] * SnapshotTable[[#This Row],[Booked Sale Shares]], "")</f>
        <v/>
      </c>
      <c r="GI124" s="31">
        <f>IF(SnapshotTable[[#This Row],[Sale Proceeds]]&gt;0, SnapshotTable[[#This Row],[Sale Proceeds]] - SnapshotTable[[#This Row],[Sale Basis]], 0)</f>
        <v>0</v>
      </c>
      <c r="GJ124" s="27" t="str">
        <f>IF(SnapshotTable[[#This Row],[Sale G/L]]&gt;0, SnapshotTable[[#This Row],[Sale G/L]] / SnapshotTable[[#This Row],[Sale Basis]], IF(ISNUMBER(SnapshotTable[[#This Row],[SC Exercise P&amp;L (TAX)]]), SnapshotTable[[#This Row],[SC Exercise P&amp;L (TAX)]] / SnapshotTable[[#This Row],[SC Basis]], ""))</f>
        <v/>
      </c>
      <c r="GK124" s="27"/>
      <c r="GL124" s="43" t="str">
        <f>IF(AND(SnapshotTable[[#This Row],[LP Exp Date]]&gt;0,SnapshotTable[[#This Row],[LP Strike Price]]&gt;0), [1]!ToOptionSymbol(SnapshotTable[[#This Row],[Symbol]], SnapshotTable[[#This Row],[LP Strike Price]],SnapshotTable[[#This Row],[LP Exp Date]],1), "")</f>
        <v/>
      </c>
      <c r="GM124" s="30" t="str">
        <f>IF(LEN(SnapshotTable[[#This Row],[LP Symbol]])&gt;0, 1, "")</f>
        <v/>
      </c>
      <c r="GN124" s="43" t="str">
        <f>IF(AND(SnapshotTable[[#This Row],[SP Exp Date]]&gt;0,SnapshotTable[[#This Row],[SP Strike Price]]&gt;0), [1]!ToOptionSymbol(SnapshotTable[[#This Row],[Symbol]], SnapshotTable[[#This Row],[SP Strike Price]],SnapshotTable[[#This Row],[SP Exp Date]],1), "")</f>
        <v/>
      </c>
      <c r="GO124" s="30" t="str">
        <f>IF(LEN(SnapshotTable[[#This Row],[SP Symbol]])&gt;0, 1, "")</f>
        <v/>
      </c>
      <c r="GP124" s="43" t="str">
        <f>IF(AND(SnapshotTable[[#This Row],[LC Exp Date]]&gt;0,SnapshotTable[[#This Row],[LC Strike Price]]&gt;0), [1]!ToOptionSymbol(SnapshotTable[[#This Row],[Symbol]], SnapshotTable[[#This Row],[LC Strike Price]],SnapshotTable[[#This Row],[LC Exp Date]],0), "")</f>
        <v/>
      </c>
      <c r="GQ124" s="30" t="str">
        <f>IF(LEN(SnapshotTable[[#This Row],[LC Symbol]])&gt;0, 1, "")</f>
        <v/>
      </c>
      <c r="GR124" s="43" t="str">
        <f>IF(AND(SnapshotTable[[#This Row],[SC Exp Date]]&gt;0,SnapshotTable[[#This Row],[SC Strike Price]]&gt;0), [1]!ToOptionSymbol(SnapshotTable[[#This Row],[Symbol]], SnapshotTable[[#This Row],[SC Strike Price]],SnapshotTable[[#This Row],[SC Exp Date]],0), "")</f>
        <v/>
      </c>
      <c r="GS124" s="30" t="str">
        <f>IF(LEN(SnapshotTable[[#This Row],[SC Symbol]])&gt;0, 1, "")</f>
        <v/>
      </c>
      <c r="GT124" s="29" t="str">
        <f>IF(COUNT(SnapshotTable[[#This Row],[LP Symbol Count]],SnapshotTable[[#This Row],[SP Symbol Count]],SnapshotTable[[#This Row],[LC Symbol Count]],SnapshotTable[[#This Row],[SC Symbol Count]])&gt;0, "Y", "")</f>
        <v/>
      </c>
      <c r="GU12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4" s="231" t="e">
        <f>MAX(SnapshotTable[[#This Row],[Equity Basis Total]],SnapshotTable[[#This Row],[Equity Value]]) + (SnapshotTable[[#This Row],[SP Potential Spend]]- SnapshotTable[[#This Row],[SP Premium]] + SnapshotTable[[#This Row],[LP Premium]])+ (SnapshotTable[[#This Row],[LC Premium]] - SnapshotTable[[#This Row],[SC Premium]])</f>
        <v>#VALUE!</v>
      </c>
      <c r="GW124" s="139" t="e">
        <f>IF(AND(SnapshotTable[[#This Row],[Exposure]] &lt;&gt; 0),SnapshotTable[[#This Row],[Exposure]] / SnapshotTable[[#Totals],[Exposure]], "")</f>
        <v>#VALUE!</v>
      </c>
      <c r="HE124" s="268"/>
      <c r="HF124" s="268"/>
      <c r="HK124" s="1"/>
      <c r="HL124" s="1"/>
      <c r="HM124" s="1"/>
      <c r="HN124" s="1"/>
      <c r="HO124" s="1"/>
      <c r="HP124" s="1"/>
    </row>
    <row r="125" spans="2:224" ht="12.75" hidden="1" customHeight="1" x14ac:dyDescent="0.25">
      <c r="B125" s="12" t="s">
        <v>199</v>
      </c>
      <c r="C125" s="422">
        <v>120.24</v>
      </c>
      <c r="D125" s="208"/>
      <c r="E125" s="39">
        <f>SnapshotTable[[#This Row],[Last Price]]*(1 -CrashDiscount)</f>
        <v>102.20399999999999</v>
      </c>
      <c r="F125" s="26" t="s">
        <v>124</v>
      </c>
      <c r="G125" s="26" t="s">
        <v>14</v>
      </c>
      <c r="H125" s="149"/>
      <c r="I125" s="194">
        <v>44798.288194444445</v>
      </c>
      <c r="J125" s="195">
        <v>44798.288194444445</v>
      </c>
      <c r="K125" s="196"/>
      <c r="L125" s="326"/>
      <c r="M125" s="140"/>
      <c r="N125" s="140"/>
      <c r="O125" s="140"/>
      <c r="P125" s="22"/>
      <c r="Q125" s="25"/>
      <c r="R125" s="4" t="str">
        <f>IF(SnapshotTable[[#This Row],[Equity Basis Total]] &gt; 0, SnapshotTable[[#This Row],[Equity Basis Total]] / SnapshotTable[[#This Row],[Equity Shares]], "")</f>
        <v/>
      </c>
      <c r="S125" s="269">
        <f>SnapshotTable[[#This Row],[Last Price]] * SnapshotTable[[#This Row],[Equity Shares]]</f>
        <v>0</v>
      </c>
      <c r="T125" s="269">
        <f>SnapshotTable[[#This Row],[Equity Value]] - SnapshotTable[[#This Row],[Equity Basis Total]]</f>
        <v>0</v>
      </c>
      <c r="U125" s="270" t="str">
        <f>IF(SnapshotTable[[#This Row],[Equity Basis Total]] &gt; 0, SnapshotTable[[#This Row],[Equity G/L]] / SnapshotTable[[#This Row],[Equity Basis Total]], "")</f>
        <v/>
      </c>
      <c r="V125" s="268"/>
      <c r="W125" s="268"/>
      <c r="X125" s="4" t="str">
        <f>IF(AND(ISNUMBER(SnapshotTable[[#This Row],[Equity Basis Per Share]]),ISNUMBER(SnapshotTable[[#This Row],[Equity Target]])),SnapshotTable[[#This Row],[Equity Target]]-SnapshotTable[[#This Row],[Equity Basis Per Share]],"")</f>
        <v/>
      </c>
      <c r="Y125" s="4" t="str">
        <f>IF(AND(ISNUMBER(SnapshotTable[[#This Row],[Equity Basis Per Share]]),ISNUMBER(SnapshotTable[[#This Row],[Equity Stop Loss]])),SnapshotTable[[#This Row],[Equity Stop Loss]]-SnapshotTable[[#This Row],[Equity Basis Per Share]],"")</f>
        <v/>
      </c>
      <c r="Z125" s="275" t="str">
        <f>IFERROR( TEXT(SnapshotTable[[#This Row],[Equity Max Gain Per Share]] /ABS( SnapshotTable[[#This Row],[Equity Max Loss Per Share]]),"0.0 " ) &amp; " : 1", "")</f>
        <v/>
      </c>
      <c r="AA125" s="31" t="str">
        <f>IF(ISNUMBER(SnapshotTable[[#This Row],[Equity Max Gain Per Share]]),SnapshotTable[[#This Row],[Equity Max Gain Per Share]] * SnapshotTable[[#This Row],[Equity Shares]],"")</f>
        <v/>
      </c>
      <c r="AB125" s="31" t="str">
        <f>IF(ISNUMBER(SnapshotTable[[#This Row],[Equity Max Loss Per Share]]),SnapshotTable[[#This Row],[Equity Max Loss Per Share]] * SnapshotTable[[#This Row],[Equity Shares]],"")</f>
        <v/>
      </c>
      <c r="AC125" s="150">
        <v>1</v>
      </c>
      <c r="AD125" s="151">
        <v>42732</v>
      </c>
      <c r="AE125" s="31">
        <f>(SnapshotTable[[#This Row],[Annual Dividend Per Share]] / 4) * SnapshotTable[[#This Row],[Equity Shares]]</f>
        <v>0</v>
      </c>
      <c r="AF125" s="31">
        <f>SnapshotTable[[#This Row],[Quarterly Div $]] * 4</f>
        <v>0</v>
      </c>
      <c r="AG125" s="7">
        <f>IF(SnapshotTable[[#This Row],[Annual Dividend Per Share]]&gt;0, SnapshotTable[[#This Row],[Annual Dividend Per Share]]  / SnapshotTable[[#This Row],[Last Price]], 0)</f>
        <v>8.3166999334664017E-3</v>
      </c>
      <c r="AH125" s="151">
        <v>42712</v>
      </c>
      <c r="AI125" s="5"/>
      <c r="AJ125" s="138">
        <v>90</v>
      </c>
      <c r="AK125" s="152" t="str">
        <f>IF(ISNUMBER( SnapshotTable[[#This Row],[EBF Target]]),(SnapshotTable[[#This Row],[EBF Target]] - SnapshotTable[[#This Row],[Last Price]]) / SnapshotTable[[#This Row],[Last Price]], "")</f>
        <v/>
      </c>
      <c r="AL125" s="152" t="str">
        <f>IF(AND(SnapshotTable[[#This Row],[Equity Basis Total]] &gt; 0,ISNUMBER( SnapshotTable[[#This Row],[Long Term Target]])), SnapshotTable[[#This Row],[From Basis $]] / SnapshotTable[[#This Row],[Equity Basis Total]], "")</f>
        <v/>
      </c>
      <c r="AM125" s="9">
        <f>IF( AND(SnapshotTable[[#This Row],[Equity Shares]] &gt;0,ISNUMBER( SnapshotTable[[#This Row],[Long Term Target]])),(SnapshotTable[[#This Row],[Equity Shares]] * SnapshotTable[[#This Row],[Long Term Target]]) - SnapshotTable[[#This Row],[Equity Basis Total]],0)</f>
        <v>0</v>
      </c>
      <c r="AN125" s="9">
        <f>IF( AND(SnapshotTable[[#This Row],[Equity Shares]] &gt;0,ISNUMBER( SnapshotTable[[#This Row],[Long Term Target]])),(SnapshotTable[[#This Row],[Equity Shares]]*SnapshotTable[[#This Row],[Long Term Target]]) - SnapshotTable[[#This Row],[Equity Value]],0)</f>
        <v>0</v>
      </c>
      <c r="AO125" s="152">
        <f>IF(AND(ISNUMBER( SnapshotTable[[#This Row],[Long Term Target]]), ISNUMBER(SnapshotTable[[#This Row],[Last Price]])),(SnapshotTable[[#This Row],[Long Term Target]] - SnapshotTable[[#This Row],[Last Price]]) / SnapshotTable[[#This Row],[Last Price]], "")</f>
        <v>-0.25149700598802394</v>
      </c>
      <c r="AP125" s="5">
        <v>72.5</v>
      </c>
      <c r="AQ125" s="38" t="s">
        <v>27</v>
      </c>
      <c r="AR125" s="5">
        <v>72.5</v>
      </c>
      <c r="AS125" s="38" t="s">
        <v>198</v>
      </c>
      <c r="AT125" s="146"/>
      <c r="AU125" s="187" t="str">
        <f>IF(OR(SnapshotTable[[#This Row],[LP No Fill]]="Y",SnapshotTable[[#This Row],[SP Is Filled]],SnapshotTable[[#This Row],[LC Not Filled]]="Y",SnapshotTable[[#This Row],[SC Is Filled]]),"Y","")</f>
        <v/>
      </c>
      <c r="AV125" s="219"/>
      <c r="AW125" s="225"/>
      <c r="AX125" s="220"/>
      <c r="AY125" s="219" t="str">
        <f>IF(SnapshotTable[[#This Row],[Implied Move]]&gt;0, SnapshotTable[[#This Row],[Last Price]]-SnapshotTable[[#This Row],[Implied Move]],"")</f>
        <v/>
      </c>
      <c r="AZ125" s="219" t="str">
        <f>IF(SnapshotTable[[#This Row],[Implied Move]]&gt;0, SnapshotTable[[#This Row],[Last Price]] + SnapshotTable[[#This Row],[Implied Move]],"")</f>
        <v/>
      </c>
      <c r="BA125" s="331"/>
      <c r="BB125" s="347"/>
      <c r="BC12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5" s="351"/>
      <c r="BE125" s="5"/>
      <c r="BF125" s="14"/>
      <c r="BG125" s="13"/>
      <c r="BH125" s="13"/>
      <c r="BI125" s="5"/>
      <c r="BJ125" s="136">
        <f>IF(SnapshotTable[[#This Row],[LP Qty]] &gt; 0, SnapshotTable[[#This Row],[LP Qty]] * SnapshotTable[[#This Row],[LP Book Price]] * 100,0)</f>
        <v>0</v>
      </c>
      <c r="BK125" s="136">
        <f>IF(SnapshotTable[[#This Row],[LP Premium]] &gt; 0, SnapshotTable[[#This Row],[LP Qty]] * SnapshotTable[[#This Row],[LP Strike Price]] * 100,0)</f>
        <v>0</v>
      </c>
      <c r="BL125" s="154"/>
      <c r="BM125" s="385" t="str">
        <f>IF(SnapshotTable[[#This Row],[LP Premium]] &gt; 0,SnapshotTable[[#This Row],[LP Exp Date]]-MAX(SnapshotTable[[#This Row],[LP Book Date]], SnapshotTable[[#This Row],[LP Fill Date]]),"")</f>
        <v/>
      </c>
      <c r="BN125" s="385" t="str">
        <f>IF(ISNUMBER( SnapshotTable[[#This Row],[LP Term]]), SnapshotTable[[#This Row],[LP Exp Date]] - MockToday,"")</f>
        <v/>
      </c>
      <c r="BO125" s="163" t="str">
        <f>IF(AND(SnapshotTable[[#This Row],[LP Exp Date]]&gt;0, SnapshotTable[[#This Row],[LP Strike Price]]&gt;0,SnapshotTable[[#This Row],[LP Qty]]&gt;0,SnapshotTable[[#This Row],[LP Book Date]]&gt;0,SnapshotTable[[#This Row],[LP Book Price]]&gt;0,SnapshotTable[[#This Row],[LP Fill Date]]=0),"Y","")</f>
        <v/>
      </c>
      <c r="BP125" s="31" t="str">
        <f>IF(AND(SnapshotTable[[#This Row],[LP No Fill]]&lt;&gt;"Y",SnapshotTable[[#This Row],[LP Contract Value]]&gt;0, SnapshotTable[[#This Row],[LP Qty]]&gt;0), SnapshotTable[[#This Row],[LP Contract Value]]*SnapshotTable[[#This Row],[LP Qty]]*100,"")</f>
        <v/>
      </c>
      <c r="BQ125" s="13"/>
      <c r="BR125" s="5" t="str">
        <f>IF(SnapshotTable[[#This Row],[SP Exp Date]]&lt;&gt;"",TRUNC(SnapshotTable[[#This Row],[Last Price]]),"")</f>
        <v/>
      </c>
      <c r="BS125" s="36"/>
      <c r="BT125" s="147"/>
      <c r="BU125" s="13"/>
      <c r="BV125" s="5"/>
      <c r="BW125" s="419" t="b">
        <f>AND(ISNUMBER(SnapshotTable[[#This Row],[SP Exp Date]]), ISNUMBER(SnapshotTable[[#This Row],[SP Strike Price]]), ISNUMBER(SnapshotTable[[#This Row],[SP Qty]]), ISNUMBER(SnapshotTable[[#This Row],[SP Book Date]]), ISNUMBER(SnapshotTable[[#This Row],[SP Book Price]]))</f>
        <v>0</v>
      </c>
      <c r="BX125" s="419" t="b">
        <f>AND(SnapshotTable[[#This Row],[SP Is Booked]], NOT(ISBLANK(SnapshotTable[[#This Row],[SP Fill Date]])))</f>
        <v>0</v>
      </c>
      <c r="BY125" s="33">
        <f>IF(SnapshotTable[[#This Row],[SP Is Booked]], SnapshotTable[[#This Row],[SP Qty]] * SnapshotTable[[#This Row],[SP Book Price]] * 100, 0)</f>
        <v>0</v>
      </c>
      <c r="BZ125" s="369"/>
      <c r="CA125" s="368">
        <f>SnapshotTable[[#This Row],[LP Qty]]</f>
        <v>0</v>
      </c>
      <c r="CB125" s="4" t="str">
        <f>IF(SnapshotTable[[#This Row],[SP Is Booked]], SnapshotTable[[#This Row],[SP Strike Price]] - SnapshotTable[[#This Row],[SP Book Price]], "")</f>
        <v/>
      </c>
      <c r="CC125" s="19" t="str">
        <f>IF(SnapshotTable[[#This Row],[SP Is Booked]],SnapshotTable[[#This Row],[SP Exp Date]]-MAX(SnapshotTable[[#This Row],[SP Book Date]], SnapshotTable[[#This Row],[SP Fill Date]]),"")</f>
        <v/>
      </c>
      <c r="CD125" s="7" t="str">
        <f>IF(SnapshotTable[[#This Row],[SP Is Booked]], SnapshotTable[[#This Row],[SP Book Price]]/SnapshotTable[[#This Row],[SP Strike Price]], "")</f>
        <v/>
      </c>
      <c r="CE125" s="7" t="str">
        <f>IF(ISNUMBER(SnapshotTable[[#This Row],[SP ROO Term]]),SnapshotTable[[#This Row],[SP ROO Term]]*(365/SnapshotTable[[#This Row],[SP Term]]),"")</f>
        <v/>
      </c>
      <c r="CF125" s="236">
        <f>SnapshotTable[[#This Row],[LP Strike Price]] * SnapshotTable[[#This Row],[LP Qty]] * 100</f>
        <v>0</v>
      </c>
      <c r="CG125" s="31" t="e">
        <f>IF(ISNUMBER(SnapshotTable[[#This Row],[SP Premium]]), (SnapshotTable[[#This Row],[SP Qty]] * SnapshotTable[[#This Row],[SP Strike Price]]* 100) - SnapshotTable[[#This Row],[LP Protection]], 0)</f>
        <v>#VALUE!</v>
      </c>
      <c r="CH125" s="7" t="str">
        <f>IF(ISNUMBER(SnapshotTable[[#This Row],[SP Break Even]]),-1 * (SnapshotTable[[#This Row],[SP Break Even]] - SnapshotTable[[#This Row],[Last Price]]) / SnapshotTable[[#This Row],[Last Price]], "")</f>
        <v/>
      </c>
      <c r="CI125" s="31">
        <f>IF(AND(ISNUMBER((SnapshotTable[[#This Row],[SP Potential Spend]])), SnapshotTable[[#This Row],[SP Strike Price]] &gt; SnapshotTable[[#This Row],[Last Price]], SnapshotTable[[#This Row],[SP Is Filled]]), SnapshotTable[[#This Row],[SP Potential Spend]] -  SnapshotTable[[#This Row],[LP Max Value]], 0)</f>
        <v>0</v>
      </c>
      <c r="CJ125" s="244"/>
      <c r="CK125" s="31" t="str">
        <f>IF(ISNUMBER(SnapshotTable[[#This Row],[SP Potential Spend]]),IF(ISNUMBER(SnapshotTable[[#This Row],[SP POW]]), SnapshotTable[[#This Row],[SP POW]] * SnapshotTable[[#This Row],[SP Potential Spend]], SnapshotTable[[#This Row],[SP Potential Spend]]), "")</f>
        <v/>
      </c>
      <c r="CL125" s="164" t="e">
        <f>IF(NOT(SnapshotTable[[#This Row],[SP Is Filled]]),(SnapshotTable[[#This Row],[SP Qty]] * SnapshotTable[[#This Row],[SP Strike Price]] * 100) - SnapshotTable[[#This Row],[LP Max Value]],"")</f>
        <v>#VALUE!</v>
      </c>
      <c r="CM125" s="31" t="str">
        <f>IF(SnapshotTable[[#This Row],[SP Actual Spend]]&lt;&gt;0, ((SnapshotTable[[#This Row],[SP Strike Price]]-SnapshotTable[[#This Row],[Last Price]]) *(SnapshotTable[[#This Row],[SP Qty]]*100) - SnapshotTable[[#This Row],[SP Premium]]) * - 1, "")</f>
        <v/>
      </c>
      <c r="CN125" s="78"/>
      <c r="CO125" s="369"/>
      <c r="CP125" s="4" t="str">
        <f>IF(SnapshotTable[[#This Row],[SP Is Filled]], btc_max_buyback_amount(SnapshotTable[[#This Row],[SP Fill Date]],SnapshotTable[[#This Row],[SP Exp Date]], SnapshotTable[[#This Row],[SP Book Price]]),"")</f>
        <v/>
      </c>
      <c r="CQ125" s="78"/>
      <c r="CR12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5" s="155" t="str">
        <f>IF(SnapshotTable[[#This Row],[SP Is Filled]], btc_next_cutoff_date(SnapshotTable[[#This Row],[SP Fill Date]],SnapshotTable[[#This Row],[SP Exp Date]]),"")</f>
        <v/>
      </c>
      <c r="CT125" s="235" t="str" cm="1">
        <f t="array" ref="CT125">IF(SnapshotTable[[#This Row],[SP Is Filled]], btc_should_buy_back(SnapshotTable[[#This Row],[SP Fill Date]], SnapshotTable[[#This Row],[SP Exp Date]], SnapshotTable[[#This Row],[SP Book Price]], SnapshotTable[[#This Row],[SP Current Ask]], MockToday, SnapshotTable[[#This Row],[SP Buyback Override]]),"")</f>
        <v/>
      </c>
      <c r="CU125" s="143"/>
      <c r="CV125" s="235"/>
      <c r="CW125" s="378" t="str">
        <f>IF(ISNUMBER( SnapshotTable[[#This Row],[SP Term]]), SnapshotTable[[#This Row],[SP Exp Date]] - MockToday,"")</f>
        <v/>
      </c>
      <c r="CX125" s="31" t="str">
        <f>IF(SnapshotTable[[#This Row],[SP Is Filled]],SnapshotTable[[#This Row],[SP Buyback Price to Use]] * 100 * SnapshotTable[[#This Row],[SP Qty]], "")</f>
        <v/>
      </c>
      <c r="CY125" s="4" t="str">
        <f>IF(ISNUMBER(SnapshotTable[[#This Row],[SP Strike Price]]), SnapshotTable[[#This Row],[SP Strike Price]] * (1 - SP_MaxLoss_StrikePct), "")</f>
        <v/>
      </c>
      <c r="CZ125" s="31" t="str">
        <f>IF(ISNUMBER(SnapshotTable[[#This Row],[SP Strike  Stop Per Share]]),SnapshotTable[[#This Row],[SP Premium]] - ((SnapshotTable[[#This Row],[SP Strike Price]]-SnapshotTable[[#This Row],[SP Strike  Stop Per Share]]) *(SnapshotTable[[#This Row],[SP Qty]] * 100)),"")</f>
        <v/>
      </c>
      <c r="DA125" s="4" t="str">
        <f>IF(AND(ISNUMBER(SnapshotTable[[#This Row],[SP Premium]]),SnapshotTable[[#This Row],[SP Premium]]&gt;0), SnapshotTable[[#This Row],[SP Book Price]] * (1 + SP_MaxLoss_OptionPct), "")</f>
        <v/>
      </c>
      <c r="DB125" s="31" t="str">
        <f>IF(ISNUMBER(SnapshotTable[[#This Row],[SP Option  Stop Contract]]),(SnapshotTable[[#This Row],[SP Option  Stop Contract]] *(SnapshotTable[[#This Row],[SP Qty]] * 100) - SnapshotTable[[#This Row],[SP Premium]]),"")</f>
        <v/>
      </c>
      <c r="DC125" s="4"/>
      <c r="DD125" s="4"/>
      <c r="DE125" s="4" t="str">
        <f>IF(AND(SnapshotTable[[#This Row],[SP Qty]]&gt;0, SnapshotTable[[#This Row],[SP Stop To Use]]&gt;0),SnapshotTable[[#This Row],[SP Premium]] - ( SnapshotTable[[#This Row],[SP Qty]] * SnapshotTable[[#This Row],[SP Stop To Use]] * 100), "")</f>
        <v/>
      </c>
      <c r="DF125" s="31" t="str">
        <f>IF(AND(SnapshotTable[[#This Row],[SP Qty]]&gt;0,SnapshotTable[[#This Row],[SP Current Ask]]&gt;0), SnapshotTable[[#This Row],[SP Qty]] * SnapshotTable[[#This Row],[SP Current Ask]] * -100, "")</f>
        <v/>
      </c>
      <c r="DG125" s="31" t="str">
        <f>IF(ISNUMBER((SnapshotTable[[#This Row],[SP Total Value]])), SnapshotTable[[#This Row],[SP Premium]] + SnapshotTable[[#This Row],[SP Total Value]], "")</f>
        <v/>
      </c>
      <c r="DH125" s="294" t="str">
        <f>IF(ISNUMBER((SnapshotTable[[#This Row],[SP Total Value]])), SnapshotTable[[#This Row],[SP Gain Loss]] / SnapshotTable[[#This Row],[SP Premium]], "")</f>
        <v/>
      </c>
      <c r="DI125" s="406"/>
      <c r="DJ125" s="138"/>
      <c r="DK125" s="148"/>
      <c r="DL125" s="13"/>
      <c r="DM125" s="13"/>
      <c r="DO125" s="31">
        <f>IF(SnapshotTable[[#This Row],[LC Symbol Count]]=1, SnapshotTable[[#This Row],[LC Qty]] * SnapshotTable[[#This Row],[LC Book Price]] * 100, 0)</f>
        <v>0</v>
      </c>
      <c r="DP125" s="163" t="str">
        <f>IF(AND(SnapshotTable[[#This Row],[LC Exp Date]]&gt;0, SnapshotTable[[#This Row],[LC Strike Price]]&gt;0,SnapshotTable[[#This Row],[LC Qty]]&gt;0,SnapshotTable[[#This Row],[LC Book Date]]&gt;0,SnapshotTable[[#This Row],[LC Book Price]]&gt;0,SnapshotTable[[#This Row],[LC Fill Date]]=0),"Y","")</f>
        <v/>
      </c>
      <c r="DQ125" s="386" t="str">
        <f>IF(SnapshotTable[[#This Row],[LC Premium]] &gt; 0,SnapshotTable[[#This Row],[LC Exp Date]]-MAX(SnapshotTable[[#This Row],[LC Book Date]], SnapshotTable[[#This Row],[LC Fill Date]]),"")</f>
        <v/>
      </c>
      <c r="DR125" s="386" t="str">
        <f>IF(ISNUMBER(SnapshotTable[[#This Row],[LC Term]]), SnapshotTable[[#This Row],[LC Exp Date]] - MockToday, "")</f>
        <v/>
      </c>
      <c r="DS125" s="234" t="str">
        <f>IF(SnapshotTable[[#This Row],[LC Premium]]&gt;0,SnapshotTable[[#This Row],[LC Strike Price]] + SnapshotTable[[#This Row],[LC Book Price]],"")</f>
        <v/>
      </c>
      <c r="DU125" s="9" t="str">
        <f>IF(AND(SnapshotTable[[#This Row],[LC Symbol Count]]&gt;0, SnapshotTable[[#This Row],[LC Contract Value]]&gt;0), SnapshotTable[[#This Row],[LC Contract Value]] * SnapshotTable[[#This Row],[LC Qty]] * 100, "")</f>
        <v/>
      </c>
      <c r="DV125" s="9" t="str">
        <f>IF(AND(ISNUMBER(SnapshotTable[[#This Row],[LC Total Value]]), SnapshotTable[[#This Row],[LC Not Filled]]&lt;&gt;"Y"), SnapshotTable[[#This Row],[LC Total Value]]-SnapshotTable[[#This Row],[LC Premium]],"")</f>
        <v/>
      </c>
      <c r="DW125" s="240" t="str">
        <f>IF(ISNUMBER(SnapshotTable[[#This Row],[LC Actual Gain Loss]]), SnapshotTable[[#This Row],[LC Actual Gain Loss]] / SnapshotTable[[#This Row],[LC Premium]],"")</f>
        <v/>
      </c>
      <c r="DX125" s="284" t="str">
        <f>IF(ISNUMBER(SnapshotTable[[#This Row],[LC Book Price]]),SnapshotTable[[#This Row],[LC Book Price]] * 1.5,"")</f>
        <v/>
      </c>
      <c r="DY125" s="265" t="str">
        <f>IF(SnapshotTable[[#This Row],[LC Premium]]&gt;0, SnapshotTable[[#This Row],[LC Next Target]] * SnapshotTable[[#This Row],[LC Qty]] * 100,"")</f>
        <v/>
      </c>
      <c r="DZ125" s="265" t="str">
        <f>IF(ISNUMBER(SnapshotTable[[#This Row],[LC Target Gross]]), SnapshotTable[[#This Row],[LC Target Gross]] - SnapshotTable[[#This Row],[LC Premium]], "")</f>
        <v/>
      </c>
      <c r="EA125" s="305" t="str">
        <f>IF(ISNUMBER(SnapshotTable[[#This Row],[LC Target Gain Loss]]), SnapshotTable[[#This Row],[LC Target Gain Loss]]/SnapshotTable[[#This Row],[LC Premium]], "")</f>
        <v/>
      </c>
      <c r="EB125" s="262"/>
      <c r="EC125" s="283" t="str">
        <f>IF(SnapshotTable[[#This Row],[LC Premium]]&gt;0, SnapshotTable[[#This Row],[LC Book Price]] * (1 - LC_StopLoss_Pct),"")</f>
        <v/>
      </c>
      <c r="ED125" s="284"/>
      <c r="EE125" s="283" t="str">
        <f>IF(ISNUMBER(SnapshotTable[[#This Row],[LC Contract Value]]),IF(ISNUMBER(SnapshotTable[[#This Row],[LC Stop Loss Override]]), SnapshotTable[[#This Row],[LC Stop Loss Override]],SnapshotTable[[#This Row],[LC Stop Loss Calc Target]]),"")</f>
        <v/>
      </c>
      <c r="EF125" s="31" t="str">
        <f>IF(ISNUMBER(SnapshotTable[[#This Row],[LC Stop  To Use]]), (SnapshotTable[[#This Row],[LC Stop  To Use]] * SnapshotTable[[#This Row],[LC Qty]] * 100),"")</f>
        <v/>
      </c>
      <c r="EG125" s="9" t="str">
        <f>IF(ISNUMBER(SnapshotTable[[#This Row],[LC Total Value]]),SnapshotTable[[#This Row],[LC Stop Loss Amount]] - SnapshotTable[[#This Row],[LC Premium]],"")</f>
        <v/>
      </c>
      <c r="EH125" s="9">
        <f>IF(ISNUMBER(SnapshotTable[[#This Row],[LC Premium]]), SnapshotTable[[#This Row],[LC Qty]] * 100 * SnapshotTable[[#This Row],[LC Strike Price]], "")</f>
        <v>0</v>
      </c>
      <c r="EI125" s="240" t="str">
        <f>IF(AND(ISNUMBER(SnapshotTable[[#This Row],[LC Total Value]]),SnapshotTable[[#This Row],[LC Total Value]]&gt;0),SnapshotTable[[#This Row],[LC Stop Gain Loss]]  / SnapshotTable[[#This Row],[LC Premium]],"")</f>
        <v/>
      </c>
      <c r="EJ125" s="35">
        <f>IF(ISNUMBER(SnapshotTable[[#This Row],[Equity Shares]]),TRUNC(SnapshotTable[[#This Row],[Equity Shares]] / 100),0) + SnapshotTable[[#This Row],[LC Qty]]</f>
        <v>0</v>
      </c>
      <c r="EK125" s="147"/>
      <c r="EL125" s="138" t="str">
        <f>IF(SnapshotTable[[#This Row],[SC Exp Date]]&lt;&gt;"",TRUNC(SnapshotTable[[#This Row],[Last Price]]),"")</f>
        <v/>
      </c>
      <c r="EM125" s="148"/>
      <c r="EN125" s="147"/>
      <c r="EO125" s="147"/>
      <c r="EP125" s="138"/>
      <c r="EQ125" s="419" t="b">
        <f>AND(ISNUMBER(SnapshotTable[[#This Row],[SC Exp Date]]), ISNUMBER(SnapshotTable[[#This Row],[SC Strike Price]]), ISNUMBER(SnapshotTable[[#This Row],[SC Qty]]), ISNUMBER(SnapshotTable[[#This Row],[SC Book Date]]), ISNUMBER(SnapshotTable[[#This Row],[SC Book Price]]))</f>
        <v>0</v>
      </c>
      <c r="ER125" s="419" t="b">
        <f>AND(SnapshotTable[[#This Row],[SC Is Booked]], NOT(ISBLANK(SnapshotTable[[#This Row],[SC Fill Date]])))</f>
        <v>0</v>
      </c>
      <c r="ES125" s="370"/>
      <c r="ET125" s="34" t="str">
        <f>IF(AND(ISNUMBER(SnapshotTable[[#This Row],[SC Exp Date]]), ISNUMBER(SnapshotTable[[#This Row],[SC Book Date]])), SnapshotTable[[#This Row],[SC Exp Date]] - MAX(SnapshotTable[[#This Row],[SC Book Date]], SnapshotTable[[#This Row],[SC Fill Date]]) + 1, "")</f>
        <v/>
      </c>
      <c r="EU125" s="34" t="str">
        <f>IF(ISNUMBER(SnapshotTable[[#This Row],[SC Term]]), SnapshotTable[[#This Row],[SC Exp Date]]- MockToday, "")</f>
        <v/>
      </c>
      <c r="EV125" s="31">
        <f>IF(SnapshotTable[[#This Row],[SC Is Booked]], SnapshotTable[[#This Row],[SC Qty]] * SnapshotTable[[#This Row],[SC Book Price]] * 100, 0)</f>
        <v>0</v>
      </c>
      <c r="EW125" s="4" t="str">
        <f>IF(AND(ISNUMBER(SnapshotTable[[#This Row],[Last Price]]), ISNUMBER( SnapshotTable[[#This Row],[SC Book Price]])), SnapshotTable[[#This Row],[Last Price]] - SnapshotTable[[#This Row],[SC Book Price]],"")</f>
        <v/>
      </c>
      <c r="EX125" s="234" t="str">
        <f>IF(SnapshotTable[[#This Row],[SC Is Booked]],IF(SnapshotTable[[#This Row],[SC Intrinsic Value]] &gt; 0, SnapshotTable[[#This Row],[SC Strike Price]], SnapshotTable[[#This Row],[Last Price]]), "")</f>
        <v/>
      </c>
      <c r="EY125" s="4">
        <f>IF(SnapshotTable[[#This Row],[SC Is Booked]], (MinimumPremiumRequired * SnapshotTable[[#This Row],[SC Basis]] * SnapshotTable[[#This Row],[SC Term]]), 0)</f>
        <v>0</v>
      </c>
      <c r="EZ125" s="283"/>
      <c r="FA125" s="218"/>
      <c r="FB125" s="370"/>
      <c r="FC125" s="4">
        <f>IF(SnapshotTable[[#This Row],[SC Is Filled]], btc_max_buyback_amount(SnapshotTable[[#This Row],[SC Fill Date]],SnapshotTable[[#This Row],[SC Exp Date]], SnapshotTable[[#This Row],[SC Book Price]]),0)</f>
        <v>0</v>
      </c>
      <c r="FD125" s="5"/>
      <c r="FE125" s="144" t="str">
        <f>IF(SnapshotTable[[#This Row],[SC Is Filled]], btc_next_cutoff_date(SnapshotTable[[#This Row],[SC Fill Date]],SnapshotTable[[#This Row],[SC Exp Date]]),"")</f>
        <v/>
      </c>
      <c r="FF125" s="4" t="str" cm="1">
        <f t="array" ref="FF125">IF(SnapshotTable[[#This Row],[SC Is Filled]], btc_should_buy_back(SnapshotTable[[#This Row],[SC Fill Date]], SnapshotTable[[#This Row],[SC Exp Date]], SnapshotTable[[#This Row],[SC Book Price]], SnapshotTable[[#This Row],[SC Current Ask]], MockToday, SnapshotTable[[#This Row],[SC Buyback Override]]),"")</f>
        <v/>
      </c>
      <c r="FG125" s="4">
        <f>IF(SnapshotTable[[#This Row],[SC Is Filled]], MAX(0,SnapshotTable[[#This Row],[Last Price]]  - SnapshotTable[[#This Row],[SC Strike Price]]), 0)</f>
        <v>0</v>
      </c>
      <c r="FH125" s="382">
        <f>IF(SnapshotTable[[#This Row],[SC Is Filled]], IF(ISNUMBER(SnapshotTable[[#This Row],[SC Current Ask]]), SnapshotTable[[#This Row],[SC Current Ask]], SnapshotTable[[#This Row],[SC Book Price]]) - SnapshotTable[[#This Row],[SC Intrinsic Value]], 0)</f>
        <v>0</v>
      </c>
      <c r="FI125" s="143"/>
      <c r="FJ125" s="32" t="str">
        <f>IF(SnapshotTable[[#This Row],[SC Is Filled]],100 * SnapshotTable[[#This Row],[SC Qty]] * IF(ISNUMBER(SnapshotTable[[#This Row],[SC Buyback Override]]), SnapshotTable[[#This Row],[SC Buyback Override]], SnapshotTable[[#This Row],[SC Current Ask]]), "")</f>
        <v/>
      </c>
      <c r="FK125" s="250" t="str">
        <f>IF(SnapshotTable[[#This Row],[SC Time Val]]&gt;0, SnapshotTable[[#This Row],[SC Time Val]] / SnapshotTable[[#This Row],[Last Price]],"")</f>
        <v/>
      </c>
      <c r="FL125" s="302" t="str">
        <f>IF(SnapshotTable[[#This Row],[SC Is Booked]], ((SnapshotTable[[#This Row],[Last Price]] -SnapshotTable[[#This Row],[SC Strike Price]]) / SnapshotTable[[#This Row],[Last Price]]) * -1, "")</f>
        <v/>
      </c>
      <c r="FM125" s="157" t="str">
        <f>IF(SnapshotTable[[#This Row],[SC Is Booked]],  (SnapshotTable[[#This Row],[SC Qty]] * 100 * SnapshotTable[[#This Row],[SC Strike Price]]) - SnapshotTable[[#This Row],[SC Current Ask]], "")</f>
        <v/>
      </c>
      <c r="FN12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5" s="31" t="str">
        <f>IF(AND(ISNUMBER(SnapshotTable[[#This Row],[SC Exercise Gross]]), ISNUMBER(SnapshotTable[[#This Row],[Equity Basis Per Share]] )), SnapshotTable[[#This Row],[SC Exercise Gross]] - SnapshotTable[[#This Row],[Equity Basis Total]] +  SnapshotTable[[#This Row],[SC Premium]], "")</f>
        <v/>
      </c>
      <c r="FP125" s="5" t="str">
        <f>IF(ISNUMBER(SnapshotTable[[#This Row],[SC Exercise Gross]]), (SnapshotTable[[#This Row],[SC Exercise Gross]]) / (SnapshotTable[[#This Row],[SC Qty]] * 100), "")</f>
        <v/>
      </c>
      <c r="FQ125" s="27" t="str">
        <f>IF(SnapshotTable[[#This Row],[SC Is Booked]],SnapshotTable[[#This Row],[SC Time Val]] /SnapshotTable[[#This Row],[SC Basis]], "")</f>
        <v/>
      </c>
      <c r="FR125" s="27" t="str" cm="1">
        <f t="array" ref="FR125">IF(AND(ISNUMBER(SnapshotTable[[#This Row],[SC Term]]),ISNUMBER(SnapshotTable[[#This Row],[SC Simple ROO]])), EllmanAnnualize(SnapshotTable[[#This Row],[SC DTE]], SnapshotTable[[#This Row],[SC Simple ROO]] ),"")</f>
        <v/>
      </c>
      <c r="FS125" s="4" t="e">
        <f>IF(SnapshotTable[[#This Row],[SC Strike Price]] &gt; SnapshotTable[[#This Row],[Last Price]], SnapshotTable[[#This Row],[SC Strike Price]] - SnapshotTable[[#This Row],[Last Price]],0)</f>
        <v>#VALUE!</v>
      </c>
      <c r="FT125" s="27" t="e">
        <f>IF(AND(ISNUMBER(SnapshotTable[[#This Row],[SC Upside Potential]]), SnapshotTable[[#This Row],[SC Upside Potential]] &gt; 0),(SnapshotTable[[#This Row],[SC Upside Potential]]/ SnapshotTable[[#This Row],[ACB]]),"")</f>
        <v>#VALUE!</v>
      </c>
      <c r="FU125" s="333" t="str">
        <f>IF(SnapshotTable[[#This Row],[SC Intrinsic Value]] &gt; 0,SnapshotTable[[#This Row],[SC Intrinsic Value]],"")</f>
        <v/>
      </c>
      <c r="FV125" s="27" t="str">
        <f>IF(AND( ISNUMBER( SnapshotTable[[#This Row],[ACB]]),ISNUMBER(SnapshotTable[[#This Row],[SC Downside Protect]])),SnapshotTable[[#This Row],[SC Downside Protect]] / SnapshotTable[[#This Row],[ACB]],"")</f>
        <v/>
      </c>
      <c r="FW125" s="236" t="str">
        <f>IF(AND(ISNUMBER(SnapshotTable[[#This Row],[SC Simple ROO]]),SnapshotTable[[#This Row],[SC Simple ROO]] &gt; 0), SnapshotTable[[#This Row],[SC Premium]] + (SnapshotTable[[#This Row],[SC Qty]] * SnapshotTable[[#This Row],[SC Upside Potential]]), "")</f>
        <v/>
      </c>
      <c r="FX125" s="302" t="str" cm="1">
        <f t="array" ref="FX125">IF(ISNUMBER(SnapshotTable[[#This Row],[SC Max Dollars]]), annualize(SnapshotTable[[#This Row],[SC Term]],(SnapshotTable[[#This Row],[SC Max Dollars]]/SnapshotTable[[#This Row],[SC Basis]])),"")</f>
        <v/>
      </c>
      <c r="FY125" s="236" t="str">
        <f>IF(AND(SnapshotTable[[#This Row],[SC Qty]]&gt;0,SnapshotTable[[#This Row],[SC Current Ask]]&gt;0), SnapshotTable[[#This Row],[SC Qty]] * SnapshotTable[[#This Row],[SC Current Ask]] * -100, "")</f>
        <v/>
      </c>
      <c r="FZ125" s="31" t="str">
        <f>IF(ISNUMBER((SnapshotTable[[#This Row],[SC Current Value]])), SnapshotTable[[#This Row],[SC Premium]] + SnapshotTable[[#This Row],[SC Current Value]], "")</f>
        <v/>
      </c>
      <c r="GA125" s="294" t="str">
        <f>IFERROR( IF(ISNUMBER((SnapshotTable[[#This Row],[SC Current Value]])), SnapshotTable[[#This Row],[SC Gain Loss]] / SnapshotTable[[#This Row],[SC Premium]], ""), "")</f>
        <v/>
      </c>
      <c r="GB125" s="42">
        <f>SnapshotTable[[#This Row],[Equity Shares]] * SaleSharesToConsiderPercentage</f>
        <v>0</v>
      </c>
      <c r="GC125" s="40">
        <f>SnapshotTable[[#This Row],[Long Term Target]] * SellingPriceToConsiderBasedOnTargetPercentage</f>
        <v>85.5</v>
      </c>
      <c r="GD125" s="40">
        <f>SnapshotTable[[#This Row],[Last Price]] * (1+ SellingPriceToConsiderBasedOnTargetPercentage)</f>
        <v>234.46799999999999</v>
      </c>
      <c r="GE125" s="41"/>
      <c r="GF125" s="40"/>
      <c r="GG125" s="31">
        <f>SnapshotTable[[#This Row],[Booked Sale Shares]] * SnapshotTable[[#This Row],[Booked Sale Price]]</f>
        <v>0</v>
      </c>
      <c r="GH125" s="31" t="str">
        <f>IF(SnapshotTable[[#This Row],[Equity Basis Total]] &gt; 0, SnapshotTable[[#This Row],[Equity Basis Per Share]] * SnapshotTable[[#This Row],[Booked Sale Shares]], "")</f>
        <v/>
      </c>
      <c r="GI125" s="31">
        <f>IF(SnapshotTable[[#This Row],[Sale Proceeds]]&gt;0, SnapshotTable[[#This Row],[Sale Proceeds]] - SnapshotTable[[#This Row],[Sale Basis]], 0)</f>
        <v>0</v>
      </c>
      <c r="GJ125" s="27" t="str">
        <f>IF(SnapshotTable[[#This Row],[Sale G/L]]&gt;0, SnapshotTable[[#This Row],[Sale G/L]] / SnapshotTable[[#This Row],[Sale Basis]], IF(ISNUMBER(SnapshotTable[[#This Row],[SC Exercise P&amp;L (TAX)]]), SnapshotTable[[#This Row],[SC Exercise P&amp;L (TAX)]] / SnapshotTable[[#This Row],[SC Basis]], ""))</f>
        <v/>
      </c>
      <c r="GK125" s="27" t="s">
        <v>681</v>
      </c>
      <c r="GL125" s="43" t="str">
        <f>IF(AND(SnapshotTable[[#This Row],[LP Exp Date]]&gt;0,SnapshotTable[[#This Row],[LP Strike Price]]&gt;0), [1]!ToOptionSymbol(SnapshotTable[[#This Row],[Symbol]], SnapshotTable[[#This Row],[LP Strike Price]],SnapshotTable[[#This Row],[LP Exp Date]],1), "")</f>
        <v/>
      </c>
      <c r="GM125" s="30" t="str">
        <f>IF(LEN(SnapshotTable[[#This Row],[LP Symbol]])&gt;0, 1, "")</f>
        <v/>
      </c>
      <c r="GN125" s="43" t="str">
        <f>IF(AND(SnapshotTable[[#This Row],[SP Exp Date]]&gt;0,SnapshotTable[[#This Row],[SP Strike Price]]&gt;0), [1]!ToOptionSymbol(SnapshotTable[[#This Row],[Symbol]], SnapshotTable[[#This Row],[SP Strike Price]],SnapshotTable[[#This Row],[SP Exp Date]],1), "")</f>
        <v/>
      </c>
      <c r="GO125" s="30" t="str">
        <f>IF(LEN(SnapshotTable[[#This Row],[SP Symbol]])&gt;0, 1, "")</f>
        <v/>
      </c>
      <c r="GP125" s="43" t="str">
        <f>IF(AND(SnapshotTable[[#This Row],[LC Exp Date]]&gt;0,SnapshotTable[[#This Row],[LC Strike Price]]&gt;0), [1]!ToOptionSymbol(SnapshotTable[[#This Row],[Symbol]], SnapshotTable[[#This Row],[LC Strike Price]],SnapshotTable[[#This Row],[LC Exp Date]],0), "")</f>
        <v/>
      </c>
      <c r="GQ125" s="30" t="str">
        <f>IF(LEN(SnapshotTable[[#This Row],[LC Symbol]])&gt;0, 1, "")</f>
        <v/>
      </c>
      <c r="GR125" s="43" t="str">
        <f>IF(AND(SnapshotTable[[#This Row],[SC Exp Date]]&gt;0,SnapshotTable[[#This Row],[SC Strike Price]]&gt;0), [1]!ToOptionSymbol(SnapshotTable[[#This Row],[Symbol]], SnapshotTable[[#This Row],[SC Strike Price]],SnapshotTable[[#This Row],[SC Exp Date]],0), "")</f>
        <v/>
      </c>
      <c r="GS125" s="30" t="str">
        <f>IF(LEN(SnapshotTable[[#This Row],[SC Symbol]])&gt;0, 1, "")</f>
        <v/>
      </c>
      <c r="GT125" s="29" t="str">
        <f>IF(COUNT(SnapshotTable[[#This Row],[LP Symbol Count]],SnapshotTable[[#This Row],[SP Symbol Count]],SnapshotTable[[#This Row],[LC Symbol Count]],SnapshotTable[[#This Row],[SC Symbol Count]])&gt;0, "Y", "")</f>
        <v/>
      </c>
      <c r="GU12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5" s="231" t="e">
        <f>MAX(SnapshotTable[[#This Row],[Equity Basis Total]],SnapshotTable[[#This Row],[Equity Value]]) + (SnapshotTable[[#This Row],[SP Potential Spend]]- SnapshotTable[[#This Row],[SP Premium]] + SnapshotTable[[#This Row],[LP Premium]])+ (SnapshotTable[[#This Row],[LC Premium]] - SnapshotTable[[#This Row],[SC Premium]])</f>
        <v>#VALUE!</v>
      </c>
      <c r="GW125" s="139" t="e">
        <f>IF(AND(SnapshotTable[[#This Row],[Exposure]] &lt;&gt; 0),SnapshotTable[[#This Row],[Exposure]] / SnapshotTable[[#Totals],[Exposure]], "")</f>
        <v>#VALUE!</v>
      </c>
      <c r="HE125" s="268"/>
      <c r="HF125" s="268"/>
      <c r="HK125" s="1"/>
      <c r="HL125" s="1"/>
      <c r="HM125" s="1"/>
      <c r="HN125" s="1"/>
      <c r="HO125" s="1"/>
      <c r="HP125" s="1"/>
    </row>
    <row r="126" spans="2:224" ht="12.75" hidden="1" customHeight="1" x14ac:dyDescent="0.25">
      <c r="B126" s="12" t="s">
        <v>219</v>
      </c>
      <c r="C126" s="422">
        <v>179.14</v>
      </c>
      <c r="D126" s="208"/>
      <c r="E126" s="39">
        <f>SnapshotTable[[#This Row],[Last Price]]*(1 -CrashDiscount)</f>
        <v>152.26899999999998</v>
      </c>
      <c r="F126" s="26" t="s">
        <v>29</v>
      </c>
      <c r="G126" s="26" t="s">
        <v>20</v>
      </c>
      <c r="H126" s="149"/>
      <c r="I126" s="194">
        <v>44763.25</v>
      </c>
      <c r="J126" s="195">
        <v>44763.25</v>
      </c>
      <c r="K126" s="196"/>
      <c r="L126" s="326"/>
      <c r="M126" s="140"/>
      <c r="N126" s="140" t="b">
        <v>1</v>
      </c>
      <c r="O126" s="140"/>
      <c r="P126" s="22"/>
      <c r="Q126" s="25"/>
      <c r="R126" s="4" t="str">
        <f>IF(SnapshotTable[[#This Row],[Equity Basis Total]] &gt; 0, SnapshotTable[[#This Row],[Equity Basis Total]] / SnapshotTable[[#This Row],[Equity Shares]], "")</f>
        <v/>
      </c>
      <c r="S126" s="269">
        <f>SnapshotTable[[#This Row],[Last Price]] * SnapshotTable[[#This Row],[Equity Shares]]</f>
        <v>0</v>
      </c>
      <c r="T126" s="269">
        <f>SnapshotTable[[#This Row],[Equity Value]] - SnapshotTable[[#This Row],[Equity Basis Total]]</f>
        <v>0</v>
      </c>
      <c r="U126" s="270" t="str">
        <f>IF(SnapshotTable[[#This Row],[Equity Basis Total]] &gt; 0, SnapshotTable[[#This Row],[Equity G/L]] / SnapshotTable[[#This Row],[Equity Basis Total]], "")</f>
        <v/>
      </c>
      <c r="V126" s="268"/>
      <c r="W126" s="268"/>
      <c r="X126" s="4" t="str">
        <f>IF(AND(ISNUMBER(SnapshotTable[[#This Row],[Equity Basis Per Share]]),ISNUMBER(SnapshotTable[[#This Row],[Equity Target]])),SnapshotTable[[#This Row],[Equity Target]]-SnapshotTable[[#This Row],[Equity Basis Per Share]],"")</f>
        <v/>
      </c>
      <c r="Y126" s="4" t="str">
        <f>IF(AND(ISNUMBER(SnapshotTable[[#This Row],[Equity Basis Per Share]]),ISNUMBER(SnapshotTable[[#This Row],[Equity Stop Loss]])),SnapshotTable[[#This Row],[Equity Stop Loss]]-SnapshotTable[[#This Row],[Equity Basis Per Share]],"")</f>
        <v/>
      </c>
      <c r="Z126" s="275" t="str">
        <f>IFERROR( TEXT(SnapshotTable[[#This Row],[Equity Max Gain Per Share]] /ABS( SnapshotTable[[#This Row],[Equity Max Loss Per Share]]),"0.0 " ) &amp; " : 1", "")</f>
        <v/>
      </c>
      <c r="AA126" s="31" t="str">
        <f>IF(ISNUMBER(SnapshotTable[[#This Row],[Equity Max Gain Per Share]]),SnapshotTable[[#This Row],[Equity Max Gain Per Share]] * SnapshotTable[[#This Row],[Equity Shares]],"")</f>
        <v/>
      </c>
      <c r="AB126" s="31" t="str">
        <f>IF(ISNUMBER(SnapshotTable[[#This Row],[Equity Max Loss Per Share]]),SnapshotTable[[#This Row],[Equity Max Loss Per Share]] * SnapshotTable[[#This Row],[Equity Shares]],"")</f>
        <v/>
      </c>
      <c r="AC126" s="150">
        <v>0.56000000000000005</v>
      </c>
      <c r="AD126" s="151">
        <v>43036</v>
      </c>
      <c r="AE126" s="31">
        <f>(SnapshotTable[[#This Row],[Annual Dividend Per Share]] / 4) * SnapshotTable[[#This Row],[Equity Shares]]</f>
        <v>0</v>
      </c>
      <c r="AF126" s="31">
        <f>SnapshotTable[[#This Row],[Quarterly Div $]] * 4</f>
        <v>0</v>
      </c>
      <c r="AG126" s="7">
        <f>IF(SnapshotTable[[#This Row],[Annual Dividend Per Share]]&gt;0, SnapshotTable[[#This Row],[Annual Dividend Per Share]]  / SnapshotTable[[#This Row],[Last Price]], 0)</f>
        <v>3.1260466674109641E-3</v>
      </c>
      <c r="AH126" s="151">
        <v>43278</v>
      </c>
      <c r="AI126" s="5">
        <v>118</v>
      </c>
      <c r="AJ126" s="138">
        <v>154.54</v>
      </c>
      <c r="AK126" s="152">
        <f>IF(ISNUMBER( SnapshotTable[[#This Row],[EBF Target]]),(SnapshotTable[[#This Row],[EBF Target]] - SnapshotTable[[#This Row],[Last Price]]) / SnapshotTable[[#This Row],[Last Price]], "")</f>
        <v>-0.3412973093669755</v>
      </c>
      <c r="AL126" s="152" t="str">
        <f>IF(AND(SnapshotTable[[#This Row],[Equity Basis Total]] &gt; 0,ISNUMBER( SnapshotTable[[#This Row],[Long Term Target]])), SnapshotTable[[#This Row],[From Basis $]] / SnapshotTable[[#This Row],[Equity Basis Total]], "")</f>
        <v/>
      </c>
      <c r="AM126" s="9">
        <f>IF( AND(SnapshotTable[[#This Row],[Equity Shares]] &gt;0,ISNUMBER( SnapshotTable[[#This Row],[Long Term Target]])),(SnapshotTable[[#This Row],[Equity Shares]] * SnapshotTable[[#This Row],[Long Term Target]]) - SnapshotTable[[#This Row],[Equity Basis Total]],0)</f>
        <v>0</v>
      </c>
      <c r="AN126" s="9">
        <f>IF( AND(SnapshotTable[[#This Row],[Equity Shares]] &gt;0,ISNUMBER( SnapshotTable[[#This Row],[Long Term Target]])),(SnapshotTable[[#This Row],[Equity Shares]]*SnapshotTable[[#This Row],[Long Term Target]]) - SnapshotTable[[#This Row],[Equity Value]],0)</f>
        <v>0</v>
      </c>
      <c r="AO126" s="152">
        <f>IF(AND(ISNUMBER( SnapshotTable[[#This Row],[Long Term Target]]), ISNUMBER(SnapshotTable[[#This Row],[Last Price]])),(SnapshotTable[[#This Row],[Long Term Target]] - SnapshotTable[[#This Row],[Last Price]]) / SnapshotTable[[#This Row],[Last Price]], "")</f>
        <v>-0.13732276431841017</v>
      </c>
      <c r="AP126" s="5"/>
      <c r="AQ126" s="38"/>
      <c r="AR126" s="5"/>
      <c r="AS126" s="38"/>
      <c r="AT126" s="146"/>
      <c r="AU126" s="187" t="str">
        <f>IF(OR(SnapshotTable[[#This Row],[LP No Fill]]="Y",SnapshotTable[[#This Row],[SP Is Filled]],SnapshotTable[[#This Row],[LC Not Filled]]="Y",SnapshotTable[[#This Row],[SC Is Filled]]),"Y","")</f>
        <v/>
      </c>
      <c r="AV126" s="219"/>
      <c r="AW126" s="225"/>
      <c r="AX126" s="220"/>
      <c r="AY126" s="219" t="str">
        <f>IF(SnapshotTable[[#This Row],[Implied Move]]&gt;0, SnapshotTable[[#This Row],[Last Price]]-SnapshotTable[[#This Row],[Implied Move]],"")</f>
        <v/>
      </c>
      <c r="AZ126" s="219" t="str">
        <f>IF(SnapshotTable[[#This Row],[Implied Move]]&gt;0, SnapshotTable[[#This Row],[Last Price]] + SnapshotTable[[#This Row],[Implied Move]],"")</f>
        <v/>
      </c>
      <c r="BA126" s="331"/>
      <c r="BB126" s="347"/>
      <c r="BC12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6" s="351"/>
      <c r="BE126" s="5"/>
      <c r="BF126" s="14"/>
      <c r="BG126" s="13"/>
      <c r="BH126" s="13"/>
      <c r="BI126" s="5"/>
      <c r="BJ126" s="136">
        <f>IF(SnapshotTable[[#This Row],[LP Qty]] &gt; 0, SnapshotTable[[#This Row],[LP Qty]] * SnapshotTable[[#This Row],[LP Book Price]] * 100,0)</f>
        <v>0</v>
      </c>
      <c r="BK126" s="136">
        <f>IF(SnapshotTable[[#This Row],[LP Premium]] &gt; 0, SnapshotTable[[#This Row],[LP Qty]] * SnapshotTable[[#This Row],[LP Strike Price]] * 100,0)</f>
        <v>0</v>
      </c>
      <c r="BL126" s="154"/>
      <c r="BM126" s="385" t="str">
        <f>IF(SnapshotTable[[#This Row],[LP Premium]] &gt; 0,SnapshotTable[[#This Row],[LP Exp Date]]-MAX(SnapshotTable[[#This Row],[LP Book Date]], SnapshotTable[[#This Row],[LP Fill Date]]),"")</f>
        <v/>
      </c>
      <c r="BN126" s="385" t="str">
        <f>IF(ISNUMBER( SnapshotTable[[#This Row],[LP Term]]), SnapshotTable[[#This Row],[LP Exp Date]] - MockToday,"")</f>
        <v/>
      </c>
      <c r="BO126" s="163" t="str">
        <f>IF(AND(SnapshotTable[[#This Row],[LP Exp Date]]&gt;0, SnapshotTable[[#This Row],[LP Strike Price]]&gt;0,SnapshotTable[[#This Row],[LP Qty]]&gt;0,SnapshotTable[[#This Row],[LP Book Date]]&gt;0,SnapshotTable[[#This Row],[LP Book Price]]&gt;0,SnapshotTable[[#This Row],[LP Fill Date]]=0),"Y","")</f>
        <v/>
      </c>
      <c r="BP126" s="31" t="str">
        <f>IF(AND(SnapshotTable[[#This Row],[LP No Fill]]&lt;&gt;"Y",SnapshotTable[[#This Row],[LP Contract Value]]&gt;0, SnapshotTable[[#This Row],[LP Qty]]&gt;0), SnapshotTable[[#This Row],[LP Contract Value]]*SnapshotTable[[#This Row],[LP Qty]]*100,"")</f>
        <v/>
      </c>
      <c r="BQ126" s="13"/>
      <c r="BR126" s="5" t="str">
        <f>IF(SnapshotTable[[#This Row],[SP Exp Date]]&lt;&gt;"",TRUNC(SnapshotTable[[#This Row],[Last Price]]),"")</f>
        <v/>
      </c>
      <c r="BS126" s="36"/>
      <c r="BT126" s="147"/>
      <c r="BU126" s="13"/>
      <c r="BV126" s="5"/>
      <c r="BW126" s="419" t="b">
        <f>AND(ISNUMBER(SnapshotTable[[#This Row],[SP Exp Date]]), ISNUMBER(SnapshotTable[[#This Row],[SP Strike Price]]), ISNUMBER(SnapshotTable[[#This Row],[SP Qty]]), ISNUMBER(SnapshotTable[[#This Row],[SP Book Date]]), ISNUMBER(SnapshotTable[[#This Row],[SP Book Price]]))</f>
        <v>0</v>
      </c>
      <c r="BX126" s="419" t="b">
        <f>AND(SnapshotTable[[#This Row],[SP Is Booked]], NOT(ISBLANK(SnapshotTable[[#This Row],[SP Fill Date]])))</f>
        <v>0</v>
      </c>
      <c r="BY126" s="33">
        <f>IF(SnapshotTable[[#This Row],[SP Is Booked]], SnapshotTable[[#This Row],[SP Qty]] * SnapshotTable[[#This Row],[SP Book Price]] * 100, 0)</f>
        <v>0</v>
      </c>
      <c r="BZ126" s="369"/>
      <c r="CA126" s="368">
        <f>SnapshotTable[[#This Row],[LP Qty]]</f>
        <v>0</v>
      </c>
      <c r="CB126" s="4" t="str">
        <f>IF(SnapshotTable[[#This Row],[SP Is Booked]], SnapshotTable[[#This Row],[SP Strike Price]] - SnapshotTable[[#This Row],[SP Book Price]], "")</f>
        <v/>
      </c>
      <c r="CC126" s="19" t="str">
        <f>IF(SnapshotTable[[#This Row],[SP Is Booked]],SnapshotTable[[#This Row],[SP Exp Date]]-MAX(SnapshotTable[[#This Row],[SP Book Date]], SnapshotTable[[#This Row],[SP Fill Date]]),"")</f>
        <v/>
      </c>
      <c r="CD126" s="7" t="str">
        <f>IF(SnapshotTable[[#This Row],[SP Is Booked]], SnapshotTable[[#This Row],[SP Book Price]]/SnapshotTable[[#This Row],[SP Strike Price]], "")</f>
        <v/>
      </c>
      <c r="CE126" s="7" t="str">
        <f>IF(ISNUMBER(SnapshotTable[[#This Row],[SP ROO Term]]),SnapshotTable[[#This Row],[SP ROO Term]]*(365/SnapshotTable[[#This Row],[SP Term]]),"")</f>
        <v/>
      </c>
      <c r="CF126" s="236">
        <f>SnapshotTable[[#This Row],[LP Strike Price]] * SnapshotTable[[#This Row],[LP Qty]] * 100</f>
        <v>0</v>
      </c>
      <c r="CG126" s="31" t="e">
        <f>IF(ISNUMBER(SnapshotTable[[#This Row],[SP Premium]]), (SnapshotTable[[#This Row],[SP Qty]] * SnapshotTable[[#This Row],[SP Strike Price]]* 100) - SnapshotTable[[#This Row],[LP Protection]], 0)</f>
        <v>#VALUE!</v>
      </c>
      <c r="CH126" s="7" t="str">
        <f>IF(ISNUMBER(SnapshotTable[[#This Row],[SP Break Even]]),-1 * (SnapshotTable[[#This Row],[SP Break Even]] - SnapshotTable[[#This Row],[Last Price]]) / SnapshotTable[[#This Row],[Last Price]], "")</f>
        <v/>
      </c>
      <c r="CI126" s="31">
        <f>IF(AND(ISNUMBER((SnapshotTable[[#This Row],[SP Potential Spend]])), SnapshotTable[[#This Row],[SP Strike Price]] &gt; SnapshotTable[[#This Row],[Last Price]], SnapshotTable[[#This Row],[SP Is Filled]]), SnapshotTable[[#This Row],[SP Potential Spend]] -  SnapshotTable[[#This Row],[LP Max Value]], 0)</f>
        <v>0</v>
      </c>
      <c r="CJ126" s="244"/>
      <c r="CK126" s="31" t="str">
        <f>IF(ISNUMBER(SnapshotTable[[#This Row],[SP Potential Spend]]),IF(ISNUMBER(SnapshotTable[[#This Row],[SP POW]]), SnapshotTable[[#This Row],[SP POW]] * SnapshotTable[[#This Row],[SP Potential Spend]], SnapshotTable[[#This Row],[SP Potential Spend]]), "")</f>
        <v/>
      </c>
      <c r="CL126" s="164" t="e">
        <f>IF(NOT(SnapshotTable[[#This Row],[SP Is Filled]]),(SnapshotTable[[#This Row],[SP Qty]] * SnapshotTable[[#This Row],[SP Strike Price]] * 100) - SnapshotTable[[#This Row],[LP Max Value]],"")</f>
        <v>#VALUE!</v>
      </c>
      <c r="CM126" s="31" t="str">
        <f>IF(SnapshotTable[[#This Row],[SP Actual Spend]]&lt;&gt;0, ((SnapshotTable[[#This Row],[SP Strike Price]]-SnapshotTable[[#This Row],[Last Price]]) *(SnapshotTable[[#This Row],[SP Qty]]*100) - SnapshotTable[[#This Row],[SP Premium]]) * - 1, "")</f>
        <v/>
      </c>
      <c r="CN126" s="78"/>
      <c r="CO126" s="369"/>
      <c r="CP126" s="4" t="str">
        <f>IF(SnapshotTable[[#This Row],[SP Is Filled]], btc_max_buyback_amount(SnapshotTable[[#This Row],[SP Fill Date]],SnapshotTable[[#This Row],[SP Exp Date]], SnapshotTable[[#This Row],[SP Book Price]]),"")</f>
        <v/>
      </c>
      <c r="CQ126" s="78"/>
      <c r="CR12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6" s="155" t="str">
        <f>IF(SnapshotTable[[#This Row],[SP Is Filled]], btc_next_cutoff_date(SnapshotTable[[#This Row],[SP Fill Date]],SnapshotTable[[#This Row],[SP Exp Date]]),"")</f>
        <v/>
      </c>
      <c r="CT126" s="235" t="str" cm="1">
        <f t="array" ref="CT126">IF(SnapshotTable[[#This Row],[SP Is Filled]], btc_should_buy_back(SnapshotTable[[#This Row],[SP Fill Date]], SnapshotTable[[#This Row],[SP Exp Date]], SnapshotTable[[#This Row],[SP Book Price]], SnapshotTable[[#This Row],[SP Current Ask]], MockToday, SnapshotTable[[#This Row],[SP Buyback Override]]),"")</f>
        <v/>
      </c>
      <c r="CU126" s="143"/>
      <c r="CV126" s="235"/>
      <c r="CW126" s="378" t="str">
        <f>IF(ISNUMBER( SnapshotTable[[#This Row],[SP Term]]), SnapshotTable[[#This Row],[SP Exp Date]] - MockToday,"")</f>
        <v/>
      </c>
      <c r="CX126" s="31" t="str">
        <f>IF(SnapshotTable[[#This Row],[SP Is Filled]],SnapshotTable[[#This Row],[SP Buyback Price to Use]] * 100 * SnapshotTable[[#This Row],[SP Qty]], "")</f>
        <v/>
      </c>
      <c r="CY126" s="4" t="str">
        <f>IF(ISNUMBER(SnapshotTable[[#This Row],[SP Strike Price]]), SnapshotTable[[#This Row],[SP Strike Price]] * (1 - SP_MaxLoss_StrikePct), "")</f>
        <v/>
      </c>
      <c r="CZ126" s="31" t="str">
        <f>IF(ISNUMBER(SnapshotTable[[#This Row],[SP Strike  Stop Per Share]]),SnapshotTable[[#This Row],[SP Premium]] - ((SnapshotTable[[#This Row],[SP Strike Price]]-SnapshotTable[[#This Row],[SP Strike  Stop Per Share]]) *(SnapshotTable[[#This Row],[SP Qty]] * 100)),"")</f>
        <v/>
      </c>
      <c r="DA126" s="4" t="str">
        <f>IF(AND(ISNUMBER(SnapshotTable[[#This Row],[SP Premium]]),SnapshotTable[[#This Row],[SP Premium]]&gt;0), SnapshotTable[[#This Row],[SP Book Price]] * (1 + SP_MaxLoss_OptionPct), "")</f>
        <v/>
      </c>
      <c r="DB126" s="31" t="str">
        <f>IF(ISNUMBER(SnapshotTable[[#This Row],[SP Option  Stop Contract]]),(SnapshotTable[[#This Row],[SP Option  Stop Contract]] *(SnapshotTable[[#This Row],[SP Qty]] * 100) - SnapshotTable[[#This Row],[SP Premium]]),"")</f>
        <v/>
      </c>
      <c r="DC126" s="4"/>
      <c r="DD126" s="4"/>
      <c r="DE126" s="4" t="str">
        <f>IF(AND(SnapshotTable[[#This Row],[SP Qty]]&gt;0, SnapshotTable[[#This Row],[SP Stop To Use]]&gt;0),SnapshotTable[[#This Row],[SP Premium]] - ( SnapshotTable[[#This Row],[SP Qty]] * SnapshotTable[[#This Row],[SP Stop To Use]] * 100), "")</f>
        <v/>
      </c>
      <c r="DF126" s="31" t="str">
        <f>IF(AND(SnapshotTable[[#This Row],[SP Qty]]&gt;0,SnapshotTable[[#This Row],[SP Current Ask]]&gt;0), SnapshotTable[[#This Row],[SP Qty]] * SnapshotTable[[#This Row],[SP Current Ask]] * -100, "")</f>
        <v/>
      </c>
      <c r="DG126" s="31" t="str">
        <f>IF(ISNUMBER((SnapshotTable[[#This Row],[SP Total Value]])), SnapshotTable[[#This Row],[SP Premium]] + SnapshotTable[[#This Row],[SP Total Value]], "")</f>
        <v/>
      </c>
      <c r="DH126" s="294" t="str">
        <f>IF(ISNUMBER((SnapshotTable[[#This Row],[SP Total Value]])), SnapshotTable[[#This Row],[SP Gain Loss]] / SnapshotTable[[#This Row],[SP Premium]], "")</f>
        <v/>
      </c>
      <c r="DI126" s="406"/>
      <c r="DJ126" s="138"/>
      <c r="DK126" s="148"/>
      <c r="DL126" s="13"/>
      <c r="DM126" s="13"/>
      <c r="DO126" s="31">
        <f>IF(SnapshotTable[[#This Row],[LC Symbol Count]]=1, SnapshotTable[[#This Row],[LC Qty]] * SnapshotTable[[#This Row],[LC Book Price]] * 100, 0)</f>
        <v>0</v>
      </c>
      <c r="DP126" s="163" t="str">
        <f>IF(AND(SnapshotTable[[#This Row],[LC Exp Date]]&gt;0, SnapshotTable[[#This Row],[LC Strike Price]]&gt;0,SnapshotTable[[#This Row],[LC Qty]]&gt;0,SnapshotTable[[#This Row],[LC Book Date]]&gt;0,SnapshotTable[[#This Row],[LC Book Price]]&gt;0,SnapshotTable[[#This Row],[LC Fill Date]]=0),"Y","")</f>
        <v/>
      </c>
      <c r="DQ126" s="386" t="str">
        <f>IF(SnapshotTable[[#This Row],[LC Premium]] &gt; 0,SnapshotTable[[#This Row],[LC Exp Date]]-MAX(SnapshotTable[[#This Row],[LC Book Date]], SnapshotTable[[#This Row],[LC Fill Date]]),"")</f>
        <v/>
      </c>
      <c r="DR126" s="386" t="str">
        <f>IF(ISNUMBER(SnapshotTable[[#This Row],[LC Term]]), SnapshotTable[[#This Row],[LC Exp Date]] - MockToday, "")</f>
        <v/>
      </c>
      <c r="DS126" s="234" t="str">
        <f>IF(SnapshotTable[[#This Row],[LC Premium]]&gt;0,SnapshotTable[[#This Row],[LC Strike Price]] + SnapshotTable[[#This Row],[LC Book Price]],"")</f>
        <v/>
      </c>
      <c r="DU126" s="9" t="str">
        <f>IF(AND(SnapshotTable[[#This Row],[LC Symbol Count]]&gt;0, SnapshotTable[[#This Row],[LC Contract Value]]&gt;0), SnapshotTable[[#This Row],[LC Contract Value]] * SnapshotTable[[#This Row],[LC Qty]] * 100, "")</f>
        <v/>
      </c>
      <c r="DV126" s="9" t="str">
        <f>IF(AND(ISNUMBER(SnapshotTable[[#This Row],[LC Total Value]]), SnapshotTable[[#This Row],[LC Not Filled]]&lt;&gt;"Y"), SnapshotTable[[#This Row],[LC Total Value]]-SnapshotTable[[#This Row],[LC Premium]],"")</f>
        <v/>
      </c>
      <c r="DW126" s="240" t="str">
        <f>IF(ISNUMBER(SnapshotTable[[#This Row],[LC Actual Gain Loss]]), SnapshotTable[[#This Row],[LC Actual Gain Loss]] / SnapshotTable[[#This Row],[LC Premium]],"")</f>
        <v/>
      </c>
      <c r="DX126" s="284" t="str">
        <f>IF(ISNUMBER(SnapshotTable[[#This Row],[LC Book Price]]),SnapshotTable[[#This Row],[LC Book Price]] * 1.5,"")</f>
        <v/>
      </c>
      <c r="DY126" s="265" t="str">
        <f>IF(SnapshotTable[[#This Row],[LC Premium]]&gt;0, SnapshotTable[[#This Row],[LC Next Target]] * SnapshotTable[[#This Row],[LC Qty]] * 100,"")</f>
        <v/>
      </c>
      <c r="DZ126" s="265" t="str">
        <f>IF(ISNUMBER(SnapshotTable[[#This Row],[LC Target Gross]]), SnapshotTable[[#This Row],[LC Target Gross]] - SnapshotTable[[#This Row],[LC Premium]], "")</f>
        <v/>
      </c>
      <c r="EA126" s="305" t="str">
        <f>IF(ISNUMBER(SnapshotTable[[#This Row],[LC Target Gain Loss]]), SnapshotTable[[#This Row],[LC Target Gain Loss]]/SnapshotTable[[#This Row],[LC Premium]], "")</f>
        <v/>
      </c>
      <c r="EB126" s="262"/>
      <c r="EC126" s="283" t="str">
        <f>IF(SnapshotTable[[#This Row],[LC Premium]]&gt;0, SnapshotTable[[#This Row],[LC Book Price]] * (1 - LC_StopLoss_Pct),"")</f>
        <v/>
      </c>
      <c r="ED126" s="284"/>
      <c r="EE126" s="283" t="str">
        <f>IF(ISNUMBER(SnapshotTable[[#This Row],[LC Contract Value]]),IF(ISNUMBER(SnapshotTable[[#This Row],[LC Stop Loss Override]]), SnapshotTable[[#This Row],[LC Stop Loss Override]],SnapshotTable[[#This Row],[LC Stop Loss Calc Target]]),"")</f>
        <v/>
      </c>
      <c r="EF126" s="31" t="str">
        <f>IF(ISNUMBER(SnapshotTable[[#This Row],[LC Stop  To Use]]), (SnapshotTable[[#This Row],[LC Stop  To Use]] * SnapshotTable[[#This Row],[LC Qty]] * 100),"")</f>
        <v/>
      </c>
      <c r="EG126" s="9" t="str">
        <f>IF(ISNUMBER(SnapshotTable[[#This Row],[LC Total Value]]),SnapshotTable[[#This Row],[LC Stop Loss Amount]] - SnapshotTable[[#This Row],[LC Premium]],"")</f>
        <v/>
      </c>
      <c r="EH126" s="9">
        <f>IF(ISNUMBER(SnapshotTable[[#This Row],[LC Premium]]), SnapshotTable[[#This Row],[LC Qty]] * 100 * SnapshotTable[[#This Row],[LC Strike Price]], "")</f>
        <v>0</v>
      </c>
      <c r="EI126" s="240" t="str">
        <f>IF(AND(ISNUMBER(SnapshotTable[[#This Row],[LC Total Value]]),SnapshotTable[[#This Row],[LC Total Value]]&gt;0),SnapshotTable[[#This Row],[LC Stop Gain Loss]]  / SnapshotTable[[#This Row],[LC Premium]],"")</f>
        <v/>
      </c>
      <c r="EJ126" s="35">
        <f>IF(ISNUMBER(SnapshotTable[[#This Row],[Equity Shares]]),TRUNC(SnapshotTable[[#This Row],[Equity Shares]] / 100),0) + SnapshotTable[[#This Row],[LC Qty]]</f>
        <v>0</v>
      </c>
      <c r="EK126" s="147"/>
      <c r="EL126" s="138" t="str">
        <f>IF(SnapshotTable[[#This Row],[SC Exp Date]]&lt;&gt;"",TRUNC(SnapshotTable[[#This Row],[Last Price]]),"")</f>
        <v/>
      </c>
      <c r="EM126" s="148"/>
      <c r="EN126" s="147"/>
      <c r="EO126" s="147"/>
      <c r="EP126" s="138"/>
      <c r="EQ126" s="419" t="b">
        <f>AND(ISNUMBER(SnapshotTable[[#This Row],[SC Exp Date]]), ISNUMBER(SnapshotTable[[#This Row],[SC Strike Price]]), ISNUMBER(SnapshotTable[[#This Row],[SC Qty]]), ISNUMBER(SnapshotTable[[#This Row],[SC Book Date]]), ISNUMBER(SnapshotTable[[#This Row],[SC Book Price]]))</f>
        <v>0</v>
      </c>
      <c r="ER126" s="419" t="b">
        <f>AND(SnapshotTable[[#This Row],[SC Is Booked]], NOT(ISBLANK(SnapshotTable[[#This Row],[SC Fill Date]])))</f>
        <v>0</v>
      </c>
      <c r="ES126" s="370"/>
      <c r="ET126" s="34" t="str">
        <f>IF(AND(ISNUMBER(SnapshotTable[[#This Row],[SC Exp Date]]), ISNUMBER(SnapshotTable[[#This Row],[SC Book Date]])), SnapshotTable[[#This Row],[SC Exp Date]] - MAX(SnapshotTable[[#This Row],[SC Book Date]], SnapshotTable[[#This Row],[SC Fill Date]]) + 1, "")</f>
        <v/>
      </c>
      <c r="EU126" s="34" t="str">
        <f>IF(ISNUMBER(SnapshotTable[[#This Row],[SC Term]]), SnapshotTable[[#This Row],[SC Exp Date]]- MockToday, "")</f>
        <v/>
      </c>
      <c r="EV126" s="31">
        <f>IF(SnapshotTable[[#This Row],[SC Is Booked]], SnapshotTable[[#This Row],[SC Qty]] * SnapshotTable[[#This Row],[SC Book Price]] * 100, 0)</f>
        <v>0</v>
      </c>
      <c r="EW126" s="4" t="str">
        <f>IF(AND(ISNUMBER(SnapshotTable[[#This Row],[Last Price]]), ISNUMBER( SnapshotTable[[#This Row],[SC Book Price]])), SnapshotTable[[#This Row],[Last Price]] - SnapshotTable[[#This Row],[SC Book Price]],"")</f>
        <v/>
      </c>
      <c r="EX126" s="234" t="str">
        <f>IF(SnapshotTable[[#This Row],[SC Is Booked]],IF(SnapshotTable[[#This Row],[SC Intrinsic Value]] &gt; 0, SnapshotTable[[#This Row],[SC Strike Price]], SnapshotTable[[#This Row],[Last Price]]), "")</f>
        <v/>
      </c>
      <c r="EY126" s="4">
        <f>IF(SnapshotTable[[#This Row],[SC Is Booked]], (MinimumPremiumRequired * SnapshotTable[[#This Row],[SC Basis]] * SnapshotTable[[#This Row],[SC Term]]), 0)</f>
        <v>0</v>
      </c>
      <c r="EZ126" s="283"/>
      <c r="FA126" s="218"/>
      <c r="FB126" s="370"/>
      <c r="FC126" s="4">
        <f>IF(SnapshotTable[[#This Row],[SC Is Filled]], btc_max_buyback_amount(SnapshotTable[[#This Row],[SC Fill Date]],SnapshotTable[[#This Row],[SC Exp Date]], SnapshotTable[[#This Row],[SC Book Price]]),0)</f>
        <v>0</v>
      </c>
      <c r="FD126" s="5"/>
      <c r="FE126" s="144" t="str">
        <f>IF(SnapshotTable[[#This Row],[SC Is Filled]], btc_next_cutoff_date(SnapshotTable[[#This Row],[SC Fill Date]],SnapshotTable[[#This Row],[SC Exp Date]]),"")</f>
        <v/>
      </c>
      <c r="FF126" s="4" t="str" cm="1">
        <f t="array" ref="FF126">IF(SnapshotTable[[#This Row],[SC Is Filled]], btc_should_buy_back(SnapshotTable[[#This Row],[SC Fill Date]], SnapshotTable[[#This Row],[SC Exp Date]], SnapshotTable[[#This Row],[SC Book Price]], SnapshotTable[[#This Row],[SC Current Ask]], MockToday, SnapshotTable[[#This Row],[SC Buyback Override]]),"")</f>
        <v/>
      </c>
      <c r="FG126" s="4">
        <f>IF(SnapshotTable[[#This Row],[SC Is Filled]], MAX(0,SnapshotTable[[#This Row],[Last Price]]  - SnapshotTable[[#This Row],[SC Strike Price]]), 0)</f>
        <v>0</v>
      </c>
      <c r="FH126" s="382">
        <f>IF(SnapshotTable[[#This Row],[SC Is Filled]], IF(ISNUMBER(SnapshotTable[[#This Row],[SC Current Ask]]), SnapshotTable[[#This Row],[SC Current Ask]], SnapshotTable[[#This Row],[SC Book Price]]) - SnapshotTable[[#This Row],[SC Intrinsic Value]], 0)</f>
        <v>0</v>
      </c>
      <c r="FI126" s="143"/>
      <c r="FJ126" s="32" t="str">
        <f>IF(SnapshotTable[[#This Row],[SC Is Filled]],100 * SnapshotTable[[#This Row],[SC Qty]] * IF(ISNUMBER(SnapshotTable[[#This Row],[SC Buyback Override]]), SnapshotTable[[#This Row],[SC Buyback Override]], SnapshotTable[[#This Row],[SC Current Ask]]), "")</f>
        <v/>
      </c>
      <c r="FK126" s="250" t="str">
        <f>IF(SnapshotTable[[#This Row],[SC Time Val]]&gt;0, SnapshotTable[[#This Row],[SC Time Val]] / SnapshotTable[[#This Row],[Last Price]],"")</f>
        <v/>
      </c>
      <c r="FL126" s="302" t="str">
        <f>IF(SnapshotTable[[#This Row],[SC Is Booked]], ((SnapshotTable[[#This Row],[Last Price]] -SnapshotTable[[#This Row],[SC Strike Price]]) / SnapshotTable[[#This Row],[Last Price]]) * -1, "")</f>
        <v/>
      </c>
      <c r="FM126" s="157" t="str">
        <f>IF(SnapshotTable[[#This Row],[SC Is Booked]],  (SnapshotTable[[#This Row],[SC Qty]] * 100 * SnapshotTable[[#This Row],[SC Strike Price]]) - SnapshotTable[[#This Row],[SC Current Ask]], "")</f>
        <v/>
      </c>
      <c r="FN12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6" s="31" t="str">
        <f>IF(AND(ISNUMBER(SnapshotTable[[#This Row],[SC Exercise Gross]]), ISNUMBER(SnapshotTable[[#This Row],[Equity Basis Per Share]] )), SnapshotTable[[#This Row],[SC Exercise Gross]] - SnapshotTable[[#This Row],[Equity Basis Total]] +  SnapshotTable[[#This Row],[SC Premium]], "")</f>
        <v/>
      </c>
      <c r="FP126" s="5" t="str">
        <f>IF(ISNUMBER(SnapshotTable[[#This Row],[SC Exercise Gross]]), (SnapshotTable[[#This Row],[SC Exercise Gross]]) / (SnapshotTable[[#This Row],[SC Qty]] * 100), "")</f>
        <v/>
      </c>
      <c r="FQ126" s="27" t="str">
        <f>IF(SnapshotTable[[#This Row],[SC Is Booked]],SnapshotTable[[#This Row],[SC Time Val]] /SnapshotTable[[#This Row],[SC Basis]], "")</f>
        <v/>
      </c>
      <c r="FR126" s="27" t="str" cm="1">
        <f t="array" ref="FR126">IF(AND(ISNUMBER(SnapshotTable[[#This Row],[SC Term]]),ISNUMBER(SnapshotTable[[#This Row],[SC Simple ROO]])), EllmanAnnualize(SnapshotTable[[#This Row],[SC DTE]], SnapshotTable[[#This Row],[SC Simple ROO]] ),"")</f>
        <v/>
      </c>
      <c r="FS126" s="4" t="e">
        <f>IF(SnapshotTable[[#This Row],[SC Strike Price]] &gt; SnapshotTable[[#This Row],[Last Price]], SnapshotTable[[#This Row],[SC Strike Price]] - SnapshotTable[[#This Row],[Last Price]],0)</f>
        <v>#VALUE!</v>
      </c>
      <c r="FT126" s="27" t="e">
        <f>IF(AND(ISNUMBER(SnapshotTable[[#This Row],[SC Upside Potential]]), SnapshotTable[[#This Row],[SC Upside Potential]] &gt; 0),(SnapshotTable[[#This Row],[SC Upside Potential]]/ SnapshotTable[[#This Row],[ACB]]),"")</f>
        <v>#VALUE!</v>
      </c>
      <c r="FU126" s="333" t="str">
        <f>IF(SnapshotTable[[#This Row],[SC Intrinsic Value]] &gt; 0,SnapshotTable[[#This Row],[SC Intrinsic Value]],"")</f>
        <v/>
      </c>
      <c r="FV126" s="27" t="str">
        <f>IF(AND( ISNUMBER( SnapshotTable[[#This Row],[ACB]]),ISNUMBER(SnapshotTable[[#This Row],[SC Downside Protect]])),SnapshotTable[[#This Row],[SC Downside Protect]] / SnapshotTable[[#This Row],[ACB]],"")</f>
        <v/>
      </c>
      <c r="FW126" s="236" t="str">
        <f>IF(AND(ISNUMBER(SnapshotTable[[#This Row],[SC Simple ROO]]),SnapshotTable[[#This Row],[SC Simple ROO]] &gt; 0), SnapshotTable[[#This Row],[SC Premium]] + (SnapshotTable[[#This Row],[SC Qty]] * SnapshotTable[[#This Row],[SC Upside Potential]]), "")</f>
        <v/>
      </c>
      <c r="FX126" s="302" t="str" cm="1">
        <f t="array" ref="FX126">IF(ISNUMBER(SnapshotTable[[#This Row],[SC Max Dollars]]), annualize(SnapshotTable[[#This Row],[SC Term]],(SnapshotTable[[#This Row],[SC Max Dollars]]/SnapshotTable[[#This Row],[SC Basis]])),"")</f>
        <v/>
      </c>
      <c r="FY126" s="236" t="str">
        <f>IF(AND(SnapshotTable[[#This Row],[SC Qty]]&gt;0,SnapshotTable[[#This Row],[SC Current Ask]]&gt;0), SnapshotTable[[#This Row],[SC Qty]] * SnapshotTable[[#This Row],[SC Current Ask]] * -100, "")</f>
        <v/>
      </c>
      <c r="FZ126" s="31" t="str">
        <f>IF(ISNUMBER((SnapshotTable[[#This Row],[SC Current Value]])), SnapshotTable[[#This Row],[SC Premium]] + SnapshotTable[[#This Row],[SC Current Value]], "")</f>
        <v/>
      </c>
      <c r="GA126" s="294" t="str">
        <f>IFERROR( IF(ISNUMBER((SnapshotTable[[#This Row],[SC Current Value]])), SnapshotTable[[#This Row],[SC Gain Loss]] / SnapshotTable[[#This Row],[SC Premium]], ""), "")</f>
        <v/>
      </c>
      <c r="GB126" s="42">
        <f>SnapshotTable[[#This Row],[Equity Shares]] * SaleSharesToConsiderPercentage</f>
        <v>0</v>
      </c>
      <c r="GC126" s="40">
        <f>SnapshotTable[[#This Row],[Long Term Target]] * SellingPriceToConsiderBasedOnTargetPercentage</f>
        <v>146.81299999999999</v>
      </c>
      <c r="GD126" s="40">
        <f>SnapshotTable[[#This Row],[Last Price]] * (1+ SellingPriceToConsiderBasedOnTargetPercentage)</f>
        <v>349.32299999999998</v>
      </c>
      <c r="GE126" s="41"/>
      <c r="GF126" s="40"/>
      <c r="GG126" s="31">
        <f>SnapshotTable[[#This Row],[Booked Sale Shares]] * SnapshotTable[[#This Row],[Booked Sale Price]]</f>
        <v>0</v>
      </c>
      <c r="GH126" s="31" t="str">
        <f>IF(SnapshotTable[[#This Row],[Equity Basis Total]] &gt; 0, SnapshotTable[[#This Row],[Equity Basis Per Share]] * SnapshotTable[[#This Row],[Booked Sale Shares]], "")</f>
        <v/>
      </c>
      <c r="GI126" s="31">
        <f>IF(SnapshotTable[[#This Row],[Sale Proceeds]]&gt;0, SnapshotTable[[#This Row],[Sale Proceeds]] - SnapshotTable[[#This Row],[Sale Basis]], 0)</f>
        <v>0</v>
      </c>
      <c r="GJ126" s="27" t="str">
        <f>IF(SnapshotTable[[#This Row],[Sale G/L]]&gt;0, SnapshotTable[[#This Row],[Sale G/L]] / SnapshotTable[[#This Row],[Sale Basis]], IF(ISNUMBER(SnapshotTable[[#This Row],[SC Exercise P&amp;L (TAX)]]), SnapshotTable[[#This Row],[SC Exercise P&amp;L (TAX)]] / SnapshotTable[[#This Row],[SC Basis]], ""))</f>
        <v/>
      </c>
      <c r="GK126" s="27" t="s">
        <v>682</v>
      </c>
      <c r="GL126" s="43" t="str">
        <f>IF(AND(SnapshotTable[[#This Row],[LP Exp Date]]&gt;0,SnapshotTable[[#This Row],[LP Strike Price]]&gt;0), [1]!ToOptionSymbol(SnapshotTable[[#This Row],[Symbol]], SnapshotTable[[#This Row],[LP Strike Price]],SnapshotTable[[#This Row],[LP Exp Date]],1), "")</f>
        <v/>
      </c>
      <c r="GM126" s="30" t="str">
        <f>IF(LEN(SnapshotTable[[#This Row],[LP Symbol]])&gt;0, 1, "")</f>
        <v/>
      </c>
      <c r="GN126" s="43" t="str">
        <f>IF(AND(SnapshotTable[[#This Row],[SP Exp Date]]&gt;0,SnapshotTable[[#This Row],[SP Strike Price]]&gt;0), [1]!ToOptionSymbol(SnapshotTable[[#This Row],[Symbol]], SnapshotTable[[#This Row],[SP Strike Price]],SnapshotTable[[#This Row],[SP Exp Date]],1), "")</f>
        <v/>
      </c>
      <c r="GO126" s="30" t="str">
        <f>IF(LEN(SnapshotTable[[#This Row],[SP Symbol]])&gt;0, 1, "")</f>
        <v/>
      </c>
      <c r="GP126" s="43" t="str">
        <f>IF(AND(SnapshotTable[[#This Row],[LC Exp Date]]&gt;0,SnapshotTable[[#This Row],[LC Strike Price]]&gt;0), [1]!ToOptionSymbol(SnapshotTable[[#This Row],[Symbol]], SnapshotTable[[#This Row],[LC Strike Price]],SnapshotTable[[#This Row],[LC Exp Date]],0), "")</f>
        <v/>
      </c>
      <c r="GQ126" s="30" t="str">
        <f>IF(LEN(SnapshotTable[[#This Row],[LC Symbol]])&gt;0, 1, "")</f>
        <v/>
      </c>
      <c r="GR126" s="43" t="str">
        <f>IF(AND(SnapshotTable[[#This Row],[SC Exp Date]]&gt;0,SnapshotTable[[#This Row],[SC Strike Price]]&gt;0), [1]!ToOptionSymbol(SnapshotTable[[#This Row],[Symbol]], SnapshotTable[[#This Row],[SC Strike Price]],SnapshotTable[[#This Row],[SC Exp Date]],0), "")</f>
        <v/>
      </c>
      <c r="GS126" s="30" t="str">
        <f>IF(LEN(SnapshotTable[[#This Row],[SC Symbol]])&gt;0, 1, "")</f>
        <v/>
      </c>
      <c r="GT126" s="29" t="str">
        <f>IF(COUNT(SnapshotTable[[#This Row],[LP Symbol Count]],SnapshotTable[[#This Row],[SP Symbol Count]],SnapshotTable[[#This Row],[LC Symbol Count]],SnapshotTable[[#This Row],[SC Symbol Count]])&gt;0, "Y", "")</f>
        <v/>
      </c>
      <c r="GU12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6" s="231" t="e">
        <f>MAX(SnapshotTable[[#This Row],[Equity Basis Total]],SnapshotTable[[#This Row],[Equity Value]]) + (SnapshotTable[[#This Row],[SP Potential Spend]]- SnapshotTable[[#This Row],[SP Premium]] + SnapshotTable[[#This Row],[LP Premium]])+ (SnapshotTable[[#This Row],[LC Premium]] - SnapshotTable[[#This Row],[SC Premium]])</f>
        <v>#VALUE!</v>
      </c>
      <c r="GW126" s="139" t="e">
        <f>IF(AND(SnapshotTable[[#This Row],[Exposure]] &lt;&gt; 0),SnapshotTable[[#This Row],[Exposure]] / SnapshotTable[[#Totals],[Exposure]], "")</f>
        <v>#VALUE!</v>
      </c>
      <c r="HE126" s="268"/>
      <c r="HF126" s="268"/>
      <c r="HK126" s="1"/>
      <c r="HL126" s="1"/>
      <c r="HM126" s="1"/>
      <c r="HN126" s="1"/>
      <c r="HO126" s="1"/>
      <c r="HP126" s="1"/>
    </row>
    <row r="127" spans="2:224" ht="12.75" hidden="1" customHeight="1" x14ac:dyDescent="0.25">
      <c r="B127" s="12" t="s">
        <v>1055</v>
      </c>
      <c r="C127" s="422">
        <v>521.47</v>
      </c>
      <c r="D127" s="208" t="s">
        <v>258</v>
      </c>
      <c r="E127" s="39">
        <f>SnapshotTable[[#This Row],[Last Price]]*(1 -CrashDiscount)</f>
        <v>443.24950000000001</v>
      </c>
      <c r="F127" s="26" t="s">
        <v>5</v>
      </c>
      <c r="G127" s="26" t="s">
        <v>4</v>
      </c>
      <c r="H127" s="149"/>
      <c r="I127" s="194"/>
      <c r="J127" s="195"/>
      <c r="K127" s="196"/>
      <c r="L127" s="326"/>
      <c r="M127" s="140"/>
      <c r="N127" s="140"/>
      <c r="O127" s="140"/>
      <c r="P127" s="22"/>
      <c r="Q127" s="25"/>
      <c r="R127" s="4" t="str">
        <f>IF(SnapshotTable[[#This Row],[Equity Basis Total]] &gt; 0, SnapshotTable[[#This Row],[Equity Basis Total]] / SnapshotTable[[#This Row],[Equity Shares]], "")</f>
        <v/>
      </c>
      <c r="S127" s="269">
        <f>SnapshotTable[[#This Row],[Last Price]] * SnapshotTable[[#This Row],[Equity Shares]]</f>
        <v>0</v>
      </c>
      <c r="T127" s="269">
        <f>SnapshotTable[[#This Row],[Equity Value]] - SnapshotTable[[#This Row],[Equity Basis Total]]</f>
        <v>0</v>
      </c>
      <c r="U127" s="270" t="str">
        <f>IF(SnapshotTable[[#This Row],[Equity Basis Total]] &gt; 0, SnapshotTable[[#This Row],[Equity G/L]] / SnapshotTable[[#This Row],[Equity Basis Total]], "")</f>
        <v/>
      </c>
      <c r="V127" s="268"/>
      <c r="W127" s="268"/>
      <c r="X127" s="4" t="str">
        <f>IF(AND(ISNUMBER(SnapshotTable[[#This Row],[Equity Basis Per Share]]),ISNUMBER(SnapshotTable[[#This Row],[Equity Target]])),SnapshotTable[[#This Row],[Equity Target]]-SnapshotTable[[#This Row],[Equity Basis Per Share]],"")</f>
        <v/>
      </c>
      <c r="Y127" s="4" t="str">
        <f>IF(AND(ISNUMBER(SnapshotTable[[#This Row],[Equity Basis Per Share]]),ISNUMBER(SnapshotTable[[#This Row],[Equity Stop Loss]])),SnapshotTable[[#This Row],[Equity Stop Loss]]-SnapshotTable[[#This Row],[Equity Basis Per Share]],"")</f>
        <v/>
      </c>
      <c r="Z127" s="275" t="str">
        <f>IFERROR( TEXT(SnapshotTable[[#This Row],[Equity Max Gain Per Share]] /ABS( SnapshotTable[[#This Row],[Equity Max Loss Per Share]]),"0.0 " ) &amp; " : 1", "")</f>
        <v/>
      </c>
      <c r="AA127" s="31" t="str">
        <f>IF(ISNUMBER(SnapshotTable[[#This Row],[Equity Max Gain Per Share]]),SnapshotTable[[#This Row],[Equity Max Gain Per Share]] * SnapshotTable[[#This Row],[Equity Shares]],"")</f>
        <v/>
      </c>
      <c r="AB127" s="31" t="str">
        <f>IF(ISNUMBER(SnapshotTable[[#This Row],[Equity Max Loss Per Share]]),SnapshotTable[[#This Row],[Equity Max Loss Per Share]] * SnapshotTable[[#This Row],[Equity Shares]],"")</f>
        <v/>
      </c>
      <c r="AC127" s="150"/>
      <c r="AD127" s="151"/>
      <c r="AE127" s="31">
        <f>(SnapshotTable[[#This Row],[Annual Dividend Per Share]] / 4) * SnapshotTable[[#This Row],[Equity Shares]]</f>
        <v>0</v>
      </c>
      <c r="AF127" s="31">
        <f>SnapshotTable[[#This Row],[Quarterly Div $]] * 4</f>
        <v>0</v>
      </c>
      <c r="AG127" s="7">
        <f>IF(SnapshotTable[[#This Row],[Annual Dividend Per Share]]&gt;0, SnapshotTable[[#This Row],[Annual Dividend Per Share]]  / SnapshotTable[[#This Row],[Last Price]], 0)</f>
        <v>0</v>
      </c>
      <c r="AH127" s="151"/>
      <c r="AI127" s="5"/>
      <c r="AJ127" s="138"/>
      <c r="AK127" s="152" t="str">
        <f>IF(ISNUMBER( SnapshotTable[[#This Row],[EBF Target]]),(SnapshotTable[[#This Row],[EBF Target]] - SnapshotTable[[#This Row],[Last Price]]) / SnapshotTable[[#This Row],[Last Price]], "")</f>
        <v/>
      </c>
      <c r="AL127" s="152" t="str">
        <f>IF(AND(SnapshotTable[[#This Row],[Equity Basis Total]] &gt; 0,ISNUMBER( SnapshotTable[[#This Row],[Long Term Target]])), SnapshotTable[[#This Row],[From Basis $]] / SnapshotTable[[#This Row],[Equity Basis Total]], "")</f>
        <v/>
      </c>
      <c r="AM127" s="9">
        <f>IF( AND(SnapshotTable[[#This Row],[Equity Shares]] &gt;0,ISNUMBER( SnapshotTable[[#This Row],[Long Term Target]])),(SnapshotTable[[#This Row],[Equity Shares]] * SnapshotTable[[#This Row],[Long Term Target]]) - SnapshotTable[[#This Row],[Equity Basis Total]],0)</f>
        <v>0</v>
      </c>
      <c r="AN127" s="9">
        <f>IF( AND(SnapshotTable[[#This Row],[Equity Shares]] &gt;0,ISNUMBER( SnapshotTable[[#This Row],[Long Term Target]])),(SnapshotTable[[#This Row],[Equity Shares]]*SnapshotTable[[#This Row],[Long Term Target]]) - SnapshotTable[[#This Row],[Equity Value]],0)</f>
        <v>0</v>
      </c>
      <c r="AO127" s="152" t="str">
        <f>IF(AND(ISNUMBER( SnapshotTable[[#This Row],[Long Term Target]]), ISNUMBER(SnapshotTable[[#This Row],[Last Price]])),(SnapshotTable[[#This Row],[Long Term Target]] - SnapshotTable[[#This Row],[Last Price]]) / SnapshotTable[[#This Row],[Last Price]], "")</f>
        <v/>
      </c>
      <c r="AP127" s="5">
        <v>335</v>
      </c>
      <c r="AQ127" s="38" t="s">
        <v>38</v>
      </c>
      <c r="AR127" s="5">
        <v>335</v>
      </c>
      <c r="AS127" s="38" t="s">
        <v>26</v>
      </c>
      <c r="AT127" s="146" t="s">
        <v>538</v>
      </c>
      <c r="AU127" s="187" t="str">
        <f>IF(OR(SnapshotTable[[#This Row],[LP No Fill]]="Y",SnapshotTable[[#This Row],[SP Is Filled]],SnapshotTable[[#This Row],[LC Not Filled]]="Y",SnapshotTable[[#This Row],[SC Is Filled]]),"Y","")</f>
        <v/>
      </c>
      <c r="AV127" s="219"/>
      <c r="AW127" s="225"/>
      <c r="AX127" s="220"/>
      <c r="AY127" s="219" t="str">
        <f>IF(SnapshotTable[[#This Row],[Implied Move]]&gt;0, SnapshotTable[[#This Row],[Last Price]]-SnapshotTable[[#This Row],[Implied Move]],"")</f>
        <v/>
      </c>
      <c r="AZ127" s="219" t="str">
        <f>IF(SnapshotTable[[#This Row],[Implied Move]]&gt;0, SnapshotTable[[#This Row],[Last Price]] + SnapshotTable[[#This Row],[Implied Move]],"")</f>
        <v/>
      </c>
      <c r="BA127" s="331">
        <v>22.33</v>
      </c>
      <c r="BB127" s="347" t="s">
        <v>1143</v>
      </c>
      <c r="BC12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7" s="351"/>
      <c r="BE127" s="5"/>
      <c r="BF127" s="14"/>
      <c r="BG127" s="13"/>
      <c r="BH127" s="13"/>
      <c r="BI127" s="5"/>
      <c r="BJ127" s="136">
        <f>IF(SnapshotTable[[#This Row],[LP Qty]] &gt; 0, SnapshotTable[[#This Row],[LP Qty]] * SnapshotTable[[#This Row],[LP Book Price]] * 100,0)</f>
        <v>0</v>
      </c>
      <c r="BK127" s="136">
        <f>IF(SnapshotTable[[#This Row],[LP Premium]] &gt; 0, SnapshotTable[[#This Row],[LP Qty]] * SnapshotTable[[#This Row],[LP Strike Price]] * 100,0)</f>
        <v>0</v>
      </c>
      <c r="BL127" s="154"/>
      <c r="BM127" s="385" t="str">
        <f>IF(SnapshotTable[[#This Row],[LP Premium]] &gt; 0,SnapshotTable[[#This Row],[LP Exp Date]]-MAX(SnapshotTable[[#This Row],[LP Book Date]], SnapshotTable[[#This Row],[LP Fill Date]]),"")</f>
        <v/>
      </c>
      <c r="BN127" s="385" t="str">
        <f>IF(ISNUMBER( SnapshotTable[[#This Row],[LP Term]]), SnapshotTable[[#This Row],[LP Exp Date]] - MockToday,"")</f>
        <v/>
      </c>
      <c r="BO127" s="163" t="str">
        <f>IF(AND(SnapshotTable[[#This Row],[LP Exp Date]]&gt;0, SnapshotTable[[#This Row],[LP Strike Price]]&gt;0,SnapshotTable[[#This Row],[LP Qty]]&gt;0,SnapshotTable[[#This Row],[LP Book Date]]&gt;0,SnapshotTable[[#This Row],[LP Book Price]]&gt;0,SnapshotTable[[#This Row],[LP Fill Date]]=0),"Y","")</f>
        <v/>
      </c>
      <c r="BP127" s="31" t="str">
        <f>IF(AND(SnapshotTable[[#This Row],[LP No Fill]]&lt;&gt;"Y",SnapshotTable[[#This Row],[LP Contract Value]]&gt;0, SnapshotTable[[#This Row],[LP Qty]]&gt;0), SnapshotTable[[#This Row],[LP Contract Value]]*SnapshotTable[[#This Row],[LP Qty]]*100,"")</f>
        <v/>
      </c>
      <c r="BQ127" s="13"/>
      <c r="BR127" s="5" t="str">
        <f>IF(SnapshotTable[[#This Row],[SP Exp Date]]&lt;&gt;"",TRUNC(SnapshotTable[[#This Row],[Last Price]]),"")</f>
        <v/>
      </c>
      <c r="BS127" s="36"/>
      <c r="BT127" s="147"/>
      <c r="BU127" s="13"/>
      <c r="BV127" s="5"/>
      <c r="BW127" s="419" t="b">
        <f>AND(ISNUMBER(SnapshotTable[[#This Row],[SP Exp Date]]), ISNUMBER(SnapshotTable[[#This Row],[SP Strike Price]]), ISNUMBER(SnapshotTable[[#This Row],[SP Qty]]), ISNUMBER(SnapshotTable[[#This Row],[SP Book Date]]), ISNUMBER(SnapshotTable[[#This Row],[SP Book Price]]))</f>
        <v>0</v>
      </c>
      <c r="BX127" s="419" t="b">
        <f>AND(SnapshotTable[[#This Row],[SP Is Booked]], NOT(ISBLANK(SnapshotTable[[#This Row],[SP Fill Date]])))</f>
        <v>0</v>
      </c>
      <c r="BY127" s="33">
        <f>IF(SnapshotTable[[#This Row],[SP Is Booked]], SnapshotTable[[#This Row],[SP Qty]] * SnapshotTable[[#This Row],[SP Book Price]] * 100, 0)</f>
        <v>0</v>
      </c>
      <c r="BZ127" s="369"/>
      <c r="CA127" s="368">
        <f>SnapshotTable[[#This Row],[LP Qty]]</f>
        <v>0</v>
      </c>
      <c r="CB127" s="4" t="str">
        <f>IF(SnapshotTable[[#This Row],[SP Is Booked]], SnapshotTable[[#This Row],[SP Strike Price]] - SnapshotTable[[#This Row],[SP Book Price]], "")</f>
        <v/>
      </c>
      <c r="CC127" s="19" t="str">
        <f>IF(SnapshotTable[[#This Row],[SP Is Booked]],SnapshotTable[[#This Row],[SP Exp Date]]-MAX(SnapshotTable[[#This Row],[SP Book Date]], SnapshotTable[[#This Row],[SP Fill Date]]),"")</f>
        <v/>
      </c>
      <c r="CD127" s="7" t="str">
        <f>IF(SnapshotTable[[#This Row],[SP Is Booked]], SnapshotTable[[#This Row],[SP Book Price]]/SnapshotTable[[#This Row],[SP Strike Price]], "")</f>
        <v/>
      </c>
      <c r="CE127" s="7" t="str">
        <f>IF(ISNUMBER(SnapshotTable[[#This Row],[SP ROO Term]]),SnapshotTable[[#This Row],[SP ROO Term]]*(365/SnapshotTable[[#This Row],[SP Term]]),"")</f>
        <v/>
      </c>
      <c r="CF127" s="236">
        <f>SnapshotTable[[#This Row],[LP Strike Price]] * SnapshotTable[[#This Row],[LP Qty]] * 100</f>
        <v>0</v>
      </c>
      <c r="CG127" s="31" t="e">
        <f>IF(ISNUMBER(SnapshotTable[[#This Row],[SP Premium]]), (SnapshotTable[[#This Row],[SP Qty]] * SnapshotTable[[#This Row],[SP Strike Price]]* 100) - SnapshotTable[[#This Row],[LP Protection]], 0)</f>
        <v>#VALUE!</v>
      </c>
      <c r="CH127" s="7" t="str">
        <f>IF(ISNUMBER(SnapshotTable[[#This Row],[SP Break Even]]),-1 * (SnapshotTable[[#This Row],[SP Break Even]] - SnapshotTable[[#This Row],[Last Price]]) / SnapshotTable[[#This Row],[Last Price]], "")</f>
        <v/>
      </c>
      <c r="CI127" s="31">
        <f>IF(AND(ISNUMBER((SnapshotTable[[#This Row],[SP Potential Spend]])), SnapshotTable[[#This Row],[SP Strike Price]] &gt; SnapshotTable[[#This Row],[Last Price]], SnapshotTable[[#This Row],[SP Is Filled]]), SnapshotTable[[#This Row],[SP Potential Spend]] -  SnapshotTable[[#This Row],[LP Max Value]], 0)</f>
        <v>0</v>
      </c>
      <c r="CJ127" s="244"/>
      <c r="CK127" s="31" t="str">
        <f>IF(ISNUMBER(SnapshotTable[[#This Row],[SP Potential Spend]]),IF(ISNUMBER(SnapshotTable[[#This Row],[SP POW]]), SnapshotTable[[#This Row],[SP POW]] * SnapshotTable[[#This Row],[SP Potential Spend]], SnapshotTable[[#This Row],[SP Potential Spend]]), "")</f>
        <v/>
      </c>
      <c r="CL127" s="164" t="e">
        <f>IF(NOT(SnapshotTable[[#This Row],[SP Is Filled]]),(SnapshotTable[[#This Row],[SP Qty]] * SnapshotTable[[#This Row],[SP Strike Price]] * 100) - SnapshotTable[[#This Row],[LP Max Value]],"")</f>
        <v>#VALUE!</v>
      </c>
      <c r="CM127" s="31" t="str">
        <f>IF(SnapshotTable[[#This Row],[SP Actual Spend]]&lt;&gt;0, ((SnapshotTable[[#This Row],[SP Strike Price]]-SnapshotTable[[#This Row],[Last Price]]) *(SnapshotTable[[#This Row],[SP Qty]]*100) - SnapshotTable[[#This Row],[SP Premium]]) * - 1, "")</f>
        <v/>
      </c>
      <c r="CN127" s="78"/>
      <c r="CO127" s="369">
        <v>0</v>
      </c>
      <c r="CP127" s="4" t="str">
        <f>IF(SnapshotTable[[#This Row],[SP Is Filled]], btc_max_buyback_amount(SnapshotTable[[#This Row],[SP Fill Date]],SnapshotTable[[#This Row],[SP Exp Date]], SnapshotTable[[#This Row],[SP Book Price]]),"")</f>
        <v/>
      </c>
      <c r="CQ127" s="78"/>
      <c r="CR12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7" s="155" t="str">
        <f>IF(SnapshotTable[[#This Row],[SP Is Filled]], btc_next_cutoff_date(SnapshotTable[[#This Row],[SP Fill Date]],SnapshotTable[[#This Row],[SP Exp Date]]),"")</f>
        <v/>
      </c>
      <c r="CT127" s="235" t="str" cm="1">
        <f t="array" ref="CT127">IF(SnapshotTable[[#This Row],[SP Is Filled]], btc_should_buy_back(SnapshotTable[[#This Row],[SP Fill Date]], SnapshotTable[[#This Row],[SP Exp Date]], SnapshotTable[[#This Row],[SP Book Price]], SnapshotTable[[#This Row],[SP Current Ask]], MockToday, SnapshotTable[[#This Row],[SP Buyback Override]]),"")</f>
        <v/>
      </c>
      <c r="CU127" s="143"/>
      <c r="CV127" s="235"/>
      <c r="CW127" s="378" t="str">
        <f>IF(ISNUMBER( SnapshotTable[[#This Row],[SP Term]]), SnapshotTable[[#This Row],[SP Exp Date]] - MockToday,"")</f>
        <v/>
      </c>
      <c r="CX127" s="31" t="str">
        <f>IF(SnapshotTable[[#This Row],[SP Is Filled]],SnapshotTable[[#This Row],[SP Buyback Price to Use]] * 100 * SnapshotTable[[#This Row],[SP Qty]], "")</f>
        <v/>
      </c>
      <c r="CY127" s="4" t="str">
        <f>IF(ISNUMBER(SnapshotTable[[#This Row],[SP Strike Price]]), SnapshotTable[[#This Row],[SP Strike Price]] * (1 - SP_MaxLoss_StrikePct), "")</f>
        <v/>
      </c>
      <c r="CZ127" s="31" t="str">
        <f>IF(ISNUMBER(SnapshotTable[[#This Row],[SP Strike  Stop Per Share]]),SnapshotTable[[#This Row],[SP Premium]] - ((SnapshotTable[[#This Row],[SP Strike Price]]-SnapshotTable[[#This Row],[SP Strike  Stop Per Share]]) *(SnapshotTable[[#This Row],[SP Qty]] * 100)),"")</f>
        <v/>
      </c>
      <c r="DA127" s="4" t="str">
        <f>IF(AND(ISNUMBER(SnapshotTable[[#This Row],[SP Premium]]),SnapshotTable[[#This Row],[SP Premium]]&gt;0), SnapshotTable[[#This Row],[SP Book Price]] * (1 + SP_MaxLoss_OptionPct), "")</f>
        <v/>
      </c>
      <c r="DB127" s="31" t="str">
        <f>IF(ISNUMBER(SnapshotTable[[#This Row],[SP Option  Stop Contract]]),(SnapshotTable[[#This Row],[SP Option  Stop Contract]] *(SnapshotTable[[#This Row],[SP Qty]] * 100) - SnapshotTable[[#This Row],[SP Premium]]),"")</f>
        <v/>
      </c>
      <c r="DC127" s="4"/>
      <c r="DD127" s="4"/>
      <c r="DE127" s="4" t="str">
        <f>IF(AND(SnapshotTable[[#This Row],[SP Qty]]&gt;0, SnapshotTable[[#This Row],[SP Stop To Use]]&gt;0),SnapshotTable[[#This Row],[SP Premium]] - ( SnapshotTable[[#This Row],[SP Qty]] * SnapshotTable[[#This Row],[SP Stop To Use]] * 100), "")</f>
        <v/>
      </c>
      <c r="DF127" s="31" t="str">
        <f>IF(AND(SnapshotTable[[#This Row],[SP Qty]]&gt;0,SnapshotTable[[#This Row],[SP Current Ask]]&gt;0), SnapshotTable[[#This Row],[SP Qty]] * SnapshotTable[[#This Row],[SP Current Ask]] * -100, "")</f>
        <v/>
      </c>
      <c r="DG127" s="31" t="str">
        <f>IF(ISNUMBER((SnapshotTable[[#This Row],[SP Total Value]])), SnapshotTable[[#This Row],[SP Premium]] + SnapshotTable[[#This Row],[SP Total Value]], "")</f>
        <v/>
      </c>
      <c r="DH127" s="294" t="str">
        <f>IF(ISNUMBER((SnapshotTable[[#This Row],[SP Total Value]])), SnapshotTable[[#This Row],[SP Gain Loss]] / SnapshotTable[[#This Row],[SP Premium]], "")</f>
        <v/>
      </c>
      <c r="DI127" s="406"/>
      <c r="DJ127" s="138"/>
      <c r="DK127" s="148"/>
      <c r="DL127" s="13"/>
      <c r="DM127" s="13"/>
      <c r="DO127" s="31">
        <f>IF(SnapshotTable[[#This Row],[LC Symbol Count]]=1, SnapshotTable[[#This Row],[LC Qty]] * SnapshotTable[[#This Row],[LC Book Price]] * 100, 0)</f>
        <v>0</v>
      </c>
      <c r="DP127" s="163" t="str">
        <f>IF(AND(SnapshotTable[[#This Row],[LC Exp Date]]&gt;0, SnapshotTable[[#This Row],[LC Strike Price]]&gt;0,SnapshotTable[[#This Row],[LC Qty]]&gt;0,SnapshotTable[[#This Row],[LC Book Date]]&gt;0,SnapshotTable[[#This Row],[LC Book Price]]&gt;0,SnapshotTable[[#This Row],[LC Fill Date]]=0),"Y","")</f>
        <v/>
      </c>
      <c r="DQ127" s="386" t="str">
        <f>IF(SnapshotTable[[#This Row],[LC Premium]] &gt; 0,SnapshotTable[[#This Row],[LC Exp Date]]-MAX(SnapshotTable[[#This Row],[LC Book Date]], SnapshotTable[[#This Row],[LC Fill Date]]),"")</f>
        <v/>
      </c>
      <c r="DR127" s="386" t="str">
        <f>IF(ISNUMBER(SnapshotTable[[#This Row],[LC Term]]), SnapshotTable[[#This Row],[LC Exp Date]] - MockToday, "")</f>
        <v/>
      </c>
      <c r="DS127" s="234" t="str">
        <f>IF(SnapshotTable[[#This Row],[LC Premium]]&gt;0,SnapshotTable[[#This Row],[LC Strike Price]] + SnapshotTable[[#This Row],[LC Book Price]],"")</f>
        <v/>
      </c>
      <c r="DU127" s="9" t="str">
        <f>IF(AND(SnapshotTable[[#This Row],[LC Symbol Count]]&gt;0, SnapshotTable[[#This Row],[LC Contract Value]]&gt;0), SnapshotTable[[#This Row],[LC Contract Value]] * SnapshotTable[[#This Row],[LC Qty]] * 100, "")</f>
        <v/>
      </c>
      <c r="DV127" s="9" t="str">
        <f>IF(AND(ISNUMBER(SnapshotTable[[#This Row],[LC Total Value]]), SnapshotTable[[#This Row],[LC Not Filled]]&lt;&gt;"Y"), SnapshotTable[[#This Row],[LC Total Value]]-SnapshotTable[[#This Row],[LC Premium]],"")</f>
        <v/>
      </c>
      <c r="DW127" s="240" t="str">
        <f>IF(ISNUMBER(SnapshotTable[[#This Row],[LC Actual Gain Loss]]), SnapshotTable[[#This Row],[LC Actual Gain Loss]] / SnapshotTable[[#This Row],[LC Premium]],"")</f>
        <v/>
      </c>
      <c r="DX127" s="284" t="str">
        <f>IF(ISNUMBER(SnapshotTable[[#This Row],[LC Book Price]]),SnapshotTable[[#This Row],[LC Book Price]] * 1.5,"")</f>
        <v/>
      </c>
      <c r="DY127" s="265" t="str">
        <f>IF(SnapshotTable[[#This Row],[LC Premium]]&gt;0, SnapshotTable[[#This Row],[LC Next Target]] * SnapshotTable[[#This Row],[LC Qty]] * 100,"")</f>
        <v/>
      </c>
      <c r="DZ127" s="265" t="str">
        <f>IF(ISNUMBER(SnapshotTable[[#This Row],[LC Target Gross]]), SnapshotTable[[#This Row],[LC Target Gross]] - SnapshotTable[[#This Row],[LC Premium]], "")</f>
        <v/>
      </c>
      <c r="EA127" s="305" t="str">
        <f>IF(ISNUMBER(SnapshotTable[[#This Row],[LC Target Gain Loss]]), SnapshotTable[[#This Row],[LC Target Gain Loss]]/SnapshotTable[[#This Row],[LC Premium]], "")</f>
        <v/>
      </c>
      <c r="EB127" s="262"/>
      <c r="EC127" s="283" t="str">
        <f>IF(SnapshotTable[[#This Row],[LC Premium]]&gt;0, SnapshotTable[[#This Row],[LC Book Price]] * (1 - LC_StopLoss_Pct),"")</f>
        <v/>
      </c>
      <c r="ED127" s="284"/>
      <c r="EE127" s="283" t="str">
        <f>IF(ISNUMBER(SnapshotTable[[#This Row],[LC Contract Value]]),IF(ISNUMBER(SnapshotTable[[#This Row],[LC Stop Loss Override]]), SnapshotTable[[#This Row],[LC Stop Loss Override]],SnapshotTable[[#This Row],[LC Stop Loss Calc Target]]),"")</f>
        <v/>
      </c>
      <c r="EF127" s="31" t="str">
        <f>IF(ISNUMBER(SnapshotTable[[#This Row],[LC Stop  To Use]]), (SnapshotTable[[#This Row],[LC Stop  To Use]] * SnapshotTable[[#This Row],[LC Qty]] * 100),"")</f>
        <v/>
      </c>
      <c r="EG127" s="9" t="str">
        <f>IF(ISNUMBER(SnapshotTable[[#This Row],[LC Total Value]]),SnapshotTable[[#This Row],[LC Stop Loss Amount]] - SnapshotTable[[#This Row],[LC Premium]],"")</f>
        <v/>
      </c>
      <c r="EH127" s="9">
        <f>IF(ISNUMBER(SnapshotTable[[#This Row],[LC Premium]]), SnapshotTable[[#This Row],[LC Qty]] * 100 * SnapshotTable[[#This Row],[LC Strike Price]], "")</f>
        <v>0</v>
      </c>
      <c r="EI127" s="240" t="str">
        <f>IF(AND(ISNUMBER(SnapshotTable[[#This Row],[LC Total Value]]),SnapshotTable[[#This Row],[LC Total Value]]&gt;0),SnapshotTable[[#This Row],[LC Stop Gain Loss]]  / SnapshotTable[[#This Row],[LC Premium]],"")</f>
        <v/>
      </c>
      <c r="EJ127" s="35">
        <f>IF(ISNUMBER(SnapshotTable[[#This Row],[Equity Shares]]),TRUNC(SnapshotTable[[#This Row],[Equity Shares]] / 100),0) + SnapshotTable[[#This Row],[LC Qty]]</f>
        <v>0</v>
      </c>
      <c r="EK127" s="147"/>
      <c r="EL127" s="138" t="str">
        <f>IF(SnapshotTable[[#This Row],[SC Exp Date]]&lt;&gt;"",TRUNC(SnapshotTable[[#This Row],[Last Price]]),"")</f>
        <v/>
      </c>
      <c r="EM127" s="148"/>
      <c r="EN127" s="147"/>
      <c r="EO127" s="147"/>
      <c r="EP127" s="138"/>
      <c r="EQ127" s="419" t="b">
        <f>AND(ISNUMBER(SnapshotTable[[#This Row],[SC Exp Date]]), ISNUMBER(SnapshotTable[[#This Row],[SC Strike Price]]), ISNUMBER(SnapshotTable[[#This Row],[SC Qty]]), ISNUMBER(SnapshotTable[[#This Row],[SC Book Date]]), ISNUMBER(SnapshotTable[[#This Row],[SC Book Price]]))</f>
        <v>0</v>
      </c>
      <c r="ER127" s="419" t="b">
        <f>AND(SnapshotTable[[#This Row],[SC Is Booked]], NOT(ISBLANK(SnapshotTable[[#This Row],[SC Fill Date]])))</f>
        <v>0</v>
      </c>
      <c r="ES127" s="370"/>
      <c r="ET127" s="34" t="str">
        <f>IF(AND(ISNUMBER(SnapshotTable[[#This Row],[SC Exp Date]]), ISNUMBER(SnapshotTable[[#This Row],[SC Book Date]])), SnapshotTable[[#This Row],[SC Exp Date]] - MAX(SnapshotTable[[#This Row],[SC Book Date]], SnapshotTable[[#This Row],[SC Fill Date]]) + 1, "")</f>
        <v/>
      </c>
      <c r="EU127" s="34" t="str">
        <f>IF(ISNUMBER(SnapshotTable[[#This Row],[SC Term]]), SnapshotTable[[#This Row],[SC Exp Date]]- MockToday, "")</f>
        <v/>
      </c>
      <c r="EV127" s="31">
        <f>IF(SnapshotTable[[#This Row],[SC Is Booked]], SnapshotTable[[#This Row],[SC Qty]] * SnapshotTable[[#This Row],[SC Book Price]] * 100, 0)</f>
        <v>0</v>
      </c>
      <c r="EW127" s="4" t="str">
        <f>IF(AND(ISNUMBER(SnapshotTable[[#This Row],[Last Price]]), ISNUMBER( SnapshotTable[[#This Row],[SC Book Price]])), SnapshotTable[[#This Row],[Last Price]] - SnapshotTable[[#This Row],[SC Book Price]],"")</f>
        <v/>
      </c>
      <c r="EX127" s="234" t="str">
        <f>IF(SnapshotTable[[#This Row],[SC Is Booked]],IF(SnapshotTable[[#This Row],[SC Intrinsic Value]] &gt; 0, SnapshotTable[[#This Row],[SC Strike Price]], SnapshotTable[[#This Row],[Last Price]]), "")</f>
        <v/>
      </c>
      <c r="EY127" s="4">
        <f>IF(SnapshotTable[[#This Row],[SC Is Booked]], (MinimumPremiumRequired * SnapshotTable[[#This Row],[SC Basis]] * SnapshotTable[[#This Row],[SC Term]]), 0)</f>
        <v>0</v>
      </c>
      <c r="EZ127" s="283"/>
      <c r="FA127" s="218"/>
      <c r="FB127" s="370"/>
      <c r="FC127" s="4">
        <f>IF(SnapshotTable[[#This Row],[SC Is Filled]], btc_max_buyback_amount(SnapshotTable[[#This Row],[SC Fill Date]],SnapshotTable[[#This Row],[SC Exp Date]], SnapshotTable[[#This Row],[SC Book Price]]),0)</f>
        <v>0</v>
      </c>
      <c r="FD127" s="5"/>
      <c r="FE127" s="144" t="str">
        <f>IF(SnapshotTable[[#This Row],[SC Is Filled]], btc_next_cutoff_date(SnapshotTable[[#This Row],[SC Fill Date]],SnapshotTable[[#This Row],[SC Exp Date]]),"")</f>
        <v/>
      </c>
      <c r="FF127" s="4" t="str" cm="1">
        <f t="array" ref="FF127">IF(SnapshotTable[[#This Row],[SC Is Filled]], btc_should_buy_back(SnapshotTable[[#This Row],[SC Fill Date]], SnapshotTable[[#This Row],[SC Exp Date]], SnapshotTable[[#This Row],[SC Book Price]], SnapshotTable[[#This Row],[SC Current Ask]], MockToday, SnapshotTable[[#This Row],[SC Buyback Override]]),"")</f>
        <v/>
      </c>
      <c r="FG127" s="4">
        <f>IF(SnapshotTable[[#This Row],[SC Is Filled]], MAX(0,SnapshotTable[[#This Row],[Last Price]]  - SnapshotTable[[#This Row],[SC Strike Price]]), 0)</f>
        <v>0</v>
      </c>
      <c r="FH127" s="382">
        <f>IF(SnapshotTable[[#This Row],[SC Is Filled]], IF(ISNUMBER(SnapshotTable[[#This Row],[SC Current Ask]]), SnapshotTable[[#This Row],[SC Current Ask]], SnapshotTable[[#This Row],[SC Book Price]]) - SnapshotTable[[#This Row],[SC Intrinsic Value]], 0)</f>
        <v>0</v>
      </c>
      <c r="FI127" s="143"/>
      <c r="FJ127" s="32" t="str">
        <f>IF(SnapshotTable[[#This Row],[SC Is Filled]],100 * SnapshotTable[[#This Row],[SC Qty]] * IF(ISNUMBER(SnapshotTable[[#This Row],[SC Buyback Override]]), SnapshotTable[[#This Row],[SC Buyback Override]], SnapshotTable[[#This Row],[SC Current Ask]]), "")</f>
        <v/>
      </c>
      <c r="FK127" s="250" t="str">
        <f>IF(SnapshotTable[[#This Row],[SC Time Val]]&gt;0, SnapshotTable[[#This Row],[SC Time Val]] / SnapshotTable[[#This Row],[Last Price]],"")</f>
        <v/>
      </c>
      <c r="FL127" s="302" t="str">
        <f>IF(SnapshotTable[[#This Row],[SC Is Booked]], ((SnapshotTable[[#This Row],[Last Price]] -SnapshotTable[[#This Row],[SC Strike Price]]) / SnapshotTable[[#This Row],[Last Price]]) * -1, "")</f>
        <v/>
      </c>
      <c r="FM127" s="157" t="str">
        <f>IF(SnapshotTable[[#This Row],[SC Is Booked]],  (SnapshotTable[[#This Row],[SC Qty]] * 100 * SnapshotTable[[#This Row],[SC Strike Price]]) - SnapshotTable[[#This Row],[SC Current Ask]], "")</f>
        <v/>
      </c>
      <c r="FN12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7" s="31" t="str">
        <f>IF(AND(ISNUMBER(SnapshotTable[[#This Row],[SC Exercise Gross]]), ISNUMBER(SnapshotTable[[#This Row],[Equity Basis Per Share]] )), SnapshotTable[[#This Row],[SC Exercise Gross]] - SnapshotTable[[#This Row],[Equity Basis Total]] +  SnapshotTable[[#This Row],[SC Premium]], "")</f>
        <v/>
      </c>
      <c r="FP127" s="5" t="str">
        <f>IF(ISNUMBER(SnapshotTable[[#This Row],[SC Exercise Gross]]), (SnapshotTable[[#This Row],[SC Exercise Gross]]) / (SnapshotTable[[#This Row],[SC Qty]] * 100), "")</f>
        <v/>
      </c>
      <c r="FQ127" s="27" t="str">
        <f>IF(SnapshotTable[[#This Row],[SC Is Booked]],SnapshotTable[[#This Row],[SC Time Val]] /SnapshotTable[[#This Row],[SC Basis]], "")</f>
        <v/>
      </c>
      <c r="FR127" s="27" t="str" cm="1">
        <f t="array" ref="FR127">IF(AND(ISNUMBER(SnapshotTable[[#This Row],[SC Term]]),ISNUMBER(SnapshotTable[[#This Row],[SC Simple ROO]])), EllmanAnnualize(SnapshotTable[[#This Row],[SC DTE]], SnapshotTable[[#This Row],[SC Simple ROO]] ),"")</f>
        <v/>
      </c>
      <c r="FS127" s="4" t="e">
        <f>IF(SnapshotTable[[#This Row],[SC Strike Price]] &gt; SnapshotTable[[#This Row],[Last Price]], SnapshotTable[[#This Row],[SC Strike Price]] - SnapshotTable[[#This Row],[Last Price]],0)</f>
        <v>#VALUE!</v>
      </c>
      <c r="FT127" s="27" t="e">
        <f>IF(AND(ISNUMBER(SnapshotTable[[#This Row],[SC Upside Potential]]), SnapshotTable[[#This Row],[SC Upside Potential]] &gt; 0),(SnapshotTable[[#This Row],[SC Upside Potential]]/ SnapshotTable[[#This Row],[ACB]]),"")</f>
        <v>#VALUE!</v>
      </c>
      <c r="FU127" s="333" t="str">
        <f>IF(SnapshotTable[[#This Row],[SC Intrinsic Value]] &gt; 0,SnapshotTable[[#This Row],[SC Intrinsic Value]],"")</f>
        <v/>
      </c>
      <c r="FV127" s="27" t="str">
        <f>IF(AND( ISNUMBER( SnapshotTable[[#This Row],[ACB]]),ISNUMBER(SnapshotTable[[#This Row],[SC Downside Protect]])),SnapshotTable[[#This Row],[SC Downside Protect]] / SnapshotTable[[#This Row],[ACB]],"")</f>
        <v/>
      </c>
      <c r="FW127" s="236" t="str">
        <f>IF(AND(ISNUMBER(SnapshotTable[[#This Row],[SC Simple ROO]]),SnapshotTable[[#This Row],[SC Simple ROO]] &gt; 0), SnapshotTable[[#This Row],[SC Premium]] + (SnapshotTable[[#This Row],[SC Qty]] * SnapshotTable[[#This Row],[SC Upside Potential]]), "")</f>
        <v/>
      </c>
      <c r="FX127" s="302" t="str" cm="1">
        <f t="array" ref="FX127">IF(ISNUMBER(SnapshotTable[[#This Row],[SC Max Dollars]]), annualize(SnapshotTable[[#This Row],[SC Term]],(SnapshotTable[[#This Row],[SC Max Dollars]]/SnapshotTable[[#This Row],[SC Basis]])),"")</f>
        <v/>
      </c>
      <c r="FY127" s="236" t="str">
        <f>IF(AND(SnapshotTable[[#This Row],[SC Qty]]&gt;0,SnapshotTable[[#This Row],[SC Current Ask]]&gt;0), SnapshotTable[[#This Row],[SC Qty]] * SnapshotTable[[#This Row],[SC Current Ask]] * -100, "")</f>
        <v/>
      </c>
      <c r="FZ127" s="31" t="str">
        <f>IF(ISNUMBER((SnapshotTable[[#This Row],[SC Current Value]])), SnapshotTable[[#This Row],[SC Premium]] + SnapshotTable[[#This Row],[SC Current Value]], "")</f>
        <v/>
      </c>
      <c r="GA127" s="294" t="str">
        <f>IFERROR( IF(ISNUMBER((SnapshotTable[[#This Row],[SC Current Value]])), SnapshotTable[[#This Row],[SC Gain Loss]] / SnapshotTable[[#This Row],[SC Premium]], ""), "")</f>
        <v/>
      </c>
      <c r="GB127" s="42">
        <f>SnapshotTable[[#This Row],[Equity Shares]] * SaleSharesToConsiderPercentage</f>
        <v>0</v>
      </c>
      <c r="GC127" s="40">
        <f>SnapshotTable[[#This Row],[Long Term Target]] * SellingPriceToConsiderBasedOnTargetPercentage</f>
        <v>0</v>
      </c>
      <c r="GD127" s="40">
        <f>SnapshotTable[[#This Row],[Last Price]] * (1+ SellingPriceToConsiderBasedOnTargetPercentage)</f>
        <v>1016.8665</v>
      </c>
      <c r="GE127" s="41"/>
      <c r="GF127" s="40"/>
      <c r="GG127" s="31">
        <f>SnapshotTable[[#This Row],[Booked Sale Shares]] * SnapshotTable[[#This Row],[Booked Sale Price]]</f>
        <v>0</v>
      </c>
      <c r="GH127" s="31" t="str">
        <f>IF(SnapshotTable[[#This Row],[Equity Basis Total]] &gt; 0, SnapshotTable[[#This Row],[Equity Basis Per Share]] * SnapshotTable[[#This Row],[Booked Sale Shares]], "")</f>
        <v/>
      </c>
      <c r="GI127" s="31">
        <f>IF(SnapshotTable[[#This Row],[Sale Proceeds]]&gt;0, SnapshotTable[[#This Row],[Sale Proceeds]] - SnapshotTable[[#This Row],[Sale Basis]], 0)</f>
        <v>0</v>
      </c>
      <c r="GJ127" s="27" t="str">
        <f>IF(SnapshotTable[[#This Row],[Sale G/L]]&gt;0, SnapshotTable[[#This Row],[Sale G/L]] / SnapshotTable[[#This Row],[Sale Basis]], IF(ISNUMBER(SnapshotTable[[#This Row],[SC Exercise P&amp;L (TAX)]]), SnapshotTable[[#This Row],[SC Exercise P&amp;L (TAX)]] / SnapshotTable[[#This Row],[SC Basis]], ""))</f>
        <v/>
      </c>
      <c r="GK127" s="27" t="s">
        <v>1115</v>
      </c>
      <c r="GL127" s="43" t="str">
        <f>IF(AND(SnapshotTable[[#This Row],[LP Exp Date]]&gt;0,SnapshotTable[[#This Row],[LP Strike Price]]&gt;0), [1]!ToOptionSymbol(SnapshotTable[[#This Row],[Symbol]], SnapshotTable[[#This Row],[LP Strike Price]],SnapshotTable[[#This Row],[LP Exp Date]],1), "")</f>
        <v/>
      </c>
      <c r="GM127" s="30" t="str">
        <f>IF(LEN(SnapshotTable[[#This Row],[LP Symbol]])&gt;0, 1, "")</f>
        <v/>
      </c>
      <c r="GN127" s="43" t="str">
        <f>IF(AND(SnapshotTable[[#This Row],[SP Exp Date]]&gt;0,SnapshotTable[[#This Row],[SP Strike Price]]&gt;0), [1]!ToOptionSymbol(SnapshotTable[[#This Row],[Symbol]], SnapshotTable[[#This Row],[SP Strike Price]],SnapshotTable[[#This Row],[SP Exp Date]],1), "")</f>
        <v/>
      </c>
      <c r="GO127" s="30" t="str">
        <f>IF(LEN(SnapshotTable[[#This Row],[SP Symbol]])&gt;0, 1, "")</f>
        <v/>
      </c>
      <c r="GP127" s="43" t="str">
        <f>IF(AND(SnapshotTable[[#This Row],[LC Exp Date]]&gt;0,SnapshotTable[[#This Row],[LC Strike Price]]&gt;0), [1]!ToOptionSymbol(SnapshotTable[[#This Row],[Symbol]], SnapshotTable[[#This Row],[LC Strike Price]],SnapshotTable[[#This Row],[LC Exp Date]],0), "")</f>
        <v/>
      </c>
      <c r="GQ127" s="30" t="str">
        <f>IF(LEN(SnapshotTable[[#This Row],[LC Symbol]])&gt;0, 1, "")</f>
        <v/>
      </c>
      <c r="GR127" s="43" t="str">
        <f>IF(AND(SnapshotTable[[#This Row],[SC Exp Date]]&gt;0,SnapshotTable[[#This Row],[SC Strike Price]]&gt;0), [1]!ToOptionSymbol(SnapshotTable[[#This Row],[Symbol]], SnapshotTable[[#This Row],[SC Strike Price]],SnapshotTable[[#This Row],[SC Exp Date]],0), "")</f>
        <v/>
      </c>
      <c r="GS127" s="30" t="str">
        <f>IF(LEN(SnapshotTable[[#This Row],[SC Symbol]])&gt;0, 1, "")</f>
        <v/>
      </c>
      <c r="GT127" s="29" t="str">
        <f>IF(COUNT(SnapshotTable[[#This Row],[LP Symbol Count]],SnapshotTable[[#This Row],[SP Symbol Count]],SnapshotTable[[#This Row],[LC Symbol Count]],SnapshotTable[[#This Row],[SC Symbol Count]])&gt;0, "Y", "")</f>
        <v/>
      </c>
      <c r="GU12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7" s="231" t="e">
        <f>MAX(SnapshotTable[[#This Row],[Equity Basis Total]],SnapshotTable[[#This Row],[Equity Value]]) + (SnapshotTable[[#This Row],[SP Potential Spend]]- SnapshotTable[[#This Row],[SP Premium]] + SnapshotTable[[#This Row],[LP Premium]])+ (SnapshotTable[[#This Row],[LC Premium]] - SnapshotTable[[#This Row],[SC Premium]])</f>
        <v>#VALUE!</v>
      </c>
      <c r="GW127" s="139" t="e">
        <f>IF(AND(SnapshotTable[[#This Row],[Exposure]] &lt;&gt; 0),SnapshotTable[[#This Row],[Exposure]] / SnapshotTable[[#Totals],[Exposure]], "")</f>
        <v>#VALUE!</v>
      </c>
      <c r="HE127" s="268"/>
      <c r="HF127" s="268"/>
      <c r="HK127" s="1"/>
      <c r="HL127" s="1"/>
      <c r="HM127" s="1"/>
      <c r="HN127" s="1"/>
      <c r="HO127" s="1"/>
      <c r="HP127" s="1"/>
    </row>
    <row r="128" spans="2:224" ht="12.75" hidden="1" customHeight="1" x14ac:dyDescent="0.25">
      <c r="B128" s="12" t="s">
        <v>841</v>
      </c>
      <c r="C128" s="422">
        <v>168.82</v>
      </c>
      <c r="D128" s="208"/>
      <c r="E128" s="39">
        <f>SnapshotTable[[#This Row],[Last Price]]*(1 -CrashDiscount)</f>
        <v>143.49699999999999</v>
      </c>
      <c r="F128" s="26" t="s">
        <v>223</v>
      </c>
      <c r="G128" s="26" t="s">
        <v>49</v>
      </c>
      <c r="H128" s="149"/>
      <c r="I128" s="194">
        <v>44770.666666666664</v>
      </c>
      <c r="J128" s="195">
        <v>44770.666666666664</v>
      </c>
      <c r="K128" s="196"/>
      <c r="L128" s="326"/>
      <c r="M128" s="140">
        <v>1</v>
      </c>
      <c r="N128" s="140"/>
      <c r="O128" s="140"/>
      <c r="P128" s="22"/>
      <c r="Q128" s="25"/>
      <c r="R128" s="4" t="str">
        <f>IF(SnapshotTable[[#This Row],[Equity Basis Total]] &gt; 0, SnapshotTable[[#This Row],[Equity Basis Total]] / SnapshotTable[[#This Row],[Equity Shares]], "")</f>
        <v/>
      </c>
      <c r="S128" s="269">
        <f>SnapshotTable[[#This Row],[Last Price]] * SnapshotTable[[#This Row],[Equity Shares]]</f>
        <v>0</v>
      </c>
      <c r="T128" s="269">
        <f>SnapshotTable[[#This Row],[Equity Value]] - SnapshotTable[[#This Row],[Equity Basis Total]]</f>
        <v>0</v>
      </c>
      <c r="U128" s="270" t="str">
        <f>IF(SnapshotTable[[#This Row],[Equity Basis Total]] &gt; 0, SnapshotTable[[#This Row],[Equity G/L]] / SnapshotTable[[#This Row],[Equity Basis Total]], "")</f>
        <v/>
      </c>
      <c r="V128" s="268"/>
      <c r="W128" s="268"/>
      <c r="X128" s="4" t="str">
        <f>IF(AND(ISNUMBER(SnapshotTable[[#This Row],[Equity Basis Per Share]]),ISNUMBER(SnapshotTable[[#This Row],[Equity Target]])),SnapshotTable[[#This Row],[Equity Target]]-SnapshotTable[[#This Row],[Equity Basis Per Share]],"")</f>
        <v/>
      </c>
      <c r="Y128" s="4" t="str">
        <f>IF(AND(ISNUMBER(SnapshotTable[[#This Row],[Equity Basis Per Share]]),ISNUMBER(SnapshotTable[[#This Row],[Equity Stop Loss]])),SnapshotTable[[#This Row],[Equity Stop Loss]]-SnapshotTable[[#This Row],[Equity Basis Per Share]],"")</f>
        <v/>
      </c>
      <c r="Z128" s="275" t="str">
        <f>IFERROR( TEXT(SnapshotTable[[#This Row],[Equity Max Gain Per Share]] /ABS( SnapshotTable[[#This Row],[Equity Max Loss Per Share]]),"0.0 " ) &amp; " : 1", "")</f>
        <v/>
      </c>
      <c r="AA128" s="31" t="str">
        <f>IF(ISNUMBER(SnapshotTable[[#This Row],[Equity Max Gain Per Share]]),SnapshotTable[[#This Row],[Equity Max Gain Per Share]] * SnapshotTable[[#This Row],[Equity Shares]],"")</f>
        <v/>
      </c>
      <c r="AB128" s="31" t="str">
        <f>IF(ISNUMBER(SnapshotTable[[#This Row],[Equity Max Loss Per Share]]),SnapshotTable[[#This Row],[Equity Max Loss Per Share]] * SnapshotTable[[#This Row],[Equity Shares]],"")</f>
        <v/>
      </c>
      <c r="AC128" s="150"/>
      <c r="AD128" s="151"/>
      <c r="AE128" s="31">
        <f>(SnapshotTable[[#This Row],[Annual Dividend Per Share]] / 4) * SnapshotTable[[#This Row],[Equity Shares]]</f>
        <v>0</v>
      </c>
      <c r="AF128" s="31">
        <f>SnapshotTable[[#This Row],[Quarterly Div $]] * 4</f>
        <v>0</v>
      </c>
      <c r="AG128" s="7">
        <f>IF(SnapshotTable[[#This Row],[Annual Dividend Per Share]]&gt;0, SnapshotTable[[#This Row],[Annual Dividend Per Share]]  / SnapshotTable[[#This Row],[Last Price]], 0)</f>
        <v>0</v>
      </c>
      <c r="AH128" s="151"/>
      <c r="AI128" s="5">
        <v>185</v>
      </c>
      <c r="AJ128" s="138">
        <v>167.53</v>
      </c>
      <c r="AK128" s="152">
        <f>IF(ISNUMBER( SnapshotTable[[#This Row],[EBF Target]]),(SnapshotTable[[#This Row],[EBF Target]] - SnapshotTable[[#This Row],[Last Price]]) / SnapshotTable[[#This Row],[Last Price]], "")</f>
        <v>9.5841724914109749E-2</v>
      </c>
      <c r="AL128" s="152" t="str">
        <f>IF(AND(SnapshotTable[[#This Row],[Equity Basis Total]] &gt; 0,ISNUMBER( SnapshotTable[[#This Row],[Long Term Target]])), SnapshotTable[[#This Row],[From Basis $]] / SnapshotTable[[#This Row],[Equity Basis Total]], "")</f>
        <v/>
      </c>
      <c r="AM128" s="9">
        <f>IF( AND(SnapshotTable[[#This Row],[Equity Shares]] &gt;0,ISNUMBER( SnapshotTable[[#This Row],[Long Term Target]])),(SnapshotTable[[#This Row],[Equity Shares]] * SnapshotTable[[#This Row],[Long Term Target]]) - SnapshotTable[[#This Row],[Equity Basis Total]],0)</f>
        <v>0</v>
      </c>
      <c r="AN128" s="9">
        <f>IF( AND(SnapshotTable[[#This Row],[Equity Shares]] &gt;0,ISNUMBER( SnapshotTable[[#This Row],[Long Term Target]])),(SnapshotTable[[#This Row],[Equity Shares]]*SnapshotTable[[#This Row],[Long Term Target]]) - SnapshotTable[[#This Row],[Equity Value]],0)</f>
        <v>0</v>
      </c>
      <c r="AO128" s="152">
        <f>IF(AND(ISNUMBER( SnapshotTable[[#This Row],[Long Term Target]]), ISNUMBER(SnapshotTable[[#This Row],[Last Price]])),(SnapshotTable[[#This Row],[Long Term Target]] - SnapshotTable[[#This Row],[Last Price]]) / SnapshotTable[[#This Row],[Last Price]], "")</f>
        <v>-7.6412747304821236E-3</v>
      </c>
      <c r="AP128" s="5"/>
      <c r="AQ128" s="38"/>
      <c r="AR128" s="5"/>
      <c r="AS128" s="38"/>
      <c r="AT128" s="146"/>
      <c r="AU128" s="187" t="str">
        <f>IF(OR(SnapshotTable[[#This Row],[LP No Fill]]="Y",SnapshotTable[[#This Row],[SP Is Filled]],SnapshotTable[[#This Row],[LC Not Filled]]="Y",SnapshotTable[[#This Row],[SC Is Filled]]),"Y","")</f>
        <v/>
      </c>
      <c r="AV128" s="219"/>
      <c r="AW128" s="225"/>
      <c r="AX128" s="220"/>
      <c r="AY128" s="219" t="str">
        <f>IF(SnapshotTable[[#This Row],[Implied Move]]&gt;0, SnapshotTable[[#This Row],[Last Price]]-SnapshotTable[[#This Row],[Implied Move]],"")</f>
        <v/>
      </c>
      <c r="AZ128" s="219" t="str">
        <f>IF(SnapshotTable[[#This Row],[Implied Move]]&gt;0, SnapshotTable[[#This Row],[Last Price]] + SnapshotTable[[#This Row],[Implied Move]],"")</f>
        <v/>
      </c>
      <c r="BA128" s="331"/>
      <c r="BB128" s="347"/>
      <c r="BC12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8" s="351"/>
      <c r="BE128" s="138"/>
      <c r="BF128" s="166"/>
      <c r="BG128" s="167"/>
      <c r="BH128" s="167"/>
      <c r="BI128" s="221"/>
      <c r="BJ128" s="153">
        <f>IF(SnapshotTable[[#This Row],[LP Qty]] &gt; 0, SnapshotTable[[#This Row],[LP Qty]] * SnapshotTable[[#This Row],[LP Book Price]] * 100,0)</f>
        <v>0</v>
      </c>
      <c r="BK128" s="136">
        <f>IF(SnapshotTable[[#This Row],[LP Premium]] &gt; 0, SnapshotTable[[#This Row],[LP Qty]] * SnapshotTable[[#This Row],[LP Strike Price]] * 100,0)</f>
        <v>0</v>
      </c>
      <c r="BL128" s="154"/>
      <c r="BM128" s="385" t="str">
        <f>IF(SnapshotTable[[#This Row],[LP Premium]] &gt; 0,SnapshotTable[[#This Row],[LP Exp Date]]-MAX(SnapshotTable[[#This Row],[LP Book Date]], SnapshotTable[[#This Row],[LP Fill Date]]),"")</f>
        <v/>
      </c>
      <c r="BN128" s="385" t="str">
        <f>IF(ISNUMBER( SnapshotTable[[#This Row],[LP Term]]), SnapshotTable[[#This Row],[LP Exp Date]] - MockToday,"")</f>
        <v/>
      </c>
      <c r="BO128" s="163" t="str">
        <f>IF(AND(SnapshotTable[[#This Row],[LP Exp Date]]&gt;0, SnapshotTable[[#This Row],[LP Strike Price]]&gt;0,SnapshotTable[[#This Row],[LP Qty]]&gt;0,SnapshotTable[[#This Row],[LP Book Date]]&gt;0,SnapshotTable[[#This Row],[LP Book Price]]&gt;0,SnapshotTable[[#This Row],[LP Fill Date]]=0),"Y","")</f>
        <v/>
      </c>
      <c r="BP128" s="31" t="str">
        <f>IF(AND(SnapshotTable[[#This Row],[LP No Fill]]&lt;&gt;"Y",SnapshotTable[[#This Row],[LP Contract Value]]&gt;0, SnapshotTable[[#This Row],[LP Qty]]&gt;0), SnapshotTable[[#This Row],[LP Contract Value]]*SnapshotTable[[#This Row],[LP Qty]]*100,"")</f>
        <v/>
      </c>
      <c r="BQ128" s="13"/>
      <c r="BR128" s="5" t="str">
        <f>IF(SnapshotTable[[#This Row],[SP Exp Date]]&lt;&gt;"",TRUNC(SnapshotTable[[#This Row],[Last Price]]),"")</f>
        <v/>
      </c>
      <c r="BS128" s="36"/>
      <c r="BT128" s="147"/>
      <c r="BU128" s="13"/>
      <c r="BV128" s="5"/>
      <c r="BW128" s="419" t="b">
        <f>AND(ISNUMBER(SnapshotTable[[#This Row],[SP Exp Date]]), ISNUMBER(SnapshotTable[[#This Row],[SP Strike Price]]), ISNUMBER(SnapshotTable[[#This Row],[SP Qty]]), ISNUMBER(SnapshotTable[[#This Row],[SP Book Date]]), ISNUMBER(SnapshotTable[[#This Row],[SP Book Price]]))</f>
        <v>0</v>
      </c>
      <c r="BX128" s="419" t="b">
        <f>AND(SnapshotTable[[#This Row],[SP Is Booked]], NOT(ISBLANK(SnapshotTable[[#This Row],[SP Fill Date]])))</f>
        <v>0</v>
      </c>
      <c r="BY128" s="33">
        <f>IF(SnapshotTable[[#This Row],[SP Is Booked]], SnapshotTable[[#This Row],[SP Qty]] * SnapshotTable[[#This Row],[SP Book Price]] * 100, 0)</f>
        <v>0</v>
      </c>
      <c r="BZ128" s="369"/>
      <c r="CA128" s="368">
        <f>SnapshotTable[[#This Row],[LP Qty]]</f>
        <v>0</v>
      </c>
      <c r="CB128" s="4" t="str">
        <f>IF(SnapshotTable[[#This Row],[SP Is Booked]], SnapshotTable[[#This Row],[SP Strike Price]] - SnapshotTable[[#This Row],[SP Book Price]], "")</f>
        <v/>
      </c>
      <c r="CC128" s="19" t="str">
        <f>IF(SnapshotTable[[#This Row],[SP Is Booked]],SnapshotTable[[#This Row],[SP Exp Date]]-MAX(SnapshotTable[[#This Row],[SP Book Date]], SnapshotTable[[#This Row],[SP Fill Date]]),"")</f>
        <v/>
      </c>
      <c r="CD128" s="7" t="str">
        <f>IF(SnapshotTable[[#This Row],[SP Is Booked]], SnapshotTable[[#This Row],[SP Book Price]]/SnapshotTable[[#This Row],[SP Strike Price]], "")</f>
        <v/>
      </c>
      <c r="CE128" s="7" t="str">
        <f>IF(ISNUMBER(SnapshotTable[[#This Row],[SP ROO Term]]),SnapshotTable[[#This Row],[SP ROO Term]]*(365/SnapshotTable[[#This Row],[SP Term]]),"")</f>
        <v/>
      </c>
      <c r="CF128" s="236">
        <f>SnapshotTable[[#This Row],[LP Strike Price]] * SnapshotTable[[#This Row],[LP Qty]] * 100</f>
        <v>0</v>
      </c>
      <c r="CG128" s="31" t="e">
        <f>IF(ISNUMBER(SnapshotTable[[#This Row],[SP Premium]]), (SnapshotTable[[#This Row],[SP Qty]] * SnapshotTable[[#This Row],[SP Strike Price]]* 100) - SnapshotTable[[#This Row],[LP Protection]], 0)</f>
        <v>#VALUE!</v>
      </c>
      <c r="CH128" s="7" t="str">
        <f>IF(ISNUMBER(SnapshotTable[[#This Row],[SP Break Even]]),-1 * (SnapshotTable[[#This Row],[SP Break Even]] - SnapshotTable[[#This Row],[Last Price]]) / SnapshotTable[[#This Row],[Last Price]], "")</f>
        <v/>
      </c>
      <c r="CI128" s="31">
        <f>IF(AND(ISNUMBER((SnapshotTable[[#This Row],[SP Potential Spend]])), SnapshotTable[[#This Row],[SP Strike Price]] &gt; SnapshotTable[[#This Row],[Last Price]], SnapshotTable[[#This Row],[SP Is Filled]]), SnapshotTable[[#This Row],[SP Potential Spend]] -  SnapshotTable[[#This Row],[LP Max Value]], 0)</f>
        <v>0</v>
      </c>
      <c r="CJ128" s="244"/>
      <c r="CK128" s="31" t="str">
        <f>IF(ISNUMBER(SnapshotTable[[#This Row],[SP Potential Spend]]),IF(ISNUMBER(SnapshotTable[[#This Row],[SP POW]]), SnapshotTable[[#This Row],[SP POW]] * SnapshotTable[[#This Row],[SP Potential Spend]], SnapshotTable[[#This Row],[SP Potential Spend]]), "")</f>
        <v/>
      </c>
      <c r="CL128" s="164" t="e">
        <f>IF(NOT(SnapshotTable[[#This Row],[SP Is Filled]]),(SnapshotTable[[#This Row],[SP Qty]] * SnapshotTable[[#This Row],[SP Strike Price]] * 100) - SnapshotTable[[#This Row],[LP Max Value]],"")</f>
        <v>#VALUE!</v>
      </c>
      <c r="CM128" s="31" t="str">
        <f>IF(SnapshotTable[[#This Row],[SP Actual Spend]]&lt;&gt;0, ((SnapshotTable[[#This Row],[SP Strike Price]]-SnapshotTable[[#This Row],[Last Price]]) *(SnapshotTable[[#This Row],[SP Qty]]*100) - SnapshotTable[[#This Row],[SP Premium]]) * - 1, "")</f>
        <v/>
      </c>
      <c r="CN128" s="154"/>
      <c r="CO128" s="369"/>
      <c r="CP128" s="4" t="str">
        <f>IF(SnapshotTable[[#This Row],[SP Is Filled]], btc_max_buyback_amount(SnapshotTable[[#This Row],[SP Fill Date]],SnapshotTable[[#This Row],[SP Exp Date]], SnapshotTable[[#This Row],[SP Book Price]]),"")</f>
        <v/>
      </c>
      <c r="CQ128" s="78"/>
      <c r="CR12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8" s="155" t="str">
        <f>IF(SnapshotTable[[#This Row],[SP Is Filled]], btc_next_cutoff_date(SnapshotTable[[#This Row],[SP Fill Date]],SnapshotTable[[#This Row],[SP Exp Date]]),"")</f>
        <v/>
      </c>
      <c r="CT128" s="235" t="str" cm="1">
        <f t="array" ref="CT128">IF(SnapshotTable[[#This Row],[SP Is Filled]], btc_should_buy_back(SnapshotTable[[#This Row],[SP Fill Date]], SnapshotTable[[#This Row],[SP Exp Date]], SnapshotTable[[#This Row],[SP Book Price]], SnapshotTable[[#This Row],[SP Current Ask]], MockToday, SnapshotTable[[#This Row],[SP Buyback Override]]),"")</f>
        <v/>
      </c>
      <c r="CU128" s="156"/>
      <c r="CV128" s="235"/>
      <c r="CW128" s="378" t="str">
        <f>IF(ISNUMBER( SnapshotTable[[#This Row],[SP Term]]), SnapshotTable[[#This Row],[SP Exp Date]] - MockToday,"")</f>
        <v/>
      </c>
      <c r="CX128" s="31" t="str">
        <f>IF(SnapshotTable[[#This Row],[SP Is Filled]],SnapshotTable[[#This Row],[SP Buyback Price to Use]] * 100 * SnapshotTable[[#This Row],[SP Qty]], "")</f>
        <v/>
      </c>
      <c r="CY128" s="4" t="str">
        <f>IF(ISNUMBER(SnapshotTable[[#This Row],[SP Strike Price]]), SnapshotTable[[#This Row],[SP Strike Price]] * (1 - SP_MaxLoss_StrikePct), "")</f>
        <v/>
      </c>
      <c r="CZ128" s="31" t="str">
        <f>IF(ISNUMBER(SnapshotTable[[#This Row],[SP Strike  Stop Per Share]]),SnapshotTable[[#This Row],[SP Premium]] - ((SnapshotTable[[#This Row],[SP Strike Price]]-SnapshotTable[[#This Row],[SP Strike  Stop Per Share]]) *(SnapshotTable[[#This Row],[SP Qty]] * 100)),"")</f>
        <v/>
      </c>
      <c r="DA128" s="4" t="str">
        <f>IF(AND(ISNUMBER(SnapshotTable[[#This Row],[SP Premium]]),SnapshotTable[[#This Row],[SP Premium]]&gt;0), SnapshotTable[[#This Row],[SP Book Price]] * (1 + SP_MaxLoss_OptionPct), "")</f>
        <v/>
      </c>
      <c r="DB128" s="31" t="str">
        <f>IF(ISNUMBER(SnapshotTable[[#This Row],[SP Option  Stop Contract]]),(SnapshotTable[[#This Row],[SP Option  Stop Contract]] *(SnapshotTable[[#This Row],[SP Qty]] * 100) - SnapshotTable[[#This Row],[SP Premium]]),"")</f>
        <v/>
      </c>
      <c r="DC128" s="4"/>
      <c r="DD128" s="4"/>
      <c r="DE128" s="4" t="str">
        <f>IF(AND(SnapshotTable[[#This Row],[SP Qty]]&gt;0, SnapshotTable[[#This Row],[SP Stop To Use]]&gt;0),SnapshotTable[[#This Row],[SP Premium]] - ( SnapshotTable[[#This Row],[SP Qty]] * SnapshotTable[[#This Row],[SP Stop To Use]] * 100), "")</f>
        <v/>
      </c>
      <c r="DF128" s="31" t="str">
        <f>IF(AND(SnapshotTable[[#This Row],[SP Qty]]&gt;0,SnapshotTable[[#This Row],[SP Current Ask]]&gt;0), SnapshotTable[[#This Row],[SP Qty]] * SnapshotTable[[#This Row],[SP Current Ask]] * -100, "")</f>
        <v/>
      </c>
      <c r="DG128" s="31" t="str">
        <f>IF(ISNUMBER((SnapshotTable[[#This Row],[SP Total Value]])), SnapshotTable[[#This Row],[SP Premium]] + SnapshotTable[[#This Row],[SP Total Value]], "")</f>
        <v/>
      </c>
      <c r="DH128" s="294" t="str">
        <f>IF(ISNUMBER((SnapshotTable[[#This Row],[SP Total Value]])), SnapshotTable[[#This Row],[SP Gain Loss]] / SnapshotTable[[#This Row],[SP Premium]], "")</f>
        <v/>
      </c>
      <c r="DI128" s="406"/>
      <c r="DJ128" s="138"/>
      <c r="DK128" s="148"/>
      <c r="DL128" s="147"/>
      <c r="DM128" s="147"/>
      <c r="DO128" s="31">
        <f>IF(SnapshotTable[[#This Row],[LC Symbol Count]]=1, SnapshotTable[[#This Row],[LC Qty]] * SnapshotTable[[#This Row],[LC Book Price]] * 100, 0)</f>
        <v>0</v>
      </c>
      <c r="DP128" s="163" t="str">
        <f>IF(AND(SnapshotTable[[#This Row],[LC Exp Date]]&gt;0, SnapshotTable[[#This Row],[LC Strike Price]]&gt;0,SnapshotTable[[#This Row],[LC Qty]]&gt;0,SnapshotTable[[#This Row],[LC Book Date]]&gt;0,SnapshotTable[[#This Row],[LC Book Price]]&gt;0,SnapshotTable[[#This Row],[LC Fill Date]]=0),"Y","")</f>
        <v/>
      </c>
      <c r="DQ128" s="386" t="str">
        <f>IF(SnapshotTable[[#This Row],[LC Premium]] &gt; 0,SnapshotTable[[#This Row],[LC Exp Date]]-MAX(SnapshotTable[[#This Row],[LC Book Date]], SnapshotTable[[#This Row],[LC Fill Date]]),"")</f>
        <v/>
      </c>
      <c r="DR128" s="386" t="str">
        <f>IF(ISNUMBER(SnapshotTable[[#This Row],[LC Term]]), SnapshotTable[[#This Row],[LC Exp Date]] - MockToday, "")</f>
        <v/>
      </c>
      <c r="DS128" s="234" t="str">
        <f>IF(SnapshotTable[[#This Row],[LC Premium]]&gt;0,SnapshotTable[[#This Row],[LC Strike Price]] + SnapshotTable[[#This Row],[LC Book Price]],"")</f>
        <v/>
      </c>
      <c r="DU128" s="9" t="str">
        <f>IF(AND(SnapshotTable[[#This Row],[LC Symbol Count]]&gt;0, SnapshotTable[[#This Row],[LC Contract Value]]&gt;0), SnapshotTable[[#This Row],[LC Contract Value]] * SnapshotTable[[#This Row],[LC Qty]] * 100, "")</f>
        <v/>
      </c>
      <c r="DV128" s="9" t="str">
        <f>IF(AND(ISNUMBER(SnapshotTable[[#This Row],[LC Total Value]]), SnapshotTable[[#This Row],[LC Not Filled]]&lt;&gt;"Y"), SnapshotTable[[#This Row],[LC Total Value]]-SnapshotTable[[#This Row],[LC Premium]],"")</f>
        <v/>
      </c>
      <c r="DW128" s="240" t="str">
        <f>IF(ISNUMBER(SnapshotTable[[#This Row],[LC Actual Gain Loss]]), SnapshotTable[[#This Row],[LC Actual Gain Loss]] / SnapshotTable[[#This Row],[LC Premium]],"")</f>
        <v/>
      </c>
      <c r="DX128" s="284" t="str">
        <f>IF(ISNUMBER(SnapshotTable[[#This Row],[LC Book Price]]),SnapshotTable[[#This Row],[LC Book Price]] * 1.5,"")</f>
        <v/>
      </c>
      <c r="DY128" s="265" t="str">
        <f>IF(SnapshotTable[[#This Row],[LC Premium]]&gt;0, SnapshotTable[[#This Row],[LC Next Target]] * SnapshotTable[[#This Row],[LC Qty]] * 100,"")</f>
        <v/>
      </c>
      <c r="DZ128" s="265" t="str">
        <f>IF(ISNUMBER(SnapshotTable[[#This Row],[LC Target Gross]]), SnapshotTable[[#This Row],[LC Target Gross]] - SnapshotTable[[#This Row],[LC Premium]], "")</f>
        <v/>
      </c>
      <c r="EA128" s="305" t="str">
        <f>IF(ISNUMBER(SnapshotTable[[#This Row],[LC Target Gain Loss]]), SnapshotTable[[#This Row],[LC Target Gain Loss]]/SnapshotTable[[#This Row],[LC Premium]], "")</f>
        <v/>
      </c>
      <c r="EB128" s="262"/>
      <c r="EC128" s="283" t="str">
        <f>IF(SnapshotTable[[#This Row],[LC Premium]]&gt;0, SnapshotTable[[#This Row],[LC Book Price]] * (1 - LC_StopLoss_Pct),"")</f>
        <v/>
      </c>
      <c r="ED128" s="284"/>
      <c r="EE128" s="283" t="str">
        <f>IF(ISNUMBER(SnapshotTable[[#This Row],[LC Contract Value]]),IF(ISNUMBER(SnapshotTable[[#This Row],[LC Stop Loss Override]]), SnapshotTable[[#This Row],[LC Stop Loss Override]],SnapshotTable[[#This Row],[LC Stop Loss Calc Target]]),"")</f>
        <v/>
      </c>
      <c r="EF128" s="31" t="str">
        <f>IF(ISNUMBER(SnapshotTable[[#This Row],[LC Stop  To Use]]), (SnapshotTable[[#This Row],[LC Stop  To Use]] * SnapshotTable[[#This Row],[LC Qty]] * 100),"")</f>
        <v/>
      </c>
      <c r="EG128" s="9" t="str">
        <f>IF(ISNUMBER(SnapshotTable[[#This Row],[LC Total Value]]),SnapshotTable[[#This Row],[LC Stop Loss Amount]] - SnapshotTable[[#This Row],[LC Premium]],"")</f>
        <v/>
      </c>
      <c r="EH128" s="9">
        <f>IF(ISNUMBER(SnapshotTable[[#This Row],[LC Premium]]), SnapshotTable[[#This Row],[LC Qty]] * 100 * SnapshotTable[[#This Row],[LC Strike Price]], "")</f>
        <v>0</v>
      </c>
      <c r="EI128" s="240" t="str">
        <f>IF(AND(ISNUMBER(SnapshotTable[[#This Row],[LC Total Value]]),SnapshotTable[[#This Row],[LC Total Value]]&gt;0),SnapshotTable[[#This Row],[LC Stop Gain Loss]]  / SnapshotTable[[#This Row],[LC Premium]],"")</f>
        <v/>
      </c>
      <c r="EJ128" s="35">
        <f>IF(ISNUMBER(SnapshotTable[[#This Row],[Equity Shares]]),TRUNC(SnapshotTable[[#This Row],[Equity Shares]] / 100),0) + SnapshotTable[[#This Row],[LC Qty]]</f>
        <v>0</v>
      </c>
      <c r="EK128" s="147"/>
      <c r="EL128" s="138" t="str">
        <f>IF(SnapshotTable[[#This Row],[SC Exp Date]]&lt;&gt;"",TRUNC(SnapshotTable[[#This Row],[Last Price]]),"")</f>
        <v/>
      </c>
      <c r="EM128" s="148"/>
      <c r="EN128" s="147"/>
      <c r="EO128" s="147"/>
      <c r="EP128" s="138"/>
      <c r="EQ128" s="419" t="b">
        <f>AND(ISNUMBER(SnapshotTable[[#This Row],[SC Exp Date]]), ISNUMBER(SnapshotTable[[#This Row],[SC Strike Price]]), ISNUMBER(SnapshotTable[[#This Row],[SC Qty]]), ISNUMBER(SnapshotTable[[#This Row],[SC Book Date]]), ISNUMBER(SnapshotTable[[#This Row],[SC Book Price]]))</f>
        <v>0</v>
      </c>
      <c r="ER128" s="419" t="b">
        <f>AND(SnapshotTable[[#This Row],[SC Is Booked]], NOT(ISBLANK(SnapshotTable[[#This Row],[SC Fill Date]])))</f>
        <v>0</v>
      </c>
      <c r="ES128" s="370"/>
      <c r="ET128" s="34" t="str">
        <f>IF(AND(ISNUMBER(SnapshotTable[[#This Row],[SC Exp Date]]), ISNUMBER(SnapshotTable[[#This Row],[SC Book Date]])), SnapshotTable[[#This Row],[SC Exp Date]] - MAX(SnapshotTable[[#This Row],[SC Book Date]], SnapshotTable[[#This Row],[SC Fill Date]]) + 1, "")</f>
        <v/>
      </c>
      <c r="EU128" s="34" t="str">
        <f>IF(ISNUMBER(SnapshotTable[[#This Row],[SC Term]]), SnapshotTable[[#This Row],[SC Exp Date]]- MockToday, "")</f>
        <v/>
      </c>
      <c r="EV128" s="31">
        <f>IF(SnapshotTable[[#This Row],[SC Is Booked]], SnapshotTable[[#This Row],[SC Qty]] * SnapshotTable[[#This Row],[SC Book Price]] * 100, 0)</f>
        <v>0</v>
      </c>
      <c r="EW128" s="4" t="str">
        <f>IF(AND(ISNUMBER(SnapshotTable[[#This Row],[Last Price]]), ISNUMBER( SnapshotTable[[#This Row],[SC Book Price]])), SnapshotTable[[#This Row],[Last Price]] - SnapshotTable[[#This Row],[SC Book Price]],"")</f>
        <v/>
      </c>
      <c r="EX128" s="234" t="str">
        <f>IF(SnapshotTable[[#This Row],[SC Is Booked]],IF(SnapshotTable[[#This Row],[SC Intrinsic Value]] &gt; 0, SnapshotTable[[#This Row],[SC Strike Price]], SnapshotTable[[#This Row],[Last Price]]), "")</f>
        <v/>
      </c>
      <c r="EY128" s="4">
        <f>IF(SnapshotTable[[#This Row],[SC Is Booked]], (MinimumPremiumRequired * SnapshotTable[[#This Row],[SC Basis]] * SnapshotTable[[#This Row],[SC Term]]), 0)</f>
        <v>0</v>
      </c>
      <c r="EZ128" s="283"/>
      <c r="FA128" s="218"/>
      <c r="FB128" s="370"/>
      <c r="FC128" s="4">
        <f>IF(SnapshotTable[[#This Row],[SC Is Filled]], btc_max_buyback_amount(SnapshotTable[[#This Row],[SC Fill Date]],SnapshotTable[[#This Row],[SC Exp Date]], SnapshotTable[[#This Row],[SC Book Price]]),0)</f>
        <v>0</v>
      </c>
      <c r="FD128" s="5"/>
      <c r="FE128" s="144" t="str">
        <f>IF(SnapshotTable[[#This Row],[SC Is Filled]], btc_next_cutoff_date(SnapshotTable[[#This Row],[SC Fill Date]],SnapshotTable[[#This Row],[SC Exp Date]]),"")</f>
        <v/>
      </c>
      <c r="FF128" s="4" t="str" cm="1">
        <f t="array" ref="FF128">IF(SnapshotTable[[#This Row],[SC Is Filled]], btc_should_buy_back(SnapshotTable[[#This Row],[SC Fill Date]], SnapshotTable[[#This Row],[SC Exp Date]], SnapshotTable[[#This Row],[SC Book Price]], SnapshotTable[[#This Row],[SC Current Ask]], MockToday, SnapshotTable[[#This Row],[SC Buyback Override]]),"")</f>
        <v/>
      </c>
      <c r="FG128" s="4">
        <f>IF(SnapshotTable[[#This Row],[SC Is Filled]], MAX(0,SnapshotTable[[#This Row],[Last Price]]  - SnapshotTable[[#This Row],[SC Strike Price]]), 0)</f>
        <v>0</v>
      </c>
      <c r="FH128" s="382">
        <f>IF(SnapshotTable[[#This Row],[SC Is Filled]], IF(ISNUMBER(SnapshotTable[[#This Row],[SC Current Ask]]), SnapshotTable[[#This Row],[SC Current Ask]], SnapshotTable[[#This Row],[SC Book Price]]) - SnapshotTable[[#This Row],[SC Intrinsic Value]], 0)</f>
        <v>0</v>
      </c>
      <c r="FI128" s="143"/>
      <c r="FJ128" s="32" t="str">
        <f>IF(SnapshotTable[[#This Row],[SC Is Filled]],100 * SnapshotTable[[#This Row],[SC Qty]] * IF(ISNUMBER(SnapshotTable[[#This Row],[SC Buyback Override]]), SnapshotTable[[#This Row],[SC Buyback Override]], SnapshotTable[[#This Row],[SC Current Ask]]), "")</f>
        <v/>
      </c>
      <c r="FK128" s="250" t="str">
        <f>IF(SnapshotTable[[#This Row],[SC Time Val]]&gt;0, SnapshotTable[[#This Row],[SC Time Val]] / SnapshotTable[[#This Row],[Last Price]],"")</f>
        <v/>
      </c>
      <c r="FL128" s="302" t="str">
        <f>IF(SnapshotTable[[#This Row],[SC Is Booked]], ((SnapshotTable[[#This Row],[Last Price]] -SnapshotTable[[#This Row],[SC Strike Price]]) / SnapshotTable[[#This Row],[Last Price]]) * -1, "")</f>
        <v/>
      </c>
      <c r="FM128" s="157" t="str">
        <f>IF(SnapshotTable[[#This Row],[SC Is Booked]],  (SnapshotTable[[#This Row],[SC Qty]] * 100 * SnapshotTable[[#This Row],[SC Strike Price]]) - SnapshotTable[[#This Row],[SC Current Ask]], "")</f>
        <v/>
      </c>
      <c r="FN128"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8" s="157" t="str">
        <f>IF(AND(ISNUMBER(SnapshotTable[[#This Row],[SC Exercise Gross]]), ISNUMBER(SnapshotTable[[#This Row],[Equity Basis Per Share]] )), SnapshotTable[[#This Row],[SC Exercise Gross]] - SnapshotTable[[#This Row],[Equity Basis Total]] +  SnapshotTable[[#This Row],[SC Premium]], "")</f>
        <v/>
      </c>
      <c r="FP128" s="5" t="str">
        <f>IF(ISNUMBER(SnapshotTable[[#This Row],[SC Exercise Gross]]), (SnapshotTable[[#This Row],[SC Exercise Gross]]) / (SnapshotTable[[#This Row],[SC Qty]] * 100), "")</f>
        <v/>
      </c>
      <c r="FQ128" s="27" t="str">
        <f>IF(SnapshotTable[[#This Row],[SC Is Booked]],SnapshotTable[[#This Row],[SC Time Val]] /SnapshotTable[[#This Row],[SC Basis]], "")</f>
        <v/>
      </c>
      <c r="FR128" s="27" t="str" cm="1">
        <f t="array" ref="FR128">IF(AND(ISNUMBER(SnapshotTable[[#This Row],[SC Term]]),ISNUMBER(SnapshotTable[[#This Row],[SC Simple ROO]])), EllmanAnnualize(SnapshotTable[[#This Row],[SC DTE]], SnapshotTable[[#This Row],[SC Simple ROO]] ),"")</f>
        <v/>
      </c>
      <c r="FS128" s="4" t="e">
        <f>IF(SnapshotTable[[#This Row],[SC Strike Price]] &gt; SnapshotTable[[#This Row],[Last Price]], SnapshotTable[[#This Row],[SC Strike Price]] - SnapshotTable[[#This Row],[Last Price]],0)</f>
        <v>#VALUE!</v>
      </c>
      <c r="FT128" s="27" t="e">
        <f>IF(AND(ISNUMBER(SnapshotTable[[#This Row],[SC Upside Potential]]), SnapshotTable[[#This Row],[SC Upside Potential]] &gt; 0),(SnapshotTable[[#This Row],[SC Upside Potential]]/ SnapshotTable[[#This Row],[ACB]]),"")</f>
        <v>#VALUE!</v>
      </c>
      <c r="FU128" s="333" t="str">
        <f>IF(SnapshotTable[[#This Row],[SC Intrinsic Value]] &gt; 0,SnapshotTable[[#This Row],[SC Intrinsic Value]],"")</f>
        <v/>
      </c>
      <c r="FV128" s="27" t="str">
        <f>IF(AND( ISNUMBER( SnapshotTable[[#This Row],[ACB]]),ISNUMBER(SnapshotTable[[#This Row],[SC Downside Protect]])),SnapshotTable[[#This Row],[SC Downside Protect]] / SnapshotTable[[#This Row],[ACB]],"")</f>
        <v/>
      </c>
      <c r="FW128" s="236" t="str">
        <f>IF(AND(ISNUMBER(SnapshotTable[[#This Row],[SC Simple ROO]]),SnapshotTable[[#This Row],[SC Simple ROO]] &gt; 0), SnapshotTable[[#This Row],[SC Premium]] + (SnapshotTable[[#This Row],[SC Qty]] * SnapshotTable[[#This Row],[SC Upside Potential]]), "")</f>
        <v/>
      </c>
      <c r="FX128" s="302" t="str" cm="1">
        <f t="array" ref="FX128">IF(ISNUMBER(SnapshotTable[[#This Row],[SC Max Dollars]]), annualize(SnapshotTable[[#This Row],[SC Term]],(SnapshotTable[[#This Row],[SC Max Dollars]]/SnapshotTable[[#This Row],[SC Basis]])),"")</f>
        <v/>
      </c>
      <c r="FY128" s="236" t="str">
        <f>IF(AND(SnapshotTable[[#This Row],[SC Qty]]&gt;0,SnapshotTable[[#This Row],[SC Current Ask]]&gt;0), SnapshotTable[[#This Row],[SC Qty]] * SnapshotTable[[#This Row],[SC Current Ask]] * -100, "")</f>
        <v/>
      </c>
      <c r="FZ128" s="31" t="str">
        <f>IF(ISNUMBER((SnapshotTable[[#This Row],[SC Current Value]])), SnapshotTable[[#This Row],[SC Premium]] + SnapshotTable[[#This Row],[SC Current Value]], "")</f>
        <v/>
      </c>
      <c r="GA128" s="294" t="str">
        <f>IFERROR( IF(ISNUMBER((SnapshotTable[[#This Row],[SC Current Value]])), SnapshotTable[[#This Row],[SC Gain Loss]] / SnapshotTable[[#This Row],[SC Premium]], ""), "")</f>
        <v/>
      </c>
      <c r="GB128" s="42">
        <f>SnapshotTable[[#This Row],[Equity Shares]] * SaleSharesToConsiderPercentage</f>
        <v>0</v>
      </c>
      <c r="GC128" s="40">
        <f>SnapshotTable[[#This Row],[Long Term Target]] * SellingPriceToConsiderBasedOnTargetPercentage</f>
        <v>159.15349999999998</v>
      </c>
      <c r="GD128" s="40">
        <f>SnapshotTable[[#This Row],[Last Price]] * (1+ SellingPriceToConsiderBasedOnTargetPercentage)</f>
        <v>329.19899999999996</v>
      </c>
      <c r="GE128" s="41"/>
      <c r="GF128" s="40"/>
      <c r="GG128" s="31">
        <f>SnapshotTable[[#This Row],[Booked Sale Shares]] * SnapshotTable[[#This Row],[Booked Sale Price]]</f>
        <v>0</v>
      </c>
      <c r="GH128" s="31" t="str">
        <f>IF(SnapshotTable[[#This Row],[Equity Basis Total]] &gt; 0, SnapshotTable[[#This Row],[Equity Basis Per Share]] * SnapshotTable[[#This Row],[Booked Sale Shares]], "")</f>
        <v/>
      </c>
      <c r="GI128" s="31">
        <f>IF(SnapshotTable[[#This Row],[Sale Proceeds]]&gt;0, SnapshotTable[[#This Row],[Sale Proceeds]] - SnapshotTable[[#This Row],[Sale Basis]], 0)</f>
        <v>0</v>
      </c>
      <c r="GJ128" s="158" t="str">
        <f>IF(SnapshotTable[[#This Row],[Sale G/L]]&gt;0, SnapshotTable[[#This Row],[Sale G/L]] / SnapshotTable[[#This Row],[Sale Basis]], IF(ISNUMBER(SnapshotTable[[#This Row],[SC Exercise P&amp;L (TAX)]]), SnapshotTable[[#This Row],[SC Exercise P&amp;L (TAX)]] / SnapshotTable[[#This Row],[SC Basis]], ""))</f>
        <v/>
      </c>
      <c r="GK128" s="27"/>
      <c r="GL128" s="159" t="str">
        <f>IF(AND(SnapshotTable[[#This Row],[LP Exp Date]]&gt;0,SnapshotTable[[#This Row],[LP Strike Price]]&gt;0), [1]!ToOptionSymbol(SnapshotTable[[#This Row],[Symbol]], SnapshotTable[[#This Row],[LP Strike Price]],SnapshotTable[[#This Row],[LP Exp Date]],1), "")</f>
        <v/>
      </c>
      <c r="GM128" s="30" t="str">
        <f>IF(LEN(SnapshotTable[[#This Row],[LP Symbol]])&gt;0, 1, "")</f>
        <v/>
      </c>
      <c r="GN128" s="43" t="str">
        <f>IF(AND(SnapshotTable[[#This Row],[SP Exp Date]]&gt;0,SnapshotTable[[#This Row],[SP Strike Price]]&gt;0), [1]!ToOptionSymbol(SnapshotTable[[#This Row],[Symbol]], SnapshotTable[[#This Row],[SP Strike Price]],SnapshotTable[[#This Row],[SP Exp Date]],1), "")</f>
        <v/>
      </c>
      <c r="GO128" s="30" t="str">
        <f>IF(LEN(SnapshotTable[[#This Row],[SP Symbol]])&gt;0, 1, "")</f>
        <v/>
      </c>
      <c r="GP128" s="159" t="str">
        <f>IF(AND(SnapshotTable[[#This Row],[LC Exp Date]]&gt;0,SnapshotTable[[#This Row],[LC Strike Price]]&gt;0), [1]!ToOptionSymbol(SnapshotTable[[#This Row],[Symbol]], SnapshotTable[[#This Row],[LC Strike Price]],SnapshotTable[[#This Row],[LC Exp Date]],0), "")</f>
        <v/>
      </c>
      <c r="GQ128" s="160" t="str">
        <f>IF(LEN(SnapshotTable[[#This Row],[LC Symbol]])&gt;0, 1, "")</f>
        <v/>
      </c>
      <c r="GR128" s="159" t="str">
        <f>IF(AND(SnapshotTable[[#This Row],[SC Exp Date]]&gt;0,SnapshotTable[[#This Row],[SC Strike Price]]&gt;0), [1]!ToOptionSymbol(SnapshotTable[[#This Row],[Symbol]], SnapshotTable[[#This Row],[SC Strike Price]],SnapshotTable[[#This Row],[SC Exp Date]],0), "")</f>
        <v/>
      </c>
      <c r="GS128" s="160" t="str">
        <f>IF(LEN(SnapshotTable[[#This Row],[SC Symbol]])&gt;0, 1, "")</f>
        <v/>
      </c>
      <c r="GT128" s="161" t="str">
        <f>IF(COUNT(SnapshotTable[[#This Row],[LP Symbol Count]],SnapshotTable[[#This Row],[SP Symbol Count]],SnapshotTable[[#This Row],[LC Symbol Count]],SnapshotTable[[#This Row],[SC Symbol Count]])&gt;0, "Y", "")</f>
        <v/>
      </c>
      <c r="GU12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8" s="231" t="e">
        <f>MAX(SnapshotTable[[#This Row],[Equity Basis Total]],SnapshotTable[[#This Row],[Equity Value]]) + (SnapshotTable[[#This Row],[SP Potential Spend]]- SnapshotTable[[#This Row],[SP Premium]] + SnapshotTable[[#This Row],[LP Premium]])+ (SnapshotTable[[#This Row],[LC Premium]] - SnapshotTable[[#This Row],[SC Premium]])</f>
        <v>#VALUE!</v>
      </c>
      <c r="GW128" s="139" t="e">
        <f>IF(AND(SnapshotTable[[#This Row],[Exposure]] &lt;&gt; 0),SnapshotTable[[#This Row],[Exposure]] / SnapshotTable[[#Totals],[Exposure]], "")</f>
        <v>#VALUE!</v>
      </c>
      <c r="HE128" s="268"/>
      <c r="HF128" s="268"/>
      <c r="HK128" s="1"/>
      <c r="HL128" s="1"/>
      <c r="HM128" s="1"/>
      <c r="HN128" s="1"/>
      <c r="HO128" s="1"/>
      <c r="HP128" s="1"/>
    </row>
    <row r="129" spans="2:224" ht="12.75" hidden="1" customHeight="1" x14ac:dyDescent="0.25">
      <c r="B129" s="12" t="s">
        <v>608</v>
      </c>
      <c r="C129" s="422">
        <v>22.83</v>
      </c>
      <c r="D129" s="208" t="s">
        <v>578</v>
      </c>
      <c r="E129" s="39">
        <f>SnapshotTable[[#This Row],[Last Price]]*(1 -CrashDiscount)</f>
        <v>19.405499999999996</v>
      </c>
      <c r="F129" s="26" t="s">
        <v>892</v>
      </c>
      <c r="G129" s="26" t="s">
        <v>893</v>
      </c>
      <c r="H129" s="149"/>
      <c r="I129" s="194">
        <v>45142</v>
      </c>
      <c r="J129" s="195">
        <v>44778.291666666664</v>
      </c>
      <c r="K129" s="196"/>
      <c r="L129" s="326"/>
      <c r="M129" s="140"/>
      <c r="N129" s="140"/>
      <c r="O129" s="140"/>
      <c r="P129" s="22"/>
      <c r="Q129" s="25"/>
      <c r="R129" s="4" t="str">
        <f>IF(SnapshotTable[[#This Row],[Equity Basis Total]] &gt; 0, SnapshotTable[[#This Row],[Equity Basis Total]] / SnapshotTable[[#This Row],[Equity Shares]], "")</f>
        <v/>
      </c>
      <c r="S129" s="269">
        <f>SnapshotTable[[#This Row],[Last Price]] * SnapshotTable[[#This Row],[Equity Shares]]</f>
        <v>0</v>
      </c>
      <c r="T129" s="269">
        <f>SnapshotTable[[#This Row],[Equity Value]] - SnapshotTable[[#This Row],[Equity Basis Total]]</f>
        <v>0</v>
      </c>
      <c r="U129" s="270" t="str">
        <f>IF(SnapshotTable[[#This Row],[Equity Basis Total]] &gt; 0, SnapshotTable[[#This Row],[Equity G/L]] / SnapshotTable[[#This Row],[Equity Basis Total]], "")</f>
        <v/>
      </c>
      <c r="V129" s="268">
        <v>80</v>
      </c>
      <c r="W129" s="268">
        <v>45.7</v>
      </c>
      <c r="X129" s="4" t="str">
        <f>IF(AND(ISNUMBER(SnapshotTable[[#This Row],[Equity Basis Per Share]]),ISNUMBER(SnapshotTable[[#This Row],[Equity Target]])),SnapshotTable[[#This Row],[Equity Target]]-SnapshotTable[[#This Row],[Equity Basis Per Share]],"")</f>
        <v/>
      </c>
      <c r="Y129" s="4" t="str">
        <f>IF(AND(ISNUMBER(SnapshotTable[[#This Row],[Equity Basis Per Share]]),ISNUMBER(SnapshotTable[[#This Row],[Equity Stop Loss]])),SnapshotTable[[#This Row],[Equity Stop Loss]]-SnapshotTable[[#This Row],[Equity Basis Per Share]],"")</f>
        <v/>
      </c>
      <c r="Z129" s="275" t="str">
        <f>IFERROR( TEXT(SnapshotTable[[#This Row],[Equity Max Gain Per Share]] /ABS( SnapshotTable[[#This Row],[Equity Max Loss Per Share]]),"0.0 " ) &amp; " : 1", "")</f>
        <v/>
      </c>
      <c r="AA129" s="31" t="str">
        <f>IF(ISNUMBER(SnapshotTable[[#This Row],[Equity Max Gain Per Share]]),SnapshotTable[[#This Row],[Equity Max Gain Per Share]] * SnapshotTable[[#This Row],[Equity Shares]],"")</f>
        <v/>
      </c>
      <c r="AB129" s="31" t="str">
        <f>IF(ISNUMBER(SnapshotTable[[#This Row],[Equity Max Loss Per Share]]),SnapshotTable[[#This Row],[Equity Max Loss Per Share]] * SnapshotTable[[#This Row],[Equity Shares]],"")</f>
        <v/>
      </c>
      <c r="AC129" s="150"/>
      <c r="AD129" s="151"/>
      <c r="AE129" s="31">
        <f>(SnapshotTable[[#This Row],[Annual Dividend Per Share]] / 4) * SnapshotTable[[#This Row],[Equity Shares]]</f>
        <v>0</v>
      </c>
      <c r="AF129" s="31">
        <f>SnapshotTable[[#This Row],[Quarterly Div $]] * 4</f>
        <v>0</v>
      </c>
      <c r="AG129" s="7">
        <f>IF(SnapshotTable[[#This Row],[Annual Dividend Per Share]]&gt;0, SnapshotTable[[#This Row],[Annual Dividend Per Share]]  / SnapshotTable[[#This Row],[Last Price]], 0)</f>
        <v>0</v>
      </c>
      <c r="AH129" s="151"/>
      <c r="AI129" s="5">
        <f>SnapshotTable[[#This Row],[Equity Target]]</f>
        <v>80</v>
      </c>
      <c r="AJ129" s="138">
        <v>33.56</v>
      </c>
      <c r="AK129" s="152">
        <f>IF(ISNUMBER( SnapshotTable[[#This Row],[EBF Target]]),(SnapshotTable[[#This Row],[EBF Target]] - SnapshotTable[[#This Row],[Last Price]]) / SnapshotTable[[#This Row],[Last Price]], "")</f>
        <v>2.5041611914148052</v>
      </c>
      <c r="AL129" s="152" t="str">
        <f>IF(AND(SnapshotTable[[#This Row],[Equity Basis Total]] &gt; 0,ISNUMBER( SnapshotTable[[#This Row],[Long Term Target]])), SnapshotTable[[#This Row],[From Basis $]] / SnapshotTable[[#This Row],[Equity Basis Total]], "")</f>
        <v/>
      </c>
      <c r="AM129" s="9">
        <f>IF( AND(SnapshotTable[[#This Row],[Equity Shares]] &gt;0,ISNUMBER( SnapshotTable[[#This Row],[Long Term Target]])),(SnapshotTable[[#This Row],[Equity Shares]] * SnapshotTable[[#This Row],[Long Term Target]]) - SnapshotTable[[#This Row],[Equity Basis Total]],0)</f>
        <v>0</v>
      </c>
      <c r="AN129" s="9">
        <f>IF( AND(SnapshotTable[[#This Row],[Equity Shares]] &gt;0,ISNUMBER( SnapshotTable[[#This Row],[Long Term Target]])),(SnapshotTable[[#This Row],[Equity Shares]]*SnapshotTable[[#This Row],[Long Term Target]]) - SnapshotTable[[#This Row],[Equity Value]],0)</f>
        <v>0</v>
      </c>
      <c r="AO129" s="152">
        <f>IF(AND(ISNUMBER( SnapshotTable[[#This Row],[Long Term Target]]), ISNUMBER(SnapshotTable[[#This Row],[Last Price]])),(SnapshotTable[[#This Row],[Long Term Target]] - SnapshotTable[[#This Row],[Last Price]]) / SnapshotTable[[#This Row],[Last Price]], "")</f>
        <v>0.46999561979851096</v>
      </c>
      <c r="AP129" s="5">
        <v>25.5</v>
      </c>
      <c r="AQ129" s="38" t="s">
        <v>38</v>
      </c>
      <c r="AR129" s="5">
        <v>25.5</v>
      </c>
      <c r="AS129" s="38" t="s">
        <v>26</v>
      </c>
      <c r="AT129" s="146" t="s">
        <v>538</v>
      </c>
      <c r="AU129" s="187" t="str">
        <f>IF(OR(SnapshotTable[[#This Row],[LP No Fill]]="Y",SnapshotTable[[#This Row],[SP Is Filled]],SnapshotTable[[#This Row],[LC Not Filled]]="Y",SnapshotTable[[#This Row],[SC Is Filled]]),"Y","")</f>
        <v/>
      </c>
      <c r="AV129" s="219"/>
      <c r="AW129" s="225"/>
      <c r="AX129" s="220"/>
      <c r="AY129" s="219" t="str">
        <f>IF(SnapshotTable[[#This Row],[Implied Move]]&gt;0, SnapshotTable[[#This Row],[Last Price]]-SnapshotTable[[#This Row],[Implied Move]],"")</f>
        <v/>
      </c>
      <c r="AZ129" s="219" t="str">
        <f>IF(SnapshotTable[[#This Row],[Implied Move]]&gt;0, SnapshotTable[[#This Row],[Last Price]] + SnapshotTable[[#This Row],[Implied Move]],"")</f>
        <v/>
      </c>
      <c r="BA129" s="331">
        <v>22.7</v>
      </c>
      <c r="BB129" s="347"/>
      <c r="BC12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9" s="351"/>
      <c r="BE129" s="138"/>
      <c r="BF129" s="166"/>
      <c r="BG129" s="167"/>
      <c r="BH129" s="167"/>
      <c r="BI129" s="221"/>
      <c r="BJ129" s="153">
        <f>IF(SnapshotTable[[#This Row],[LP Qty]] &gt; 0, SnapshotTable[[#This Row],[LP Qty]] * SnapshotTable[[#This Row],[LP Book Price]] * 100,0)</f>
        <v>0</v>
      </c>
      <c r="BK129" s="136">
        <f>IF(SnapshotTable[[#This Row],[LP Premium]] &gt; 0, SnapshotTable[[#This Row],[LP Qty]] * SnapshotTable[[#This Row],[LP Strike Price]] * 100,0)</f>
        <v>0</v>
      </c>
      <c r="BL129" s="154"/>
      <c r="BM129" s="385" t="str">
        <f>IF(SnapshotTable[[#This Row],[LP Premium]] &gt; 0,SnapshotTable[[#This Row],[LP Exp Date]]-MAX(SnapshotTable[[#This Row],[LP Book Date]], SnapshotTable[[#This Row],[LP Fill Date]]),"")</f>
        <v/>
      </c>
      <c r="BN129" s="385" t="str">
        <f>IF(ISNUMBER( SnapshotTable[[#This Row],[LP Term]]), SnapshotTable[[#This Row],[LP Exp Date]] - MockToday,"")</f>
        <v/>
      </c>
      <c r="BO129" s="163" t="str">
        <f>IF(AND(SnapshotTable[[#This Row],[LP Exp Date]]&gt;0, SnapshotTable[[#This Row],[LP Strike Price]]&gt;0,SnapshotTable[[#This Row],[LP Qty]]&gt;0,SnapshotTable[[#This Row],[LP Book Date]]&gt;0,SnapshotTable[[#This Row],[LP Book Price]]&gt;0,SnapshotTable[[#This Row],[LP Fill Date]]=0),"Y","")</f>
        <v/>
      </c>
      <c r="BP129" s="31" t="str">
        <f>IF(AND(SnapshotTable[[#This Row],[LP No Fill]]&lt;&gt;"Y",SnapshotTable[[#This Row],[LP Contract Value]]&gt;0, SnapshotTable[[#This Row],[LP Qty]]&gt;0), SnapshotTable[[#This Row],[LP Contract Value]]*SnapshotTable[[#This Row],[LP Qty]]*100,"")</f>
        <v/>
      </c>
      <c r="BQ129" s="13"/>
      <c r="BR129" s="5" t="str">
        <f>IF(SnapshotTable[[#This Row],[SP Exp Date]]&lt;&gt;"",TRUNC(SnapshotTable[[#This Row],[Last Price]]),"")</f>
        <v/>
      </c>
      <c r="BS129" s="36"/>
      <c r="BT129" s="147"/>
      <c r="BU129" s="13"/>
      <c r="BV129" s="5"/>
      <c r="BW129" s="419" t="b">
        <f>AND(ISNUMBER(SnapshotTable[[#This Row],[SP Exp Date]]), ISNUMBER(SnapshotTable[[#This Row],[SP Strike Price]]), ISNUMBER(SnapshotTable[[#This Row],[SP Qty]]), ISNUMBER(SnapshotTable[[#This Row],[SP Book Date]]), ISNUMBER(SnapshotTable[[#This Row],[SP Book Price]]))</f>
        <v>0</v>
      </c>
      <c r="BX129" s="419" t="b">
        <f>AND(SnapshotTable[[#This Row],[SP Is Booked]], NOT(ISBLANK(SnapshotTable[[#This Row],[SP Fill Date]])))</f>
        <v>0</v>
      </c>
      <c r="BY129" s="33">
        <f>IF(SnapshotTable[[#This Row],[SP Is Booked]], SnapshotTable[[#This Row],[SP Qty]] * SnapshotTable[[#This Row],[SP Book Price]] * 100, 0)</f>
        <v>0</v>
      </c>
      <c r="BZ129" s="369"/>
      <c r="CA129" s="368">
        <f>SnapshotTable[[#This Row],[LP Qty]]</f>
        <v>0</v>
      </c>
      <c r="CB129" s="4" t="str">
        <f>IF(SnapshotTable[[#This Row],[SP Is Booked]], SnapshotTable[[#This Row],[SP Strike Price]] - SnapshotTable[[#This Row],[SP Book Price]], "")</f>
        <v/>
      </c>
      <c r="CC129" s="19" t="str">
        <f>IF(SnapshotTable[[#This Row],[SP Is Booked]],SnapshotTable[[#This Row],[SP Exp Date]]-MAX(SnapshotTable[[#This Row],[SP Book Date]], SnapshotTable[[#This Row],[SP Fill Date]]),"")</f>
        <v/>
      </c>
      <c r="CD129" s="7" t="str">
        <f>IF(SnapshotTable[[#This Row],[SP Is Booked]], SnapshotTable[[#This Row],[SP Book Price]]/SnapshotTable[[#This Row],[SP Strike Price]], "")</f>
        <v/>
      </c>
      <c r="CE129" s="7" t="str">
        <f>IF(ISNUMBER(SnapshotTable[[#This Row],[SP ROO Term]]),SnapshotTable[[#This Row],[SP ROO Term]]*(365/SnapshotTable[[#This Row],[SP Term]]),"")</f>
        <v/>
      </c>
      <c r="CF129" s="236">
        <f>SnapshotTable[[#This Row],[LP Strike Price]] * SnapshotTable[[#This Row],[LP Qty]] * 100</f>
        <v>0</v>
      </c>
      <c r="CG129" s="31" t="e">
        <f>IF(ISNUMBER(SnapshotTable[[#This Row],[SP Premium]]), (SnapshotTable[[#This Row],[SP Qty]] * SnapshotTable[[#This Row],[SP Strike Price]]* 100) - SnapshotTable[[#This Row],[LP Protection]], 0)</f>
        <v>#VALUE!</v>
      </c>
      <c r="CH129" s="7" t="str">
        <f>IF(ISNUMBER(SnapshotTable[[#This Row],[SP Break Even]]),-1 * (SnapshotTable[[#This Row],[SP Break Even]] - SnapshotTable[[#This Row],[Last Price]]) / SnapshotTable[[#This Row],[Last Price]], "")</f>
        <v/>
      </c>
      <c r="CI129" s="31">
        <f>IF(AND(ISNUMBER((SnapshotTable[[#This Row],[SP Potential Spend]])), SnapshotTable[[#This Row],[SP Strike Price]] &gt; SnapshotTable[[#This Row],[Last Price]], SnapshotTable[[#This Row],[SP Is Filled]]), SnapshotTable[[#This Row],[SP Potential Spend]] -  SnapshotTable[[#This Row],[LP Max Value]], 0)</f>
        <v>0</v>
      </c>
      <c r="CJ129" s="244"/>
      <c r="CK129" s="31" t="str">
        <f>IF(ISNUMBER(SnapshotTable[[#This Row],[SP Potential Spend]]),IF(ISNUMBER(SnapshotTable[[#This Row],[SP POW]]), SnapshotTable[[#This Row],[SP POW]] * SnapshotTable[[#This Row],[SP Potential Spend]], SnapshotTable[[#This Row],[SP Potential Spend]]), "")</f>
        <v/>
      </c>
      <c r="CL129" s="164" t="e">
        <f>IF(NOT(SnapshotTable[[#This Row],[SP Is Filled]]),(SnapshotTable[[#This Row],[SP Qty]] * SnapshotTable[[#This Row],[SP Strike Price]] * 100) - SnapshotTable[[#This Row],[LP Max Value]],"")</f>
        <v>#VALUE!</v>
      </c>
      <c r="CM129" s="31" t="str">
        <f>IF(SnapshotTable[[#This Row],[SP Actual Spend]]&lt;&gt;0, ((SnapshotTable[[#This Row],[SP Strike Price]]-SnapshotTable[[#This Row],[Last Price]]) *(SnapshotTable[[#This Row],[SP Qty]]*100) - SnapshotTable[[#This Row],[SP Premium]]) * - 1, "")</f>
        <v/>
      </c>
      <c r="CN129" s="227"/>
      <c r="CO129" s="369"/>
      <c r="CP129" s="4" t="str">
        <f>IF(SnapshotTable[[#This Row],[SP Is Filled]], btc_max_buyback_amount(SnapshotTable[[#This Row],[SP Fill Date]],SnapshotTable[[#This Row],[SP Exp Date]], SnapshotTable[[#This Row],[SP Book Price]]),"")</f>
        <v/>
      </c>
      <c r="CQ129" s="78"/>
      <c r="CR12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9" s="155" t="str">
        <f>IF(SnapshotTable[[#This Row],[SP Is Filled]], btc_next_cutoff_date(SnapshotTable[[#This Row],[SP Fill Date]],SnapshotTable[[#This Row],[SP Exp Date]]),"")</f>
        <v/>
      </c>
      <c r="CT129" s="235" t="str" cm="1">
        <f t="array" ref="CT129">IF(SnapshotTable[[#This Row],[SP Is Filled]], btc_should_buy_back(SnapshotTable[[#This Row],[SP Fill Date]], SnapshotTable[[#This Row],[SP Exp Date]], SnapshotTable[[#This Row],[SP Book Price]], SnapshotTable[[#This Row],[SP Current Ask]], MockToday, SnapshotTable[[#This Row],[SP Buyback Override]]),"")</f>
        <v/>
      </c>
      <c r="CU129" s="156"/>
      <c r="CV129" s="235"/>
      <c r="CW129" s="378" t="str">
        <f>IF(ISNUMBER( SnapshotTable[[#This Row],[SP Term]]), SnapshotTable[[#This Row],[SP Exp Date]] - MockToday,"")</f>
        <v/>
      </c>
      <c r="CX129" s="31" t="str">
        <f>IF(SnapshotTable[[#This Row],[SP Is Filled]],SnapshotTable[[#This Row],[SP Buyback Price to Use]] * 100 * SnapshotTable[[#This Row],[SP Qty]], "")</f>
        <v/>
      </c>
      <c r="CY129" s="4" t="str">
        <f>IF(ISNUMBER(SnapshotTable[[#This Row],[SP Strike Price]]), SnapshotTable[[#This Row],[SP Strike Price]] * (1 - SP_MaxLoss_StrikePct), "")</f>
        <v/>
      </c>
      <c r="CZ129" s="31" t="str">
        <f>IF(ISNUMBER(SnapshotTable[[#This Row],[SP Strike  Stop Per Share]]),SnapshotTable[[#This Row],[SP Premium]] - ((SnapshotTable[[#This Row],[SP Strike Price]]-SnapshotTable[[#This Row],[SP Strike  Stop Per Share]]) *(SnapshotTable[[#This Row],[SP Qty]] * 100)),"")</f>
        <v/>
      </c>
      <c r="DA129" s="4" t="str">
        <f>IF(AND(ISNUMBER(SnapshotTable[[#This Row],[SP Premium]]),SnapshotTable[[#This Row],[SP Premium]]&gt;0), SnapshotTable[[#This Row],[SP Book Price]] * (1 + SP_MaxLoss_OptionPct), "")</f>
        <v/>
      </c>
      <c r="DB129" s="31" t="str">
        <f>IF(ISNUMBER(SnapshotTable[[#This Row],[SP Option  Stop Contract]]),(SnapshotTable[[#This Row],[SP Option  Stop Contract]] *(SnapshotTable[[#This Row],[SP Qty]] * 100) - SnapshotTable[[#This Row],[SP Premium]]),"")</f>
        <v/>
      </c>
      <c r="DC129" s="4"/>
      <c r="DD129" s="4"/>
      <c r="DE129" s="4" t="str">
        <f>IF(AND(SnapshotTable[[#This Row],[SP Qty]]&gt;0, SnapshotTable[[#This Row],[SP Stop To Use]]&gt;0),SnapshotTable[[#This Row],[SP Premium]] - ( SnapshotTable[[#This Row],[SP Qty]] * SnapshotTable[[#This Row],[SP Stop To Use]] * 100), "")</f>
        <v/>
      </c>
      <c r="DF129" s="31" t="str">
        <f>IF(AND(SnapshotTable[[#This Row],[SP Qty]]&gt;0,SnapshotTable[[#This Row],[SP Current Ask]]&gt;0), SnapshotTable[[#This Row],[SP Qty]] * SnapshotTable[[#This Row],[SP Current Ask]] * -100, "")</f>
        <v/>
      </c>
      <c r="DG129" s="31" t="str">
        <f>IF(ISNUMBER((SnapshotTable[[#This Row],[SP Total Value]])), SnapshotTable[[#This Row],[SP Premium]] + SnapshotTable[[#This Row],[SP Total Value]], "")</f>
        <v/>
      </c>
      <c r="DH129" s="294" t="str">
        <f>IF(ISNUMBER((SnapshotTable[[#This Row],[SP Total Value]])), SnapshotTable[[#This Row],[SP Gain Loss]] / SnapshotTable[[#This Row],[SP Premium]], "")</f>
        <v/>
      </c>
      <c r="DI129" s="406"/>
      <c r="DJ129" s="138"/>
      <c r="DK129" s="148"/>
      <c r="DL129" s="147"/>
      <c r="DM129" s="147"/>
      <c r="DO129" s="31">
        <f>IF(SnapshotTable[[#This Row],[LC Symbol Count]]=1, SnapshotTable[[#This Row],[LC Qty]] * SnapshotTable[[#This Row],[LC Book Price]] * 100, 0)</f>
        <v>0</v>
      </c>
      <c r="DP129" s="163" t="str">
        <f>IF(AND(SnapshotTable[[#This Row],[LC Exp Date]]&gt;0, SnapshotTable[[#This Row],[LC Strike Price]]&gt;0,SnapshotTable[[#This Row],[LC Qty]]&gt;0,SnapshotTable[[#This Row],[LC Book Date]]&gt;0,SnapshotTable[[#This Row],[LC Book Price]]&gt;0,SnapshotTable[[#This Row],[LC Fill Date]]=0),"Y","")</f>
        <v/>
      </c>
      <c r="DQ129" s="386" t="str">
        <f>IF(SnapshotTable[[#This Row],[LC Premium]] &gt; 0,SnapshotTable[[#This Row],[LC Exp Date]]-MAX(SnapshotTable[[#This Row],[LC Book Date]], SnapshotTable[[#This Row],[LC Fill Date]]),"")</f>
        <v/>
      </c>
      <c r="DR129" s="386" t="str">
        <f>IF(ISNUMBER(SnapshotTable[[#This Row],[LC Term]]), SnapshotTable[[#This Row],[LC Exp Date]] - MockToday, "")</f>
        <v/>
      </c>
      <c r="DS129" s="234" t="str">
        <f>IF(SnapshotTable[[#This Row],[LC Premium]]&gt;0,SnapshotTable[[#This Row],[LC Strike Price]] + SnapshotTable[[#This Row],[LC Book Price]],"")</f>
        <v/>
      </c>
      <c r="DU129" s="9" t="str">
        <f>IF(AND(SnapshotTable[[#This Row],[LC Symbol Count]]&gt;0, SnapshotTable[[#This Row],[LC Contract Value]]&gt;0), SnapshotTable[[#This Row],[LC Contract Value]] * SnapshotTable[[#This Row],[LC Qty]] * 100, "")</f>
        <v/>
      </c>
      <c r="DV129" s="9" t="str">
        <f>IF(AND(ISNUMBER(SnapshotTable[[#This Row],[LC Total Value]]), SnapshotTable[[#This Row],[LC Not Filled]]&lt;&gt;"Y"), SnapshotTable[[#This Row],[LC Total Value]]-SnapshotTable[[#This Row],[LC Premium]],"")</f>
        <v/>
      </c>
      <c r="DW129" s="240" t="str">
        <f>IF(ISNUMBER(SnapshotTable[[#This Row],[LC Actual Gain Loss]]), SnapshotTable[[#This Row],[LC Actual Gain Loss]] / SnapshotTable[[#This Row],[LC Premium]],"")</f>
        <v/>
      </c>
      <c r="DX129" s="284" t="str">
        <f>IF(ISNUMBER(SnapshotTable[[#This Row],[LC Book Price]]),SnapshotTable[[#This Row],[LC Book Price]] * 1.5,"")</f>
        <v/>
      </c>
      <c r="DY129" s="265" t="str">
        <f>IF(SnapshotTable[[#This Row],[LC Premium]]&gt;0, SnapshotTable[[#This Row],[LC Next Target]] * SnapshotTable[[#This Row],[LC Qty]] * 100,"")</f>
        <v/>
      </c>
      <c r="DZ129" s="265" t="str">
        <f>IF(ISNUMBER(SnapshotTable[[#This Row],[LC Target Gross]]), SnapshotTable[[#This Row],[LC Target Gross]] - SnapshotTable[[#This Row],[LC Premium]], "")</f>
        <v/>
      </c>
      <c r="EA129" s="305" t="str">
        <f>IF(ISNUMBER(SnapshotTable[[#This Row],[LC Target Gain Loss]]), SnapshotTable[[#This Row],[LC Target Gain Loss]]/SnapshotTable[[#This Row],[LC Premium]], "")</f>
        <v/>
      </c>
      <c r="EB129" s="262"/>
      <c r="EC129" s="283" t="str">
        <f>IF(SnapshotTable[[#This Row],[LC Premium]]&gt;0, SnapshotTable[[#This Row],[LC Book Price]] * (1 - LC_StopLoss_Pct),"")</f>
        <v/>
      </c>
      <c r="ED129" s="284"/>
      <c r="EE129" s="283" t="str">
        <f>IF(ISNUMBER(SnapshotTable[[#This Row],[LC Contract Value]]),IF(ISNUMBER(SnapshotTable[[#This Row],[LC Stop Loss Override]]), SnapshotTable[[#This Row],[LC Stop Loss Override]],SnapshotTable[[#This Row],[LC Stop Loss Calc Target]]),"")</f>
        <v/>
      </c>
      <c r="EF129" s="31" t="str">
        <f>IF(ISNUMBER(SnapshotTable[[#This Row],[LC Stop  To Use]]), (SnapshotTable[[#This Row],[LC Stop  To Use]] * SnapshotTable[[#This Row],[LC Qty]] * 100),"")</f>
        <v/>
      </c>
      <c r="EG129" s="9" t="str">
        <f>IF(ISNUMBER(SnapshotTable[[#This Row],[LC Total Value]]),SnapshotTable[[#This Row],[LC Stop Loss Amount]] - SnapshotTable[[#This Row],[LC Premium]],"")</f>
        <v/>
      </c>
      <c r="EH129" s="9">
        <f>IF(ISNUMBER(SnapshotTable[[#This Row],[LC Premium]]), SnapshotTable[[#This Row],[LC Qty]] * 100 * SnapshotTable[[#This Row],[LC Strike Price]], "")</f>
        <v>0</v>
      </c>
      <c r="EI129" s="240" t="str">
        <f>IF(AND(ISNUMBER(SnapshotTable[[#This Row],[LC Total Value]]),SnapshotTable[[#This Row],[LC Total Value]]&gt;0),SnapshotTable[[#This Row],[LC Stop Gain Loss]]  / SnapshotTable[[#This Row],[LC Premium]],"")</f>
        <v/>
      </c>
      <c r="EJ129" s="35">
        <f>IF(ISNUMBER(SnapshotTable[[#This Row],[Equity Shares]]),TRUNC(SnapshotTable[[#This Row],[Equity Shares]] / 100),0) + SnapshotTable[[#This Row],[LC Qty]]</f>
        <v>0</v>
      </c>
      <c r="EK129" s="147"/>
      <c r="EL129" s="138" t="str">
        <f>IF(SnapshotTable[[#This Row],[SC Exp Date]]&lt;&gt;"",TRUNC(SnapshotTable[[#This Row],[Last Price]]),"")</f>
        <v/>
      </c>
      <c r="EM129" s="148"/>
      <c r="EN129" s="147"/>
      <c r="EO129" s="147"/>
      <c r="EP129" s="138"/>
      <c r="EQ129" s="419" t="b">
        <f>AND(ISNUMBER(SnapshotTable[[#This Row],[SC Exp Date]]), ISNUMBER(SnapshotTable[[#This Row],[SC Strike Price]]), ISNUMBER(SnapshotTable[[#This Row],[SC Qty]]), ISNUMBER(SnapshotTable[[#This Row],[SC Book Date]]), ISNUMBER(SnapshotTable[[#This Row],[SC Book Price]]))</f>
        <v>0</v>
      </c>
      <c r="ER129" s="419" t="b">
        <f>AND(SnapshotTable[[#This Row],[SC Is Booked]], NOT(ISBLANK(SnapshotTable[[#This Row],[SC Fill Date]])))</f>
        <v>0</v>
      </c>
      <c r="ES129" s="370"/>
      <c r="ET129" s="34" t="str">
        <f>IF(AND(ISNUMBER(SnapshotTable[[#This Row],[SC Exp Date]]), ISNUMBER(SnapshotTable[[#This Row],[SC Book Date]])), SnapshotTable[[#This Row],[SC Exp Date]] - MAX(SnapshotTable[[#This Row],[SC Book Date]], SnapshotTable[[#This Row],[SC Fill Date]]) + 1, "")</f>
        <v/>
      </c>
      <c r="EU129" s="34" t="str">
        <f>IF(ISNUMBER(SnapshotTable[[#This Row],[SC Term]]), SnapshotTable[[#This Row],[SC Exp Date]]- MockToday, "")</f>
        <v/>
      </c>
      <c r="EV129" s="31">
        <f>IF(SnapshotTable[[#This Row],[SC Is Booked]], SnapshotTable[[#This Row],[SC Qty]] * SnapshotTable[[#This Row],[SC Book Price]] * 100, 0)</f>
        <v>0</v>
      </c>
      <c r="EW129" s="4" t="str">
        <f>IF(AND(ISNUMBER(SnapshotTable[[#This Row],[Last Price]]), ISNUMBER( SnapshotTable[[#This Row],[SC Book Price]])), SnapshotTable[[#This Row],[Last Price]] - SnapshotTable[[#This Row],[SC Book Price]],"")</f>
        <v/>
      </c>
      <c r="EX129" s="234" t="str">
        <f>IF(SnapshotTable[[#This Row],[SC Is Booked]],IF(SnapshotTable[[#This Row],[SC Intrinsic Value]] &gt; 0, SnapshotTable[[#This Row],[SC Strike Price]], SnapshotTable[[#This Row],[Last Price]]), "")</f>
        <v/>
      </c>
      <c r="EY129" s="4">
        <f>IF(SnapshotTable[[#This Row],[SC Is Booked]], (MinimumPremiumRequired * SnapshotTable[[#This Row],[SC Basis]] * SnapshotTable[[#This Row],[SC Term]]), 0)</f>
        <v>0</v>
      </c>
      <c r="EZ129" s="283"/>
      <c r="FA129" s="218"/>
      <c r="FB129" s="370"/>
      <c r="FC129" s="4">
        <f>IF(SnapshotTable[[#This Row],[SC Is Filled]], btc_max_buyback_amount(SnapshotTable[[#This Row],[SC Fill Date]],SnapshotTable[[#This Row],[SC Exp Date]], SnapshotTable[[#This Row],[SC Book Price]]),0)</f>
        <v>0</v>
      </c>
      <c r="FD129" s="5"/>
      <c r="FE129" s="144" t="str">
        <f>IF(SnapshotTable[[#This Row],[SC Is Filled]], btc_next_cutoff_date(SnapshotTable[[#This Row],[SC Fill Date]],SnapshotTable[[#This Row],[SC Exp Date]]),"")</f>
        <v/>
      </c>
      <c r="FF129" s="4" t="str" cm="1">
        <f t="array" ref="FF129">IF(SnapshotTable[[#This Row],[SC Is Filled]], btc_should_buy_back(SnapshotTable[[#This Row],[SC Fill Date]], SnapshotTable[[#This Row],[SC Exp Date]], SnapshotTable[[#This Row],[SC Book Price]], SnapshotTable[[#This Row],[SC Current Ask]], MockToday, SnapshotTable[[#This Row],[SC Buyback Override]]),"")</f>
        <v/>
      </c>
      <c r="FG129" s="4">
        <f>IF(SnapshotTable[[#This Row],[SC Is Filled]], MAX(0,SnapshotTable[[#This Row],[Last Price]]  - SnapshotTable[[#This Row],[SC Strike Price]]), 0)</f>
        <v>0</v>
      </c>
      <c r="FH129" s="382">
        <f>IF(SnapshotTable[[#This Row],[SC Is Filled]], IF(ISNUMBER(SnapshotTable[[#This Row],[SC Current Ask]]), SnapshotTable[[#This Row],[SC Current Ask]], SnapshotTable[[#This Row],[SC Book Price]]) - SnapshotTable[[#This Row],[SC Intrinsic Value]], 0)</f>
        <v>0</v>
      </c>
      <c r="FI129" s="143"/>
      <c r="FJ129" s="32" t="str">
        <f>IF(SnapshotTable[[#This Row],[SC Is Filled]],100 * SnapshotTable[[#This Row],[SC Qty]] * IF(ISNUMBER(SnapshotTable[[#This Row],[SC Buyback Override]]), SnapshotTable[[#This Row],[SC Buyback Override]], SnapshotTable[[#This Row],[SC Current Ask]]), "")</f>
        <v/>
      </c>
      <c r="FK129" s="250" t="str">
        <f>IF(SnapshotTable[[#This Row],[SC Time Val]]&gt;0, SnapshotTable[[#This Row],[SC Time Val]] / SnapshotTable[[#This Row],[Last Price]],"")</f>
        <v/>
      </c>
      <c r="FL129" s="302" t="str">
        <f>IF(SnapshotTable[[#This Row],[SC Is Booked]], ((SnapshotTable[[#This Row],[Last Price]] -SnapshotTable[[#This Row],[SC Strike Price]]) / SnapshotTable[[#This Row],[Last Price]]) * -1, "")</f>
        <v/>
      </c>
      <c r="FM129" s="157" t="str">
        <f>IF(SnapshotTable[[#This Row],[SC Is Booked]],  (SnapshotTable[[#This Row],[SC Qty]] * 100 * SnapshotTable[[#This Row],[SC Strike Price]]) - SnapshotTable[[#This Row],[SC Current Ask]], "")</f>
        <v/>
      </c>
      <c r="FN129"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9" s="157" t="str">
        <f>IF(AND(ISNUMBER(SnapshotTable[[#This Row],[SC Exercise Gross]]), ISNUMBER(SnapshotTable[[#This Row],[Equity Basis Per Share]] )), SnapshotTable[[#This Row],[SC Exercise Gross]] - SnapshotTable[[#This Row],[Equity Basis Total]] +  SnapshotTable[[#This Row],[SC Premium]], "")</f>
        <v/>
      </c>
      <c r="FP129" s="5" t="str">
        <f>IF(ISNUMBER(SnapshotTable[[#This Row],[SC Exercise Gross]]), (SnapshotTable[[#This Row],[SC Exercise Gross]]) / (SnapshotTable[[#This Row],[SC Qty]] * 100), "")</f>
        <v/>
      </c>
      <c r="FQ129" s="27" t="str">
        <f>IF(SnapshotTable[[#This Row],[SC Is Booked]],SnapshotTable[[#This Row],[SC Time Val]] /SnapshotTable[[#This Row],[SC Basis]], "")</f>
        <v/>
      </c>
      <c r="FR129" s="27" t="str" cm="1">
        <f t="array" ref="FR129">IF(AND(ISNUMBER(SnapshotTable[[#This Row],[SC Term]]),ISNUMBER(SnapshotTable[[#This Row],[SC Simple ROO]])), EllmanAnnualize(SnapshotTable[[#This Row],[SC DTE]], SnapshotTable[[#This Row],[SC Simple ROO]] ),"")</f>
        <v/>
      </c>
      <c r="FS129" s="4" t="e">
        <f>IF(SnapshotTable[[#This Row],[SC Strike Price]] &gt; SnapshotTable[[#This Row],[Last Price]], SnapshotTable[[#This Row],[SC Strike Price]] - SnapshotTable[[#This Row],[Last Price]],0)</f>
        <v>#VALUE!</v>
      </c>
      <c r="FT129" s="27" t="e">
        <f>IF(AND(ISNUMBER(SnapshotTable[[#This Row],[SC Upside Potential]]), SnapshotTable[[#This Row],[SC Upside Potential]] &gt; 0),(SnapshotTable[[#This Row],[SC Upside Potential]]/ SnapshotTable[[#This Row],[ACB]]),"")</f>
        <v>#VALUE!</v>
      </c>
      <c r="FU129" s="333" t="str">
        <f>IF(SnapshotTable[[#This Row],[SC Intrinsic Value]] &gt; 0,SnapshotTable[[#This Row],[SC Intrinsic Value]],"")</f>
        <v/>
      </c>
      <c r="FV129" s="27" t="str">
        <f>IF(AND( ISNUMBER( SnapshotTable[[#This Row],[ACB]]),ISNUMBER(SnapshotTable[[#This Row],[SC Downside Protect]])),SnapshotTable[[#This Row],[SC Downside Protect]] / SnapshotTable[[#This Row],[ACB]],"")</f>
        <v/>
      </c>
      <c r="FW129" s="236" t="str">
        <f>IF(AND(ISNUMBER(SnapshotTable[[#This Row],[SC Simple ROO]]),SnapshotTable[[#This Row],[SC Simple ROO]] &gt; 0), SnapshotTable[[#This Row],[SC Premium]] + (SnapshotTable[[#This Row],[SC Qty]] * SnapshotTable[[#This Row],[SC Upside Potential]]), "")</f>
        <v/>
      </c>
      <c r="FX129" s="302" t="str" cm="1">
        <f t="array" ref="FX129">IF(ISNUMBER(SnapshotTable[[#This Row],[SC Max Dollars]]), annualize(SnapshotTable[[#This Row],[SC Term]],(SnapshotTable[[#This Row],[SC Max Dollars]]/SnapshotTable[[#This Row],[SC Basis]])),"")</f>
        <v/>
      </c>
      <c r="FY129" s="236" t="str">
        <f>IF(AND(SnapshotTable[[#This Row],[SC Qty]]&gt;0,SnapshotTable[[#This Row],[SC Current Ask]]&gt;0), SnapshotTable[[#This Row],[SC Qty]] * SnapshotTable[[#This Row],[SC Current Ask]] * -100, "")</f>
        <v/>
      </c>
      <c r="FZ129" s="31" t="str">
        <f>IF(ISNUMBER((SnapshotTable[[#This Row],[SC Current Value]])), SnapshotTable[[#This Row],[SC Premium]] + SnapshotTable[[#This Row],[SC Current Value]], "")</f>
        <v/>
      </c>
      <c r="GA129" s="294" t="str">
        <f>IFERROR( IF(ISNUMBER((SnapshotTable[[#This Row],[SC Current Value]])), SnapshotTable[[#This Row],[SC Gain Loss]] / SnapshotTable[[#This Row],[SC Premium]], ""), "")</f>
        <v/>
      </c>
      <c r="GB129" s="42">
        <f>SnapshotTable[[#This Row],[Equity Shares]] * SaleSharesToConsiderPercentage</f>
        <v>0</v>
      </c>
      <c r="GC129" s="40">
        <f>SnapshotTable[[#This Row],[Long Term Target]] * SellingPriceToConsiderBasedOnTargetPercentage</f>
        <v>31.882000000000001</v>
      </c>
      <c r="GD129" s="40">
        <f>SnapshotTable[[#This Row],[Last Price]] * (1+ SellingPriceToConsiderBasedOnTargetPercentage)</f>
        <v>44.518499999999996</v>
      </c>
      <c r="GE129" s="41"/>
      <c r="GF129" s="40"/>
      <c r="GG129" s="31">
        <f>SnapshotTable[[#This Row],[Booked Sale Shares]] * SnapshotTable[[#This Row],[Booked Sale Price]]</f>
        <v>0</v>
      </c>
      <c r="GH129" s="31" t="str">
        <f>IF(SnapshotTable[[#This Row],[Equity Basis Total]] &gt; 0, SnapshotTable[[#This Row],[Equity Basis Per Share]] * SnapshotTable[[#This Row],[Booked Sale Shares]], "")</f>
        <v/>
      </c>
      <c r="GI129" s="31">
        <f>IF(SnapshotTable[[#This Row],[Sale Proceeds]]&gt;0, SnapshotTable[[#This Row],[Sale Proceeds]] - SnapshotTable[[#This Row],[Sale Basis]], 0)</f>
        <v>0</v>
      </c>
      <c r="GJ129" s="158" t="str">
        <f>IF(SnapshotTable[[#This Row],[Sale G/L]]&gt;0, SnapshotTable[[#This Row],[Sale G/L]] / SnapshotTable[[#This Row],[Sale Basis]], IF(ISNUMBER(SnapshotTable[[#This Row],[SC Exercise P&amp;L (TAX)]]), SnapshotTable[[#This Row],[SC Exercise P&amp;L (TAX)]] / SnapshotTable[[#This Row],[SC Basis]], ""))</f>
        <v/>
      </c>
      <c r="GK129" s="158" t="s">
        <v>1116</v>
      </c>
      <c r="GL129" s="159" t="str">
        <f>IF(AND(SnapshotTable[[#This Row],[LP Exp Date]]&gt;0,SnapshotTable[[#This Row],[LP Strike Price]]&gt;0), [1]!ToOptionSymbol(SnapshotTable[[#This Row],[Symbol]], SnapshotTable[[#This Row],[LP Strike Price]],SnapshotTable[[#This Row],[LP Exp Date]],1), "")</f>
        <v/>
      </c>
      <c r="GM129" s="30" t="str">
        <f>IF(LEN(SnapshotTable[[#This Row],[LP Symbol]])&gt;0, 1, "")</f>
        <v/>
      </c>
      <c r="GN129" s="43" t="str">
        <f>IF(AND(SnapshotTable[[#This Row],[SP Exp Date]]&gt;0,SnapshotTable[[#This Row],[SP Strike Price]]&gt;0), [1]!ToOptionSymbol(SnapshotTable[[#This Row],[Symbol]], SnapshotTable[[#This Row],[SP Strike Price]],SnapshotTable[[#This Row],[SP Exp Date]],1), "")</f>
        <v/>
      </c>
      <c r="GO129" s="30" t="str">
        <f>IF(LEN(SnapshotTable[[#This Row],[SP Symbol]])&gt;0, 1, "")</f>
        <v/>
      </c>
      <c r="GP129" s="159" t="str">
        <f>IF(AND(SnapshotTable[[#This Row],[LC Exp Date]]&gt;0,SnapshotTable[[#This Row],[LC Strike Price]]&gt;0), [1]!ToOptionSymbol(SnapshotTable[[#This Row],[Symbol]], SnapshotTable[[#This Row],[LC Strike Price]],SnapshotTable[[#This Row],[LC Exp Date]],0), "")</f>
        <v/>
      </c>
      <c r="GQ129" s="160" t="str">
        <f>IF(LEN(SnapshotTable[[#This Row],[LC Symbol]])&gt;0, 1, "")</f>
        <v/>
      </c>
      <c r="GR129" s="159" t="str">
        <f>IF(AND(SnapshotTable[[#This Row],[SC Exp Date]]&gt;0,SnapshotTable[[#This Row],[SC Strike Price]]&gt;0), [1]!ToOptionSymbol(SnapshotTable[[#This Row],[Symbol]], SnapshotTable[[#This Row],[SC Strike Price]],SnapshotTable[[#This Row],[SC Exp Date]],0), "")</f>
        <v/>
      </c>
      <c r="GS129" s="160" t="str">
        <f>IF(LEN(SnapshotTable[[#This Row],[SC Symbol]])&gt;0, 1, "")</f>
        <v/>
      </c>
      <c r="GT129" s="161" t="str">
        <f>IF(COUNT(SnapshotTable[[#This Row],[LP Symbol Count]],SnapshotTable[[#This Row],[SP Symbol Count]],SnapshotTable[[#This Row],[LC Symbol Count]],SnapshotTable[[#This Row],[SC Symbol Count]])&gt;0, "Y", "")</f>
        <v/>
      </c>
      <c r="GU12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9" s="231" t="e">
        <f>MAX(SnapshotTable[[#This Row],[Equity Basis Total]],SnapshotTable[[#This Row],[Equity Value]]) + (SnapshotTable[[#This Row],[SP Potential Spend]]- SnapshotTable[[#This Row],[SP Premium]] + SnapshotTable[[#This Row],[LP Premium]])+ (SnapshotTable[[#This Row],[LC Premium]] - SnapshotTable[[#This Row],[SC Premium]])</f>
        <v>#VALUE!</v>
      </c>
      <c r="GW129" s="139" t="e">
        <f>IF(AND(SnapshotTable[[#This Row],[Exposure]] &lt;&gt; 0),SnapshotTable[[#This Row],[Exposure]] / SnapshotTable[[#Totals],[Exposure]], "")</f>
        <v>#VALUE!</v>
      </c>
      <c r="HE129" s="268"/>
      <c r="HF129" s="268"/>
      <c r="HK129" s="1"/>
      <c r="HL129" s="1"/>
      <c r="HM129" s="1"/>
      <c r="HN129" s="1"/>
      <c r="HO129" s="1"/>
      <c r="HP129" s="1"/>
    </row>
    <row r="130" spans="2:224" s="47" customFormat="1" ht="12.75" hidden="1" customHeight="1" x14ac:dyDescent="0.25">
      <c r="B130" s="12" t="s">
        <v>44</v>
      </c>
      <c r="C130" s="422">
        <v>210.13</v>
      </c>
      <c r="D130" s="208"/>
      <c r="E130" s="39">
        <f>SnapshotTable[[#This Row],[Last Price]]*(1 -CrashDiscount)</f>
        <v>178.6105</v>
      </c>
      <c r="F130" s="26" t="s">
        <v>43</v>
      </c>
      <c r="G130" s="26" t="s">
        <v>14</v>
      </c>
      <c r="H130" s="149"/>
      <c r="I130" s="194">
        <v>44797.3125</v>
      </c>
      <c r="J130" s="195">
        <v>44797.3125</v>
      </c>
      <c r="K130" s="196"/>
      <c r="L130" s="326"/>
      <c r="M130" s="140"/>
      <c r="N130" s="140"/>
      <c r="O130" s="140"/>
      <c r="P130" s="22"/>
      <c r="Q130" s="25"/>
      <c r="R130" s="4" t="str">
        <f>IF(SnapshotTable[[#This Row],[Equity Basis Total]] &gt; 0, SnapshotTable[[#This Row],[Equity Basis Total]] / SnapshotTable[[#This Row],[Equity Shares]], "")</f>
        <v/>
      </c>
      <c r="S130" s="269">
        <f>SnapshotTable[[#This Row],[Last Price]] * SnapshotTable[[#This Row],[Equity Shares]]</f>
        <v>0</v>
      </c>
      <c r="T130" s="269">
        <f>SnapshotTable[[#This Row],[Equity Value]] - SnapshotTable[[#This Row],[Equity Basis Total]]</f>
        <v>0</v>
      </c>
      <c r="U130" s="270" t="str">
        <f>IF(SnapshotTable[[#This Row],[Equity Basis Total]] &gt; 0, SnapshotTable[[#This Row],[Equity G/L]] / SnapshotTable[[#This Row],[Equity Basis Total]], "")</f>
        <v/>
      </c>
      <c r="V130" s="268"/>
      <c r="W130" s="268"/>
      <c r="X130" s="4" t="str">
        <f>IF(AND(ISNUMBER(SnapshotTable[[#This Row],[Equity Basis Per Share]]),ISNUMBER(SnapshotTable[[#This Row],[Equity Target]])),SnapshotTable[[#This Row],[Equity Target]]-SnapshotTable[[#This Row],[Equity Basis Per Share]],"")</f>
        <v/>
      </c>
      <c r="Y130" s="4" t="str">
        <f>IF(AND(ISNUMBER(SnapshotTable[[#This Row],[Equity Basis Per Share]]),ISNUMBER(SnapshotTable[[#This Row],[Equity Stop Loss]])),SnapshotTable[[#This Row],[Equity Stop Loss]]-SnapshotTable[[#This Row],[Equity Basis Per Share]],"")</f>
        <v/>
      </c>
      <c r="Z130" s="275" t="str">
        <f>IFERROR( TEXT(SnapshotTable[[#This Row],[Equity Max Gain Per Share]] /ABS( SnapshotTable[[#This Row],[Equity Max Loss Per Share]]),"0.0 " ) &amp; " : 1", "")</f>
        <v/>
      </c>
      <c r="AA130" s="31" t="str">
        <f>IF(ISNUMBER(SnapshotTable[[#This Row],[Equity Max Gain Per Share]]),SnapshotTable[[#This Row],[Equity Max Gain Per Share]] * SnapshotTable[[#This Row],[Equity Shares]],"")</f>
        <v/>
      </c>
      <c r="AB130" s="31" t="str">
        <f>IF(ISNUMBER(SnapshotTable[[#This Row],[Equity Max Loss Per Share]]),SnapshotTable[[#This Row],[Equity Max Loss Per Share]] * SnapshotTable[[#This Row],[Equity Shares]],"")</f>
        <v/>
      </c>
      <c r="AC130" s="150"/>
      <c r="AD130" s="151"/>
      <c r="AE130" s="31">
        <f>(SnapshotTable[[#This Row],[Annual Dividend Per Share]] / 4) * SnapshotTable[[#This Row],[Equity Shares]]</f>
        <v>0</v>
      </c>
      <c r="AF130" s="31">
        <f>SnapshotTable[[#This Row],[Quarterly Div $]] * 4</f>
        <v>0</v>
      </c>
      <c r="AG130" s="7">
        <f>IF(SnapshotTable[[#This Row],[Annual Dividend Per Share]]&gt;0, SnapshotTable[[#This Row],[Annual Dividend Per Share]]  / SnapshotTable[[#This Row],[Last Price]], 0)</f>
        <v>0</v>
      </c>
      <c r="AH130" s="151"/>
      <c r="AI130" s="5"/>
      <c r="AJ130" s="138">
        <v>39.17</v>
      </c>
      <c r="AK130" s="152" t="str">
        <f>IF(ISNUMBER( SnapshotTable[[#This Row],[EBF Target]]),(SnapshotTable[[#This Row],[EBF Target]] - SnapshotTable[[#This Row],[Last Price]]) / SnapshotTable[[#This Row],[Last Price]], "")</f>
        <v/>
      </c>
      <c r="AL130" s="152" t="str">
        <f>IF(AND(SnapshotTable[[#This Row],[Equity Basis Total]] &gt; 0,ISNUMBER( SnapshotTable[[#This Row],[Long Term Target]])), SnapshotTable[[#This Row],[From Basis $]] / SnapshotTable[[#This Row],[Equity Basis Total]], "")</f>
        <v/>
      </c>
      <c r="AM130" s="9">
        <f>IF( AND(SnapshotTable[[#This Row],[Equity Shares]] &gt;0,ISNUMBER( SnapshotTable[[#This Row],[Long Term Target]])),(SnapshotTable[[#This Row],[Equity Shares]] * SnapshotTable[[#This Row],[Long Term Target]]) - SnapshotTable[[#This Row],[Equity Basis Total]],0)</f>
        <v>0</v>
      </c>
      <c r="AN130" s="9">
        <f>IF( AND(SnapshotTable[[#This Row],[Equity Shares]] &gt;0,ISNUMBER( SnapshotTable[[#This Row],[Long Term Target]])),(SnapshotTable[[#This Row],[Equity Shares]]*SnapshotTable[[#This Row],[Long Term Target]]) - SnapshotTable[[#This Row],[Equity Value]],0)</f>
        <v>0</v>
      </c>
      <c r="AO130" s="152">
        <f>IF(AND(ISNUMBER( SnapshotTable[[#This Row],[Long Term Target]]), ISNUMBER(SnapshotTable[[#This Row],[Last Price]])),(SnapshotTable[[#This Row],[Long Term Target]] - SnapshotTable[[#This Row],[Last Price]]) / SnapshotTable[[#This Row],[Last Price]], "")</f>
        <v>-0.81359158616094795</v>
      </c>
      <c r="AP130" s="5"/>
      <c r="AQ130" s="38"/>
      <c r="AR130" s="5">
        <v>57</v>
      </c>
      <c r="AS130" s="38"/>
      <c r="AT130" s="146"/>
      <c r="AU130" s="187" t="str">
        <f>IF(OR(SnapshotTable[[#This Row],[LP No Fill]]="Y",SnapshotTable[[#This Row],[SP Is Filled]],SnapshotTable[[#This Row],[LC Not Filled]]="Y",SnapshotTable[[#This Row],[SC Is Filled]]),"Y","")</f>
        <v/>
      </c>
      <c r="AV130" s="219"/>
      <c r="AW130" s="225"/>
      <c r="AX130" s="220"/>
      <c r="AY130" s="219" t="str">
        <f>IF(SnapshotTable[[#This Row],[Implied Move]]&gt;0, SnapshotTable[[#This Row],[Last Price]]-SnapshotTable[[#This Row],[Implied Move]],"")</f>
        <v/>
      </c>
      <c r="AZ130" s="219" t="str">
        <f>IF(SnapshotTable[[#This Row],[Implied Move]]&gt;0, SnapshotTable[[#This Row],[Last Price]] + SnapshotTable[[#This Row],[Implied Move]],"")</f>
        <v/>
      </c>
      <c r="BA130" s="331"/>
      <c r="BB130" s="347"/>
      <c r="BC13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0" s="351"/>
      <c r="BE130" s="5"/>
      <c r="BF130" s="14"/>
      <c r="BG130" s="13"/>
      <c r="BH130" s="13"/>
      <c r="BI130" s="5"/>
      <c r="BJ130" s="136">
        <f>IF(SnapshotTable[[#This Row],[LP Qty]] &gt; 0, SnapshotTable[[#This Row],[LP Qty]] * SnapshotTable[[#This Row],[LP Book Price]] * 100,0)</f>
        <v>0</v>
      </c>
      <c r="BK130" s="136">
        <f>IF(SnapshotTable[[#This Row],[LP Premium]] &gt; 0, SnapshotTable[[#This Row],[LP Qty]] * SnapshotTable[[#This Row],[LP Strike Price]] * 100,0)</f>
        <v>0</v>
      </c>
      <c r="BL130" s="154"/>
      <c r="BM130" s="385" t="str">
        <f>IF(SnapshotTable[[#This Row],[LP Premium]] &gt; 0,SnapshotTable[[#This Row],[LP Exp Date]]-MAX(SnapshotTable[[#This Row],[LP Book Date]], SnapshotTable[[#This Row],[LP Fill Date]]),"")</f>
        <v/>
      </c>
      <c r="BN130" s="385" t="str">
        <f>IF(ISNUMBER( SnapshotTable[[#This Row],[LP Term]]), SnapshotTable[[#This Row],[LP Exp Date]] - MockToday,"")</f>
        <v/>
      </c>
      <c r="BO130" s="163" t="str">
        <f>IF(AND(SnapshotTable[[#This Row],[LP Exp Date]]&gt;0, SnapshotTable[[#This Row],[LP Strike Price]]&gt;0,SnapshotTable[[#This Row],[LP Qty]]&gt;0,SnapshotTable[[#This Row],[LP Book Date]]&gt;0,SnapshotTable[[#This Row],[LP Book Price]]&gt;0,SnapshotTable[[#This Row],[LP Fill Date]]=0),"Y","")</f>
        <v/>
      </c>
      <c r="BP130" s="31" t="str">
        <f>IF(AND(SnapshotTable[[#This Row],[LP No Fill]]&lt;&gt;"Y",SnapshotTable[[#This Row],[LP Contract Value]]&gt;0, SnapshotTable[[#This Row],[LP Qty]]&gt;0), SnapshotTable[[#This Row],[LP Contract Value]]*SnapshotTable[[#This Row],[LP Qty]]*100,"")</f>
        <v/>
      </c>
      <c r="BQ130" s="13"/>
      <c r="BR130" s="5" t="str">
        <f>IF(SnapshotTable[[#This Row],[SP Exp Date]]&lt;&gt;"",TRUNC(SnapshotTable[[#This Row],[Last Price]]),"")</f>
        <v/>
      </c>
      <c r="BS130" s="36"/>
      <c r="BT130" s="147"/>
      <c r="BU130" s="13"/>
      <c r="BV130" s="5"/>
      <c r="BW130" s="419" t="b">
        <f>AND(ISNUMBER(SnapshotTable[[#This Row],[SP Exp Date]]), ISNUMBER(SnapshotTable[[#This Row],[SP Strike Price]]), ISNUMBER(SnapshotTable[[#This Row],[SP Qty]]), ISNUMBER(SnapshotTable[[#This Row],[SP Book Date]]), ISNUMBER(SnapshotTable[[#This Row],[SP Book Price]]))</f>
        <v>0</v>
      </c>
      <c r="BX130" s="419" t="b">
        <f>AND(SnapshotTable[[#This Row],[SP Is Booked]], NOT(ISBLANK(SnapshotTable[[#This Row],[SP Fill Date]])))</f>
        <v>0</v>
      </c>
      <c r="BY130" s="33">
        <f>IF(SnapshotTable[[#This Row],[SP Is Booked]], SnapshotTable[[#This Row],[SP Qty]] * SnapshotTable[[#This Row],[SP Book Price]] * 100, 0)</f>
        <v>0</v>
      </c>
      <c r="BZ130" s="369"/>
      <c r="CA130" s="368">
        <f>SnapshotTable[[#This Row],[LP Qty]]</f>
        <v>0</v>
      </c>
      <c r="CB130" s="4" t="str">
        <f>IF(SnapshotTable[[#This Row],[SP Is Booked]], SnapshotTable[[#This Row],[SP Strike Price]] - SnapshotTable[[#This Row],[SP Book Price]], "")</f>
        <v/>
      </c>
      <c r="CC130" s="19" t="str">
        <f>IF(SnapshotTable[[#This Row],[SP Is Booked]],SnapshotTable[[#This Row],[SP Exp Date]]-MAX(SnapshotTable[[#This Row],[SP Book Date]], SnapshotTable[[#This Row],[SP Fill Date]]),"")</f>
        <v/>
      </c>
      <c r="CD130" s="7" t="str">
        <f>IF(SnapshotTable[[#This Row],[SP Is Booked]], SnapshotTable[[#This Row],[SP Book Price]]/SnapshotTable[[#This Row],[SP Strike Price]], "")</f>
        <v/>
      </c>
      <c r="CE130" s="7" t="str">
        <f>IF(ISNUMBER(SnapshotTable[[#This Row],[SP ROO Term]]),SnapshotTable[[#This Row],[SP ROO Term]]*(365/SnapshotTable[[#This Row],[SP Term]]),"")</f>
        <v/>
      </c>
      <c r="CF130" s="236">
        <f>SnapshotTable[[#This Row],[LP Strike Price]] * SnapshotTable[[#This Row],[LP Qty]] * 100</f>
        <v>0</v>
      </c>
      <c r="CG130" s="31" t="e">
        <f>IF(ISNUMBER(SnapshotTable[[#This Row],[SP Premium]]), (SnapshotTable[[#This Row],[SP Qty]] * SnapshotTable[[#This Row],[SP Strike Price]]* 100) - SnapshotTable[[#This Row],[LP Protection]], 0)</f>
        <v>#VALUE!</v>
      </c>
      <c r="CH130" s="7" t="str">
        <f>IF(ISNUMBER(SnapshotTable[[#This Row],[SP Break Even]]),-1 * (SnapshotTable[[#This Row],[SP Break Even]] - SnapshotTable[[#This Row],[Last Price]]) / SnapshotTable[[#This Row],[Last Price]], "")</f>
        <v/>
      </c>
      <c r="CI130" s="31">
        <f>IF(AND(ISNUMBER((SnapshotTable[[#This Row],[SP Potential Spend]])), SnapshotTable[[#This Row],[SP Strike Price]] &gt; SnapshotTable[[#This Row],[Last Price]], SnapshotTable[[#This Row],[SP Is Filled]]), SnapshotTable[[#This Row],[SP Potential Spend]] -  SnapshotTable[[#This Row],[LP Max Value]], 0)</f>
        <v>0</v>
      </c>
      <c r="CJ130" s="244"/>
      <c r="CK130" s="31" t="str">
        <f>IF(ISNUMBER(SnapshotTable[[#This Row],[SP Potential Spend]]),IF(ISNUMBER(SnapshotTable[[#This Row],[SP POW]]), SnapshotTable[[#This Row],[SP POW]] * SnapshotTable[[#This Row],[SP Potential Spend]], SnapshotTable[[#This Row],[SP Potential Spend]]), "")</f>
        <v/>
      </c>
      <c r="CL130" s="164" t="e">
        <f>IF(NOT(SnapshotTable[[#This Row],[SP Is Filled]]),(SnapshotTable[[#This Row],[SP Qty]] * SnapshotTable[[#This Row],[SP Strike Price]] * 100) - SnapshotTable[[#This Row],[LP Max Value]],"")</f>
        <v>#VALUE!</v>
      </c>
      <c r="CM130" s="31" t="str">
        <f>IF(SnapshotTable[[#This Row],[SP Actual Spend]]&lt;&gt;0, ((SnapshotTable[[#This Row],[SP Strike Price]]-SnapshotTable[[#This Row],[Last Price]]) *(SnapshotTable[[#This Row],[SP Qty]]*100) - SnapshotTable[[#This Row],[SP Premium]]) * - 1, "")</f>
        <v/>
      </c>
      <c r="CN130" s="78"/>
      <c r="CO130" s="369"/>
      <c r="CP130" s="4" t="str">
        <f>IF(SnapshotTable[[#This Row],[SP Is Filled]], btc_max_buyback_amount(SnapshotTable[[#This Row],[SP Fill Date]],SnapshotTable[[#This Row],[SP Exp Date]], SnapshotTable[[#This Row],[SP Book Price]]),"")</f>
        <v/>
      </c>
      <c r="CQ130" s="78"/>
      <c r="CR13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0" s="155" t="str">
        <f>IF(SnapshotTable[[#This Row],[SP Is Filled]], btc_next_cutoff_date(SnapshotTable[[#This Row],[SP Fill Date]],SnapshotTable[[#This Row],[SP Exp Date]]),"")</f>
        <v/>
      </c>
      <c r="CT130" s="235" t="str" cm="1">
        <f t="array" ref="CT130">IF(SnapshotTable[[#This Row],[SP Is Filled]], btc_should_buy_back(SnapshotTable[[#This Row],[SP Fill Date]], SnapshotTable[[#This Row],[SP Exp Date]], SnapshotTable[[#This Row],[SP Book Price]], SnapshotTable[[#This Row],[SP Current Ask]], MockToday, SnapshotTable[[#This Row],[SP Buyback Override]]),"")</f>
        <v/>
      </c>
      <c r="CU130" s="143"/>
      <c r="CV130" s="235"/>
      <c r="CW130" s="378" t="str">
        <f>IF(ISNUMBER( SnapshotTable[[#This Row],[SP Term]]), SnapshotTable[[#This Row],[SP Exp Date]] - MockToday,"")</f>
        <v/>
      </c>
      <c r="CX130" s="31" t="str">
        <f>IF(SnapshotTable[[#This Row],[SP Is Filled]],SnapshotTable[[#This Row],[SP Buyback Price to Use]] * 100 * SnapshotTable[[#This Row],[SP Qty]], "")</f>
        <v/>
      </c>
      <c r="CY130" s="4" t="str">
        <f>IF(ISNUMBER(SnapshotTable[[#This Row],[SP Strike Price]]), SnapshotTable[[#This Row],[SP Strike Price]] * (1 - SP_MaxLoss_StrikePct), "")</f>
        <v/>
      </c>
      <c r="CZ130" s="31" t="str">
        <f>IF(ISNUMBER(SnapshotTable[[#This Row],[SP Strike  Stop Per Share]]),SnapshotTable[[#This Row],[SP Premium]] - ((SnapshotTable[[#This Row],[SP Strike Price]]-SnapshotTable[[#This Row],[SP Strike  Stop Per Share]]) *(SnapshotTable[[#This Row],[SP Qty]] * 100)),"")</f>
        <v/>
      </c>
      <c r="DA130" s="4" t="str">
        <f>IF(AND(ISNUMBER(SnapshotTable[[#This Row],[SP Premium]]),SnapshotTable[[#This Row],[SP Premium]]&gt;0), SnapshotTable[[#This Row],[SP Book Price]] * (1 + SP_MaxLoss_OptionPct), "")</f>
        <v/>
      </c>
      <c r="DB130" s="31" t="str">
        <f>IF(ISNUMBER(SnapshotTable[[#This Row],[SP Option  Stop Contract]]),(SnapshotTable[[#This Row],[SP Option  Stop Contract]] *(SnapshotTable[[#This Row],[SP Qty]] * 100) - SnapshotTable[[#This Row],[SP Premium]]),"")</f>
        <v/>
      </c>
      <c r="DC130" s="4"/>
      <c r="DD130" s="4"/>
      <c r="DE130" s="4" t="str">
        <f>IF(AND(SnapshotTable[[#This Row],[SP Qty]]&gt;0, SnapshotTable[[#This Row],[SP Stop To Use]]&gt;0),SnapshotTable[[#This Row],[SP Premium]] - ( SnapshotTable[[#This Row],[SP Qty]] * SnapshotTable[[#This Row],[SP Stop To Use]] * 100), "")</f>
        <v/>
      </c>
      <c r="DF130" s="31" t="str">
        <f>IF(AND(SnapshotTable[[#This Row],[SP Qty]]&gt;0,SnapshotTable[[#This Row],[SP Current Ask]]&gt;0), SnapshotTable[[#This Row],[SP Qty]] * SnapshotTable[[#This Row],[SP Current Ask]] * -100, "")</f>
        <v/>
      </c>
      <c r="DG130" s="31" t="str">
        <f>IF(ISNUMBER((SnapshotTable[[#This Row],[SP Total Value]])), SnapshotTable[[#This Row],[SP Premium]] + SnapshotTable[[#This Row],[SP Total Value]], "")</f>
        <v/>
      </c>
      <c r="DH130" s="294" t="str">
        <f>IF(ISNUMBER((SnapshotTable[[#This Row],[SP Total Value]])), SnapshotTable[[#This Row],[SP Gain Loss]] / SnapshotTable[[#This Row],[SP Premium]], "")</f>
        <v/>
      </c>
      <c r="DI130" s="406"/>
      <c r="DJ130" s="138"/>
      <c r="DK130" s="148"/>
      <c r="DL130" s="13"/>
      <c r="DM130" s="13"/>
      <c r="DN130" s="5"/>
      <c r="DO130" s="31">
        <f>IF(SnapshotTable[[#This Row],[LC Symbol Count]]=1, SnapshotTable[[#This Row],[LC Qty]] * SnapshotTable[[#This Row],[LC Book Price]] * 100, 0)</f>
        <v>0</v>
      </c>
      <c r="DP130" s="163" t="str">
        <f>IF(AND(SnapshotTable[[#This Row],[LC Exp Date]]&gt;0, SnapshotTable[[#This Row],[LC Strike Price]]&gt;0,SnapshotTable[[#This Row],[LC Qty]]&gt;0,SnapshotTable[[#This Row],[LC Book Date]]&gt;0,SnapshotTable[[#This Row],[LC Book Price]]&gt;0,SnapshotTable[[#This Row],[LC Fill Date]]=0),"Y","")</f>
        <v/>
      </c>
      <c r="DQ130" s="386" t="str">
        <f>IF(SnapshotTable[[#This Row],[LC Premium]] &gt; 0,SnapshotTable[[#This Row],[LC Exp Date]]-MAX(SnapshotTable[[#This Row],[LC Book Date]], SnapshotTable[[#This Row],[LC Fill Date]]),"")</f>
        <v/>
      </c>
      <c r="DR130" s="386" t="str">
        <f>IF(ISNUMBER(SnapshotTable[[#This Row],[LC Term]]), SnapshotTable[[#This Row],[LC Exp Date]] - MockToday, "")</f>
        <v/>
      </c>
      <c r="DS130" s="234" t="str">
        <f>IF(SnapshotTable[[#This Row],[LC Premium]]&gt;0,SnapshotTable[[#This Row],[LC Strike Price]] + SnapshotTable[[#This Row],[LC Book Price]],"")</f>
        <v/>
      </c>
      <c r="DT130" s="5"/>
      <c r="DU130" s="9" t="str">
        <f>IF(AND(SnapshotTable[[#This Row],[LC Symbol Count]]&gt;0, SnapshotTable[[#This Row],[LC Contract Value]]&gt;0), SnapshotTable[[#This Row],[LC Contract Value]] * SnapshotTable[[#This Row],[LC Qty]] * 100, "")</f>
        <v/>
      </c>
      <c r="DV130" s="9" t="str">
        <f>IF(AND(ISNUMBER(SnapshotTable[[#This Row],[LC Total Value]]), SnapshotTable[[#This Row],[LC Not Filled]]&lt;&gt;"Y"), SnapshotTable[[#This Row],[LC Total Value]]-SnapshotTable[[#This Row],[LC Premium]],"")</f>
        <v/>
      </c>
      <c r="DW130" s="240" t="str">
        <f>IF(ISNUMBER(SnapshotTable[[#This Row],[LC Actual Gain Loss]]), SnapshotTable[[#This Row],[LC Actual Gain Loss]] / SnapshotTable[[#This Row],[LC Premium]],"")</f>
        <v/>
      </c>
      <c r="DX130" s="284" t="str">
        <f>IF(ISNUMBER(SnapshotTable[[#This Row],[LC Book Price]]),SnapshotTable[[#This Row],[LC Book Price]] * 1.5,"")</f>
        <v/>
      </c>
      <c r="DY130" s="265" t="str">
        <f>IF(SnapshotTable[[#This Row],[LC Premium]]&gt;0, SnapshotTable[[#This Row],[LC Next Target]] * SnapshotTable[[#This Row],[LC Qty]] * 100,"")</f>
        <v/>
      </c>
      <c r="DZ130" s="265" t="str">
        <f>IF(ISNUMBER(SnapshotTable[[#This Row],[LC Target Gross]]), SnapshotTable[[#This Row],[LC Target Gross]] - SnapshotTable[[#This Row],[LC Premium]], "")</f>
        <v/>
      </c>
      <c r="EA130" s="305" t="str">
        <f>IF(ISNUMBER(SnapshotTable[[#This Row],[LC Target Gain Loss]]), SnapshotTable[[#This Row],[LC Target Gain Loss]]/SnapshotTable[[#This Row],[LC Premium]], "")</f>
        <v/>
      </c>
      <c r="EB130" s="262"/>
      <c r="EC130" s="283" t="str">
        <f>IF(SnapshotTable[[#This Row],[LC Premium]]&gt;0, SnapshotTable[[#This Row],[LC Book Price]] * (1 - LC_StopLoss_Pct),"")</f>
        <v/>
      </c>
      <c r="ED130" s="284"/>
      <c r="EE130" s="283" t="str">
        <f>IF(ISNUMBER(SnapshotTable[[#This Row],[LC Contract Value]]),IF(ISNUMBER(SnapshotTable[[#This Row],[LC Stop Loss Override]]), SnapshotTable[[#This Row],[LC Stop Loss Override]],SnapshotTable[[#This Row],[LC Stop Loss Calc Target]]),"")</f>
        <v/>
      </c>
      <c r="EF130" s="31" t="str">
        <f>IF(ISNUMBER(SnapshotTable[[#This Row],[LC Stop  To Use]]), (SnapshotTable[[#This Row],[LC Stop  To Use]] * SnapshotTable[[#This Row],[LC Qty]] * 100),"")</f>
        <v/>
      </c>
      <c r="EG130" s="9" t="str">
        <f>IF(ISNUMBER(SnapshotTable[[#This Row],[LC Total Value]]),SnapshotTable[[#This Row],[LC Stop Loss Amount]] - SnapshotTable[[#This Row],[LC Premium]],"")</f>
        <v/>
      </c>
      <c r="EH130" s="9">
        <f>IF(ISNUMBER(SnapshotTable[[#This Row],[LC Premium]]), SnapshotTable[[#This Row],[LC Qty]] * 100 * SnapshotTable[[#This Row],[LC Strike Price]], "")</f>
        <v>0</v>
      </c>
      <c r="EI130" s="240" t="str">
        <f>IF(AND(ISNUMBER(SnapshotTable[[#This Row],[LC Total Value]]),SnapshotTable[[#This Row],[LC Total Value]]&gt;0),SnapshotTable[[#This Row],[LC Stop Gain Loss]]  / SnapshotTable[[#This Row],[LC Premium]],"")</f>
        <v/>
      </c>
      <c r="EJ130" s="35">
        <f>IF(ISNUMBER(SnapshotTable[[#This Row],[Equity Shares]]),TRUNC(SnapshotTable[[#This Row],[Equity Shares]] / 100),0) + SnapshotTable[[#This Row],[LC Qty]]</f>
        <v>0</v>
      </c>
      <c r="EK130" s="147"/>
      <c r="EL130" s="138" t="str">
        <f>IF(SnapshotTable[[#This Row],[SC Exp Date]]&lt;&gt;"",TRUNC(SnapshotTable[[#This Row],[Last Price]]),"")</f>
        <v/>
      </c>
      <c r="EM130" s="148"/>
      <c r="EN130" s="147"/>
      <c r="EO130" s="147"/>
      <c r="EP130" s="138"/>
      <c r="EQ130" s="419" t="b">
        <f>AND(ISNUMBER(SnapshotTable[[#This Row],[SC Exp Date]]), ISNUMBER(SnapshotTable[[#This Row],[SC Strike Price]]), ISNUMBER(SnapshotTable[[#This Row],[SC Qty]]), ISNUMBER(SnapshotTable[[#This Row],[SC Book Date]]), ISNUMBER(SnapshotTable[[#This Row],[SC Book Price]]))</f>
        <v>0</v>
      </c>
      <c r="ER130" s="419" t="b">
        <f>AND(SnapshotTable[[#This Row],[SC Is Booked]], NOT(ISBLANK(SnapshotTable[[#This Row],[SC Fill Date]])))</f>
        <v>0</v>
      </c>
      <c r="ES130" s="370"/>
      <c r="ET130" s="34" t="str">
        <f>IF(AND(ISNUMBER(SnapshotTable[[#This Row],[SC Exp Date]]), ISNUMBER(SnapshotTable[[#This Row],[SC Book Date]])), SnapshotTable[[#This Row],[SC Exp Date]] - MAX(SnapshotTable[[#This Row],[SC Book Date]], SnapshotTable[[#This Row],[SC Fill Date]]) + 1, "")</f>
        <v/>
      </c>
      <c r="EU130" s="34" t="str">
        <f>IF(ISNUMBER(SnapshotTable[[#This Row],[SC Term]]), SnapshotTable[[#This Row],[SC Exp Date]]- MockToday, "")</f>
        <v/>
      </c>
      <c r="EV130" s="31">
        <f>IF(SnapshotTable[[#This Row],[SC Is Booked]], SnapshotTable[[#This Row],[SC Qty]] * SnapshotTable[[#This Row],[SC Book Price]] * 100, 0)</f>
        <v>0</v>
      </c>
      <c r="EW130" s="4" t="str">
        <f>IF(AND(ISNUMBER(SnapshotTable[[#This Row],[Last Price]]), ISNUMBER( SnapshotTable[[#This Row],[SC Book Price]])), SnapshotTable[[#This Row],[Last Price]] - SnapshotTable[[#This Row],[SC Book Price]],"")</f>
        <v/>
      </c>
      <c r="EX130" s="234" t="str">
        <f>IF(SnapshotTable[[#This Row],[SC Is Booked]],IF(SnapshotTable[[#This Row],[SC Intrinsic Value]] &gt; 0, SnapshotTable[[#This Row],[SC Strike Price]], SnapshotTable[[#This Row],[Last Price]]), "")</f>
        <v/>
      </c>
      <c r="EY130" s="4">
        <f>IF(SnapshotTable[[#This Row],[SC Is Booked]], (MinimumPremiumRequired * SnapshotTable[[#This Row],[SC Basis]] * SnapshotTable[[#This Row],[SC Term]]), 0)</f>
        <v>0</v>
      </c>
      <c r="EZ130" s="283"/>
      <c r="FA130" s="218"/>
      <c r="FB130" s="370"/>
      <c r="FC130" s="4">
        <f>IF(SnapshotTable[[#This Row],[SC Is Filled]], btc_max_buyback_amount(SnapshotTable[[#This Row],[SC Fill Date]],SnapshotTable[[#This Row],[SC Exp Date]], SnapshotTable[[#This Row],[SC Book Price]]),0)</f>
        <v>0</v>
      </c>
      <c r="FD130" s="5"/>
      <c r="FE130" s="144" t="str">
        <f>IF(SnapshotTable[[#This Row],[SC Is Filled]], btc_next_cutoff_date(SnapshotTable[[#This Row],[SC Fill Date]],SnapshotTable[[#This Row],[SC Exp Date]]),"")</f>
        <v/>
      </c>
      <c r="FF130" s="4" t="str" cm="1">
        <f t="array" ref="FF130">IF(SnapshotTable[[#This Row],[SC Is Filled]], btc_should_buy_back(SnapshotTable[[#This Row],[SC Fill Date]], SnapshotTable[[#This Row],[SC Exp Date]], SnapshotTable[[#This Row],[SC Book Price]], SnapshotTable[[#This Row],[SC Current Ask]], MockToday, SnapshotTable[[#This Row],[SC Buyback Override]]),"")</f>
        <v/>
      </c>
      <c r="FG130" s="4">
        <f>IF(SnapshotTable[[#This Row],[SC Is Filled]], MAX(0,SnapshotTable[[#This Row],[Last Price]]  - SnapshotTable[[#This Row],[SC Strike Price]]), 0)</f>
        <v>0</v>
      </c>
      <c r="FH130" s="382">
        <f>IF(SnapshotTable[[#This Row],[SC Is Filled]], IF(ISNUMBER(SnapshotTable[[#This Row],[SC Current Ask]]), SnapshotTable[[#This Row],[SC Current Ask]], SnapshotTable[[#This Row],[SC Book Price]]) - SnapshotTable[[#This Row],[SC Intrinsic Value]], 0)</f>
        <v>0</v>
      </c>
      <c r="FI130" s="143"/>
      <c r="FJ130" s="32" t="str">
        <f>IF(SnapshotTable[[#This Row],[SC Is Filled]],100 * SnapshotTable[[#This Row],[SC Qty]] * IF(ISNUMBER(SnapshotTable[[#This Row],[SC Buyback Override]]), SnapshotTable[[#This Row],[SC Buyback Override]], SnapshotTable[[#This Row],[SC Current Ask]]), "")</f>
        <v/>
      </c>
      <c r="FK130" s="250" t="str">
        <f>IF(SnapshotTable[[#This Row],[SC Time Val]]&gt;0, SnapshotTable[[#This Row],[SC Time Val]] / SnapshotTable[[#This Row],[Last Price]],"")</f>
        <v/>
      </c>
      <c r="FL130" s="302" t="str">
        <f>IF(SnapshotTable[[#This Row],[SC Is Booked]], ((SnapshotTable[[#This Row],[Last Price]] -SnapshotTable[[#This Row],[SC Strike Price]]) / SnapshotTable[[#This Row],[Last Price]]) * -1, "")</f>
        <v/>
      </c>
      <c r="FM130" s="157" t="str">
        <f>IF(SnapshotTable[[#This Row],[SC Is Booked]],  (SnapshotTable[[#This Row],[SC Qty]] * 100 * SnapshotTable[[#This Row],[SC Strike Price]]) - SnapshotTable[[#This Row],[SC Current Ask]], "")</f>
        <v/>
      </c>
      <c r="FN13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0" s="31" t="str">
        <f>IF(AND(ISNUMBER(SnapshotTable[[#This Row],[SC Exercise Gross]]), ISNUMBER(SnapshotTable[[#This Row],[Equity Basis Per Share]] )), SnapshotTable[[#This Row],[SC Exercise Gross]] - SnapshotTable[[#This Row],[Equity Basis Total]] +  SnapshotTable[[#This Row],[SC Premium]], "")</f>
        <v/>
      </c>
      <c r="FP130" s="5" t="str">
        <f>IF(ISNUMBER(SnapshotTable[[#This Row],[SC Exercise Gross]]), (SnapshotTable[[#This Row],[SC Exercise Gross]]) / (SnapshotTable[[#This Row],[SC Qty]] * 100), "")</f>
        <v/>
      </c>
      <c r="FQ130" s="27" t="str">
        <f>IF(SnapshotTable[[#This Row],[SC Is Booked]],SnapshotTable[[#This Row],[SC Time Val]] /SnapshotTable[[#This Row],[SC Basis]], "")</f>
        <v/>
      </c>
      <c r="FR130" s="27" t="str" cm="1">
        <f t="array" ref="FR130">IF(AND(ISNUMBER(SnapshotTable[[#This Row],[SC Term]]),ISNUMBER(SnapshotTable[[#This Row],[SC Simple ROO]])), EllmanAnnualize(SnapshotTable[[#This Row],[SC DTE]], SnapshotTable[[#This Row],[SC Simple ROO]] ),"")</f>
        <v/>
      </c>
      <c r="FS130" s="4" t="e">
        <f>IF(SnapshotTable[[#This Row],[SC Strike Price]] &gt; SnapshotTable[[#This Row],[Last Price]], SnapshotTable[[#This Row],[SC Strike Price]] - SnapshotTable[[#This Row],[Last Price]],0)</f>
        <v>#VALUE!</v>
      </c>
      <c r="FT130" s="27" t="e">
        <f>IF(AND(ISNUMBER(SnapshotTable[[#This Row],[SC Upside Potential]]), SnapshotTable[[#This Row],[SC Upside Potential]] &gt; 0),(SnapshotTable[[#This Row],[SC Upside Potential]]/ SnapshotTable[[#This Row],[ACB]]),"")</f>
        <v>#VALUE!</v>
      </c>
      <c r="FU130" s="333" t="str">
        <f>IF(SnapshotTable[[#This Row],[SC Intrinsic Value]] &gt; 0,SnapshotTable[[#This Row],[SC Intrinsic Value]],"")</f>
        <v/>
      </c>
      <c r="FV130" s="27" t="str">
        <f>IF(AND( ISNUMBER( SnapshotTable[[#This Row],[ACB]]),ISNUMBER(SnapshotTable[[#This Row],[SC Downside Protect]])),SnapshotTable[[#This Row],[SC Downside Protect]] / SnapshotTable[[#This Row],[ACB]],"")</f>
        <v/>
      </c>
      <c r="FW130" s="236" t="str">
        <f>IF(AND(ISNUMBER(SnapshotTable[[#This Row],[SC Simple ROO]]),SnapshotTable[[#This Row],[SC Simple ROO]] &gt; 0), SnapshotTable[[#This Row],[SC Premium]] + (SnapshotTable[[#This Row],[SC Qty]] * SnapshotTable[[#This Row],[SC Upside Potential]]), "")</f>
        <v/>
      </c>
      <c r="FX130" s="302" t="str" cm="1">
        <f t="array" ref="FX130">IF(ISNUMBER(SnapshotTable[[#This Row],[SC Max Dollars]]), annualize(SnapshotTable[[#This Row],[SC Term]],(SnapshotTable[[#This Row],[SC Max Dollars]]/SnapshotTable[[#This Row],[SC Basis]])),"")</f>
        <v/>
      </c>
      <c r="FY130" s="236" t="str">
        <f>IF(AND(SnapshotTable[[#This Row],[SC Qty]]&gt;0,SnapshotTable[[#This Row],[SC Current Ask]]&gt;0), SnapshotTable[[#This Row],[SC Qty]] * SnapshotTable[[#This Row],[SC Current Ask]] * -100, "")</f>
        <v/>
      </c>
      <c r="FZ130" s="31" t="str">
        <f>IF(ISNUMBER((SnapshotTable[[#This Row],[SC Current Value]])), SnapshotTable[[#This Row],[SC Premium]] + SnapshotTable[[#This Row],[SC Current Value]], "")</f>
        <v/>
      </c>
      <c r="GA130" s="294" t="str">
        <f>IFERROR( IF(ISNUMBER((SnapshotTable[[#This Row],[SC Current Value]])), SnapshotTable[[#This Row],[SC Gain Loss]] / SnapshotTable[[#This Row],[SC Premium]], ""), "")</f>
        <v/>
      </c>
      <c r="GB130" s="42">
        <f>SnapshotTable[[#This Row],[Equity Shares]] * SaleSharesToConsiderPercentage</f>
        <v>0</v>
      </c>
      <c r="GC130" s="40">
        <f>SnapshotTable[[#This Row],[Long Term Target]] * SellingPriceToConsiderBasedOnTargetPercentage</f>
        <v>37.211500000000001</v>
      </c>
      <c r="GD130" s="40">
        <f>SnapshotTable[[#This Row],[Last Price]] * (1+ SellingPriceToConsiderBasedOnTargetPercentage)</f>
        <v>409.75349999999997</v>
      </c>
      <c r="GE130" s="41"/>
      <c r="GF130" s="40"/>
      <c r="GG130" s="31">
        <f>SnapshotTable[[#This Row],[Booked Sale Shares]] * SnapshotTable[[#This Row],[Booked Sale Price]]</f>
        <v>0</v>
      </c>
      <c r="GH130" s="31" t="str">
        <f>IF(SnapshotTable[[#This Row],[Equity Basis Total]] &gt; 0, SnapshotTable[[#This Row],[Equity Basis Per Share]] * SnapshotTable[[#This Row],[Booked Sale Shares]], "")</f>
        <v/>
      </c>
      <c r="GI130" s="31">
        <f>IF(SnapshotTable[[#This Row],[Sale Proceeds]]&gt;0, SnapshotTable[[#This Row],[Sale Proceeds]] - SnapshotTable[[#This Row],[Sale Basis]], 0)</f>
        <v>0</v>
      </c>
      <c r="GJ130" s="27" t="str">
        <f>IF(SnapshotTable[[#This Row],[Sale G/L]]&gt;0, SnapshotTable[[#This Row],[Sale G/L]] / SnapshotTable[[#This Row],[Sale Basis]], IF(ISNUMBER(SnapshotTable[[#This Row],[SC Exercise P&amp;L (TAX)]]), SnapshotTable[[#This Row],[SC Exercise P&amp;L (TAX)]] / SnapshotTable[[#This Row],[SC Basis]], ""))</f>
        <v/>
      </c>
      <c r="GK130" s="27" t="s">
        <v>683</v>
      </c>
      <c r="GL130" s="43" t="str">
        <f>IF(AND(SnapshotTable[[#This Row],[LP Exp Date]]&gt;0,SnapshotTable[[#This Row],[LP Strike Price]]&gt;0), [1]!ToOptionSymbol(SnapshotTable[[#This Row],[Symbol]], SnapshotTable[[#This Row],[LP Strike Price]],SnapshotTable[[#This Row],[LP Exp Date]],1), "")</f>
        <v/>
      </c>
      <c r="GM130" s="30" t="str">
        <f>IF(LEN(SnapshotTable[[#This Row],[LP Symbol]])&gt;0, 1, "")</f>
        <v/>
      </c>
      <c r="GN130" s="43" t="str">
        <f>IF(AND(SnapshotTable[[#This Row],[SP Exp Date]]&gt;0,SnapshotTable[[#This Row],[SP Strike Price]]&gt;0), [1]!ToOptionSymbol(SnapshotTable[[#This Row],[Symbol]], SnapshotTable[[#This Row],[SP Strike Price]],SnapshotTable[[#This Row],[SP Exp Date]],1), "")</f>
        <v/>
      </c>
      <c r="GO130" s="30" t="str">
        <f>IF(LEN(SnapshotTable[[#This Row],[SP Symbol]])&gt;0, 1, "")</f>
        <v/>
      </c>
      <c r="GP130" s="43" t="str">
        <f>IF(AND(SnapshotTable[[#This Row],[LC Exp Date]]&gt;0,SnapshotTable[[#This Row],[LC Strike Price]]&gt;0), [1]!ToOptionSymbol(SnapshotTable[[#This Row],[Symbol]], SnapshotTable[[#This Row],[LC Strike Price]],SnapshotTable[[#This Row],[LC Exp Date]],0), "")</f>
        <v/>
      </c>
      <c r="GQ130" s="30" t="str">
        <f>IF(LEN(SnapshotTable[[#This Row],[LC Symbol]])&gt;0, 1, "")</f>
        <v/>
      </c>
      <c r="GR130" s="43" t="str">
        <f>IF(AND(SnapshotTable[[#This Row],[SC Exp Date]]&gt;0,SnapshotTable[[#This Row],[SC Strike Price]]&gt;0), [1]!ToOptionSymbol(SnapshotTable[[#This Row],[Symbol]], SnapshotTable[[#This Row],[SC Strike Price]],SnapshotTable[[#This Row],[SC Exp Date]],0), "")</f>
        <v/>
      </c>
      <c r="GS130" s="30" t="str">
        <f>IF(LEN(SnapshotTable[[#This Row],[SC Symbol]])&gt;0, 1, "")</f>
        <v/>
      </c>
      <c r="GT130" s="29" t="str">
        <f>IF(COUNT(SnapshotTable[[#This Row],[LP Symbol Count]],SnapshotTable[[#This Row],[SP Symbol Count]],SnapshotTable[[#This Row],[LC Symbol Count]],SnapshotTable[[#This Row],[SC Symbol Count]])&gt;0, "Y", "")</f>
        <v/>
      </c>
      <c r="GU13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0" s="231" t="e">
        <f>MAX(SnapshotTable[[#This Row],[Equity Basis Total]],SnapshotTable[[#This Row],[Equity Value]]) + (SnapshotTable[[#This Row],[SP Potential Spend]]- SnapshotTable[[#This Row],[SP Premium]] + SnapshotTable[[#This Row],[LP Premium]])+ (SnapshotTable[[#This Row],[LC Premium]] - SnapshotTable[[#This Row],[SC Premium]])</f>
        <v>#VALUE!</v>
      </c>
      <c r="GW130" s="139" t="e">
        <f>IF(AND(SnapshotTable[[#This Row],[Exposure]] &lt;&gt; 0),SnapshotTable[[#This Row],[Exposure]] / SnapshotTable[[#Totals],[Exposure]], "")</f>
        <v>#VALUE!</v>
      </c>
      <c r="GY130" s="381"/>
      <c r="HE130" s="268"/>
      <c r="HF130" s="268"/>
      <c r="HG130" s="381"/>
      <c r="HH130" s="381"/>
      <c r="HI130" s="381"/>
      <c r="HJ130" s="381"/>
    </row>
    <row r="131" spans="2:224" ht="12.75" hidden="1" customHeight="1" x14ac:dyDescent="0.25">
      <c r="B131" s="12" t="s">
        <v>1213</v>
      </c>
      <c r="C131" s="422">
        <v>3.05</v>
      </c>
      <c r="D131" s="208"/>
      <c r="E131" s="39">
        <f>SnapshotTable[[#This Row],[Last Price]]*(1 -CrashDiscount)</f>
        <v>2.5924999999999998</v>
      </c>
      <c r="F131" s="26" t="s">
        <v>1029</v>
      </c>
      <c r="G131" s="26" t="s">
        <v>822</v>
      </c>
      <c r="H131" s="149"/>
      <c r="I131" s="194"/>
      <c r="J131" s="195"/>
      <c r="K131" s="196"/>
      <c r="L131" s="326"/>
      <c r="M131" s="140"/>
      <c r="N131" s="140"/>
      <c r="O131" s="140"/>
      <c r="P131" s="22"/>
      <c r="Q131" s="25"/>
      <c r="R131" s="4" t="str">
        <f>IF(SnapshotTable[[#This Row],[Equity Basis Total]] &gt; 0, SnapshotTable[[#This Row],[Equity Basis Total]] / SnapshotTable[[#This Row],[Equity Shares]], "")</f>
        <v/>
      </c>
      <c r="S131" s="269">
        <f>SnapshotTable[[#This Row],[Last Price]] * SnapshotTable[[#This Row],[Equity Shares]]</f>
        <v>0</v>
      </c>
      <c r="T131" s="269">
        <f>SnapshotTable[[#This Row],[Equity Value]] - SnapshotTable[[#This Row],[Equity Basis Total]]</f>
        <v>0</v>
      </c>
      <c r="U131" s="270" t="str">
        <f>IF(SnapshotTable[[#This Row],[Equity Basis Total]] &gt; 0, SnapshotTable[[#This Row],[Equity G/L]] / SnapshotTable[[#This Row],[Equity Basis Total]], "")</f>
        <v/>
      </c>
      <c r="V131" s="268"/>
      <c r="W131" s="268"/>
      <c r="X131" s="4" t="str">
        <f>IF(AND(ISNUMBER(SnapshotTable[[#This Row],[Equity Basis Per Share]]),ISNUMBER(SnapshotTable[[#This Row],[Equity Target]])),SnapshotTable[[#This Row],[Equity Target]]-SnapshotTable[[#This Row],[Equity Basis Per Share]],"")</f>
        <v/>
      </c>
      <c r="Y131" s="4" t="str">
        <f>IF(AND(ISNUMBER(SnapshotTable[[#This Row],[Equity Basis Per Share]]),ISNUMBER(SnapshotTable[[#This Row],[Equity Stop Loss]])),SnapshotTable[[#This Row],[Equity Stop Loss]]-SnapshotTable[[#This Row],[Equity Basis Per Share]],"")</f>
        <v/>
      </c>
      <c r="Z131" s="275" t="str">
        <f>IFERROR( TEXT(SnapshotTable[[#This Row],[Equity Max Gain Per Share]] /ABS( SnapshotTable[[#This Row],[Equity Max Loss Per Share]]),"0.0 " ) &amp; " : 1", "")</f>
        <v/>
      </c>
      <c r="AA131" s="31" t="str">
        <f>IF(ISNUMBER(SnapshotTable[[#This Row],[Equity Max Gain Per Share]]),SnapshotTable[[#This Row],[Equity Max Gain Per Share]] * SnapshotTable[[#This Row],[Equity Shares]],"")</f>
        <v/>
      </c>
      <c r="AB131" s="31" t="str">
        <f>IF(ISNUMBER(SnapshotTable[[#This Row],[Equity Max Loss Per Share]]),SnapshotTable[[#This Row],[Equity Max Loss Per Share]] * SnapshotTable[[#This Row],[Equity Shares]],"")</f>
        <v/>
      </c>
      <c r="AC131" s="150"/>
      <c r="AD131" s="151"/>
      <c r="AE131" s="31">
        <f>(SnapshotTable[[#This Row],[Annual Dividend Per Share]] / 4) * SnapshotTable[[#This Row],[Equity Shares]]</f>
        <v>0</v>
      </c>
      <c r="AF131" s="31">
        <f>SnapshotTable[[#This Row],[Quarterly Div $]] * 4</f>
        <v>0</v>
      </c>
      <c r="AG131" s="7">
        <f>IF(SnapshotTable[[#This Row],[Annual Dividend Per Share]]&gt;0, SnapshotTable[[#This Row],[Annual Dividend Per Share]]  / SnapshotTable[[#This Row],[Last Price]], 0)</f>
        <v>0</v>
      </c>
      <c r="AH131" s="151"/>
      <c r="AI131" s="5"/>
      <c r="AJ131" s="138">
        <v>2.65</v>
      </c>
      <c r="AK131" s="152" t="str">
        <f>IF(ISNUMBER( SnapshotTable[[#This Row],[EBF Target]]),(SnapshotTable[[#This Row],[EBF Target]] - SnapshotTable[[#This Row],[Last Price]]) / SnapshotTable[[#This Row],[Last Price]], "")</f>
        <v/>
      </c>
      <c r="AL131" s="152" t="str">
        <f>IF(AND(SnapshotTable[[#This Row],[Equity Basis Total]] &gt; 0,ISNUMBER( SnapshotTable[[#This Row],[Long Term Target]])), SnapshotTable[[#This Row],[From Basis $]] / SnapshotTable[[#This Row],[Equity Basis Total]], "")</f>
        <v/>
      </c>
      <c r="AM131" s="9">
        <f>IF( AND(SnapshotTable[[#This Row],[Equity Shares]] &gt;0,ISNUMBER( SnapshotTable[[#This Row],[Long Term Target]])),(SnapshotTable[[#This Row],[Equity Shares]] * SnapshotTable[[#This Row],[Long Term Target]]) - SnapshotTable[[#This Row],[Equity Basis Total]],0)</f>
        <v>0</v>
      </c>
      <c r="AN131" s="9">
        <f>IF( AND(SnapshotTable[[#This Row],[Equity Shares]] &gt;0,ISNUMBER( SnapshotTable[[#This Row],[Long Term Target]])),(SnapshotTable[[#This Row],[Equity Shares]]*SnapshotTable[[#This Row],[Long Term Target]]) - SnapshotTable[[#This Row],[Equity Value]],0)</f>
        <v>0</v>
      </c>
      <c r="AO131" s="152">
        <f>IF(AND(ISNUMBER( SnapshotTable[[#This Row],[Long Term Target]]), ISNUMBER(SnapshotTable[[#This Row],[Last Price]])),(SnapshotTable[[#This Row],[Long Term Target]] - SnapshotTable[[#This Row],[Last Price]]) / SnapshotTable[[#This Row],[Last Price]], "")</f>
        <v>-0.13114754098360654</v>
      </c>
      <c r="AP131" s="5"/>
      <c r="AQ131" s="38"/>
      <c r="AR131" s="5"/>
      <c r="AS131" s="38"/>
      <c r="AT131" s="146" t="s">
        <v>1132</v>
      </c>
      <c r="AU131" s="187" t="str">
        <f>IF(OR(SnapshotTable[[#This Row],[LP No Fill]]="Y",SnapshotTable[[#This Row],[SP Is Filled]],SnapshotTable[[#This Row],[LC Not Filled]]="Y",SnapshotTable[[#This Row],[SC Is Filled]]),"Y","")</f>
        <v/>
      </c>
      <c r="AV131" s="219"/>
      <c r="AW131" s="225"/>
      <c r="AX131" s="220"/>
      <c r="AY131" s="219" t="str">
        <f>IF(SnapshotTable[[#This Row],[Implied Move]]&gt;0, SnapshotTable[[#This Row],[Last Price]]-SnapshotTable[[#This Row],[Implied Move]],"")</f>
        <v/>
      </c>
      <c r="AZ131" s="219" t="str">
        <f>IF(SnapshotTable[[#This Row],[Implied Move]]&gt;0, SnapshotTable[[#This Row],[Last Price]] + SnapshotTable[[#This Row],[Implied Move]],"")</f>
        <v/>
      </c>
      <c r="BA131" s="331">
        <v>1.73</v>
      </c>
      <c r="BB131" s="347"/>
      <c r="BC13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1" s="351"/>
      <c r="BE131" s="5"/>
      <c r="BF131" s="14"/>
      <c r="BG131" s="13"/>
      <c r="BH131" s="13"/>
      <c r="BI131" s="5"/>
      <c r="BJ131" s="136">
        <f>IF(SnapshotTable[[#This Row],[LP Qty]] &gt; 0, SnapshotTable[[#This Row],[LP Qty]] * SnapshotTable[[#This Row],[LP Book Price]] * 100,0)</f>
        <v>0</v>
      </c>
      <c r="BK131" s="136">
        <f>IF(SnapshotTable[[#This Row],[LP Premium]] &gt; 0, SnapshotTable[[#This Row],[LP Qty]] * SnapshotTable[[#This Row],[LP Strike Price]] * 100,0)</f>
        <v>0</v>
      </c>
      <c r="BL131" s="154"/>
      <c r="BM131" s="385" t="str">
        <f>IF(SnapshotTable[[#This Row],[LP Premium]] &gt; 0,SnapshotTable[[#This Row],[LP Exp Date]]-MAX(SnapshotTable[[#This Row],[LP Book Date]], SnapshotTable[[#This Row],[LP Fill Date]]),"")</f>
        <v/>
      </c>
      <c r="BN131" s="385" t="str">
        <f>IF(ISNUMBER( SnapshotTable[[#This Row],[LP Term]]), SnapshotTable[[#This Row],[LP Exp Date]] - MockToday,"")</f>
        <v/>
      </c>
      <c r="BO131" s="163" t="str">
        <f>IF(AND(SnapshotTable[[#This Row],[LP Exp Date]]&gt;0, SnapshotTable[[#This Row],[LP Strike Price]]&gt;0,SnapshotTable[[#This Row],[LP Qty]]&gt;0,SnapshotTable[[#This Row],[LP Book Date]]&gt;0,SnapshotTable[[#This Row],[LP Book Price]]&gt;0,SnapshotTable[[#This Row],[LP Fill Date]]=0),"Y","")</f>
        <v/>
      </c>
      <c r="BP131" s="31" t="str">
        <f>IF(AND(SnapshotTable[[#This Row],[LP No Fill]]&lt;&gt;"Y",SnapshotTable[[#This Row],[LP Contract Value]]&gt;0, SnapshotTable[[#This Row],[LP Qty]]&gt;0), SnapshotTable[[#This Row],[LP Contract Value]]*SnapshotTable[[#This Row],[LP Qty]]*100,"")</f>
        <v/>
      </c>
      <c r="BQ131" s="13"/>
      <c r="BR131" s="5" t="str">
        <f>IF(SnapshotTable[[#This Row],[SP Exp Date]]&lt;&gt;"",TRUNC(SnapshotTable[[#This Row],[Last Price]]),"")</f>
        <v/>
      </c>
      <c r="BS131" s="36"/>
      <c r="BT131" s="147"/>
      <c r="BU131" s="13"/>
      <c r="BV131" s="5"/>
      <c r="BW131" s="419" t="b">
        <f>AND(ISNUMBER(SnapshotTable[[#This Row],[SP Exp Date]]), ISNUMBER(SnapshotTable[[#This Row],[SP Strike Price]]), ISNUMBER(SnapshotTable[[#This Row],[SP Qty]]), ISNUMBER(SnapshotTable[[#This Row],[SP Book Date]]), ISNUMBER(SnapshotTable[[#This Row],[SP Book Price]]))</f>
        <v>0</v>
      </c>
      <c r="BX131" s="419" t="b">
        <f>AND(SnapshotTable[[#This Row],[SP Is Booked]], NOT(ISBLANK(SnapshotTable[[#This Row],[SP Fill Date]])))</f>
        <v>0</v>
      </c>
      <c r="BY131" s="33">
        <f>IF(SnapshotTable[[#This Row],[SP Is Booked]], SnapshotTable[[#This Row],[SP Qty]] * SnapshotTable[[#This Row],[SP Book Price]] * 100, 0)</f>
        <v>0</v>
      </c>
      <c r="BZ131" s="369"/>
      <c r="CA131" s="368">
        <f>SnapshotTable[[#This Row],[LP Qty]]</f>
        <v>0</v>
      </c>
      <c r="CB131" s="4" t="str">
        <f>IF(SnapshotTable[[#This Row],[SP Is Booked]], SnapshotTable[[#This Row],[SP Strike Price]] - SnapshotTable[[#This Row],[SP Book Price]], "")</f>
        <v/>
      </c>
      <c r="CC131" s="19" t="str">
        <f>IF(SnapshotTable[[#This Row],[SP Is Booked]],SnapshotTable[[#This Row],[SP Exp Date]]-MAX(SnapshotTable[[#This Row],[SP Book Date]], SnapshotTable[[#This Row],[SP Fill Date]]),"")</f>
        <v/>
      </c>
      <c r="CD131" s="7" t="str">
        <f>IF(SnapshotTable[[#This Row],[SP Is Booked]], SnapshotTable[[#This Row],[SP Book Price]]/SnapshotTable[[#This Row],[SP Strike Price]], "")</f>
        <v/>
      </c>
      <c r="CE131" s="7" t="str">
        <f>IF(ISNUMBER(SnapshotTable[[#This Row],[SP ROO Term]]),SnapshotTable[[#This Row],[SP ROO Term]]*(365/SnapshotTable[[#This Row],[SP Term]]),"")</f>
        <v/>
      </c>
      <c r="CF131" s="236">
        <f>SnapshotTable[[#This Row],[LP Strike Price]] * SnapshotTable[[#This Row],[LP Qty]] * 100</f>
        <v>0</v>
      </c>
      <c r="CG131" s="31" t="e">
        <f>IF(ISNUMBER(SnapshotTable[[#This Row],[SP Premium]]), (SnapshotTable[[#This Row],[SP Qty]] * SnapshotTable[[#This Row],[SP Strike Price]]* 100) - SnapshotTable[[#This Row],[LP Protection]], 0)</f>
        <v>#VALUE!</v>
      </c>
      <c r="CH131" s="7" t="str">
        <f>IF(ISNUMBER(SnapshotTable[[#This Row],[SP Break Even]]),-1 * (SnapshotTable[[#This Row],[SP Break Even]] - SnapshotTable[[#This Row],[Last Price]]) / SnapshotTable[[#This Row],[Last Price]], "")</f>
        <v/>
      </c>
      <c r="CI131" s="31">
        <f>IF(AND(ISNUMBER((SnapshotTable[[#This Row],[SP Potential Spend]])), SnapshotTable[[#This Row],[SP Strike Price]] &gt; SnapshotTable[[#This Row],[Last Price]], SnapshotTable[[#This Row],[SP Is Filled]]), SnapshotTable[[#This Row],[SP Potential Spend]] -  SnapshotTable[[#This Row],[LP Max Value]], 0)</f>
        <v>0</v>
      </c>
      <c r="CJ131" s="244"/>
      <c r="CK131" s="31" t="str">
        <f>IF(ISNUMBER(SnapshotTable[[#This Row],[SP Potential Spend]]),IF(ISNUMBER(SnapshotTable[[#This Row],[SP POW]]), SnapshotTable[[#This Row],[SP POW]] * SnapshotTable[[#This Row],[SP Potential Spend]], SnapshotTable[[#This Row],[SP Potential Spend]]), "")</f>
        <v/>
      </c>
      <c r="CL131" s="164" t="e">
        <f>IF(NOT(SnapshotTable[[#This Row],[SP Is Filled]]),(SnapshotTable[[#This Row],[SP Qty]] * SnapshotTable[[#This Row],[SP Strike Price]] * 100) - SnapshotTable[[#This Row],[LP Max Value]],"")</f>
        <v>#VALUE!</v>
      </c>
      <c r="CM131" s="31" t="str">
        <f>IF(SnapshotTable[[#This Row],[SP Actual Spend]]&lt;&gt;0, ((SnapshotTable[[#This Row],[SP Strike Price]]-SnapshotTable[[#This Row],[Last Price]]) *(SnapshotTable[[#This Row],[SP Qty]]*100) - SnapshotTable[[#This Row],[SP Premium]]) * - 1, "")</f>
        <v/>
      </c>
      <c r="CN131" s="78"/>
      <c r="CO131" s="369"/>
      <c r="CP131" s="4" t="str">
        <f>IF(SnapshotTable[[#This Row],[SP Is Filled]], btc_max_buyback_amount(SnapshotTable[[#This Row],[SP Fill Date]],SnapshotTable[[#This Row],[SP Exp Date]], SnapshotTable[[#This Row],[SP Book Price]]),"")</f>
        <v/>
      </c>
      <c r="CQ131" s="78"/>
      <c r="CR13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1" s="155" t="str">
        <f>IF(SnapshotTable[[#This Row],[SP Is Filled]], btc_next_cutoff_date(SnapshotTable[[#This Row],[SP Fill Date]],SnapshotTable[[#This Row],[SP Exp Date]]),"")</f>
        <v/>
      </c>
      <c r="CT131" s="235" t="str" cm="1">
        <f t="array" ref="CT131">IF(SnapshotTable[[#This Row],[SP Is Filled]], btc_should_buy_back(SnapshotTable[[#This Row],[SP Fill Date]], SnapshotTable[[#This Row],[SP Exp Date]], SnapshotTable[[#This Row],[SP Book Price]], SnapshotTable[[#This Row],[SP Current Ask]], MockToday, SnapshotTable[[#This Row],[SP Buyback Override]]),"")</f>
        <v/>
      </c>
      <c r="CU131" s="143"/>
      <c r="CV131" s="235"/>
      <c r="CW131" s="378" t="str">
        <f>IF(ISNUMBER( SnapshotTable[[#This Row],[SP Term]]), SnapshotTable[[#This Row],[SP Exp Date]] - MockToday,"")</f>
        <v/>
      </c>
      <c r="CX131" s="31" t="str">
        <f>IF(SnapshotTable[[#This Row],[SP Is Filled]],SnapshotTable[[#This Row],[SP Buyback Price to Use]] * 100 * SnapshotTable[[#This Row],[SP Qty]], "")</f>
        <v/>
      </c>
      <c r="CY131" s="4" t="str">
        <f>IF(ISNUMBER(SnapshotTable[[#This Row],[SP Strike Price]]), SnapshotTable[[#This Row],[SP Strike Price]] * (1 - SP_MaxLoss_StrikePct), "")</f>
        <v/>
      </c>
      <c r="CZ131" s="31" t="str">
        <f>IF(ISNUMBER(SnapshotTable[[#This Row],[SP Strike  Stop Per Share]]),SnapshotTable[[#This Row],[SP Premium]] - ((SnapshotTable[[#This Row],[SP Strike Price]]-SnapshotTable[[#This Row],[SP Strike  Stop Per Share]]) *(SnapshotTable[[#This Row],[SP Qty]] * 100)),"")</f>
        <v/>
      </c>
      <c r="DA131" s="4" t="str">
        <f>IF(AND(ISNUMBER(SnapshotTable[[#This Row],[SP Premium]]),SnapshotTable[[#This Row],[SP Premium]]&gt;0), SnapshotTable[[#This Row],[SP Book Price]] * (1 + SP_MaxLoss_OptionPct), "")</f>
        <v/>
      </c>
      <c r="DB131" s="31" t="str">
        <f>IF(ISNUMBER(SnapshotTable[[#This Row],[SP Option  Stop Contract]]),(SnapshotTable[[#This Row],[SP Option  Stop Contract]] *(SnapshotTable[[#This Row],[SP Qty]] * 100) - SnapshotTable[[#This Row],[SP Premium]]),"")</f>
        <v/>
      </c>
      <c r="DC131" s="4"/>
      <c r="DD131" s="4"/>
      <c r="DE131" s="4" t="str">
        <f>IF(AND(SnapshotTable[[#This Row],[SP Qty]]&gt;0, SnapshotTable[[#This Row],[SP Stop To Use]]&gt;0),SnapshotTable[[#This Row],[SP Premium]] - ( SnapshotTable[[#This Row],[SP Qty]] * SnapshotTable[[#This Row],[SP Stop To Use]] * 100), "")</f>
        <v/>
      </c>
      <c r="DF131" s="31" t="str">
        <f>IF(AND(SnapshotTable[[#This Row],[SP Qty]]&gt;0,SnapshotTable[[#This Row],[SP Current Ask]]&gt;0), SnapshotTable[[#This Row],[SP Qty]] * SnapshotTable[[#This Row],[SP Current Ask]] * -100, "")</f>
        <v/>
      </c>
      <c r="DG131" s="31" t="str">
        <f>IF(ISNUMBER((SnapshotTable[[#This Row],[SP Total Value]])), SnapshotTable[[#This Row],[SP Premium]] + SnapshotTable[[#This Row],[SP Total Value]], "")</f>
        <v/>
      </c>
      <c r="DH131" s="294" t="str">
        <f>IF(ISNUMBER((SnapshotTable[[#This Row],[SP Total Value]])), SnapshotTable[[#This Row],[SP Gain Loss]] / SnapshotTable[[#This Row],[SP Premium]], "")</f>
        <v/>
      </c>
      <c r="DI131" s="406"/>
      <c r="DJ131" s="138"/>
      <c r="DK131" s="148"/>
      <c r="DL131" s="147"/>
      <c r="DM131" s="147"/>
      <c r="DO131" s="31">
        <f>IF(SnapshotTable[[#This Row],[LC Symbol Count]]=1, SnapshotTable[[#This Row],[LC Qty]] * SnapshotTable[[#This Row],[LC Book Price]] * 100, 0)</f>
        <v>0</v>
      </c>
      <c r="DP131" s="163" t="str">
        <f>IF(AND(SnapshotTable[[#This Row],[LC Exp Date]]&gt;0, SnapshotTable[[#This Row],[LC Strike Price]]&gt;0,SnapshotTable[[#This Row],[LC Qty]]&gt;0,SnapshotTable[[#This Row],[LC Book Date]]&gt;0,SnapshotTable[[#This Row],[LC Book Price]]&gt;0,SnapshotTable[[#This Row],[LC Fill Date]]=0),"Y","")</f>
        <v/>
      </c>
      <c r="DQ131" s="386" t="str">
        <f>IF(SnapshotTable[[#This Row],[LC Premium]] &gt; 0,SnapshotTable[[#This Row],[LC Exp Date]]-MAX(SnapshotTable[[#This Row],[LC Book Date]], SnapshotTable[[#This Row],[LC Fill Date]]),"")</f>
        <v/>
      </c>
      <c r="DR131" s="386" t="str">
        <f>IF(ISNUMBER(SnapshotTable[[#This Row],[LC Term]]), SnapshotTable[[#This Row],[LC Exp Date]] - MockToday, "")</f>
        <v/>
      </c>
      <c r="DS131" s="234" t="str">
        <f>IF(SnapshotTable[[#This Row],[LC Premium]]&gt;0,SnapshotTable[[#This Row],[LC Strike Price]] + SnapshotTable[[#This Row],[LC Book Price]],"")</f>
        <v/>
      </c>
      <c r="DU131" s="9" t="str">
        <f>IF(AND(SnapshotTable[[#This Row],[LC Symbol Count]]&gt;0, SnapshotTable[[#This Row],[LC Contract Value]]&gt;0), SnapshotTable[[#This Row],[LC Contract Value]] * SnapshotTable[[#This Row],[LC Qty]] * 100, "")</f>
        <v/>
      </c>
      <c r="DV131" s="9" t="str">
        <f>IF(AND(ISNUMBER(SnapshotTable[[#This Row],[LC Total Value]]), SnapshotTable[[#This Row],[LC Not Filled]]&lt;&gt;"Y"), SnapshotTable[[#This Row],[LC Total Value]]-SnapshotTable[[#This Row],[LC Premium]],"")</f>
        <v/>
      </c>
      <c r="DW131" s="240" t="str">
        <f>IF(ISNUMBER(SnapshotTable[[#This Row],[LC Actual Gain Loss]]), SnapshotTable[[#This Row],[LC Actual Gain Loss]] / SnapshotTable[[#This Row],[LC Premium]],"")</f>
        <v/>
      </c>
      <c r="DX131" s="284" t="str">
        <f>IF(ISNUMBER(SnapshotTable[[#This Row],[LC Book Price]]),SnapshotTable[[#This Row],[LC Book Price]] * 1.5,"")</f>
        <v/>
      </c>
      <c r="DY131" s="265" t="str">
        <f>IF(SnapshotTable[[#This Row],[LC Premium]]&gt;0, SnapshotTable[[#This Row],[LC Next Target]] * SnapshotTable[[#This Row],[LC Qty]] * 100,"")</f>
        <v/>
      </c>
      <c r="DZ131" s="265" t="str">
        <f>IF(ISNUMBER(SnapshotTable[[#This Row],[LC Target Gross]]), SnapshotTable[[#This Row],[LC Target Gross]] - SnapshotTable[[#This Row],[LC Premium]], "")</f>
        <v/>
      </c>
      <c r="EA131" s="305" t="str">
        <f>IF(ISNUMBER(SnapshotTable[[#This Row],[LC Target Gain Loss]]), SnapshotTable[[#This Row],[LC Target Gain Loss]]/SnapshotTable[[#This Row],[LC Premium]], "")</f>
        <v/>
      </c>
      <c r="EB131" s="262"/>
      <c r="EC131" s="283" t="str">
        <f>IF(SnapshotTable[[#This Row],[LC Premium]]&gt;0, SnapshotTable[[#This Row],[LC Book Price]] * (1 - LC_StopLoss_Pct),"")</f>
        <v/>
      </c>
      <c r="ED131" s="284"/>
      <c r="EE131" s="283" t="str">
        <f>IF(ISNUMBER(SnapshotTable[[#This Row],[LC Contract Value]]),IF(ISNUMBER(SnapshotTable[[#This Row],[LC Stop Loss Override]]), SnapshotTable[[#This Row],[LC Stop Loss Override]],SnapshotTable[[#This Row],[LC Stop Loss Calc Target]]),"")</f>
        <v/>
      </c>
      <c r="EF131" s="31" t="str">
        <f>IF(ISNUMBER(SnapshotTable[[#This Row],[LC Stop  To Use]]), (SnapshotTable[[#This Row],[LC Stop  To Use]] * SnapshotTable[[#This Row],[LC Qty]] * 100),"")</f>
        <v/>
      </c>
      <c r="EG131" s="9" t="str">
        <f>IF(ISNUMBER(SnapshotTable[[#This Row],[LC Total Value]]),SnapshotTable[[#This Row],[LC Stop Loss Amount]] - SnapshotTable[[#This Row],[LC Premium]],"")</f>
        <v/>
      </c>
      <c r="EH131" s="9">
        <f>IF(ISNUMBER(SnapshotTable[[#This Row],[LC Premium]]), SnapshotTable[[#This Row],[LC Qty]] * 100 * SnapshotTable[[#This Row],[LC Strike Price]], "")</f>
        <v>0</v>
      </c>
      <c r="EI131" s="240" t="str">
        <f>IF(AND(ISNUMBER(SnapshotTable[[#This Row],[LC Total Value]]),SnapshotTable[[#This Row],[LC Total Value]]&gt;0),SnapshotTable[[#This Row],[LC Stop Gain Loss]]  / SnapshotTable[[#This Row],[LC Premium]],"")</f>
        <v/>
      </c>
      <c r="EJ131" s="35">
        <f>IF(ISNUMBER(SnapshotTable[[#This Row],[Equity Shares]]),TRUNC(SnapshotTable[[#This Row],[Equity Shares]] / 100),0) + SnapshotTable[[#This Row],[LC Qty]]</f>
        <v>0</v>
      </c>
      <c r="EK131" s="147"/>
      <c r="EL131" s="138" t="str">
        <f>IF(SnapshotTable[[#This Row],[SC Exp Date]]&lt;&gt;"",TRUNC(SnapshotTable[[#This Row],[Last Price]]),"")</f>
        <v/>
      </c>
      <c r="EM131" s="148"/>
      <c r="EN131" s="147"/>
      <c r="EO131" s="147"/>
      <c r="EP131" s="138"/>
      <c r="EQ131" s="419" t="b">
        <f>AND(ISNUMBER(SnapshotTable[[#This Row],[SC Exp Date]]), ISNUMBER(SnapshotTable[[#This Row],[SC Strike Price]]), ISNUMBER(SnapshotTable[[#This Row],[SC Qty]]), ISNUMBER(SnapshotTable[[#This Row],[SC Book Date]]), ISNUMBER(SnapshotTable[[#This Row],[SC Book Price]]))</f>
        <v>0</v>
      </c>
      <c r="ER131" s="419" t="b">
        <f>AND(SnapshotTable[[#This Row],[SC Is Booked]], NOT(ISBLANK(SnapshotTable[[#This Row],[SC Fill Date]])))</f>
        <v>0</v>
      </c>
      <c r="ES131" s="370"/>
      <c r="ET131" s="34" t="str">
        <f>IF(AND(ISNUMBER(SnapshotTable[[#This Row],[SC Exp Date]]), ISNUMBER(SnapshotTable[[#This Row],[SC Book Date]])), SnapshotTable[[#This Row],[SC Exp Date]] - MAX(SnapshotTable[[#This Row],[SC Book Date]], SnapshotTable[[#This Row],[SC Fill Date]]) + 1, "")</f>
        <v/>
      </c>
      <c r="EU131" s="34" t="str">
        <f>IF(ISNUMBER(SnapshotTable[[#This Row],[SC Term]]), SnapshotTable[[#This Row],[SC Exp Date]]- MockToday, "")</f>
        <v/>
      </c>
      <c r="EV131" s="31">
        <f>IF(SnapshotTable[[#This Row],[SC Is Booked]], SnapshotTable[[#This Row],[SC Qty]] * SnapshotTable[[#This Row],[SC Book Price]] * 100, 0)</f>
        <v>0</v>
      </c>
      <c r="EW131" s="4" t="str">
        <f>IF(AND(ISNUMBER(SnapshotTable[[#This Row],[Last Price]]), ISNUMBER( SnapshotTable[[#This Row],[SC Book Price]])), SnapshotTable[[#This Row],[Last Price]] - SnapshotTable[[#This Row],[SC Book Price]],"")</f>
        <v/>
      </c>
      <c r="EX131" s="234" t="str">
        <f>IF(SnapshotTable[[#This Row],[SC Is Booked]],IF(SnapshotTable[[#This Row],[SC Intrinsic Value]] &gt; 0, SnapshotTable[[#This Row],[SC Strike Price]], SnapshotTable[[#This Row],[Last Price]]), "")</f>
        <v/>
      </c>
      <c r="EY131" s="4">
        <f>IF(SnapshotTable[[#This Row],[SC Is Booked]], (MinimumPremiumRequired * SnapshotTable[[#This Row],[SC Basis]] * SnapshotTable[[#This Row],[SC Term]]), 0)</f>
        <v>0</v>
      </c>
      <c r="EZ131" s="283"/>
      <c r="FA131" s="218"/>
      <c r="FB131" s="370"/>
      <c r="FC131" s="4">
        <f>IF(SnapshotTable[[#This Row],[SC Is Filled]], btc_max_buyback_amount(SnapshotTable[[#This Row],[SC Fill Date]],SnapshotTable[[#This Row],[SC Exp Date]], SnapshotTable[[#This Row],[SC Book Price]]),0)</f>
        <v>0</v>
      </c>
      <c r="FD131" s="5"/>
      <c r="FE131" s="144" t="str">
        <f>IF(SnapshotTable[[#This Row],[SC Is Filled]], btc_next_cutoff_date(SnapshotTable[[#This Row],[SC Fill Date]],SnapshotTable[[#This Row],[SC Exp Date]]),"")</f>
        <v/>
      </c>
      <c r="FF131" s="4" t="str" cm="1">
        <f t="array" ref="FF131">IF(SnapshotTable[[#This Row],[SC Is Filled]], btc_should_buy_back(SnapshotTable[[#This Row],[SC Fill Date]], SnapshotTable[[#This Row],[SC Exp Date]], SnapshotTable[[#This Row],[SC Book Price]], SnapshotTable[[#This Row],[SC Current Ask]], MockToday, SnapshotTable[[#This Row],[SC Buyback Override]]),"")</f>
        <v/>
      </c>
      <c r="FG131" s="4">
        <f>IF(SnapshotTable[[#This Row],[SC Is Filled]], MAX(0,SnapshotTable[[#This Row],[Last Price]]  - SnapshotTable[[#This Row],[SC Strike Price]]), 0)</f>
        <v>0</v>
      </c>
      <c r="FH131" s="382">
        <f>IF(SnapshotTable[[#This Row],[SC Is Filled]], IF(ISNUMBER(SnapshotTable[[#This Row],[SC Current Ask]]), SnapshotTable[[#This Row],[SC Current Ask]], SnapshotTable[[#This Row],[SC Book Price]]) - SnapshotTable[[#This Row],[SC Intrinsic Value]], 0)</f>
        <v>0</v>
      </c>
      <c r="FI131" s="143"/>
      <c r="FJ131" s="32" t="str">
        <f>IF(SnapshotTable[[#This Row],[SC Is Filled]],100 * SnapshotTable[[#This Row],[SC Qty]] * IF(ISNUMBER(SnapshotTable[[#This Row],[SC Buyback Override]]), SnapshotTable[[#This Row],[SC Buyback Override]], SnapshotTable[[#This Row],[SC Current Ask]]), "")</f>
        <v/>
      </c>
      <c r="FK131" s="250" t="str">
        <f>IF(SnapshotTable[[#This Row],[SC Time Val]]&gt;0, SnapshotTable[[#This Row],[SC Time Val]] / SnapshotTable[[#This Row],[Last Price]],"")</f>
        <v/>
      </c>
      <c r="FL131" s="302" t="str">
        <f>IF(SnapshotTable[[#This Row],[SC Is Booked]], ((SnapshotTable[[#This Row],[Last Price]] -SnapshotTable[[#This Row],[SC Strike Price]]) / SnapshotTable[[#This Row],[Last Price]]) * -1, "")</f>
        <v/>
      </c>
      <c r="FM131" s="157" t="str">
        <f>IF(SnapshotTable[[#This Row],[SC Is Booked]],  (SnapshotTable[[#This Row],[SC Qty]] * 100 * SnapshotTable[[#This Row],[SC Strike Price]]) - SnapshotTable[[#This Row],[SC Current Ask]], "")</f>
        <v/>
      </c>
      <c r="FN13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1" s="31" t="str">
        <f>IF(AND(ISNUMBER(SnapshotTable[[#This Row],[SC Exercise Gross]]), ISNUMBER(SnapshotTable[[#This Row],[Equity Basis Per Share]] )), SnapshotTable[[#This Row],[SC Exercise Gross]] - SnapshotTable[[#This Row],[Equity Basis Total]] +  SnapshotTable[[#This Row],[SC Premium]], "")</f>
        <v/>
      </c>
      <c r="FP131" s="5" t="str">
        <f>IF(ISNUMBER(SnapshotTable[[#This Row],[SC Exercise Gross]]), (SnapshotTable[[#This Row],[SC Exercise Gross]]) / (SnapshotTable[[#This Row],[SC Qty]] * 100), "")</f>
        <v/>
      </c>
      <c r="FQ131" s="27" t="str">
        <f>IF(SnapshotTable[[#This Row],[SC Is Booked]],SnapshotTable[[#This Row],[SC Time Val]] /SnapshotTable[[#This Row],[SC Basis]], "")</f>
        <v/>
      </c>
      <c r="FR131" s="27" t="str" cm="1">
        <f t="array" ref="FR131">IF(AND(ISNUMBER(SnapshotTable[[#This Row],[SC Term]]),ISNUMBER(SnapshotTable[[#This Row],[SC Simple ROO]])), EllmanAnnualize(SnapshotTable[[#This Row],[SC DTE]], SnapshotTable[[#This Row],[SC Simple ROO]] ),"")</f>
        <v/>
      </c>
      <c r="FS131" s="4" t="e">
        <f>IF(SnapshotTable[[#This Row],[SC Strike Price]] &gt; SnapshotTable[[#This Row],[Last Price]], SnapshotTable[[#This Row],[SC Strike Price]] - SnapshotTable[[#This Row],[Last Price]],0)</f>
        <v>#VALUE!</v>
      </c>
      <c r="FT131" s="27" t="e">
        <f>IF(AND(ISNUMBER(SnapshotTable[[#This Row],[SC Upside Potential]]), SnapshotTable[[#This Row],[SC Upside Potential]] &gt; 0),(SnapshotTable[[#This Row],[SC Upside Potential]]/ SnapshotTable[[#This Row],[ACB]]),"")</f>
        <v>#VALUE!</v>
      </c>
      <c r="FU131" s="333" t="str">
        <f>IF(SnapshotTable[[#This Row],[SC Intrinsic Value]] &gt; 0,SnapshotTable[[#This Row],[SC Intrinsic Value]],"")</f>
        <v/>
      </c>
      <c r="FV131" s="27" t="str">
        <f>IF(AND( ISNUMBER( SnapshotTable[[#This Row],[ACB]]),ISNUMBER(SnapshotTable[[#This Row],[SC Downside Protect]])),SnapshotTable[[#This Row],[SC Downside Protect]] / SnapshotTable[[#This Row],[ACB]],"")</f>
        <v/>
      </c>
      <c r="FW131" s="236" t="str">
        <f>IF(AND(ISNUMBER(SnapshotTable[[#This Row],[SC Simple ROO]]),SnapshotTable[[#This Row],[SC Simple ROO]] &gt; 0), SnapshotTable[[#This Row],[SC Premium]] + (SnapshotTable[[#This Row],[SC Qty]] * SnapshotTable[[#This Row],[SC Upside Potential]]), "")</f>
        <v/>
      </c>
      <c r="FX131" s="302" t="str" cm="1">
        <f t="array" ref="FX131">IF(ISNUMBER(SnapshotTable[[#This Row],[SC Max Dollars]]), annualize(SnapshotTable[[#This Row],[SC Term]],(SnapshotTable[[#This Row],[SC Max Dollars]]/SnapshotTable[[#This Row],[SC Basis]])),"")</f>
        <v/>
      </c>
      <c r="FY131" s="236" t="str">
        <f>IF(AND(SnapshotTable[[#This Row],[SC Qty]]&gt;0,SnapshotTable[[#This Row],[SC Current Ask]]&gt;0), SnapshotTable[[#This Row],[SC Qty]] * SnapshotTable[[#This Row],[SC Current Ask]] * -100, "")</f>
        <v/>
      </c>
      <c r="FZ131" s="31" t="str">
        <f>IF(ISNUMBER((SnapshotTable[[#This Row],[SC Current Value]])), SnapshotTable[[#This Row],[SC Premium]] + SnapshotTable[[#This Row],[SC Current Value]], "")</f>
        <v/>
      </c>
      <c r="GA131" s="294" t="str">
        <f>IFERROR( IF(ISNUMBER((SnapshotTable[[#This Row],[SC Current Value]])), SnapshotTable[[#This Row],[SC Gain Loss]] / SnapshotTable[[#This Row],[SC Premium]], ""), "")</f>
        <v/>
      </c>
      <c r="GB131" s="42">
        <f>SnapshotTable[[#This Row],[Equity Shares]] * SaleSharesToConsiderPercentage</f>
        <v>0</v>
      </c>
      <c r="GC131" s="40">
        <f>SnapshotTable[[#This Row],[Long Term Target]] * SellingPriceToConsiderBasedOnTargetPercentage</f>
        <v>2.5174999999999996</v>
      </c>
      <c r="GD131" s="40">
        <f>SnapshotTable[[#This Row],[Last Price]] * (1+ SellingPriceToConsiderBasedOnTargetPercentage)</f>
        <v>5.9474999999999998</v>
      </c>
      <c r="GE131" s="41"/>
      <c r="GF131" s="40"/>
      <c r="GG131" s="31">
        <f>SnapshotTable[[#This Row],[Booked Sale Shares]] * SnapshotTable[[#This Row],[Booked Sale Price]]</f>
        <v>0</v>
      </c>
      <c r="GH131" s="31" t="str">
        <f>IF(SnapshotTable[[#This Row],[Equity Basis Total]] &gt; 0, SnapshotTable[[#This Row],[Equity Basis Per Share]] * SnapshotTable[[#This Row],[Booked Sale Shares]], "")</f>
        <v/>
      </c>
      <c r="GI131" s="31">
        <f>IF(SnapshotTable[[#This Row],[Sale Proceeds]]&gt;0, SnapshotTable[[#This Row],[Sale Proceeds]] - SnapshotTable[[#This Row],[Sale Basis]], 0)</f>
        <v>0</v>
      </c>
      <c r="GJ131" s="27" t="str">
        <f>IF(SnapshotTable[[#This Row],[Sale G/L]]&gt;0, SnapshotTable[[#This Row],[Sale G/L]] / SnapshotTable[[#This Row],[Sale Basis]], IF(ISNUMBER(SnapshotTable[[#This Row],[SC Exercise P&amp;L (TAX)]]), SnapshotTable[[#This Row],[SC Exercise P&amp;L (TAX)]] / SnapshotTable[[#This Row],[SC Basis]], ""))</f>
        <v/>
      </c>
      <c r="GK131" s="27"/>
      <c r="GL131" s="43" t="str">
        <f>IF(AND(SnapshotTable[[#This Row],[LP Exp Date]]&gt;0,SnapshotTable[[#This Row],[LP Strike Price]]&gt;0), [1]!ToOptionSymbol(SnapshotTable[[#This Row],[Symbol]], SnapshotTable[[#This Row],[LP Strike Price]],SnapshotTable[[#This Row],[LP Exp Date]],1), "")</f>
        <v/>
      </c>
      <c r="GM131" s="30" t="str">
        <f>IF(LEN(SnapshotTable[[#This Row],[LP Symbol]])&gt;0, 1, "")</f>
        <v/>
      </c>
      <c r="GN131" s="43" t="str">
        <f>IF(AND(SnapshotTable[[#This Row],[SP Exp Date]]&gt;0,SnapshotTable[[#This Row],[SP Strike Price]]&gt;0), [1]!ToOptionSymbol(SnapshotTable[[#This Row],[Symbol]], SnapshotTable[[#This Row],[SP Strike Price]],SnapshotTable[[#This Row],[SP Exp Date]],1), "")</f>
        <v/>
      </c>
      <c r="GO131" s="30" t="str">
        <f>IF(LEN(SnapshotTable[[#This Row],[SP Symbol]])&gt;0, 1, "")</f>
        <v/>
      </c>
      <c r="GP131" s="43" t="str">
        <f>IF(AND(SnapshotTable[[#This Row],[LC Exp Date]]&gt;0,SnapshotTable[[#This Row],[LC Strike Price]]&gt;0), [1]!ToOptionSymbol(SnapshotTable[[#This Row],[Symbol]], SnapshotTable[[#This Row],[LC Strike Price]],SnapshotTable[[#This Row],[LC Exp Date]],0), "")</f>
        <v/>
      </c>
      <c r="GQ131" s="30" t="str">
        <f>IF(LEN(SnapshotTable[[#This Row],[LC Symbol]])&gt;0, 1, "")</f>
        <v/>
      </c>
      <c r="GR131" s="43" t="str">
        <f>IF(AND(SnapshotTable[[#This Row],[SC Exp Date]]&gt;0,SnapshotTable[[#This Row],[SC Strike Price]]&gt;0), [1]!ToOptionSymbol(SnapshotTable[[#This Row],[Symbol]], SnapshotTable[[#This Row],[SC Strike Price]],SnapshotTable[[#This Row],[SC Exp Date]],0), "")</f>
        <v/>
      </c>
      <c r="GS131" s="30" t="str">
        <f>IF(LEN(SnapshotTable[[#This Row],[SC Symbol]])&gt;0, 1, "")</f>
        <v/>
      </c>
      <c r="GT131" s="29" t="str">
        <f>IF(COUNT(SnapshotTable[[#This Row],[LP Symbol Count]],SnapshotTable[[#This Row],[SP Symbol Count]],SnapshotTable[[#This Row],[LC Symbol Count]],SnapshotTable[[#This Row],[SC Symbol Count]])&gt;0, "Y", "")</f>
        <v/>
      </c>
      <c r="GU13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1" s="231" t="e">
        <f>MAX(SnapshotTable[[#This Row],[Equity Basis Total]],SnapshotTable[[#This Row],[Equity Value]]) + (SnapshotTable[[#This Row],[SP Potential Spend]]- SnapshotTable[[#This Row],[SP Premium]] + SnapshotTable[[#This Row],[LP Premium]])+ (SnapshotTable[[#This Row],[LC Premium]] - SnapshotTable[[#This Row],[SC Premium]])</f>
        <v>#VALUE!</v>
      </c>
      <c r="GW131" s="139" t="e">
        <f>IF(AND(SnapshotTable[[#This Row],[Exposure]] &lt;&gt; 0),SnapshotTable[[#This Row],[Exposure]] / SnapshotTable[[#Totals],[Exposure]], "")</f>
        <v>#VALUE!</v>
      </c>
      <c r="HE131" s="268"/>
      <c r="HF131" s="268"/>
      <c r="HK131" s="1"/>
      <c r="HL131" s="1"/>
      <c r="HM131" s="1"/>
      <c r="HN131" s="1"/>
      <c r="HO131" s="1"/>
      <c r="HP131" s="1"/>
    </row>
    <row r="132" spans="2:224" s="47" customFormat="1" ht="12.75" hidden="1" customHeight="1" x14ac:dyDescent="0.25">
      <c r="B132" s="12" t="s">
        <v>96</v>
      </c>
      <c r="C132" s="422">
        <v>14.24</v>
      </c>
      <c r="D132" s="208"/>
      <c r="E132" s="39">
        <f>SnapshotTable[[#This Row],[Last Price]]*(1 -CrashDiscount)</f>
        <v>12.103999999999999</v>
      </c>
      <c r="F132" s="26" t="s">
        <v>42</v>
      </c>
      <c r="G132" s="26" t="s">
        <v>41</v>
      </c>
      <c r="H132" s="149"/>
      <c r="I132" s="194">
        <v>44777.28125</v>
      </c>
      <c r="J132" s="195">
        <v>44777.28125</v>
      </c>
      <c r="K132" s="196"/>
      <c r="L132" s="326"/>
      <c r="M132" s="140"/>
      <c r="N132" s="140"/>
      <c r="O132" s="140">
        <v>4</v>
      </c>
      <c r="P132" s="22"/>
      <c r="Q132" s="25"/>
      <c r="R132" s="4" t="str">
        <f>IF(SnapshotTable[[#This Row],[Equity Basis Total]] &gt; 0, SnapshotTable[[#This Row],[Equity Basis Total]] / SnapshotTable[[#This Row],[Equity Shares]], "")</f>
        <v/>
      </c>
      <c r="S132" s="269">
        <f>SnapshotTable[[#This Row],[Last Price]] * SnapshotTable[[#This Row],[Equity Shares]]</f>
        <v>0</v>
      </c>
      <c r="T132" s="269">
        <f>SnapshotTable[[#This Row],[Equity Value]] - SnapshotTable[[#This Row],[Equity Basis Total]]</f>
        <v>0</v>
      </c>
      <c r="U132" s="270" t="str">
        <f>IF(SnapshotTable[[#This Row],[Equity Basis Total]] &gt; 0, SnapshotTable[[#This Row],[Equity G/L]] / SnapshotTable[[#This Row],[Equity Basis Total]], "")</f>
        <v/>
      </c>
      <c r="V132" s="268"/>
      <c r="W132" s="268"/>
      <c r="X132" s="4" t="str">
        <f>IF(AND(ISNUMBER(SnapshotTable[[#This Row],[Equity Basis Per Share]]),ISNUMBER(SnapshotTable[[#This Row],[Equity Target]])),SnapshotTable[[#This Row],[Equity Target]]-SnapshotTable[[#This Row],[Equity Basis Per Share]],"")</f>
        <v/>
      </c>
      <c r="Y132" s="4" t="str">
        <f>IF(AND(ISNUMBER(SnapshotTable[[#This Row],[Equity Basis Per Share]]),ISNUMBER(SnapshotTable[[#This Row],[Equity Stop Loss]])),SnapshotTable[[#This Row],[Equity Stop Loss]]-SnapshotTable[[#This Row],[Equity Basis Per Share]],"")</f>
        <v/>
      </c>
      <c r="Z132" s="275" t="str">
        <f>IFERROR( TEXT(SnapshotTable[[#This Row],[Equity Max Gain Per Share]] /ABS( SnapshotTable[[#This Row],[Equity Max Loss Per Share]]),"0.0 " ) &amp; " : 1", "")</f>
        <v/>
      </c>
      <c r="AA132" s="31" t="str">
        <f>IF(ISNUMBER(SnapshotTable[[#This Row],[Equity Max Gain Per Share]]),SnapshotTable[[#This Row],[Equity Max Gain Per Share]] * SnapshotTable[[#This Row],[Equity Shares]],"")</f>
        <v/>
      </c>
      <c r="AB132" s="31" t="str">
        <f>IF(ISNUMBER(SnapshotTable[[#This Row],[Equity Max Loss Per Share]]),SnapshotTable[[#This Row],[Equity Max Loss Per Share]] * SnapshotTable[[#This Row],[Equity Shares]],"")</f>
        <v/>
      </c>
      <c r="AC132" s="150">
        <v>0</v>
      </c>
      <c r="AD132" s="151" t="s">
        <v>2</v>
      </c>
      <c r="AE132" s="31">
        <f>(SnapshotTable[[#This Row],[Annual Dividend Per Share]] / 4) * SnapshotTable[[#This Row],[Equity Shares]]</f>
        <v>0</v>
      </c>
      <c r="AF132" s="31">
        <f>SnapshotTable[[#This Row],[Quarterly Div $]] * 4</f>
        <v>0</v>
      </c>
      <c r="AG132" s="7">
        <f>IF(SnapshotTable[[#This Row],[Annual Dividend Per Share]]&gt;0, SnapshotTable[[#This Row],[Annual Dividend Per Share]]  / SnapshotTable[[#This Row],[Last Price]], 0)</f>
        <v>0</v>
      </c>
      <c r="AH132" s="151" t="s">
        <v>2</v>
      </c>
      <c r="AI132" s="5"/>
      <c r="AJ132" s="138">
        <v>20</v>
      </c>
      <c r="AK132" s="152" t="str">
        <f>IF(ISNUMBER( SnapshotTable[[#This Row],[EBF Target]]),(SnapshotTable[[#This Row],[EBF Target]] - SnapshotTable[[#This Row],[Last Price]]) / SnapshotTable[[#This Row],[Last Price]], "")</f>
        <v/>
      </c>
      <c r="AL132" s="152" t="str">
        <f>IF(AND(SnapshotTable[[#This Row],[Equity Basis Total]] &gt; 0,ISNUMBER( SnapshotTable[[#This Row],[Long Term Target]])), SnapshotTable[[#This Row],[From Basis $]] / SnapshotTable[[#This Row],[Equity Basis Total]], "")</f>
        <v/>
      </c>
      <c r="AM132" s="9">
        <f>IF( AND(SnapshotTable[[#This Row],[Equity Shares]] &gt;0,ISNUMBER( SnapshotTable[[#This Row],[Long Term Target]])),(SnapshotTable[[#This Row],[Equity Shares]] * SnapshotTable[[#This Row],[Long Term Target]]) - SnapshotTable[[#This Row],[Equity Basis Total]],0)</f>
        <v>0</v>
      </c>
      <c r="AN132" s="9">
        <f>IF( AND(SnapshotTable[[#This Row],[Equity Shares]] &gt;0,ISNUMBER( SnapshotTable[[#This Row],[Long Term Target]])),(SnapshotTable[[#This Row],[Equity Shares]]*SnapshotTable[[#This Row],[Long Term Target]]) - SnapshotTable[[#This Row],[Equity Value]],0)</f>
        <v>0</v>
      </c>
      <c r="AO132" s="152">
        <f>IF(AND(ISNUMBER( SnapshotTable[[#This Row],[Long Term Target]]), ISNUMBER(SnapshotTable[[#This Row],[Last Price]])),(SnapshotTable[[#This Row],[Long Term Target]] - SnapshotTable[[#This Row],[Last Price]]) / SnapshotTable[[#This Row],[Last Price]], "")</f>
        <v>0.4044943820224719</v>
      </c>
      <c r="AP132" s="5"/>
      <c r="AQ132" s="38"/>
      <c r="AR132" s="5"/>
      <c r="AS132" s="38"/>
      <c r="AT132" s="146"/>
      <c r="AU132" s="187" t="str">
        <f>IF(OR(SnapshotTable[[#This Row],[LP No Fill]]="Y",SnapshotTable[[#This Row],[SP Is Filled]],SnapshotTable[[#This Row],[LC Not Filled]]="Y",SnapshotTable[[#This Row],[SC Is Filled]]),"Y","")</f>
        <v/>
      </c>
      <c r="AV132" s="219"/>
      <c r="AW132" s="225"/>
      <c r="AX132" s="220"/>
      <c r="AY132" s="219" t="str">
        <f>IF(SnapshotTable[[#This Row],[Implied Move]]&gt;0, SnapshotTable[[#This Row],[Last Price]]-SnapshotTable[[#This Row],[Implied Move]],"")</f>
        <v/>
      </c>
      <c r="AZ132" s="219" t="str">
        <f>IF(SnapshotTable[[#This Row],[Implied Move]]&gt;0, SnapshotTable[[#This Row],[Last Price]] + SnapshotTable[[#This Row],[Implied Move]],"")</f>
        <v/>
      </c>
      <c r="BA132" s="331"/>
      <c r="BB132" s="347"/>
      <c r="BC13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2" s="351"/>
      <c r="BE132" s="5"/>
      <c r="BF132" s="14"/>
      <c r="BG132" s="13"/>
      <c r="BH132" s="13"/>
      <c r="BI132" s="5"/>
      <c r="BJ132" s="136">
        <f>IF(SnapshotTable[[#This Row],[LP Qty]] &gt; 0, SnapshotTable[[#This Row],[LP Qty]] * SnapshotTable[[#This Row],[LP Book Price]] * 100,0)</f>
        <v>0</v>
      </c>
      <c r="BK132" s="136">
        <f>IF(SnapshotTable[[#This Row],[LP Premium]] &gt; 0, SnapshotTable[[#This Row],[LP Qty]] * SnapshotTable[[#This Row],[LP Strike Price]] * 100,0)</f>
        <v>0</v>
      </c>
      <c r="BL132" s="154"/>
      <c r="BM132" s="385" t="str">
        <f>IF(SnapshotTable[[#This Row],[LP Premium]] &gt; 0,SnapshotTable[[#This Row],[LP Exp Date]]-MAX(SnapshotTable[[#This Row],[LP Book Date]], SnapshotTable[[#This Row],[LP Fill Date]]),"")</f>
        <v/>
      </c>
      <c r="BN132" s="385" t="str">
        <f>IF(ISNUMBER( SnapshotTable[[#This Row],[LP Term]]), SnapshotTable[[#This Row],[LP Exp Date]] - MockToday,"")</f>
        <v/>
      </c>
      <c r="BO132" s="163" t="str">
        <f>IF(AND(SnapshotTable[[#This Row],[LP Exp Date]]&gt;0, SnapshotTable[[#This Row],[LP Strike Price]]&gt;0,SnapshotTable[[#This Row],[LP Qty]]&gt;0,SnapshotTable[[#This Row],[LP Book Date]]&gt;0,SnapshotTable[[#This Row],[LP Book Price]]&gt;0,SnapshotTable[[#This Row],[LP Fill Date]]=0),"Y","")</f>
        <v/>
      </c>
      <c r="BP132" s="31" t="str">
        <f>IF(AND(SnapshotTable[[#This Row],[LP No Fill]]&lt;&gt;"Y",SnapshotTable[[#This Row],[LP Contract Value]]&gt;0, SnapshotTable[[#This Row],[LP Qty]]&gt;0), SnapshotTable[[#This Row],[LP Contract Value]]*SnapshotTable[[#This Row],[LP Qty]]*100,"")</f>
        <v/>
      </c>
      <c r="BQ132" s="13"/>
      <c r="BR132" s="5" t="str">
        <f>IF(SnapshotTable[[#This Row],[SP Exp Date]]&lt;&gt;"",TRUNC(SnapshotTable[[#This Row],[Last Price]]),"")</f>
        <v/>
      </c>
      <c r="BS132" s="36"/>
      <c r="BT132" s="147"/>
      <c r="BU132" s="13"/>
      <c r="BV132" s="5"/>
      <c r="BW132" s="419" t="b">
        <f>AND(ISNUMBER(SnapshotTable[[#This Row],[SP Exp Date]]), ISNUMBER(SnapshotTable[[#This Row],[SP Strike Price]]), ISNUMBER(SnapshotTable[[#This Row],[SP Qty]]), ISNUMBER(SnapshotTable[[#This Row],[SP Book Date]]), ISNUMBER(SnapshotTable[[#This Row],[SP Book Price]]))</f>
        <v>0</v>
      </c>
      <c r="BX132" s="419" t="b">
        <f>AND(SnapshotTable[[#This Row],[SP Is Booked]], NOT(ISBLANK(SnapshotTable[[#This Row],[SP Fill Date]])))</f>
        <v>0</v>
      </c>
      <c r="BY132" s="33">
        <f>IF(SnapshotTable[[#This Row],[SP Is Booked]], SnapshotTable[[#This Row],[SP Qty]] * SnapshotTable[[#This Row],[SP Book Price]] * 100, 0)</f>
        <v>0</v>
      </c>
      <c r="BZ132" s="369"/>
      <c r="CA132" s="368">
        <f>SnapshotTable[[#This Row],[LP Qty]]</f>
        <v>0</v>
      </c>
      <c r="CB132" s="4" t="str">
        <f>IF(SnapshotTable[[#This Row],[SP Is Booked]], SnapshotTable[[#This Row],[SP Strike Price]] - SnapshotTable[[#This Row],[SP Book Price]], "")</f>
        <v/>
      </c>
      <c r="CC132" s="19" t="str">
        <f>IF(SnapshotTable[[#This Row],[SP Is Booked]],SnapshotTable[[#This Row],[SP Exp Date]]-MAX(SnapshotTable[[#This Row],[SP Book Date]], SnapshotTable[[#This Row],[SP Fill Date]]),"")</f>
        <v/>
      </c>
      <c r="CD132" s="7" t="str">
        <f>IF(SnapshotTable[[#This Row],[SP Is Booked]], SnapshotTable[[#This Row],[SP Book Price]]/SnapshotTable[[#This Row],[SP Strike Price]], "")</f>
        <v/>
      </c>
      <c r="CE132" s="7" t="str">
        <f>IF(ISNUMBER(SnapshotTable[[#This Row],[SP ROO Term]]),SnapshotTable[[#This Row],[SP ROO Term]]*(365/SnapshotTable[[#This Row],[SP Term]]),"")</f>
        <v/>
      </c>
      <c r="CF132" s="236">
        <f>SnapshotTable[[#This Row],[LP Strike Price]] * SnapshotTable[[#This Row],[LP Qty]] * 100</f>
        <v>0</v>
      </c>
      <c r="CG132" s="31" t="e">
        <f>IF(ISNUMBER(SnapshotTable[[#This Row],[SP Premium]]), (SnapshotTable[[#This Row],[SP Qty]] * SnapshotTable[[#This Row],[SP Strike Price]]* 100) - SnapshotTable[[#This Row],[LP Protection]], 0)</f>
        <v>#VALUE!</v>
      </c>
      <c r="CH132" s="7" t="str">
        <f>IF(ISNUMBER(SnapshotTable[[#This Row],[SP Break Even]]),-1 * (SnapshotTable[[#This Row],[SP Break Even]] - SnapshotTable[[#This Row],[Last Price]]) / SnapshotTable[[#This Row],[Last Price]], "")</f>
        <v/>
      </c>
      <c r="CI132" s="31">
        <f>IF(AND(ISNUMBER((SnapshotTable[[#This Row],[SP Potential Spend]])), SnapshotTable[[#This Row],[SP Strike Price]] &gt; SnapshotTable[[#This Row],[Last Price]], SnapshotTable[[#This Row],[SP Is Filled]]), SnapshotTable[[#This Row],[SP Potential Spend]] -  SnapshotTable[[#This Row],[LP Max Value]], 0)</f>
        <v>0</v>
      </c>
      <c r="CJ132" s="244"/>
      <c r="CK132" s="31" t="str">
        <f>IF(ISNUMBER(SnapshotTable[[#This Row],[SP Potential Spend]]),IF(ISNUMBER(SnapshotTable[[#This Row],[SP POW]]), SnapshotTable[[#This Row],[SP POW]] * SnapshotTable[[#This Row],[SP Potential Spend]], SnapshotTable[[#This Row],[SP Potential Spend]]), "")</f>
        <v/>
      </c>
      <c r="CL132" s="164" t="e">
        <f>IF(NOT(SnapshotTable[[#This Row],[SP Is Filled]]),(SnapshotTable[[#This Row],[SP Qty]] * SnapshotTable[[#This Row],[SP Strike Price]] * 100) - SnapshotTable[[#This Row],[LP Max Value]],"")</f>
        <v>#VALUE!</v>
      </c>
      <c r="CM132" s="31" t="str">
        <f>IF(SnapshotTable[[#This Row],[SP Actual Spend]]&lt;&gt;0, ((SnapshotTable[[#This Row],[SP Strike Price]]-SnapshotTable[[#This Row],[Last Price]]) *(SnapshotTable[[#This Row],[SP Qty]]*100) - SnapshotTable[[#This Row],[SP Premium]]) * - 1, "")</f>
        <v/>
      </c>
      <c r="CN132" s="78"/>
      <c r="CO132" s="369"/>
      <c r="CP132" s="4" t="str">
        <f>IF(SnapshotTable[[#This Row],[SP Is Filled]], btc_max_buyback_amount(SnapshotTable[[#This Row],[SP Fill Date]],SnapshotTable[[#This Row],[SP Exp Date]], SnapshotTable[[#This Row],[SP Book Price]]),"")</f>
        <v/>
      </c>
      <c r="CQ132" s="78"/>
      <c r="CR13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2" s="155" t="str">
        <f>IF(SnapshotTable[[#This Row],[SP Is Filled]], btc_next_cutoff_date(SnapshotTable[[#This Row],[SP Fill Date]],SnapshotTable[[#This Row],[SP Exp Date]]),"")</f>
        <v/>
      </c>
      <c r="CT132" s="235" t="str" cm="1">
        <f t="array" ref="CT132">IF(SnapshotTable[[#This Row],[SP Is Filled]], btc_should_buy_back(SnapshotTable[[#This Row],[SP Fill Date]], SnapshotTable[[#This Row],[SP Exp Date]], SnapshotTable[[#This Row],[SP Book Price]], SnapshotTable[[#This Row],[SP Current Ask]], MockToday, SnapshotTable[[#This Row],[SP Buyback Override]]),"")</f>
        <v/>
      </c>
      <c r="CU132" s="143"/>
      <c r="CV132" s="235"/>
      <c r="CW132" s="378" t="str">
        <f>IF(ISNUMBER( SnapshotTable[[#This Row],[SP Term]]), SnapshotTable[[#This Row],[SP Exp Date]] - MockToday,"")</f>
        <v/>
      </c>
      <c r="CX132" s="31" t="str">
        <f>IF(SnapshotTable[[#This Row],[SP Is Filled]],SnapshotTable[[#This Row],[SP Buyback Price to Use]] * 100 * SnapshotTable[[#This Row],[SP Qty]], "")</f>
        <v/>
      </c>
      <c r="CY132" s="4" t="str">
        <f>IF(ISNUMBER(SnapshotTable[[#This Row],[SP Strike Price]]), SnapshotTable[[#This Row],[SP Strike Price]] * (1 - SP_MaxLoss_StrikePct), "")</f>
        <v/>
      </c>
      <c r="CZ132" s="31" t="str">
        <f>IF(ISNUMBER(SnapshotTable[[#This Row],[SP Strike  Stop Per Share]]),SnapshotTable[[#This Row],[SP Premium]] - ((SnapshotTable[[#This Row],[SP Strike Price]]-SnapshotTable[[#This Row],[SP Strike  Stop Per Share]]) *(SnapshotTable[[#This Row],[SP Qty]] * 100)),"")</f>
        <v/>
      </c>
      <c r="DA132" s="4" t="str">
        <f>IF(AND(ISNUMBER(SnapshotTable[[#This Row],[SP Premium]]),SnapshotTable[[#This Row],[SP Premium]]&gt;0), SnapshotTable[[#This Row],[SP Book Price]] * (1 + SP_MaxLoss_OptionPct), "")</f>
        <v/>
      </c>
      <c r="DB132" s="31" t="str">
        <f>IF(ISNUMBER(SnapshotTable[[#This Row],[SP Option  Stop Contract]]),(SnapshotTable[[#This Row],[SP Option  Stop Contract]] *(SnapshotTable[[#This Row],[SP Qty]] * 100) - SnapshotTable[[#This Row],[SP Premium]]),"")</f>
        <v/>
      </c>
      <c r="DC132" s="4"/>
      <c r="DD132" s="4"/>
      <c r="DE132" s="4" t="str">
        <f>IF(AND(SnapshotTable[[#This Row],[SP Qty]]&gt;0, SnapshotTable[[#This Row],[SP Stop To Use]]&gt;0),SnapshotTable[[#This Row],[SP Premium]] - ( SnapshotTable[[#This Row],[SP Qty]] * SnapshotTable[[#This Row],[SP Stop To Use]] * 100), "")</f>
        <v/>
      </c>
      <c r="DF132" s="31" t="str">
        <f>IF(AND(SnapshotTable[[#This Row],[SP Qty]]&gt;0,SnapshotTable[[#This Row],[SP Current Ask]]&gt;0), SnapshotTable[[#This Row],[SP Qty]] * SnapshotTable[[#This Row],[SP Current Ask]] * -100, "")</f>
        <v/>
      </c>
      <c r="DG132" s="31" t="str">
        <f>IF(ISNUMBER((SnapshotTable[[#This Row],[SP Total Value]])), SnapshotTable[[#This Row],[SP Premium]] + SnapshotTable[[#This Row],[SP Total Value]], "")</f>
        <v/>
      </c>
      <c r="DH132" s="294" t="str">
        <f>IF(ISNUMBER((SnapshotTable[[#This Row],[SP Total Value]])), SnapshotTable[[#This Row],[SP Gain Loss]] / SnapshotTable[[#This Row],[SP Premium]], "")</f>
        <v/>
      </c>
      <c r="DI132" s="406"/>
      <c r="DJ132" s="138"/>
      <c r="DK132" s="148"/>
      <c r="DL132" s="13"/>
      <c r="DM132" s="13"/>
      <c r="DN132" s="5"/>
      <c r="DO132" s="31">
        <f>IF(SnapshotTable[[#This Row],[LC Symbol Count]]=1, SnapshotTable[[#This Row],[LC Qty]] * SnapshotTable[[#This Row],[LC Book Price]] * 100, 0)</f>
        <v>0</v>
      </c>
      <c r="DP132" s="163" t="str">
        <f>IF(AND(SnapshotTable[[#This Row],[LC Exp Date]]&gt;0, SnapshotTable[[#This Row],[LC Strike Price]]&gt;0,SnapshotTable[[#This Row],[LC Qty]]&gt;0,SnapshotTable[[#This Row],[LC Book Date]]&gt;0,SnapshotTable[[#This Row],[LC Book Price]]&gt;0,SnapshotTable[[#This Row],[LC Fill Date]]=0),"Y","")</f>
        <v/>
      </c>
      <c r="DQ132" s="386" t="str">
        <f>IF(SnapshotTable[[#This Row],[LC Premium]] &gt; 0,SnapshotTable[[#This Row],[LC Exp Date]]-MAX(SnapshotTable[[#This Row],[LC Book Date]], SnapshotTable[[#This Row],[LC Fill Date]]),"")</f>
        <v/>
      </c>
      <c r="DR132" s="386" t="str">
        <f>IF(ISNUMBER(SnapshotTable[[#This Row],[LC Term]]), SnapshotTable[[#This Row],[LC Exp Date]] - MockToday, "")</f>
        <v/>
      </c>
      <c r="DS132" s="234" t="str">
        <f>IF(SnapshotTable[[#This Row],[LC Premium]]&gt;0,SnapshotTable[[#This Row],[LC Strike Price]] + SnapshotTable[[#This Row],[LC Book Price]],"")</f>
        <v/>
      </c>
      <c r="DT132" s="5"/>
      <c r="DU132" s="9" t="str">
        <f>IF(AND(SnapshotTable[[#This Row],[LC Symbol Count]]&gt;0, SnapshotTable[[#This Row],[LC Contract Value]]&gt;0), SnapshotTable[[#This Row],[LC Contract Value]] * SnapshotTable[[#This Row],[LC Qty]] * 100, "")</f>
        <v/>
      </c>
      <c r="DV132" s="9" t="str">
        <f>IF(AND(ISNUMBER(SnapshotTable[[#This Row],[LC Total Value]]), SnapshotTable[[#This Row],[LC Not Filled]]&lt;&gt;"Y"), SnapshotTable[[#This Row],[LC Total Value]]-SnapshotTable[[#This Row],[LC Premium]],"")</f>
        <v/>
      </c>
      <c r="DW132" s="240" t="str">
        <f>IF(ISNUMBER(SnapshotTable[[#This Row],[LC Actual Gain Loss]]), SnapshotTable[[#This Row],[LC Actual Gain Loss]] / SnapshotTable[[#This Row],[LC Premium]],"")</f>
        <v/>
      </c>
      <c r="DX132" s="284" t="str">
        <f>IF(ISNUMBER(SnapshotTable[[#This Row],[LC Book Price]]),SnapshotTable[[#This Row],[LC Book Price]] * 1.5,"")</f>
        <v/>
      </c>
      <c r="DY132" s="265" t="str">
        <f>IF(SnapshotTable[[#This Row],[LC Premium]]&gt;0, SnapshotTable[[#This Row],[LC Next Target]] * SnapshotTable[[#This Row],[LC Qty]] * 100,"")</f>
        <v/>
      </c>
      <c r="DZ132" s="265" t="str">
        <f>IF(ISNUMBER(SnapshotTable[[#This Row],[LC Target Gross]]), SnapshotTable[[#This Row],[LC Target Gross]] - SnapshotTable[[#This Row],[LC Premium]], "")</f>
        <v/>
      </c>
      <c r="EA132" s="305" t="str">
        <f>IF(ISNUMBER(SnapshotTable[[#This Row],[LC Target Gain Loss]]), SnapshotTable[[#This Row],[LC Target Gain Loss]]/SnapshotTable[[#This Row],[LC Premium]], "")</f>
        <v/>
      </c>
      <c r="EB132" s="262"/>
      <c r="EC132" s="283" t="str">
        <f>IF(SnapshotTable[[#This Row],[LC Premium]]&gt;0, SnapshotTable[[#This Row],[LC Book Price]] * (1 - LC_StopLoss_Pct),"")</f>
        <v/>
      </c>
      <c r="ED132" s="284"/>
      <c r="EE132" s="283" t="str">
        <f>IF(ISNUMBER(SnapshotTable[[#This Row],[LC Contract Value]]),IF(ISNUMBER(SnapshotTable[[#This Row],[LC Stop Loss Override]]), SnapshotTable[[#This Row],[LC Stop Loss Override]],SnapshotTable[[#This Row],[LC Stop Loss Calc Target]]),"")</f>
        <v/>
      </c>
      <c r="EF132" s="31" t="str">
        <f>IF(ISNUMBER(SnapshotTable[[#This Row],[LC Stop  To Use]]), (SnapshotTable[[#This Row],[LC Stop  To Use]] * SnapshotTable[[#This Row],[LC Qty]] * 100),"")</f>
        <v/>
      </c>
      <c r="EG132" s="9" t="str">
        <f>IF(ISNUMBER(SnapshotTable[[#This Row],[LC Total Value]]),SnapshotTable[[#This Row],[LC Stop Loss Amount]] - SnapshotTable[[#This Row],[LC Premium]],"")</f>
        <v/>
      </c>
      <c r="EH132" s="9">
        <f>IF(ISNUMBER(SnapshotTable[[#This Row],[LC Premium]]), SnapshotTable[[#This Row],[LC Qty]] * 100 * SnapshotTable[[#This Row],[LC Strike Price]], "")</f>
        <v>0</v>
      </c>
      <c r="EI132" s="240" t="str">
        <f>IF(AND(ISNUMBER(SnapshotTable[[#This Row],[LC Total Value]]),SnapshotTable[[#This Row],[LC Total Value]]&gt;0),SnapshotTable[[#This Row],[LC Stop Gain Loss]]  / SnapshotTable[[#This Row],[LC Premium]],"")</f>
        <v/>
      </c>
      <c r="EJ132" s="35">
        <f>IF(ISNUMBER(SnapshotTable[[#This Row],[Equity Shares]]),TRUNC(SnapshotTable[[#This Row],[Equity Shares]] / 100),0) + SnapshotTable[[#This Row],[LC Qty]]</f>
        <v>0</v>
      </c>
      <c r="EK132" s="147"/>
      <c r="EL132" s="138" t="str">
        <f>IF(SnapshotTable[[#This Row],[SC Exp Date]]&lt;&gt;"",TRUNC(SnapshotTable[[#This Row],[Last Price]]),"")</f>
        <v/>
      </c>
      <c r="EM132" s="148"/>
      <c r="EN132" s="147"/>
      <c r="EO132" s="147"/>
      <c r="EP132" s="138"/>
      <c r="EQ132" s="419" t="b">
        <f>AND(ISNUMBER(SnapshotTable[[#This Row],[SC Exp Date]]), ISNUMBER(SnapshotTable[[#This Row],[SC Strike Price]]), ISNUMBER(SnapshotTable[[#This Row],[SC Qty]]), ISNUMBER(SnapshotTable[[#This Row],[SC Book Date]]), ISNUMBER(SnapshotTable[[#This Row],[SC Book Price]]))</f>
        <v>0</v>
      </c>
      <c r="ER132" s="419" t="b">
        <f>AND(SnapshotTable[[#This Row],[SC Is Booked]], NOT(ISBLANK(SnapshotTable[[#This Row],[SC Fill Date]])))</f>
        <v>0</v>
      </c>
      <c r="ES132" s="370"/>
      <c r="ET132" s="34" t="str">
        <f>IF(AND(ISNUMBER(SnapshotTable[[#This Row],[SC Exp Date]]), ISNUMBER(SnapshotTable[[#This Row],[SC Book Date]])), SnapshotTable[[#This Row],[SC Exp Date]] - MAX(SnapshotTable[[#This Row],[SC Book Date]], SnapshotTable[[#This Row],[SC Fill Date]]) + 1, "")</f>
        <v/>
      </c>
      <c r="EU132" s="34" t="str">
        <f>IF(ISNUMBER(SnapshotTable[[#This Row],[SC Term]]), SnapshotTable[[#This Row],[SC Exp Date]]- MockToday, "")</f>
        <v/>
      </c>
      <c r="EV132" s="31">
        <f>IF(SnapshotTable[[#This Row],[SC Is Booked]], SnapshotTable[[#This Row],[SC Qty]] * SnapshotTable[[#This Row],[SC Book Price]] * 100, 0)</f>
        <v>0</v>
      </c>
      <c r="EW132" s="4" t="str">
        <f>IF(AND(ISNUMBER(SnapshotTable[[#This Row],[Last Price]]), ISNUMBER( SnapshotTable[[#This Row],[SC Book Price]])), SnapshotTable[[#This Row],[Last Price]] - SnapshotTable[[#This Row],[SC Book Price]],"")</f>
        <v/>
      </c>
      <c r="EX132" s="234" t="str">
        <f>IF(SnapshotTable[[#This Row],[SC Is Booked]],IF(SnapshotTable[[#This Row],[SC Intrinsic Value]] &gt; 0, SnapshotTable[[#This Row],[SC Strike Price]], SnapshotTable[[#This Row],[Last Price]]), "")</f>
        <v/>
      </c>
      <c r="EY132" s="4">
        <f>IF(SnapshotTable[[#This Row],[SC Is Booked]], (MinimumPremiumRequired * SnapshotTable[[#This Row],[SC Basis]] * SnapshotTable[[#This Row],[SC Term]]), 0)</f>
        <v>0</v>
      </c>
      <c r="EZ132" s="283"/>
      <c r="FA132" s="218"/>
      <c r="FB132" s="370"/>
      <c r="FC132" s="4">
        <f>IF(SnapshotTable[[#This Row],[SC Is Filled]], btc_max_buyback_amount(SnapshotTable[[#This Row],[SC Fill Date]],SnapshotTable[[#This Row],[SC Exp Date]], SnapshotTable[[#This Row],[SC Book Price]]),0)</f>
        <v>0</v>
      </c>
      <c r="FD132" s="5"/>
      <c r="FE132" s="144" t="str">
        <f>IF(SnapshotTable[[#This Row],[SC Is Filled]], btc_next_cutoff_date(SnapshotTable[[#This Row],[SC Fill Date]],SnapshotTable[[#This Row],[SC Exp Date]]),"")</f>
        <v/>
      </c>
      <c r="FF132" s="4" t="str" cm="1">
        <f t="array" ref="FF132">IF(SnapshotTable[[#This Row],[SC Is Filled]], btc_should_buy_back(SnapshotTable[[#This Row],[SC Fill Date]], SnapshotTable[[#This Row],[SC Exp Date]], SnapshotTable[[#This Row],[SC Book Price]], SnapshotTable[[#This Row],[SC Current Ask]], MockToday, SnapshotTable[[#This Row],[SC Buyback Override]]),"")</f>
        <v/>
      </c>
      <c r="FG132" s="4">
        <f>IF(SnapshotTable[[#This Row],[SC Is Filled]], MAX(0,SnapshotTable[[#This Row],[Last Price]]  - SnapshotTable[[#This Row],[SC Strike Price]]), 0)</f>
        <v>0</v>
      </c>
      <c r="FH132" s="382">
        <f>IF(SnapshotTable[[#This Row],[SC Is Filled]], IF(ISNUMBER(SnapshotTable[[#This Row],[SC Current Ask]]), SnapshotTable[[#This Row],[SC Current Ask]], SnapshotTable[[#This Row],[SC Book Price]]) - SnapshotTable[[#This Row],[SC Intrinsic Value]], 0)</f>
        <v>0</v>
      </c>
      <c r="FI132" s="143"/>
      <c r="FJ132" s="32" t="str">
        <f>IF(SnapshotTable[[#This Row],[SC Is Filled]],100 * SnapshotTable[[#This Row],[SC Qty]] * IF(ISNUMBER(SnapshotTable[[#This Row],[SC Buyback Override]]), SnapshotTable[[#This Row],[SC Buyback Override]], SnapshotTable[[#This Row],[SC Current Ask]]), "")</f>
        <v/>
      </c>
      <c r="FK132" s="250" t="str">
        <f>IF(SnapshotTable[[#This Row],[SC Time Val]]&gt;0, SnapshotTable[[#This Row],[SC Time Val]] / SnapshotTable[[#This Row],[Last Price]],"")</f>
        <v/>
      </c>
      <c r="FL132" s="302" t="str">
        <f>IF(SnapshotTable[[#This Row],[SC Is Booked]], ((SnapshotTable[[#This Row],[Last Price]] -SnapshotTable[[#This Row],[SC Strike Price]]) / SnapshotTable[[#This Row],[Last Price]]) * -1, "")</f>
        <v/>
      </c>
      <c r="FM132" s="157" t="str">
        <f>IF(SnapshotTable[[#This Row],[SC Is Booked]],  (SnapshotTable[[#This Row],[SC Qty]] * 100 * SnapshotTable[[#This Row],[SC Strike Price]]) - SnapshotTable[[#This Row],[SC Current Ask]], "")</f>
        <v/>
      </c>
      <c r="FN13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2" s="31" t="str">
        <f>IF(AND(ISNUMBER(SnapshotTable[[#This Row],[SC Exercise Gross]]), ISNUMBER(SnapshotTable[[#This Row],[Equity Basis Per Share]] )), SnapshotTable[[#This Row],[SC Exercise Gross]] - SnapshotTable[[#This Row],[Equity Basis Total]] +  SnapshotTable[[#This Row],[SC Premium]], "")</f>
        <v/>
      </c>
      <c r="FP132" s="5" t="str">
        <f>IF(ISNUMBER(SnapshotTable[[#This Row],[SC Exercise Gross]]), (SnapshotTable[[#This Row],[SC Exercise Gross]]) / (SnapshotTable[[#This Row],[SC Qty]] * 100), "")</f>
        <v/>
      </c>
      <c r="FQ132" s="27" t="str">
        <f>IF(SnapshotTable[[#This Row],[SC Is Booked]],SnapshotTable[[#This Row],[SC Time Val]] /SnapshotTable[[#This Row],[SC Basis]], "")</f>
        <v/>
      </c>
      <c r="FR132" s="27" t="str" cm="1">
        <f t="array" ref="FR132">IF(AND(ISNUMBER(SnapshotTable[[#This Row],[SC Term]]),ISNUMBER(SnapshotTable[[#This Row],[SC Simple ROO]])), EllmanAnnualize(SnapshotTable[[#This Row],[SC DTE]], SnapshotTable[[#This Row],[SC Simple ROO]] ),"")</f>
        <v/>
      </c>
      <c r="FS132" s="4" t="e">
        <f>IF(SnapshotTable[[#This Row],[SC Strike Price]] &gt; SnapshotTable[[#This Row],[Last Price]], SnapshotTable[[#This Row],[SC Strike Price]] - SnapshotTable[[#This Row],[Last Price]],0)</f>
        <v>#VALUE!</v>
      </c>
      <c r="FT132" s="27" t="e">
        <f>IF(AND(ISNUMBER(SnapshotTable[[#This Row],[SC Upside Potential]]), SnapshotTable[[#This Row],[SC Upside Potential]] &gt; 0),(SnapshotTable[[#This Row],[SC Upside Potential]]/ SnapshotTable[[#This Row],[ACB]]),"")</f>
        <v>#VALUE!</v>
      </c>
      <c r="FU132" s="333" t="str">
        <f>IF(SnapshotTable[[#This Row],[SC Intrinsic Value]] &gt; 0,SnapshotTable[[#This Row],[SC Intrinsic Value]],"")</f>
        <v/>
      </c>
      <c r="FV132" s="27" t="str">
        <f>IF(AND( ISNUMBER( SnapshotTable[[#This Row],[ACB]]),ISNUMBER(SnapshotTable[[#This Row],[SC Downside Protect]])),SnapshotTable[[#This Row],[SC Downside Protect]] / SnapshotTable[[#This Row],[ACB]],"")</f>
        <v/>
      </c>
      <c r="FW132" s="236" t="str">
        <f>IF(AND(ISNUMBER(SnapshotTable[[#This Row],[SC Simple ROO]]),SnapshotTable[[#This Row],[SC Simple ROO]] &gt; 0), SnapshotTable[[#This Row],[SC Premium]] + (SnapshotTable[[#This Row],[SC Qty]] * SnapshotTable[[#This Row],[SC Upside Potential]]), "")</f>
        <v/>
      </c>
      <c r="FX132" s="302" t="str" cm="1">
        <f t="array" ref="FX132">IF(ISNUMBER(SnapshotTable[[#This Row],[SC Max Dollars]]), annualize(SnapshotTable[[#This Row],[SC Term]],(SnapshotTable[[#This Row],[SC Max Dollars]]/SnapshotTable[[#This Row],[SC Basis]])),"")</f>
        <v/>
      </c>
      <c r="FY132" s="236" t="str">
        <f>IF(AND(SnapshotTable[[#This Row],[SC Qty]]&gt;0,SnapshotTable[[#This Row],[SC Current Ask]]&gt;0), SnapshotTable[[#This Row],[SC Qty]] * SnapshotTable[[#This Row],[SC Current Ask]] * -100, "")</f>
        <v/>
      </c>
      <c r="FZ132" s="31" t="str">
        <f>IF(ISNUMBER((SnapshotTable[[#This Row],[SC Current Value]])), SnapshotTable[[#This Row],[SC Premium]] + SnapshotTable[[#This Row],[SC Current Value]], "")</f>
        <v/>
      </c>
      <c r="GA132" s="294" t="str">
        <f>IFERROR( IF(ISNUMBER((SnapshotTable[[#This Row],[SC Current Value]])), SnapshotTable[[#This Row],[SC Gain Loss]] / SnapshotTable[[#This Row],[SC Premium]], ""), "")</f>
        <v/>
      </c>
      <c r="GB132" s="42">
        <f>SnapshotTable[[#This Row],[Equity Shares]] * SaleSharesToConsiderPercentage</f>
        <v>0</v>
      </c>
      <c r="GC132" s="40">
        <f>SnapshotTable[[#This Row],[Long Term Target]] * SellingPriceToConsiderBasedOnTargetPercentage</f>
        <v>19</v>
      </c>
      <c r="GD132" s="40">
        <f>SnapshotTable[[#This Row],[Last Price]] * (1+ SellingPriceToConsiderBasedOnTargetPercentage)</f>
        <v>27.768000000000001</v>
      </c>
      <c r="GE132" s="41">
        <v>50</v>
      </c>
      <c r="GF132" s="40">
        <v>34.880000000000003</v>
      </c>
      <c r="GG132" s="31">
        <f>SnapshotTable[[#This Row],[Booked Sale Shares]] * SnapshotTable[[#This Row],[Booked Sale Price]]</f>
        <v>1744.0000000000002</v>
      </c>
      <c r="GH132" s="31" t="str">
        <f>IF(SnapshotTable[[#This Row],[Equity Basis Total]] &gt; 0, SnapshotTable[[#This Row],[Equity Basis Per Share]] * SnapshotTable[[#This Row],[Booked Sale Shares]], "")</f>
        <v/>
      </c>
      <c r="GI132" s="31" t="e">
        <f>IF(SnapshotTable[[#This Row],[Sale Proceeds]]&gt;0, SnapshotTable[[#This Row],[Sale Proceeds]] - SnapshotTable[[#This Row],[Sale Basis]], 0)</f>
        <v>#VALUE!</v>
      </c>
      <c r="GJ132" s="27" t="e">
        <f>IF(SnapshotTable[[#This Row],[Sale G/L]]&gt;0, SnapshotTable[[#This Row],[Sale G/L]] / SnapshotTable[[#This Row],[Sale Basis]], IF(ISNUMBER(SnapshotTable[[#This Row],[SC Exercise P&amp;L (TAX)]]), SnapshotTable[[#This Row],[SC Exercise P&amp;L (TAX)]] / SnapshotTable[[#This Row],[SC Basis]], ""))</f>
        <v>#VALUE!</v>
      </c>
      <c r="GK132" s="27" t="s">
        <v>684</v>
      </c>
      <c r="GL132" s="43" t="str">
        <f>IF(AND(SnapshotTable[[#This Row],[LP Exp Date]]&gt;0,SnapshotTable[[#This Row],[LP Strike Price]]&gt;0), [1]!ToOptionSymbol(SnapshotTable[[#This Row],[Symbol]], SnapshotTable[[#This Row],[LP Strike Price]],SnapshotTable[[#This Row],[LP Exp Date]],1), "")</f>
        <v/>
      </c>
      <c r="GM132" s="30" t="str">
        <f>IF(LEN(SnapshotTable[[#This Row],[LP Symbol]])&gt;0, 1, "")</f>
        <v/>
      </c>
      <c r="GN132" s="43" t="str">
        <f>IF(AND(SnapshotTable[[#This Row],[SP Exp Date]]&gt;0,SnapshotTable[[#This Row],[SP Strike Price]]&gt;0), [1]!ToOptionSymbol(SnapshotTable[[#This Row],[Symbol]], SnapshotTable[[#This Row],[SP Strike Price]],SnapshotTable[[#This Row],[SP Exp Date]],1), "")</f>
        <v/>
      </c>
      <c r="GO132" s="30" t="str">
        <f>IF(LEN(SnapshotTable[[#This Row],[SP Symbol]])&gt;0, 1, "")</f>
        <v/>
      </c>
      <c r="GP132" s="43" t="str">
        <f>IF(AND(SnapshotTable[[#This Row],[LC Exp Date]]&gt;0,SnapshotTable[[#This Row],[LC Strike Price]]&gt;0), [1]!ToOptionSymbol(SnapshotTable[[#This Row],[Symbol]], SnapshotTable[[#This Row],[LC Strike Price]],SnapshotTable[[#This Row],[LC Exp Date]],0), "")</f>
        <v/>
      </c>
      <c r="GQ132" s="30" t="str">
        <f>IF(LEN(SnapshotTable[[#This Row],[LC Symbol]])&gt;0, 1, "")</f>
        <v/>
      </c>
      <c r="GR132" s="43" t="str">
        <f>IF(AND(SnapshotTable[[#This Row],[SC Exp Date]]&gt;0,SnapshotTable[[#This Row],[SC Strike Price]]&gt;0), [1]!ToOptionSymbol(SnapshotTable[[#This Row],[Symbol]], SnapshotTable[[#This Row],[SC Strike Price]],SnapshotTable[[#This Row],[SC Exp Date]],0), "")</f>
        <v/>
      </c>
      <c r="GS132" s="30" t="str">
        <f>IF(LEN(SnapshotTable[[#This Row],[SC Symbol]])&gt;0, 1, "")</f>
        <v/>
      </c>
      <c r="GT132" s="29" t="str">
        <f>IF(COUNT(SnapshotTable[[#This Row],[LP Symbol Count]],SnapshotTable[[#This Row],[SP Symbol Count]],SnapshotTable[[#This Row],[LC Symbol Count]],SnapshotTable[[#This Row],[SC Symbol Count]])&gt;0, "Y", "")</f>
        <v/>
      </c>
      <c r="GU13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2" s="231" t="e">
        <f>MAX(SnapshotTable[[#This Row],[Equity Basis Total]],SnapshotTable[[#This Row],[Equity Value]]) + (SnapshotTable[[#This Row],[SP Potential Spend]]- SnapshotTable[[#This Row],[SP Premium]] + SnapshotTable[[#This Row],[LP Premium]])+ (SnapshotTable[[#This Row],[LC Premium]] - SnapshotTable[[#This Row],[SC Premium]])</f>
        <v>#VALUE!</v>
      </c>
      <c r="GW132" s="139" t="e">
        <f>IF(AND(SnapshotTable[[#This Row],[Exposure]] &lt;&gt; 0),SnapshotTable[[#This Row],[Exposure]] / SnapshotTable[[#Totals],[Exposure]], "")</f>
        <v>#VALUE!</v>
      </c>
      <c r="GY132" s="381"/>
      <c r="HE132" s="268"/>
      <c r="HF132" s="268"/>
      <c r="HG132" s="381"/>
      <c r="HH132" s="381"/>
      <c r="HI132" s="381"/>
      <c r="HJ132" s="381"/>
    </row>
    <row r="133" spans="2:224" ht="12.75" hidden="1" customHeight="1" x14ac:dyDescent="0.25">
      <c r="B133" s="12" t="s">
        <v>612</v>
      </c>
      <c r="C133" s="422">
        <v>47.89</v>
      </c>
      <c r="D133" s="208"/>
      <c r="E133" s="39">
        <f>SnapshotTable[[#This Row],[Last Price]]*(1 -CrashDiscount)</f>
        <v>40.706499999999998</v>
      </c>
      <c r="F133" s="26" t="s">
        <v>613</v>
      </c>
      <c r="G133" s="26" t="s">
        <v>9</v>
      </c>
      <c r="H133" s="149"/>
      <c r="I133" s="194">
        <v>44721.670138888891</v>
      </c>
      <c r="J133" s="195">
        <v>44721.670138888891</v>
      </c>
      <c r="K133" s="196" t="s">
        <v>3</v>
      </c>
      <c r="L133" s="326"/>
      <c r="M133" s="140"/>
      <c r="N133" s="140"/>
      <c r="O133" s="140"/>
      <c r="P133" s="22"/>
      <c r="Q133" s="25"/>
      <c r="R133" s="4" t="str">
        <f>IF(SnapshotTable[[#This Row],[Equity Basis Total]] &gt; 0, SnapshotTable[[#This Row],[Equity Basis Total]] / SnapshotTable[[#This Row],[Equity Shares]], "")</f>
        <v/>
      </c>
      <c r="S133" s="269">
        <f>SnapshotTable[[#This Row],[Last Price]] * SnapshotTable[[#This Row],[Equity Shares]]</f>
        <v>0</v>
      </c>
      <c r="T133" s="269">
        <f>SnapshotTable[[#This Row],[Equity Value]] - SnapshotTable[[#This Row],[Equity Basis Total]]</f>
        <v>0</v>
      </c>
      <c r="U133" s="270" t="str">
        <f>IF(SnapshotTable[[#This Row],[Equity Basis Total]] &gt; 0, SnapshotTable[[#This Row],[Equity G/L]] / SnapshotTable[[#This Row],[Equity Basis Total]], "")</f>
        <v/>
      </c>
      <c r="V133" s="268"/>
      <c r="W133" s="268"/>
      <c r="X133" s="4" t="str">
        <f>IF(AND(ISNUMBER(SnapshotTable[[#This Row],[Equity Basis Per Share]]),ISNUMBER(SnapshotTable[[#This Row],[Equity Target]])),SnapshotTable[[#This Row],[Equity Target]]-SnapshotTable[[#This Row],[Equity Basis Per Share]],"")</f>
        <v/>
      </c>
      <c r="Y133" s="4" t="str">
        <f>IF(AND(ISNUMBER(SnapshotTable[[#This Row],[Equity Basis Per Share]]),ISNUMBER(SnapshotTable[[#This Row],[Equity Stop Loss]])),SnapshotTable[[#This Row],[Equity Stop Loss]]-SnapshotTable[[#This Row],[Equity Basis Per Share]],"")</f>
        <v/>
      </c>
      <c r="Z133" s="275" t="str">
        <f>IFERROR( TEXT(SnapshotTable[[#This Row],[Equity Max Gain Per Share]] /ABS( SnapshotTable[[#This Row],[Equity Max Loss Per Share]]),"0.0 " ) &amp; " : 1", "")</f>
        <v/>
      </c>
      <c r="AA133" s="31" t="str">
        <f>IF(ISNUMBER(SnapshotTable[[#This Row],[Equity Max Gain Per Share]]),SnapshotTable[[#This Row],[Equity Max Gain Per Share]] * SnapshotTable[[#This Row],[Equity Shares]],"")</f>
        <v/>
      </c>
      <c r="AB133" s="31" t="str">
        <f>IF(ISNUMBER(SnapshotTable[[#This Row],[Equity Max Loss Per Share]]),SnapshotTable[[#This Row],[Equity Max Loss Per Share]] * SnapshotTable[[#This Row],[Equity Shares]],"")</f>
        <v/>
      </c>
      <c r="AC133" s="150"/>
      <c r="AD133" s="151"/>
      <c r="AE133" s="31">
        <f>(SnapshotTable[[#This Row],[Annual Dividend Per Share]] / 4) * SnapshotTable[[#This Row],[Equity Shares]]</f>
        <v>0</v>
      </c>
      <c r="AF133" s="31">
        <f>SnapshotTable[[#This Row],[Quarterly Div $]] * 4</f>
        <v>0</v>
      </c>
      <c r="AG133" s="7">
        <f>IF(SnapshotTable[[#This Row],[Annual Dividend Per Share]]&gt;0, SnapshotTable[[#This Row],[Annual Dividend Per Share]]  / SnapshotTable[[#This Row],[Last Price]], 0)</f>
        <v>0</v>
      </c>
      <c r="AH133" s="151"/>
      <c r="AI133" s="5"/>
      <c r="AJ133" s="138">
        <v>90.46</v>
      </c>
      <c r="AK133" s="152" t="str">
        <f>IF(ISNUMBER( SnapshotTable[[#This Row],[EBF Target]]),(SnapshotTable[[#This Row],[EBF Target]] - SnapshotTable[[#This Row],[Last Price]]) / SnapshotTable[[#This Row],[Last Price]], "")</f>
        <v/>
      </c>
      <c r="AL133" s="152" t="str">
        <f>IF(AND(SnapshotTable[[#This Row],[Equity Basis Total]] &gt; 0,ISNUMBER( SnapshotTable[[#This Row],[Long Term Target]])), SnapshotTable[[#This Row],[From Basis $]] / SnapshotTable[[#This Row],[Equity Basis Total]], "")</f>
        <v/>
      </c>
      <c r="AM133" s="9">
        <f>IF( AND(SnapshotTable[[#This Row],[Equity Shares]] &gt;0,ISNUMBER( SnapshotTable[[#This Row],[Long Term Target]])),(SnapshotTable[[#This Row],[Equity Shares]] * SnapshotTable[[#This Row],[Long Term Target]]) - SnapshotTable[[#This Row],[Equity Basis Total]],0)</f>
        <v>0</v>
      </c>
      <c r="AN133" s="9">
        <f>IF( AND(SnapshotTable[[#This Row],[Equity Shares]] &gt;0,ISNUMBER( SnapshotTable[[#This Row],[Long Term Target]])),(SnapshotTable[[#This Row],[Equity Shares]]*SnapshotTable[[#This Row],[Long Term Target]]) - SnapshotTable[[#This Row],[Equity Value]],0)</f>
        <v>0</v>
      </c>
      <c r="AO133" s="152">
        <f>IF(AND(ISNUMBER( SnapshotTable[[#This Row],[Long Term Target]]), ISNUMBER(SnapshotTable[[#This Row],[Last Price]])),(SnapshotTable[[#This Row],[Long Term Target]] - SnapshotTable[[#This Row],[Last Price]]) / SnapshotTable[[#This Row],[Last Price]], "")</f>
        <v>0.88891209020672357</v>
      </c>
      <c r="AP133" s="5">
        <v>135</v>
      </c>
      <c r="AQ133" s="38" t="s">
        <v>38</v>
      </c>
      <c r="AR133" s="5">
        <v>135</v>
      </c>
      <c r="AS133" s="38" t="s">
        <v>26</v>
      </c>
      <c r="AT133" s="146"/>
      <c r="AU133" s="187" t="str">
        <f>IF(OR(SnapshotTable[[#This Row],[LP No Fill]]="Y",SnapshotTable[[#This Row],[SP Is Filled]],SnapshotTable[[#This Row],[LC Not Filled]]="Y",SnapshotTable[[#This Row],[SC Is Filled]]),"Y","")</f>
        <v/>
      </c>
      <c r="AV133" s="219"/>
      <c r="AW133" s="225"/>
      <c r="AX133" s="220"/>
      <c r="AY133" s="219" t="str">
        <f>IF(SnapshotTable[[#This Row],[Implied Move]]&gt;0, SnapshotTable[[#This Row],[Last Price]]-SnapshotTable[[#This Row],[Implied Move]],"")</f>
        <v/>
      </c>
      <c r="AZ133" s="219" t="str">
        <f>IF(SnapshotTable[[#This Row],[Implied Move]]&gt;0, SnapshotTable[[#This Row],[Last Price]] + SnapshotTable[[#This Row],[Implied Move]],"")</f>
        <v/>
      </c>
      <c r="BA133" s="331"/>
      <c r="BB133" s="347"/>
      <c r="BC13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3" s="351"/>
      <c r="BE133" s="138"/>
      <c r="BF133" s="166"/>
      <c r="BG133" s="167"/>
      <c r="BH133" s="167"/>
      <c r="BI133" s="221"/>
      <c r="BJ133" s="153">
        <f>IF(SnapshotTable[[#This Row],[LP Qty]] &gt; 0, SnapshotTable[[#This Row],[LP Qty]] * SnapshotTable[[#This Row],[LP Book Price]] * 100,0)</f>
        <v>0</v>
      </c>
      <c r="BK133" s="136">
        <f>IF(SnapshotTable[[#This Row],[LP Premium]] &gt; 0, SnapshotTable[[#This Row],[LP Qty]] * SnapshotTable[[#This Row],[LP Strike Price]] * 100,0)</f>
        <v>0</v>
      </c>
      <c r="BL133" s="154"/>
      <c r="BM133" s="385" t="str">
        <f>IF(SnapshotTable[[#This Row],[LP Premium]] &gt; 0,SnapshotTable[[#This Row],[LP Exp Date]]-MAX(SnapshotTable[[#This Row],[LP Book Date]], SnapshotTable[[#This Row],[LP Fill Date]]),"")</f>
        <v/>
      </c>
      <c r="BN133" s="385" t="str">
        <f>IF(ISNUMBER( SnapshotTable[[#This Row],[LP Term]]), SnapshotTable[[#This Row],[LP Exp Date]] - MockToday,"")</f>
        <v/>
      </c>
      <c r="BO133" s="163" t="str">
        <f>IF(AND(SnapshotTable[[#This Row],[LP Exp Date]]&gt;0, SnapshotTable[[#This Row],[LP Strike Price]]&gt;0,SnapshotTable[[#This Row],[LP Qty]]&gt;0,SnapshotTable[[#This Row],[LP Book Date]]&gt;0,SnapshotTable[[#This Row],[LP Book Price]]&gt;0,SnapshotTable[[#This Row],[LP Fill Date]]=0),"Y","")</f>
        <v/>
      </c>
      <c r="BP133" s="31" t="str">
        <f>IF(AND(SnapshotTable[[#This Row],[LP No Fill]]&lt;&gt;"Y",SnapshotTable[[#This Row],[LP Contract Value]]&gt;0, SnapshotTable[[#This Row],[LP Qty]]&gt;0), SnapshotTable[[#This Row],[LP Contract Value]]*SnapshotTable[[#This Row],[LP Qty]]*100,"")</f>
        <v/>
      </c>
      <c r="BQ133" s="13"/>
      <c r="BR133" s="5" t="str">
        <f>IF(SnapshotTable[[#This Row],[SP Exp Date]]&lt;&gt;"",TRUNC(SnapshotTable[[#This Row],[Last Price]]),"")</f>
        <v/>
      </c>
      <c r="BS133" s="36"/>
      <c r="BT133" s="147"/>
      <c r="BU133" s="13"/>
      <c r="BV133" s="5"/>
      <c r="BW133" s="419" t="b">
        <f>AND(ISNUMBER(SnapshotTable[[#This Row],[SP Exp Date]]), ISNUMBER(SnapshotTable[[#This Row],[SP Strike Price]]), ISNUMBER(SnapshotTable[[#This Row],[SP Qty]]), ISNUMBER(SnapshotTable[[#This Row],[SP Book Date]]), ISNUMBER(SnapshotTable[[#This Row],[SP Book Price]]))</f>
        <v>0</v>
      </c>
      <c r="BX133" s="419" t="b">
        <f>AND(SnapshotTable[[#This Row],[SP Is Booked]], NOT(ISBLANK(SnapshotTable[[#This Row],[SP Fill Date]])))</f>
        <v>0</v>
      </c>
      <c r="BY133" s="33">
        <f>IF(SnapshotTable[[#This Row],[SP Is Booked]], SnapshotTable[[#This Row],[SP Qty]] * SnapshotTable[[#This Row],[SP Book Price]] * 100, 0)</f>
        <v>0</v>
      </c>
      <c r="BZ133" s="369"/>
      <c r="CA133" s="368">
        <f>SnapshotTable[[#This Row],[LP Qty]]</f>
        <v>0</v>
      </c>
      <c r="CB133" s="4" t="str">
        <f>IF(SnapshotTable[[#This Row],[SP Is Booked]], SnapshotTable[[#This Row],[SP Strike Price]] - SnapshotTable[[#This Row],[SP Book Price]], "")</f>
        <v/>
      </c>
      <c r="CC133" s="19" t="str">
        <f>IF(SnapshotTable[[#This Row],[SP Is Booked]],SnapshotTable[[#This Row],[SP Exp Date]]-MAX(SnapshotTable[[#This Row],[SP Book Date]], SnapshotTable[[#This Row],[SP Fill Date]]),"")</f>
        <v/>
      </c>
      <c r="CD133" s="7" t="str">
        <f>IF(SnapshotTable[[#This Row],[SP Is Booked]], SnapshotTable[[#This Row],[SP Book Price]]/SnapshotTable[[#This Row],[SP Strike Price]], "")</f>
        <v/>
      </c>
      <c r="CE133" s="7" t="str">
        <f>IF(ISNUMBER(SnapshotTable[[#This Row],[SP ROO Term]]),SnapshotTable[[#This Row],[SP ROO Term]]*(365/SnapshotTable[[#This Row],[SP Term]]),"")</f>
        <v/>
      </c>
      <c r="CF133" s="236">
        <f>SnapshotTable[[#This Row],[LP Strike Price]] * SnapshotTable[[#This Row],[LP Qty]] * 100</f>
        <v>0</v>
      </c>
      <c r="CG133" s="31" t="e">
        <f>IF(ISNUMBER(SnapshotTable[[#This Row],[SP Premium]]), (SnapshotTable[[#This Row],[SP Qty]] * SnapshotTable[[#This Row],[SP Strike Price]]* 100) - SnapshotTable[[#This Row],[LP Protection]], 0)</f>
        <v>#VALUE!</v>
      </c>
      <c r="CH133" s="7" t="str">
        <f>IF(ISNUMBER(SnapshotTable[[#This Row],[SP Break Even]]),-1 * (SnapshotTable[[#This Row],[SP Break Even]] - SnapshotTable[[#This Row],[Last Price]]) / SnapshotTable[[#This Row],[Last Price]], "")</f>
        <v/>
      </c>
      <c r="CI133" s="31">
        <f>IF(AND(ISNUMBER((SnapshotTable[[#This Row],[SP Potential Spend]])), SnapshotTable[[#This Row],[SP Strike Price]] &gt; SnapshotTable[[#This Row],[Last Price]], SnapshotTable[[#This Row],[SP Is Filled]]), SnapshotTable[[#This Row],[SP Potential Spend]] -  SnapshotTable[[#This Row],[LP Max Value]], 0)</f>
        <v>0</v>
      </c>
      <c r="CJ133" s="244"/>
      <c r="CK133" s="31" t="str">
        <f>IF(ISNUMBER(SnapshotTable[[#This Row],[SP Potential Spend]]),IF(ISNUMBER(SnapshotTable[[#This Row],[SP POW]]), SnapshotTable[[#This Row],[SP POW]] * SnapshotTable[[#This Row],[SP Potential Spend]], SnapshotTable[[#This Row],[SP Potential Spend]]), "")</f>
        <v/>
      </c>
      <c r="CL133" s="164" t="e">
        <f>IF(NOT(SnapshotTable[[#This Row],[SP Is Filled]]),(SnapshotTable[[#This Row],[SP Qty]] * SnapshotTable[[#This Row],[SP Strike Price]] * 100) - SnapshotTable[[#This Row],[LP Max Value]],"")</f>
        <v>#VALUE!</v>
      </c>
      <c r="CM133" s="31" t="str">
        <f>IF(SnapshotTable[[#This Row],[SP Actual Spend]]&lt;&gt;0, ((SnapshotTable[[#This Row],[SP Strike Price]]-SnapshotTable[[#This Row],[Last Price]]) *(SnapshotTable[[#This Row],[SP Qty]]*100) - SnapshotTable[[#This Row],[SP Premium]]) * - 1, "")</f>
        <v/>
      </c>
      <c r="CN133" s="154"/>
      <c r="CO133" s="369"/>
      <c r="CP133" s="4" t="str">
        <f>IF(SnapshotTable[[#This Row],[SP Is Filled]], btc_max_buyback_amount(SnapshotTable[[#This Row],[SP Fill Date]],SnapshotTable[[#This Row],[SP Exp Date]], SnapshotTable[[#This Row],[SP Book Price]]),"")</f>
        <v/>
      </c>
      <c r="CQ133" s="78"/>
      <c r="CR13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3" s="155" t="str">
        <f>IF(SnapshotTable[[#This Row],[SP Is Filled]], btc_next_cutoff_date(SnapshotTable[[#This Row],[SP Fill Date]],SnapshotTable[[#This Row],[SP Exp Date]]),"")</f>
        <v/>
      </c>
      <c r="CT133" s="235" t="str" cm="1">
        <f t="array" ref="CT133">IF(SnapshotTable[[#This Row],[SP Is Filled]], btc_should_buy_back(SnapshotTable[[#This Row],[SP Fill Date]], SnapshotTable[[#This Row],[SP Exp Date]], SnapshotTable[[#This Row],[SP Book Price]], SnapshotTable[[#This Row],[SP Current Ask]], MockToday, SnapshotTable[[#This Row],[SP Buyback Override]]),"")</f>
        <v/>
      </c>
      <c r="CU133" s="156"/>
      <c r="CV133" s="235"/>
      <c r="CW133" s="378" t="str">
        <f>IF(ISNUMBER( SnapshotTable[[#This Row],[SP Term]]), SnapshotTable[[#This Row],[SP Exp Date]] - MockToday,"")</f>
        <v/>
      </c>
      <c r="CX133" s="31" t="str">
        <f>IF(SnapshotTable[[#This Row],[SP Is Filled]],SnapshotTable[[#This Row],[SP Buyback Price to Use]] * 100 * SnapshotTable[[#This Row],[SP Qty]], "")</f>
        <v/>
      </c>
      <c r="CY133" s="4" t="str">
        <f>IF(ISNUMBER(SnapshotTable[[#This Row],[SP Strike Price]]), SnapshotTable[[#This Row],[SP Strike Price]] * (1 - SP_MaxLoss_StrikePct), "")</f>
        <v/>
      </c>
      <c r="CZ133" s="31" t="str">
        <f>IF(ISNUMBER(SnapshotTable[[#This Row],[SP Strike  Stop Per Share]]),SnapshotTable[[#This Row],[SP Premium]] - ((SnapshotTable[[#This Row],[SP Strike Price]]-SnapshotTable[[#This Row],[SP Strike  Stop Per Share]]) *(SnapshotTable[[#This Row],[SP Qty]] * 100)),"")</f>
        <v/>
      </c>
      <c r="DA133" s="4" t="str">
        <f>IF(AND(ISNUMBER(SnapshotTable[[#This Row],[SP Premium]]),SnapshotTable[[#This Row],[SP Premium]]&gt;0), SnapshotTable[[#This Row],[SP Book Price]] * (1 + SP_MaxLoss_OptionPct), "")</f>
        <v/>
      </c>
      <c r="DB133" s="31" t="str">
        <f>IF(ISNUMBER(SnapshotTable[[#This Row],[SP Option  Stop Contract]]),(SnapshotTable[[#This Row],[SP Option  Stop Contract]] *(SnapshotTable[[#This Row],[SP Qty]] * 100) - SnapshotTable[[#This Row],[SP Premium]]),"")</f>
        <v/>
      </c>
      <c r="DC133" s="4"/>
      <c r="DD133" s="4"/>
      <c r="DE133" s="4" t="str">
        <f>IF(AND(SnapshotTable[[#This Row],[SP Qty]]&gt;0, SnapshotTable[[#This Row],[SP Stop To Use]]&gt;0),SnapshotTable[[#This Row],[SP Premium]] - ( SnapshotTable[[#This Row],[SP Qty]] * SnapshotTable[[#This Row],[SP Stop To Use]] * 100), "")</f>
        <v/>
      </c>
      <c r="DF133" s="31" t="str">
        <f>IF(AND(SnapshotTable[[#This Row],[SP Qty]]&gt;0,SnapshotTable[[#This Row],[SP Current Ask]]&gt;0), SnapshotTable[[#This Row],[SP Qty]] * SnapshotTable[[#This Row],[SP Current Ask]] * -100, "")</f>
        <v/>
      </c>
      <c r="DG133" s="31" t="str">
        <f>IF(ISNUMBER((SnapshotTable[[#This Row],[SP Total Value]])), SnapshotTable[[#This Row],[SP Premium]] + SnapshotTable[[#This Row],[SP Total Value]], "")</f>
        <v/>
      </c>
      <c r="DH133" s="294" t="str">
        <f>IF(ISNUMBER((SnapshotTable[[#This Row],[SP Total Value]])), SnapshotTable[[#This Row],[SP Gain Loss]] / SnapshotTable[[#This Row],[SP Premium]], "")</f>
        <v/>
      </c>
      <c r="DI133" s="406"/>
      <c r="DJ133" s="138"/>
      <c r="DK133" s="148"/>
      <c r="DL133" s="147"/>
      <c r="DM133" s="147"/>
      <c r="DO133" s="31">
        <f>IF(SnapshotTable[[#This Row],[LC Symbol Count]]=1, SnapshotTable[[#This Row],[LC Qty]] * SnapshotTable[[#This Row],[LC Book Price]] * 100, 0)</f>
        <v>0</v>
      </c>
      <c r="DP133" s="163" t="str">
        <f>IF(AND(SnapshotTable[[#This Row],[LC Exp Date]]&gt;0, SnapshotTable[[#This Row],[LC Strike Price]]&gt;0,SnapshotTable[[#This Row],[LC Qty]]&gt;0,SnapshotTable[[#This Row],[LC Book Date]]&gt;0,SnapshotTable[[#This Row],[LC Book Price]]&gt;0,SnapshotTable[[#This Row],[LC Fill Date]]=0),"Y","")</f>
        <v/>
      </c>
      <c r="DQ133" s="386" t="str">
        <f>IF(SnapshotTable[[#This Row],[LC Premium]] &gt; 0,SnapshotTable[[#This Row],[LC Exp Date]]-MAX(SnapshotTable[[#This Row],[LC Book Date]], SnapshotTable[[#This Row],[LC Fill Date]]),"")</f>
        <v/>
      </c>
      <c r="DR133" s="386" t="str">
        <f>IF(ISNUMBER(SnapshotTable[[#This Row],[LC Term]]), SnapshotTable[[#This Row],[LC Exp Date]] - MockToday, "")</f>
        <v/>
      </c>
      <c r="DS133" s="234" t="str">
        <f>IF(SnapshotTable[[#This Row],[LC Premium]]&gt;0,SnapshotTable[[#This Row],[LC Strike Price]] + SnapshotTable[[#This Row],[LC Book Price]],"")</f>
        <v/>
      </c>
      <c r="DU133" s="9" t="str">
        <f>IF(AND(SnapshotTable[[#This Row],[LC Symbol Count]]&gt;0, SnapshotTable[[#This Row],[LC Contract Value]]&gt;0), SnapshotTable[[#This Row],[LC Contract Value]] * SnapshotTable[[#This Row],[LC Qty]] * 100, "")</f>
        <v/>
      </c>
      <c r="DV133" s="9" t="str">
        <f>IF(AND(ISNUMBER(SnapshotTable[[#This Row],[LC Total Value]]), SnapshotTable[[#This Row],[LC Not Filled]]&lt;&gt;"Y"), SnapshotTable[[#This Row],[LC Total Value]]-SnapshotTable[[#This Row],[LC Premium]],"")</f>
        <v/>
      </c>
      <c r="DW133" s="240" t="str">
        <f>IF(ISNUMBER(SnapshotTable[[#This Row],[LC Actual Gain Loss]]), SnapshotTable[[#This Row],[LC Actual Gain Loss]] / SnapshotTable[[#This Row],[LC Premium]],"")</f>
        <v/>
      </c>
      <c r="DX133" s="284" t="str">
        <f>IF(ISNUMBER(SnapshotTable[[#This Row],[LC Book Price]]),SnapshotTable[[#This Row],[LC Book Price]] * 1.5,"")</f>
        <v/>
      </c>
      <c r="DY133" s="265" t="str">
        <f>IF(SnapshotTable[[#This Row],[LC Premium]]&gt;0, SnapshotTable[[#This Row],[LC Next Target]] * SnapshotTable[[#This Row],[LC Qty]] * 100,"")</f>
        <v/>
      </c>
      <c r="DZ133" s="265" t="str">
        <f>IF(ISNUMBER(SnapshotTable[[#This Row],[LC Target Gross]]), SnapshotTable[[#This Row],[LC Target Gross]] - SnapshotTable[[#This Row],[LC Premium]], "")</f>
        <v/>
      </c>
      <c r="EA133" s="305" t="str">
        <f>IF(ISNUMBER(SnapshotTable[[#This Row],[LC Target Gain Loss]]), SnapshotTable[[#This Row],[LC Target Gain Loss]]/SnapshotTable[[#This Row],[LC Premium]], "")</f>
        <v/>
      </c>
      <c r="EB133" s="262"/>
      <c r="EC133" s="283" t="str">
        <f>IF(SnapshotTable[[#This Row],[LC Premium]]&gt;0, SnapshotTable[[#This Row],[LC Book Price]] * (1 - LC_StopLoss_Pct),"")</f>
        <v/>
      </c>
      <c r="ED133" s="284"/>
      <c r="EE133" s="283" t="str">
        <f>IF(ISNUMBER(SnapshotTable[[#This Row],[LC Contract Value]]),IF(ISNUMBER(SnapshotTable[[#This Row],[LC Stop Loss Override]]), SnapshotTable[[#This Row],[LC Stop Loss Override]],SnapshotTable[[#This Row],[LC Stop Loss Calc Target]]),"")</f>
        <v/>
      </c>
      <c r="EF133" s="31" t="str">
        <f>IF(ISNUMBER(SnapshotTable[[#This Row],[LC Stop  To Use]]), (SnapshotTable[[#This Row],[LC Stop  To Use]] * SnapshotTable[[#This Row],[LC Qty]] * 100),"")</f>
        <v/>
      </c>
      <c r="EG133" s="9" t="str">
        <f>IF(ISNUMBER(SnapshotTable[[#This Row],[LC Total Value]]),SnapshotTable[[#This Row],[LC Stop Loss Amount]] - SnapshotTable[[#This Row],[LC Premium]],"")</f>
        <v/>
      </c>
      <c r="EH133" s="9">
        <f>IF(ISNUMBER(SnapshotTable[[#This Row],[LC Premium]]), SnapshotTable[[#This Row],[LC Qty]] * 100 * SnapshotTable[[#This Row],[LC Strike Price]], "")</f>
        <v>0</v>
      </c>
      <c r="EI133" s="240" t="str">
        <f>IF(AND(ISNUMBER(SnapshotTable[[#This Row],[LC Total Value]]),SnapshotTable[[#This Row],[LC Total Value]]&gt;0),SnapshotTable[[#This Row],[LC Stop Gain Loss]]  / SnapshotTable[[#This Row],[LC Premium]],"")</f>
        <v/>
      </c>
      <c r="EJ133" s="35">
        <f>IF(ISNUMBER(SnapshotTable[[#This Row],[Equity Shares]]),TRUNC(SnapshotTable[[#This Row],[Equity Shares]] / 100),0) + SnapshotTable[[#This Row],[LC Qty]]</f>
        <v>0</v>
      </c>
      <c r="EK133" s="147"/>
      <c r="EL133" s="138" t="str">
        <f>IF(SnapshotTable[[#This Row],[SC Exp Date]]&lt;&gt;"",TRUNC(SnapshotTable[[#This Row],[Last Price]]),"")</f>
        <v/>
      </c>
      <c r="EM133" s="148"/>
      <c r="EN133" s="147"/>
      <c r="EO133" s="147"/>
      <c r="EP133" s="138"/>
      <c r="EQ133" s="419" t="b">
        <f>AND(ISNUMBER(SnapshotTable[[#This Row],[SC Exp Date]]), ISNUMBER(SnapshotTable[[#This Row],[SC Strike Price]]), ISNUMBER(SnapshotTable[[#This Row],[SC Qty]]), ISNUMBER(SnapshotTable[[#This Row],[SC Book Date]]), ISNUMBER(SnapshotTable[[#This Row],[SC Book Price]]))</f>
        <v>0</v>
      </c>
      <c r="ER133" s="419" t="b">
        <f>AND(SnapshotTable[[#This Row],[SC Is Booked]], NOT(ISBLANK(SnapshotTable[[#This Row],[SC Fill Date]])))</f>
        <v>0</v>
      </c>
      <c r="ES133" s="370"/>
      <c r="ET133" s="34" t="str">
        <f>IF(AND(ISNUMBER(SnapshotTable[[#This Row],[SC Exp Date]]), ISNUMBER(SnapshotTable[[#This Row],[SC Book Date]])), SnapshotTable[[#This Row],[SC Exp Date]] - MAX(SnapshotTable[[#This Row],[SC Book Date]], SnapshotTable[[#This Row],[SC Fill Date]]) + 1, "")</f>
        <v/>
      </c>
      <c r="EU133" s="34" t="str">
        <f>IF(ISNUMBER(SnapshotTable[[#This Row],[SC Term]]), SnapshotTable[[#This Row],[SC Exp Date]]- MockToday, "")</f>
        <v/>
      </c>
      <c r="EV133" s="31">
        <f>IF(SnapshotTable[[#This Row],[SC Is Booked]], SnapshotTable[[#This Row],[SC Qty]] * SnapshotTable[[#This Row],[SC Book Price]] * 100, 0)</f>
        <v>0</v>
      </c>
      <c r="EW133" s="4" t="str">
        <f>IF(AND(ISNUMBER(SnapshotTable[[#This Row],[Last Price]]), ISNUMBER( SnapshotTable[[#This Row],[SC Book Price]])), SnapshotTable[[#This Row],[Last Price]] - SnapshotTable[[#This Row],[SC Book Price]],"")</f>
        <v/>
      </c>
      <c r="EX133" s="234" t="str">
        <f>IF(SnapshotTable[[#This Row],[SC Is Booked]],IF(SnapshotTable[[#This Row],[SC Intrinsic Value]] &gt; 0, SnapshotTable[[#This Row],[SC Strike Price]], SnapshotTable[[#This Row],[Last Price]]), "")</f>
        <v/>
      </c>
      <c r="EY133" s="4">
        <f>IF(SnapshotTable[[#This Row],[SC Is Booked]], (MinimumPremiumRequired * SnapshotTable[[#This Row],[SC Basis]] * SnapshotTable[[#This Row],[SC Term]]), 0)</f>
        <v>0</v>
      </c>
      <c r="EZ133" s="283"/>
      <c r="FA133" s="218"/>
      <c r="FB133" s="370"/>
      <c r="FC133" s="4">
        <f>IF(SnapshotTable[[#This Row],[SC Is Filled]], btc_max_buyback_amount(SnapshotTable[[#This Row],[SC Fill Date]],SnapshotTable[[#This Row],[SC Exp Date]], SnapshotTable[[#This Row],[SC Book Price]]),0)</f>
        <v>0</v>
      </c>
      <c r="FD133" s="5"/>
      <c r="FE133" s="144" t="str">
        <f>IF(SnapshotTable[[#This Row],[SC Is Filled]], btc_next_cutoff_date(SnapshotTable[[#This Row],[SC Fill Date]],SnapshotTable[[#This Row],[SC Exp Date]]),"")</f>
        <v/>
      </c>
      <c r="FF133" s="4" t="str" cm="1">
        <f t="array" ref="FF133">IF(SnapshotTable[[#This Row],[SC Is Filled]], btc_should_buy_back(SnapshotTable[[#This Row],[SC Fill Date]], SnapshotTable[[#This Row],[SC Exp Date]], SnapshotTable[[#This Row],[SC Book Price]], SnapshotTable[[#This Row],[SC Current Ask]], MockToday, SnapshotTable[[#This Row],[SC Buyback Override]]),"")</f>
        <v/>
      </c>
      <c r="FG133" s="4">
        <f>IF(SnapshotTable[[#This Row],[SC Is Filled]], MAX(0,SnapshotTable[[#This Row],[Last Price]]  - SnapshotTable[[#This Row],[SC Strike Price]]), 0)</f>
        <v>0</v>
      </c>
      <c r="FH133" s="382">
        <f>IF(SnapshotTable[[#This Row],[SC Is Filled]], IF(ISNUMBER(SnapshotTable[[#This Row],[SC Current Ask]]), SnapshotTable[[#This Row],[SC Current Ask]], SnapshotTable[[#This Row],[SC Book Price]]) - SnapshotTable[[#This Row],[SC Intrinsic Value]], 0)</f>
        <v>0</v>
      </c>
      <c r="FI133" s="143"/>
      <c r="FJ133" s="32" t="str">
        <f>IF(SnapshotTable[[#This Row],[SC Is Filled]],100 * SnapshotTable[[#This Row],[SC Qty]] * IF(ISNUMBER(SnapshotTable[[#This Row],[SC Buyback Override]]), SnapshotTable[[#This Row],[SC Buyback Override]], SnapshotTable[[#This Row],[SC Current Ask]]), "")</f>
        <v/>
      </c>
      <c r="FK133" s="250" t="str">
        <f>IF(SnapshotTable[[#This Row],[SC Time Val]]&gt;0, SnapshotTable[[#This Row],[SC Time Val]] / SnapshotTable[[#This Row],[Last Price]],"")</f>
        <v/>
      </c>
      <c r="FL133" s="302" t="str">
        <f>IF(SnapshotTable[[#This Row],[SC Is Booked]], ((SnapshotTable[[#This Row],[Last Price]] -SnapshotTable[[#This Row],[SC Strike Price]]) / SnapshotTable[[#This Row],[Last Price]]) * -1, "")</f>
        <v/>
      </c>
      <c r="FM133" s="157" t="str">
        <f>IF(SnapshotTable[[#This Row],[SC Is Booked]],  (SnapshotTable[[#This Row],[SC Qty]] * 100 * SnapshotTable[[#This Row],[SC Strike Price]]) - SnapshotTable[[#This Row],[SC Current Ask]], "")</f>
        <v/>
      </c>
      <c r="FN133"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3" s="157" t="str">
        <f>IF(AND(ISNUMBER(SnapshotTable[[#This Row],[SC Exercise Gross]]), ISNUMBER(SnapshotTable[[#This Row],[Equity Basis Per Share]] )), SnapshotTable[[#This Row],[SC Exercise Gross]] - SnapshotTable[[#This Row],[Equity Basis Total]] +  SnapshotTable[[#This Row],[SC Premium]], "")</f>
        <v/>
      </c>
      <c r="FP133" s="5" t="str">
        <f>IF(ISNUMBER(SnapshotTable[[#This Row],[SC Exercise Gross]]), (SnapshotTable[[#This Row],[SC Exercise Gross]]) / (SnapshotTable[[#This Row],[SC Qty]] * 100), "")</f>
        <v/>
      </c>
      <c r="FQ133" s="27" t="str">
        <f>IF(SnapshotTable[[#This Row],[SC Is Booked]],SnapshotTable[[#This Row],[SC Time Val]] /SnapshotTable[[#This Row],[SC Basis]], "")</f>
        <v/>
      </c>
      <c r="FR133" s="27" t="str" cm="1">
        <f t="array" ref="FR133">IF(AND(ISNUMBER(SnapshotTable[[#This Row],[SC Term]]),ISNUMBER(SnapshotTable[[#This Row],[SC Simple ROO]])), EllmanAnnualize(SnapshotTable[[#This Row],[SC DTE]], SnapshotTable[[#This Row],[SC Simple ROO]] ),"")</f>
        <v/>
      </c>
      <c r="FS133" s="4" t="e">
        <f>IF(SnapshotTable[[#This Row],[SC Strike Price]] &gt; SnapshotTable[[#This Row],[Last Price]], SnapshotTable[[#This Row],[SC Strike Price]] - SnapshotTable[[#This Row],[Last Price]],0)</f>
        <v>#VALUE!</v>
      </c>
      <c r="FT133" s="27" t="e">
        <f>IF(AND(ISNUMBER(SnapshotTable[[#This Row],[SC Upside Potential]]), SnapshotTable[[#This Row],[SC Upside Potential]] &gt; 0),(SnapshotTable[[#This Row],[SC Upside Potential]]/ SnapshotTable[[#This Row],[ACB]]),"")</f>
        <v>#VALUE!</v>
      </c>
      <c r="FU133" s="333" t="str">
        <f>IF(SnapshotTable[[#This Row],[SC Intrinsic Value]] &gt; 0,SnapshotTable[[#This Row],[SC Intrinsic Value]],"")</f>
        <v/>
      </c>
      <c r="FV133" s="27" t="str">
        <f>IF(AND( ISNUMBER( SnapshotTable[[#This Row],[ACB]]),ISNUMBER(SnapshotTable[[#This Row],[SC Downside Protect]])),SnapshotTable[[#This Row],[SC Downside Protect]] / SnapshotTable[[#This Row],[ACB]],"")</f>
        <v/>
      </c>
      <c r="FW133" s="236" t="str">
        <f>IF(AND(ISNUMBER(SnapshotTable[[#This Row],[SC Simple ROO]]),SnapshotTable[[#This Row],[SC Simple ROO]] &gt; 0), SnapshotTable[[#This Row],[SC Premium]] + (SnapshotTable[[#This Row],[SC Qty]] * SnapshotTable[[#This Row],[SC Upside Potential]]), "")</f>
        <v/>
      </c>
      <c r="FX133" s="302" t="str" cm="1">
        <f t="array" ref="FX133">IF(ISNUMBER(SnapshotTable[[#This Row],[SC Max Dollars]]), annualize(SnapshotTable[[#This Row],[SC Term]],(SnapshotTable[[#This Row],[SC Max Dollars]]/SnapshotTable[[#This Row],[SC Basis]])),"")</f>
        <v/>
      </c>
      <c r="FY133" s="236" t="str">
        <f>IF(AND(SnapshotTable[[#This Row],[SC Qty]]&gt;0,SnapshotTable[[#This Row],[SC Current Ask]]&gt;0), SnapshotTable[[#This Row],[SC Qty]] * SnapshotTable[[#This Row],[SC Current Ask]] * -100, "")</f>
        <v/>
      </c>
      <c r="FZ133" s="31" t="str">
        <f>IF(ISNUMBER((SnapshotTable[[#This Row],[SC Current Value]])), SnapshotTable[[#This Row],[SC Premium]] + SnapshotTable[[#This Row],[SC Current Value]], "")</f>
        <v/>
      </c>
      <c r="GA133" s="294" t="str">
        <f>IFERROR( IF(ISNUMBER((SnapshotTable[[#This Row],[SC Current Value]])), SnapshotTable[[#This Row],[SC Gain Loss]] / SnapshotTable[[#This Row],[SC Premium]], ""), "")</f>
        <v/>
      </c>
      <c r="GB133" s="42">
        <f>SnapshotTable[[#This Row],[Equity Shares]] * SaleSharesToConsiderPercentage</f>
        <v>0</v>
      </c>
      <c r="GC133" s="40">
        <f>SnapshotTable[[#This Row],[Long Term Target]] * SellingPriceToConsiderBasedOnTargetPercentage</f>
        <v>85.936999999999983</v>
      </c>
      <c r="GD133" s="40">
        <f>SnapshotTable[[#This Row],[Last Price]] * (1+ SellingPriceToConsiderBasedOnTargetPercentage)</f>
        <v>93.385499999999993</v>
      </c>
      <c r="GE133" s="41"/>
      <c r="GF133" s="40"/>
      <c r="GG133" s="31">
        <f>SnapshotTable[[#This Row],[Booked Sale Shares]] * SnapshotTable[[#This Row],[Booked Sale Price]]</f>
        <v>0</v>
      </c>
      <c r="GH133" s="31" t="str">
        <f>IF(SnapshotTable[[#This Row],[Equity Basis Total]] &gt; 0, SnapshotTable[[#This Row],[Equity Basis Per Share]] * SnapshotTable[[#This Row],[Booked Sale Shares]], "")</f>
        <v/>
      </c>
      <c r="GI133" s="31">
        <f>IF(SnapshotTable[[#This Row],[Sale Proceeds]]&gt;0, SnapshotTable[[#This Row],[Sale Proceeds]] - SnapshotTable[[#This Row],[Sale Basis]], 0)</f>
        <v>0</v>
      </c>
      <c r="GJ133" s="158" t="str">
        <f>IF(SnapshotTable[[#This Row],[Sale G/L]]&gt;0, SnapshotTable[[#This Row],[Sale G/L]] / SnapshotTable[[#This Row],[Sale Basis]], IF(ISNUMBER(SnapshotTable[[#This Row],[SC Exercise P&amp;L (TAX)]]), SnapshotTable[[#This Row],[SC Exercise P&amp;L (TAX)]] / SnapshotTable[[#This Row],[SC Basis]], ""))</f>
        <v/>
      </c>
      <c r="GK133" s="158" t="s">
        <v>685</v>
      </c>
      <c r="GL133" s="159" t="str">
        <f>IF(AND(SnapshotTable[[#This Row],[LP Exp Date]]&gt;0,SnapshotTable[[#This Row],[LP Strike Price]]&gt;0), [1]!ToOptionSymbol(SnapshotTable[[#This Row],[Symbol]], SnapshotTable[[#This Row],[LP Strike Price]],SnapshotTable[[#This Row],[LP Exp Date]],1), "")</f>
        <v/>
      </c>
      <c r="GM133" s="30" t="str">
        <f>IF(LEN(SnapshotTable[[#This Row],[LP Symbol]])&gt;0, 1, "")</f>
        <v/>
      </c>
      <c r="GN133" s="43" t="str">
        <f>IF(AND(SnapshotTable[[#This Row],[SP Exp Date]]&gt;0,SnapshotTable[[#This Row],[SP Strike Price]]&gt;0), [1]!ToOptionSymbol(SnapshotTable[[#This Row],[Symbol]], SnapshotTable[[#This Row],[SP Strike Price]],SnapshotTable[[#This Row],[SP Exp Date]],1), "")</f>
        <v/>
      </c>
      <c r="GO133" s="30" t="str">
        <f>IF(LEN(SnapshotTable[[#This Row],[SP Symbol]])&gt;0, 1, "")</f>
        <v/>
      </c>
      <c r="GP133" s="159" t="str">
        <f>IF(AND(SnapshotTable[[#This Row],[LC Exp Date]]&gt;0,SnapshotTable[[#This Row],[LC Strike Price]]&gt;0), [1]!ToOptionSymbol(SnapshotTable[[#This Row],[Symbol]], SnapshotTable[[#This Row],[LC Strike Price]],SnapshotTable[[#This Row],[LC Exp Date]],0), "")</f>
        <v/>
      </c>
      <c r="GQ133" s="160" t="str">
        <f>IF(LEN(SnapshotTable[[#This Row],[LC Symbol]])&gt;0, 1, "")</f>
        <v/>
      </c>
      <c r="GR133" s="159" t="str">
        <f>IF(AND(SnapshotTable[[#This Row],[SC Exp Date]]&gt;0,SnapshotTable[[#This Row],[SC Strike Price]]&gt;0), [1]!ToOptionSymbol(SnapshotTable[[#This Row],[Symbol]], SnapshotTable[[#This Row],[SC Strike Price]],SnapshotTable[[#This Row],[SC Exp Date]],0), "")</f>
        <v/>
      </c>
      <c r="GS133" s="160" t="str">
        <f>IF(LEN(SnapshotTable[[#This Row],[SC Symbol]])&gt;0, 1, "")</f>
        <v/>
      </c>
      <c r="GT133" s="161" t="str">
        <f>IF(COUNT(SnapshotTable[[#This Row],[LP Symbol Count]],SnapshotTable[[#This Row],[SP Symbol Count]],SnapshotTable[[#This Row],[LC Symbol Count]],SnapshotTable[[#This Row],[SC Symbol Count]])&gt;0, "Y", "")</f>
        <v/>
      </c>
      <c r="GU13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3" s="231" t="e">
        <f>MAX(SnapshotTable[[#This Row],[Equity Basis Total]],SnapshotTable[[#This Row],[Equity Value]]) + (SnapshotTable[[#This Row],[SP Potential Spend]]- SnapshotTable[[#This Row],[SP Premium]] + SnapshotTable[[#This Row],[LP Premium]])+ (SnapshotTable[[#This Row],[LC Premium]] - SnapshotTable[[#This Row],[SC Premium]])</f>
        <v>#VALUE!</v>
      </c>
      <c r="GW133" s="139" t="e">
        <f>IF(AND(SnapshotTable[[#This Row],[Exposure]] &lt;&gt; 0),SnapshotTable[[#This Row],[Exposure]] / SnapshotTable[[#Totals],[Exposure]], "")</f>
        <v>#VALUE!</v>
      </c>
      <c r="HE133" s="268"/>
      <c r="HF133" s="268"/>
      <c r="HK133" s="1"/>
      <c r="HL133" s="1"/>
      <c r="HM133" s="1"/>
      <c r="HN133" s="1"/>
      <c r="HO133" s="1"/>
      <c r="HP133" s="1"/>
    </row>
    <row r="134" spans="2:224" ht="12.75" hidden="1" customHeight="1" x14ac:dyDescent="0.25">
      <c r="B134" s="12" t="s">
        <v>507</v>
      </c>
      <c r="C134" s="422">
        <v>31.25</v>
      </c>
      <c r="D134" s="208" t="s">
        <v>578</v>
      </c>
      <c r="E134" s="39">
        <f>SnapshotTable[[#This Row],[Last Price]]*(1 -CrashDiscount)</f>
        <v>26.5625</v>
      </c>
      <c r="F134" s="26" t="s">
        <v>187</v>
      </c>
      <c r="G134" s="26" t="s">
        <v>41</v>
      </c>
      <c r="H134" s="149"/>
      <c r="I134" s="194">
        <v>44763.25</v>
      </c>
      <c r="J134" s="195">
        <v>44763.25</v>
      </c>
      <c r="K134" s="196"/>
      <c r="L134" s="326"/>
      <c r="M134" s="140"/>
      <c r="N134" s="140"/>
      <c r="O134" s="140"/>
      <c r="P134" s="22"/>
      <c r="Q134" s="25"/>
      <c r="R134" s="4" t="str">
        <f>IF(SnapshotTable[[#This Row],[Equity Basis Total]] &gt; 0, SnapshotTable[[#This Row],[Equity Basis Total]] / SnapshotTable[[#This Row],[Equity Shares]], "")</f>
        <v/>
      </c>
      <c r="S134" s="269">
        <f>SnapshotTable[[#This Row],[Last Price]] * SnapshotTable[[#This Row],[Equity Shares]]</f>
        <v>0</v>
      </c>
      <c r="T134" s="269">
        <f>SnapshotTable[[#This Row],[Equity Value]] - SnapshotTable[[#This Row],[Equity Basis Total]]</f>
        <v>0</v>
      </c>
      <c r="U134" s="270" t="str">
        <f>IF(SnapshotTable[[#This Row],[Equity Basis Total]] &gt; 0, SnapshotTable[[#This Row],[Equity G/L]] / SnapshotTable[[#This Row],[Equity Basis Total]], "")</f>
        <v/>
      </c>
      <c r="V134" s="268"/>
      <c r="W134" s="268"/>
      <c r="X134" s="4" t="str">
        <f>IF(AND(ISNUMBER(SnapshotTable[[#This Row],[Equity Basis Per Share]]),ISNUMBER(SnapshotTable[[#This Row],[Equity Target]])),SnapshotTable[[#This Row],[Equity Target]]-SnapshotTable[[#This Row],[Equity Basis Per Share]],"")</f>
        <v/>
      </c>
      <c r="Y134" s="4" t="str">
        <f>IF(AND(ISNUMBER(SnapshotTable[[#This Row],[Equity Basis Per Share]]),ISNUMBER(SnapshotTable[[#This Row],[Equity Stop Loss]])),SnapshotTable[[#This Row],[Equity Stop Loss]]-SnapshotTable[[#This Row],[Equity Basis Per Share]],"")</f>
        <v/>
      </c>
      <c r="Z134" s="275" t="str">
        <f>IFERROR( TEXT(SnapshotTable[[#This Row],[Equity Max Gain Per Share]] /ABS( SnapshotTable[[#This Row],[Equity Max Loss Per Share]]),"0.0 " ) &amp; " : 1", "")</f>
        <v/>
      </c>
      <c r="AA134" s="31" t="str">
        <f>IF(ISNUMBER(SnapshotTable[[#This Row],[Equity Max Gain Per Share]]),SnapshotTable[[#This Row],[Equity Max Gain Per Share]] * SnapshotTable[[#This Row],[Equity Shares]],"")</f>
        <v/>
      </c>
      <c r="AB134" s="31" t="str">
        <f>IF(ISNUMBER(SnapshotTable[[#This Row],[Equity Max Loss Per Share]]),SnapshotTable[[#This Row],[Equity Max Loss Per Share]] * SnapshotTable[[#This Row],[Equity Shares]],"")</f>
        <v/>
      </c>
      <c r="AC134" s="150">
        <v>2.8</v>
      </c>
      <c r="AD134" s="151">
        <v>43630</v>
      </c>
      <c r="AE134" s="31">
        <f>(SnapshotTable[[#This Row],[Annual Dividend Per Share]] / 4) * SnapshotTable[[#This Row],[Equity Shares]]</f>
        <v>0</v>
      </c>
      <c r="AF134" s="31">
        <f>SnapshotTable[[#This Row],[Quarterly Div $]] * 4</f>
        <v>0</v>
      </c>
      <c r="AG134" s="7">
        <f>IF(SnapshotTable[[#This Row],[Annual Dividend Per Share]]&gt;0, SnapshotTable[[#This Row],[Annual Dividend Per Share]]  / SnapshotTable[[#This Row],[Last Price]], 0)</f>
        <v>8.9599999999999999E-2</v>
      </c>
      <c r="AH134" s="151">
        <v>43707</v>
      </c>
      <c r="AI134" s="5">
        <v>62</v>
      </c>
      <c r="AJ134" s="138">
        <v>56.95</v>
      </c>
      <c r="AK134" s="152">
        <f>IF(ISNUMBER( SnapshotTable[[#This Row],[EBF Target]]),(SnapshotTable[[#This Row],[EBF Target]] - SnapshotTable[[#This Row],[Last Price]]) / SnapshotTable[[#This Row],[Last Price]], "")</f>
        <v>0.98399999999999999</v>
      </c>
      <c r="AL134" s="152" t="str">
        <f>IF(AND(SnapshotTable[[#This Row],[Equity Basis Total]] &gt; 0,ISNUMBER( SnapshotTable[[#This Row],[Long Term Target]])), SnapshotTable[[#This Row],[From Basis $]] / SnapshotTable[[#This Row],[Equity Basis Total]], "")</f>
        <v/>
      </c>
      <c r="AM134" s="9">
        <f>IF( AND(SnapshotTable[[#This Row],[Equity Shares]] &gt;0,ISNUMBER( SnapshotTable[[#This Row],[Long Term Target]])),(SnapshotTable[[#This Row],[Equity Shares]] * SnapshotTable[[#This Row],[Long Term Target]]) - SnapshotTable[[#This Row],[Equity Basis Total]],0)</f>
        <v>0</v>
      </c>
      <c r="AN134" s="9">
        <f>IF( AND(SnapshotTable[[#This Row],[Equity Shares]] &gt;0,ISNUMBER( SnapshotTable[[#This Row],[Long Term Target]])),(SnapshotTable[[#This Row],[Equity Shares]]*SnapshotTable[[#This Row],[Long Term Target]]) - SnapshotTable[[#This Row],[Equity Value]],0)</f>
        <v>0</v>
      </c>
      <c r="AO134" s="152">
        <f>IF(AND(ISNUMBER( SnapshotTable[[#This Row],[Long Term Target]]), ISNUMBER(SnapshotTable[[#This Row],[Last Price]])),(SnapshotTable[[#This Row],[Long Term Target]] - SnapshotTable[[#This Row],[Last Price]]) / SnapshotTable[[#This Row],[Last Price]], "")</f>
        <v>0.82240000000000013</v>
      </c>
      <c r="AP134" s="5"/>
      <c r="AQ134" s="38"/>
      <c r="AR134" s="5"/>
      <c r="AS134" s="38"/>
      <c r="AT134" s="146"/>
      <c r="AU134" s="187" t="str">
        <f>IF(OR(SnapshotTable[[#This Row],[LP No Fill]]="Y",SnapshotTable[[#This Row],[SP Is Filled]],SnapshotTable[[#This Row],[LC Not Filled]]="Y",SnapshotTable[[#This Row],[SC Is Filled]]),"Y","")</f>
        <v/>
      </c>
      <c r="AV134" s="219"/>
      <c r="AW134" s="225">
        <v>1.9079999999999999</v>
      </c>
      <c r="AX134" s="220">
        <v>44302</v>
      </c>
      <c r="AY134" s="219">
        <f>IF(SnapshotTable[[#This Row],[Implied Move]]&gt;0, SnapshotTable[[#This Row],[Last Price]]-SnapshotTable[[#This Row],[Implied Move]],"")</f>
        <v>29.341999999999999</v>
      </c>
      <c r="AZ134" s="219">
        <f>IF(SnapshotTable[[#This Row],[Implied Move]]&gt;0, SnapshotTable[[#This Row],[Last Price]] + SnapshotTable[[#This Row],[Implied Move]],"")</f>
        <v>33.158000000000001</v>
      </c>
      <c r="BA134" s="331">
        <v>59.69</v>
      </c>
      <c r="BB134" s="347"/>
      <c r="BC13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4" s="351"/>
      <c r="BE134" s="5"/>
      <c r="BF134" s="14"/>
      <c r="BG134" s="13"/>
      <c r="BH134" s="13"/>
      <c r="BI134" s="5"/>
      <c r="BJ134" s="136">
        <f>IF(SnapshotTable[[#This Row],[LP Qty]] &gt; 0, SnapshotTable[[#This Row],[LP Qty]] * SnapshotTable[[#This Row],[LP Book Price]] * 100,0)</f>
        <v>0</v>
      </c>
      <c r="BK134" s="136">
        <f>IF(SnapshotTable[[#This Row],[LP Premium]] &gt; 0, SnapshotTable[[#This Row],[LP Qty]] * SnapshotTable[[#This Row],[LP Strike Price]] * 100,0)</f>
        <v>0</v>
      </c>
      <c r="BL134" s="154"/>
      <c r="BM134" s="385" t="str">
        <f>IF(SnapshotTable[[#This Row],[LP Premium]] &gt; 0,SnapshotTable[[#This Row],[LP Exp Date]]-MAX(SnapshotTable[[#This Row],[LP Book Date]], SnapshotTable[[#This Row],[LP Fill Date]]),"")</f>
        <v/>
      </c>
      <c r="BN134" s="385" t="str">
        <f>IF(ISNUMBER( SnapshotTable[[#This Row],[LP Term]]), SnapshotTable[[#This Row],[LP Exp Date]] - MockToday,"")</f>
        <v/>
      </c>
      <c r="BO134" s="163" t="str">
        <f>IF(AND(SnapshotTable[[#This Row],[LP Exp Date]]&gt;0, SnapshotTable[[#This Row],[LP Strike Price]]&gt;0,SnapshotTable[[#This Row],[LP Qty]]&gt;0,SnapshotTable[[#This Row],[LP Book Date]]&gt;0,SnapshotTable[[#This Row],[LP Book Price]]&gt;0,SnapshotTable[[#This Row],[LP Fill Date]]=0),"Y","")</f>
        <v/>
      </c>
      <c r="BP134" s="31" t="str">
        <f>IF(AND(SnapshotTable[[#This Row],[LP No Fill]]&lt;&gt;"Y",SnapshotTable[[#This Row],[LP Contract Value]]&gt;0, SnapshotTable[[#This Row],[LP Qty]]&gt;0), SnapshotTable[[#This Row],[LP Contract Value]]*SnapshotTable[[#This Row],[LP Qty]]*100,"")</f>
        <v/>
      </c>
      <c r="BQ134" s="13"/>
      <c r="BR134" s="5" t="str">
        <f>IF(SnapshotTable[[#This Row],[SP Exp Date]]&lt;&gt;"",TRUNC(SnapshotTable[[#This Row],[Last Price]]),"")</f>
        <v/>
      </c>
      <c r="BS134" s="36"/>
      <c r="BT134" s="147"/>
      <c r="BU134" s="13"/>
      <c r="BV134" s="5"/>
      <c r="BW134" s="419" t="b">
        <f>AND(ISNUMBER(SnapshotTable[[#This Row],[SP Exp Date]]), ISNUMBER(SnapshotTable[[#This Row],[SP Strike Price]]), ISNUMBER(SnapshotTable[[#This Row],[SP Qty]]), ISNUMBER(SnapshotTable[[#This Row],[SP Book Date]]), ISNUMBER(SnapshotTable[[#This Row],[SP Book Price]]))</f>
        <v>0</v>
      </c>
      <c r="BX134" s="419" t="b">
        <f>AND(SnapshotTable[[#This Row],[SP Is Booked]], NOT(ISBLANK(SnapshotTable[[#This Row],[SP Fill Date]])))</f>
        <v>0</v>
      </c>
      <c r="BY134" s="33">
        <f>IF(SnapshotTable[[#This Row],[SP Is Booked]], SnapshotTable[[#This Row],[SP Qty]] * SnapshotTable[[#This Row],[SP Book Price]] * 100, 0)</f>
        <v>0</v>
      </c>
      <c r="BZ134" s="369"/>
      <c r="CA134" s="368">
        <f>SnapshotTable[[#This Row],[LP Qty]]</f>
        <v>0</v>
      </c>
      <c r="CB134" s="4" t="str">
        <f>IF(SnapshotTable[[#This Row],[SP Is Booked]], SnapshotTable[[#This Row],[SP Strike Price]] - SnapshotTable[[#This Row],[SP Book Price]], "")</f>
        <v/>
      </c>
      <c r="CC134" s="19" t="str">
        <f>IF(SnapshotTable[[#This Row],[SP Is Booked]],SnapshotTable[[#This Row],[SP Exp Date]]-MAX(SnapshotTable[[#This Row],[SP Book Date]], SnapshotTable[[#This Row],[SP Fill Date]]),"")</f>
        <v/>
      </c>
      <c r="CD134" s="7" t="str">
        <f>IF(SnapshotTable[[#This Row],[SP Is Booked]], SnapshotTable[[#This Row],[SP Book Price]]/SnapshotTable[[#This Row],[SP Strike Price]], "")</f>
        <v/>
      </c>
      <c r="CE134" s="7" t="str">
        <f>IF(ISNUMBER(SnapshotTable[[#This Row],[SP ROO Term]]),SnapshotTable[[#This Row],[SP ROO Term]]*(365/SnapshotTable[[#This Row],[SP Term]]),"")</f>
        <v/>
      </c>
      <c r="CF134" s="236">
        <f>SnapshotTable[[#This Row],[LP Strike Price]] * SnapshotTable[[#This Row],[LP Qty]] * 100</f>
        <v>0</v>
      </c>
      <c r="CG134" s="31" t="e">
        <f>IF(ISNUMBER(SnapshotTable[[#This Row],[SP Premium]]), (SnapshotTable[[#This Row],[SP Qty]] * SnapshotTable[[#This Row],[SP Strike Price]]* 100) - SnapshotTable[[#This Row],[LP Protection]], 0)</f>
        <v>#VALUE!</v>
      </c>
      <c r="CH134" s="7" t="str">
        <f>IF(ISNUMBER(SnapshotTable[[#This Row],[SP Break Even]]),-1 * (SnapshotTable[[#This Row],[SP Break Even]] - SnapshotTable[[#This Row],[Last Price]]) / SnapshotTable[[#This Row],[Last Price]], "")</f>
        <v/>
      </c>
      <c r="CI134" s="31">
        <f>IF(AND(ISNUMBER((SnapshotTable[[#This Row],[SP Potential Spend]])), SnapshotTable[[#This Row],[SP Strike Price]] &gt; SnapshotTable[[#This Row],[Last Price]], SnapshotTable[[#This Row],[SP Is Filled]]), SnapshotTable[[#This Row],[SP Potential Spend]] -  SnapshotTable[[#This Row],[LP Max Value]], 0)</f>
        <v>0</v>
      </c>
      <c r="CJ134" s="244"/>
      <c r="CK134" s="31" t="str">
        <f>IF(ISNUMBER(SnapshotTable[[#This Row],[SP Potential Spend]]),IF(ISNUMBER(SnapshotTable[[#This Row],[SP POW]]), SnapshotTable[[#This Row],[SP POW]] * SnapshotTable[[#This Row],[SP Potential Spend]], SnapshotTable[[#This Row],[SP Potential Spend]]), "")</f>
        <v/>
      </c>
      <c r="CL134" s="164" t="e">
        <f>IF(NOT(SnapshotTable[[#This Row],[SP Is Filled]]),(SnapshotTable[[#This Row],[SP Qty]] * SnapshotTable[[#This Row],[SP Strike Price]] * 100) - SnapshotTable[[#This Row],[LP Max Value]],"")</f>
        <v>#VALUE!</v>
      </c>
      <c r="CM134" s="31" t="str">
        <f>IF(SnapshotTable[[#This Row],[SP Actual Spend]]&lt;&gt;0, ((SnapshotTable[[#This Row],[SP Strike Price]]-SnapshotTable[[#This Row],[Last Price]]) *(SnapshotTable[[#This Row],[SP Qty]]*100) - SnapshotTable[[#This Row],[SP Premium]]) * - 1, "")</f>
        <v/>
      </c>
      <c r="CN134" s="78"/>
      <c r="CO134" s="369"/>
      <c r="CP134" s="4" t="str">
        <f>IF(SnapshotTable[[#This Row],[SP Is Filled]], btc_max_buyback_amount(SnapshotTable[[#This Row],[SP Fill Date]],SnapshotTable[[#This Row],[SP Exp Date]], SnapshotTable[[#This Row],[SP Book Price]]),"")</f>
        <v/>
      </c>
      <c r="CQ134" s="78"/>
      <c r="CR13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4" s="155" t="str">
        <f>IF(SnapshotTable[[#This Row],[SP Is Filled]], btc_next_cutoff_date(SnapshotTable[[#This Row],[SP Fill Date]],SnapshotTable[[#This Row],[SP Exp Date]]),"")</f>
        <v/>
      </c>
      <c r="CT134" s="235" t="str" cm="1">
        <f t="array" ref="CT134">IF(SnapshotTable[[#This Row],[SP Is Filled]], btc_should_buy_back(SnapshotTable[[#This Row],[SP Fill Date]], SnapshotTable[[#This Row],[SP Exp Date]], SnapshotTable[[#This Row],[SP Book Price]], SnapshotTable[[#This Row],[SP Current Ask]], MockToday, SnapshotTable[[#This Row],[SP Buyback Override]]),"")</f>
        <v/>
      </c>
      <c r="CU134" s="143"/>
      <c r="CV134" s="235"/>
      <c r="CW134" s="378" t="str">
        <f>IF(ISNUMBER( SnapshotTable[[#This Row],[SP Term]]), SnapshotTable[[#This Row],[SP Exp Date]] - MockToday,"")</f>
        <v/>
      </c>
      <c r="CX134" s="31" t="str">
        <f>IF(SnapshotTable[[#This Row],[SP Is Filled]],SnapshotTable[[#This Row],[SP Buyback Price to Use]] * 100 * SnapshotTable[[#This Row],[SP Qty]], "")</f>
        <v/>
      </c>
      <c r="CY134" s="4" t="str">
        <f>IF(ISNUMBER(SnapshotTable[[#This Row],[SP Strike Price]]), SnapshotTable[[#This Row],[SP Strike Price]] * (1 - SP_MaxLoss_StrikePct), "")</f>
        <v/>
      </c>
      <c r="CZ134" s="31" t="str">
        <f>IF(ISNUMBER(SnapshotTable[[#This Row],[SP Strike  Stop Per Share]]),SnapshotTable[[#This Row],[SP Premium]] - ((SnapshotTable[[#This Row],[SP Strike Price]]-SnapshotTable[[#This Row],[SP Strike  Stop Per Share]]) *(SnapshotTable[[#This Row],[SP Qty]] * 100)),"")</f>
        <v/>
      </c>
      <c r="DA134" s="4" t="str">
        <f>IF(AND(ISNUMBER(SnapshotTable[[#This Row],[SP Premium]]),SnapshotTable[[#This Row],[SP Premium]]&gt;0), SnapshotTable[[#This Row],[SP Book Price]] * (1 + SP_MaxLoss_OptionPct), "")</f>
        <v/>
      </c>
      <c r="DB134" s="31" t="str">
        <f>IF(ISNUMBER(SnapshotTable[[#This Row],[SP Option  Stop Contract]]),(SnapshotTable[[#This Row],[SP Option  Stop Contract]] *(SnapshotTable[[#This Row],[SP Qty]] * 100) - SnapshotTable[[#This Row],[SP Premium]]),"")</f>
        <v/>
      </c>
      <c r="DC134" s="4"/>
      <c r="DD134" s="4"/>
      <c r="DE134" s="4" t="str">
        <f>IF(AND(SnapshotTable[[#This Row],[SP Qty]]&gt;0, SnapshotTable[[#This Row],[SP Stop To Use]]&gt;0),SnapshotTable[[#This Row],[SP Premium]] - ( SnapshotTable[[#This Row],[SP Qty]] * SnapshotTable[[#This Row],[SP Stop To Use]] * 100), "")</f>
        <v/>
      </c>
      <c r="DF134" s="31" t="str">
        <f>IF(AND(SnapshotTable[[#This Row],[SP Qty]]&gt;0,SnapshotTable[[#This Row],[SP Current Ask]]&gt;0), SnapshotTable[[#This Row],[SP Qty]] * SnapshotTable[[#This Row],[SP Current Ask]] * -100, "")</f>
        <v/>
      </c>
      <c r="DG134" s="31" t="str">
        <f>IF(ISNUMBER((SnapshotTable[[#This Row],[SP Total Value]])), SnapshotTable[[#This Row],[SP Premium]] + SnapshotTable[[#This Row],[SP Total Value]], "")</f>
        <v/>
      </c>
      <c r="DH134" s="294" t="str">
        <f>IF(ISNUMBER((SnapshotTable[[#This Row],[SP Total Value]])), SnapshotTable[[#This Row],[SP Gain Loss]] / SnapshotTable[[#This Row],[SP Premium]], "")</f>
        <v/>
      </c>
      <c r="DI134" s="406"/>
      <c r="DJ134" s="138"/>
      <c r="DK134" s="148"/>
      <c r="DL134" s="13"/>
      <c r="DM134" s="13"/>
      <c r="DO134" s="31">
        <f>IF(SnapshotTable[[#This Row],[LC Symbol Count]]=1, SnapshotTable[[#This Row],[LC Qty]] * SnapshotTable[[#This Row],[LC Book Price]] * 100, 0)</f>
        <v>0</v>
      </c>
      <c r="DP134" s="163" t="str">
        <f>IF(AND(SnapshotTable[[#This Row],[LC Exp Date]]&gt;0, SnapshotTable[[#This Row],[LC Strike Price]]&gt;0,SnapshotTable[[#This Row],[LC Qty]]&gt;0,SnapshotTable[[#This Row],[LC Book Date]]&gt;0,SnapshotTable[[#This Row],[LC Book Price]]&gt;0,SnapshotTable[[#This Row],[LC Fill Date]]=0),"Y","")</f>
        <v/>
      </c>
      <c r="DQ134" s="386" t="str">
        <f>IF(SnapshotTable[[#This Row],[LC Premium]] &gt; 0,SnapshotTable[[#This Row],[LC Exp Date]]-MAX(SnapshotTable[[#This Row],[LC Book Date]], SnapshotTable[[#This Row],[LC Fill Date]]),"")</f>
        <v/>
      </c>
      <c r="DR134" s="386" t="str">
        <f>IF(ISNUMBER(SnapshotTable[[#This Row],[LC Term]]), SnapshotTable[[#This Row],[LC Exp Date]] - MockToday, "")</f>
        <v/>
      </c>
      <c r="DS134" s="234" t="str">
        <f>IF(SnapshotTable[[#This Row],[LC Premium]]&gt;0,SnapshotTable[[#This Row],[LC Strike Price]] + SnapshotTable[[#This Row],[LC Book Price]],"")</f>
        <v/>
      </c>
      <c r="DU134" s="9" t="str">
        <f>IF(AND(SnapshotTable[[#This Row],[LC Symbol Count]]&gt;0, SnapshotTable[[#This Row],[LC Contract Value]]&gt;0), SnapshotTable[[#This Row],[LC Contract Value]] * SnapshotTable[[#This Row],[LC Qty]] * 100, "")</f>
        <v/>
      </c>
      <c r="DV134" s="9" t="str">
        <f>IF(AND(ISNUMBER(SnapshotTable[[#This Row],[LC Total Value]]), SnapshotTable[[#This Row],[LC Not Filled]]&lt;&gt;"Y"), SnapshotTable[[#This Row],[LC Total Value]]-SnapshotTable[[#This Row],[LC Premium]],"")</f>
        <v/>
      </c>
      <c r="DW134" s="240" t="str">
        <f>IF(ISNUMBER(SnapshotTable[[#This Row],[LC Actual Gain Loss]]), SnapshotTable[[#This Row],[LC Actual Gain Loss]] / SnapshotTable[[#This Row],[LC Premium]],"")</f>
        <v/>
      </c>
      <c r="DX134" s="284" t="str">
        <f>IF(ISNUMBER(SnapshotTable[[#This Row],[LC Book Price]]),SnapshotTable[[#This Row],[LC Book Price]] * 1.5,"")</f>
        <v/>
      </c>
      <c r="DY134" s="265" t="str">
        <f>IF(SnapshotTable[[#This Row],[LC Premium]]&gt;0, SnapshotTable[[#This Row],[LC Next Target]] * SnapshotTable[[#This Row],[LC Qty]] * 100,"")</f>
        <v/>
      </c>
      <c r="DZ134" s="265" t="str">
        <f>IF(ISNUMBER(SnapshotTable[[#This Row],[LC Target Gross]]), SnapshotTable[[#This Row],[LC Target Gross]] - SnapshotTable[[#This Row],[LC Premium]], "")</f>
        <v/>
      </c>
      <c r="EA134" s="305" t="str">
        <f>IF(ISNUMBER(SnapshotTable[[#This Row],[LC Target Gain Loss]]), SnapshotTable[[#This Row],[LC Target Gain Loss]]/SnapshotTable[[#This Row],[LC Premium]], "")</f>
        <v/>
      </c>
      <c r="EB134" s="262"/>
      <c r="EC134" s="283" t="str">
        <f>IF(SnapshotTable[[#This Row],[LC Premium]]&gt;0, SnapshotTable[[#This Row],[LC Book Price]] * (1 - LC_StopLoss_Pct),"")</f>
        <v/>
      </c>
      <c r="ED134" s="284"/>
      <c r="EE134" s="283" t="str">
        <f>IF(ISNUMBER(SnapshotTable[[#This Row],[LC Contract Value]]),IF(ISNUMBER(SnapshotTable[[#This Row],[LC Stop Loss Override]]), SnapshotTable[[#This Row],[LC Stop Loss Override]],SnapshotTable[[#This Row],[LC Stop Loss Calc Target]]),"")</f>
        <v/>
      </c>
      <c r="EF134" s="31" t="str">
        <f>IF(ISNUMBER(SnapshotTable[[#This Row],[LC Stop  To Use]]), (SnapshotTable[[#This Row],[LC Stop  To Use]] * SnapshotTable[[#This Row],[LC Qty]] * 100),"")</f>
        <v/>
      </c>
      <c r="EG134" s="9" t="str">
        <f>IF(ISNUMBER(SnapshotTable[[#This Row],[LC Total Value]]),SnapshotTable[[#This Row],[LC Stop Loss Amount]] - SnapshotTable[[#This Row],[LC Premium]],"")</f>
        <v/>
      </c>
      <c r="EH134" s="9">
        <f>IF(ISNUMBER(SnapshotTable[[#This Row],[LC Premium]]), SnapshotTable[[#This Row],[LC Qty]] * 100 * SnapshotTable[[#This Row],[LC Strike Price]], "")</f>
        <v>0</v>
      </c>
      <c r="EI134" s="240" t="str">
        <f>IF(AND(ISNUMBER(SnapshotTable[[#This Row],[LC Total Value]]),SnapshotTable[[#This Row],[LC Total Value]]&gt;0),SnapshotTable[[#This Row],[LC Stop Gain Loss]]  / SnapshotTable[[#This Row],[LC Premium]],"")</f>
        <v/>
      </c>
      <c r="EJ134" s="35">
        <f>IF(ISNUMBER(SnapshotTable[[#This Row],[Equity Shares]]),TRUNC(SnapshotTable[[#This Row],[Equity Shares]] / 100),0) + SnapshotTable[[#This Row],[LC Qty]]</f>
        <v>0</v>
      </c>
      <c r="EK134" s="147"/>
      <c r="EL134" s="138" t="str">
        <f>IF(SnapshotTable[[#This Row],[SC Exp Date]]&lt;&gt;"",TRUNC(SnapshotTable[[#This Row],[Last Price]]),"")</f>
        <v/>
      </c>
      <c r="EM134" s="148"/>
      <c r="EN134" s="147"/>
      <c r="EO134" s="147"/>
      <c r="EP134" s="138"/>
      <c r="EQ134" s="419" t="b">
        <f>AND(ISNUMBER(SnapshotTable[[#This Row],[SC Exp Date]]), ISNUMBER(SnapshotTable[[#This Row],[SC Strike Price]]), ISNUMBER(SnapshotTable[[#This Row],[SC Qty]]), ISNUMBER(SnapshotTable[[#This Row],[SC Book Date]]), ISNUMBER(SnapshotTable[[#This Row],[SC Book Price]]))</f>
        <v>0</v>
      </c>
      <c r="ER134" s="419" t="b">
        <f>AND(SnapshotTable[[#This Row],[SC Is Booked]], NOT(ISBLANK(SnapshotTable[[#This Row],[SC Fill Date]])))</f>
        <v>0</v>
      </c>
      <c r="ES134" s="370"/>
      <c r="ET134" s="34" t="str">
        <f>IF(AND(ISNUMBER(SnapshotTable[[#This Row],[SC Exp Date]]), ISNUMBER(SnapshotTable[[#This Row],[SC Book Date]])), SnapshotTable[[#This Row],[SC Exp Date]] - MAX(SnapshotTable[[#This Row],[SC Book Date]], SnapshotTable[[#This Row],[SC Fill Date]]) + 1, "")</f>
        <v/>
      </c>
      <c r="EU134" s="34" t="str">
        <f>IF(ISNUMBER(SnapshotTable[[#This Row],[SC Term]]), SnapshotTable[[#This Row],[SC Exp Date]]- MockToday, "")</f>
        <v/>
      </c>
      <c r="EV134" s="31">
        <f>IF(SnapshotTable[[#This Row],[SC Is Booked]], SnapshotTable[[#This Row],[SC Qty]] * SnapshotTable[[#This Row],[SC Book Price]] * 100, 0)</f>
        <v>0</v>
      </c>
      <c r="EW134" s="4" t="str">
        <f>IF(AND(ISNUMBER(SnapshotTable[[#This Row],[Last Price]]), ISNUMBER( SnapshotTable[[#This Row],[SC Book Price]])), SnapshotTable[[#This Row],[Last Price]] - SnapshotTable[[#This Row],[SC Book Price]],"")</f>
        <v/>
      </c>
      <c r="EX134" s="234" t="str">
        <f>IF(SnapshotTable[[#This Row],[SC Is Booked]],IF(SnapshotTable[[#This Row],[SC Intrinsic Value]] &gt; 0, SnapshotTable[[#This Row],[SC Strike Price]], SnapshotTable[[#This Row],[Last Price]]), "")</f>
        <v/>
      </c>
      <c r="EY134" s="4">
        <f>IF(SnapshotTable[[#This Row],[SC Is Booked]], (MinimumPremiumRequired * SnapshotTable[[#This Row],[SC Basis]] * SnapshotTable[[#This Row],[SC Term]]), 0)</f>
        <v>0</v>
      </c>
      <c r="EZ134" s="283"/>
      <c r="FA134" s="218"/>
      <c r="FB134" s="370"/>
      <c r="FC134" s="4">
        <f>IF(SnapshotTable[[#This Row],[SC Is Filled]], btc_max_buyback_amount(SnapshotTable[[#This Row],[SC Fill Date]],SnapshotTable[[#This Row],[SC Exp Date]], SnapshotTable[[#This Row],[SC Book Price]]),0)</f>
        <v>0</v>
      </c>
      <c r="FD134" s="5"/>
      <c r="FE134" s="144" t="str">
        <f>IF(SnapshotTable[[#This Row],[SC Is Filled]], btc_next_cutoff_date(SnapshotTable[[#This Row],[SC Fill Date]],SnapshotTable[[#This Row],[SC Exp Date]]),"")</f>
        <v/>
      </c>
      <c r="FF134" s="4" t="str" cm="1">
        <f t="array" ref="FF134">IF(SnapshotTable[[#This Row],[SC Is Filled]], btc_should_buy_back(SnapshotTable[[#This Row],[SC Fill Date]], SnapshotTable[[#This Row],[SC Exp Date]], SnapshotTable[[#This Row],[SC Book Price]], SnapshotTable[[#This Row],[SC Current Ask]], MockToday, SnapshotTable[[#This Row],[SC Buyback Override]]),"")</f>
        <v/>
      </c>
      <c r="FG134" s="4">
        <f>IF(SnapshotTable[[#This Row],[SC Is Filled]], MAX(0,SnapshotTable[[#This Row],[Last Price]]  - SnapshotTable[[#This Row],[SC Strike Price]]), 0)</f>
        <v>0</v>
      </c>
      <c r="FH134" s="382">
        <f>IF(SnapshotTable[[#This Row],[SC Is Filled]], IF(ISNUMBER(SnapshotTable[[#This Row],[SC Current Ask]]), SnapshotTable[[#This Row],[SC Current Ask]], SnapshotTable[[#This Row],[SC Book Price]]) - SnapshotTable[[#This Row],[SC Intrinsic Value]], 0)</f>
        <v>0</v>
      </c>
      <c r="FI134" s="143"/>
      <c r="FJ134" s="32" t="str">
        <f>IF(SnapshotTable[[#This Row],[SC Is Filled]],100 * SnapshotTable[[#This Row],[SC Qty]] * IF(ISNUMBER(SnapshotTable[[#This Row],[SC Buyback Override]]), SnapshotTable[[#This Row],[SC Buyback Override]], SnapshotTable[[#This Row],[SC Current Ask]]), "")</f>
        <v/>
      </c>
      <c r="FK134" s="250" t="str">
        <f>IF(SnapshotTable[[#This Row],[SC Time Val]]&gt;0, SnapshotTable[[#This Row],[SC Time Val]] / SnapshotTable[[#This Row],[Last Price]],"")</f>
        <v/>
      </c>
      <c r="FL134" s="302" t="str">
        <f>IF(SnapshotTable[[#This Row],[SC Is Booked]], ((SnapshotTable[[#This Row],[Last Price]] -SnapshotTable[[#This Row],[SC Strike Price]]) / SnapshotTable[[#This Row],[Last Price]]) * -1, "")</f>
        <v/>
      </c>
      <c r="FM134" s="157" t="str">
        <f>IF(SnapshotTable[[#This Row],[SC Is Booked]],  (SnapshotTable[[#This Row],[SC Qty]] * 100 * SnapshotTable[[#This Row],[SC Strike Price]]) - SnapshotTable[[#This Row],[SC Current Ask]], "")</f>
        <v/>
      </c>
      <c r="FN13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4" s="31" t="str">
        <f>IF(AND(ISNUMBER(SnapshotTable[[#This Row],[SC Exercise Gross]]), ISNUMBER(SnapshotTable[[#This Row],[Equity Basis Per Share]] )), SnapshotTable[[#This Row],[SC Exercise Gross]] - SnapshotTable[[#This Row],[Equity Basis Total]] +  SnapshotTable[[#This Row],[SC Premium]], "")</f>
        <v/>
      </c>
      <c r="FP134" s="5" t="str">
        <f>IF(ISNUMBER(SnapshotTable[[#This Row],[SC Exercise Gross]]), (SnapshotTable[[#This Row],[SC Exercise Gross]]) / (SnapshotTable[[#This Row],[SC Qty]] * 100), "")</f>
        <v/>
      </c>
      <c r="FQ134" s="27" t="str">
        <f>IF(SnapshotTable[[#This Row],[SC Is Booked]],SnapshotTable[[#This Row],[SC Time Val]] /SnapshotTable[[#This Row],[SC Basis]], "")</f>
        <v/>
      </c>
      <c r="FR134" s="27" t="str" cm="1">
        <f t="array" ref="FR134">IF(AND(ISNUMBER(SnapshotTable[[#This Row],[SC Term]]),ISNUMBER(SnapshotTable[[#This Row],[SC Simple ROO]])), EllmanAnnualize(SnapshotTable[[#This Row],[SC DTE]], SnapshotTable[[#This Row],[SC Simple ROO]] ),"")</f>
        <v/>
      </c>
      <c r="FS134" s="4" t="e">
        <f>IF(SnapshotTable[[#This Row],[SC Strike Price]] &gt; SnapshotTable[[#This Row],[Last Price]], SnapshotTable[[#This Row],[SC Strike Price]] - SnapshotTable[[#This Row],[Last Price]],0)</f>
        <v>#VALUE!</v>
      </c>
      <c r="FT134" s="27" t="e">
        <f>IF(AND(ISNUMBER(SnapshotTable[[#This Row],[SC Upside Potential]]), SnapshotTable[[#This Row],[SC Upside Potential]] &gt; 0),(SnapshotTable[[#This Row],[SC Upside Potential]]/ SnapshotTable[[#This Row],[ACB]]),"")</f>
        <v>#VALUE!</v>
      </c>
      <c r="FU134" s="333" t="str">
        <f>IF(SnapshotTable[[#This Row],[SC Intrinsic Value]] &gt; 0,SnapshotTable[[#This Row],[SC Intrinsic Value]],"")</f>
        <v/>
      </c>
      <c r="FV134" s="27" t="str">
        <f>IF(AND( ISNUMBER( SnapshotTable[[#This Row],[ACB]]),ISNUMBER(SnapshotTable[[#This Row],[SC Downside Protect]])),SnapshotTable[[#This Row],[SC Downside Protect]] / SnapshotTable[[#This Row],[ACB]],"")</f>
        <v/>
      </c>
      <c r="FW134" s="236" t="str">
        <f>IF(AND(ISNUMBER(SnapshotTable[[#This Row],[SC Simple ROO]]),SnapshotTable[[#This Row],[SC Simple ROO]] &gt; 0), SnapshotTable[[#This Row],[SC Premium]] + (SnapshotTable[[#This Row],[SC Qty]] * SnapshotTable[[#This Row],[SC Upside Potential]]), "")</f>
        <v/>
      </c>
      <c r="FX134" s="302" t="str" cm="1">
        <f t="array" ref="FX134">IF(ISNUMBER(SnapshotTable[[#This Row],[SC Max Dollars]]), annualize(SnapshotTable[[#This Row],[SC Term]],(SnapshotTable[[#This Row],[SC Max Dollars]]/SnapshotTable[[#This Row],[SC Basis]])),"")</f>
        <v/>
      </c>
      <c r="FY134" s="236" t="str">
        <f>IF(AND(SnapshotTable[[#This Row],[SC Qty]]&gt;0,SnapshotTable[[#This Row],[SC Current Ask]]&gt;0), SnapshotTable[[#This Row],[SC Qty]] * SnapshotTable[[#This Row],[SC Current Ask]] * -100, "")</f>
        <v/>
      </c>
      <c r="FZ134" s="31" t="str">
        <f>IF(ISNUMBER((SnapshotTable[[#This Row],[SC Current Value]])), SnapshotTable[[#This Row],[SC Premium]] + SnapshotTable[[#This Row],[SC Current Value]], "")</f>
        <v/>
      </c>
      <c r="GA134" s="294" t="str">
        <f>IFERROR( IF(ISNUMBER((SnapshotTable[[#This Row],[SC Current Value]])), SnapshotTable[[#This Row],[SC Gain Loss]] / SnapshotTable[[#This Row],[SC Premium]], ""), "")</f>
        <v/>
      </c>
      <c r="GB134" s="42">
        <f>SnapshotTable[[#This Row],[Equity Shares]] * SaleSharesToConsiderPercentage</f>
        <v>0</v>
      </c>
      <c r="GC134" s="40">
        <f>SnapshotTable[[#This Row],[Long Term Target]] * SellingPriceToConsiderBasedOnTargetPercentage</f>
        <v>54.102499999999999</v>
      </c>
      <c r="GD134" s="40">
        <f>SnapshotTable[[#This Row],[Last Price]] * (1+ SellingPriceToConsiderBasedOnTargetPercentage)</f>
        <v>60.9375</v>
      </c>
      <c r="GE134" s="41"/>
      <c r="GF134" s="40"/>
      <c r="GG134" s="31">
        <f>SnapshotTable[[#This Row],[Booked Sale Shares]] * SnapshotTable[[#This Row],[Booked Sale Price]]</f>
        <v>0</v>
      </c>
      <c r="GH134" s="31" t="str">
        <f>IF(SnapshotTable[[#This Row],[Equity Basis Total]] &gt; 0, SnapshotTable[[#This Row],[Equity Basis Per Share]] * SnapshotTable[[#This Row],[Booked Sale Shares]], "")</f>
        <v/>
      </c>
      <c r="GI134" s="31">
        <f>IF(SnapshotTable[[#This Row],[Sale Proceeds]]&gt;0, SnapshotTable[[#This Row],[Sale Proceeds]] - SnapshotTable[[#This Row],[Sale Basis]], 0)</f>
        <v>0</v>
      </c>
      <c r="GJ134" s="27" t="str">
        <f>IF(SnapshotTable[[#This Row],[Sale G/L]]&gt;0, SnapshotTable[[#This Row],[Sale G/L]] / SnapshotTable[[#This Row],[Sale Basis]], IF(ISNUMBER(SnapshotTable[[#This Row],[SC Exercise P&amp;L (TAX)]]), SnapshotTable[[#This Row],[SC Exercise P&amp;L (TAX)]] / SnapshotTable[[#This Row],[SC Basis]], ""))</f>
        <v/>
      </c>
      <c r="GK134" s="27" t="s">
        <v>686</v>
      </c>
      <c r="GL134" s="43" t="str">
        <f>IF(AND(SnapshotTable[[#This Row],[LP Exp Date]]&gt;0,SnapshotTable[[#This Row],[LP Strike Price]]&gt;0), [1]!ToOptionSymbol(SnapshotTable[[#This Row],[Symbol]], SnapshotTable[[#This Row],[LP Strike Price]],SnapshotTable[[#This Row],[LP Exp Date]],1), "")</f>
        <v/>
      </c>
      <c r="GM134" s="30" t="str">
        <f>IF(LEN(SnapshotTable[[#This Row],[LP Symbol]])&gt;0, 1, "")</f>
        <v/>
      </c>
      <c r="GN134" s="43" t="str">
        <f>IF(AND(SnapshotTable[[#This Row],[SP Exp Date]]&gt;0,SnapshotTable[[#This Row],[SP Strike Price]]&gt;0), [1]!ToOptionSymbol(SnapshotTable[[#This Row],[Symbol]], SnapshotTable[[#This Row],[SP Strike Price]],SnapshotTable[[#This Row],[SP Exp Date]],1), "")</f>
        <v/>
      </c>
      <c r="GO134" s="30" t="str">
        <f>IF(LEN(SnapshotTable[[#This Row],[SP Symbol]])&gt;0, 1, "")</f>
        <v/>
      </c>
      <c r="GP134" s="43" t="str">
        <f>IF(AND(SnapshotTable[[#This Row],[LC Exp Date]]&gt;0,SnapshotTable[[#This Row],[LC Strike Price]]&gt;0), [1]!ToOptionSymbol(SnapshotTable[[#This Row],[Symbol]], SnapshotTable[[#This Row],[LC Strike Price]],SnapshotTable[[#This Row],[LC Exp Date]],0), "")</f>
        <v/>
      </c>
      <c r="GQ134" s="30" t="str">
        <f>IF(LEN(SnapshotTable[[#This Row],[LC Symbol]])&gt;0, 1, "")</f>
        <v/>
      </c>
      <c r="GR134" s="43" t="str">
        <f>IF(AND(SnapshotTable[[#This Row],[SC Exp Date]]&gt;0,SnapshotTable[[#This Row],[SC Strike Price]]&gt;0), [1]!ToOptionSymbol(SnapshotTable[[#This Row],[Symbol]], SnapshotTable[[#This Row],[SC Strike Price]],SnapshotTable[[#This Row],[SC Exp Date]],0), "")</f>
        <v/>
      </c>
      <c r="GS134" s="30" t="str">
        <f>IF(LEN(SnapshotTable[[#This Row],[SC Symbol]])&gt;0, 1, "")</f>
        <v/>
      </c>
      <c r="GT134" s="29" t="str">
        <f>IF(COUNT(SnapshotTable[[#This Row],[LP Symbol Count]],SnapshotTable[[#This Row],[SP Symbol Count]],SnapshotTable[[#This Row],[LC Symbol Count]],SnapshotTable[[#This Row],[SC Symbol Count]])&gt;0, "Y", "")</f>
        <v/>
      </c>
      <c r="GU13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4" s="231" t="e">
        <f>MAX(SnapshotTable[[#This Row],[Equity Basis Total]],SnapshotTable[[#This Row],[Equity Value]]) + (SnapshotTable[[#This Row],[SP Potential Spend]]- SnapshotTable[[#This Row],[SP Premium]] + SnapshotTable[[#This Row],[LP Premium]])+ (SnapshotTable[[#This Row],[LC Premium]] - SnapshotTable[[#This Row],[SC Premium]])</f>
        <v>#VALUE!</v>
      </c>
      <c r="GW134" s="139" t="e">
        <f>IF(AND(SnapshotTable[[#This Row],[Exposure]] &lt;&gt; 0),SnapshotTable[[#This Row],[Exposure]] / SnapshotTable[[#Totals],[Exposure]], "")</f>
        <v>#VALUE!</v>
      </c>
      <c r="HE134" s="268"/>
      <c r="HF134" s="268"/>
      <c r="HK134" s="1"/>
      <c r="HL134" s="1"/>
      <c r="HM134" s="1"/>
      <c r="HN134" s="1"/>
      <c r="HO134" s="1"/>
      <c r="HP134" s="1"/>
    </row>
    <row r="135" spans="2:224" ht="12.75" hidden="1" customHeight="1" x14ac:dyDescent="0.25">
      <c r="B135" s="12" t="s">
        <v>62</v>
      </c>
      <c r="C135" s="422">
        <v>319.83</v>
      </c>
      <c r="D135" s="208"/>
      <c r="E135" s="39">
        <f>SnapshotTable[[#This Row],[Last Price]]*(1 -CrashDiscount)</f>
        <v>271.85550000000001</v>
      </c>
      <c r="F135" s="26" t="s">
        <v>60</v>
      </c>
      <c r="G135" s="26" t="s">
        <v>14</v>
      </c>
      <c r="H135" s="149"/>
      <c r="I135" s="194">
        <v>44770.3125</v>
      </c>
      <c r="J135" s="195">
        <v>44770.3125</v>
      </c>
      <c r="K135" s="196"/>
      <c r="L135" s="326"/>
      <c r="M135" s="140"/>
      <c r="N135" s="140"/>
      <c r="O135" s="140"/>
      <c r="P135" s="22"/>
      <c r="Q135" s="25"/>
      <c r="R135" s="4" t="str">
        <f>IF(SnapshotTable[[#This Row],[Equity Basis Total]] &gt; 0, SnapshotTable[[#This Row],[Equity Basis Total]] / SnapshotTable[[#This Row],[Equity Shares]], "")</f>
        <v/>
      </c>
      <c r="S135" s="269">
        <f>SnapshotTable[[#This Row],[Last Price]] * SnapshotTable[[#This Row],[Equity Shares]]</f>
        <v>0</v>
      </c>
      <c r="T135" s="269">
        <f>SnapshotTable[[#This Row],[Equity Value]] - SnapshotTable[[#This Row],[Equity Basis Total]]</f>
        <v>0</v>
      </c>
      <c r="U135" s="270" t="str">
        <f>IF(SnapshotTable[[#This Row],[Equity Basis Total]] &gt; 0, SnapshotTable[[#This Row],[Equity G/L]] / SnapshotTable[[#This Row],[Equity Basis Total]], "")</f>
        <v/>
      </c>
      <c r="V135" s="268"/>
      <c r="W135" s="268"/>
      <c r="X135" s="4" t="str">
        <f>IF(AND(ISNUMBER(SnapshotTable[[#This Row],[Equity Basis Per Share]]),ISNUMBER(SnapshotTable[[#This Row],[Equity Target]])),SnapshotTable[[#This Row],[Equity Target]]-SnapshotTable[[#This Row],[Equity Basis Per Share]],"")</f>
        <v/>
      </c>
      <c r="Y135" s="4" t="str">
        <f>IF(AND(ISNUMBER(SnapshotTable[[#This Row],[Equity Basis Per Share]]),ISNUMBER(SnapshotTable[[#This Row],[Equity Stop Loss]])),SnapshotTable[[#This Row],[Equity Stop Loss]]-SnapshotTable[[#This Row],[Equity Basis Per Share]],"")</f>
        <v/>
      </c>
      <c r="Z135" s="275" t="str">
        <f>IFERROR( TEXT(SnapshotTable[[#This Row],[Equity Max Gain Per Share]] /ABS( SnapshotTable[[#This Row],[Equity Max Loss Per Share]]),"0.0 " ) &amp; " : 1", "")</f>
        <v/>
      </c>
      <c r="AA135" s="31" t="str">
        <f>IF(ISNUMBER(SnapshotTable[[#This Row],[Equity Max Gain Per Share]]),SnapshotTable[[#This Row],[Equity Max Gain Per Share]] * SnapshotTable[[#This Row],[Equity Shares]],"")</f>
        <v/>
      </c>
      <c r="AB135" s="31" t="str">
        <f>IF(ISNUMBER(SnapshotTable[[#This Row],[Equity Max Loss Per Share]]),SnapshotTable[[#This Row],[Equity Max Loss Per Share]] * SnapshotTable[[#This Row],[Equity Shares]],"")</f>
        <v/>
      </c>
      <c r="AC135" s="150">
        <v>1.24</v>
      </c>
      <c r="AD135" s="151">
        <v>42368</v>
      </c>
      <c r="AE135" s="31">
        <f>(SnapshotTable[[#This Row],[Annual Dividend Per Share]] / 4) * SnapshotTable[[#This Row],[Equity Shares]]</f>
        <v>0</v>
      </c>
      <c r="AF135" s="31">
        <f>SnapshotTable[[#This Row],[Quarterly Div $]] * 4</f>
        <v>0</v>
      </c>
      <c r="AG135" s="7">
        <f>IF(SnapshotTable[[#This Row],[Annual Dividend Per Share]]&gt;0, SnapshotTable[[#This Row],[Annual Dividend Per Share]]  / SnapshotTable[[#This Row],[Last Price]], 0)</f>
        <v>3.8770596879592286E-3</v>
      </c>
      <c r="AH135" s="151">
        <v>42256</v>
      </c>
      <c r="AI135" s="5"/>
      <c r="AJ135" s="138">
        <v>110</v>
      </c>
      <c r="AK135" s="152" t="str">
        <f>IF(ISNUMBER( SnapshotTable[[#This Row],[EBF Target]]),(SnapshotTable[[#This Row],[EBF Target]] - SnapshotTable[[#This Row],[Last Price]]) / SnapshotTable[[#This Row],[Last Price]], "")</f>
        <v/>
      </c>
      <c r="AL135" s="152" t="str">
        <f>IF(AND(SnapshotTable[[#This Row],[Equity Basis Total]] &gt; 0,ISNUMBER( SnapshotTable[[#This Row],[Long Term Target]])), SnapshotTable[[#This Row],[From Basis $]] / SnapshotTable[[#This Row],[Equity Basis Total]], "")</f>
        <v/>
      </c>
      <c r="AM135" s="9">
        <f>IF( AND(SnapshotTable[[#This Row],[Equity Shares]] &gt;0,ISNUMBER( SnapshotTable[[#This Row],[Long Term Target]])),(SnapshotTable[[#This Row],[Equity Shares]] * SnapshotTable[[#This Row],[Long Term Target]]) - SnapshotTable[[#This Row],[Equity Basis Total]],0)</f>
        <v>0</v>
      </c>
      <c r="AN135" s="9">
        <f>IF( AND(SnapshotTable[[#This Row],[Equity Shares]] &gt;0,ISNUMBER( SnapshotTable[[#This Row],[Long Term Target]])),(SnapshotTable[[#This Row],[Equity Shares]]*SnapshotTable[[#This Row],[Long Term Target]]) - SnapshotTable[[#This Row],[Equity Value]],0)</f>
        <v>0</v>
      </c>
      <c r="AO135" s="152">
        <f>IF(AND(ISNUMBER( SnapshotTable[[#This Row],[Long Term Target]]), ISNUMBER(SnapshotTable[[#This Row],[Last Price]])),(SnapshotTable[[#This Row],[Long Term Target]] - SnapshotTable[[#This Row],[Last Price]]) / SnapshotTable[[#This Row],[Last Price]], "")</f>
        <v>-0.65606728574555229</v>
      </c>
      <c r="AP135" s="5"/>
      <c r="AQ135" s="38"/>
      <c r="AR135" s="5"/>
      <c r="AS135" s="38"/>
      <c r="AT135" s="146"/>
      <c r="AU135" s="187" t="str">
        <f>IF(OR(SnapshotTable[[#This Row],[LP No Fill]]="Y",SnapshotTable[[#This Row],[SP Is Filled]],SnapshotTable[[#This Row],[LC Not Filled]]="Y",SnapshotTable[[#This Row],[SC Is Filled]]),"Y","")</f>
        <v/>
      </c>
      <c r="AV135" s="219"/>
      <c r="AW135" s="225"/>
      <c r="AX135" s="220"/>
      <c r="AY135" s="219" t="str">
        <f>IF(SnapshotTable[[#This Row],[Implied Move]]&gt;0, SnapshotTable[[#This Row],[Last Price]]-SnapshotTable[[#This Row],[Implied Move]],"")</f>
        <v/>
      </c>
      <c r="AZ135" s="219" t="str">
        <f>IF(SnapshotTable[[#This Row],[Implied Move]]&gt;0, SnapshotTable[[#This Row],[Last Price]] + SnapshotTable[[#This Row],[Implied Move]],"")</f>
        <v/>
      </c>
      <c r="BA135" s="331"/>
      <c r="BB135" s="347"/>
      <c r="BC13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5" s="351"/>
      <c r="BE135" s="5"/>
      <c r="BF135" s="14"/>
      <c r="BG135" s="13"/>
      <c r="BH135" s="13"/>
      <c r="BI135" s="5"/>
      <c r="BJ135" s="136">
        <f>IF(SnapshotTable[[#This Row],[LP Qty]] &gt; 0, SnapshotTable[[#This Row],[LP Qty]] * SnapshotTable[[#This Row],[LP Book Price]] * 100,0)</f>
        <v>0</v>
      </c>
      <c r="BK135" s="136">
        <f>IF(SnapshotTable[[#This Row],[LP Premium]] &gt; 0, SnapshotTable[[#This Row],[LP Qty]] * SnapshotTable[[#This Row],[LP Strike Price]] * 100,0)</f>
        <v>0</v>
      </c>
      <c r="BL135" s="154"/>
      <c r="BM135" s="385" t="str">
        <f>IF(SnapshotTable[[#This Row],[LP Premium]] &gt; 0,SnapshotTable[[#This Row],[LP Exp Date]]-MAX(SnapshotTable[[#This Row],[LP Book Date]], SnapshotTable[[#This Row],[LP Fill Date]]),"")</f>
        <v/>
      </c>
      <c r="BN135" s="385" t="str">
        <f>IF(ISNUMBER( SnapshotTable[[#This Row],[LP Term]]), SnapshotTable[[#This Row],[LP Exp Date]] - MockToday,"")</f>
        <v/>
      </c>
      <c r="BO135" s="163" t="str">
        <f>IF(AND(SnapshotTable[[#This Row],[LP Exp Date]]&gt;0, SnapshotTable[[#This Row],[LP Strike Price]]&gt;0,SnapshotTable[[#This Row],[LP Qty]]&gt;0,SnapshotTable[[#This Row],[LP Book Date]]&gt;0,SnapshotTable[[#This Row],[LP Book Price]]&gt;0,SnapshotTable[[#This Row],[LP Fill Date]]=0),"Y","")</f>
        <v/>
      </c>
      <c r="BP135" s="31" t="str">
        <f>IF(AND(SnapshotTable[[#This Row],[LP No Fill]]&lt;&gt;"Y",SnapshotTable[[#This Row],[LP Contract Value]]&gt;0, SnapshotTable[[#This Row],[LP Qty]]&gt;0), SnapshotTable[[#This Row],[LP Contract Value]]*SnapshotTable[[#This Row],[LP Qty]]*100,"")</f>
        <v/>
      </c>
      <c r="BQ135" s="13"/>
      <c r="BR135" s="5" t="str">
        <f>IF(SnapshotTable[[#This Row],[SP Exp Date]]&lt;&gt;"",TRUNC(SnapshotTable[[#This Row],[Last Price]]),"")</f>
        <v/>
      </c>
      <c r="BS135" s="36"/>
      <c r="BT135" s="147"/>
      <c r="BU135" s="13"/>
      <c r="BV135" s="5"/>
      <c r="BW135" s="419" t="b">
        <f>AND(ISNUMBER(SnapshotTable[[#This Row],[SP Exp Date]]), ISNUMBER(SnapshotTable[[#This Row],[SP Strike Price]]), ISNUMBER(SnapshotTable[[#This Row],[SP Qty]]), ISNUMBER(SnapshotTable[[#This Row],[SP Book Date]]), ISNUMBER(SnapshotTable[[#This Row],[SP Book Price]]))</f>
        <v>0</v>
      </c>
      <c r="BX135" s="419" t="b">
        <f>AND(SnapshotTable[[#This Row],[SP Is Booked]], NOT(ISBLANK(SnapshotTable[[#This Row],[SP Fill Date]])))</f>
        <v>0</v>
      </c>
      <c r="BY135" s="33">
        <f>IF(SnapshotTable[[#This Row],[SP Is Booked]], SnapshotTable[[#This Row],[SP Qty]] * SnapshotTable[[#This Row],[SP Book Price]] * 100, 0)</f>
        <v>0</v>
      </c>
      <c r="BZ135" s="369"/>
      <c r="CA135" s="368">
        <f>SnapshotTable[[#This Row],[LP Qty]]</f>
        <v>0</v>
      </c>
      <c r="CB135" s="4" t="str">
        <f>IF(SnapshotTable[[#This Row],[SP Is Booked]], SnapshotTable[[#This Row],[SP Strike Price]] - SnapshotTable[[#This Row],[SP Book Price]], "")</f>
        <v/>
      </c>
      <c r="CC135" s="19" t="str">
        <f>IF(SnapshotTable[[#This Row],[SP Is Booked]],SnapshotTable[[#This Row],[SP Exp Date]]-MAX(SnapshotTable[[#This Row],[SP Book Date]], SnapshotTable[[#This Row],[SP Fill Date]]),"")</f>
        <v/>
      </c>
      <c r="CD135" s="7" t="str">
        <f>IF(SnapshotTable[[#This Row],[SP Is Booked]], SnapshotTable[[#This Row],[SP Book Price]]/SnapshotTable[[#This Row],[SP Strike Price]], "")</f>
        <v/>
      </c>
      <c r="CE135" s="7" t="str">
        <f>IF(ISNUMBER(SnapshotTable[[#This Row],[SP ROO Term]]),SnapshotTable[[#This Row],[SP ROO Term]]*(365/SnapshotTable[[#This Row],[SP Term]]),"")</f>
        <v/>
      </c>
      <c r="CF135" s="236">
        <f>SnapshotTable[[#This Row],[LP Strike Price]] * SnapshotTable[[#This Row],[LP Qty]] * 100</f>
        <v>0</v>
      </c>
      <c r="CG135" s="31" t="e">
        <f>IF(ISNUMBER(SnapshotTable[[#This Row],[SP Premium]]), (SnapshotTable[[#This Row],[SP Qty]] * SnapshotTable[[#This Row],[SP Strike Price]]* 100) - SnapshotTable[[#This Row],[LP Protection]], 0)</f>
        <v>#VALUE!</v>
      </c>
      <c r="CH135" s="7" t="str">
        <f>IF(ISNUMBER(SnapshotTable[[#This Row],[SP Break Even]]),-1 * (SnapshotTable[[#This Row],[SP Break Even]] - SnapshotTable[[#This Row],[Last Price]]) / SnapshotTable[[#This Row],[Last Price]], "")</f>
        <v/>
      </c>
      <c r="CI135" s="31">
        <f>IF(AND(ISNUMBER((SnapshotTable[[#This Row],[SP Potential Spend]])), SnapshotTable[[#This Row],[SP Strike Price]] &gt; SnapshotTable[[#This Row],[Last Price]], SnapshotTable[[#This Row],[SP Is Filled]]), SnapshotTable[[#This Row],[SP Potential Spend]] -  SnapshotTable[[#This Row],[LP Max Value]], 0)</f>
        <v>0</v>
      </c>
      <c r="CJ135" s="244"/>
      <c r="CK135" s="31" t="str">
        <f>IF(ISNUMBER(SnapshotTable[[#This Row],[SP Potential Spend]]),IF(ISNUMBER(SnapshotTable[[#This Row],[SP POW]]), SnapshotTable[[#This Row],[SP POW]] * SnapshotTable[[#This Row],[SP Potential Spend]], SnapshotTable[[#This Row],[SP Potential Spend]]), "")</f>
        <v/>
      </c>
      <c r="CL135" s="164" t="e">
        <f>IF(NOT(SnapshotTable[[#This Row],[SP Is Filled]]),(SnapshotTable[[#This Row],[SP Qty]] * SnapshotTable[[#This Row],[SP Strike Price]] * 100) - SnapshotTable[[#This Row],[LP Max Value]],"")</f>
        <v>#VALUE!</v>
      </c>
      <c r="CM135" s="31" t="str">
        <f>IF(SnapshotTable[[#This Row],[SP Actual Spend]]&lt;&gt;0, ((SnapshotTable[[#This Row],[SP Strike Price]]-SnapshotTable[[#This Row],[Last Price]]) *(SnapshotTable[[#This Row],[SP Qty]]*100) - SnapshotTable[[#This Row],[SP Premium]]) * - 1, "")</f>
        <v/>
      </c>
      <c r="CN135" s="78"/>
      <c r="CO135" s="369"/>
      <c r="CP135" s="4" t="str">
        <f>IF(SnapshotTable[[#This Row],[SP Is Filled]], btc_max_buyback_amount(SnapshotTable[[#This Row],[SP Fill Date]],SnapshotTable[[#This Row],[SP Exp Date]], SnapshotTable[[#This Row],[SP Book Price]]),"")</f>
        <v/>
      </c>
      <c r="CQ135" s="78"/>
      <c r="CR13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5" s="155" t="str">
        <f>IF(SnapshotTable[[#This Row],[SP Is Filled]], btc_next_cutoff_date(SnapshotTable[[#This Row],[SP Fill Date]],SnapshotTable[[#This Row],[SP Exp Date]]),"")</f>
        <v/>
      </c>
      <c r="CT135" s="235" t="str" cm="1">
        <f t="array" ref="CT135">IF(SnapshotTable[[#This Row],[SP Is Filled]], btc_should_buy_back(SnapshotTable[[#This Row],[SP Fill Date]], SnapshotTable[[#This Row],[SP Exp Date]], SnapshotTable[[#This Row],[SP Book Price]], SnapshotTable[[#This Row],[SP Current Ask]], MockToday, SnapshotTable[[#This Row],[SP Buyback Override]]),"")</f>
        <v/>
      </c>
      <c r="CU135" s="143"/>
      <c r="CV135" s="235"/>
      <c r="CW135" s="378" t="str">
        <f>IF(ISNUMBER( SnapshotTable[[#This Row],[SP Term]]), SnapshotTable[[#This Row],[SP Exp Date]] - MockToday,"")</f>
        <v/>
      </c>
      <c r="CX135" s="31" t="str">
        <f>IF(SnapshotTable[[#This Row],[SP Is Filled]],SnapshotTable[[#This Row],[SP Buyback Price to Use]] * 100 * SnapshotTable[[#This Row],[SP Qty]], "")</f>
        <v/>
      </c>
      <c r="CY135" s="4" t="str">
        <f>IF(ISNUMBER(SnapshotTable[[#This Row],[SP Strike Price]]), SnapshotTable[[#This Row],[SP Strike Price]] * (1 - SP_MaxLoss_StrikePct), "")</f>
        <v/>
      </c>
      <c r="CZ135" s="31" t="str">
        <f>IF(ISNUMBER(SnapshotTable[[#This Row],[SP Strike  Stop Per Share]]),SnapshotTable[[#This Row],[SP Premium]] - ((SnapshotTable[[#This Row],[SP Strike Price]]-SnapshotTable[[#This Row],[SP Strike  Stop Per Share]]) *(SnapshotTable[[#This Row],[SP Qty]] * 100)),"")</f>
        <v/>
      </c>
      <c r="DA135" s="4" t="str">
        <f>IF(AND(ISNUMBER(SnapshotTable[[#This Row],[SP Premium]]),SnapshotTable[[#This Row],[SP Premium]]&gt;0), SnapshotTable[[#This Row],[SP Book Price]] * (1 + SP_MaxLoss_OptionPct), "")</f>
        <v/>
      </c>
      <c r="DB135" s="31" t="str">
        <f>IF(ISNUMBER(SnapshotTable[[#This Row],[SP Option  Stop Contract]]),(SnapshotTable[[#This Row],[SP Option  Stop Contract]] *(SnapshotTable[[#This Row],[SP Qty]] * 100) - SnapshotTable[[#This Row],[SP Premium]]),"")</f>
        <v/>
      </c>
      <c r="DC135" s="4"/>
      <c r="DD135" s="4"/>
      <c r="DE135" s="4" t="str">
        <f>IF(AND(SnapshotTable[[#This Row],[SP Qty]]&gt;0, SnapshotTable[[#This Row],[SP Stop To Use]]&gt;0),SnapshotTable[[#This Row],[SP Premium]] - ( SnapshotTable[[#This Row],[SP Qty]] * SnapshotTable[[#This Row],[SP Stop To Use]] * 100), "")</f>
        <v/>
      </c>
      <c r="DF135" s="31" t="str">
        <f>IF(AND(SnapshotTable[[#This Row],[SP Qty]]&gt;0,SnapshotTable[[#This Row],[SP Current Ask]]&gt;0), SnapshotTable[[#This Row],[SP Qty]] * SnapshotTable[[#This Row],[SP Current Ask]] * -100, "")</f>
        <v/>
      </c>
      <c r="DG135" s="31" t="str">
        <f>IF(ISNUMBER((SnapshotTable[[#This Row],[SP Total Value]])), SnapshotTable[[#This Row],[SP Premium]] + SnapshotTable[[#This Row],[SP Total Value]], "")</f>
        <v/>
      </c>
      <c r="DH135" s="294" t="str">
        <f>IF(ISNUMBER((SnapshotTable[[#This Row],[SP Total Value]])), SnapshotTable[[#This Row],[SP Gain Loss]] / SnapshotTable[[#This Row],[SP Premium]], "")</f>
        <v/>
      </c>
      <c r="DI135" s="406"/>
      <c r="DJ135" s="138"/>
      <c r="DK135" s="148"/>
      <c r="DL135" s="13"/>
      <c r="DM135" s="13"/>
      <c r="DO135" s="31">
        <f>IF(SnapshotTable[[#This Row],[LC Symbol Count]]=1, SnapshotTable[[#This Row],[LC Qty]] * SnapshotTable[[#This Row],[LC Book Price]] * 100, 0)</f>
        <v>0</v>
      </c>
      <c r="DP135" s="163" t="str">
        <f>IF(AND(SnapshotTable[[#This Row],[LC Exp Date]]&gt;0, SnapshotTable[[#This Row],[LC Strike Price]]&gt;0,SnapshotTable[[#This Row],[LC Qty]]&gt;0,SnapshotTable[[#This Row],[LC Book Date]]&gt;0,SnapshotTable[[#This Row],[LC Book Price]]&gt;0,SnapshotTable[[#This Row],[LC Fill Date]]=0),"Y","")</f>
        <v/>
      </c>
      <c r="DQ135" s="386" t="str">
        <f>IF(SnapshotTable[[#This Row],[LC Premium]] &gt; 0,SnapshotTable[[#This Row],[LC Exp Date]]-MAX(SnapshotTable[[#This Row],[LC Book Date]], SnapshotTable[[#This Row],[LC Fill Date]]),"")</f>
        <v/>
      </c>
      <c r="DR135" s="386" t="str">
        <f>IF(ISNUMBER(SnapshotTable[[#This Row],[LC Term]]), SnapshotTable[[#This Row],[LC Exp Date]] - MockToday, "")</f>
        <v/>
      </c>
      <c r="DS135" s="234" t="str">
        <f>IF(SnapshotTable[[#This Row],[LC Premium]]&gt;0,SnapshotTable[[#This Row],[LC Strike Price]] + SnapshotTable[[#This Row],[LC Book Price]],"")</f>
        <v/>
      </c>
      <c r="DU135" s="9" t="str">
        <f>IF(AND(SnapshotTable[[#This Row],[LC Symbol Count]]&gt;0, SnapshotTable[[#This Row],[LC Contract Value]]&gt;0), SnapshotTable[[#This Row],[LC Contract Value]] * SnapshotTable[[#This Row],[LC Qty]] * 100, "")</f>
        <v/>
      </c>
      <c r="DV135" s="9" t="str">
        <f>IF(AND(ISNUMBER(SnapshotTable[[#This Row],[LC Total Value]]), SnapshotTable[[#This Row],[LC Not Filled]]&lt;&gt;"Y"), SnapshotTable[[#This Row],[LC Total Value]]-SnapshotTable[[#This Row],[LC Premium]],"")</f>
        <v/>
      </c>
      <c r="DW135" s="240" t="str">
        <f>IF(ISNUMBER(SnapshotTable[[#This Row],[LC Actual Gain Loss]]), SnapshotTable[[#This Row],[LC Actual Gain Loss]] / SnapshotTable[[#This Row],[LC Premium]],"")</f>
        <v/>
      </c>
      <c r="DX135" s="284" t="str">
        <f>IF(ISNUMBER(SnapshotTable[[#This Row],[LC Book Price]]),SnapshotTable[[#This Row],[LC Book Price]] * 1.5,"")</f>
        <v/>
      </c>
      <c r="DY135" s="265" t="str">
        <f>IF(SnapshotTable[[#This Row],[LC Premium]]&gt;0, SnapshotTable[[#This Row],[LC Next Target]] * SnapshotTable[[#This Row],[LC Qty]] * 100,"")</f>
        <v/>
      </c>
      <c r="DZ135" s="265" t="str">
        <f>IF(ISNUMBER(SnapshotTable[[#This Row],[LC Target Gross]]), SnapshotTable[[#This Row],[LC Target Gross]] - SnapshotTable[[#This Row],[LC Premium]], "")</f>
        <v/>
      </c>
      <c r="EA135" s="305" t="str">
        <f>IF(ISNUMBER(SnapshotTable[[#This Row],[LC Target Gain Loss]]), SnapshotTable[[#This Row],[LC Target Gain Loss]]/SnapshotTable[[#This Row],[LC Premium]], "")</f>
        <v/>
      </c>
      <c r="EB135" s="262"/>
      <c r="EC135" s="283" t="str">
        <f>IF(SnapshotTable[[#This Row],[LC Premium]]&gt;0, SnapshotTable[[#This Row],[LC Book Price]] * (1 - LC_StopLoss_Pct),"")</f>
        <v/>
      </c>
      <c r="ED135" s="284"/>
      <c r="EE135" s="283" t="str">
        <f>IF(ISNUMBER(SnapshotTable[[#This Row],[LC Contract Value]]),IF(ISNUMBER(SnapshotTable[[#This Row],[LC Stop Loss Override]]), SnapshotTable[[#This Row],[LC Stop Loss Override]],SnapshotTable[[#This Row],[LC Stop Loss Calc Target]]),"")</f>
        <v/>
      </c>
      <c r="EF135" s="31" t="str">
        <f>IF(ISNUMBER(SnapshotTable[[#This Row],[LC Stop  To Use]]), (SnapshotTable[[#This Row],[LC Stop  To Use]] * SnapshotTable[[#This Row],[LC Qty]] * 100),"")</f>
        <v/>
      </c>
      <c r="EG135" s="9" t="str">
        <f>IF(ISNUMBER(SnapshotTable[[#This Row],[LC Total Value]]),SnapshotTable[[#This Row],[LC Stop Loss Amount]] - SnapshotTable[[#This Row],[LC Premium]],"")</f>
        <v/>
      </c>
      <c r="EH135" s="9">
        <f>IF(ISNUMBER(SnapshotTable[[#This Row],[LC Premium]]), SnapshotTable[[#This Row],[LC Qty]] * 100 * SnapshotTable[[#This Row],[LC Strike Price]], "")</f>
        <v>0</v>
      </c>
      <c r="EI135" s="240" t="str">
        <f>IF(AND(ISNUMBER(SnapshotTable[[#This Row],[LC Total Value]]),SnapshotTable[[#This Row],[LC Total Value]]&gt;0),SnapshotTable[[#This Row],[LC Stop Gain Loss]]  / SnapshotTable[[#This Row],[LC Premium]],"")</f>
        <v/>
      </c>
      <c r="EJ135" s="35">
        <f>IF(ISNUMBER(SnapshotTable[[#This Row],[Equity Shares]]),TRUNC(SnapshotTable[[#This Row],[Equity Shares]] / 100),0) + SnapshotTable[[#This Row],[LC Qty]]</f>
        <v>0</v>
      </c>
      <c r="EK135" s="147"/>
      <c r="EL135" s="138" t="str">
        <f>IF(SnapshotTable[[#This Row],[SC Exp Date]]&lt;&gt;"",TRUNC(SnapshotTable[[#This Row],[Last Price]]),"")</f>
        <v/>
      </c>
      <c r="EM135" s="148"/>
      <c r="EN135" s="147"/>
      <c r="EO135" s="147"/>
      <c r="EP135" s="138"/>
      <c r="EQ135" s="419" t="b">
        <f>AND(ISNUMBER(SnapshotTable[[#This Row],[SC Exp Date]]), ISNUMBER(SnapshotTable[[#This Row],[SC Strike Price]]), ISNUMBER(SnapshotTable[[#This Row],[SC Qty]]), ISNUMBER(SnapshotTable[[#This Row],[SC Book Date]]), ISNUMBER(SnapshotTable[[#This Row],[SC Book Price]]))</f>
        <v>0</v>
      </c>
      <c r="ER135" s="419" t="b">
        <f>AND(SnapshotTable[[#This Row],[SC Is Booked]], NOT(ISBLANK(SnapshotTable[[#This Row],[SC Fill Date]])))</f>
        <v>0</v>
      </c>
      <c r="ES135" s="370"/>
      <c r="ET135" s="34" t="str">
        <f>IF(AND(ISNUMBER(SnapshotTable[[#This Row],[SC Exp Date]]), ISNUMBER(SnapshotTable[[#This Row],[SC Book Date]])), SnapshotTable[[#This Row],[SC Exp Date]] - MAX(SnapshotTable[[#This Row],[SC Book Date]], SnapshotTable[[#This Row],[SC Fill Date]]) + 1, "")</f>
        <v/>
      </c>
      <c r="EU135" s="34" t="str">
        <f>IF(ISNUMBER(SnapshotTable[[#This Row],[SC Term]]), SnapshotTable[[#This Row],[SC Exp Date]]- MockToday, "")</f>
        <v/>
      </c>
      <c r="EV135" s="31">
        <f>IF(SnapshotTable[[#This Row],[SC Is Booked]], SnapshotTable[[#This Row],[SC Qty]] * SnapshotTable[[#This Row],[SC Book Price]] * 100, 0)</f>
        <v>0</v>
      </c>
      <c r="EW135" s="4" t="str">
        <f>IF(AND(ISNUMBER(SnapshotTable[[#This Row],[Last Price]]), ISNUMBER( SnapshotTable[[#This Row],[SC Book Price]])), SnapshotTable[[#This Row],[Last Price]] - SnapshotTable[[#This Row],[SC Book Price]],"")</f>
        <v/>
      </c>
      <c r="EX135" s="234" t="str">
        <f>IF(SnapshotTable[[#This Row],[SC Is Booked]],IF(SnapshotTable[[#This Row],[SC Intrinsic Value]] &gt; 0, SnapshotTable[[#This Row],[SC Strike Price]], SnapshotTable[[#This Row],[Last Price]]), "")</f>
        <v/>
      </c>
      <c r="EY135" s="4">
        <f>IF(SnapshotTable[[#This Row],[SC Is Booked]], (MinimumPremiumRequired * SnapshotTable[[#This Row],[SC Basis]] * SnapshotTable[[#This Row],[SC Term]]), 0)</f>
        <v>0</v>
      </c>
      <c r="EZ135" s="283"/>
      <c r="FA135" s="218"/>
      <c r="FB135" s="370"/>
      <c r="FC135" s="4">
        <f>IF(SnapshotTable[[#This Row],[SC Is Filled]], btc_max_buyback_amount(SnapshotTable[[#This Row],[SC Fill Date]],SnapshotTable[[#This Row],[SC Exp Date]], SnapshotTable[[#This Row],[SC Book Price]]),0)</f>
        <v>0</v>
      </c>
      <c r="FD135" s="5"/>
      <c r="FE135" s="144" t="str">
        <f>IF(SnapshotTable[[#This Row],[SC Is Filled]], btc_next_cutoff_date(SnapshotTable[[#This Row],[SC Fill Date]],SnapshotTable[[#This Row],[SC Exp Date]]),"")</f>
        <v/>
      </c>
      <c r="FF135" s="4" t="str" cm="1">
        <f t="array" ref="FF135">IF(SnapshotTable[[#This Row],[SC Is Filled]], btc_should_buy_back(SnapshotTable[[#This Row],[SC Fill Date]], SnapshotTable[[#This Row],[SC Exp Date]], SnapshotTable[[#This Row],[SC Book Price]], SnapshotTable[[#This Row],[SC Current Ask]], MockToday, SnapshotTable[[#This Row],[SC Buyback Override]]),"")</f>
        <v/>
      </c>
      <c r="FG135" s="4">
        <f>IF(SnapshotTable[[#This Row],[SC Is Filled]], MAX(0,SnapshotTable[[#This Row],[Last Price]]  - SnapshotTable[[#This Row],[SC Strike Price]]), 0)</f>
        <v>0</v>
      </c>
      <c r="FH135" s="382">
        <f>IF(SnapshotTable[[#This Row],[SC Is Filled]], IF(ISNUMBER(SnapshotTable[[#This Row],[SC Current Ask]]), SnapshotTable[[#This Row],[SC Current Ask]], SnapshotTable[[#This Row],[SC Book Price]]) - SnapshotTable[[#This Row],[SC Intrinsic Value]], 0)</f>
        <v>0</v>
      </c>
      <c r="FI135" s="143"/>
      <c r="FJ135" s="32" t="str">
        <f>IF(SnapshotTable[[#This Row],[SC Is Filled]],100 * SnapshotTable[[#This Row],[SC Qty]] * IF(ISNUMBER(SnapshotTable[[#This Row],[SC Buyback Override]]), SnapshotTable[[#This Row],[SC Buyback Override]], SnapshotTable[[#This Row],[SC Current Ask]]), "")</f>
        <v/>
      </c>
      <c r="FK135" s="250" t="str">
        <f>IF(SnapshotTable[[#This Row],[SC Time Val]]&gt;0, SnapshotTable[[#This Row],[SC Time Val]] / SnapshotTable[[#This Row],[Last Price]],"")</f>
        <v/>
      </c>
      <c r="FL135" s="302" t="str">
        <f>IF(SnapshotTable[[#This Row],[SC Is Booked]], ((SnapshotTable[[#This Row],[Last Price]] -SnapshotTable[[#This Row],[SC Strike Price]]) / SnapshotTable[[#This Row],[Last Price]]) * -1, "")</f>
        <v/>
      </c>
      <c r="FM135" s="157" t="str">
        <f>IF(SnapshotTable[[#This Row],[SC Is Booked]],  (SnapshotTable[[#This Row],[SC Qty]] * 100 * SnapshotTable[[#This Row],[SC Strike Price]]) - SnapshotTable[[#This Row],[SC Current Ask]], "")</f>
        <v/>
      </c>
      <c r="FN13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5" s="31" t="str">
        <f>IF(AND(ISNUMBER(SnapshotTable[[#This Row],[SC Exercise Gross]]), ISNUMBER(SnapshotTable[[#This Row],[Equity Basis Per Share]] )), SnapshotTable[[#This Row],[SC Exercise Gross]] - SnapshotTable[[#This Row],[Equity Basis Total]] +  SnapshotTable[[#This Row],[SC Premium]], "")</f>
        <v/>
      </c>
      <c r="FP135" s="5" t="str">
        <f>IF(ISNUMBER(SnapshotTable[[#This Row],[SC Exercise Gross]]), (SnapshotTable[[#This Row],[SC Exercise Gross]]) / (SnapshotTable[[#This Row],[SC Qty]] * 100), "")</f>
        <v/>
      </c>
      <c r="FQ135" s="27" t="str">
        <f>IF(SnapshotTable[[#This Row],[SC Is Booked]],SnapshotTable[[#This Row],[SC Time Val]] /SnapshotTable[[#This Row],[SC Basis]], "")</f>
        <v/>
      </c>
      <c r="FR135" s="27" t="str" cm="1">
        <f t="array" ref="FR135">IF(AND(ISNUMBER(SnapshotTable[[#This Row],[SC Term]]),ISNUMBER(SnapshotTable[[#This Row],[SC Simple ROO]])), EllmanAnnualize(SnapshotTable[[#This Row],[SC DTE]], SnapshotTable[[#This Row],[SC Simple ROO]] ),"")</f>
        <v/>
      </c>
      <c r="FS135" s="4" t="e">
        <f>IF(SnapshotTable[[#This Row],[SC Strike Price]] &gt; SnapshotTable[[#This Row],[Last Price]], SnapshotTable[[#This Row],[SC Strike Price]] - SnapshotTable[[#This Row],[Last Price]],0)</f>
        <v>#VALUE!</v>
      </c>
      <c r="FT135" s="27" t="e">
        <f>IF(AND(ISNUMBER(SnapshotTable[[#This Row],[SC Upside Potential]]), SnapshotTable[[#This Row],[SC Upside Potential]] &gt; 0),(SnapshotTable[[#This Row],[SC Upside Potential]]/ SnapshotTable[[#This Row],[ACB]]),"")</f>
        <v>#VALUE!</v>
      </c>
      <c r="FU135" s="333" t="str">
        <f>IF(SnapshotTable[[#This Row],[SC Intrinsic Value]] &gt; 0,SnapshotTable[[#This Row],[SC Intrinsic Value]],"")</f>
        <v/>
      </c>
      <c r="FV135" s="27" t="str">
        <f>IF(AND( ISNUMBER( SnapshotTable[[#This Row],[ACB]]),ISNUMBER(SnapshotTable[[#This Row],[SC Downside Protect]])),SnapshotTable[[#This Row],[SC Downside Protect]] / SnapshotTable[[#This Row],[ACB]],"")</f>
        <v/>
      </c>
      <c r="FW135" s="236" t="str">
        <f>IF(AND(ISNUMBER(SnapshotTable[[#This Row],[SC Simple ROO]]),SnapshotTable[[#This Row],[SC Simple ROO]] &gt; 0), SnapshotTable[[#This Row],[SC Premium]] + (SnapshotTable[[#This Row],[SC Qty]] * SnapshotTable[[#This Row],[SC Upside Potential]]), "")</f>
        <v/>
      </c>
      <c r="FX135" s="302" t="str" cm="1">
        <f t="array" ref="FX135">IF(ISNUMBER(SnapshotTable[[#This Row],[SC Max Dollars]]), annualize(SnapshotTable[[#This Row],[SC Term]],(SnapshotTable[[#This Row],[SC Max Dollars]]/SnapshotTable[[#This Row],[SC Basis]])),"")</f>
        <v/>
      </c>
      <c r="FY135" s="236" t="str">
        <f>IF(AND(SnapshotTable[[#This Row],[SC Qty]]&gt;0,SnapshotTable[[#This Row],[SC Current Ask]]&gt;0), SnapshotTable[[#This Row],[SC Qty]] * SnapshotTable[[#This Row],[SC Current Ask]] * -100, "")</f>
        <v/>
      </c>
      <c r="FZ135" s="31" t="str">
        <f>IF(ISNUMBER((SnapshotTable[[#This Row],[SC Current Value]])), SnapshotTable[[#This Row],[SC Premium]] + SnapshotTable[[#This Row],[SC Current Value]], "")</f>
        <v/>
      </c>
      <c r="GA135" s="294" t="str">
        <f>IFERROR( IF(ISNUMBER((SnapshotTable[[#This Row],[SC Current Value]])), SnapshotTable[[#This Row],[SC Gain Loss]] / SnapshotTable[[#This Row],[SC Premium]], ""), "")</f>
        <v/>
      </c>
      <c r="GB135" s="42">
        <f>SnapshotTable[[#This Row],[Equity Shares]] * SaleSharesToConsiderPercentage</f>
        <v>0</v>
      </c>
      <c r="GC135" s="40">
        <f>SnapshotTable[[#This Row],[Long Term Target]] * SellingPriceToConsiderBasedOnTargetPercentage</f>
        <v>104.5</v>
      </c>
      <c r="GD135" s="40">
        <f>SnapshotTable[[#This Row],[Last Price]] * (1+ SellingPriceToConsiderBasedOnTargetPercentage)</f>
        <v>623.66849999999999</v>
      </c>
      <c r="GE135" s="41"/>
      <c r="GF135" s="40"/>
      <c r="GG135" s="31">
        <f>SnapshotTable[[#This Row],[Booked Sale Shares]] * SnapshotTable[[#This Row],[Booked Sale Price]]</f>
        <v>0</v>
      </c>
      <c r="GH135" s="31" t="str">
        <f>IF(SnapshotTable[[#This Row],[Equity Basis Total]] &gt; 0, SnapshotTable[[#This Row],[Equity Basis Per Share]] * SnapshotTable[[#This Row],[Booked Sale Shares]], "")</f>
        <v/>
      </c>
      <c r="GI135" s="31">
        <f>IF(SnapshotTable[[#This Row],[Sale Proceeds]]&gt;0, SnapshotTable[[#This Row],[Sale Proceeds]] - SnapshotTable[[#This Row],[Sale Basis]], 0)</f>
        <v>0</v>
      </c>
      <c r="GJ135" s="27" t="str">
        <f>IF(SnapshotTable[[#This Row],[Sale G/L]]&gt;0, SnapshotTable[[#This Row],[Sale G/L]] / SnapshotTable[[#This Row],[Sale Basis]], IF(ISNUMBER(SnapshotTable[[#This Row],[SC Exercise P&amp;L (TAX)]]), SnapshotTable[[#This Row],[SC Exercise P&amp;L (TAX)]] / SnapshotTable[[#This Row],[SC Basis]], ""))</f>
        <v/>
      </c>
      <c r="GK135" s="27" t="s">
        <v>687</v>
      </c>
      <c r="GL135" s="43" t="str">
        <f>IF(AND(SnapshotTable[[#This Row],[LP Exp Date]]&gt;0,SnapshotTable[[#This Row],[LP Strike Price]]&gt;0), [1]!ToOptionSymbol(SnapshotTable[[#This Row],[Symbol]], SnapshotTable[[#This Row],[LP Strike Price]],SnapshotTable[[#This Row],[LP Exp Date]],1), "")</f>
        <v/>
      </c>
      <c r="GM135" s="30" t="str">
        <f>IF(LEN(SnapshotTable[[#This Row],[LP Symbol]])&gt;0, 1, "")</f>
        <v/>
      </c>
      <c r="GN135" s="43" t="str">
        <f>IF(AND(SnapshotTable[[#This Row],[SP Exp Date]]&gt;0,SnapshotTable[[#This Row],[SP Strike Price]]&gt;0), [1]!ToOptionSymbol(SnapshotTable[[#This Row],[Symbol]], SnapshotTable[[#This Row],[SP Strike Price]],SnapshotTable[[#This Row],[SP Exp Date]],1), "")</f>
        <v/>
      </c>
      <c r="GO135" s="30" t="str">
        <f>IF(LEN(SnapshotTable[[#This Row],[SP Symbol]])&gt;0, 1, "")</f>
        <v/>
      </c>
      <c r="GP135" s="43" t="str">
        <f>IF(AND(SnapshotTable[[#This Row],[LC Exp Date]]&gt;0,SnapshotTable[[#This Row],[LC Strike Price]]&gt;0), [1]!ToOptionSymbol(SnapshotTable[[#This Row],[Symbol]], SnapshotTable[[#This Row],[LC Strike Price]],SnapshotTable[[#This Row],[LC Exp Date]],0), "")</f>
        <v/>
      </c>
      <c r="GQ135" s="30" t="str">
        <f>IF(LEN(SnapshotTable[[#This Row],[LC Symbol]])&gt;0, 1, "")</f>
        <v/>
      </c>
      <c r="GR135" s="43" t="str">
        <f>IF(AND(SnapshotTable[[#This Row],[SC Exp Date]]&gt;0,SnapshotTable[[#This Row],[SC Strike Price]]&gt;0), [1]!ToOptionSymbol(SnapshotTable[[#This Row],[Symbol]], SnapshotTable[[#This Row],[SC Strike Price]],SnapshotTable[[#This Row],[SC Exp Date]],0), "")</f>
        <v/>
      </c>
      <c r="GS135" s="30" t="str">
        <f>IF(LEN(SnapshotTable[[#This Row],[SC Symbol]])&gt;0, 1, "")</f>
        <v/>
      </c>
      <c r="GT135" s="29" t="str">
        <f>IF(COUNT(SnapshotTable[[#This Row],[LP Symbol Count]],SnapshotTable[[#This Row],[SP Symbol Count]],SnapshotTable[[#This Row],[LC Symbol Count]],SnapshotTable[[#This Row],[SC Symbol Count]])&gt;0, "Y", "")</f>
        <v/>
      </c>
      <c r="GU13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5" s="231" t="e">
        <f>MAX(SnapshotTable[[#This Row],[Equity Basis Total]],SnapshotTable[[#This Row],[Equity Value]]) + (SnapshotTable[[#This Row],[SP Potential Spend]]- SnapshotTable[[#This Row],[SP Premium]] + SnapshotTable[[#This Row],[LP Premium]])+ (SnapshotTable[[#This Row],[LC Premium]] - SnapshotTable[[#This Row],[SC Premium]])</f>
        <v>#VALUE!</v>
      </c>
      <c r="GW135" s="139" t="e">
        <f>IF(AND(SnapshotTable[[#This Row],[Exposure]] &lt;&gt; 0),SnapshotTable[[#This Row],[Exposure]] / SnapshotTable[[#Totals],[Exposure]], "")</f>
        <v>#VALUE!</v>
      </c>
      <c r="HE135" s="268"/>
      <c r="HF135" s="268"/>
      <c r="HK135" s="1"/>
      <c r="HL135" s="1"/>
      <c r="HM135" s="1"/>
      <c r="HN135" s="1"/>
      <c r="HO135" s="1"/>
      <c r="HP135" s="1"/>
    </row>
    <row r="136" spans="2:224" ht="12.75" hidden="1" customHeight="1" x14ac:dyDescent="0.25">
      <c r="B136" s="12" t="s">
        <v>1040</v>
      </c>
      <c r="C136" s="422">
        <v>12</v>
      </c>
      <c r="D136" s="208" t="s">
        <v>578</v>
      </c>
      <c r="E136" s="39">
        <f>SnapshotTable[[#This Row],[Last Price]]*(1 -CrashDiscount)</f>
        <v>10.199999999999999</v>
      </c>
      <c r="F136" s="26" t="s">
        <v>243</v>
      </c>
      <c r="G136" s="26" t="s">
        <v>9</v>
      </c>
      <c r="H136" s="149"/>
      <c r="I136" s="194">
        <v>44790.28125</v>
      </c>
      <c r="J136" s="195">
        <v>44790.28125</v>
      </c>
      <c r="K136" s="196"/>
      <c r="L136" s="326"/>
      <c r="M136" s="140"/>
      <c r="N136" s="140"/>
      <c r="O136" s="140"/>
      <c r="P136" s="22"/>
      <c r="Q136" s="25"/>
      <c r="R136" s="4" t="str">
        <f>IF(SnapshotTable[[#This Row],[Equity Basis Total]] &gt; 0, SnapshotTable[[#This Row],[Equity Basis Total]] / SnapshotTable[[#This Row],[Equity Shares]], "")</f>
        <v/>
      </c>
      <c r="S136" s="269">
        <f>SnapshotTable[[#This Row],[Last Price]] * SnapshotTable[[#This Row],[Equity Shares]]</f>
        <v>0</v>
      </c>
      <c r="T136" s="269">
        <f>SnapshotTable[[#This Row],[Equity Value]] - SnapshotTable[[#This Row],[Equity Basis Total]]</f>
        <v>0</v>
      </c>
      <c r="U136" s="270" t="str">
        <f>IF(SnapshotTable[[#This Row],[Equity Basis Total]] &gt; 0, SnapshotTable[[#This Row],[Equity G/L]] / SnapshotTable[[#This Row],[Equity Basis Total]], "")</f>
        <v/>
      </c>
      <c r="V136" s="268">
        <v>90</v>
      </c>
      <c r="W136" s="268">
        <v>64.25</v>
      </c>
      <c r="X136" s="4" t="str">
        <f>IF(AND(ISNUMBER(SnapshotTable[[#This Row],[Equity Basis Per Share]]),ISNUMBER(SnapshotTable[[#This Row],[Equity Target]])),SnapshotTable[[#This Row],[Equity Target]]-SnapshotTable[[#This Row],[Equity Basis Per Share]],"")</f>
        <v/>
      </c>
      <c r="Y136" s="4" t="str">
        <f>IF(AND(ISNUMBER(SnapshotTable[[#This Row],[Equity Basis Per Share]]),ISNUMBER(SnapshotTable[[#This Row],[Equity Stop Loss]])),SnapshotTable[[#This Row],[Equity Stop Loss]]-SnapshotTable[[#This Row],[Equity Basis Per Share]],"")</f>
        <v/>
      </c>
      <c r="Z136" s="275" t="str">
        <f>IFERROR( TEXT(SnapshotTable[[#This Row],[Equity Max Gain Per Share]] /ABS( SnapshotTable[[#This Row],[Equity Max Loss Per Share]]),"0.0 " ) &amp; " : 1", "")</f>
        <v/>
      </c>
      <c r="AA136" s="31" t="str">
        <f>IF(ISNUMBER(SnapshotTable[[#This Row],[Equity Max Gain Per Share]]),SnapshotTable[[#This Row],[Equity Max Gain Per Share]] * SnapshotTable[[#This Row],[Equity Shares]],"")</f>
        <v/>
      </c>
      <c r="AB136" s="31" t="str">
        <f>IF(ISNUMBER(SnapshotTable[[#This Row],[Equity Max Loss Per Share]]),SnapshotTable[[#This Row],[Equity Max Loss Per Share]] * SnapshotTable[[#This Row],[Equity Shares]],"")</f>
        <v/>
      </c>
      <c r="AC136" s="150"/>
      <c r="AD136" s="151"/>
      <c r="AE136" s="31">
        <f>(SnapshotTable[[#This Row],[Annual Dividend Per Share]] / 4) * SnapshotTable[[#This Row],[Equity Shares]]</f>
        <v>0</v>
      </c>
      <c r="AF136" s="31">
        <f>SnapshotTable[[#This Row],[Quarterly Div $]] * 4</f>
        <v>0</v>
      </c>
      <c r="AG136" s="7">
        <f>IF(SnapshotTable[[#This Row],[Annual Dividend Per Share]]&gt;0, SnapshotTable[[#This Row],[Annual Dividend Per Share]]  / SnapshotTable[[#This Row],[Last Price]], 0)</f>
        <v>0</v>
      </c>
      <c r="AH136" s="151"/>
      <c r="AI136" s="5"/>
      <c r="AJ136" s="138">
        <v>81</v>
      </c>
      <c r="AK136" s="152" t="str">
        <f>IF(ISNUMBER( SnapshotTable[[#This Row],[EBF Target]]),(SnapshotTable[[#This Row],[EBF Target]] - SnapshotTable[[#This Row],[Last Price]]) / SnapshotTable[[#This Row],[Last Price]], "")</f>
        <v/>
      </c>
      <c r="AL136" s="152" t="str">
        <f>IF(AND(SnapshotTable[[#This Row],[Equity Basis Total]] &gt; 0,ISNUMBER( SnapshotTable[[#This Row],[Long Term Target]])), SnapshotTable[[#This Row],[From Basis $]] / SnapshotTable[[#This Row],[Equity Basis Total]], "")</f>
        <v/>
      </c>
      <c r="AM136" s="9">
        <f>IF( AND(SnapshotTable[[#This Row],[Equity Shares]] &gt;0,ISNUMBER( SnapshotTable[[#This Row],[Long Term Target]])),(SnapshotTable[[#This Row],[Equity Shares]] * SnapshotTable[[#This Row],[Long Term Target]]) - SnapshotTable[[#This Row],[Equity Basis Total]],0)</f>
        <v>0</v>
      </c>
      <c r="AN136" s="9">
        <f>IF( AND(SnapshotTable[[#This Row],[Equity Shares]] &gt;0,ISNUMBER( SnapshotTable[[#This Row],[Long Term Target]])),(SnapshotTable[[#This Row],[Equity Shares]]*SnapshotTable[[#This Row],[Long Term Target]]) - SnapshotTable[[#This Row],[Equity Value]],0)</f>
        <v>0</v>
      </c>
      <c r="AO136" s="152">
        <f>IF(AND(ISNUMBER( SnapshotTable[[#This Row],[Long Term Target]]), ISNUMBER(SnapshotTable[[#This Row],[Last Price]])),(SnapshotTable[[#This Row],[Long Term Target]] - SnapshotTable[[#This Row],[Last Price]]) / SnapshotTable[[#This Row],[Last Price]], "")</f>
        <v>5.75</v>
      </c>
      <c r="AP136" s="5">
        <v>55</v>
      </c>
      <c r="AQ136" s="38" t="s">
        <v>38</v>
      </c>
      <c r="AR136" s="5">
        <v>55</v>
      </c>
      <c r="AS136" s="38" t="s">
        <v>26</v>
      </c>
      <c r="AT136" s="146" t="s">
        <v>538</v>
      </c>
      <c r="AU136" s="187" t="str">
        <f>IF(OR(SnapshotTable[[#This Row],[LP No Fill]]="Y",SnapshotTable[[#This Row],[SP Is Filled]],SnapshotTable[[#This Row],[LC Not Filled]]="Y",SnapshotTable[[#This Row],[SC Is Filled]]),"Y","")</f>
        <v/>
      </c>
      <c r="AV136" s="219"/>
      <c r="AW136" s="225"/>
      <c r="AX136" s="220"/>
      <c r="AY136" s="219" t="str">
        <f>IF(SnapshotTable[[#This Row],[Implied Move]]&gt;0, SnapshotTable[[#This Row],[Last Price]]-SnapshotTable[[#This Row],[Implied Move]],"")</f>
        <v/>
      </c>
      <c r="AZ136" s="219" t="str">
        <f>IF(SnapshotTable[[#This Row],[Implied Move]]&gt;0, SnapshotTable[[#This Row],[Last Price]] + SnapshotTable[[#This Row],[Implied Move]],"")</f>
        <v/>
      </c>
      <c r="BA136" s="331">
        <v>61.12</v>
      </c>
      <c r="BB136" s="347"/>
      <c r="BC13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6" s="351"/>
      <c r="BE136" s="5"/>
      <c r="BF136" s="14"/>
      <c r="BG136" s="13"/>
      <c r="BH136" s="13"/>
      <c r="BI136" s="5"/>
      <c r="BJ136" s="136">
        <f>IF(SnapshotTable[[#This Row],[LP Qty]] &gt; 0, SnapshotTable[[#This Row],[LP Qty]] * SnapshotTable[[#This Row],[LP Book Price]] * 100,0)</f>
        <v>0</v>
      </c>
      <c r="BK136" s="136">
        <f>IF(SnapshotTable[[#This Row],[LP Premium]] &gt; 0, SnapshotTable[[#This Row],[LP Qty]] * SnapshotTable[[#This Row],[LP Strike Price]] * 100,0)</f>
        <v>0</v>
      </c>
      <c r="BL136" s="154"/>
      <c r="BM136" s="385" t="str">
        <f>IF(SnapshotTable[[#This Row],[LP Premium]] &gt; 0,SnapshotTable[[#This Row],[LP Exp Date]]-MAX(SnapshotTable[[#This Row],[LP Book Date]], SnapshotTable[[#This Row],[LP Fill Date]]),"")</f>
        <v/>
      </c>
      <c r="BN136" s="385" t="str">
        <f>IF(ISNUMBER( SnapshotTable[[#This Row],[LP Term]]), SnapshotTable[[#This Row],[LP Exp Date]] - MockToday,"")</f>
        <v/>
      </c>
      <c r="BO136" s="163" t="str">
        <f>IF(AND(SnapshotTable[[#This Row],[LP Exp Date]]&gt;0, SnapshotTable[[#This Row],[LP Strike Price]]&gt;0,SnapshotTable[[#This Row],[LP Qty]]&gt;0,SnapshotTable[[#This Row],[LP Book Date]]&gt;0,SnapshotTable[[#This Row],[LP Book Price]]&gt;0,SnapshotTable[[#This Row],[LP Fill Date]]=0),"Y","")</f>
        <v/>
      </c>
      <c r="BP136" s="31" t="str">
        <f>IF(AND(SnapshotTable[[#This Row],[LP No Fill]]&lt;&gt;"Y",SnapshotTable[[#This Row],[LP Contract Value]]&gt;0, SnapshotTable[[#This Row],[LP Qty]]&gt;0), SnapshotTable[[#This Row],[LP Contract Value]]*SnapshotTable[[#This Row],[LP Qty]]*100,"")</f>
        <v/>
      </c>
      <c r="BQ136" s="13"/>
      <c r="BR136" s="5" t="str">
        <f>IF(SnapshotTable[[#This Row],[SP Exp Date]]&lt;&gt;"",TRUNC(SnapshotTable[[#This Row],[Last Price]]),"")</f>
        <v/>
      </c>
      <c r="BS136" s="36"/>
      <c r="BT136" s="147"/>
      <c r="BU136" s="13"/>
      <c r="BV136" s="5"/>
      <c r="BW136" s="419" t="b">
        <f>AND(ISNUMBER(SnapshotTable[[#This Row],[SP Exp Date]]), ISNUMBER(SnapshotTable[[#This Row],[SP Strike Price]]), ISNUMBER(SnapshotTable[[#This Row],[SP Qty]]), ISNUMBER(SnapshotTable[[#This Row],[SP Book Date]]), ISNUMBER(SnapshotTable[[#This Row],[SP Book Price]]))</f>
        <v>0</v>
      </c>
      <c r="BX136" s="419" t="b">
        <f>AND(SnapshotTable[[#This Row],[SP Is Booked]], NOT(ISBLANK(SnapshotTable[[#This Row],[SP Fill Date]])))</f>
        <v>0</v>
      </c>
      <c r="BY136" s="33">
        <f>IF(SnapshotTable[[#This Row],[SP Is Booked]], SnapshotTable[[#This Row],[SP Qty]] * SnapshotTable[[#This Row],[SP Book Price]] * 100, 0)</f>
        <v>0</v>
      </c>
      <c r="BZ136" s="369"/>
      <c r="CA136" s="368">
        <f>SnapshotTable[[#This Row],[LP Qty]]</f>
        <v>0</v>
      </c>
      <c r="CB136" s="4" t="str">
        <f>IF(SnapshotTable[[#This Row],[SP Is Booked]], SnapshotTable[[#This Row],[SP Strike Price]] - SnapshotTable[[#This Row],[SP Book Price]], "")</f>
        <v/>
      </c>
      <c r="CC136" s="19" t="str">
        <f>IF(SnapshotTable[[#This Row],[SP Is Booked]],SnapshotTable[[#This Row],[SP Exp Date]]-MAX(SnapshotTable[[#This Row],[SP Book Date]], SnapshotTable[[#This Row],[SP Fill Date]]),"")</f>
        <v/>
      </c>
      <c r="CD136" s="7" t="str">
        <f>IF(SnapshotTable[[#This Row],[SP Is Booked]], SnapshotTable[[#This Row],[SP Book Price]]/SnapshotTable[[#This Row],[SP Strike Price]], "")</f>
        <v/>
      </c>
      <c r="CE136" s="7" t="str">
        <f>IF(ISNUMBER(SnapshotTable[[#This Row],[SP ROO Term]]),SnapshotTable[[#This Row],[SP ROO Term]]*(365/SnapshotTable[[#This Row],[SP Term]]),"")</f>
        <v/>
      </c>
      <c r="CF136" s="236">
        <f>SnapshotTable[[#This Row],[LP Strike Price]] * SnapshotTable[[#This Row],[LP Qty]] * 100</f>
        <v>0</v>
      </c>
      <c r="CG136" s="31" t="e">
        <f>IF(ISNUMBER(SnapshotTable[[#This Row],[SP Premium]]), (SnapshotTable[[#This Row],[SP Qty]] * SnapshotTable[[#This Row],[SP Strike Price]]* 100) - SnapshotTable[[#This Row],[LP Protection]], 0)</f>
        <v>#VALUE!</v>
      </c>
      <c r="CH136" s="7" t="str">
        <f>IF(ISNUMBER(SnapshotTable[[#This Row],[SP Break Even]]),-1 * (SnapshotTable[[#This Row],[SP Break Even]] - SnapshotTable[[#This Row],[Last Price]]) / SnapshotTable[[#This Row],[Last Price]], "")</f>
        <v/>
      </c>
      <c r="CI136" s="31">
        <f>IF(AND(ISNUMBER((SnapshotTable[[#This Row],[SP Potential Spend]])), SnapshotTable[[#This Row],[SP Strike Price]] &gt; SnapshotTable[[#This Row],[Last Price]], SnapshotTable[[#This Row],[SP Is Filled]]), SnapshotTable[[#This Row],[SP Potential Spend]] -  SnapshotTable[[#This Row],[LP Max Value]], 0)</f>
        <v>0</v>
      </c>
      <c r="CJ136" s="244"/>
      <c r="CK136" s="31" t="str">
        <f>IF(ISNUMBER(SnapshotTable[[#This Row],[SP Potential Spend]]),IF(ISNUMBER(SnapshotTable[[#This Row],[SP POW]]), SnapshotTable[[#This Row],[SP POW]] * SnapshotTable[[#This Row],[SP Potential Spend]], SnapshotTable[[#This Row],[SP Potential Spend]]), "")</f>
        <v/>
      </c>
      <c r="CL136" s="164" t="e">
        <f>IF(NOT(SnapshotTable[[#This Row],[SP Is Filled]]),(SnapshotTable[[#This Row],[SP Qty]] * SnapshotTable[[#This Row],[SP Strike Price]] * 100) - SnapshotTable[[#This Row],[LP Max Value]],"")</f>
        <v>#VALUE!</v>
      </c>
      <c r="CM136" s="31" t="str">
        <f>IF(SnapshotTable[[#This Row],[SP Actual Spend]]&lt;&gt;0, ((SnapshotTable[[#This Row],[SP Strike Price]]-SnapshotTable[[#This Row],[Last Price]]) *(SnapshotTable[[#This Row],[SP Qty]]*100) - SnapshotTable[[#This Row],[SP Premium]]) * - 1, "")</f>
        <v/>
      </c>
      <c r="CN136" s="78"/>
      <c r="CO136" s="369"/>
      <c r="CP136" s="4" t="str">
        <f>IF(SnapshotTable[[#This Row],[SP Is Filled]], btc_max_buyback_amount(SnapshotTable[[#This Row],[SP Fill Date]],SnapshotTable[[#This Row],[SP Exp Date]], SnapshotTable[[#This Row],[SP Book Price]]),"")</f>
        <v/>
      </c>
      <c r="CQ136" s="78"/>
      <c r="CR13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6" s="155" t="str">
        <f>IF(SnapshotTable[[#This Row],[SP Is Filled]], btc_next_cutoff_date(SnapshotTable[[#This Row],[SP Fill Date]],SnapshotTable[[#This Row],[SP Exp Date]]),"")</f>
        <v/>
      </c>
      <c r="CT136" s="235" t="str" cm="1">
        <f t="array" ref="CT136">IF(SnapshotTable[[#This Row],[SP Is Filled]], btc_should_buy_back(SnapshotTable[[#This Row],[SP Fill Date]], SnapshotTable[[#This Row],[SP Exp Date]], SnapshotTable[[#This Row],[SP Book Price]], SnapshotTable[[#This Row],[SP Current Ask]], MockToday, SnapshotTable[[#This Row],[SP Buyback Override]]),"")</f>
        <v/>
      </c>
      <c r="CU136" s="143"/>
      <c r="CV136" s="235"/>
      <c r="CW136" s="378" t="str">
        <f>IF(ISNUMBER( SnapshotTable[[#This Row],[SP Term]]), SnapshotTable[[#This Row],[SP Exp Date]] - MockToday,"")</f>
        <v/>
      </c>
      <c r="CX136" s="31" t="str">
        <f>IF(SnapshotTable[[#This Row],[SP Is Filled]],SnapshotTable[[#This Row],[SP Buyback Price to Use]] * 100 * SnapshotTable[[#This Row],[SP Qty]], "")</f>
        <v/>
      </c>
      <c r="CY136" s="4" t="str">
        <f>IF(ISNUMBER(SnapshotTable[[#This Row],[SP Strike Price]]), SnapshotTable[[#This Row],[SP Strike Price]] * (1 - SP_MaxLoss_StrikePct), "")</f>
        <v/>
      </c>
      <c r="CZ136" s="31" t="str">
        <f>IF(ISNUMBER(SnapshotTable[[#This Row],[SP Strike  Stop Per Share]]),SnapshotTable[[#This Row],[SP Premium]] - ((SnapshotTable[[#This Row],[SP Strike Price]]-SnapshotTable[[#This Row],[SP Strike  Stop Per Share]]) *(SnapshotTable[[#This Row],[SP Qty]] * 100)),"")</f>
        <v/>
      </c>
      <c r="DA136" s="4" t="str">
        <f>IF(AND(ISNUMBER(SnapshotTable[[#This Row],[SP Premium]]),SnapshotTable[[#This Row],[SP Premium]]&gt;0), SnapshotTable[[#This Row],[SP Book Price]] * (1 + SP_MaxLoss_OptionPct), "")</f>
        <v/>
      </c>
      <c r="DB136" s="31" t="str">
        <f>IF(ISNUMBER(SnapshotTable[[#This Row],[SP Option  Stop Contract]]),(SnapshotTable[[#This Row],[SP Option  Stop Contract]] *(SnapshotTable[[#This Row],[SP Qty]] * 100) - SnapshotTable[[#This Row],[SP Premium]]),"")</f>
        <v/>
      </c>
      <c r="DC136" s="4"/>
      <c r="DD136" s="4">
        <v>3.3</v>
      </c>
      <c r="DE136" s="4" t="str">
        <f>IF(AND(SnapshotTable[[#This Row],[SP Qty]]&gt;0, SnapshotTable[[#This Row],[SP Stop To Use]]&gt;0),SnapshotTable[[#This Row],[SP Premium]] - ( SnapshotTable[[#This Row],[SP Qty]] * SnapshotTable[[#This Row],[SP Stop To Use]] * 100), "")</f>
        <v/>
      </c>
      <c r="DF136" s="31" t="str">
        <f>IF(AND(SnapshotTable[[#This Row],[SP Qty]]&gt;0,SnapshotTable[[#This Row],[SP Current Ask]]&gt;0), SnapshotTable[[#This Row],[SP Qty]] * SnapshotTable[[#This Row],[SP Current Ask]] * -100, "")</f>
        <v/>
      </c>
      <c r="DG136" s="31" t="str">
        <f>IF(ISNUMBER((SnapshotTable[[#This Row],[SP Total Value]])), SnapshotTable[[#This Row],[SP Premium]] + SnapshotTable[[#This Row],[SP Total Value]], "")</f>
        <v/>
      </c>
      <c r="DH136" s="294" t="str">
        <f>IF(ISNUMBER((SnapshotTable[[#This Row],[SP Total Value]])), SnapshotTable[[#This Row],[SP Gain Loss]] / SnapshotTable[[#This Row],[SP Premium]], "")</f>
        <v/>
      </c>
      <c r="DI136" s="406"/>
      <c r="DJ136" s="138"/>
      <c r="DK136" s="148"/>
      <c r="DL136" s="13"/>
      <c r="DM136" s="13"/>
      <c r="DO136" s="31">
        <f>IF(SnapshotTable[[#This Row],[LC Symbol Count]]=1, SnapshotTable[[#This Row],[LC Qty]] * SnapshotTable[[#This Row],[LC Book Price]] * 100, 0)</f>
        <v>0</v>
      </c>
      <c r="DP136" s="163" t="str">
        <f>IF(AND(SnapshotTable[[#This Row],[LC Exp Date]]&gt;0, SnapshotTable[[#This Row],[LC Strike Price]]&gt;0,SnapshotTable[[#This Row],[LC Qty]]&gt;0,SnapshotTable[[#This Row],[LC Book Date]]&gt;0,SnapshotTable[[#This Row],[LC Book Price]]&gt;0,SnapshotTable[[#This Row],[LC Fill Date]]=0),"Y","")</f>
        <v/>
      </c>
      <c r="DQ136" s="386" t="str">
        <f>IF(SnapshotTable[[#This Row],[LC Premium]] &gt; 0,SnapshotTable[[#This Row],[LC Exp Date]]-MAX(SnapshotTable[[#This Row],[LC Book Date]], SnapshotTable[[#This Row],[LC Fill Date]]),"")</f>
        <v/>
      </c>
      <c r="DR136" s="386" t="str">
        <f>IF(ISNUMBER(SnapshotTable[[#This Row],[LC Term]]), SnapshotTable[[#This Row],[LC Exp Date]] - MockToday, "")</f>
        <v/>
      </c>
      <c r="DS136" s="234" t="str">
        <f>IF(SnapshotTable[[#This Row],[LC Premium]]&gt;0,SnapshotTable[[#This Row],[LC Strike Price]] + SnapshotTable[[#This Row],[LC Book Price]],"")</f>
        <v/>
      </c>
      <c r="DU136" s="9" t="str">
        <f>IF(AND(SnapshotTable[[#This Row],[LC Symbol Count]]&gt;0, SnapshotTable[[#This Row],[LC Contract Value]]&gt;0), SnapshotTable[[#This Row],[LC Contract Value]] * SnapshotTable[[#This Row],[LC Qty]] * 100, "")</f>
        <v/>
      </c>
      <c r="DV136" s="9" t="str">
        <f>IF(AND(ISNUMBER(SnapshotTable[[#This Row],[LC Total Value]]), SnapshotTable[[#This Row],[LC Not Filled]]&lt;&gt;"Y"), SnapshotTable[[#This Row],[LC Total Value]]-SnapshotTable[[#This Row],[LC Premium]],"")</f>
        <v/>
      </c>
      <c r="DW136" s="240" t="str">
        <f>IF(ISNUMBER(SnapshotTable[[#This Row],[LC Actual Gain Loss]]), SnapshotTable[[#This Row],[LC Actual Gain Loss]] / SnapshotTable[[#This Row],[LC Premium]],"")</f>
        <v/>
      </c>
      <c r="DX136" s="284" t="str">
        <f>IF(ISNUMBER(SnapshotTable[[#This Row],[LC Book Price]]),SnapshotTable[[#This Row],[LC Book Price]] * 1.5,"")</f>
        <v/>
      </c>
      <c r="DY136" s="265" t="str">
        <f>IF(SnapshotTable[[#This Row],[LC Premium]]&gt;0, SnapshotTable[[#This Row],[LC Next Target]] * SnapshotTable[[#This Row],[LC Qty]] * 100,"")</f>
        <v/>
      </c>
      <c r="DZ136" s="265" t="str">
        <f>IF(ISNUMBER(SnapshotTable[[#This Row],[LC Target Gross]]), SnapshotTable[[#This Row],[LC Target Gross]] - SnapshotTable[[#This Row],[LC Premium]], "")</f>
        <v/>
      </c>
      <c r="EA136" s="305" t="str">
        <f>IF(ISNUMBER(SnapshotTable[[#This Row],[LC Target Gain Loss]]), SnapshotTable[[#This Row],[LC Target Gain Loss]]/SnapshotTable[[#This Row],[LC Premium]], "")</f>
        <v/>
      </c>
      <c r="EB136" s="262"/>
      <c r="EC136" s="283" t="str">
        <f>IF(SnapshotTable[[#This Row],[LC Premium]]&gt;0, SnapshotTable[[#This Row],[LC Book Price]] * (1 - LC_StopLoss_Pct),"")</f>
        <v/>
      </c>
      <c r="ED136" s="284"/>
      <c r="EE136" s="283" t="str">
        <f>IF(ISNUMBER(SnapshotTable[[#This Row],[LC Contract Value]]),IF(ISNUMBER(SnapshotTable[[#This Row],[LC Stop Loss Override]]), SnapshotTable[[#This Row],[LC Stop Loss Override]],SnapshotTable[[#This Row],[LC Stop Loss Calc Target]]),"")</f>
        <v/>
      </c>
      <c r="EF136" s="31" t="str">
        <f>IF(ISNUMBER(SnapshotTable[[#This Row],[LC Stop  To Use]]), (SnapshotTable[[#This Row],[LC Stop  To Use]] * SnapshotTable[[#This Row],[LC Qty]] * 100),"")</f>
        <v/>
      </c>
      <c r="EG136" s="9" t="str">
        <f>IF(ISNUMBER(SnapshotTable[[#This Row],[LC Total Value]]),SnapshotTable[[#This Row],[LC Stop Loss Amount]] - SnapshotTable[[#This Row],[LC Premium]],"")</f>
        <v/>
      </c>
      <c r="EH136" s="9">
        <f>IF(ISNUMBER(SnapshotTable[[#This Row],[LC Premium]]), SnapshotTable[[#This Row],[LC Qty]] * 100 * SnapshotTable[[#This Row],[LC Strike Price]], "")</f>
        <v>0</v>
      </c>
      <c r="EI136" s="240" t="str">
        <f>IF(AND(ISNUMBER(SnapshotTable[[#This Row],[LC Total Value]]),SnapshotTable[[#This Row],[LC Total Value]]&gt;0),SnapshotTable[[#This Row],[LC Stop Gain Loss]]  / SnapshotTable[[#This Row],[LC Premium]],"")</f>
        <v/>
      </c>
      <c r="EJ136" s="35">
        <f>IF(ISNUMBER(SnapshotTable[[#This Row],[Equity Shares]]),TRUNC(SnapshotTable[[#This Row],[Equity Shares]] / 100),0) + SnapshotTable[[#This Row],[LC Qty]]</f>
        <v>0</v>
      </c>
      <c r="EK136" s="147"/>
      <c r="EL136" s="138" t="str">
        <f>IF(SnapshotTable[[#This Row],[SC Exp Date]]&lt;&gt;"",TRUNC(SnapshotTable[[#This Row],[Last Price]]),"")</f>
        <v/>
      </c>
      <c r="EM136" s="148"/>
      <c r="EN136" s="147"/>
      <c r="EO136" s="147"/>
      <c r="EP136" s="138"/>
      <c r="EQ136" s="419" t="b">
        <f>AND(ISNUMBER(SnapshotTable[[#This Row],[SC Exp Date]]), ISNUMBER(SnapshotTable[[#This Row],[SC Strike Price]]), ISNUMBER(SnapshotTable[[#This Row],[SC Qty]]), ISNUMBER(SnapshotTable[[#This Row],[SC Book Date]]), ISNUMBER(SnapshotTable[[#This Row],[SC Book Price]]))</f>
        <v>0</v>
      </c>
      <c r="ER136" s="419" t="b">
        <f>AND(SnapshotTable[[#This Row],[SC Is Booked]], NOT(ISBLANK(SnapshotTable[[#This Row],[SC Fill Date]])))</f>
        <v>0</v>
      </c>
      <c r="ES136" s="370"/>
      <c r="ET136" s="34" t="str">
        <f>IF(AND(ISNUMBER(SnapshotTable[[#This Row],[SC Exp Date]]), ISNUMBER(SnapshotTable[[#This Row],[SC Book Date]])), SnapshotTable[[#This Row],[SC Exp Date]] - MAX(SnapshotTable[[#This Row],[SC Book Date]], SnapshotTable[[#This Row],[SC Fill Date]]) + 1, "")</f>
        <v/>
      </c>
      <c r="EU136" s="34" t="str">
        <f>IF(ISNUMBER(SnapshotTable[[#This Row],[SC Term]]), SnapshotTable[[#This Row],[SC Exp Date]]- MockToday, "")</f>
        <v/>
      </c>
      <c r="EV136" s="31">
        <f>IF(SnapshotTable[[#This Row],[SC Is Booked]], SnapshotTable[[#This Row],[SC Qty]] * SnapshotTable[[#This Row],[SC Book Price]] * 100, 0)</f>
        <v>0</v>
      </c>
      <c r="EW136" s="4" t="str">
        <f>IF(AND(ISNUMBER(SnapshotTable[[#This Row],[Last Price]]), ISNUMBER( SnapshotTable[[#This Row],[SC Book Price]])), SnapshotTable[[#This Row],[Last Price]] - SnapshotTable[[#This Row],[SC Book Price]],"")</f>
        <v/>
      </c>
      <c r="EX136" s="234" t="str">
        <f>IF(SnapshotTable[[#This Row],[SC Is Booked]],IF(SnapshotTable[[#This Row],[SC Intrinsic Value]] &gt; 0, SnapshotTable[[#This Row],[SC Strike Price]], SnapshotTable[[#This Row],[Last Price]]), "")</f>
        <v/>
      </c>
      <c r="EY136" s="4">
        <f>IF(SnapshotTable[[#This Row],[SC Is Booked]], (MinimumPremiumRequired * SnapshotTable[[#This Row],[SC Basis]] * SnapshotTable[[#This Row],[SC Term]]), 0)</f>
        <v>0</v>
      </c>
      <c r="EZ136" s="283"/>
      <c r="FA136" s="218"/>
      <c r="FB136" s="370"/>
      <c r="FC136" s="4">
        <f>IF(SnapshotTable[[#This Row],[SC Is Filled]], btc_max_buyback_amount(SnapshotTable[[#This Row],[SC Fill Date]],SnapshotTable[[#This Row],[SC Exp Date]], SnapshotTable[[#This Row],[SC Book Price]]),0)</f>
        <v>0</v>
      </c>
      <c r="FD136" s="5"/>
      <c r="FE136" s="144" t="str">
        <f>IF(SnapshotTable[[#This Row],[SC Is Filled]], btc_next_cutoff_date(SnapshotTable[[#This Row],[SC Fill Date]],SnapshotTable[[#This Row],[SC Exp Date]]),"")</f>
        <v/>
      </c>
      <c r="FF136" s="4" t="str" cm="1">
        <f t="array" ref="FF136">IF(SnapshotTable[[#This Row],[SC Is Filled]], btc_should_buy_back(SnapshotTable[[#This Row],[SC Fill Date]], SnapshotTable[[#This Row],[SC Exp Date]], SnapshotTable[[#This Row],[SC Book Price]], SnapshotTable[[#This Row],[SC Current Ask]], MockToday, SnapshotTable[[#This Row],[SC Buyback Override]]),"")</f>
        <v/>
      </c>
      <c r="FG136" s="4">
        <f>IF(SnapshotTable[[#This Row],[SC Is Filled]], MAX(0,SnapshotTable[[#This Row],[Last Price]]  - SnapshotTable[[#This Row],[SC Strike Price]]), 0)</f>
        <v>0</v>
      </c>
      <c r="FH136" s="382">
        <f>IF(SnapshotTable[[#This Row],[SC Is Filled]], IF(ISNUMBER(SnapshotTable[[#This Row],[SC Current Ask]]), SnapshotTable[[#This Row],[SC Current Ask]], SnapshotTable[[#This Row],[SC Book Price]]) - SnapshotTable[[#This Row],[SC Intrinsic Value]], 0)</f>
        <v>0</v>
      </c>
      <c r="FI136" s="143"/>
      <c r="FJ136" s="32" t="str">
        <f>IF(SnapshotTable[[#This Row],[SC Is Filled]],100 * SnapshotTable[[#This Row],[SC Qty]] * IF(ISNUMBER(SnapshotTable[[#This Row],[SC Buyback Override]]), SnapshotTable[[#This Row],[SC Buyback Override]], SnapshotTable[[#This Row],[SC Current Ask]]), "")</f>
        <v/>
      </c>
      <c r="FK136" s="250" t="str">
        <f>IF(SnapshotTable[[#This Row],[SC Time Val]]&gt;0, SnapshotTable[[#This Row],[SC Time Val]] / SnapshotTable[[#This Row],[Last Price]],"")</f>
        <v/>
      </c>
      <c r="FL136" s="302" t="str">
        <f>IF(SnapshotTable[[#This Row],[SC Is Booked]], ((SnapshotTable[[#This Row],[Last Price]] -SnapshotTable[[#This Row],[SC Strike Price]]) / SnapshotTable[[#This Row],[Last Price]]) * -1, "")</f>
        <v/>
      </c>
      <c r="FM136" s="157" t="str">
        <f>IF(SnapshotTable[[#This Row],[SC Is Booked]],  (SnapshotTable[[#This Row],[SC Qty]] * 100 * SnapshotTable[[#This Row],[SC Strike Price]]) - SnapshotTable[[#This Row],[SC Current Ask]], "")</f>
        <v/>
      </c>
      <c r="FN13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6" s="31" t="str">
        <f>IF(AND(ISNUMBER(SnapshotTable[[#This Row],[SC Exercise Gross]]), ISNUMBER(SnapshotTable[[#This Row],[Equity Basis Per Share]] )), SnapshotTable[[#This Row],[SC Exercise Gross]] - SnapshotTable[[#This Row],[Equity Basis Total]] +  SnapshotTable[[#This Row],[SC Premium]], "")</f>
        <v/>
      </c>
      <c r="FP136" s="5" t="str">
        <f>IF(ISNUMBER(SnapshotTable[[#This Row],[SC Exercise Gross]]), (SnapshotTable[[#This Row],[SC Exercise Gross]]) / (SnapshotTable[[#This Row],[SC Qty]] * 100), "")</f>
        <v/>
      </c>
      <c r="FQ136" s="27" t="str">
        <f>IF(SnapshotTable[[#This Row],[SC Is Booked]],SnapshotTable[[#This Row],[SC Time Val]] /SnapshotTable[[#This Row],[SC Basis]], "")</f>
        <v/>
      </c>
      <c r="FR136" s="27" t="str" cm="1">
        <f t="array" ref="FR136">IF(AND(ISNUMBER(SnapshotTable[[#This Row],[SC Term]]),ISNUMBER(SnapshotTable[[#This Row],[SC Simple ROO]])), EllmanAnnualize(SnapshotTable[[#This Row],[SC DTE]], SnapshotTable[[#This Row],[SC Simple ROO]] ),"")</f>
        <v/>
      </c>
      <c r="FS136" s="4" t="e">
        <f>IF(SnapshotTable[[#This Row],[SC Strike Price]] &gt; SnapshotTable[[#This Row],[Last Price]], SnapshotTable[[#This Row],[SC Strike Price]] - SnapshotTable[[#This Row],[Last Price]],0)</f>
        <v>#VALUE!</v>
      </c>
      <c r="FT136" s="27" t="e">
        <f>IF(AND(ISNUMBER(SnapshotTable[[#This Row],[SC Upside Potential]]), SnapshotTable[[#This Row],[SC Upside Potential]] &gt; 0),(SnapshotTable[[#This Row],[SC Upside Potential]]/ SnapshotTable[[#This Row],[ACB]]),"")</f>
        <v>#VALUE!</v>
      </c>
      <c r="FU136" s="333" t="str">
        <f>IF(SnapshotTable[[#This Row],[SC Intrinsic Value]] &gt; 0,SnapshotTable[[#This Row],[SC Intrinsic Value]],"")</f>
        <v/>
      </c>
      <c r="FV136" s="27" t="str">
        <f>IF(AND( ISNUMBER( SnapshotTable[[#This Row],[ACB]]),ISNUMBER(SnapshotTable[[#This Row],[SC Downside Protect]])),SnapshotTable[[#This Row],[SC Downside Protect]] / SnapshotTable[[#This Row],[ACB]],"")</f>
        <v/>
      </c>
      <c r="FW136" s="236" t="str">
        <f>IF(AND(ISNUMBER(SnapshotTable[[#This Row],[SC Simple ROO]]),SnapshotTable[[#This Row],[SC Simple ROO]] &gt; 0), SnapshotTable[[#This Row],[SC Premium]] + (SnapshotTable[[#This Row],[SC Qty]] * SnapshotTable[[#This Row],[SC Upside Potential]]), "")</f>
        <v/>
      </c>
      <c r="FX136" s="302" t="str" cm="1">
        <f t="array" ref="FX136">IF(ISNUMBER(SnapshotTable[[#This Row],[SC Max Dollars]]), annualize(SnapshotTable[[#This Row],[SC Term]],(SnapshotTable[[#This Row],[SC Max Dollars]]/SnapshotTable[[#This Row],[SC Basis]])),"")</f>
        <v/>
      </c>
      <c r="FY136" s="236" t="str">
        <f>IF(AND(SnapshotTable[[#This Row],[SC Qty]]&gt;0,SnapshotTable[[#This Row],[SC Current Ask]]&gt;0), SnapshotTable[[#This Row],[SC Qty]] * SnapshotTable[[#This Row],[SC Current Ask]] * -100, "")</f>
        <v/>
      </c>
      <c r="FZ136" s="31" t="str">
        <f>IF(ISNUMBER((SnapshotTable[[#This Row],[SC Current Value]])), SnapshotTable[[#This Row],[SC Premium]] + SnapshotTable[[#This Row],[SC Current Value]], "")</f>
        <v/>
      </c>
      <c r="GA136" s="294" t="str">
        <f>IFERROR( IF(ISNUMBER((SnapshotTable[[#This Row],[SC Current Value]])), SnapshotTable[[#This Row],[SC Gain Loss]] / SnapshotTable[[#This Row],[SC Premium]], ""), "")</f>
        <v/>
      </c>
      <c r="GB136" s="42">
        <f>SnapshotTable[[#This Row],[Equity Shares]] * SaleSharesToConsiderPercentage</f>
        <v>0</v>
      </c>
      <c r="GC136" s="40">
        <f>SnapshotTable[[#This Row],[Long Term Target]] * SellingPriceToConsiderBasedOnTargetPercentage</f>
        <v>76.95</v>
      </c>
      <c r="GD136" s="40">
        <f>SnapshotTable[[#This Row],[Last Price]] * (1+ SellingPriceToConsiderBasedOnTargetPercentage)</f>
        <v>23.4</v>
      </c>
      <c r="GE136" s="41"/>
      <c r="GF136" s="40"/>
      <c r="GG136" s="31">
        <f>SnapshotTable[[#This Row],[Booked Sale Shares]] * SnapshotTable[[#This Row],[Booked Sale Price]]</f>
        <v>0</v>
      </c>
      <c r="GH136" s="31" t="str">
        <f>IF(SnapshotTable[[#This Row],[Equity Basis Total]] &gt; 0, SnapshotTable[[#This Row],[Equity Basis Per Share]] * SnapshotTable[[#This Row],[Booked Sale Shares]], "")</f>
        <v/>
      </c>
      <c r="GI136" s="31">
        <f>IF(SnapshotTable[[#This Row],[Sale Proceeds]]&gt;0, SnapshotTable[[#This Row],[Sale Proceeds]] - SnapshotTable[[#This Row],[Sale Basis]], 0)</f>
        <v>0</v>
      </c>
      <c r="GJ136" s="27" t="str">
        <f>IF(SnapshotTable[[#This Row],[Sale G/L]]&gt;0, SnapshotTable[[#This Row],[Sale G/L]] / SnapshotTable[[#This Row],[Sale Basis]], IF(ISNUMBER(SnapshotTable[[#This Row],[SC Exercise P&amp;L (TAX)]]), SnapshotTable[[#This Row],[SC Exercise P&amp;L (TAX)]] / SnapshotTable[[#This Row],[SC Basis]], ""))</f>
        <v/>
      </c>
      <c r="GK136" s="27"/>
      <c r="GL136" s="43" t="str">
        <f>IF(AND(SnapshotTable[[#This Row],[LP Exp Date]]&gt;0,SnapshotTable[[#This Row],[LP Strike Price]]&gt;0), [1]!ToOptionSymbol(SnapshotTable[[#This Row],[Symbol]], SnapshotTable[[#This Row],[LP Strike Price]],SnapshotTable[[#This Row],[LP Exp Date]],1), "")</f>
        <v/>
      </c>
      <c r="GM136" s="30" t="str">
        <f>IF(LEN(SnapshotTable[[#This Row],[LP Symbol]])&gt;0, 1, "")</f>
        <v/>
      </c>
      <c r="GN136" s="43" t="str">
        <f>IF(AND(SnapshotTable[[#This Row],[SP Exp Date]]&gt;0,SnapshotTable[[#This Row],[SP Strike Price]]&gt;0), [1]!ToOptionSymbol(SnapshotTable[[#This Row],[Symbol]], SnapshotTable[[#This Row],[SP Strike Price]],SnapshotTable[[#This Row],[SP Exp Date]],1), "")</f>
        <v/>
      </c>
      <c r="GO136" s="30" t="str">
        <f>IF(LEN(SnapshotTable[[#This Row],[SP Symbol]])&gt;0, 1, "")</f>
        <v/>
      </c>
      <c r="GP136" s="43" t="str">
        <f>IF(AND(SnapshotTable[[#This Row],[LC Exp Date]]&gt;0,SnapshotTable[[#This Row],[LC Strike Price]]&gt;0), [1]!ToOptionSymbol(SnapshotTable[[#This Row],[Symbol]], SnapshotTable[[#This Row],[LC Strike Price]],SnapshotTable[[#This Row],[LC Exp Date]],0), "")</f>
        <v/>
      </c>
      <c r="GQ136" s="30" t="str">
        <f>IF(LEN(SnapshotTable[[#This Row],[LC Symbol]])&gt;0, 1, "")</f>
        <v/>
      </c>
      <c r="GR136" s="43" t="str">
        <f>IF(AND(SnapshotTable[[#This Row],[SC Exp Date]]&gt;0,SnapshotTable[[#This Row],[SC Strike Price]]&gt;0), [1]!ToOptionSymbol(SnapshotTable[[#This Row],[Symbol]], SnapshotTable[[#This Row],[SC Strike Price]],SnapshotTable[[#This Row],[SC Exp Date]],0), "")</f>
        <v/>
      </c>
      <c r="GS136" s="30" t="str">
        <f>IF(LEN(SnapshotTable[[#This Row],[SC Symbol]])&gt;0, 1, "")</f>
        <v/>
      </c>
      <c r="GT136" s="29" t="str">
        <f>IF(COUNT(SnapshotTable[[#This Row],[LP Symbol Count]],SnapshotTable[[#This Row],[SP Symbol Count]],SnapshotTable[[#This Row],[LC Symbol Count]],SnapshotTable[[#This Row],[SC Symbol Count]])&gt;0, "Y", "")</f>
        <v/>
      </c>
      <c r="GU13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6" s="231" t="e">
        <f>MAX(SnapshotTable[[#This Row],[Equity Basis Total]],SnapshotTable[[#This Row],[Equity Value]]) + (SnapshotTable[[#This Row],[SP Potential Spend]]- SnapshotTable[[#This Row],[SP Premium]] + SnapshotTable[[#This Row],[LP Premium]])+ (SnapshotTable[[#This Row],[LC Premium]] - SnapshotTable[[#This Row],[SC Premium]])</f>
        <v>#VALUE!</v>
      </c>
      <c r="GW136" s="139" t="e">
        <f>IF(AND(SnapshotTable[[#This Row],[Exposure]] &lt;&gt; 0),SnapshotTable[[#This Row],[Exposure]] / SnapshotTable[[#Totals],[Exposure]], "")</f>
        <v>#VALUE!</v>
      </c>
      <c r="HE136" s="268"/>
      <c r="HF136" s="268"/>
      <c r="HK136" s="1"/>
      <c r="HL136" s="1"/>
      <c r="HM136" s="1"/>
      <c r="HN136" s="1"/>
      <c r="HO136" s="1"/>
      <c r="HP136" s="1"/>
    </row>
    <row r="137" spans="2:224" ht="12.75" hidden="1" customHeight="1" x14ac:dyDescent="0.25">
      <c r="B137" s="12" t="s">
        <v>61</v>
      </c>
      <c r="C137" s="422">
        <v>193.94</v>
      </c>
      <c r="D137" s="208"/>
      <c r="E137" s="39">
        <f>SnapshotTable[[#This Row],[Last Price]]*(1 -CrashDiscount)</f>
        <v>164.84899999999999</v>
      </c>
      <c r="F137" s="26" t="s">
        <v>60</v>
      </c>
      <c r="G137" s="26" t="s">
        <v>14</v>
      </c>
      <c r="H137" s="149"/>
      <c r="I137" s="194">
        <v>44735.291666666664</v>
      </c>
      <c r="J137" s="195">
        <v>44735.291666666664</v>
      </c>
      <c r="K137" s="196" t="s">
        <v>3</v>
      </c>
      <c r="L137" s="326"/>
      <c r="M137" s="140"/>
      <c r="N137" s="140"/>
      <c r="O137" s="140"/>
      <c r="P137" s="22"/>
      <c r="Q137" s="25"/>
      <c r="R137" s="4" t="str">
        <f>IF(SnapshotTable[[#This Row],[Equity Basis Total]] &gt; 0, SnapshotTable[[#This Row],[Equity Basis Total]] / SnapshotTable[[#This Row],[Equity Shares]], "")</f>
        <v/>
      </c>
      <c r="S137" s="269">
        <f>SnapshotTable[[#This Row],[Last Price]] * SnapshotTable[[#This Row],[Equity Shares]]</f>
        <v>0</v>
      </c>
      <c r="T137" s="269">
        <f>SnapshotTable[[#This Row],[Equity Value]] - SnapshotTable[[#This Row],[Equity Basis Total]]</f>
        <v>0</v>
      </c>
      <c r="U137" s="270" t="str">
        <f>IF(SnapshotTable[[#This Row],[Equity Basis Total]] &gt; 0, SnapshotTable[[#This Row],[Equity G/L]] / SnapshotTable[[#This Row],[Equity Basis Total]], "")</f>
        <v/>
      </c>
      <c r="V137" s="268"/>
      <c r="W137" s="268"/>
      <c r="X137" s="4" t="str">
        <f>IF(AND(ISNUMBER(SnapshotTable[[#This Row],[Equity Basis Per Share]]),ISNUMBER(SnapshotTable[[#This Row],[Equity Target]])),SnapshotTable[[#This Row],[Equity Target]]-SnapshotTable[[#This Row],[Equity Basis Per Share]],"")</f>
        <v/>
      </c>
      <c r="Y137" s="4" t="str">
        <f>IF(AND(ISNUMBER(SnapshotTable[[#This Row],[Equity Basis Per Share]]),ISNUMBER(SnapshotTable[[#This Row],[Equity Stop Loss]])),SnapshotTable[[#This Row],[Equity Stop Loss]]-SnapshotTable[[#This Row],[Equity Basis Per Share]],"")</f>
        <v/>
      </c>
      <c r="Z137" s="275" t="str">
        <f>IFERROR( TEXT(SnapshotTable[[#This Row],[Equity Max Gain Per Share]] /ABS( SnapshotTable[[#This Row],[Equity Max Loss Per Share]]),"0.0 " ) &amp; " : 1", "")</f>
        <v/>
      </c>
      <c r="AA137" s="31" t="str">
        <f>IF(ISNUMBER(SnapshotTable[[#This Row],[Equity Max Gain Per Share]]),SnapshotTable[[#This Row],[Equity Max Gain Per Share]] * SnapshotTable[[#This Row],[Equity Shares]],"")</f>
        <v/>
      </c>
      <c r="AB137" s="31" t="str">
        <f>IF(ISNUMBER(SnapshotTable[[#This Row],[Equity Max Loss Per Share]]),SnapshotTable[[#This Row],[Equity Max Loss Per Share]] * SnapshotTable[[#This Row],[Equity Shares]],"")</f>
        <v/>
      </c>
      <c r="AC137" s="150"/>
      <c r="AD137" s="151"/>
      <c r="AE137" s="31">
        <f>(SnapshotTable[[#This Row],[Annual Dividend Per Share]] / 4) * SnapshotTable[[#This Row],[Equity Shares]]</f>
        <v>0</v>
      </c>
      <c r="AF137" s="31">
        <f>SnapshotTable[[#This Row],[Quarterly Div $]] * 4</f>
        <v>0</v>
      </c>
      <c r="AG137" s="7">
        <f>IF(SnapshotTable[[#This Row],[Annual Dividend Per Share]]&gt;0, SnapshotTable[[#This Row],[Annual Dividend Per Share]]  / SnapshotTable[[#This Row],[Last Price]], 0)</f>
        <v>0</v>
      </c>
      <c r="AH137" s="151"/>
      <c r="AI137" s="5"/>
      <c r="AJ137" s="138">
        <v>102.82</v>
      </c>
      <c r="AK137" s="152" t="str">
        <f>IF(ISNUMBER( SnapshotTable[[#This Row],[EBF Target]]),(SnapshotTable[[#This Row],[EBF Target]] - SnapshotTable[[#This Row],[Last Price]]) / SnapshotTable[[#This Row],[Last Price]], "")</f>
        <v/>
      </c>
      <c r="AL137" s="152" t="str">
        <f>IF(AND(SnapshotTable[[#This Row],[Equity Basis Total]] &gt; 0,ISNUMBER( SnapshotTable[[#This Row],[Long Term Target]])), SnapshotTable[[#This Row],[From Basis $]] / SnapshotTable[[#This Row],[Equity Basis Total]], "")</f>
        <v/>
      </c>
      <c r="AM137" s="9">
        <f>IF( AND(SnapshotTable[[#This Row],[Equity Shares]] &gt;0,ISNUMBER( SnapshotTable[[#This Row],[Long Term Target]])),(SnapshotTable[[#This Row],[Equity Shares]] * SnapshotTable[[#This Row],[Long Term Target]]) - SnapshotTable[[#This Row],[Equity Basis Total]],0)</f>
        <v>0</v>
      </c>
      <c r="AN137" s="9">
        <f>IF( AND(SnapshotTable[[#This Row],[Equity Shares]] &gt;0,ISNUMBER( SnapshotTable[[#This Row],[Long Term Target]])),(SnapshotTable[[#This Row],[Equity Shares]]*SnapshotTable[[#This Row],[Long Term Target]]) - SnapshotTable[[#This Row],[Equity Value]],0)</f>
        <v>0</v>
      </c>
      <c r="AO137" s="152">
        <f>IF(AND(ISNUMBER( SnapshotTable[[#This Row],[Long Term Target]]), ISNUMBER(SnapshotTable[[#This Row],[Last Price]])),(SnapshotTable[[#This Row],[Long Term Target]] - SnapshotTable[[#This Row],[Last Price]]) / SnapshotTable[[#This Row],[Last Price]], "")</f>
        <v>-0.4698360317624008</v>
      </c>
      <c r="AP137" s="5"/>
      <c r="AQ137" s="38"/>
      <c r="AR137" s="5"/>
      <c r="AS137" s="38"/>
      <c r="AT137" s="146"/>
      <c r="AU137" s="187" t="str">
        <f>IF(OR(SnapshotTable[[#This Row],[LP No Fill]]="Y",SnapshotTable[[#This Row],[SP Is Filled]],SnapshotTable[[#This Row],[LC Not Filled]]="Y",SnapshotTable[[#This Row],[SC Is Filled]]),"Y","")</f>
        <v/>
      </c>
      <c r="AV137" s="219"/>
      <c r="AW137" s="225"/>
      <c r="AX137" s="220"/>
      <c r="AY137" s="219" t="str">
        <f>IF(SnapshotTable[[#This Row],[Implied Move]]&gt;0, SnapshotTable[[#This Row],[Last Price]]-SnapshotTable[[#This Row],[Implied Move]],"")</f>
        <v/>
      </c>
      <c r="AZ137" s="219" t="str">
        <f>IF(SnapshotTable[[#This Row],[Implied Move]]&gt;0, SnapshotTable[[#This Row],[Last Price]] + SnapshotTable[[#This Row],[Implied Move]],"")</f>
        <v/>
      </c>
      <c r="BA137" s="331"/>
      <c r="BB137" s="347"/>
      <c r="BC13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7" s="351"/>
      <c r="BE137" s="5"/>
      <c r="BF137" s="14"/>
      <c r="BG137" s="13"/>
      <c r="BH137" s="13"/>
      <c r="BI137" s="5"/>
      <c r="BJ137" s="136">
        <f>IF(SnapshotTable[[#This Row],[LP Qty]] &gt; 0, SnapshotTable[[#This Row],[LP Qty]] * SnapshotTable[[#This Row],[LP Book Price]] * 100,0)</f>
        <v>0</v>
      </c>
      <c r="BK137" s="136">
        <f>IF(SnapshotTable[[#This Row],[LP Premium]] &gt; 0, SnapshotTable[[#This Row],[LP Qty]] * SnapshotTable[[#This Row],[LP Strike Price]] * 100,0)</f>
        <v>0</v>
      </c>
      <c r="BL137" s="154"/>
      <c r="BM137" s="385" t="str">
        <f>IF(SnapshotTable[[#This Row],[LP Premium]] &gt; 0,SnapshotTable[[#This Row],[LP Exp Date]]-MAX(SnapshotTable[[#This Row],[LP Book Date]], SnapshotTable[[#This Row],[LP Fill Date]]),"")</f>
        <v/>
      </c>
      <c r="BN137" s="385" t="str">
        <f>IF(ISNUMBER( SnapshotTable[[#This Row],[LP Term]]), SnapshotTable[[#This Row],[LP Exp Date]] - MockToday,"")</f>
        <v/>
      </c>
      <c r="BO137" s="163" t="str">
        <f>IF(AND(SnapshotTable[[#This Row],[LP Exp Date]]&gt;0, SnapshotTable[[#This Row],[LP Strike Price]]&gt;0,SnapshotTable[[#This Row],[LP Qty]]&gt;0,SnapshotTable[[#This Row],[LP Book Date]]&gt;0,SnapshotTable[[#This Row],[LP Book Price]]&gt;0,SnapshotTable[[#This Row],[LP Fill Date]]=0),"Y","")</f>
        <v/>
      </c>
      <c r="BP137" s="31" t="str">
        <f>IF(AND(SnapshotTable[[#This Row],[LP No Fill]]&lt;&gt;"Y",SnapshotTable[[#This Row],[LP Contract Value]]&gt;0, SnapshotTable[[#This Row],[LP Qty]]&gt;0), SnapshotTable[[#This Row],[LP Contract Value]]*SnapshotTable[[#This Row],[LP Qty]]*100,"")</f>
        <v/>
      </c>
      <c r="BQ137" s="13"/>
      <c r="BR137" s="5" t="str">
        <f>IF(SnapshotTable[[#This Row],[SP Exp Date]]&lt;&gt;"",TRUNC(SnapshotTable[[#This Row],[Last Price]]),"")</f>
        <v/>
      </c>
      <c r="BS137" s="36"/>
      <c r="BT137" s="147"/>
      <c r="BU137" s="13"/>
      <c r="BV137" s="5"/>
      <c r="BW137" s="419" t="b">
        <f>AND(ISNUMBER(SnapshotTable[[#This Row],[SP Exp Date]]), ISNUMBER(SnapshotTable[[#This Row],[SP Strike Price]]), ISNUMBER(SnapshotTable[[#This Row],[SP Qty]]), ISNUMBER(SnapshotTable[[#This Row],[SP Book Date]]), ISNUMBER(SnapshotTable[[#This Row],[SP Book Price]]))</f>
        <v>0</v>
      </c>
      <c r="BX137" s="419" t="b">
        <f>AND(SnapshotTable[[#This Row],[SP Is Booked]], NOT(ISBLANK(SnapshotTable[[#This Row],[SP Fill Date]])))</f>
        <v>0</v>
      </c>
      <c r="BY137" s="33">
        <f>IF(SnapshotTable[[#This Row],[SP Is Booked]], SnapshotTable[[#This Row],[SP Qty]] * SnapshotTable[[#This Row],[SP Book Price]] * 100, 0)</f>
        <v>0</v>
      </c>
      <c r="BZ137" s="369"/>
      <c r="CA137" s="368">
        <f>SnapshotTable[[#This Row],[LP Qty]]</f>
        <v>0</v>
      </c>
      <c r="CB137" s="4" t="str">
        <f>IF(SnapshotTable[[#This Row],[SP Is Booked]], SnapshotTable[[#This Row],[SP Strike Price]] - SnapshotTable[[#This Row],[SP Book Price]], "")</f>
        <v/>
      </c>
      <c r="CC137" s="19" t="str">
        <f>IF(SnapshotTable[[#This Row],[SP Is Booked]],SnapshotTable[[#This Row],[SP Exp Date]]-MAX(SnapshotTable[[#This Row],[SP Book Date]], SnapshotTable[[#This Row],[SP Fill Date]]),"")</f>
        <v/>
      </c>
      <c r="CD137" s="7" t="str">
        <f>IF(SnapshotTable[[#This Row],[SP Is Booked]], SnapshotTable[[#This Row],[SP Book Price]]/SnapshotTable[[#This Row],[SP Strike Price]], "")</f>
        <v/>
      </c>
      <c r="CE137" s="7" t="str">
        <f>IF(ISNUMBER(SnapshotTable[[#This Row],[SP ROO Term]]),SnapshotTable[[#This Row],[SP ROO Term]]*(365/SnapshotTable[[#This Row],[SP Term]]),"")</f>
        <v/>
      </c>
      <c r="CF137" s="236">
        <f>SnapshotTable[[#This Row],[LP Strike Price]] * SnapshotTable[[#This Row],[LP Qty]] * 100</f>
        <v>0</v>
      </c>
      <c r="CG137" s="31" t="e">
        <f>IF(ISNUMBER(SnapshotTable[[#This Row],[SP Premium]]), (SnapshotTable[[#This Row],[SP Qty]] * SnapshotTable[[#This Row],[SP Strike Price]]* 100) - SnapshotTable[[#This Row],[LP Protection]], 0)</f>
        <v>#VALUE!</v>
      </c>
      <c r="CH137" s="7" t="str">
        <f>IF(ISNUMBER(SnapshotTable[[#This Row],[SP Break Even]]),-1 * (SnapshotTable[[#This Row],[SP Break Even]] - SnapshotTable[[#This Row],[Last Price]]) / SnapshotTable[[#This Row],[Last Price]], "")</f>
        <v/>
      </c>
      <c r="CI137" s="31">
        <f>IF(AND(ISNUMBER((SnapshotTable[[#This Row],[SP Potential Spend]])), SnapshotTable[[#This Row],[SP Strike Price]] &gt; SnapshotTable[[#This Row],[Last Price]], SnapshotTable[[#This Row],[SP Is Filled]]), SnapshotTable[[#This Row],[SP Potential Spend]] -  SnapshotTable[[#This Row],[LP Max Value]], 0)</f>
        <v>0</v>
      </c>
      <c r="CJ137" s="244"/>
      <c r="CK137" s="31" t="str">
        <f>IF(ISNUMBER(SnapshotTable[[#This Row],[SP Potential Spend]]),IF(ISNUMBER(SnapshotTable[[#This Row],[SP POW]]), SnapshotTable[[#This Row],[SP POW]] * SnapshotTable[[#This Row],[SP Potential Spend]], SnapshotTable[[#This Row],[SP Potential Spend]]), "")</f>
        <v/>
      </c>
      <c r="CL137" s="164" t="e">
        <f>IF(NOT(SnapshotTable[[#This Row],[SP Is Filled]]),(SnapshotTable[[#This Row],[SP Qty]] * SnapshotTable[[#This Row],[SP Strike Price]] * 100) - SnapshotTable[[#This Row],[LP Max Value]],"")</f>
        <v>#VALUE!</v>
      </c>
      <c r="CM137" s="31" t="str">
        <f>IF(SnapshotTable[[#This Row],[SP Actual Spend]]&lt;&gt;0, ((SnapshotTable[[#This Row],[SP Strike Price]]-SnapshotTable[[#This Row],[Last Price]]) *(SnapshotTable[[#This Row],[SP Qty]]*100) - SnapshotTable[[#This Row],[SP Premium]]) * - 1, "")</f>
        <v/>
      </c>
      <c r="CN137" s="78"/>
      <c r="CO137" s="369"/>
      <c r="CP137" s="4" t="str">
        <f>IF(SnapshotTable[[#This Row],[SP Is Filled]], btc_max_buyback_amount(SnapshotTable[[#This Row],[SP Fill Date]],SnapshotTable[[#This Row],[SP Exp Date]], SnapshotTable[[#This Row],[SP Book Price]]),"")</f>
        <v/>
      </c>
      <c r="CQ137" s="78"/>
      <c r="CR13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7" s="155" t="str">
        <f>IF(SnapshotTable[[#This Row],[SP Is Filled]], btc_next_cutoff_date(SnapshotTable[[#This Row],[SP Fill Date]],SnapshotTable[[#This Row],[SP Exp Date]]),"")</f>
        <v/>
      </c>
      <c r="CT137" s="235" t="str" cm="1">
        <f t="array" ref="CT137">IF(SnapshotTable[[#This Row],[SP Is Filled]], btc_should_buy_back(SnapshotTable[[#This Row],[SP Fill Date]], SnapshotTable[[#This Row],[SP Exp Date]], SnapshotTable[[#This Row],[SP Book Price]], SnapshotTable[[#This Row],[SP Current Ask]], MockToday, SnapshotTable[[#This Row],[SP Buyback Override]]),"")</f>
        <v/>
      </c>
      <c r="CU137" s="143"/>
      <c r="CV137" s="235"/>
      <c r="CW137" s="378" t="str">
        <f>IF(ISNUMBER( SnapshotTable[[#This Row],[SP Term]]), SnapshotTable[[#This Row],[SP Exp Date]] - MockToday,"")</f>
        <v/>
      </c>
      <c r="CX137" s="31" t="str">
        <f>IF(SnapshotTable[[#This Row],[SP Is Filled]],SnapshotTable[[#This Row],[SP Buyback Price to Use]] * 100 * SnapshotTable[[#This Row],[SP Qty]], "")</f>
        <v/>
      </c>
      <c r="CY137" s="4" t="str">
        <f>IF(ISNUMBER(SnapshotTable[[#This Row],[SP Strike Price]]), SnapshotTable[[#This Row],[SP Strike Price]] * (1 - SP_MaxLoss_StrikePct), "")</f>
        <v/>
      </c>
      <c r="CZ137" s="31" t="str">
        <f>IF(ISNUMBER(SnapshotTable[[#This Row],[SP Strike  Stop Per Share]]),SnapshotTable[[#This Row],[SP Premium]] - ((SnapshotTable[[#This Row],[SP Strike Price]]-SnapshotTable[[#This Row],[SP Strike  Stop Per Share]]) *(SnapshotTable[[#This Row],[SP Qty]] * 100)),"")</f>
        <v/>
      </c>
      <c r="DA137" s="4" t="str">
        <f>IF(AND(ISNUMBER(SnapshotTable[[#This Row],[SP Premium]]),SnapshotTable[[#This Row],[SP Premium]]&gt;0), SnapshotTable[[#This Row],[SP Book Price]] * (1 + SP_MaxLoss_OptionPct), "")</f>
        <v/>
      </c>
      <c r="DB137" s="31" t="str">
        <f>IF(ISNUMBER(SnapshotTable[[#This Row],[SP Option  Stop Contract]]),(SnapshotTable[[#This Row],[SP Option  Stop Contract]] *(SnapshotTable[[#This Row],[SP Qty]] * 100) - SnapshotTable[[#This Row],[SP Premium]]),"")</f>
        <v/>
      </c>
      <c r="DC137" s="4"/>
      <c r="DD137" s="4"/>
      <c r="DE137" s="4" t="str">
        <f>IF(AND(SnapshotTable[[#This Row],[SP Qty]]&gt;0, SnapshotTable[[#This Row],[SP Stop To Use]]&gt;0),SnapshotTable[[#This Row],[SP Premium]] - ( SnapshotTable[[#This Row],[SP Qty]] * SnapshotTable[[#This Row],[SP Stop To Use]] * 100), "")</f>
        <v/>
      </c>
      <c r="DF137" s="31" t="str">
        <f>IF(AND(SnapshotTable[[#This Row],[SP Qty]]&gt;0,SnapshotTable[[#This Row],[SP Current Ask]]&gt;0), SnapshotTable[[#This Row],[SP Qty]] * SnapshotTable[[#This Row],[SP Current Ask]] * -100, "")</f>
        <v/>
      </c>
      <c r="DG137" s="31" t="str">
        <f>IF(ISNUMBER((SnapshotTable[[#This Row],[SP Total Value]])), SnapshotTable[[#This Row],[SP Premium]] + SnapshotTable[[#This Row],[SP Total Value]], "")</f>
        <v/>
      </c>
      <c r="DH137" s="294" t="str">
        <f>IF(ISNUMBER((SnapshotTable[[#This Row],[SP Total Value]])), SnapshotTable[[#This Row],[SP Gain Loss]] / SnapshotTable[[#This Row],[SP Premium]], "")</f>
        <v/>
      </c>
      <c r="DI137" s="406"/>
      <c r="DJ137" s="138"/>
      <c r="DK137" s="148"/>
      <c r="DL137" s="13"/>
      <c r="DM137" s="13"/>
      <c r="DO137" s="31">
        <f>IF(SnapshotTable[[#This Row],[LC Symbol Count]]=1, SnapshotTable[[#This Row],[LC Qty]] * SnapshotTable[[#This Row],[LC Book Price]] * 100, 0)</f>
        <v>0</v>
      </c>
      <c r="DP137" s="163" t="str">
        <f>IF(AND(SnapshotTable[[#This Row],[LC Exp Date]]&gt;0, SnapshotTable[[#This Row],[LC Strike Price]]&gt;0,SnapshotTable[[#This Row],[LC Qty]]&gt;0,SnapshotTable[[#This Row],[LC Book Date]]&gt;0,SnapshotTable[[#This Row],[LC Book Price]]&gt;0,SnapshotTable[[#This Row],[LC Fill Date]]=0),"Y","")</f>
        <v/>
      </c>
      <c r="DQ137" s="386" t="str">
        <f>IF(SnapshotTable[[#This Row],[LC Premium]] &gt; 0,SnapshotTable[[#This Row],[LC Exp Date]]-MAX(SnapshotTable[[#This Row],[LC Book Date]], SnapshotTable[[#This Row],[LC Fill Date]]),"")</f>
        <v/>
      </c>
      <c r="DR137" s="386" t="str">
        <f>IF(ISNUMBER(SnapshotTable[[#This Row],[LC Term]]), SnapshotTable[[#This Row],[LC Exp Date]] - MockToday, "")</f>
        <v/>
      </c>
      <c r="DS137" s="234" t="str">
        <f>IF(SnapshotTable[[#This Row],[LC Premium]]&gt;0,SnapshotTable[[#This Row],[LC Strike Price]] + SnapshotTable[[#This Row],[LC Book Price]],"")</f>
        <v/>
      </c>
      <c r="DU137" s="9" t="str">
        <f>IF(AND(SnapshotTable[[#This Row],[LC Symbol Count]]&gt;0, SnapshotTable[[#This Row],[LC Contract Value]]&gt;0), SnapshotTable[[#This Row],[LC Contract Value]] * SnapshotTable[[#This Row],[LC Qty]] * 100, "")</f>
        <v/>
      </c>
      <c r="DV137" s="9" t="str">
        <f>IF(AND(ISNUMBER(SnapshotTable[[#This Row],[LC Total Value]]), SnapshotTable[[#This Row],[LC Not Filled]]&lt;&gt;"Y"), SnapshotTable[[#This Row],[LC Total Value]]-SnapshotTable[[#This Row],[LC Premium]],"")</f>
        <v/>
      </c>
      <c r="DW137" s="240" t="str">
        <f>IF(ISNUMBER(SnapshotTable[[#This Row],[LC Actual Gain Loss]]), SnapshotTable[[#This Row],[LC Actual Gain Loss]] / SnapshotTable[[#This Row],[LC Premium]],"")</f>
        <v/>
      </c>
      <c r="DX137" s="284" t="str">
        <f>IF(ISNUMBER(SnapshotTable[[#This Row],[LC Book Price]]),SnapshotTable[[#This Row],[LC Book Price]] * 1.5,"")</f>
        <v/>
      </c>
      <c r="DY137" s="265" t="str">
        <f>IF(SnapshotTable[[#This Row],[LC Premium]]&gt;0, SnapshotTable[[#This Row],[LC Next Target]] * SnapshotTable[[#This Row],[LC Qty]] * 100,"")</f>
        <v/>
      </c>
      <c r="DZ137" s="265" t="str">
        <f>IF(ISNUMBER(SnapshotTable[[#This Row],[LC Target Gross]]), SnapshotTable[[#This Row],[LC Target Gross]] - SnapshotTable[[#This Row],[LC Premium]], "")</f>
        <v/>
      </c>
      <c r="EA137" s="305" t="str">
        <f>IF(ISNUMBER(SnapshotTable[[#This Row],[LC Target Gain Loss]]), SnapshotTable[[#This Row],[LC Target Gain Loss]]/SnapshotTable[[#This Row],[LC Premium]], "")</f>
        <v/>
      </c>
      <c r="EB137" s="262"/>
      <c r="EC137" s="283" t="str">
        <f>IF(SnapshotTable[[#This Row],[LC Premium]]&gt;0, SnapshotTable[[#This Row],[LC Book Price]] * (1 - LC_StopLoss_Pct),"")</f>
        <v/>
      </c>
      <c r="ED137" s="284"/>
      <c r="EE137" s="283" t="str">
        <f>IF(ISNUMBER(SnapshotTable[[#This Row],[LC Contract Value]]),IF(ISNUMBER(SnapshotTable[[#This Row],[LC Stop Loss Override]]), SnapshotTable[[#This Row],[LC Stop Loss Override]],SnapshotTable[[#This Row],[LC Stop Loss Calc Target]]),"")</f>
        <v/>
      </c>
      <c r="EF137" s="31" t="str">
        <f>IF(ISNUMBER(SnapshotTable[[#This Row],[LC Stop  To Use]]), (SnapshotTable[[#This Row],[LC Stop  To Use]] * SnapshotTable[[#This Row],[LC Qty]] * 100),"")</f>
        <v/>
      </c>
      <c r="EG137" s="9" t="str">
        <f>IF(ISNUMBER(SnapshotTable[[#This Row],[LC Total Value]]),SnapshotTable[[#This Row],[LC Stop Loss Amount]] - SnapshotTable[[#This Row],[LC Premium]],"")</f>
        <v/>
      </c>
      <c r="EH137" s="9">
        <f>IF(ISNUMBER(SnapshotTable[[#This Row],[LC Premium]]), SnapshotTable[[#This Row],[LC Qty]] * 100 * SnapshotTable[[#This Row],[LC Strike Price]], "")</f>
        <v>0</v>
      </c>
      <c r="EI137" s="240" t="str">
        <f>IF(AND(ISNUMBER(SnapshotTable[[#This Row],[LC Total Value]]),SnapshotTable[[#This Row],[LC Total Value]]&gt;0),SnapshotTable[[#This Row],[LC Stop Gain Loss]]  / SnapshotTable[[#This Row],[LC Premium]],"")</f>
        <v/>
      </c>
      <c r="EJ137" s="35">
        <f>IF(ISNUMBER(SnapshotTable[[#This Row],[Equity Shares]]),TRUNC(SnapshotTable[[#This Row],[Equity Shares]] / 100),0) + SnapshotTable[[#This Row],[LC Qty]]</f>
        <v>0</v>
      </c>
      <c r="EK137" s="147"/>
      <c r="EL137" s="138" t="str">
        <f>IF(SnapshotTable[[#This Row],[SC Exp Date]]&lt;&gt;"",TRUNC(SnapshotTable[[#This Row],[Last Price]]),"")</f>
        <v/>
      </c>
      <c r="EM137" s="148"/>
      <c r="EN137" s="147"/>
      <c r="EO137" s="147"/>
      <c r="EP137" s="138"/>
      <c r="EQ137" s="419" t="b">
        <f>AND(ISNUMBER(SnapshotTable[[#This Row],[SC Exp Date]]), ISNUMBER(SnapshotTable[[#This Row],[SC Strike Price]]), ISNUMBER(SnapshotTable[[#This Row],[SC Qty]]), ISNUMBER(SnapshotTable[[#This Row],[SC Book Date]]), ISNUMBER(SnapshotTable[[#This Row],[SC Book Price]]))</f>
        <v>0</v>
      </c>
      <c r="ER137" s="419" t="b">
        <f>AND(SnapshotTable[[#This Row],[SC Is Booked]], NOT(ISBLANK(SnapshotTable[[#This Row],[SC Fill Date]])))</f>
        <v>0</v>
      </c>
      <c r="ES137" s="370"/>
      <c r="ET137" s="34" t="str">
        <f>IF(AND(ISNUMBER(SnapshotTable[[#This Row],[SC Exp Date]]), ISNUMBER(SnapshotTable[[#This Row],[SC Book Date]])), SnapshotTable[[#This Row],[SC Exp Date]] - MAX(SnapshotTable[[#This Row],[SC Book Date]], SnapshotTable[[#This Row],[SC Fill Date]]) + 1, "")</f>
        <v/>
      </c>
      <c r="EU137" s="34" t="str">
        <f>IF(ISNUMBER(SnapshotTable[[#This Row],[SC Term]]), SnapshotTable[[#This Row],[SC Exp Date]]- MockToday, "")</f>
        <v/>
      </c>
      <c r="EV137" s="31">
        <f>IF(SnapshotTable[[#This Row],[SC Is Booked]], SnapshotTable[[#This Row],[SC Qty]] * SnapshotTable[[#This Row],[SC Book Price]] * 100, 0)</f>
        <v>0</v>
      </c>
      <c r="EW137" s="4" t="str">
        <f>IF(AND(ISNUMBER(SnapshotTable[[#This Row],[Last Price]]), ISNUMBER( SnapshotTable[[#This Row],[SC Book Price]])), SnapshotTable[[#This Row],[Last Price]] - SnapshotTable[[#This Row],[SC Book Price]],"")</f>
        <v/>
      </c>
      <c r="EX137" s="234" t="str">
        <f>IF(SnapshotTable[[#This Row],[SC Is Booked]],IF(SnapshotTable[[#This Row],[SC Intrinsic Value]] &gt; 0, SnapshotTable[[#This Row],[SC Strike Price]], SnapshotTable[[#This Row],[Last Price]]), "")</f>
        <v/>
      </c>
      <c r="EY137" s="4">
        <f>IF(SnapshotTable[[#This Row],[SC Is Booked]], (MinimumPremiumRequired * SnapshotTable[[#This Row],[SC Basis]] * SnapshotTable[[#This Row],[SC Term]]), 0)</f>
        <v>0</v>
      </c>
      <c r="EZ137" s="283"/>
      <c r="FA137" s="218"/>
      <c r="FB137" s="370"/>
      <c r="FC137" s="4">
        <f>IF(SnapshotTable[[#This Row],[SC Is Filled]], btc_max_buyback_amount(SnapshotTable[[#This Row],[SC Fill Date]],SnapshotTable[[#This Row],[SC Exp Date]], SnapshotTable[[#This Row],[SC Book Price]]),0)</f>
        <v>0</v>
      </c>
      <c r="FD137" s="5"/>
      <c r="FE137" s="144" t="str">
        <f>IF(SnapshotTable[[#This Row],[SC Is Filled]], btc_next_cutoff_date(SnapshotTable[[#This Row],[SC Fill Date]],SnapshotTable[[#This Row],[SC Exp Date]]),"")</f>
        <v/>
      </c>
      <c r="FF137" s="4" t="str" cm="1">
        <f t="array" ref="FF137">IF(SnapshotTable[[#This Row],[SC Is Filled]], btc_should_buy_back(SnapshotTable[[#This Row],[SC Fill Date]], SnapshotTable[[#This Row],[SC Exp Date]], SnapshotTable[[#This Row],[SC Book Price]], SnapshotTable[[#This Row],[SC Current Ask]], MockToday, SnapshotTable[[#This Row],[SC Buyback Override]]),"")</f>
        <v/>
      </c>
      <c r="FG137" s="4">
        <f>IF(SnapshotTable[[#This Row],[SC Is Filled]], MAX(0,SnapshotTable[[#This Row],[Last Price]]  - SnapshotTable[[#This Row],[SC Strike Price]]), 0)</f>
        <v>0</v>
      </c>
      <c r="FH137" s="382">
        <f>IF(SnapshotTable[[#This Row],[SC Is Filled]], IF(ISNUMBER(SnapshotTable[[#This Row],[SC Current Ask]]), SnapshotTable[[#This Row],[SC Current Ask]], SnapshotTable[[#This Row],[SC Book Price]]) - SnapshotTable[[#This Row],[SC Intrinsic Value]], 0)</f>
        <v>0</v>
      </c>
      <c r="FI137" s="143"/>
      <c r="FJ137" s="32" t="str">
        <f>IF(SnapshotTable[[#This Row],[SC Is Filled]],100 * SnapshotTable[[#This Row],[SC Qty]] * IF(ISNUMBER(SnapshotTable[[#This Row],[SC Buyback Override]]), SnapshotTable[[#This Row],[SC Buyback Override]], SnapshotTable[[#This Row],[SC Current Ask]]), "")</f>
        <v/>
      </c>
      <c r="FK137" s="250" t="str">
        <f>IF(SnapshotTable[[#This Row],[SC Time Val]]&gt;0, SnapshotTable[[#This Row],[SC Time Val]] / SnapshotTable[[#This Row],[Last Price]],"")</f>
        <v/>
      </c>
      <c r="FL137" s="302" t="str">
        <f>IF(SnapshotTable[[#This Row],[SC Is Booked]], ((SnapshotTable[[#This Row],[Last Price]] -SnapshotTable[[#This Row],[SC Strike Price]]) / SnapshotTable[[#This Row],[Last Price]]) * -1, "")</f>
        <v/>
      </c>
      <c r="FM137" s="157" t="str">
        <f>IF(SnapshotTable[[#This Row],[SC Is Booked]],  (SnapshotTable[[#This Row],[SC Qty]] * 100 * SnapshotTable[[#This Row],[SC Strike Price]]) - SnapshotTable[[#This Row],[SC Current Ask]], "")</f>
        <v/>
      </c>
      <c r="FN13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7" s="31" t="str">
        <f>IF(AND(ISNUMBER(SnapshotTable[[#This Row],[SC Exercise Gross]]), ISNUMBER(SnapshotTable[[#This Row],[Equity Basis Per Share]] )), SnapshotTable[[#This Row],[SC Exercise Gross]] - SnapshotTable[[#This Row],[Equity Basis Total]] +  SnapshotTable[[#This Row],[SC Premium]], "")</f>
        <v/>
      </c>
      <c r="FP137" s="5" t="str">
        <f>IF(ISNUMBER(SnapshotTable[[#This Row],[SC Exercise Gross]]), (SnapshotTable[[#This Row],[SC Exercise Gross]]) / (SnapshotTable[[#This Row],[SC Qty]] * 100), "")</f>
        <v/>
      </c>
      <c r="FQ137" s="27" t="str">
        <f>IF(SnapshotTable[[#This Row],[SC Is Booked]],SnapshotTable[[#This Row],[SC Time Val]] /SnapshotTable[[#This Row],[SC Basis]], "")</f>
        <v/>
      </c>
      <c r="FR137" s="27" t="str" cm="1">
        <f t="array" ref="FR137">IF(AND(ISNUMBER(SnapshotTable[[#This Row],[SC Term]]),ISNUMBER(SnapshotTable[[#This Row],[SC Simple ROO]])), EllmanAnnualize(SnapshotTable[[#This Row],[SC DTE]], SnapshotTable[[#This Row],[SC Simple ROO]] ),"")</f>
        <v/>
      </c>
      <c r="FS137" s="4" t="e">
        <f>IF(SnapshotTable[[#This Row],[SC Strike Price]] &gt; SnapshotTable[[#This Row],[Last Price]], SnapshotTable[[#This Row],[SC Strike Price]] - SnapshotTable[[#This Row],[Last Price]],0)</f>
        <v>#VALUE!</v>
      </c>
      <c r="FT137" s="27" t="e">
        <f>IF(AND(ISNUMBER(SnapshotTable[[#This Row],[SC Upside Potential]]), SnapshotTable[[#This Row],[SC Upside Potential]] &gt; 0),(SnapshotTable[[#This Row],[SC Upside Potential]]/ SnapshotTable[[#This Row],[ACB]]),"")</f>
        <v>#VALUE!</v>
      </c>
      <c r="FU137" s="333" t="str">
        <f>IF(SnapshotTable[[#This Row],[SC Intrinsic Value]] &gt; 0,SnapshotTable[[#This Row],[SC Intrinsic Value]],"")</f>
        <v/>
      </c>
      <c r="FV137" s="27" t="str">
        <f>IF(AND( ISNUMBER( SnapshotTable[[#This Row],[ACB]]),ISNUMBER(SnapshotTable[[#This Row],[SC Downside Protect]])),SnapshotTable[[#This Row],[SC Downside Protect]] / SnapshotTable[[#This Row],[ACB]],"")</f>
        <v/>
      </c>
      <c r="FW137" s="236" t="str">
        <f>IF(AND(ISNUMBER(SnapshotTable[[#This Row],[SC Simple ROO]]),SnapshotTable[[#This Row],[SC Simple ROO]] &gt; 0), SnapshotTable[[#This Row],[SC Premium]] + (SnapshotTable[[#This Row],[SC Qty]] * SnapshotTable[[#This Row],[SC Upside Potential]]), "")</f>
        <v/>
      </c>
      <c r="FX137" s="302" t="str" cm="1">
        <f t="array" ref="FX137">IF(ISNUMBER(SnapshotTable[[#This Row],[SC Max Dollars]]), annualize(SnapshotTable[[#This Row],[SC Term]],(SnapshotTable[[#This Row],[SC Max Dollars]]/SnapshotTable[[#This Row],[SC Basis]])),"")</f>
        <v/>
      </c>
      <c r="FY137" s="236" t="str">
        <f>IF(AND(SnapshotTable[[#This Row],[SC Qty]]&gt;0,SnapshotTable[[#This Row],[SC Current Ask]]&gt;0), SnapshotTable[[#This Row],[SC Qty]] * SnapshotTable[[#This Row],[SC Current Ask]] * -100, "")</f>
        <v/>
      </c>
      <c r="FZ137" s="31" t="str">
        <f>IF(ISNUMBER((SnapshotTable[[#This Row],[SC Current Value]])), SnapshotTable[[#This Row],[SC Premium]] + SnapshotTable[[#This Row],[SC Current Value]], "")</f>
        <v/>
      </c>
      <c r="GA137" s="294" t="str">
        <f>IFERROR( IF(ISNUMBER((SnapshotTable[[#This Row],[SC Current Value]])), SnapshotTable[[#This Row],[SC Gain Loss]] / SnapshotTable[[#This Row],[SC Premium]], ""), "")</f>
        <v/>
      </c>
      <c r="GB137" s="42">
        <f>SnapshotTable[[#This Row],[Equity Shares]] * SaleSharesToConsiderPercentage</f>
        <v>0</v>
      </c>
      <c r="GC137" s="40">
        <f>SnapshotTable[[#This Row],[Long Term Target]] * SellingPriceToConsiderBasedOnTargetPercentage</f>
        <v>97.678999999999988</v>
      </c>
      <c r="GD137" s="40">
        <f>SnapshotTable[[#This Row],[Last Price]] * (1+ SellingPriceToConsiderBasedOnTargetPercentage)</f>
        <v>378.18299999999999</v>
      </c>
      <c r="GE137" s="41"/>
      <c r="GF137" s="40"/>
      <c r="GG137" s="31">
        <f>SnapshotTable[[#This Row],[Booked Sale Shares]] * SnapshotTable[[#This Row],[Booked Sale Price]]</f>
        <v>0</v>
      </c>
      <c r="GH137" s="31" t="str">
        <f>IF(SnapshotTable[[#This Row],[Equity Basis Total]] &gt; 0, SnapshotTable[[#This Row],[Equity Basis Per Share]] * SnapshotTable[[#This Row],[Booked Sale Shares]], "")</f>
        <v/>
      </c>
      <c r="GI137" s="31">
        <f>IF(SnapshotTable[[#This Row],[Sale Proceeds]]&gt;0, SnapshotTable[[#This Row],[Sale Proceeds]] - SnapshotTable[[#This Row],[Sale Basis]], 0)</f>
        <v>0</v>
      </c>
      <c r="GJ137" s="27" t="str">
        <f>IF(SnapshotTable[[#This Row],[Sale G/L]]&gt;0, SnapshotTable[[#This Row],[Sale G/L]] / SnapshotTable[[#This Row],[Sale Basis]], IF(ISNUMBER(SnapshotTable[[#This Row],[SC Exercise P&amp;L (TAX)]]), SnapshotTable[[#This Row],[SC Exercise P&amp;L (TAX)]] / SnapshotTable[[#This Row],[SC Basis]], ""))</f>
        <v/>
      </c>
      <c r="GK137" s="27" t="s">
        <v>688</v>
      </c>
      <c r="GL137" s="43" t="str">
        <f>IF(AND(SnapshotTable[[#This Row],[LP Exp Date]]&gt;0,SnapshotTable[[#This Row],[LP Strike Price]]&gt;0), [1]!ToOptionSymbol(SnapshotTable[[#This Row],[Symbol]], SnapshotTable[[#This Row],[LP Strike Price]],SnapshotTable[[#This Row],[LP Exp Date]],1), "")</f>
        <v/>
      </c>
      <c r="GM137" s="30" t="str">
        <f>IF(LEN(SnapshotTable[[#This Row],[LP Symbol]])&gt;0, 1, "")</f>
        <v/>
      </c>
      <c r="GN137" s="43" t="str">
        <f>IF(AND(SnapshotTable[[#This Row],[SP Exp Date]]&gt;0,SnapshotTable[[#This Row],[SP Strike Price]]&gt;0), [1]!ToOptionSymbol(SnapshotTable[[#This Row],[Symbol]], SnapshotTable[[#This Row],[SP Strike Price]],SnapshotTable[[#This Row],[SP Exp Date]],1), "")</f>
        <v/>
      </c>
      <c r="GO137" s="30" t="str">
        <f>IF(LEN(SnapshotTable[[#This Row],[SP Symbol]])&gt;0, 1, "")</f>
        <v/>
      </c>
      <c r="GP137" s="43" t="str">
        <f>IF(AND(SnapshotTable[[#This Row],[LC Exp Date]]&gt;0,SnapshotTable[[#This Row],[LC Strike Price]]&gt;0), [1]!ToOptionSymbol(SnapshotTable[[#This Row],[Symbol]], SnapshotTable[[#This Row],[LC Strike Price]],SnapshotTable[[#This Row],[LC Exp Date]],0), "")</f>
        <v/>
      </c>
      <c r="GQ137" s="30" t="str">
        <f>IF(LEN(SnapshotTable[[#This Row],[LC Symbol]])&gt;0, 1, "")</f>
        <v/>
      </c>
      <c r="GR137" s="43" t="str">
        <f>IF(AND(SnapshotTable[[#This Row],[SC Exp Date]]&gt;0,SnapshotTable[[#This Row],[SC Strike Price]]&gt;0), [1]!ToOptionSymbol(SnapshotTable[[#This Row],[Symbol]], SnapshotTable[[#This Row],[SC Strike Price]],SnapshotTable[[#This Row],[SC Exp Date]],0), "")</f>
        <v/>
      </c>
      <c r="GS137" s="30" t="str">
        <f>IF(LEN(SnapshotTable[[#This Row],[SC Symbol]])&gt;0, 1, "")</f>
        <v/>
      </c>
      <c r="GT137" s="29" t="str">
        <f>IF(COUNT(SnapshotTable[[#This Row],[LP Symbol Count]],SnapshotTable[[#This Row],[SP Symbol Count]],SnapshotTable[[#This Row],[LC Symbol Count]],SnapshotTable[[#This Row],[SC Symbol Count]])&gt;0, "Y", "")</f>
        <v/>
      </c>
      <c r="GU13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7" s="231" t="e">
        <f>MAX(SnapshotTable[[#This Row],[Equity Basis Total]],SnapshotTable[[#This Row],[Equity Value]]) + (SnapshotTable[[#This Row],[SP Potential Spend]]- SnapshotTable[[#This Row],[SP Premium]] + SnapshotTable[[#This Row],[LP Premium]])+ (SnapshotTable[[#This Row],[LC Premium]] - SnapshotTable[[#This Row],[SC Premium]])</f>
        <v>#VALUE!</v>
      </c>
      <c r="GW137" s="139" t="e">
        <f>IF(AND(SnapshotTable[[#This Row],[Exposure]] &lt;&gt; 0),SnapshotTable[[#This Row],[Exposure]] / SnapshotTable[[#Totals],[Exposure]], "")</f>
        <v>#VALUE!</v>
      </c>
      <c r="HE137" s="268"/>
      <c r="HF137" s="268"/>
      <c r="HK137" s="1"/>
      <c r="HL137" s="1"/>
      <c r="HM137" s="1"/>
      <c r="HN137" s="1"/>
      <c r="HO137" s="1"/>
      <c r="HP137" s="1"/>
    </row>
    <row r="138" spans="2:224" ht="12.75" hidden="1" customHeight="1" x14ac:dyDescent="0.25">
      <c r="B138" s="12" t="s">
        <v>1125</v>
      </c>
      <c r="C138" s="422">
        <v>41.36</v>
      </c>
      <c r="D138" s="208"/>
      <c r="E138" s="39">
        <f>SnapshotTable[[#This Row],[Last Price]]*(1 -CrashDiscount)</f>
        <v>35.155999999999999</v>
      </c>
      <c r="F138" s="26" t="s">
        <v>613</v>
      </c>
      <c r="G138" s="26" t="s">
        <v>9</v>
      </c>
      <c r="H138" s="149"/>
      <c r="I138" s="194">
        <v>45167</v>
      </c>
      <c r="J138" s="195"/>
      <c r="K138" s="196"/>
      <c r="L138" s="326"/>
      <c r="M138" s="140"/>
      <c r="N138" s="140"/>
      <c r="O138" s="140"/>
      <c r="P138" s="22"/>
      <c r="Q138" s="25"/>
      <c r="R138" s="4" t="str">
        <f>IF(SnapshotTable[[#This Row],[Equity Basis Total]] &gt; 0, SnapshotTable[[#This Row],[Equity Basis Total]] / SnapshotTable[[#This Row],[Equity Shares]], "")</f>
        <v/>
      </c>
      <c r="S138" s="269">
        <f>SnapshotTable[[#This Row],[Last Price]] * SnapshotTable[[#This Row],[Equity Shares]]</f>
        <v>0</v>
      </c>
      <c r="T138" s="269">
        <f>SnapshotTable[[#This Row],[Equity Value]] - SnapshotTable[[#This Row],[Equity Basis Total]]</f>
        <v>0</v>
      </c>
      <c r="U138" s="270" t="str">
        <f>IF(SnapshotTable[[#This Row],[Equity Basis Total]] &gt; 0, SnapshotTable[[#This Row],[Equity G/L]] / SnapshotTable[[#This Row],[Equity Basis Total]], "")</f>
        <v/>
      </c>
      <c r="V138" s="268"/>
      <c r="W138" s="268"/>
      <c r="X138" s="4" t="str">
        <f>IF(AND(ISNUMBER(SnapshotTable[[#This Row],[Equity Basis Per Share]]),ISNUMBER(SnapshotTable[[#This Row],[Equity Target]])),SnapshotTable[[#This Row],[Equity Target]]-SnapshotTable[[#This Row],[Equity Basis Per Share]],"")</f>
        <v/>
      </c>
      <c r="Y138" s="4" t="str">
        <f>IF(AND(ISNUMBER(SnapshotTable[[#This Row],[Equity Basis Per Share]]),ISNUMBER(SnapshotTable[[#This Row],[Equity Stop Loss]])),SnapshotTable[[#This Row],[Equity Stop Loss]]-SnapshotTable[[#This Row],[Equity Basis Per Share]],"")</f>
        <v/>
      </c>
      <c r="Z138" s="275" t="str">
        <f>IFERROR( TEXT(SnapshotTable[[#This Row],[Equity Max Gain Per Share]] /ABS( SnapshotTable[[#This Row],[Equity Max Loss Per Share]]),"0.0 " ) &amp; " : 1", "")</f>
        <v/>
      </c>
      <c r="AA138" s="31" t="str">
        <f>IF(ISNUMBER(SnapshotTable[[#This Row],[Equity Max Gain Per Share]]),SnapshotTable[[#This Row],[Equity Max Gain Per Share]] * SnapshotTable[[#This Row],[Equity Shares]],"")</f>
        <v/>
      </c>
      <c r="AB138" s="31" t="str">
        <f>IF(ISNUMBER(SnapshotTable[[#This Row],[Equity Max Loss Per Share]]),SnapshotTable[[#This Row],[Equity Max Loss Per Share]] * SnapshotTable[[#This Row],[Equity Shares]],"")</f>
        <v/>
      </c>
      <c r="AC138" s="150"/>
      <c r="AD138" s="151"/>
      <c r="AE138" s="31">
        <f>(SnapshotTable[[#This Row],[Annual Dividend Per Share]] / 4) * SnapshotTable[[#This Row],[Equity Shares]]</f>
        <v>0</v>
      </c>
      <c r="AF138" s="31">
        <f>SnapshotTable[[#This Row],[Quarterly Div $]] * 4</f>
        <v>0</v>
      </c>
      <c r="AG138" s="7">
        <f>IF(SnapshotTable[[#This Row],[Annual Dividend Per Share]]&gt;0, SnapshotTable[[#This Row],[Annual Dividend Per Share]]  / SnapshotTable[[#This Row],[Last Price]], 0)</f>
        <v>0</v>
      </c>
      <c r="AH138" s="151"/>
      <c r="AI138" s="5"/>
      <c r="AJ138" s="138">
        <v>52.42</v>
      </c>
      <c r="AK138" s="152" t="str">
        <f>IF(ISNUMBER( SnapshotTable[[#This Row],[EBF Target]]),(SnapshotTable[[#This Row],[EBF Target]] - SnapshotTable[[#This Row],[Last Price]]) / SnapshotTable[[#This Row],[Last Price]], "")</f>
        <v/>
      </c>
      <c r="AL138" s="152" t="str">
        <f>IF(AND(SnapshotTable[[#This Row],[Equity Basis Total]] &gt; 0,ISNUMBER( SnapshotTable[[#This Row],[Long Term Target]])), SnapshotTable[[#This Row],[From Basis $]] / SnapshotTable[[#This Row],[Equity Basis Total]], "")</f>
        <v/>
      </c>
      <c r="AM138" s="9">
        <f>IF( AND(SnapshotTable[[#This Row],[Equity Shares]] &gt;0,ISNUMBER( SnapshotTable[[#This Row],[Long Term Target]])),(SnapshotTable[[#This Row],[Equity Shares]] * SnapshotTable[[#This Row],[Long Term Target]]) - SnapshotTable[[#This Row],[Equity Basis Total]],0)</f>
        <v>0</v>
      </c>
      <c r="AN138" s="9">
        <f>IF( AND(SnapshotTable[[#This Row],[Equity Shares]] &gt;0,ISNUMBER( SnapshotTable[[#This Row],[Long Term Target]])),(SnapshotTable[[#This Row],[Equity Shares]]*SnapshotTable[[#This Row],[Long Term Target]]) - SnapshotTable[[#This Row],[Equity Value]],0)</f>
        <v>0</v>
      </c>
      <c r="AO138" s="152">
        <f>IF(AND(ISNUMBER( SnapshotTable[[#This Row],[Long Term Target]]), ISNUMBER(SnapshotTable[[#This Row],[Last Price]])),(SnapshotTable[[#This Row],[Long Term Target]] - SnapshotTable[[#This Row],[Last Price]]) / SnapshotTable[[#This Row],[Last Price]], "")</f>
        <v>0.26740812379110257</v>
      </c>
      <c r="AP138" s="5">
        <v>5</v>
      </c>
      <c r="AQ138" s="38" t="s">
        <v>89</v>
      </c>
      <c r="AR138" s="5">
        <v>2.5</v>
      </c>
      <c r="AS138" s="38" t="s">
        <v>32</v>
      </c>
      <c r="AT138" s="146" t="s">
        <v>575</v>
      </c>
      <c r="AU138" s="187" t="str">
        <f>IF(OR(SnapshotTable[[#This Row],[LP No Fill]]="Y",SnapshotTable[[#This Row],[SP Is Filled]],SnapshotTable[[#This Row],[LC Not Filled]]="Y",SnapshotTable[[#This Row],[SC Is Filled]]),"Y","")</f>
        <v/>
      </c>
      <c r="AV138" s="219"/>
      <c r="AW138" s="225"/>
      <c r="AX138" s="220"/>
      <c r="AY138" s="219" t="str">
        <f>IF(SnapshotTable[[#This Row],[Implied Move]]&gt;0, SnapshotTable[[#This Row],[Last Price]]-SnapshotTable[[#This Row],[Implied Move]],"")</f>
        <v/>
      </c>
      <c r="AZ138" s="219" t="str">
        <f>IF(SnapshotTable[[#This Row],[Implied Move]]&gt;0, SnapshotTable[[#This Row],[Last Price]] + SnapshotTable[[#This Row],[Implied Move]],"")</f>
        <v/>
      </c>
      <c r="BA138" s="331">
        <v>2.8</v>
      </c>
      <c r="BB138" s="347"/>
      <c r="BC13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8" s="351"/>
      <c r="BE138" s="5"/>
      <c r="BF138" s="14"/>
      <c r="BG138" s="13"/>
      <c r="BH138" s="13"/>
      <c r="BI138" s="5"/>
      <c r="BJ138" s="136">
        <f>IF(SnapshotTable[[#This Row],[LP Qty]] &gt; 0, SnapshotTable[[#This Row],[LP Qty]] * SnapshotTable[[#This Row],[LP Book Price]] * 100,0)</f>
        <v>0</v>
      </c>
      <c r="BK138" s="136">
        <f>IF(SnapshotTable[[#This Row],[LP Premium]] &gt; 0, SnapshotTable[[#This Row],[LP Qty]] * SnapshotTable[[#This Row],[LP Strike Price]] * 100,0)</f>
        <v>0</v>
      </c>
      <c r="BL138" s="154"/>
      <c r="BM138" s="385" t="str">
        <f>IF(SnapshotTable[[#This Row],[LP Premium]] &gt; 0,SnapshotTable[[#This Row],[LP Exp Date]]-MAX(SnapshotTable[[#This Row],[LP Book Date]], SnapshotTable[[#This Row],[LP Fill Date]]),"")</f>
        <v/>
      </c>
      <c r="BN138" s="385" t="str">
        <f>IF(ISNUMBER( SnapshotTable[[#This Row],[LP Term]]), SnapshotTable[[#This Row],[LP Exp Date]] - MockToday,"")</f>
        <v/>
      </c>
      <c r="BO138" s="163" t="str">
        <f>IF(AND(SnapshotTable[[#This Row],[LP Exp Date]]&gt;0, SnapshotTable[[#This Row],[LP Strike Price]]&gt;0,SnapshotTable[[#This Row],[LP Qty]]&gt;0,SnapshotTable[[#This Row],[LP Book Date]]&gt;0,SnapshotTable[[#This Row],[LP Book Price]]&gt;0,SnapshotTable[[#This Row],[LP Fill Date]]=0),"Y","")</f>
        <v/>
      </c>
      <c r="BP138" s="31" t="str">
        <f>IF(AND(SnapshotTable[[#This Row],[LP No Fill]]&lt;&gt;"Y",SnapshotTable[[#This Row],[LP Contract Value]]&gt;0, SnapshotTable[[#This Row],[LP Qty]]&gt;0), SnapshotTable[[#This Row],[LP Contract Value]]*SnapshotTable[[#This Row],[LP Qty]]*100,"")</f>
        <v/>
      </c>
      <c r="BQ138" s="13"/>
      <c r="BR138" s="5" t="str">
        <f>IF(SnapshotTable[[#This Row],[SP Exp Date]]&lt;&gt;"",TRUNC(SnapshotTable[[#This Row],[Last Price]]),"")</f>
        <v/>
      </c>
      <c r="BS138" s="36"/>
      <c r="BT138" s="147"/>
      <c r="BU138" s="13"/>
      <c r="BV138" s="5"/>
      <c r="BW138" s="419" t="b">
        <f>AND(ISNUMBER(SnapshotTable[[#This Row],[SP Exp Date]]), ISNUMBER(SnapshotTable[[#This Row],[SP Strike Price]]), ISNUMBER(SnapshotTable[[#This Row],[SP Qty]]), ISNUMBER(SnapshotTable[[#This Row],[SP Book Date]]), ISNUMBER(SnapshotTable[[#This Row],[SP Book Price]]))</f>
        <v>0</v>
      </c>
      <c r="BX138" s="419" t="b">
        <f>AND(SnapshotTable[[#This Row],[SP Is Booked]], NOT(ISBLANK(SnapshotTable[[#This Row],[SP Fill Date]])))</f>
        <v>0</v>
      </c>
      <c r="BY138" s="33">
        <f>IF(SnapshotTable[[#This Row],[SP Is Booked]], SnapshotTable[[#This Row],[SP Qty]] * SnapshotTable[[#This Row],[SP Book Price]] * 100, 0)</f>
        <v>0</v>
      </c>
      <c r="BZ138" s="369"/>
      <c r="CA138" s="368">
        <f>SnapshotTable[[#This Row],[LP Qty]]</f>
        <v>0</v>
      </c>
      <c r="CB138" s="4" t="str">
        <f>IF(SnapshotTable[[#This Row],[SP Is Booked]], SnapshotTable[[#This Row],[SP Strike Price]] - SnapshotTable[[#This Row],[SP Book Price]], "")</f>
        <v/>
      </c>
      <c r="CC138" s="19" t="str">
        <f>IF(SnapshotTable[[#This Row],[SP Is Booked]],SnapshotTable[[#This Row],[SP Exp Date]]-MAX(SnapshotTable[[#This Row],[SP Book Date]], SnapshotTable[[#This Row],[SP Fill Date]]),"")</f>
        <v/>
      </c>
      <c r="CD138" s="7" t="str">
        <f>IF(SnapshotTable[[#This Row],[SP Is Booked]], SnapshotTable[[#This Row],[SP Book Price]]/SnapshotTable[[#This Row],[SP Strike Price]], "")</f>
        <v/>
      </c>
      <c r="CE138" s="7" t="str">
        <f>IF(ISNUMBER(SnapshotTable[[#This Row],[SP ROO Term]]),SnapshotTable[[#This Row],[SP ROO Term]]*(365/SnapshotTable[[#This Row],[SP Term]]),"")</f>
        <v/>
      </c>
      <c r="CF138" s="236">
        <f>SnapshotTable[[#This Row],[LP Strike Price]] * SnapshotTable[[#This Row],[LP Qty]] * 100</f>
        <v>0</v>
      </c>
      <c r="CG138" s="31" t="e">
        <f>IF(ISNUMBER(SnapshotTable[[#This Row],[SP Premium]]), (SnapshotTable[[#This Row],[SP Qty]] * SnapshotTable[[#This Row],[SP Strike Price]]* 100) - SnapshotTable[[#This Row],[LP Protection]], 0)</f>
        <v>#VALUE!</v>
      </c>
      <c r="CH138" s="7" t="str">
        <f>IF(ISNUMBER(SnapshotTable[[#This Row],[SP Break Even]]),-1 * (SnapshotTable[[#This Row],[SP Break Even]] - SnapshotTable[[#This Row],[Last Price]]) / SnapshotTable[[#This Row],[Last Price]], "")</f>
        <v/>
      </c>
      <c r="CI138" s="31">
        <f>IF(AND(ISNUMBER((SnapshotTable[[#This Row],[SP Potential Spend]])), SnapshotTable[[#This Row],[SP Strike Price]] &gt; SnapshotTable[[#This Row],[Last Price]], SnapshotTable[[#This Row],[SP Is Filled]]), SnapshotTable[[#This Row],[SP Potential Spend]] -  SnapshotTable[[#This Row],[LP Max Value]], 0)</f>
        <v>0</v>
      </c>
      <c r="CJ138" s="244"/>
      <c r="CK138" s="31" t="str">
        <f>IF(ISNUMBER(SnapshotTable[[#This Row],[SP Potential Spend]]),IF(ISNUMBER(SnapshotTable[[#This Row],[SP POW]]), SnapshotTable[[#This Row],[SP POW]] * SnapshotTable[[#This Row],[SP Potential Spend]], SnapshotTable[[#This Row],[SP Potential Spend]]), "")</f>
        <v/>
      </c>
      <c r="CL138" s="164" t="e">
        <f>IF(NOT(SnapshotTable[[#This Row],[SP Is Filled]]),(SnapshotTable[[#This Row],[SP Qty]] * SnapshotTable[[#This Row],[SP Strike Price]] * 100) - SnapshotTable[[#This Row],[LP Max Value]],"")</f>
        <v>#VALUE!</v>
      </c>
      <c r="CM138" s="31" t="str">
        <f>IF(SnapshotTable[[#This Row],[SP Actual Spend]]&lt;&gt;0, ((SnapshotTable[[#This Row],[SP Strike Price]]-SnapshotTable[[#This Row],[Last Price]]) *(SnapshotTable[[#This Row],[SP Qty]]*100) - SnapshotTable[[#This Row],[SP Premium]]) * - 1, "")</f>
        <v/>
      </c>
      <c r="CN138" s="78"/>
      <c r="CO138" s="369"/>
      <c r="CP138" s="4" t="str">
        <f>IF(SnapshotTable[[#This Row],[SP Is Filled]], btc_max_buyback_amount(SnapshotTable[[#This Row],[SP Fill Date]],SnapshotTable[[#This Row],[SP Exp Date]], SnapshotTable[[#This Row],[SP Book Price]]),"")</f>
        <v/>
      </c>
      <c r="CQ138" s="78"/>
      <c r="CR13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8" s="155" t="str">
        <f>IF(SnapshotTable[[#This Row],[SP Is Filled]], btc_next_cutoff_date(SnapshotTable[[#This Row],[SP Fill Date]],SnapshotTable[[#This Row],[SP Exp Date]]),"")</f>
        <v/>
      </c>
      <c r="CT138" s="235" t="str" cm="1">
        <f t="array" ref="CT138">IF(SnapshotTable[[#This Row],[SP Is Filled]], btc_should_buy_back(SnapshotTable[[#This Row],[SP Fill Date]], SnapshotTable[[#This Row],[SP Exp Date]], SnapshotTable[[#This Row],[SP Book Price]], SnapshotTable[[#This Row],[SP Current Ask]], MockToday, SnapshotTable[[#This Row],[SP Buyback Override]]),"")</f>
        <v/>
      </c>
      <c r="CU138" s="143"/>
      <c r="CV138" s="235"/>
      <c r="CW138" s="378" t="str">
        <f>IF(ISNUMBER( SnapshotTable[[#This Row],[SP Term]]), SnapshotTable[[#This Row],[SP Exp Date]] - MockToday,"")</f>
        <v/>
      </c>
      <c r="CX138" s="31" t="str">
        <f>IF(SnapshotTable[[#This Row],[SP Is Filled]],SnapshotTable[[#This Row],[SP Buyback Price to Use]] * 100 * SnapshotTable[[#This Row],[SP Qty]], "")</f>
        <v/>
      </c>
      <c r="CY138" s="4" t="str">
        <f>IF(ISNUMBER(SnapshotTable[[#This Row],[SP Strike Price]]), SnapshotTable[[#This Row],[SP Strike Price]] * (1 - SP_MaxLoss_StrikePct), "")</f>
        <v/>
      </c>
      <c r="CZ138" s="31" t="str">
        <f>IF(ISNUMBER(SnapshotTable[[#This Row],[SP Strike  Stop Per Share]]),SnapshotTable[[#This Row],[SP Premium]] - ((SnapshotTable[[#This Row],[SP Strike Price]]-SnapshotTable[[#This Row],[SP Strike  Stop Per Share]]) *(SnapshotTable[[#This Row],[SP Qty]] * 100)),"")</f>
        <v/>
      </c>
      <c r="DA138" s="4" t="str">
        <f>IF(AND(ISNUMBER(SnapshotTable[[#This Row],[SP Premium]]),SnapshotTable[[#This Row],[SP Premium]]&gt;0), SnapshotTable[[#This Row],[SP Book Price]] * (1 + SP_MaxLoss_OptionPct), "")</f>
        <v/>
      </c>
      <c r="DB138" s="31" t="str">
        <f>IF(ISNUMBER(SnapshotTable[[#This Row],[SP Option  Stop Contract]]),(SnapshotTable[[#This Row],[SP Option  Stop Contract]] *(SnapshotTable[[#This Row],[SP Qty]] * 100) - SnapshotTable[[#This Row],[SP Premium]]),"")</f>
        <v/>
      </c>
      <c r="DC138" s="4"/>
      <c r="DD138" s="4"/>
      <c r="DE138" s="4" t="str">
        <f>IF(AND(SnapshotTable[[#This Row],[SP Qty]]&gt;0, SnapshotTable[[#This Row],[SP Stop To Use]]&gt;0),SnapshotTable[[#This Row],[SP Premium]] - ( SnapshotTable[[#This Row],[SP Qty]] * SnapshotTable[[#This Row],[SP Stop To Use]] * 100), "")</f>
        <v/>
      </c>
      <c r="DF138" s="31" t="str">
        <f>IF(AND(SnapshotTable[[#This Row],[SP Qty]]&gt;0,SnapshotTable[[#This Row],[SP Current Ask]]&gt;0), SnapshotTable[[#This Row],[SP Qty]] * SnapshotTable[[#This Row],[SP Current Ask]] * -100, "")</f>
        <v/>
      </c>
      <c r="DG138" s="31" t="str">
        <f>IF(ISNUMBER((SnapshotTable[[#This Row],[SP Total Value]])), SnapshotTable[[#This Row],[SP Premium]] + SnapshotTable[[#This Row],[SP Total Value]], "")</f>
        <v/>
      </c>
      <c r="DH138" s="294" t="str">
        <f>IF(ISNUMBER((SnapshotTable[[#This Row],[SP Total Value]])), SnapshotTable[[#This Row],[SP Gain Loss]] / SnapshotTable[[#This Row],[SP Premium]], "")</f>
        <v/>
      </c>
      <c r="DI138" s="406"/>
      <c r="DJ138" s="138"/>
      <c r="DK138" s="148"/>
      <c r="DL138" s="13"/>
      <c r="DM138" s="13"/>
      <c r="DO138" s="31">
        <f>IF(SnapshotTable[[#This Row],[LC Symbol Count]]=1, SnapshotTable[[#This Row],[LC Qty]] * SnapshotTable[[#This Row],[LC Book Price]] * 100, 0)</f>
        <v>0</v>
      </c>
      <c r="DP138" s="163" t="str">
        <f>IF(AND(SnapshotTable[[#This Row],[LC Exp Date]]&gt;0, SnapshotTable[[#This Row],[LC Strike Price]]&gt;0,SnapshotTable[[#This Row],[LC Qty]]&gt;0,SnapshotTable[[#This Row],[LC Book Date]]&gt;0,SnapshotTable[[#This Row],[LC Book Price]]&gt;0,SnapshotTable[[#This Row],[LC Fill Date]]=0),"Y","")</f>
        <v/>
      </c>
      <c r="DQ138" s="386" t="str">
        <f>IF(SnapshotTable[[#This Row],[LC Premium]] &gt; 0,SnapshotTable[[#This Row],[LC Exp Date]]-MAX(SnapshotTable[[#This Row],[LC Book Date]], SnapshotTable[[#This Row],[LC Fill Date]]),"")</f>
        <v/>
      </c>
      <c r="DR138" s="386" t="str">
        <f>IF(ISNUMBER(SnapshotTable[[#This Row],[LC Term]]), SnapshotTable[[#This Row],[LC Exp Date]] - MockToday, "")</f>
        <v/>
      </c>
      <c r="DS138" s="234" t="str">
        <f>IF(SnapshotTable[[#This Row],[LC Premium]]&gt;0,SnapshotTable[[#This Row],[LC Strike Price]] + SnapshotTable[[#This Row],[LC Book Price]],"")</f>
        <v/>
      </c>
      <c r="DU138" s="9" t="str">
        <f>IF(AND(SnapshotTable[[#This Row],[LC Symbol Count]]&gt;0, SnapshotTable[[#This Row],[LC Contract Value]]&gt;0), SnapshotTable[[#This Row],[LC Contract Value]] * SnapshotTable[[#This Row],[LC Qty]] * 100, "")</f>
        <v/>
      </c>
      <c r="DV138" s="9" t="str">
        <f>IF(AND(ISNUMBER(SnapshotTable[[#This Row],[LC Total Value]]), SnapshotTable[[#This Row],[LC Not Filled]]&lt;&gt;"Y"), SnapshotTable[[#This Row],[LC Total Value]]-SnapshotTable[[#This Row],[LC Premium]],"")</f>
        <v/>
      </c>
      <c r="DW138" s="240" t="str">
        <f>IF(ISNUMBER(SnapshotTable[[#This Row],[LC Actual Gain Loss]]), SnapshotTable[[#This Row],[LC Actual Gain Loss]] / SnapshotTable[[#This Row],[LC Premium]],"")</f>
        <v/>
      </c>
      <c r="DX138" s="284" t="str">
        <f>IF(ISNUMBER(SnapshotTable[[#This Row],[LC Book Price]]),SnapshotTable[[#This Row],[LC Book Price]] * 1.5,"")</f>
        <v/>
      </c>
      <c r="DY138" s="265" t="str">
        <f>IF(SnapshotTable[[#This Row],[LC Premium]]&gt;0, SnapshotTable[[#This Row],[LC Next Target]] * SnapshotTable[[#This Row],[LC Qty]] * 100,"")</f>
        <v/>
      </c>
      <c r="DZ138" s="265" t="str">
        <f>IF(ISNUMBER(SnapshotTable[[#This Row],[LC Target Gross]]), SnapshotTable[[#This Row],[LC Target Gross]] - SnapshotTable[[#This Row],[LC Premium]], "")</f>
        <v/>
      </c>
      <c r="EA138" s="305" t="str">
        <f>IF(ISNUMBER(SnapshotTable[[#This Row],[LC Target Gain Loss]]), SnapshotTable[[#This Row],[LC Target Gain Loss]]/SnapshotTable[[#This Row],[LC Premium]], "")</f>
        <v/>
      </c>
      <c r="EB138" s="262"/>
      <c r="EC138" s="283" t="str">
        <f>IF(SnapshotTable[[#This Row],[LC Premium]]&gt;0, SnapshotTable[[#This Row],[LC Book Price]] * (1 - LC_StopLoss_Pct),"")</f>
        <v/>
      </c>
      <c r="ED138" s="284"/>
      <c r="EE138" s="283" t="str">
        <f>IF(ISNUMBER(SnapshotTable[[#This Row],[LC Contract Value]]),IF(ISNUMBER(SnapshotTable[[#This Row],[LC Stop Loss Override]]), SnapshotTable[[#This Row],[LC Stop Loss Override]],SnapshotTable[[#This Row],[LC Stop Loss Calc Target]]),"")</f>
        <v/>
      </c>
      <c r="EF138" s="31" t="str">
        <f>IF(ISNUMBER(SnapshotTable[[#This Row],[LC Stop  To Use]]), (SnapshotTable[[#This Row],[LC Stop  To Use]] * SnapshotTable[[#This Row],[LC Qty]] * 100),"")</f>
        <v/>
      </c>
      <c r="EG138" s="9" t="str">
        <f>IF(ISNUMBER(SnapshotTable[[#This Row],[LC Total Value]]),SnapshotTable[[#This Row],[LC Stop Loss Amount]] - SnapshotTable[[#This Row],[LC Premium]],"")</f>
        <v/>
      </c>
      <c r="EH138" s="9">
        <f>IF(ISNUMBER(SnapshotTable[[#This Row],[LC Premium]]), SnapshotTable[[#This Row],[LC Qty]] * 100 * SnapshotTable[[#This Row],[LC Strike Price]], "")</f>
        <v>0</v>
      </c>
      <c r="EI138" s="240" t="str">
        <f>IF(AND(ISNUMBER(SnapshotTable[[#This Row],[LC Total Value]]),SnapshotTable[[#This Row],[LC Total Value]]&gt;0),SnapshotTable[[#This Row],[LC Stop Gain Loss]]  / SnapshotTable[[#This Row],[LC Premium]],"")</f>
        <v/>
      </c>
      <c r="EJ138" s="35">
        <f>IF(ISNUMBER(SnapshotTable[[#This Row],[Equity Shares]]),TRUNC(SnapshotTable[[#This Row],[Equity Shares]] / 100),0) + SnapshotTable[[#This Row],[LC Qty]]</f>
        <v>0</v>
      </c>
      <c r="EK138" s="147"/>
      <c r="EL138" s="138" t="str">
        <f>IF(SnapshotTable[[#This Row],[SC Exp Date]]&lt;&gt;"",TRUNC(SnapshotTable[[#This Row],[Last Price]]),"")</f>
        <v/>
      </c>
      <c r="EM138" s="148"/>
      <c r="EN138" s="147"/>
      <c r="EO138" s="147"/>
      <c r="EP138" s="138"/>
      <c r="EQ138" s="419" t="b">
        <f>AND(ISNUMBER(SnapshotTable[[#This Row],[SC Exp Date]]), ISNUMBER(SnapshotTable[[#This Row],[SC Strike Price]]), ISNUMBER(SnapshotTable[[#This Row],[SC Qty]]), ISNUMBER(SnapshotTable[[#This Row],[SC Book Date]]), ISNUMBER(SnapshotTable[[#This Row],[SC Book Price]]))</f>
        <v>0</v>
      </c>
      <c r="ER138" s="419" t="b">
        <f>AND(SnapshotTable[[#This Row],[SC Is Booked]], NOT(ISBLANK(SnapshotTable[[#This Row],[SC Fill Date]])))</f>
        <v>0</v>
      </c>
      <c r="ES138" s="370"/>
      <c r="ET138" s="34" t="str">
        <f>IF(AND(ISNUMBER(SnapshotTable[[#This Row],[SC Exp Date]]), ISNUMBER(SnapshotTable[[#This Row],[SC Book Date]])), SnapshotTable[[#This Row],[SC Exp Date]] - MAX(SnapshotTable[[#This Row],[SC Book Date]], SnapshotTable[[#This Row],[SC Fill Date]]) + 1, "")</f>
        <v/>
      </c>
      <c r="EU138" s="34" t="str">
        <f>IF(ISNUMBER(SnapshotTable[[#This Row],[SC Term]]), SnapshotTable[[#This Row],[SC Exp Date]]- MockToday, "")</f>
        <v/>
      </c>
      <c r="EV138" s="31">
        <f>IF(SnapshotTable[[#This Row],[SC Is Booked]], SnapshotTable[[#This Row],[SC Qty]] * SnapshotTable[[#This Row],[SC Book Price]] * 100, 0)</f>
        <v>0</v>
      </c>
      <c r="EW138" s="4" t="str">
        <f>IF(AND(ISNUMBER(SnapshotTable[[#This Row],[Last Price]]), ISNUMBER( SnapshotTable[[#This Row],[SC Book Price]])), SnapshotTable[[#This Row],[Last Price]] - SnapshotTable[[#This Row],[SC Book Price]],"")</f>
        <v/>
      </c>
      <c r="EX138" s="234" t="str">
        <f>IF(SnapshotTable[[#This Row],[SC Is Booked]],IF(SnapshotTable[[#This Row],[SC Intrinsic Value]] &gt; 0, SnapshotTable[[#This Row],[SC Strike Price]], SnapshotTable[[#This Row],[Last Price]]), "")</f>
        <v/>
      </c>
      <c r="EY138" s="4">
        <f>IF(SnapshotTable[[#This Row],[SC Is Booked]], (MinimumPremiumRequired * SnapshotTable[[#This Row],[SC Basis]] * SnapshotTable[[#This Row],[SC Term]]), 0)</f>
        <v>0</v>
      </c>
      <c r="EZ138" s="283"/>
      <c r="FA138" s="218"/>
      <c r="FB138" s="370"/>
      <c r="FC138" s="4">
        <f>IF(SnapshotTable[[#This Row],[SC Is Filled]], btc_max_buyback_amount(SnapshotTable[[#This Row],[SC Fill Date]],SnapshotTable[[#This Row],[SC Exp Date]], SnapshotTable[[#This Row],[SC Book Price]]),0)</f>
        <v>0</v>
      </c>
      <c r="FD138" s="5"/>
      <c r="FE138" s="144" t="str">
        <f>IF(SnapshotTable[[#This Row],[SC Is Filled]], btc_next_cutoff_date(SnapshotTable[[#This Row],[SC Fill Date]],SnapshotTable[[#This Row],[SC Exp Date]]),"")</f>
        <v/>
      </c>
      <c r="FF138" s="4" t="str" cm="1">
        <f t="array" ref="FF138">IF(SnapshotTable[[#This Row],[SC Is Filled]], btc_should_buy_back(SnapshotTable[[#This Row],[SC Fill Date]], SnapshotTable[[#This Row],[SC Exp Date]], SnapshotTable[[#This Row],[SC Book Price]], SnapshotTable[[#This Row],[SC Current Ask]], MockToday, SnapshotTable[[#This Row],[SC Buyback Override]]),"")</f>
        <v/>
      </c>
      <c r="FG138" s="4">
        <f>IF(SnapshotTable[[#This Row],[SC Is Filled]], MAX(0,SnapshotTable[[#This Row],[Last Price]]  - SnapshotTable[[#This Row],[SC Strike Price]]), 0)</f>
        <v>0</v>
      </c>
      <c r="FH138" s="382">
        <f>IF(SnapshotTable[[#This Row],[SC Is Filled]], IF(ISNUMBER(SnapshotTable[[#This Row],[SC Current Ask]]), SnapshotTable[[#This Row],[SC Current Ask]], SnapshotTable[[#This Row],[SC Book Price]]) - SnapshotTable[[#This Row],[SC Intrinsic Value]], 0)</f>
        <v>0</v>
      </c>
      <c r="FI138" s="143"/>
      <c r="FJ138" s="32" t="str">
        <f>IF(SnapshotTable[[#This Row],[SC Is Filled]],100 * SnapshotTable[[#This Row],[SC Qty]] * IF(ISNUMBER(SnapshotTable[[#This Row],[SC Buyback Override]]), SnapshotTable[[#This Row],[SC Buyback Override]], SnapshotTable[[#This Row],[SC Current Ask]]), "")</f>
        <v/>
      </c>
      <c r="FK138" s="250" t="str">
        <f>IF(SnapshotTable[[#This Row],[SC Time Val]]&gt;0, SnapshotTable[[#This Row],[SC Time Val]] / SnapshotTable[[#This Row],[Last Price]],"")</f>
        <v/>
      </c>
      <c r="FL138" s="302" t="str">
        <f>IF(SnapshotTable[[#This Row],[SC Is Booked]], ((SnapshotTable[[#This Row],[Last Price]] -SnapshotTable[[#This Row],[SC Strike Price]]) / SnapshotTable[[#This Row],[Last Price]]) * -1, "")</f>
        <v/>
      </c>
      <c r="FM138" s="157" t="str">
        <f>IF(SnapshotTable[[#This Row],[SC Is Booked]],  (SnapshotTable[[#This Row],[SC Qty]] * 100 * SnapshotTable[[#This Row],[SC Strike Price]]) - SnapshotTable[[#This Row],[SC Current Ask]], "")</f>
        <v/>
      </c>
      <c r="FN13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8" s="31" t="str">
        <f>IF(AND(ISNUMBER(SnapshotTable[[#This Row],[SC Exercise Gross]]), ISNUMBER(SnapshotTable[[#This Row],[Equity Basis Per Share]] )), SnapshotTable[[#This Row],[SC Exercise Gross]] - SnapshotTable[[#This Row],[Equity Basis Total]] +  SnapshotTable[[#This Row],[SC Premium]], "")</f>
        <v/>
      </c>
      <c r="FP138" s="5" t="str">
        <f>IF(ISNUMBER(SnapshotTable[[#This Row],[SC Exercise Gross]]), (SnapshotTable[[#This Row],[SC Exercise Gross]]) / (SnapshotTable[[#This Row],[SC Qty]] * 100), "")</f>
        <v/>
      </c>
      <c r="FQ138" s="27" t="str">
        <f>IF(SnapshotTable[[#This Row],[SC Is Booked]],SnapshotTable[[#This Row],[SC Time Val]] /SnapshotTable[[#This Row],[SC Basis]], "")</f>
        <v/>
      </c>
      <c r="FR138" s="27" t="str" cm="1">
        <f t="array" ref="FR138">IF(AND(ISNUMBER(SnapshotTable[[#This Row],[SC Term]]),ISNUMBER(SnapshotTable[[#This Row],[SC Simple ROO]])), EllmanAnnualize(SnapshotTable[[#This Row],[SC DTE]], SnapshotTable[[#This Row],[SC Simple ROO]] ),"")</f>
        <v/>
      </c>
      <c r="FS138" s="4" t="e">
        <f>IF(SnapshotTable[[#This Row],[SC Strike Price]] &gt; SnapshotTable[[#This Row],[Last Price]], SnapshotTable[[#This Row],[SC Strike Price]] - SnapshotTable[[#This Row],[Last Price]],0)</f>
        <v>#VALUE!</v>
      </c>
      <c r="FT138" s="27" t="e">
        <f>IF(AND(ISNUMBER(SnapshotTable[[#This Row],[SC Upside Potential]]), SnapshotTable[[#This Row],[SC Upside Potential]] &gt; 0),(SnapshotTable[[#This Row],[SC Upside Potential]]/ SnapshotTable[[#This Row],[ACB]]),"")</f>
        <v>#VALUE!</v>
      </c>
      <c r="FU138" s="333" t="str">
        <f>IF(SnapshotTable[[#This Row],[SC Intrinsic Value]] &gt; 0,SnapshotTable[[#This Row],[SC Intrinsic Value]],"")</f>
        <v/>
      </c>
      <c r="FV138" s="27" t="str">
        <f>IF(AND( ISNUMBER( SnapshotTable[[#This Row],[ACB]]),ISNUMBER(SnapshotTable[[#This Row],[SC Downside Protect]])),SnapshotTable[[#This Row],[SC Downside Protect]] / SnapshotTable[[#This Row],[ACB]],"")</f>
        <v/>
      </c>
      <c r="FW138" s="236" t="str">
        <f>IF(AND(ISNUMBER(SnapshotTable[[#This Row],[SC Simple ROO]]),SnapshotTable[[#This Row],[SC Simple ROO]] &gt; 0), SnapshotTable[[#This Row],[SC Premium]] + (SnapshotTable[[#This Row],[SC Qty]] * SnapshotTable[[#This Row],[SC Upside Potential]]), "")</f>
        <v/>
      </c>
      <c r="FX138" s="302" t="str" cm="1">
        <f t="array" ref="FX138">IF(ISNUMBER(SnapshotTable[[#This Row],[SC Max Dollars]]), annualize(SnapshotTable[[#This Row],[SC Term]],(SnapshotTable[[#This Row],[SC Max Dollars]]/SnapshotTable[[#This Row],[SC Basis]])),"")</f>
        <v/>
      </c>
      <c r="FY138" s="236" t="str">
        <f>IF(AND(SnapshotTable[[#This Row],[SC Qty]]&gt;0,SnapshotTable[[#This Row],[SC Current Ask]]&gt;0), SnapshotTable[[#This Row],[SC Qty]] * SnapshotTable[[#This Row],[SC Current Ask]] * -100, "")</f>
        <v/>
      </c>
      <c r="FZ138" s="31" t="str">
        <f>IF(ISNUMBER((SnapshotTable[[#This Row],[SC Current Value]])), SnapshotTable[[#This Row],[SC Premium]] + SnapshotTable[[#This Row],[SC Current Value]], "")</f>
        <v/>
      </c>
      <c r="GA138" s="294" t="str">
        <f>IFERROR( IF(ISNUMBER((SnapshotTable[[#This Row],[SC Current Value]])), SnapshotTable[[#This Row],[SC Gain Loss]] / SnapshotTable[[#This Row],[SC Premium]], ""), "")</f>
        <v/>
      </c>
      <c r="GB138" s="42">
        <f>SnapshotTable[[#This Row],[Equity Shares]] * SaleSharesToConsiderPercentage</f>
        <v>0</v>
      </c>
      <c r="GC138" s="40">
        <f>SnapshotTable[[#This Row],[Long Term Target]] * SellingPriceToConsiderBasedOnTargetPercentage</f>
        <v>49.798999999999999</v>
      </c>
      <c r="GD138" s="40">
        <f>SnapshotTable[[#This Row],[Last Price]] * (1+ SellingPriceToConsiderBasedOnTargetPercentage)</f>
        <v>80.652000000000001</v>
      </c>
      <c r="GE138" s="41"/>
      <c r="GF138" s="40"/>
      <c r="GG138" s="31">
        <f>SnapshotTable[[#This Row],[Booked Sale Shares]] * SnapshotTable[[#This Row],[Booked Sale Price]]</f>
        <v>0</v>
      </c>
      <c r="GH138" s="31" t="str">
        <f>IF(SnapshotTable[[#This Row],[Equity Basis Total]] &gt; 0, SnapshotTable[[#This Row],[Equity Basis Per Share]] * SnapshotTable[[#This Row],[Booked Sale Shares]], "")</f>
        <v/>
      </c>
      <c r="GI138" s="31">
        <f>IF(SnapshotTable[[#This Row],[Sale Proceeds]]&gt;0, SnapshotTable[[#This Row],[Sale Proceeds]] - SnapshotTable[[#This Row],[Sale Basis]], 0)</f>
        <v>0</v>
      </c>
      <c r="GJ138" s="27" t="str">
        <f>IF(SnapshotTable[[#This Row],[Sale G/L]]&gt;0, SnapshotTable[[#This Row],[Sale G/L]] / SnapshotTable[[#This Row],[Sale Basis]], IF(ISNUMBER(SnapshotTable[[#This Row],[SC Exercise P&amp;L (TAX)]]), SnapshotTable[[#This Row],[SC Exercise P&amp;L (TAX)]] / SnapshotTable[[#This Row],[SC Basis]], ""))</f>
        <v/>
      </c>
      <c r="GK138" s="27"/>
      <c r="GL138" s="43" t="str">
        <f>IF(AND(SnapshotTable[[#This Row],[LP Exp Date]]&gt;0,SnapshotTable[[#This Row],[LP Strike Price]]&gt;0), [1]!ToOptionSymbol(SnapshotTable[[#This Row],[Symbol]], SnapshotTable[[#This Row],[LP Strike Price]],SnapshotTable[[#This Row],[LP Exp Date]],1), "")</f>
        <v/>
      </c>
      <c r="GM138" s="30" t="str">
        <f>IF(LEN(SnapshotTable[[#This Row],[LP Symbol]])&gt;0, 1, "")</f>
        <v/>
      </c>
      <c r="GN138" s="43" t="str">
        <f>IF(AND(SnapshotTable[[#This Row],[SP Exp Date]]&gt;0,SnapshotTable[[#This Row],[SP Strike Price]]&gt;0), [1]!ToOptionSymbol(SnapshotTable[[#This Row],[Symbol]], SnapshotTable[[#This Row],[SP Strike Price]],SnapshotTable[[#This Row],[SP Exp Date]],1), "")</f>
        <v/>
      </c>
      <c r="GO138" s="30" t="str">
        <f>IF(LEN(SnapshotTable[[#This Row],[SP Symbol]])&gt;0, 1, "")</f>
        <v/>
      </c>
      <c r="GP138" s="43" t="str">
        <f>IF(AND(SnapshotTable[[#This Row],[LC Exp Date]]&gt;0,SnapshotTable[[#This Row],[LC Strike Price]]&gt;0), [1]!ToOptionSymbol(SnapshotTable[[#This Row],[Symbol]], SnapshotTable[[#This Row],[LC Strike Price]],SnapshotTable[[#This Row],[LC Exp Date]],0), "")</f>
        <v/>
      </c>
      <c r="GQ138" s="30" t="str">
        <f>IF(LEN(SnapshotTable[[#This Row],[LC Symbol]])&gt;0, 1, "")</f>
        <v/>
      </c>
      <c r="GR138" s="43" t="str">
        <f>IF(AND(SnapshotTable[[#This Row],[SC Exp Date]]&gt;0,SnapshotTable[[#This Row],[SC Strike Price]]&gt;0), [1]!ToOptionSymbol(SnapshotTable[[#This Row],[Symbol]], SnapshotTable[[#This Row],[SC Strike Price]],SnapshotTable[[#This Row],[SC Exp Date]],0), "")</f>
        <v/>
      </c>
      <c r="GS138" s="30" t="str">
        <f>IF(LEN(SnapshotTable[[#This Row],[SC Symbol]])&gt;0, 1, "")</f>
        <v/>
      </c>
      <c r="GT138" s="29" t="str">
        <f>IF(COUNT(SnapshotTable[[#This Row],[LP Symbol Count]],SnapshotTable[[#This Row],[SP Symbol Count]],SnapshotTable[[#This Row],[LC Symbol Count]],SnapshotTable[[#This Row],[SC Symbol Count]])&gt;0, "Y", "")</f>
        <v/>
      </c>
      <c r="GU13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8" s="231" t="e">
        <f>MAX(SnapshotTable[[#This Row],[Equity Basis Total]],SnapshotTable[[#This Row],[Equity Value]]) + (SnapshotTable[[#This Row],[SP Potential Spend]]- SnapshotTable[[#This Row],[SP Premium]] + SnapshotTable[[#This Row],[LP Premium]])+ (SnapshotTable[[#This Row],[LC Premium]] - SnapshotTable[[#This Row],[SC Premium]])</f>
        <v>#VALUE!</v>
      </c>
      <c r="GW138" s="139" t="e">
        <f>IF(AND(SnapshotTable[[#This Row],[Exposure]] &lt;&gt; 0),SnapshotTable[[#This Row],[Exposure]] / SnapshotTable[[#Totals],[Exposure]], "")</f>
        <v>#VALUE!</v>
      </c>
      <c r="HE138" s="268"/>
      <c r="HF138" s="268"/>
      <c r="HK138" s="1"/>
      <c r="HL138" s="1"/>
      <c r="HM138" s="1"/>
      <c r="HN138" s="1"/>
      <c r="HO138" s="1"/>
      <c r="HP138" s="1"/>
    </row>
    <row r="139" spans="2:224" ht="12.75" hidden="1" customHeight="1" x14ac:dyDescent="0.25">
      <c r="B139" s="12" t="s">
        <v>181</v>
      </c>
      <c r="C139" s="422">
        <v>127.95</v>
      </c>
      <c r="D139" s="208"/>
      <c r="E139" s="39">
        <f>SnapshotTable[[#This Row],[Last Price]]*(1 -CrashDiscount)</f>
        <v>108.75749999999999</v>
      </c>
      <c r="F139" s="26" t="s">
        <v>179</v>
      </c>
      <c r="G139" s="26" t="s">
        <v>178</v>
      </c>
      <c r="H139" s="149"/>
      <c r="I139" s="194">
        <v>44781.291666666664</v>
      </c>
      <c r="J139" s="195">
        <v>44781.291666666664</v>
      </c>
      <c r="K139" s="196"/>
      <c r="L139" s="326"/>
      <c r="M139" s="140"/>
      <c r="N139" s="140"/>
      <c r="O139" s="140"/>
      <c r="P139" s="22"/>
      <c r="Q139" s="25"/>
      <c r="R139" s="4" t="str">
        <f>IF(SnapshotTable[[#This Row],[Equity Basis Total]] &gt; 0, SnapshotTable[[#This Row],[Equity Basis Total]] / SnapshotTable[[#This Row],[Equity Shares]], "")</f>
        <v/>
      </c>
      <c r="S139" s="269">
        <f>SnapshotTable[[#This Row],[Last Price]] * SnapshotTable[[#This Row],[Equity Shares]]</f>
        <v>0</v>
      </c>
      <c r="T139" s="269">
        <f>SnapshotTable[[#This Row],[Equity Value]] - SnapshotTable[[#This Row],[Equity Basis Total]]</f>
        <v>0</v>
      </c>
      <c r="U139" s="270" t="str">
        <f>IF(SnapshotTable[[#This Row],[Equity Basis Total]] &gt; 0, SnapshotTable[[#This Row],[Equity G/L]] / SnapshotTable[[#This Row],[Equity Basis Total]], "")</f>
        <v/>
      </c>
      <c r="V139" s="268"/>
      <c r="W139" s="268"/>
      <c r="X139" s="4" t="str">
        <f>IF(AND(ISNUMBER(SnapshotTable[[#This Row],[Equity Basis Per Share]]),ISNUMBER(SnapshotTable[[#This Row],[Equity Target]])),SnapshotTable[[#This Row],[Equity Target]]-SnapshotTable[[#This Row],[Equity Basis Per Share]],"")</f>
        <v/>
      </c>
      <c r="Y139" s="4" t="str">
        <f>IF(AND(ISNUMBER(SnapshotTable[[#This Row],[Equity Basis Per Share]]),ISNUMBER(SnapshotTable[[#This Row],[Equity Stop Loss]])),SnapshotTable[[#This Row],[Equity Stop Loss]]-SnapshotTable[[#This Row],[Equity Basis Per Share]],"")</f>
        <v/>
      </c>
      <c r="Z139" s="275" t="str">
        <f>IFERROR( TEXT(SnapshotTable[[#This Row],[Equity Max Gain Per Share]] /ABS( SnapshotTable[[#This Row],[Equity Max Loss Per Share]]),"0.0 " ) &amp; " : 1", "")</f>
        <v/>
      </c>
      <c r="AA139" s="31" t="str">
        <f>IF(ISNUMBER(SnapshotTable[[#This Row],[Equity Max Gain Per Share]]),SnapshotTable[[#This Row],[Equity Max Gain Per Share]] * SnapshotTable[[#This Row],[Equity Shares]],"")</f>
        <v/>
      </c>
      <c r="AB139" s="31" t="str">
        <f>IF(ISNUMBER(SnapshotTable[[#This Row],[Equity Max Loss Per Share]]),SnapshotTable[[#This Row],[Equity Max Loss Per Share]] * SnapshotTable[[#This Row],[Equity Shares]],"")</f>
        <v/>
      </c>
      <c r="AC139" s="150">
        <f>0.89 * 4</f>
        <v>3.56</v>
      </c>
      <c r="AD139" s="151">
        <v>43175</v>
      </c>
      <c r="AE139" s="31">
        <f>(SnapshotTable[[#This Row],[Annual Dividend Per Share]] / 4) * SnapshotTable[[#This Row],[Equity Shares]]</f>
        <v>0</v>
      </c>
      <c r="AF139" s="31">
        <f>SnapshotTable[[#This Row],[Quarterly Div $]] * 4</f>
        <v>0</v>
      </c>
      <c r="AG139" s="7">
        <f>IF(SnapshotTable[[#This Row],[Annual Dividend Per Share]]&gt;0, SnapshotTable[[#This Row],[Annual Dividend Per Share]]  / SnapshotTable[[#This Row],[Last Price]], 0)</f>
        <v>2.7823368503321611E-2</v>
      </c>
      <c r="AH139" s="151">
        <v>43146</v>
      </c>
      <c r="AI139" s="5"/>
      <c r="AJ139" s="138">
        <v>88.25</v>
      </c>
      <c r="AK139" s="152" t="str">
        <f>IF(ISNUMBER( SnapshotTable[[#This Row],[EBF Target]]),(SnapshotTable[[#This Row],[EBF Target]] - SnapshotTable[[#This Row],[Last Price]]) / SnapshotTable[[#This Row],[Last Price]], "")</f>
        <v/>
      </c>
      <c r="AL139" s="152" t="str">
        <f>IF(AND(SnapshotTable[[#This Row],[Equity Basis Total]] &gt; 0,ISNUMBER( SnapshotTable[[#This Row],[Long Term Target]])), SnapshotTable[[#This Row],[From Basis $]] / SnapshotTable[[#This Row],[Equity Basis Total]], "")</f>
        <v/>
      </c>
      <c r="AM139" s="9">
        <f>IF( AND(SnapshotTable[[#This Row],[Equity Shares]] &gt;0,ISNUMBER( SnapshotTable[[#This Row],[Long Term Target]])),(SnapshotTable[[#This Row],[Equity Shares]] * SnapshotTable[[#This Row],[Long Term Target]]) - SnapshotTable[[#This Row],[Equity Basis Total]],0)</f>
        <v>0</v>
      </c>
      <c r="AN139" s="9">
        <f>IF( AND(SnapshotTable[[#This Row],[Equity Shares]] &gt;0,ISNUMBER( SnapshotTable[[#This Row],[Long Term Target]])),(SnapshotTable[[#This Row],[Equity Shares]]*SnapshotTable[[#This Row],[Long Term Target]]) - SnapshotTable[[#This Row],[Equity Value]],0)</f>
        <v>0</v>
      </c>
      <c r="AO139" s="152">
        <f>IF(AND(ISNUMBER( SnapshotTable[[#This Row],[Long Term Target]]), ISNUMBER(SnapshotTable[[#This Row],[Last Price]])),(SnapshotTable[[#This Row],[Long Term Target]] - SnapshotTable[[#This Row],[Last Price]]) / SnapshotTable[[#This Row],[Last Price]], "")</f>
        <v>-0.31027745212973817</v>
      </c>
      <c r="AP139" s="5"/>
      <c r="AQ139" s="38"/>
      <c r="AR139" s="5"/>
      <c r="AS139" s="38"/>
      <c r="AT139" s="146"/>
      <c r="AU139" s="187" t="str">
        <f>IF(OR(SnapshotTable[[#This Row],[LP No Fill]]="Y",SnapshotTable[[#This Row],[SP Is Filled]],SnapshotTable[[#This Row],[LC Not Filled]]="Y",SnapshotTable[[#This Row],[SC Is Filled]]),"Y","")</f>
        <v/>
      </c>
      <c r="AV139" s="219"/>
      <c r="AW139" s="225"/>
      <c r="AX139" s="220"/>
      <c r="AY139" s="219" t="str">
        <f>IF(SnapshotTable[[#This Row],[Implied Move]]&gt;0, SnapshotTable[[#This Row],[Last Price]]-SnapshotTable[[#This Row],[Implied Move]],"")</f>
        <v/>
      </c>
      <c r="AZ139" s="219" t="str">
        <f>IF(SnapshotTable[[#This Row],[Implied Move]]&gt;0, SnapshotTable[[#This Row],[Last Price]] + SnapshotTable[[#This Row],[Implied Move]],"")</f>
        <v/>
      </c>
      <c r="BA139" s="331"/>
      <c r="BB139" s="347"/>
      <c r="BC13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9" s="351"/>
      <c r="BE139" s="5"/>
      <c r="BF139" s="14"/>
      <c r="BG139" s="13"/>
      <c r="BH139" s="13"/>
      <c r="BI139" s="5"/>
      <c r="BJ139" s="136">
        <f>IF(SnapshotTable[[#This Row],[LP Qty]] &gt; 0, SnapshotTable[[#This Row],[LP Qty]] * SnapshotTable[[#This Row],[LP Book Price]] * 100,0)</f>
        <v>0</v>
      </c>
      <c r="BK139" s="136">
        <f>IF(SnapshotTable[[#This Row],[LP Premium]] &gt; 0, SnapshotTable[[#This Row],[LP Qty]] * SnapshotTable[[#This Row],[LP Strike Price]] * 100,0)</f>
        <v>0</v>
      </c>
      <c r="BL139" s="154"/>
      <c r="BM139" s="385" t="str">
        <f>IF(SnapshotTable[[#This Row],[LP Premium]] &gt; 0,SnapshotTable[[#This Row],[LP Exp Date]]-MAX(SnapshotTable[[#This Row],[LP Book Date]], SnapshotTable[[#This Row],[LP Fill Date]]),"")</f>
        <v/>
      </c>
      <c r="BN139" s="385" t="str">
        <f>IF(ISNUMBER( SnapshotTable[[#This Row],[LP Term]]), SnapshotTable[[#This Row],[LP Exp Date]] - MockToday,"")</f>
        <v/>
      </c>
      <c r="BO139" s="163" t="str">
        <f>IF(AND(SnapshotTable[[#This Row],[LP Exp Date]]&gt;0, SnapshotTable[[#This Row],[LP Strike Price]]&gt;0,SnapshotTable[[#This Row],[LP Qty]]&gt;0,SnapshotTable[[#This Row],[LP Book Date]]&gt;0,SnapshotTable[[#This Row],[LP Book Price]]&gt;0,SnapshotTable[[#This Row],[LP Fill Date]]=0),"Y","")</f>
        <v/>
      </c>
      <c r="BP139" s="31" t="str">
        <f>IF(AND(SnapshotTable[[#This Row],[LP No Fill]]&lt;&gt;"Y",SnapshotTable[[#This Row],[LP Contract Value]]&gt;0, SnapshotTable[[#This Row],[LP Qty]]&gt;0), SnapshotTable[[#This Row],[LP Contract Value]]*SnapshotTable[[#This Row],[LP Qty]]*100,"")</f>
        <v/>
      </c>
      <c r="BQ139" s="13"/>
      <c r="BR139" s="5" t="str">
        <f>IF(SnapshotTable[[#This Row],[SP Exp Date]]&lt;&gt;"",TRUNC(SnapshotTable[[#This Row],[Last Price]]),"")</f>
        <v/>
      </c>
      <c r="BS139" s="36"/>
      <c r="BT139" s="147"/>
      <c r="BU139" s="13"/>
      <c r="BV139" s="5"/>
      <c r="BW139" s="419" t="b">
        <f>AND(ISNUMBER(SnapshotTable[[#This Row],[SP Exp Date]]), ISNUMBER(SnapshotTable[[#This Row],[SP Strike Price]]), ISNUMBER(SnapshotTable[[#This Row],[SP Qty]]), ISNUMBER(SnapshotTable[[#This Row],[SP Book Date]]), ISNUMBER(SnapshotTable[[#This Row],[SP Book Price]]))</f>
        <v>0</v>
      </c>
      <c r="BX139" s="419" t="b">
        <f>AND(SnapshotTable[[#This Row],[SP Is Booked]], NOT(ISBLANK(SnapshotTable[[#This Row],[SP Fill Date]])))</f>
        <v>0</v>
      </c>
      <c r="BY139" s="33">
        <f>IF(SnapshotTable[[#This Row],[SP Is Booked]], SnapshotTable[[#This Row],[SP Qty]] * SnapshotTable[[#This Row],[SP Book Price]] * 100, 0)</f>
        <v>0</v>
      </c>
      <c r="BZ139" s="369"/>
      <c r="CA139" s="368">
        <f>SnapshotTable[[#This Row],[LP Qty]]</f>
        <v>0</v>
      </c>
      <c r="CB139" s="4" t="str">
        <f>IF(SnapshotTable[[#This Row],[SP Is Booked]], SnapshotTable[[#This Row],[SP Strike Price]] - SnapshotTable[[#This Row],[SP Book Price]], "")</f>
        <v/>
      </c>
      <c r="CC139" s="19" t="str">
        <f>IF(SnapshotTable[[#This Row],[SP Is Booked]],SnapshotTable[[#This Row],[SP Exp Date]]-MAX(SnapshotTable[[#This Row],[SP Book Date]], SnapshotTable[[#This Row],[SP Fill Date]]),"")</f>
        <v/>
      </c>
      <c r="CD139" s="7" t="str">
        <f>IF(SnapshotTable[[#This Row],[SP Is Booked]], SnapshotTable[[#This Row],[SP Book Price]]/SnapshotTable[[#This Row],[SP Strike Price]], "")</f>
        <v/>
      </c>
      <c r="CE139" s="7" t="str">
        <f>IF(ISNUMBER(SnapshotTable[[#This Row],[SP ROO Term]]),SnapshotTable[[#This Row],[SP ROO Term]]*(365/SnapshotTable[[#This Row],[SP Term]]),"")</f>
        <v/>
      </c>
      <c r="CF139" s="236">
        <f>SnapshotTable[[#This Row],[LP Strike Price]] * SnapshotTable[[#This Row],[LP Qty]] * 100</f>
        <v>0</v>
      </c>
      <c r="CG139" s="31" t="e">
        <f>IF(ISNUMBER(SnapshotTable[[#This Row],[SP Premium]]), (SnapshotTable[[#This Row],[SP Qty]] * SnapshotTable[[#This Row],[SP Strike Price]]* 100) - SnapshotTable[[#This Row],[LP Protection]], 0)</f>
        <v>#VALUE!</v>
      </c>
      <c r="CH139" s="7" t="str">
        <f>IF(ISNUMBER(SnapshotTable[[#This Row],[SP Break Even]]),-1 * (SnapshotTable[[#This Row],[SP Break Even]] - SnapshotTable[[#This Row],[Last Price]]) / SnapshotTable[[#This Row],[Last Price]], "")</f>
        <v/>
      </c>
      <c r="CI139" s="31">
        <f>IF(AND(ISNUMBER((SnapshotTable[[#This Row],[SP Potential Spend]])), SnapshotTable[[#This Row],[SP Strike Price]] &gt; SnapshotTable[[#This Row],[Last Price]], SnapshotTable[[#This Row],[SP Is Filled]]), SnapshotTable[[#This Row],[SP Potential Spend]] -  SnapshotTable[[#This Row],[LP Max Value]], 0)</f>
        <v>0</v>
      </c>
      <c r="CJ139" s="244"/>
      <c r="CK139" s="31" t="str">
        <f>IF(ISNUMBER(SnapshotTable[[#This Row],[SP Potential Spend]]),IF(ISNUMBER(SnapshotTable[[#This Row],[SP POW]]), SnapshotTable[[#This Row],[SP POW]] * SnapshotTable[[#This Row],[SP Potential Spend]], SnapshotTable[[#This Row],[SP Potential Spend]]), "")</f>
        <v/>
      </c>
      <c r="CL139" s="164" t="e">
        <f>IF(NOT(SnapshotTable[[#This Row],[SP Is Filled]]),(SnapshotTable[[#This Row],[SP Qty]] * SnapshotTable[[#This Row],[SP Strike Price]] * 100) - SnapshotTable[[#This Row],[LP Max Value]],"")</f>
        <v>#VALUE!</v>
      </c>
      <c r="CM139" s="31" t="str">
        <f>IF(SnapshotTable[[#This Row],[SP Actual Spend]]&lt;&gt;0, ((SnapshotTable[[#This Row],[SP Strike Price]]-SnapshotTable[[#This Row],[Last Price]]) *(SnapshotTable[[#This Row],[SP Qty]]*100) - SnapshotTable[[#This Row],[SP Premium]]) * - 1, "")</f>
        <v/>
      </c>
      <c r="CN139" s="78"/>
      <c r="CO139" s="369"/>
      <c r="CP139" s="4" t="str">
        <f>IF(SnapshotTable[[#This Row],[SP Is Filled]], btc_max_buyback_amount(SnapshotTable[[#This Row],[SP Fill Date]],SnapshotTable[[#This Row],[SP Exp Date]], SnapshotTable[[#This Row],[SP Book Price]]),"")</f>
        <v/>
      </c>
      <c r="CQ139" s="78"/>
      <c r="CR13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9" s="155" t="str">
        <f>IF(SnapshotTable[[#This Row],[SP Is Filled]], btc_next_cutoff_date(SnapshotTable[[#This Row],[SP Fill Date]],SnapshotTable[[#This Row],[SP Exp Date]]),"")</f>
        <v/>
      </c>
      <c r="CT139" s="235" t="str" cm="1">
        <f t="array" ref="CT139">IF(SnapshotTable[[#This Row],[SP Is Filled]], btc_should_buy_back(SnapshotTable[[#This Row],[SP Fill Date]], SnapshotTable[[#This Row],[SP Exp Date]], SnapshotTable[[#This Row],[SP Book Price]], SnapshotTable[[#This Row],[SP Current Ask]], MockToday, SnapshotTable[[#This Row],[SP Buyback Override]]),"")</f>
        <v/>
      </c>
      <c r="CU139" s="143"/>
      <c r="CV139" s="235"/>
      <c r="CW139" s="378" t="str">
        <f>IF(ISNUMBER( SnapshotTable[[#This Row],[SP Term]]), SnapshotTable[[#This Row],[SP Exp Date]] - MockToday,"")</f>
        <v/>
      </c>
      <c r="CX139" s="31" t="str">
        <f>IF(SnapshotTable[[#This Row],[SP Is Filled]],SnapshotTable[[#This Row],[SP Buyback Price to Use]] * 100 * SnapshotTable[[#This Row],[SP Qty]], "")</f>
        <v/>
      </c>
      <c r="CY139" s="4" t="str">
        <f>IF(ISNUMBER(SnapshotTable[[#This Row],[SP Strike Price]]), SnapshotTable[[#This Row],[SP Strike Price]] * (1 - SP_MaxLoss_StrikePct), "")</f>
        <v/>
      </c>
      <c r="CZ139" s="31" t="str">
        <f>IF(ISNUMBER(SnapshotTable[[#This Row],[SP Strike  Stop Per Share]]),SnapshotTable[[#This Row],[SP Premium]] - ((SnapshotTable[[#This Row],[SP Strike Price]]-SnapshotTable[[#This Row],[SP Strike  Stop Per Share]]) *(SnapshotTable[[#This Row],[SP Qty]] * 100)),"")</f>
        <v/>
      </c>
      <c r="DA139" s="4" t="str">
        <f>IF(AND(ISNUMBER(SnapshotTable[[#This Row],[SP Premium]]),SnapshotTable[[#This Row],[SP Premium]]&gt;0), SnapshotTable[[#This Row],[SP Book Price]] * (1 + SP_MaxLoss_OptionPct), "")</f>
        <v/>
      </c>
      <c r="DB139" s="31" t="str">
        <f>IF(ISNUMBER(SnapshotTable[[#This Row],[SP Option  Stop Contract]]),(SnapshotTable[[#This Row],[SP Option  Stop Contract]] *(SnapshotTable[[#This Row],[SP Qty]] * 100) - SnapshotTable[[#This Row],[SP Premium]]),"")</f>
        <v/>
      </c>
      <c r="DC139" s="4"/>
      <c r="DD139" s="4"/>
      <c r="DE139" s="4" t="str">
        <f>IF(AND(SnapshotTable[[#This Row],[SP Qty]]&gt;0, SnapshotTable[[#This Row],[SP Stop To Use]]&gt;0),SnapshotTable[[#This Row],[SP Premium]] - ( SnapshotTable[[#This Row],[SP Qty]] * SnapshotTable[[#This Row],[SP Stop To Use]] * 100), "")</f>
        <v/>
      </c>
      <c r="DF139" s="31" t="str">
        <f>IF(AND(SnapshotTable[[#This Row],[SP Qty]]&gt;0,SnapshotTable[[#This Row],[SP Current Ask]]&gt;0), SnapshotTable[[#This Row],[SP Qty]] * SnapshotTable[[#This Row],[SP Current Ask]] * -100, "")</f>
        <v/>
      </c>
      <c r="DG139" s="31" t="str">
        <f>IF(ISNUMBER((SnapshotTable[[#This Row],[SP Total Value]])), SnapshotTable[[#This Row],[SP Premium]] + SnapshotTable[[#This Row],[SP Total Value]], "")</f>
        <v/>
      </c>
      <c r="DH139" s="294" t="str">
        <f>IF(ISNUMBER((SnapshotTable[[#This Row],[SP Total Value]])), SnapshotTable[[#This Row],[SP Gain Loss]] / SnapshotTable[[#This Row],[SP Premium]], "")</f>
        <v/>
      </c>
      <c r="DI139" s="406"/>
      <c r="DJ139" s="138"/>
      <c r="DK139" s="148"/>
      <c r="DL139" s="13"/>
      <c r="DM139" s="13"/>
      <c r="DO139" s="31">
        <f>IF(SnapshotTable[[#This Row],[LC Symbol Count]]=1, SnapshotTable[[#This Row],[LC Qty]] * SnapshotTable[[#This Row],[LC Book Price]] * 100, 0)</f>
        <v>0</v>
      </c>
      <c r="DP139" s="163" t="str">
        <f>IF(AND(SnapshotTable[[#This Row],[LC Exp Date]]&gt;0, SnapshotTable[[#This Row],[LC Strike Price]]&gt;0,SnapshotTable[[#This Row],[LC Qty]]&gt;0,SnapshotTable[[#This Row],[LC Book Date]]&gt;0,SnapshotTable[[#This Row],[LC Book Price]]&gt;0,SnapshotTable[[#This Row],[LC Fill Date]]=0),"Y","")</f>
        <v/>
      </c>
      <c r="DQ139" s="386" t="str">
        <f>IF(SnapshotTable[[#This Row],[LC Premium]] &gt; 0,SnapshotTable[[#This Row],[LC Exp Date]]-MAX(SnapshotTable[[#This Row],[LC Book Date]], SnapshotTable[[#This Row],[LC Fill Date]]),"")</f>
        <v/>
      </c>
      <c r="DR139" s="386" t="str">
        <f>IF(ISNUMBER(SnapshotTable[[#This Row],[LC Term]]), SnapshotTable[[#This Row],[LC Exp Date]] - MockToday, "")</f>
        <v/>
      </c>
      <c r="DS139" s="234" t="str">
        <f>IF(SnapshotTable[[#This Row],[LC Premium]]&gt;0,SnapshotTable[[#This Row],[LC Strike Price]] + SnapshotTable[[#This Row],[LC Book Price]],"")</f>
        <v/>
      </c>
      <c r="DU139" s="9" t="str">
        <f>IF(AND(SnapshotTable[[#This Row],[LC Symbol Count]]&gt;0, SnapshotTable[[#This Row],[LC Contract Value]]&gt;0), SnapshotTable[[#This Row],[LC Contract Value]] * SnapshotTable[[#This Row],[LC Qty]] * 100, "")</f>
        <v/>
      </c>
      <c r="DV139" s="9" t="str">
        <f>IF(AND(ISNUMBER(SnapshotTable[[#This Row],[LC Total Value]]), SnapshotTable[[#This Row],[LC Not Filled]]&lt;&gt;"Y"), SnapshotTable[[#This Row],[LC Total Value]]-SnapshotTable[[#This Row],[LC Premium]],"")</f>
        <v/>
      </c>
      <c r="DW139" s="240" t="str">
        <f>IF(ISNUMBER(SnapshotTable[[#This Row],[LC Actual Gain Loss]]), SnapshotTable[[#This Row],[LC Actual Gain Loss]] / SnapshotTable[[#This Row],[LC Premium]],"")</f>
        <v/>
      </c>
      <c r="DX139" s="284" t="str">
        <f>IF(ISNUMBER(SnapshotTable[[#This Row],[LC Book Price]]),SnapshotTable[[#This Row],[LC Book Price]] * 1.5,"")</f>
        <v/>
      </c>
      <c r="DY139" s="265" t="str">
        <f>IF(SnapshotTable[[#This Row],[LC Premium]]&gt;0, SnapshotTable[[#This Row],[LC Next Target]] * SnapshotTable[[#This Row],[LC Qty]] * 100,"")</f>
        <v/>
      </c>
      <c r="DZ139" s="265" t="str">
        <f>IF(ISNUMBER(SnapshotTable[[#This Row],[LC Target Gross]]), SnapshotTable[[#This Row],[LC Target Gross]] - SnapshotTable[[#This Row],[LC Premium]], "")</f>
        <v/>
      </c>
      <c r="EA139" s="305" t="str">
        <f>IF(ISNUMBER(SnapshotTable[[#This Row],[LC Target Gain Loss]]), SnapshotTable[[#This Row],[LC Target Gain Loss]]/SnapshotTable[[#This Row],[LC Premium]], "")</f>
        <v/>
      </c>
      <c r="EB139" s="262"/>
      <c r="EC139" s="283" t="str">
        <f>IF(SnapshotTable[[#This Row],[LC Premium]]&gt;0, SnapshotTable[[#This Row],[LC Book Price]] * (1 - LC_StopLoss_Pct),"")</f>
        <v/>
      </c>
      <c r="ED139" s="284"/>
      <c r="EE139" s="283" t="str">
        <f>IF(ISNUMBER(SnapshotTable[[#This Row],[LC Contract Value]]),IF(ISNUMBER(SnapshotTable[[#This Row],[LC Stop Loss Override]]), SnapshotTable[[#This Row],[LC Stop Loss Override]],SnapshotTable[[#This Row],[LC Stop Loss Calc Target]]),"")</f>
        <v/>
      </c>
      <c r="EF139" s="31" t="str">
        <f>IF(ISNUMBER(SnapshotTable[[#This Row],[LC Stop  To Use]]), (SnapshotTable[[#This Row],[LC Stop  To Use]] * SnapshotTable[[#This Row],[LC Qty]] * 100),"")</f>
        <v/>
      </c>
      <c r="EG139" s="9" t="str">
        <f>IF(ISNUMBER(SnapshotTable[[#This Row],[LC Total Value]]),SnapshotTable[[#This Row],[LC Stop Loss Amount]] - SnapshotTable[[#This Row],[LC Premium]],"")</f>
        <v/>
      </c>
      <c r="EH139" s="9">
        <f>IF(ISNUMBER(SnapshotTable[[#This Row],[LC Premium]]), SnapshotTable[[#This Row],[LC Qty]] * 100 * SnapshotTable[[#This Row],[LC Strike Price]], "")</f>
        <v>0</v>
      </c>
      <c r="EI139" s="240" t="str">
        <f>IF(AND(ISNUMBER(SnapshotTable[[#This Row],[LC Total Value]]),SnapshotTable[[#This Row],[LC Total Value]]&gt;0),SnapshotTable[[#This Row],[LC Stop Gain Loss]]  / SnapshotTable[[#This Row],[LC Premium]],"")</f>
        <v/>
      </c>
      <c r="EJ139" s="35">
        <f>IF(ISNUMBER(SnapshotTable[[#This Row],[Equity Shares]]),TRUNC(SnapshotTable[[#This Row],[Equity Shares]] / 100),0) + SnapshotTable[[#This Row],[LC Qty]]</f>
        <v>0</v>
      </c>
      <c r="EK139" s="147"/>
      <c r="EL139" s="138" t="str">
        <f>IF(SnapshotTable[[#This Row],[SC Exp Date]]&lt;&gt;"",TRUNC(SnapshotTable[[#This Row],[Last Price]]),"")</f>
        <v/>
      </c>
      <c r="EM139" s="148"/>
      <c r="EN139" s="147"/>
      <c r="EO139" s="147"/>
      <c r="EP139" s="138"/>
      <c r="EQ139" s="419" t="b">
        <f>AND(ISNUMBER(SnapshotTable[[#This Row],[SC Exp Date]]), ISNUMBER(SnapshotTable[[#This Row],[SC Strike Price]]), ISNUMBER(SnapshotTable[[#This Row],[SC Qty]]), ISNUMBER(SnapshotTable[[#This Row],[SC Book Date]]), ISNUMBER(SnapshotTable[[#This Row],[SC Book Price]]))</f>
        <v>0</v>
      </c>
      <c r="ER139" s="419" t="b">
        <f>AND(SnapshotTable[[#This Row],[SC Is Booked]], NOT(ISBLANK(SnapshotTable[[#This Row],[SC Fill Date]])))</f>
        <v>0</v>
      </c>
      <c r="ES139" s="370"/>
      <c r="ET139" s="34" t="str">
        <f>IF(AND(ISNUMBER(SnapshotTable[[#This Row],[SC Exp Date]]), ISNUMBER(SnapshotTable[[#This Row],[SC Book Date]])), SnapshotTable[[#This Row],[SC Exp Date]] - MAX(SnapshotTable[[#This Row],[SC Book Date]], SnapshotTable[[#This Row],[SC Fill Date]]) + 1, "")</f>
        <v/>
      </c>
      <c r="EU139" s="34" t="str">
        <f>IF(ISNUMBER(SnapshotTable[[#This Row],[SC Term]]), SnapshotTable[[#This Row],[SC Exp Date]]- MockToday, "")</f>
        <v/>
      </c>
      <c r="EV139" s="31">
        <f>IF(SnapshotTable[[#This Row],[SC Is Booked]], SnapshotTable[[#This Row],[SC Qty]] * SnapshotTable[[#This Row],[SC Book Price]] * 100, 0)</f>
        <v>0</v>
      </c>
      <c r="EW139" s="4" t="str">
        <f>IF(AND(ISNUMBER(SnapshotTable[[#This Row],[Last Price]]), ISNUMBER( SnapshotTable[[#This Row],[SC Book Price]])), SnapshotTable[[#This Row],[Last Price]] - SnapshotTable[[#This Row],[SC Book Price]],"")</f>
        <v/>
      </c>
      <c r="EX139" s="234" t="str">
        <f>IF(SnapshotTable[[#This Row],[SC Is Booked]],IF(SnapshotTable[[#This Row],[SC Intrinsic Value]] &gt; 0, SnapshotTable[[#This Row],[SC Strike Price]], SnapshotTable[[#This Row],[Last Price]]), "")</f>
        <v/>
      </c>
      <c r="EY139" s="4">
        <f>IF(SnapshotTable[[#This Row],[SC Is Booked]], (MinimumPremiumRequired * SnapshotTable[[#This Row],[SC Basis]] * SnapshotTable[[#This Row],[SC Term]]), 0)</f>
        <v>0</v>
      </c>
      <c r="EZ139" s="283"/>
      <c r="FA139" s="218"/>
      <c r="FB139" s="370"/>
      <c r="FC139" s="4">
        <f>IF(SnapshotTable[[#This Row],[SC Is Filled]], btc_max_buyback_amount(SnapshotTable[[#This Row],[SC Fill Date]],SnapshotTable[[#This Row],[SC Exp Date]], SnapshotTable[[#This Row],[SC Book Price]]),0)</f>
        <v>0</v>
      </c>
      <c r="FD139" s="5"/>
      <c r="FE139" s="144" t="str">
        <f>IF(SnapshotTable[[#This Row],[SC Is Filled]], btc_next_cutoff_date(SnapshotTable[[#This Row],[SC Fill Date]],SnapshotTable[[#This Row],[SC Exp Date]]),"")</f>
        <v/>
      </c>
      <c r="FF139" s="4" t="str" cm="1">
        <f t="array" ref="FF139">IF(SnapshotTable[[#This Row],[SC Is Filled]], btc_should_buy_back(SnapshotTable[[#This Row],[SC Fill Date]], SnapshotTable[[#This Row],[SC Exp Date]], SnapshotTable[[#This Row],[SC Book Price]], SnapshotTable[[#This Row],[SC Current Ask]], MockToday, SnapshotTable[[#This Row],[SC Buyback Override]]),"")</f>
        <v/>
      </c>
      <c r="FG139" s="4">
        <f>IF(SnapshotTable[[#This Row],[SC Is Filled]], MAX(0,SnapshotTable[[#This Row],[Last Price]]  - SnapshotTable[[#This Row],[SC Strike Price]]), 0)</f>
        <v>0</v>
      </c>
      <c r="FH139" s="382">
        <f>IF(SnapshotTable[[#This Row],[SC Is Filled]], IF(ISNUMBER(SnapshotTable[[#This Row],[SC Current Ask]]), SnapshotTable[[#This Row],[SC Current Ask]], SnapshotTable[[#This Row],[SC Book Price]]) - SnapshotTable[[#This Row],[SC Intrinsic Value]], 0)</f>
        <v>0</v>
      </c>
      <c r="FI139" s="143"/>
      <c r="FJ139" s="32" t="str">
        <f>IF(SnapshotTable[[#This Row],[SC Is Filled]],100 * SnapshotTable[[#This Row],[SC Qty]] * IF(ISNUMBER(SnapshotTable[[#This Row],[SC Buyback Override]]), SnapshotTable[[#This Row],[SC Buyback Override]], SnapshotTable[[#This Row],[SC Current Ask]]), "")</f>
        <v/>
      </c>
      <c r="FK139" s="250" t="str">
        <f>IF(SnapshotTable[[#This Row],[SC Time Val]]&gt;0, SnapshotTable[[#This Row],[SC Time Val]] / SnapshotTable[[#This Row],[Last Price]],"")</f>
        <v/>
      </c>
      <c r="FL139" s="302" t="str">
        <f>IF(SnapshotTable[[#This Row],[SC Is Booked]], ((SnapshotTable[[#This Row],[Last Price]] -SnapshotTable[[#This Row],[SC Strike Price]]) / SnapshotTable[[#This Row],[Last Price]]) * -1, "")</f>
        <v/>
      </c>
      <c r="FM139" s="157" t="str">
        <f>IF(SnapshotTable[[#This Row],[SC Is Booked]],  (SnapshotTable[[#This Row],[SC Qty]] * 100 * SnapshotTable[[#This Row],[SC Strike Price]]) - SnapshotTable[[#This Row],[SC Current Ask]], "")</f>
        <v/>
      </c>
      <c r="FN13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9" s="31" t="str">
        <f>IF(AND(ISNUMBER(SnapshotTable[[#This Row],[SC Exercise Gross]]), ISNUMBER(SnapshotTable[[#This Row],[Equity Basis Per Share]] )), SnapshotTable[[#This Row],[SC Exercise Gross]] - SnapshotTable[[#This Row],[Equity Basis Total]] +  SnapshotTable[[#This Row],[SC Premium]], "")</f>
        <v/>
      </c>
      <c r="FP139" s="5" t="str">
        <f>IF(ISNUMBER(SnapshotTable[[#This Row],[SC Exercise Gross]]), (SnapshotTable[[#This Row],[SC Exercise Gross]]) / (SnapshotTable[[#This Row],[SC Qty]] * 100), "")</f>
        <v/>
      </c>
      <c r="FQ139" s="27" t="str">
        <f>IF(SnapshotTable[[#This Row],[SC Is Booked]],SnapshotTable[[#This Row],[SC Time Val]] /SnapshotTable[[#This Row],[SC Basis]], "")</f>
        <v/>
      </c>
      <c r="FR139" s="27" t="str" cm="1">
        <f t="array" ref="FR139">IF(AND(ISNUMBER(SnapshotTable[[#This Row],[SC Term]]),ISNUMBER(SnapshotTable[[#This Row],[SC Simple ROO]])), EllmanAnnualize(SnapshotTable[[#This Row],[SC DTE]], SnapshotTable[[#This Row],[SC Simple ROO]] ),"")</f>
        <v/>
      </c>
      <c r="FS139" s="4" t="e">
        <f>IF(SnapshotTable[[#This Row],[SC Strike Price]] &gt; SnapshotTable[[#This Row],[Last Price]], SnapshotTable[[#This Row],[SC Strike Price]] - SnapshotTable[[#This Row],[Last Price]],0)</f>
        <v>#VALUE!</v>
      </c>
      <c r="FT139" s="27" t="e">
        <f>IF(AND(ISNUMBER(SnapshotTable[[#This Row],[SC Upside Potential]]), SnapshotTable[[#This Row],[SC Upside Potential]] &gt; 0),(SnapshotTable[[#This Row],[SC Upside Potential]]/ SnapshotTable[[#This Row],[ACB]]),"")</f>
        <v>#VALUE!</v>
      </c>
      <c r="FU139" s="333" t="str">
        <f>IF(SnapshotTable[[#This Row],[SC Intrinsic Value]] &gt; 0,SnapshotTable[[#This Row],[SC Intrinsic Value]],"")</f>
        <v/>
      </c>
      <c r="FV139" s="27" t="str">
        <f>IF(AND( ISNUMBER( SnapshotTable[[#This Row],[ACB]]),ISNUMBER(SnapshotTable[[#This Row],[SC Downside Protect]])),SnapshotTable[[#This Row],[SC Downside Protect]] / SnapshotTable[[#This Row],[ACB]],"")</f>
        <v/>
      </c>
      <c r="FW139" s="236" t="str">
        <f>IF(AND(ISNUMBER(SnapshotTable[[#This Row],[SC Simple ROO]]),SnapshotTable[[#This Row],[SC Simple ROO]] &gt; 0), SnapshotTable[[#This Row],[SC Premium]] + (SnapshotTable[[#This Row],[SC Qty]] * SnapshotTable[[#This Row],[SC Upside Potential]]), "")</f>
        <v/>
      </c>
      <c r="FX139" s="302" t="str" cm="1">
        <f t="array" ref="FX139">IF(ISNUMBER(SnapshotTable[[#This Row],[SC Max Dollars]]), annualize(SnapshotTable[[#This Row],[SC Term]],(SnapshotTable[[#This Row],[SC Max Dollars]]/SnapshotTable[[#This Row],[SC Basis]])),"")</f>
        <v/>
      </c>
      <c r="FY139" s="236" t="str">
        <f>IF(AND(SnapshotTable[[#This Row],[SC Qty]]&gt;0,SnapshotTable[[#This Row],[SC Current Ask]]&gt;0), SnapshotTable[[#This Row],[SC Qty]] * SnapshotTable[[#This Row],[SC Current Ask]] * -100, "")</f>
        <v/>
      </c>
      <c r="FZ139" s="31" t="str">
        <f>IF(ISNUMBER((SnapshotTable[[#This Row],[SC Current Value]])), SnapshotTable[[#This Row],[SC Premium]] + SnapshotTable[[#This Row],[SC Current Value]], "")</f>
        <v/>
      </c>
      <c r="GA139" s="294" t="str">
        <f>IFERROR( IF(ISNUMBER((SnapshotTable[[#This Row],[SC Current Value]])), SnapshotTable[[#This Row],[SC Gain Loss]] / SnapshotTable[[#This Row],[SC Premium]], ""), "")</f>
        <v/>
      </c>
      <c r="GB139" s="42">
        <f>SnapshotTable[[#This Row],[Equity Shares]] * SaleSharesToConsiderPercentage</f>
        <v>0</v>
      </c>
      <c r="GC139" s="40">
        <f>SnapshotTable[[#This Row],[Long Term Target]] * SellingPriceToConsiderBasedOnTargetPercentage</f>
        <v>83.837499999999991</v>
      </c>
      <c r="GD139" s="40">
        <f>SnapshotTable[[#This Row],[Last Price]] * (1+ SellingPriceToConsiderBasedOnTargetPercentage)</f>
        <v>249.5025</v>
      </c>
      <c r="GE139" s="41"/>
      <c r="GF139" s="40"/>
      <c r="GG139" s="31">
        <f>SnapshotTable[[#This Row],[Booked Sale Shares]] * SnapshotTable[[#This Row],[Booked Sale Price]]</f>
        <v>0</v>
      </c>
      <c r="GH139" s="31" t="str">
        <f>IF(SnapshotTable[[#This Row],[Equity Basis Total]] &gt; 0, SnapshotTable[[#This Row],[Equity Basis Per Share]] * SnapshotTable[[#This Row],[Booked Sale Shares]], "")</f>
        <v/>
      </c>
      <c r="GI139" s="31">
        <f>IF(SnapshotTable[[#This Row],[Sale Proceeds]]&gt;0, SnapshotTable[[#This Row],[Sale Proceeds]] - SnapshotTable[[#This Row],[Sale Basis]], 0)</f>
        <v>0</v>
      </c>
      <c r="GJ139" s="27" t="str">
        <f>IF(SnapshotTable[[#This Row],[Sale G/L]]&gt;0, SnapshotTable[[#This Row],[Sale G/L]] / SnapshotTable[[#This Row],[Sale Basis]], IF(ISNUMBER(SnapshotTable[[#This Row],[SC Exercise P&amp;L (TAX)]]), SnapshotTable[[#This Row],[SC Exercise P&amp;L (TAX)]] / SnapshotTable[[#This Row],[SC Basis]], ""))</f>
        <v/>
      </c>
      <c r="GK139" s="27" t="s">
        <v>689</v>
      </c>
      <c r="GL139" s="43" t="str">
        <f>IF(AND(SnapshotTable[[#This Row],[LP Exp Date]]&gt;0,SnapshotTable[[#This Row],[LP Strike Price]]&gt;0), [1]!ToOptionSymbol(SnapshotTable[[#This Row],[Symbol]], SnapshotTable[[#This Row],[LP Strike Price]],SnapshotTable[[#This Row],[LP Exp Date]],1), "")</f>
        <v/>
      </c>
      <c r="GM139" s="30" t="str">
        <f>IF(LEN(SnapshotTable[[#This Row],[LP Symbol]])&gt;0, 1, "")</f>
        <v/>
      </c>
      <c r="GN139" s="43" t="str">
        <f>IF(AND(SnapshotTable[[#This Row],[SP Exp Date]]&gt;0,SnapshotTable[[#This Row],[SP Strike Price]]&gt;0), [1]!ToOptionSymbol(SnapshotTable[[#This Row],[Symbol]], SnapshotTable[[#This Row],[SP Strike Price]],SnapshotTable[[#This Row],[SP Exp Date]],1), "")</f>
        <v/>
      </c>
      <c r="GO139" s="30" t="str">
        <f>IF(LEN(SnapshotTable[[#This Row],[SP Symbol]])&gt;0, 1, "")</f>
        <v/>
      </c>
      <c r="GP139" s="43" t="str">
        <f>IF(AND(SnapshotTable[[#This Row],[LC Exp Date]]&gt;0,SnapshotTable[[#This Row],[LC Strike Price]]&gt;0), [1]!ToOptionSymbol(SnapshotTable[[#This Row],[Symbol]], SnapshotTable[[#This Row],[LC Strike Price]],SnapshotTable[[#This Row],[LC Exp Date]],0), "")</f>
        <v/>
      </c>
      <c r="GQ139" s="30" t="str">
        <f>IF(LEN(SnapshotTable[[#This Row],[LC Symbol]])&gt;0, 1, "")</f>
        <v/>
      </c>
      <c r="GR139" s="43" t="str">
        <f>IF(AND(SnapshotTable[[#This Row],[SC Exp Date]]&gt;0,SnapshotTable[[#This Row],[SC Strike Price]]&gt;0), [1]!ToOptionSymbol(SnapshotTable[[#This Row],[Symbol]], SnapshotTable[[#This Row],[SC Strike Price]],SnapshotTable[[#This Row],[SC Exp Date]],0), "")</f>
        <v/>
      </c>
      <c r="GS139" s="30" t="str">
        <f>IF(LEN(SnapshotTable[[#This Row],[SC Symbol]])&gt;0, 1, "")</f>
        <v/>
      </c>
      <c r="GT139" s="29" t="str">
        <f>IF(COUNT(SnapshotTable[[#This Row],[LP Symbol Count]],SnapshotTable[[#This Row],[SP Symbol Count]],SnapshotTable[[#This Row],[LC Symbol Count]],SnapshotTable[[#This Row],[SC Symbol Count]])&gt;0, "Y", "")</f>
        <v/>
      </c>
      <c r="GU13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9" s="231" t="e">
        <f>MAX(SnapshotTable[[#This Row],[Equity Basis Total]],SnapshotTable[[#This Row],[Equity Value]]) + (SnapshotTable[[#This Row],[SP Potential Spend]]- SnapshotTable[[#This Row],[SP Premium]] + SnapshotTable[[#This Row],[LP Premium]])+ (SnapshotTable[[#This Row],[LC Premium]] - SnapshotTable[[#This Row],[SC Premium]])</f>
        <v>#VALUE!</v>
      </c>
      <c r="GW139" s="139" t="e">
        <f>IF(AND(SnapshotTable[[#This Row],[Exposure]] &lt;&gt; 0),SnapshotTable[[#This Row],[Exposure]] / SnapshotTable[[#Totals],[Exposure]], "")</f>
        <v>#VALUE!</v>
      </c>
      <c r="HE139" s="268"/>
      <c r="HF139" s="268"/>
      <c r="HK139" s="1"/>
      <c r="HL139" s="1"/>
      <c r="HM139" s="1"/>
      <c r="HN139" s="1"/>
      <c r="HO139" s="1"/>
      <c r="HP139" s="1"/>
    </row>
    <row r="140" spans="2:224" ht="13.5" hidden="1" customHeight="1" x14ac:dyDescent="0.25">
      <c r="B140" s="12" t="s">
        <v>1031</v>
      </c>
      <c r="C140" s="422">
        <v>232.08</v>
      </c>
      <c r="D140" s="208"/>
      <c r="E140" s="39">
        <f>SnapshotTable[[#This Row],[Last Price]]*(1 -CrashDiscount)</f>
        <v>197.268</v>
      </c>
      <c r="F140" s="26" t="s">
        <v>1032</v>
      </c>
      <c r="G140" s="26" t="s">
        <v>49</v>
      </c>
      <c r="H140" s="149"/>
      <c r="I140" s="194">
        <v>44777.670138888891</v>
      </c>
      <c r="J140" s="195">
        <v>44777.670138888891</v>
      </c>
      <c r="K140" s="196"/>
      <c r="L140" s="326"/>
      <c r="M140" s="140"/>
      <c r="N140" s="140"/>
      <c r="O140" s="140"/>
      <c r="P140" s="22"/>
      <c r="Q140" s="25"/>
      <c r="R140" s="4" t="str">
        <f>IF(SnapshotTable[[#This Row],[Equity Basis Total]] &gt; 0, SnapshotTable[[#This Row],[Equity Basis Total]] / SnapshotTable[[#This Row],[Equity Shares]], "")</f>
        <v/>
      </c>
      <c r="S140" s="269">
        <f>SnapshotTable[[#This Row],[Last Price]] * SnapshotTable[[#This Row],[Equity Shares]]</f>
        <v>0</v>
      </c>
      <c r="T140" s="269">
        <f>SnapshotTable[[#This Row],[Equity Value]] - SnapshotTable[[#This Row],[Equity Basis Total]]</f>
        <v>0</v>
      </c>
      <c r="U140" s="270" t="str">
        <f>IF(SnapshotTable[[#This Row],[Equity Basis Total]] &gt; 0, SnapshotTable[[#This Row],[Equity G/L]] / SnapshotTable[[#This Row],[Equity Basis Total]], "")</f>
        <v/>
      </c>
      <c r="V140" s="268">
        <v>175</v>
      </c>
      <c r="W140" s="268">
        <v>113</v>
      </c>
      <c r="X140" s="4" t="str">
        <f>IF(AND(ISNUMBER(SnapshotTable[[#This Row],[Equity Basis Per Share]]),ISNUMBER(SnapshotTable[[#This Row],[Equity Target]])),SnapshotTable[[#This Row],[Equity Target]]-SnapshotTable[[#This Row],[Equity Basis Per Share]],"")</f>
        <v/>
      </c>
      <c r="Y140" s="4" t="str">
        <f>IF(AND(ISNUMBER(SnapshotTable[[#This Row],[Equity Basis Per Share]]),ISNUMBER(SnapshotTable[[#This Row],[Equity Stop Loss]])),SnapshotTable[[#This Row],[Equity Stop Loss]]-SnapshotTable[[#This Row],[Equity Basis Per Share]],"")</f>
        <v/>
      </c>
      <c r="Z140" s="275" t="str">
        <f>IFERROR( TEXT(SnapshotTable[[#This Row],[Equity Max Gain Per Share]] /ABS( SnapshotTable[[#This Row],[Equity Max Loss Per Share]]),"0.0 " ) &amp; " : 1", "")</f>
        <v/>
      </c>
      <c r="AA140" s="31" t="str">
        <f>IF(ISNUMBER(SnapshotTable[[#This Row],[Equity Max Gain Per Share]]),SnapshotTable[[#This Row],[Equity Max Gain Per Share]] * SnapshotTable[[#This Row],[Equity Shares]],"")</f>
        <v/>
      </c>
      <c r="AB140" s="31" t="str">
        <f>IF(ISNUMBER(SnapshotTable[[#This Row],[Equity Max Loss Per Share]]),SnapshotTable[[#This Row],[Equity Max Loss Per Share]] * SnapshotTable[[#This Row],[Equity Shares]],"")</f>
        <v/>
      </c>
      <c r="AC140" s="150"/>
      <c r="AD140" s="151"/>
      <c r="AE140" s="31">
        <f>(SnapshotTable[[#This Row],[Annual Dividend Per Share]] / 4) * SnapshotTable[[#This Row],[Equity Shares]]</f>
        <v>0</v>
      </c>
      <c r="AF140" s="31">
        <f>SnapshotTable[[#This Row],[Quarterly Div $]] * 4</f>
        <v>0</v>
      </c>
      <c r="AG140" s="7">
        <f>IF(SnapshotTable[[#This Row],[Annual Dividend Per Share]]&gt;0, SnapshotTable[[#This Row],[Annual Dividend Per Share]]  / SnapshotTable[[#This Row],[Last Price]], 0)</f>
        <v>0</v>
      </c>
      <c r="AH140" s="151"/>
      <c r="AI140" s="5"/>
      <c r="AJ140" s="138">
        <v>127</v>
      </c>
      <c r="AK140" s="152" t="str">
        <f>IF(ISNUMBER( SnapshotTable[[#This Row],[EBF Target]]),(SnapshotTable[[#This Row],[EBF Target]] - SnapshotTable[[#This Row],[Last Price]]) / SnapshotTable[[#This Row],[Last Price]], "")</f>
        <v/>
      </c>
      <c r="AL140" s="152" t="str">
        <f>IF(AND(SnapshotTable[[#This Row],[Equity Basis Total]] &gt; 0,ISNUMBER( SnapshotTable[[#This Row],[Long Term Target]])), SnapshotTable[[#This Row],[From Basis $]] / SnapshotTable[[#This Row],[Equity Basis Total]], "")</f>
        <v/>
      </c>
      <c r="AM140" s="9">
        <f>IF( AND(SnapshotTable[[#This Row],[Equity Shares]] &gt;0,ISNUMBER( SnapshotTable[[#This Row],[Long Term Target]])),(SnapshotTable[[#This Row],[Equity Shares]] * SnapshotTable[[#This Row],[Long Term Target]]) - SnapshotTable[[#This Row],[Equity Basis Total]],0)</f>
        <v>0</v>
      </c>
      <c r="AN140" s="9">
        <f>IF( AND(SnapshotTable[[#This Row],[Equity Shares]] &gt;0,ISNUMBER( SnapshotTable[[#This Row],[Long Term Target]])),(SnapshotTable[[#This Row],[Equity Shares]]*SnapshotTable[[#This Row],[Long Term Target]]) - SnapshotTable[[#This Row],[Equity Value]],0)</f>
        <v>0</v>
      </c>
      <c r="AO140" s="152">
        <f>IF(AND(ISNUMBER( SnapshotTable[[#This Row],[Long Term Target]]), ISNUMBER(SnapshotTable[[#This Row],[Last Price]])),(SnapshotTable[[#This Row],[Long Term Target]] - SnapshotTable[[#This Row],[Last Price]]) / SnapshotTable[[#This Row],[Last Price]], "")</f>
        <v>-0.45277490520510172</v>
      </c>
      <c r="AP140" s="5"/>
      <c r="AQ140" s="38"/>
      <c r="AR140" s="5">
        <v>113</v>
      </c>
      <c r="AS140" s="38" t="s">
        <v>32</v>
      </c>
      <c r="AT140" s="146"/>
      <c r="AU140" s="187" t="str">
        <f>IF(OR(SnapshotTable[[#This Row],[LP No Fill]]="Y",SnapshotTable[[#This Row],[SP Is Filled]],SnapshotTable[[#This Row],[LC Not Filled]]="Y",SnapshotTable[[#This Row],[SC Is Filled]]),"Y","")</f>
        <v/>
      </c>
      <c r="AV140" s="219"/>
      <c r="AW140" s="225"/>
      <c r="AX140" s="220"/>
      <c r="AY140" s="219" t="str">
        <f>IF(SnapshotTable[[#This Row],[Implied Move]]&gt;0, SnapshotTable[[#This Row],[Last Price]]-SnapshotTable[[#This Row],[Implied Move]],"")</f>
        <v/>
      </c>
      <c r="AZ140" s="219" t="str">
        <f>IF(SnapshotTable[[#This Row],[Implied Move]]&gt;0, SnapshotTable[[#This Row],[Last Price]] + SnapshotTable[[#This Row],[Implied Move]],"")</f>
        <v/>
      </c>
      <c r="BA140" s="331">
        <v>122.28</v>
      </c>
      <c r="BB140" s="347"/>
      <c r="BC14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0" s="351"/>
      <c r="BE140" s="5"/>
      <c r="BF140" s="14"/>
      <c r="BG140" s="13"/>
      <c r="BH140" s="13"/>
      <c r="BI140" s="5"/>
      <c r="BJ140" s="136">
        <f>IF(SnapshotTable[[#This Row],[LP Qty]] &gt; 0, SnapshotTable[[#This Row],[LP Qty]] * SnapshotTable[[#This Row],[LP Book Price]] * 100,0)</f>
        <v>0</v>
      </c>
      <c r="BK140" s="136">
        <f>IF(SnapshotTable[[#This Row],[LP Premium]] &gt; 0, SnapshotTable[[#This Row],[LP Qty]] * SnapshotTable[[#This Row],[LP Strike Price]] * 100,0)</f>
        <v>0</v>
      </c>
      <c r="BL140" s="154"/>
      <c r="BM140" s="385" t="str">
        <f>IF(SnapshotTable[[#This Row],[LP Premium]] &gt; 0,SnapshotTable[[#This Row],[LP Exp Date]]-MAX(SnapshotTable[[#This Row],[LP Book Date]], SnapshotTable[[#This Row],[LP Fill Date]]),"")</f>
        <v/>
      </c>
      <c r="BN140" s="385" t="str">
        <f>IF(ISNUMBER( SnapshotTable[[#This Row],[LP Term]]), SnapshotTable[[#This Row],[LP Exp Date]] - MockToday,"")</f>
        <v/>
      </c>
      <c r="BO140" s="163" t="str">
        <f>IF(AND(SnapshotTable[[#This Row],[LP Exp Date]]&gt;0, SnapshotTable[[#This Row],[LP Strike Price]]&gt;0,SnapshotTable[[#This Row],[LP Qty]]&gt;0,SnapshotTable[[#This Row],[LP Book Date]]&gt;0,SnapshotTable[[#This Row],[LP Book Price]]&gt;0,SnapshotTable[[#This Row],[LP Fill Date]]=0),"Y","")</f>
        <v/>
      </c>
      <c r="BP140" s="31" t="str">
        <f>IF(AND(SnapshotTable[[#This Row],[LP No Fill]]&lt;&gt;"Y",SnapshotTable[[#This Row],[LP Contract Value]]&gt;0, SnapshotTable[[#This Row],[LP Qty]]&gt;0), SnapshotTable[[#This Row],[LP Contract Value]]*SnapshotTable[[#This Row],[LP Qty]]*100,"")</f>
        <v/>
      </c>
      <c r="BQ140" s="13"/>
      <c r="BR140" s="5" t="str">
        <f>IF(SnapshotTable[[#This Row],[SP Exp Date]]&lt;&gt;"",TRUNC(SnapshotTable[[#This Row],[Last Price]]),"")</f>
        <v/>
      </c>
      <c r="BS140" s="36"/>
      <c r="BT140" s="147"/>
      <c r="BU140" s="13"/>
      <c r="BV140" s="5"/>
      <c r="BW140" s="419" t="b">
        <f>AND(ISNUMBER(SnapshotTable[[#This Row],[SP Exp Date]]), ISNUMBER(SnapshotTable[[#This Row],[SP Strike Price]]), ISNUMBER(SnapshotTable[[#This Row],[SP Qty]]), ISNUMBER(SnapshotTable[[#This Row],[SP Book Date]]), ISNUMBER(SnapshotTable[[#This Row],[SP Book Price]]))</f>
        <v>0</v>
      </c>
      <c r="BX140" s="419" t="b">
        <f>AND(SnapshotTable[[#This Row],[SP Is Booked]], NOT(ISBLANK(SnapshotTable[[#This Row],[SP Fill Date]])))</f>
        <v>0</v>
      </c>
      <c r="BY140" s="33">
        <f>IF(SnapshotTable[[#This Row],[SP Is Booked]], SnapshotTable[[#This Row],[SP Qty]] * SnapshotTable[[#This Row],[SP Book Price]] * 100, 0)</f>
        <v>0</v>
      </c>
      <c r="BZ140" s="369"/>
      <c r="CA140" s="368">
        <f>SnapshotTable[[#This Row],[LP Qty]]</f>
        <v>0</v>
      </c>
      <c r="CB140" s="4" t="str">
        <f>IF(SnapshotTable[[#This Row],[SP Is Booked]], SnapshotTable[[#This Row],[SP Strike Price]] - SnapshotTable[[#This Row],[SP Book Price]], "")</f>
        <v/>
      </c>
      <c r="CC140" s="19" t="str">
        <f>IF(SnapshotTable[[#This Row],[SP Is Booked]],SnapshotTable[[#This Row],[SP Exp Date]]-MAX(SnapshotTable[[#This Row],[SP Book Date]], SnapshotTable[[#This Row],[SP Fill Date]]),"")</f>
        <v/>
      </c>
      <c r="CD140" s="7" t="str">
        <f>IF(SnapshotTable[[#This Row],[SP Is Booked]], SnapshotTable[[#This Row],[SP Book Price]]/SnapshotTable[[#This Row],[SP Strike Price]], "")</f>
        <v/>
      </c>
      <c r="CE140" s="7" t="str">
        <f>IF(ISNUMBER(SnapshotTable[[#This Row],[SP ROO Term]]),SnapshotTable[[#This Row],[SP ROO Term]]*(365/SnapshotTable[[#This Row],[SP Term]]),"")</f>
        <v/>
      </c>
      <c r="CF140" s="236">
        <f>SnapshotTable[[#This Row],[LP Strike Price]] * SnapshotTable[[#This Row],[LP Qty]] * 100</f>
        <v>0</v>
      </c>
      <c r="CG140" s="31" t="e">
        <f>IF(ISNUMBER(SnapshotTable[[#This Row],[SP Premium]]), (SnapshotTable[[#This Row],[SP Qty]] * SnapshotTable[[#This Row],[SP Strike Price]]* 100) - SnapshotTable[[#This Row],[LP Protection]], 0)</f>
        <v>#VALUE!</v>
      </c>
      <c r="CH140" s="7" t="str">
        <f>IF(ISNUMBER(SnapshotTable[[#This Row],[SP Break Even]]),-1 * (SnapshotTable[[#This Row],[SP Break Even]] - SnapshotTable[[#This Row],[Last Price]]) / SnapshotTable[[#This Row],[Last Price]], "")</f>
        <v/>
      </c>
      <c r="CI140" s="31">
        <f>IF(AND(ISNUMBER((SnapshotTable[[#This Row],[SP Potential Spend]])), SnapshotTable[[#This Row],[SP Strike Price]] &gt; SnapshotTable[[#This Row],[Last Price]], SnapshotTable[[#This Row],[SP Is Filled]]), SnapshotTable[[#This Row],[SP Potential Spend]] -  SnapshotTable[[#This Row],[LP Max Value]], 0)</f>
        <v>0</v>
      </c>
      <c r="CJ140" s="244"/>
      <c r="CK140" s="31" t="str">
        <f>IF(ISNUMBER(SnapshotTable[[#This Row],[SP Potential Spend]]),IF(ISNUMBER(SnapshotTable[[#This Row],[SP POW]]), SnapshotTable[[#This Row],[SP POW]] * SnapshotTable[[#This Row],[SP Potential Spend]], SnapshotTable[[#This Row],[SP Potential Spend]]), "")</f>
        <v/>
      </c>
      <c r="CL140" s="164" t="e">
        <f>IF(NOT(SnapshotTable[[#This Row],[SP Is Filled]]),(SnapshotTable[[#This Row],[SP Qty]] * SnapshotTable[[#This Row],[SP Strike Price]] * 100) - SnapshotTable[[#This Row],[LP Max Value]],"")</f>
        <v>#VALUE!</v>
      </c>
      <c r="CM140" s="31" t="str">
        <f>IF(SnapshotTable[[#This Row],[SP Actual Spend]]&lt;&gt;0, ((SnapshotTable[[#This Row],[SP Strike Price]]-SnapshotTable[[#This Row],[Last Price]]) *(SnapshotTable[[#This Row],[SP Qty]]*100) - SnapshotTable[[#This Row],[SP Premium]]) * - 1, "")</f>
        <v/>
      </c>
      <c r="CN140" s="78"/>
      <c r="CO140" s="369"/>
      <c r="CP140" s="4" t="str">
        <f>IF(SnapshotTable[[#This Row],[SP Is Filled]], btc_max_buyback_amount(SnapshotTable[[#This Row],[SP Fill Date]],SnapshotTable[[#This Row],[SP Exp Date]], SnapshotTable[[#This Row],[SP Book Price]]),"")</f>
        <v/>
      </c>
      <c r="CQ140" s="78"/>
      <c r="CR14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0" s="155" t="str">
        <f>IF(SnapshotTable[[#This Row],[SP Is Filled]], btc_next_cutoff_date(SnapshotTable[[#This Row],[SP Fill Date]],SnapshotTable[[#This Row],[SP Exp Date]]),"")</f>
        <v/>
      </c>
      <c r="CT140" s="235" t="str" cm="1">
        <f t="array" ref="CT140">IF(SnapshotTable[[#This Row],[SP Is Filled]], btc_should_buy_back(SnapshotTable[[#This Row],[SP Fill Date]], SnapshotTable[[#This Row],[SP Exp Date]], SnapshotTable[[#This Row],[SP Book Price]], SnapshotTable[[#This Row],[SP Current Ask]], MockToday, SnapshotTable[[#This Row],[SP Buyback Override]]),"")</f>
        <v/>
      </c>
      <c r="CU140" s="143"/>
      <c r="CV140" s="235"/>
      <c r="CW140" s="378" t="str">
        <f>IF(ISNUMBER( SnapshotTable[[#This Row],[SP Term]]), SnapshotTable[[#This Row],[SP Exp Date]] - MockToday,"")</f>
        <v/>
      </c>
      <c r="CX140" s="31" t="str">
        <f>IF(SnapshotTable[[#This Row],[SP Is Filled]],SnapshotTable[[#This Row],[SP Buyback Price to Use]] * 100 * SnapshotTable[[#This Row],[SP Qty]], "")</f>
        <v/>
      </c>
      <c r="CY140" s="4" t="str">
        <f>IF(ISNUMBER(SnapshotTable[[#This Row],[SP Strike Price]]), SnapshotTable[[#This Row],[SP Strike Price]] * (1 - SP_MaxLoss_StrikePct), "")</f>
        <v/>
      </c>
      <c r="CZ140" s="31" t="str">
        <f>IF(ISNUMBER(SnapshotTable[[#This Row],[SP Strike  Stop Per Share]]),SnapshotTable[[#This Row],[SP Premium]] - ((SnapshotTable[[#This Row],[SP Strike Price]]-SnapshotTable[[#This Row],[SP Strike  Stop Per Share]]) *(SnapshotTable[[#This Row],[SP Qty]] * 100)),"")</f>
        <v/>
      </c>
      <c r="DA140" s="4" t="str">
        <f>IF(AND(ISNUMBER(SnapshotTable[[#This Row],[SP Premium]]),SnapshotTable[[#This Row],[SP Premium]]&gt;0), SnapshotTable[[#This Row],[SP Book Price]] * (1 + SP_MaxLoss_OptionPct), "")</f>
        <v/>
      </c>
      <c r="DB140" s="31" t="str">
        <f>IF(ISNUMBER(SnapshotTable[[#This Row],[SP Option  Stop Contract]]),(SnapshotTable[[#This Row],[SP Option  Stop Contract]] *(SnapshotTable[[#This Row],[SP Qty]] * 100) - SnapshotTable[[#This Row],[SP Premium]]),"")</f>
        <v/>
      </c>
      <c r="DC140" s="4"/>
      <c r="DD140" s="4"/>
      <c r="DE140" s="4" t="str">
        <f>IF(AND(SnapshotTable[[#This Row],[SP Qty]]&gt;0, SnapshotTable[[#This Row],[SP Stop To Use]]&gt;0),SnapshotTable[[#This Row],[SP Premium]] - ( SnapshotTable[[#This Row],[SP Qty]] * SnapshotTable[[#This Row],[SP Stop To Use]] * 100), "")</f>
        <v/>
      </c>
      <c r="DF140" s="31" t="str">
        <f>IF(AND(SnapshotTable[[#This Row],[SP Qty]]&gt;0,SnapshotTable[[#This Row],[SP Current Ask]]&gt;0), SnapshotTable[[#This Row],[SP Qty]] * SnapshotTable[[#This Row],[SP Current Ask]] * -100, "")</f>
        <v/>
      </c>
      <c r="DG140" s="31" t="str">
        <f>IF(ISNUMBER((SnapshotTable[[#This Row],[SP Total Value]])), SnapshotTable[[#This Row],[SP Premium]] + SnapshotTable[[#This Row],[SP Total Value]], "")</f>
        <v/>
      </c>
      <c r="DH140" s="294" t="str">
        <f>IF(ISNUMBER((SnapshotTable[[#This Row],[SP Total Value]])), SnapshotTable[[#This Row],[SP Gain Loss]] / SnapshotTable[[#This Row],[SP Premium]], "")</f>
        <v/>
      </c>
      <c r="DI140" s="406"/>
      <c r="DJ140" s="138"/>
      <c r="DK140" s="148"/>
      <c r="DL140" s="13"/>
      <c r="DM140" s="13"/>
      <c r="DO140" s="31">
        <f>IF(SnapshotTable[[#This Row],[LC Symbol Count]]=1, SnapshotTable[[#This Row],[LC Qty]] * SnapshotTable[[#This Row],[LC Book Price]] * 100, 0)</f>
        <v>0</v>
      </c>
      <c r="DP140" s="163" t="str">
        <f>IF(AND(SnapshotTable[[#This Row],[LC Exp Date]]&gt;0, SnapshotTable[[#This Row],[LC Strike Price]]&gt;0,SnapshotTable[[#This Row],[LC Qty]]&gt;0,SnapshotTable[[#This Row],[LC Book Date]]&gt;0,SnapshotTable[[#This Row],[LC Book Price]]&gt;0,SnapshotTable[[#This Row],[LC Fill Date]]=0),"Y","")</f>
        <v/>
      </c>
      <c r="DQ140" s="386" t="str">
        <f>IF(SnapshotTable[[#This Row],[LC Premium]] &gt; 0,SnapshotTable[[#This Row],[LC Exp Date]]-MAX(SnapshotTable[[#This Row],[LC Book Date]], SnapshotTable[[#This Row],[LC Fill Date]]),"")</f>
        <v/>
      </c>
      <c r="DR140" s="386" t="str">
        <f>IF(ISNUMBER(SnapshotTable[[#This Row],[LC Term]]), SnapshotTable[[#This Row],[LC Exp Date]] - MockToday, "")</f>
        <v/>
      </c>
      <c r="DS140" s="234" t="str">
        <f>IF(SnapshotTable[[#This Row],[LC Premium]]&gt;0,SnapshotTable[[#This Row],[LC Strike Price]] + SnapshotTable[[#This Row],[LC Book Price]],"")</f>
        <v/>
      </c>
      <c r="DU140" s="9" t="str">
        <f>IF(AND(SnapshotTable[[#This Row],[LC Symbol Count]]&gt;0, SnapshotTable[[#This Row],[LC Contract Value]]&gt;0), SnapshotTable[[#This Row],[LC Contract Value]] * SnapshotTable[[#This Row],[LC Qty]] * 100, "")</f>
        <v/>
      </c>
      <c r="DV140" s="9" t="str">
        <f>IF(AND(ISNUMBER(SnapshotTable[[#This Row],[LC Total Value]]), SnapshotTable[[#This Row],[LC Not Filled]]&lt;&gt;"Y"), SnapshotTable[[#This Row],[LC Total Value]]-SnapshotTable[[#This Row],[LC Premium]],"")</f>
        <v/>
      </c>
      <c r="DW140" s="240" t="str">
        <f>IF(ISNUMBER(SnapshotTable[[#This Row],[LC Actual Gain Loss]]), SnapshotTable[[#This Row],[LC Actual Gain Loss]] / SnapshotTable[[#This Row],[LC Premium]],"")</f>
        <v/>
      </c>
      <c r="DX140" s="284" t="str">
        <f>IF(ISNUMBER(SnapshotTable[[#This Row],[LC Book Price]]),SnapshotTable[[#This Row],[LC Book Price]] * 1.5,"")</f>
        <v/>
      </c>
      <c r="DY140" s="265" t="str">
        <f>IF(SnapshotTable[[#This Row],[LC Premium]]&gt;0, SnapshotTable[[#This Row],[LC Next Target]] * SnapshotTable[[#This Row],[LC Qty]] * 100,"")</f>
        <v/>
      </c>
      <c r="DZ140" s="265" t="str">
        <f>IF(ISNUMBER(SnapshotTable[[#This Row],[LC Target Gross]]), SnapshotTable[[#This Row],[LC Target Gross]] - SnapshotTable[[#This Row],[LC Premium]], "")</f>
        <v/>
      </c>
      <c r="EA140" s="305" t="str">
        <f>IF(ISNUMBER(SnapshotTable[[#This Row],[LC Target Gain Loss]]), SnapshotTable[[#This Row],[LC Target Gain Loss]]/SnapshotTable[[#This Row],[LC Premium]], "")</f>
        <v/>
      </c>
      <c r="EB140" s="262"/>
      <c r="EC140" s="283" t="str">
        <f>IF(SnapshotTable[[#This Row],[LC Premium]]&gt;0, SnapshotTable[[#This Row],[LC Book Price]] * (1 - LC_StopLoss_Pct),"")</f>
        <v/>
      </c>
      <c r="ED140" s="284"/>
      <c r="EE140" s="283" t="str">
        <f>IF(ISNUMBER(SnapshotTable[[#This Row],[LC Contract Value]]),IF(ISNUMBER(SnapshotTable[[#This Row],[LC Stop Loss Override]]), SnapshotTable[[#This Row],[LC Stop Loss Override]],SnapshotTable[[#This Row],[LC Stop Loss Calc Target]]),"")</f>
        <v/>
      </c>
      <c r="EF140" s="31" t="str">
        <f>IF(ISNUMBER(SnapshotTable[[#This Row],[LC Stop  To Use]]), (SnapshotTable[[#This Row],[LC Stop  To Use]] * SnapshotTable[[#This Row],[LC Qty]] * 100),"")</f>
        <v/>
      </c>
      <c r="EG140" s="9" t="str">
        <f>IF(ISNUMBER(SnapshotTable[[#This Row],[LC Total Value]]),SnapshotTable[[#This Row],[LC Stop Loss Amount]] - SnapshotTable[[#This Row],[LC Premium]],"")</f>
        <v/>
      </c>
      <c r="EH140" s="9">
        <f>IF(ISNUMBER(SnapshotTable[[#This Row],[LC Premium]]), SnapshotTable[[#This Row],[LC Qty]] * 100 * SnapshotTable[[#This Row],[LC Strike Price]], "")</f>
        <v>0</v>
      </c>
      <c r="EI140" s="240" t="str">
        <f>IF(AND(ISNUMBER(SnapshotTable[[#This Row],[LC Total Value]]),SnapshotTable[[#This Row],[LC Total Value]]&gt;0),SnapshotTable[[#This Row],[LC Stop Gain Loss]]  / SnapshotTable[[#This Row],[LC Premium]],"")</f>
        <v/>
      </c>
      <c r="EJ140" s="35">
        <f>IF(ISNUMBER(SnapshotTable[[#This Row],[Equity Shares]]),TRUNC(SnapshotTable[[#This Row],[Equity Shares]] / 100),0) + SnapshotTable[[#This Row],[LC Qty]]</f>
        <v>0</v>
      </c>
      <c r="EK140" s="147"/>
      <c r="EL140" s="138" t="str">
        <f>IF(SnapshotTable[[#This Row],[SC Exp Date]]&lt;&gt;"",TRUNC(SnapshotTable[[#This Row],[Last Price]]),"")</f>
        <v/>
      </c>
      <c r="EM140" s="148"/>
      <c r="EN140" s="147"/>
      <c r="EO140" s="147"/>
      <c r="EP140" s="138"/>
      <c r="EQ140" s="419" t="b">
        <f>AND(ISNUMBER(SnapshotTable[[#This Row],[SC Exp Date]]), ISNUMBER(SnapshotTable[[#This Row],[SC Strike Price]]), ISNUMBER(SnapshotTable[[#This Row],[SC Qty]]), ISNUMBER(SnapshotTable[[#This Row],[SC Book Date]]), ISNUMBER(SnapshotTable[[#This Row],[SC Book Price]]))</f>
        <v>0</v>
      </c>
      <c r="ER140" s="419" t="b">
        <f>AND(SnapshotTable[[#This Row],[SC Is Booked]], NOT(ISBLANK(SnapshotTable[[#This Row],[SC Fill Date]])))</f>
        <v>0</v>
      </c>
      <c r="ES140" s="370"/>
      <c r="ET140" s="34" t="str">
        <f>IF(AND(ISNUMBER(SnapshotTable[[#This Row],[SC Exp Date]]), ISNUMBER(SnapshotTable[[#This Row],[SC Book Date]])), SnapshotTable[[#This Row],[SC Exp Date]] - MAX(SnapshotTable[[#This Row],[SC Book Date]], SnapshotTable[[#This Row],[SC Fill Date]]) + 1, "")</f>
        <v/>
      </c>
      <c r="EU140" s="34" t="str">
        <f>IF(ISNUMBER(SnapshotTable[[#This Row],[SC Term]]), SnapshotTable[[#This Row],[SC Exp Date]]- MockToday, "")</f>
        <v/>
      </c>
      <c r="EV140" s="31">
        <f>IF(SnapshotTable[[#This Row],[SC Is Booked]], SnapshotTable[[#This Row],[SC Qty]] * SnapshotTable[[#This Row],[SC Book Price]] * 100, 0)</f>
        <v>0</v>
      </c>
      <c r="EW140" s="4" t="str">
        <f>IF(AND(ISNUMBER(SnapshotTable[[#This Row],[Last Price]]), ISNUMBER( SnapshotTable[[#This Row],[SC Book Price]])), SnapshotTable[[#This Row],[Last Price]] - SnapshotTable[[#This Row],[SC Book Price]],"")</f>
        <v/>
      </c>
      <c r="EX140" s="234" t="str">
        <f>IF(SnapshotTable[[#This Row],[SC Is Booked]],IF(SnapshotTable[[#This Row],[SC Intrinsic Value]] &gt; 0, SnapshotTable[[#This Row],[SC Strike Price]], SnapshotTable[[#This Row],[Last Price]]), "")</f>
        <v/>
      </c>
      <c r="EY140" s="4">
        <f>IF(SnapshotTable[[#This Row],[SC Is Booked]], (MinimumPremiumRequired * SnapshotTable[[#This Row],[SC Basis]] * SnapshotTable[[#This Row],[SC Term]]), 0)</f>
        <v>0</v>
      </c>
      <c r="EZ140" s="283"/>
      <c r="FA140" s="218"/>
      <c r="FB140" s="370"/>
      <c r="FC140" s="4">
        <f>IF(SnapshotTable[[#This Row],[SC Is Filled]], btc_max_buyback_amount(SnapshotTable[[#This Row],[SC Fill Date]],SnapshotTable[[#This Row],[SC Exp Date]], SnapshotTable[[#This Row],[SC Book Price]]),0)</f>
        <v>0</v>
      </c>
      <c r="FD140" s="5"/>
      <c r="FE140" s="144" t="str">
        <f>IF(SnapshotTable[[#This Row],[SC Is Filled]], btc_next_cutoff_date(SnapshotTable[[#This Row],[SC Fill Date]],SnapshotTable[[#This Row],[SC Exp Date]]),"")</f>
        <v/>
      </c>
      <c r="FF140" s="4" t="str" cm="1">
        <f t="array" ref="FF140">IF(SnapshotTable[[#This Row],[SC Is Filled]], btc_should_buy_back(SnapshotTable[[#This Row],[SC Fill Date]], SnapshotTable[[#This Row],[SC Exp Date]], SnapshotTable[[#This Row],[SC Book Price]], SnapshotTable[[#This Row],[SC Current Ask]], MockToday, SnapshotTable[[#This Row],[SC Buyback Override]]),"")</f>
        <v/>
      </c>
      <c r="FG140" s="4">
        <f>IF(SnapshotTable[[#This Row],[SC Is Filled]], MAX(0,SnapshotTable[[#This Row],[Last Price]]  - SnapshotTable[[#This Row],[SC Strike Price]]), 0)</f>
        <v>0</v>
      </c>
      <c r="FH140" s="382">
        <f>IF(SnapshotTable[[#This Row],[SC Is Filled]], IF(ISNUMBER(SnapshotTable[[#This Row],[SC Current Ask]]), SnapshotTable[[#This Row],[SC Current Ask]], SnapshotTable[[#This Row],[SC Book Price]]) - SnapshotTable[[#This Row],[SC Intrinsic Value]], 0)</f>
        <v>0</v>
      </c>
      <c r="FI140" s="143"/>
      <c r="FJ140" s="32" t="str">
        <f>IF(SnapshotTable[[#This Row],[SC Is Filled]],100 * SnapshotTable[[#This Row],[SC Qty]] * IF(ISNUMBER(SnapshotTable[[#This Row],[SC Buyback Override]]), SnapshotTable[[#This Row],[SC Buyback Override]], SnapshotTable[[#This Row],[SC Current Ask]]), "")</f>
        <v/>
      </c>
      <c r="FK140" s="250" t="str">
        <f>IF(SnapshotTable[[#This Row],[SC Time Val]]&gt;0, SnapshotTable[[#This Row],[SC Time Val]] / SnapshotTable[[#This Row],[Last Price]],"")</f>
        <v/>
      </c>
      <c r="FL140" s="302" t="str">
        <f>IF(SnapshotTable[[#This Row],[SC Is Booked]], ((SnapshotTable[[#This Row],[Last Price]] -SnapshotTable[[#This Row],[SC Strike Price]]) / SnapshotTable[[#This Row],[Last Price]]) * -1, "")</f>
        <v/>
      </c>
      <c r="FM140" s="157" t="str">
        <f>IF(SnapshotTable[[#This Row],[SC Is Booked]],  (SnapshotTable[[#This Row],[SC Qty]] * 100 * SnapshotTable[[#This Row],[SC Strike Price]]) - SnapshotTable[[#This Row],[SC Current Ask]], "")</f>
        <v/>
      </c>
      <c r="FN14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0" s="31" t="str">
        <f>IF(AND(ISNUMBER(SnapshotTable[[#This Row],[SC Exercise Gross]]), ISNUMBER(SnapshotTable[[#This Row],[Equity Basis Per Share]] )), SnapshotTable[[#This Row],[SC Exercise Gross]] - SnapshotTable[[#This Row],[Equity Basis Total]] +  SnapshotTable[[#This Row],[SC Premium]], "")</f>
        <v/>
      </c>
      <c r="FP140" s="5" t="str">
        <f>IF(ISNUMBER(SnapshotTable[[#This Row],[SC Exercise Gross]]), (SnapshotTable[[#This Row],[SC Exercise Gross]]) / (SnapshotTable[[#This Row],[SC Qty]] * 100), "")</f>
        <v/>
      </c>
      <c r="FQ140" s="27" t="str">
        <f>IF(SnapshotTable[[#This Row],[SC Is Booked]],SnapshotTable[[#This Row],[SC Time Val]] /SnapshotTable[[#This Row],[SC Basis]], "")</f>
        <v/>
      </c>
      <c r="FR140" s="27" t="str" cm="1">
        <f t="array" ref="FR140">IF(AND(ISNUMBER(SnapshotTable[[#This Row],[SC Term]]),ISNUMBER(SnapshotTable[[#This Row],[SC Simple ROO]])), EllmanAnnualize(SnapshotTable[[#This Row],[SC DTE]], SnapshotTable[[#This Row],[SC Simple ROO]] ),"")</f>
        <v/>
      </c>
      <c r="FS140" s="4" t="e">
        <f>IF(SnapshotTable[[#This Row],[SC Strike Price]] &gt; SnapshotTable[[#This Row],[Last Price]], SnapshotTable[[#This Row],[SC Strike Price]] - SnapshotTable[[#This Row],[Last Price]],0)</f>
        <v>#VALUE!</v>
      </c>
      <c r="FT140" s="27" t="e">
        <f>IF(AND(ISNUMBER(SnapshotTable[[#This Row],[SC Upside Potential]]), SnapshotTable[[#This Row],[SC Upside Potential]] &gt; 0),(SnapshotTable[[#This Row],[SC Upside Potential]]/ SnapshotTable[[#This Row],[ACB]]),"")</f>
        <v>#VALUE!</v>
      </c>
      <c r="FU140" s="333" t="str">
        <f>IF(SnapshotTable[[#This Row],[SC Intrinsic Value]] &gt; 0,SnapshotTable[[#This Row],[SC Intrinsic Value]],"")</f>
        <v/>
      </c>
      <c r="FV140" s="27" t="str">
        <f>IF(AND( ISNUMBER( SnapshotTable[[#This Row],[ACB]]),ISNUMBER(SnapshotTable[[#This Row],[SC Downside Protect]])),SnapshotTable[[#This Row],[SC Downside Protect]] / SnapshotTable[[#This Row],[ACB]],"")</f>
        <v/>
      </c>
      <c r="FW140" s="236" t="str">
        <f>IF(AND(ISNUMBER(SnapshotTable[[#This Row],[SC Simple ROO]]),SnapshotTable[[#This Row],[SC Simple ROO]] &gt; 0), SnapshotTable[[#This Row],[SC Premium]] + (SnapshotTable[[#This Row],[SC Qty]] * SnapshotTable[[#This Row],[SC Upside Potential]]), "")</f>
        <v/>
      </c>
      <c r="FX140" s="302" t="str" cm="1">
        <f t="array" ref="FX140">IF(ISNUMBER(SnapshotTable[[#This Row],[SC Max Dollars]]), annualize(SnapshotTable[[#This Row],[SC Term]],(SnapshotTable[[#This Row],[SC Max Dollars]]/SnapshotTable[[#This Row],[SC Basis]])),"")</f>
        <v/>
      </c>
      <c r="FY140" s="236" t="str">
        <f>IF(AND(SnapshotTable[[#This Row],[SC Qty]]&gt;0,SnapshotTable[[#This Row],[SC Current Ask]]&gt;0), SnapshotTable[[#This Row],[SC Qty]] * SnapshotTable[[#This Row],[SC Current Ask]] * -100, "")</f>
        <v/>
      </c>
      <c r="FZ140" s="31" t="str">
        <f>IF(ISNUMBER((SnapshotTable[[#This Row],[SC Current Value]])), SnapshotTable[[#This Row],[SC Premium]] + SnapshotTable[[#This Row],[SC Current Value]], "")</f>
        <v/>
      </c>
      <c r="GA140" s="294" t="str">
        <f>IFERROR( IF(ISNUMBER((SnapshotTable[[#This Row],[SC Current Value]])), SnapshotTable[[#This Row],[SC Gain Loss]] / SnapshotTable[[#This Row],[SC Premium]], ""), "")</f>
        <v/>
      </c>
      <c r="GB140" s="42">
        <f>SnapshotTable[[#This Row],[Equity Shares]] * SaleSharesToConsiderPercentage</f>
        <v>0</v>
      </c>
      <c r="GC140" s="40">
        <f>SnapshotTable[[#This Row],[Long Term Target]] * SellingPriceToConsiderBasedOnTargetPercentage</f>
        <v>120.64999999999999</v>
      </c>
      <c r="GD140" s="40">
        <f>SnapshotTable[[#This Row],[Last Price]] * (1+ SellingPriceToConsiderBasedOnTargetPercentage)</f>
        <v>452.55600000000004</v>
      </c>
      <c r="GE140" s="41"/>
      <c r="GF140" s="40"/>
      <c r="GG140" s="31">
        <f>SnapshotTable[[#This Row],[Booked Sale Shares]] * SnapshotTable[[#This Row],[Booked Sale Price]]</f>
        <v>0</v>
      </c>
      <c r="GH140" s="31" t="str">
        <f>IF(SnapshotTable[[#This Row],[Equity Basis Total]] &gt; 0, SnapshotTable[[#This Row],[Equity Basis Per Share]] * SnapshotTable[[#This Row],[Booked Sale Shares]], "")</f>
        <v/>
      </c>
      <c r="GI140" s="31">
        <f>IF(SnapshotTable[[#This Row],[Sale Proceeds]]&gt;0, SnapshotTable[[#This Row],[Sale Proceeds]] - SnapshotTable[[#This Row],[Sale Basis]], 0)</f>
        <v>0</v>
      </c>
      <c r="GJ140" s="27" t="str">
        <f>IF(SnapshotTable[[#This Row],[Sale G/L]]&gt;0, SnapshotTable[[#This Row],[Sale G/L]] / SnapshotTable[[#This Row],[Sale Basis]], IF(ISNUMBER(SnapshotTable[[#This Row],[SC Exercise P&amp;L (TAX)]]), SnapshotTable[[#This Row],[SC Exercise P&amp;L (TAX)]] / SnapshotTable[[#This Row],[SC Basis]], ""))</f>
        <v/>
      </c>
      <c r="GK140" s="27"/>
      <c r="GL140" s="43" t="str">
        <f>IF(AND(SnapshotTable[[#This Row],[LP Exp Date]]&gt;0,SnapshotTable[[#This Row],[LP Strike Price]]&gt;0), [1]!ToOptionSymbol(SnapshotTable[[#This Row],[Symbol]], SnapshotTable[[#This Row],[LP Strike Price]],SnapshotTable[[#This Row],[LP Exp Date]],1), "")</f>
        <v/>
      </c>
      <c r="GM140" s="30" t="str">
        <f>IF(LEN(SnapshotTable[[#This Row],[LP Symbol]])&gt;0, 1, "")</f>
        <v/>
      </c>
      <c r="GN140" s="43" t="str">
        <f>IF(AND(SnapshotTable[[#This Row],[SP Exp Date]]&gt;0,SnapshotTable[[#This Row],[SP Strike Price]]&gt;0), [1]!ToOptionSymbol(SnapshotTable[[#This Row],[Symbol]], SnapshotTable[[#This Row],[SP Strike Price]],SnapshotTable[[#This Row],[SP Exp Date]],1), "")</f>
        <v/>
      </c>
      <c r="GO140" s="30" t="str">
        <f>IF(LEN(SnapshotTable[[#This Row],[SP Symbol]])&gt;0, 1, "")</f>
        <v/>
      </c>
      <c r="GP140" s="43" t="str">
        <f>IF(AND(SnapshotTable[[#This Row],[LC Exp Date]]&gt;0,SnapshotTable[[#This Row],[LC Strike Price]]&gt;0), [1]!ToOptionSymbol(SnapshotTable[[#This Row],[Symbol]], SnapshotTable[[#This Row],[LC Strike Price]],SnapshotTable[[#This Row],[LC Exp Date]],0), "")</f>
        <v/>
      </c>
      <c r="GQ140" s="30" t="str">
        <f>IF(LEN(SnapshotTable[[#This Row],[LC Symbol]])&gt;0, 1, "")</f>
        <v/>
      </c>
      <c r="GR140" s="43" t="str">
        <f>IF(AND(SnapshotTable[[#This Row],[SC Exp Date]]&gt;0,SnapshotTable[[#This Row],[SC Strike Price]]&gt;0), [1]!ToOptionSymbol(SnapshotTable[[#This Row],[Symbol]], SnapshotTable[[#This Row],[SC Strike Price]],SnapshotTable[[#This Row],[SC Exp Date]],0), "")</f>
        <v/>
      </c>
      <c r="GS140" s="30" t="str">
        <f>IF(LEN(SnapshotTable[[#This Row],[SC Symbol]])&gt;0, 1, "")</f>
        <v/>
      </c>
      <c r="GT140" s="29" t="str">
        <f>IF(COUNT(SnapshotTable[[#This Row],[LP Symbol Count]],SnapshotTable[[#This Row],[SP Symbol Count]],SnapshotTable[[#This Row],[LC Symbol Count]],SnapshotTable[[#This Row],[SC Symbol Count]])&gt;0, "Y", "")</f>
        <v/>
      </c>
      <c r="GU14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0" s="231" t="e">
        <f>MAX(SnapshotTable[[#This Row],[Equity Basis Total]],SnapshotTable[[#This Row],[Equity Value]]) + (SnapshotTable[[#This Row],[SP Potential Spend]]- SnapshotTable[[#This Row],[SP Premium]] + SnapshotTable[[#This Row],[LP Premium]])+ (SnapshotTable[[#This Row],[LC Premium]] - SnapshotTable[[#This Row],[SC Premium]])</f>
        <v>#VALUE!</v>
      </c>
      <c r="GW140" s="139" t="e">
        <f>IF(AND(SnapshotTable[[#This Row],[Exposure]] &lt;&gt; 0),SnapshotTable[[#This Row],[Exposure]] / SnapshotTable[[#Totals],[Exposure]], "")</f>
        <v>#VALUE!</v>
      </c>
      <c r="HE140" s="268"/>
      <c r="HF140" s="268"/>
      <c r="HK140" s="1"/>
      <c r="HL140" s="1"/>
      <c r="HM140" s="1"/>
      <c r="HN140" s="1"/>
      <c r="HO140" s="1"/>
      <c r="HP140" s="1"/>
    </row>
    <row r="141" spans="2:224" ht="13.5" hidden="1" customHeight="1" x14ac:dyDescent="0.25">
      <c r="B141" s="12" t="s">
        <v>973</v>
      </c>
      <c r="C141" s="422">
        <v>188.42</v>
      </c>
      <c r="D141" s="208" t="s">
        <v>974</v>
      </c>
      <c r="E141" s="39">
        <f>SnapshotTable[[#This Row],[Last Price]]*(1 -CrashDiscount)</f>
        <v>160.15699999999998</v>
      </c>
      <c r="F141" s="26" t="s">
        <v>840</v>
      </c>
      <c r="G141" s="26" t="s">
        <v>9</v>
      </c>
      <c r="H141" s="149"/>
      <c r="I141" s="194">
        <v>44985</v>
      </c>
      <c r="J141" s="195">
        <v>44985</v>
      </c>
      <c r="K141" s="196"/>
      <c r="L141" s="326"/>
      <c r="M141" s="140"/>
      <c r="N141" s="140"/>
      <c r="O141" s="140"/>
      <c r="P141" s="22"/>
      <c r="Q141" s="25"/>
      <c r="R141" s="4" t="str">
        <f>IF(SnapshotTable[[#This Row],[Equity Basis Total]] &gt; 0, SnapshotTable[[#This Row],[Equity Basis Total]] / SnapshotTable[[#This Row],[Equity Shares]], "")</f>
        <v/>
      </c>
      <c r="S141" s="269">
        <f>SnapshotTable[[#This Row],[Last Price]] * SnapshotTable[[#This Row],[Equity Shares]]</f>
        <v>0</v>
      </c>
      <c r="T141" s="269">
        <f>SnapshotTable[[#This Row],[Equity Value]] - SnapshotTable[[#This Row],[Equity Basis Total]]</f>
        <v>0</v>
      </c>
      <c r="U141" s="270" t="str">
        <f>IF(SnapshotTable[[#This Row],[Equity Basis Total]] &gt; 0, SnapshotTable[[#This Row],[Equity G/L]] / SnapshotTable[[#This Row],[Equity Basis Total]], "")</f>
        <v/>
      </c>
      <c r="V141" s="268"/>
      <c r="W141" s="268"/>
      <c r="X141" s="4" t="str">
        <f>IF(AND(ISNUMBER(SnapshotTable[[#This Row],[Equity Basis Per Share]]),ISNUMBER(SnapshotTable[[#This Row],[Equity Target]])),SnapshotTable[[#This Row],[Equity Target]]-SnapshotTable[[#This Row],[Equity Basis Per Share]],"")</f>
        <v/>
      </c>
      <c r="Y141" s="4" t="str">
        <f>IF(AND(ISNUMBER(SnapshotTable[[#This Row],[Equity Basis Per Share]]),ISNUMBER(SnapshotTable[[#This Row],[Equity Stop Loss]])),SnapshotTable[[#This Row],[Equity Stop Loss]]-SnapshotTable[[#This Row],[Equity Basis Per Share]],"")</f>
        <v/>
      </c>
      <c r="Z141" s="275" t="str">
        <f>IFERROR( TEXT(SnapshotTable[[#This Row],[Equity Max Gain Per Share]] /ABS( SnapshotTable[[#This Row],[Equity Max Loss Per Share]]),"0.0 " ) &amp; " : 1", "")</f>
        <v/>
      </c>
      <c r="AA141" s="31" t="str">
        <f>IF(ISNUMBER(SnapshotTable[[#This Row],[Equity Max Gain Per Share]]),SnapshotTable[[#This Row],[Equity Max Gain Per Share]] * SnapshotTable[[#This Row],[Equity Shares]],"")</f>
        <v/>
      </c>
      <c r="AB141" s="31" t="str">
        <f>IF(ISNUMBER(SnapshotTable[[#This Row],[Equity Max Loss Per Share]]),SnapshotTable[[#This Row],[Equity Max Loss Per Share]] * SnapshotTable[[#This Row],[Equity Shares]],"")</f>
        <v/>
      </c>
      <c r="AC141" s="150"/>
      <c r="AD141" s="151"/>
      <c r="AE141" s="31">
        <f>(SnapshotTable[[#This Row],[Annual Dividend Per Share]] / 4) * SnapshotTable[[#This Row],[Equity Shares]]</f>
        <v>0</v>
      </c>
      <c r="AF141" s="31">
        <f>SnapshotTable[[#This Row],[Quarterly Div $]] * 4</f>
        <v>0</v>
      </c>
      <c r="AG141" s="7">
        <f>IF(SnapshotTable[[#This Row],[Annual Dividend Per Share]]&gt;0, SnapshotTable[[#This Row],[Annual Dividend Per Share]]  / SnapshotTable[[#This Row],[Last Price]], 0)</f>
        <v>0</v>
      </c>
      <c r="AH141" s="151"/>
      <c r="AI141" s="5"/>
      <c r="AJ141" s="138">
        <v>560</v>
      </c>
      <c r="AK141" s="152" t="str">
        <f>IF(ISNUMBER( SnapshotTable[[#This Row],[EBF Target]]),(SnapshotTable[[#This Row],[EBF Target]] - SnapshotTable[[#This Row],[Last Price]]) / SnapshotTable[[#This Row],[Last Price]], "")</f>
        <v/>
      </c>
      <c r="AL141" s="152" t="str">
        <f>IF(AND(SnapshotTable[[#This Row],[Equity Basis Total]] &gt; 0,ISNUMBER( SnapshotTable[[#This Row],[Long Term Target]])), SnapshotTable[[#This Row],[From Basis $]] / SnapshotTable[[#This Row],[Equity Basis Total]], "")</f>
        <v/>
      </c>
      <c r="AM141" s="9">
        <f>IF( AND(SnapshotTable[[#This Row],[Equity Shares]] &gt;0,ISNUMBER( SnapshotTable[[#This Row],[Long Term Target]])),(SnapshotTable[[#This Row],[Equity Shares]] * SnapshotTable[[#This Row],[Long Term Target]]) - SnapshotTable[[#This Row],[Equity Basis Total]],0)</f>
        <v>0</v>
      </c>
      <c r="AN141" s="9">
        <f>IF( AND(SnapshotTable[[#This Row],[Equity Shares]] &gt;0,ISNUMBER( SnapshotTable[[#This Row],[Long Term Target]])),(SnapshotTable[[#This Row],[Equity Shares]]*SnapshotTable[[#This Row],[Long Term Target]]) - SnapshotTable[[#This Row],[Equity Value]],0)</f>
        <v>0</v>
      </c>
      <c r="AO141" s="152">
        <f>IF(AND(ISNUMBER( SnapshotTable[[#This Row],[Long Term Target]]), ISNUMBER(SnapshotTable[[#This Row],[Last Price]])),(SnapshotTable[[#This Row],[Long Term Target]] - SnapshotTable[[#This Row],[Last Price]]) / SnapshotTable[[#This Row],[Last Price]], "")</f>
        <v>1.9720836429253799</v>
      </c>
      <c r="AP141" s="5"/>
      <c r="AQ141" s="38" t="s">
        <v>110</v>
      </c>
      <c r="AR141" s="5"/>
      <c r="AS141" s="38" t="s">
        <v>26</v>
      </c>
      <c r="AT141" s="146"/>
      <c r="AU141" s="187" t="str">
        <f>IF(OR(SnapshotTable[[#This Row],[LP No Fill]]="Y",SnapshotTable[[#This Row],[SP Is Filled]],SnapshotTable[[#This Row],[LC Not Filled]]="Y",SnapshotTable[[#This Row],[SC Is Filled]]),"Y","")</f>
        <v/>
      </c>
      <c r="AV141" s="219"/>
      <c r="AW141" s="225"/>
      <c r="AX141" s="220"/>
      <c r="AY141" s="219" t="str">
        <f>IF(SnapshotTable[[#This Row],[Implied Move]]&gt;0, SnapshotTable[[#This Row],[Last Price]]-SnapshotTable[[#This Row],[Implied Move]],"")</f>
        <v/>
      </c>
      <c r="AZ141" s="219" t="str">
        <f>IF(SnapshotTable[[#This Row],[Implied Move]]&gt;0, SnapshotTable[[#This Row],[Last Price]] + SnapshotTable[[#This Row],[Implied Move]],"")</f>
        <v/>
      </c>
      <c r="BA141" s="331">
        <v>433.48</v>
      </c>
      <c r="BB141" s="347"/>
      <c r="BC14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1" s="351"/>
      <c r="BE141" s="5"/>
      <c r="BF141" s="14"/>
      <c r="BG141" s="13"/>
      <c r="BH141" s="13"/>
      <c r="BI141" s="5"/>
      <c r="BJ141" s="136">
        <f>IF(SnapshotTable[[#This Row],[LP Qty]] &gt; 0, SnapshotTable[[#This Row],[LP Qty]] * SnapshotTable[[#This Row],[LP Book Price]] * 100,0)</f>
        <v>0</v>
      </c>
      <c r="BK141" s="136">
        <f>IF(SnapshotTable[[#This Row],[LP Premium]] &gt; 0, SnapshotTable[[#This Row],[LP Qty]] * SnapshotTable[[#This Row],[LP Strike Price]] * 100,0)</f>
        <v>0</v>
      </c>
      <c r="BL141" s="154"/>
      <c r="BM141" s="385" t="str">
        <f>IF(SnapshotTable[[#This Row],[LP Premium]] &gt; 0,SnapshotTable[[#This Row],[LP Exp Date]]-MAX(SnapshotTable[[#This Row],[LP Book Date]], SnapshotTable[[#This Row],[LP Fill Date]]),"")</f>
        <v/>
      </c>
      <c r="BN141" s="385" t="str">
        <f>IF(ISNUMBER( SnapshotTable[[#This Row],[LP Term]]), SnapshotTable[[#This Row],[LP Exp Date]] - MockToday,"")</f>
        <v/>
      </c>
      <c r="BO141" s="163" t="str">
        <f>IF(AND(SnapshotTable[[#This Row],[LP Exp Date]]&gt;0, SnapshotTable[[#This Row],[LP Strike Price]]&gt;0,SnapshotTable[[#This Row],[LP Qty]]&gt;0,SnapshotTable[[#This Row],[LP Book Date]]&gt;0,SnapshotTable[[#This Row],[LP Book Price]]&gt;0,SnapshotTable[[#This Row],[LP Fill Date]]=0),"Y","")</f>
        <v/>
      </c>
      <c r="BP141" s="31" t="str">
        <f>IF(AND(SnapshotTable[[#This Row],[LP No Fill]]&lt;&gt;"Y",SnapshotTable[[#This Row],[LP Contract Value]]&gt;0, SnapshotTable[[#This Row],[LP Qty]]&gt;0), SnapshotTable[[#This Row],[LP Contract Value]]*SnapshotTable[[#This Row],[LP Qty]]*100,"")</f>
        <v/>
      </c>
      <c r="BQ141" s="13"/>
      <c r="BR141" s="5" t="str">
        <f>IF(SnapshotTable[[#This Row],[SP Exp Date]]&lt;&gt;"",TRUNC(SnapshotTable[[#This Row],[Last Price]]),"")</f>
        <v/>
      </c>
      <c r="BS141" s="36"/>
      <c r="BT141" s="147"/>
      <c r="BU141" s="13"/>
      <c r="BV141" s="5"/>
      <c r="BW141" s="419" t="b">
        <f>AND(ISNUMBER(SnapshotTable[[#This Row],[SP Exp Date]]), ISNUMBER(SnapshotTable[[#This Row],[SP Strike Price]]), ISNUMBER(SnapshotTable[[#This Row],[SP Qty]]), ISNUMBER(SnapshotTable[[#This Row],[SP Book Date]]), ISNUMBER(SnapshotTable[[#This Row],[SP Book Price]]))</f>
        <v>0</v>
      </c>
      <c r="BX141" s="419" t="b">
        <f>AND(SnapshotTable[[#This Row],[SP Is Booked]], NOT(ISBLANK(SnapshotTable[[#This Row],[SP Fill Date]])))</f>
        <v>0</v>
      </c>
      <c r="BY141" s="33">
        <f>IF(SnapshotTable[[#This Row],[SP Is Booked]], SnapshotTable[[#This Row],[SP Qty]] * SnapshotTable[[#This Row],[SP Book Price]] * 100, 0)</f>
        <v>0</v>
      </c>
      <c r="BZ141" s="369"/>
      <c r="CA141" s="368">
        <f>SnapshotTable[[#This Row],[LP Qty]]</f>
        <v>0</v>
      </c>
      <c r="CB141" s="4" t="str">
        <f>IF(SnapshotTable[[#This Row],[SP Is Booked]], SnapshotTable[[#This Row],[SP Strike Price]] - SnapshotTable[[#This Row],[SP Book Price]], "")</f>
        <v/>
      </c>
      <c r="CC141" s="19" t="str">
        <f>IF(SnapshotTable[[#This Row],[SP Is Booked]],SnapshotTable[[#This Row],[SP Exp Date]]-MAX(SnapshotTable[[#This Row],[SP Book Date]], SnapshotTable[[#This Row],[SP Fill Date]]),"")</f>
        <v/>
      </c>
      <c r="CD141" s="7" t="str">
        <f>IF(SnapshotTable[[#This Row],[SP Is Booked]], SnapshotTable[[#This Row],[SP Book Price]]/SnapshotTable[[#This Row],[SP Strike Price]], "")</f>
        <v/>
      </c>
      <c r="CE141" s="7" t="str">
        <f>IF(ISNUMBER(SnapshotTable[[#This Row],[SP ROO Term]]),SnapshotTable[[#This Row],[SP ROO Term]]*(365/SnapshotTable[[#This Row],[SP Term]]),"")</f>
        <v/>
      </c>
      <c r="CF141" s="236">
        <f>SnapshotTable[[#This Row],[LP Strike Price]] * SnapshotTable[[#This Row],[LP Qty]] * 100</f>
        <v>0</v>
      </c>
      <c r="CG141" s="31" t="e">
        <f>IF(ISNUMBER(SnapshotTable[[#This Row],[SP Premium]]), (SnapshotTable[[#This Row],[SP Qty]] * SnapshotTable[[#This Row],[SP Strike Price]]* 100) - SnapshotTable[[#This Row],[LP Protection]], 0)</f>
        <v>#VALUE!</v>
      </c>
      <c r="CH141" s="7" t="str">
        <f>IF(ISNUMBER(SnapshotTable[[#This Row],[SP Break Even]]),-1 * (SnapshotTable[[#This Row],[SP Break Even]] - SnapshotTable[[#This Row],[Last Price]]) / SnapshotTable[[#This Row],[Last Price]], "")</f>
        <v/>
      </c>
      <c r="CI141" s="31">
        <f>IF(AND(ISNUMBER((SnapshotTable[[#This Row],[SP Potential Spend]])), SnapshotTable[[#This Row],[SP Strike Price]] &gt; SnapshotTable[[#This Row],[Last Price]], SnapshotTable[[#This Row],[SP Is Filled]]), SnapshotTable[[#This Row],[SP Potential Spend]] -  SnapshotTable[[#This Row],[LP Max Value]], 0)</f>
        <v>0</v>
      </c>
      <c r="CJ141" s="244">
        <v>0.4</v>
      </c>
      <c r="CK141" s="31" t="str">
        <f>IF(ISNUMBER(SnapshotTable[[#This Row],[SP Potential Spend]]),IF(ISNUMBER(SnapshotTable[[#This Row],[SP POW]]), SnapshotTable[[#This Row],[SP POW]] * SnapshotTable[[#This Row],[SP Potential Spend]], SnapshotTable[[#This Row],[SP Potential Spend]]), "")</f>
        <v/>
      </c>
      <c r="CL141" s="164" t="e">
        <f>IF(NOT(SnapshotTable[[#This Row],[SP Is Filled]]),(SnapshotTable[[#This Row],[SP Qty]] * SnapshotTable[[#This Row],[SP Strike Price]] * 100) - SnapshotTable[[#This Row],[LP Max Value]],"")</f>
        <v>#VALUE!</v>
      </c>
      <c r="CM141" s="31" t="str">
        <f>IF(SnapshotTable[[#This Row],[SP Actual Spend]]&lt;&gt;0, ((SnapshotTable[[#This Row],[SP Strike Price]]-SnapshotTable[[#This Row],[Last Price]]) *(SnapshotTable[[#This Row],[SP Qty]]*100) - SnapshotTable[[#This Row],[SP Premium]]) * - 1, "")</f>
        <v/>
      </c>
      <c r="CN141" s="218"/>
      <c r="CO141" s="369"/>
      <c r="CP141" s="4" t="str">
        <f>IF(SnapshotTable[[#This Row],[SP Is Filled]], btc_max_buyback_amount(SnapshotTable[[#This Row],[SP Fill Date]],SnapshotTable[[#This Row],[SP Exp Date]], SnapshotTable[[#This Row],[SP Book Price]]),"")</f>
        <v/>
      </c>
      <c r="CQ141" s="78"/>
      <c r="CR14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1" s="155" t="str">
        <f>IF(SnapshotTable[[#This Row],[SP Is Filled]], btc_next_cutoff_date(SnapshotTable[[#This Row],[SP Fill Date]],SnapshotTable[[#This Row],[SP Exp Date]]),"")</f>
        <v/>
      </c>
      <c r="CT141" s="235" t="str" cm="1">
        <f t="array" ref="CT141">IF(SnapshotTable[[#This Row],[SP Is Filled]], btc_should_buy_back(SnapshotTable[[#This Row],[SP Fill Date]], SnapshotTable[[#This Row],[SP Exp Date]], SnapshotTable[[#This Row],[SP Book Price]], SnapshotTable[[#This Row],[SP Current Ask]], MockToday, SnapshotTable[[#This Row],[SP Buyback Override]]),"")</f>
        <v/>
      </c>
      <c r="CU141" s="143"/>
      <c r="CV141" s="235"/>
      <c r="CW141" s="378" t="str">
        <f>IF(ISNUMBER( SnapshotTable[[#This Row],[SP Term]]), SnapshotTable[[#This Row],[SP Exp Date]] - MockToday,"")</f>
        <v/>
      </c>
      <c r="CX141" s="31" t="str">
        <f>IF(SnapshotTable[[#This Row],[SP Is Filled]],SnapshotTable[[#This Row],[SP Buyback Price to Use]] * 100 * SnapshotTable[[#This Row],[SP Qty]], "")</f>
        <v/>
      </c>
      <c r="CY141" s="4" t="str">
        <f>IF(ISNUMBER(SnapshotTable[[#This Row],[SP Strike Price]]), SnapshotTable[[#This Row],[SP Strike Price]] * (1 - SP_MaxLoss_StrikePct), "")</f>
        <v/>
      </c>
      <c r="CZ141" s="31" t="str">
        <f>IF(ISNUMBER(SnapshotTable[[#This Row],[SP Strike  Stop Per Share]]),SnapshotTable[[#This Row],[SP Premium]] - ((SnapshotTable[[#This Row],[SP Strike Price]]-SnapshotTable[[#This Row],[SP Strike  Stop Per Share]]) *(SnapshotTable[[#This Row],[SP Qty]] * 100)),"")</f>
        <v/>
      </c>
      <c r="DA141" s="4" t="str">
        <f>IF(AND(ISNUMBER(SnapshotTable[[#This Row],[SP Premium]]),SnapshotTable[[#This Row],[SP Premium]]&gt;0), SnapshotTable[[#This Row],[SP Book Price]] * (1 + SP_MaxLoss_OptionPct), "")</f>
        <v/>
      </c>
      <c r="DB141" s="31" t="str">
        <f>IF(ISNUMBER(SnapshotTable[[#This Row],[SP Option  Stop Contract]]),(SnapshotTable[[#This Row],[SP Option  Stop Contract]] *(SnapshotTable[[#This Row],[SP Qty]] * 100) - SnapshotTable[[#This Row],[SP Premium]]),"")</f>
        <v/>
      </c>
      <c r="DC141" s="4"/>
      <c r="DD141" s="4"/>
      <c r="DE141" s="4" t="str">
        <f>IF(AND(SnapshotTable[[#This Row],[SP Qty]]&gt;0, SnapshotTable[[#This Row],[SP Stop To Use]]&gt;0),SnapshotTable[[#This Row],[SP Premium]] - ( SnapshotTable[[#This Row],[SP Qty]] * SnapshotTable[[#This Row],[SP Stop To Use]] * 100), "")</f>
        <v/>
      </c>
      <c r="DF141" s="31" t="str">
        <f>IF(AND(SnapshotTable[[#This Row],[SP Qty]]&gt;0,SnapshotTable[[#This Row],[SP Current Ask]]&gt;0), SnapshotTable[[#This Row],[SP Qty]] * SnapshotTable[[#This Row],[SP Current Ask]] * -100, "")</f>
        <v/>
      </c>
      <c r="DG141" s="31" t="str">
        <f>IF(ISNUMBER((SnapshotTable[[#This Row],[SP Total Value]])), SnapshotTable[[#This Row],[SP Premium]] + SnapshotTable[[#This Row],[SP Total Value]], "")</f>
        <v/>
      </c>
      <c r="DH141" s="294" t="str">
        <f>IF(ISNUMBER((SnapshotTable[[#This Row],[SP Total Value]])), SnapshotTable[[#This Row],[SP Gain Loss]] / SnapshotTable[[#This Row],[SP Premium]], "")</f>
        <v/>
      </c>
      <c r="DI141" s="406"/>
      <c r="DJ141" s="138"/>
      <c r="DK141" s="148"/>
      <c r="DL141" s="13"/>
      <c r="DM141" s="13"/>
      <c r="DO141" s="31">
        <f>IF(SnapshotTable[[#This Row],[LC Symbol Count]]=1, SnapshotTable[[#This Row],[LC Qty]] * SnapshotTable[[#This Row],[LC Book Price]] * 100, 0)</f>
        <v>0</v>
      </c>
      <c r="DP141" s="163" t="str">
        <f>IF(AND(SnapshotTable[[#This Row],[LC Exp Date]]&gt;0, SnapshotTable[[#This Row],[LC Strike Price]]&gt;0,SnapshotTable[[#This Row],[LC Qty]]&gt;0,SnapshotTable[[#This Row],[LC Book Date]]&gt;0,SnapshotTable[[#This Row],[LC Book Price]]&gt;0,SnapshotTable[[#This Row],[LC Fill Date]]=0),"Y","")</f>
        <v/>
      </c>
      <c r="DQ141" s="386" t="str">
        <f>IF(SnapshotTable[[#This Row],[LC Premium]] &gt; 0,SnapshotTable[[#This Row],[LC Exp Date]]-MAX(SnapshotTable[[#This Row],[LC Book Date]], SnapshotTable[[#This Row],[LC Fill Date]]),"")</f>
        <v/>
      </c>
      <c r="DR141" s="386" t="str">
        <f>IF(ISNUMBER(SnapshotTable[[#This Row],[LC Term]]), SnapshotTable[[#This Row],[LC Exp Date]] - MockToday, "")</f>
        <v/>
      </c>
      <c r="DS141" s="234" t="str">
        <f>IF(SnapshotTable[[#This Row],[LC Premium]]&gt;0,SnapshotTable[[#This Row],[LC Strike Price]] + SnapshotTable[[#This Row],[LC Book Price]],"")</f>
        <v/>
      </c>
      <c r="DU141" s="9" t="str">
        <f>IF(AND(SnapshotTable[[#This Row],[LC Symbol Count]]&gt;0, SnapshotTable[[#This Row],[LC Contract Value]]&gt;0), SnapshotTable[[#This Row],[LC Contract Value]] * SnapshotTable[[#This Row],[LC Qty]] * 100, "")</f>
        <v/>
      </c>
      <c r="DV141" s="9" t="str">
        <f>IF(AND(ISNUMBER(SnapshotTable[[#This Row],[LC Total Value]]), SnapshotTable[[#This Row],[LC Not Filled]]&lt;&gt;"Y"), SnapshotTable[[#This Row],[LC Total Value]]-SnapshotTable[[#This Row],[LC Premium]],"")</f>
        <v/>
      </c>
      <c r="DW141" s="240" t="str">
        <f>IF(ISNUMBER(SnapshotTable[[#This Row],[LC Actual Gain Loss]]), SnapshotTable[[#This Row],[LC Actual Gain Loss]] / SnapshotTable[[#This Row],[LC Premium]],"")</f>
        <v/>
      </c>
      <c r="DX141" s="284" t="str">
        <f>IF(ISNUMBER(SnapshotTable[[#This Row],[LC Book Price]]),SnapshotTable[[#This Row],[LC Book Price]] * 1.5,"")</f>
        <v/>
      </c>
      <c r="DY141" s="265" t="str">
        <f>IF(SnapshotTable[[#This Row],[LC Premium]]&gt;0, SnapshotTable[[#This Row],[LC Next Target]] * SnapshotTable[[#This Row],[LC Qty]] * 100,"")</f>
        <v/>
      </c>
      <c r="DZ141" s="265" t="str">
        <f>IF(ISNUMBER(SnapshotTable[[#This Row],[LC Target Gross]]), SnapshotTable[[#This Row],[LC Target Gross]] - SnapshotTable[[#This Row],[LC Premium]], "")</f>
        <v/>
      </c>
      <c r="EA141" s="305" t="str">
        <f>IF(ISNUMBER(SnapshotTable[[#This Row],[LC Target Gain Loss]]), SnapshotTable[[#This Row],[LC Target Gain Loss]]/SnapshotTable[[#This Row],[LC Premium]], "")</f>
        <v/>
      </c>
      <c r="EB141" s="262"/>
      <c r="EC141" s="283" t="str">
        <f>IF(SnapshotTable[[#This Row],[LC Premium]]&gt;0, SnapshotTable[[#This Row],[LC Book Price]] * (1 - LC_StopLoss_Pct),"")</f>
        <v/>
      </c>
      <c r="ED141" s="284"/>
      <c r="EE141" s="283" t="str">
        <f>IF(ISNUMBER(SnapshotTable[[#This Row],[LC Contract Value]]),IF(ISNUMBER(SnapshotTable[[#This Row],[LC Stop Loss Override]]), SnapshotTable[[#This Row],[LC Stop Loss Override]],SnapshotTable[[#This Row],[LC Stop Loss Calc Target]]),"")</f>
        <v/>
      </c>
      <c r="EF141" s="31" t="str">
        <f>IF(ISNUMBER(SnapshotTable[[#This Row],[LC Stop  To Use]]), (SnapshotTable[[#This Row],[LC Stop  To Use]] * SnapshotTable[[#This Row],[LC Qty]] * 100),"")</f>
        <v/>
      </c>
      <c r="EG141" s="9" t="str">
        <f>IF(ISNUMBER(SnapshotTable[[#This Row],[LC Total Value]]),SnapshotTable[[#This Row],[LC Stop Loss Amount]] - SnapshotTable[[#This Row],[LC Premium]],"")</f>
        <v/>
      </c>
      <c r="EH141" s="9">
        <f>IF(ISNUMBER(SnapshotTable[[#This Row],[LC Premium]]), SnapshotTable[[#This Row],[LC Qty]] * 100 * SnapshotTable[[#This Row],[LC Strike Price]], "")</f>
        <v>0</v>
      </c>
      <c r="EI141" s="240" t="str">
        <f>IF(AND(ISNUMBER(SnapshotTable[[#This Row],[LC Total Value]]),SnapshotTable[[#This Row],[LC Total Value]]&gt;0),SnapshotTable[[#This Row],[LC Stop Gain Loss]]  / SnapshotTable[[#This Row],[LC Premium]],"")</f>
        <v/>
      </c>
      <c r="EJ141" s="35">
        <f>IF(ISNUMBER(SnapshotTable[[#This Row],[Equity Shares]]),TRUNC(SnapshotTable[[#This Row],[Equity Shares]] / 100),0) + SnapshotTable[[#This Row],[LC Qty]]</f>
        <v>0</v>
      </c>
      <c r="EK141" s="147"/>
      <c r="EL141" s="138" t="str">
        <f>IF(SnapshotTable[[#This Row],[SC Exp Date]]&lt;&gt;"",TRUNC(SnapshotTable[[#This Row],[Last Price]]),"")</f>
        <v/>
      </c>
      <c r="EM141" s="148"/>
      <c r="EN141" s="147"/>
      <c r="EO141" s="147"/>
      <c r="EP141" s="138"/>
      <c r="EQ141" s="419" t="b">
        <f>AND(ISNUMBER(SnapshotTable[[#This Row],[SC Exp Date]]), ISNUMBER(SnapshotTable[[#This Row],[SC Strike Price]]), ISNUMBER(SnapshotTable[[#This Row],[SC Qty]]), ISNUMBER(SnapshotTable[[#This Row],[SC Book Date]]), ISNUMBER(SnapshotTable[[#This Row],[SC Book Price]]))</f>
        <v>0</v>
      </c>
      <c r="ER141" s="419" t="b">
        <f>AND(SnapshotTable[[#This Row],[SC Is Booked]], NOT(ISBLANK(SnapshotTable[[#This Row],[SC Fill Date]])))</f>
        <v>0</v>
      </c>
      <c r="ES141" s="370"/>
      <c r="ET141" s="34" t="str">
        <f>IF(AND(ISNUMBER(SnapshotTable[[#This Row],[SC Exp Date]]), ISNUMBER(SnapshotTable[[#This Row],[SC Book Date]])), SnapshotTable[[#This Row],[SC Exp Date]] - MAX(SnapshotTable[[#This Row],[SC Book Date]], SnapshotTable[[#This Row],[SC Fill Date]]) + 1, "")</f>
        <v/>
      </c>
      <c r="EU141" s="34" t="str">
        <f>IF(ISNUMBER(SnapshotTable[[#This Row],[SC Term]]), SnapshotTable[[#This Row],[SC Exp Date]]- MockToday, "")</f>
        <v/>
      </c>
      <c r="EV141" s="31">
        <f>IF(SnapshotTable[[#This Row],[SC Is Booked]], SnapshotTable[[#This Row],[SC Qty]] * SnapshotTable[[#This Row],[SC Book Price]] * 100, 0)</f>
        <v>0</v>
      </c>
      <c r="EW141" s="4" t="str">
        <f>IF(AND(ISNUMBER(SnapshotTable[[#This Row],[Last Price]]), ISNUMBER( SnapshotTable[[#This Row],[SC Book Price]])), SnapshotTable[[#This Row],[Last Price]] - SnapshotTable[[#This Row],[SC Book Price]],"")</f>
        <v/>
      </c>
      <c r="EX141" s="234" t="str">
        <f>IF(SnapshotTable[[#This Row],[SC Is Booked]],IF(SnapshotTable[[#This Row],[SC Intrinsic Value]] &gt; 0, SnapshotTable[[#This Row],[SC Strike Price]], SnapshotTable[[#This Row],[Last Price]]), "")</f>
        <v/>
      </c>
      <c r="EY141" s="4">
        <f>IF(SnapshotTable[[#This Row],[SC Is Booked]], (MinimumPremiumRequired * SnapshotTable[[#This Row],[SC Basis]] * SnapshotTable[[#This Row],[SC Term]]), 0)</f>
        <v>0</v>
      </c>
      <c r="EZ141" s="283"/>
      <c r="FA141" s="423"/>
      <c r="FB141" s="370"/>
      <c r="FC141" s="4">
        <f>IF(SnapshotTable[[#This Row],[SC Is Filled]], btc_max_buyback_amount(SnapshotTable[[#This Row],[SC Fill Date]],SnapshotTable[[#This Row],[SC Exp Date]], SnapshotTable[[#This Row],[SC Book Price]]),0)</f>
        <v>0</v>
      </c>
      <c r="FD141" s="5"/>
      <c r="FE141" s="144" t="str">
        <f>IF(SnapshotTable[[#This Row],[SC Is Filled]], btc_next_cutoff_date(SnapshotTable[[#This Row],[SC Fill Date]],SnapshotTable[[#This Row],[SC Exp Date]]),"")</f>
        <v/>
      </c>
      <c r="FF141" s="4" t="str" cm="1">
        <f t="array" ref="FF141">IF(SnapshotTable[[#This Row],[SC Is Filled]], btc_should_buy_back(SnapshotTable[[#This Row],[SC Fill Date]], SnapshotTable[[#This Row],[SC Exp Date]], SnapshotTable[[#This Row],[SC Book Price]], SnapshotTable[[#This Row],[SC Current Ask]], MockToday, SnapshotTable[[#This Row],[SC Buyback Override]]),"")</f>
        <v/>
      </c>
      <c r="FG141" s="4">
        <f>IF(SnapshotTable[[#This Row],[SC Is Filled]], MAX(0,SnapshotTable[[#This Row],[Last Price]]  - SnapshotTable[[#This Row],[SC Strike Price]]), 0)</f>
        <v>0</v>
      </c>
      <c r="FH141" s="382">
        <f>IF(SnapshotTable[[#This Row],[SC Is Filled]], IF(ISNUMBER(SnapshotTable[[#This Row],[SC Current Ask]]), SnapshotTable[[#This Row],[SC Current Ask]], SnapshotTable[[#This Row],[SC Book Price]]) - SnapshotTable[[#This Row],[SC Intrinsic Value]], 0)</f>
        <v>0</v>
      </c>
      <c r="FI141" s="143">
        <v>44274</v>
      </c>
      <c r="FJ141" s="32" t="str">
        <f>IF(SnapshotTable[[#This Row],[SC Is Filled]],100 * SnapshotTable[[#This Row],[SC Qty]] * IF(ISNUMBER(SnapshotTable[[#This Row],[SC Buyback Override]]), SnapshotTable[[#This Row],[SC Buyback Override]], SnapshotTable[[#This Row],[SC Current Ask]]), "")</f>
        <v/>
      </c>
      <c r="FK141" s="250" t="str">
        <f>IF(SnapshotTable[[#This Row],[SC Time Val]]&gt;0, SnapshotTable[[#This Row],[SC Time Val]] / SnapshotTable[[#This Row],[Last Price]],"")</f>
        <v/>
      </c>
      <c r="FL141" s="302" t="str">
        <f>IF(SnapshotTable[[#This Row],[SC Is Booked]], ((SnapshotTable[[#This Row],[Last Price]] -SnapshotTable[[#This Row],[SC Strike Price]]) / SnapshotTable[[#This Row],[Last Price]]) * -1, "")</f>
        <v/>
      </c>
      <c r="FM141" s="157" t="str">
        <f>IF(SnapshotTable[[#This Row],[SC Is Booked]],  (SnapshotTable[[#This Row],[SC Qty]] * 100 * SnapshotTable[[#This Row],[SC Strike Price]]) - SnapshotTable[[#This Row],[SC Current Ask]], "")</f>
        <v/>
      </c>
      <c r="FN14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1" s="31" t="str">
        <f>IF(AND(ISNUMBER(SnapshotTable[[#This Row],[SC Exercise Gross]]), ISNUMBER(SnapshotTable[[#This Row],[Equity Basis Per Share]] )), SnapshotTable[[#This Row],[SC Exercise Gross]] - SnapshotTable[[#This Row],[Equity Basis Total]] +  SnapshotTable[[#This Row],[SC Premium]], "")</f>
        <v/>
      </c>
      <c r="FP141" s="5" t="str">
        <f>IF(ISNUMBER(SnapshotTable[[#This Row],[SC Exercise Gross]]), (SnapshotTable[[#This Row],[SC Exercise Gross]]) / (SnapshotTable[[#This Row],[SC Qty]] * 100), "")</f>
        <v/>
      </c>
      <c r="FQ141" s="27" t="str">
        <f>IF(SnapshotTable[[#This Row],[SC Is Booked]],SnapshotTable[[#This Row],[SC Time Val]] /SnapshotTable[[#This Row],[SC Basis]], "")</f>
        <v/>
      </c>
      <c r="FR141" s="27" t="str" cm="1">
        <f t="array" ref="FR141">IF(AND(ISNUMBER(SnapshotTable[[#This Row],[SC Term]]),ISNUMBER(SnapshotTable[[#This Row],[SC Simple ROO]])), EllmanAnnualize(SnapshotTable[[#This Row],[SC DTE]], SnapshotTable[[#This Row],[SC Simple ROO]] ),"")</f>
        <v/>
      </c>
      <c r="FS141" s="4" t="e">
        <f>IF(SnapshotTable[[#This Row],[SC Strike Price]] &gt; SnapshotTable[[#This Row],[Last Price]], SnapshotTable[[#This Row],[SC Strike Price]] - SnapshotTable[[#This Row],[Last Price]],0)</f>
        <v>#VALUE!</v>
      </c>
      <c r="FT141" s="27" t="e">
        <f>IF(AND(ISNUMBER(SnapshotTable[[#This Row],[SC Upside Potential]]), SnapshotTable[[#This Row],[SC Upside Potential]] &gt; 0),(SnapshotTable[[#This Row],[SC Upside Potential]]/ SnapshotTable[[#This Row],[ACB]]),"")</f>
        <v>#VALUE!</v>
      </c>
      <c r="FU141" s="333" t="str">
        <f>IF(SnapshotTable[[#This Row],[SC Intrinsic Value]] &gt; 0,SnapshotTable[[#This Row],[SC Intrinsic Value]],"")</f>
        <v/>
      </c>
      <c r="FV141" s="27" t="str">
        <f>IF(AND( ISNUMBER( SnapshotTable[[#This Row],[ACB]]),ISNUMBER(SnapshotTable[[#This Row],[SC Downside Protect]])),SnapshotTable[[#This Row],[SC Downside Protect]] / SnapshotTable[[#This Row],[ACB]],"")</f>
        <v/>
      </c>
      <c r="FW141" s="236" t="str">
        <f>IF(AND(ISNUMBER(SnapshotTable[[#This Row],[SC Simple ROO]]),SnapshotTable[[#This Row],[SC Simple ROO]] &gt; 0), SnapshotTable[[#This Row],[SC Premium]] + (SnapshotTable[[#This Row],[SC Qty]] * SnapshotTable[[#This Row],[SC Upside Potential]]), "")</f>
        <v/>
      </c>
      <c r="FX141" s="302" t="str" cm="1">
        <f t="array" ref="FX141">IF(ISNUMBER(SnapshotTable[[#This Row],[SC Max Dollars]]), annualize(SnapshotTable[[#This Row],[SC Term]],(SnapshotTable[[#This Row],[SC Max Dollars]]/SnapshotTable[[#This Row],[SC Basis]])),"")</f>
        <v/>
      </c>
      <c r="FY141" s="236" t="str">
        <f>IF(AND(SnapshotTable[[#This Row],[SC Qty]]&gt;0,SnapshotTable[[#This Row],[SC Current Ask]]&gt;0), SnapshotTable[[#This Row],[SC Qty]] * SnapshotTable[[#This Row],[SC Current Ask]] * -100, "")</f>
        <v/>
      </c>
      <c r="FZ141" s="31" t="str">
        <f>IF(ISNUMBER((SnapshotTable[[#This Row],[SC Current Value]])), SnapshotTable[[#This Row],[SC Premium]] + SnapshotTable[[#This Row],[SC Current Value]], "")</f>
        <v/>
      </c>
      <c r="GA141" s="294" t="str">
        <f>IFERROR( IF(ISNUMBER((SnapshotTable[[#This Row],[SC Current Value]])), SnapshotTable[[#This Row],[SC Gain Loss]] / SnapshotTable[[#This Row],[SC Premium]], ""), "")</f>
        <v/>
      </c>
      <c r="GB141" s="42">
        <f>SnapshotTable[[#This Row],[Equity Shares]] * SaleSharesToConsiderPercentage</f>
        <v>0</v>
      </c>
      <c r="GC141" s="40">
        <f>SnapshotTable[[#This Row],[Long Term Target]] * SellingPriceToConsiderBasedOnTargetPercentage</f>
        <v>532</v>
      </c>
      <c r="GD141" s="40">
        <f>SnapshotTable[[#This Row],[Last Price]] * (1+ SellingPriceToConsiderBasedOnTargetPercentage)</f>
        <v>367.41899999999998</v>
      </c>
      <c r="GE141" s="41"/>
      <c r="GF141" s="40"/>
      <c r="GG141" s="31">
        <f>SnapshotTable[[#This Row],[Booked Sale Shares]] * SnapshotTable[[#This Row],[Booked Sale Price]]</f>
        <v>0</v>
      </c>
      <c r="GH141" s="31" t="str">
        <f>IF(SnapshotTable[[#This Row],[Equity Basis Total]] &gt; 0, SnapshotTable[[#This Row],[Equity Basis Per Share]] * SnapshotTable[[#This Row],[Booked Sale Shares]], "")</f>
        <v/>
      </c>
      <c r="GI141" s="31">
        <f>IF(SnapshotTable[[#This Row],[Sale Proceeds]]&gt;0, SnapshotTable[[#This Row],[Sale Proceeds]] - SnapshotTable[[#This Row],[Sale Basis]], 0)</f>
        <v>0</v>
      </c>
      <c r="GJ141" s="27" t="str">
        <f>IF(SnapshotTable[[#This Row],[Sale G/L]]&gt;0, SnapshotTable[[#This Row],[Sale G/L]] / SnapshotTable[[#This Row],[Sale Basis]], IF(ISNUMBER(SnapshotTable[[#This Row],[SC Exercise P&amp;L (TAX)]]), SnapshotTable[[#This Row],[SC Exercise P&amp;L (TAX)]] / SnapshotTable[[#This Row],[SC Basis]], ""))</f>
        <v/>
      </c>
      <c r="GK141" s="27"/>
      <c r="GL141" s="43" t="str">
        <f>IF(AND(SnapshotTable[[#This Row],[LP Exp Date]]&gt;0,SnapshotTable[[#This Row],[LP Strike Price]]&gt;0), [1]!ToOptionSymbol(SnapshotTable[[#This Row],[Symbol]], SnapshotTable[[#This Row],[LP Strike Price]],SnapshotTable[[#This Row],[LP Exp Date]],1), "")</f>
        <v/>
      </c>
      <c r="GM141" s="30" t="str">
        <f>IF(LEN(SnapshotTable[[#This Row],[LP Symbol]])&gt;0, 1, "")</f>
        <v/>
      </c>
      <c r="GN141" s="43" t="str">
        <f>IF(AND(SnapshotTable[[#This Row],[SP Exp Date]]&gt;0,SnapshotTable[[#This Row],[SP Strike Price]]&gt;0), [1]!ToOptionSymbol(SnapshotTable[[#This Row],[Symbol]], SnapshotTable[[#This Row],[SP Strike Price]],SnapshotTable[[#This Row],[SP Exp Date]],1), "")</f>
        <v/>
      </c>
      <c r="GO141" s="30" t="str">
        <f>IF(LEN(SnapshotTable[[#This Row],[SP Symbol]])&gt;0, 1, "")</f>
        <v/>
      </c>
      <c r="GP141" s="43" t="str">
        <f>IF(AND(SnapshotTable[[#This Row],[LC Exp Date]]&gt;0,SnapshotTable[[#This Row],[LC Strike Price]]&gt;0), [1]!ToOptionSymbol(SnapshotTable[[#This Row],[Symbol]], SnapshotTable[[#This Row],[LC Strike Price]],SnapshotTable[[#This Row],[LC Exp Date]],0), "")</f>
        <v/>
      </c>
      <c r="GQ141" s="30" t="str">
        <f>IF(LEN(SnapshotTable[[#This Row],[LC Symbol]])&gt;0, 1, "")</f>
        <v/>
      </c>
      <c r="GR141" s="43" t="str">
        <f>IF(AND(SnapshotTable[[#This Row],[SC Exp Date]]&gt;0,SnapshotTable[[#This Row],[SC Strike Price]]&gt;0), [1]!ToOptionSymbol(SnapshotTable[[#This Row],[Symbol]], SnapshotTable[[#This Row],[SC Strike Price]],SnapshotTable[[#This Row],[SC Exp Date]],0), "")</f>
        <v/>
      </c>
      <c r="GS141" s="30" t="str">
        <f>IF(LEN(SnapshotTable[[#This Row],[SC Symbol]])&gt;0, 1, "")</f>
        <v/>
      </c>
      <c r="GT141" s="29" t="str">
        <f>IF(COUNT(SnapshotTable[[#This Row],[LP Symbol Count]],SnapshotTable[[#This Row],[SP Symbol Count]],SnapshotTable[[#This Row],[LC Symbol Count]],SnapshotTable[[#This Row],[SC Symbol Count]])&gt;0, "Y", "")</f>
        <v/>
      </c>
      <c r="GU14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1" s="231" t="e">
        <f>MAX(SnapshotTable[[#This Row],[Equity Basis Total]],SnapshotTable[[#This Row],[Equity Value]]) + (SnapshotTable[[#This Row],[SP Potential Spend]]- SnapshotTable[[#This Row],[SP Premium]] + SnapshotTable[[#This Row],[LP Premium]])+ (SnapshotTable[[#This Row],[LC Premium]] - SnapshotTable[[#This Row],[SC Premium]])</f>
        <v>#VALUE!</v>
      </c>
      <c r="GW141" s="139" t="e">
        <f>IF(AND(SnapshotTable[[#This Row],[Exposure]] &lt;&gt; 0),SnapshotTable[[#This Row],[Exposure]] / SnapshotTable[[#Totals],[Exposure]], "")</f>
        <v>#VALUE!</v>
      </c>
      <c r="HE141" s="268"/>
      <c r="HF141" s="268"/>
      <c r="HK141" s="1"/>
      <c r="HL141" s="1"/>
      <c r="HM141" s="1"/>
      <c r="HN141" s="1"/>
      <c r="HO141" s="1"/>
      <c r="HP141" s="1"/>
    </row>
    <row r="142" spans="2:224" ht="12.75" hidden="1" customHeight="1" x14ac:dyDescent="0.25">
      <c r="B142" s="12" t="s">
        <v>1068</v>
      </c>
      <c r="C142" s="422">
        <v>18.16</v>
      </c>
      <c r="D142" s="208" t="s">
        <v>578</v>
      </c>
      <c r="E142" s="39">
        <f>SnapshotTable[[#This Row],[Last Price]]*(1 -CrashDiscount)</f>
        <v>15.436</v>
      </c>
      <c r="F142" s="26"/>
      <c r="G142" s="26"/>
      <c r="H142" s="149"/>
      <c r="I142" s="194" t="s">
        <v>2</v>
      </c>
      <c r="J142" s="195"/>
      <c r="K142" s="196"/>
      <c r="L142" s="326"/>
      <c r="M142" s="140"/>
      <c r="N142" s="140"/>
      <c r="O142" s="140"/>
      <c r="P142" s="22"/>
      <c r="Q142" s="25"/>
      <c r="R142" s="4" t="str">
        <f>IF(SnapshotTable[[#This Row],[Equity Basis Total]] &gt; 0, SnapshotTable[[#This Row],[Equity Basis Total]] / SnapshotTable[[#This Row],[Equity Shares]], "")</f>
        <v/>
      </c>
      <c r="S142" s="269">
        <f>SnapshotTable[[#This Row],[Last Price]] * SnapshotTable[[#This Row],[Equity Shares]]</f>
        <v>0</v>
      </c>
      <c r="T142" s="269">
        <f>SnapshotTable[[#This Row],[Equity Value]] - SnapshotTable[[#This Row],[Equity Basis Total]]</f>
        <v>0</v>
      </c>
      <c r="U142" s="270" t="str">
        <f>IF(SnapshotTable[[#This Row],[Equity Basis Total]] &gt; 0, SnapshotTable[[#This Row],[Equity G/L]] / SnapshotTable[[#This Row],[Equity Basis Total]], "")</f>
        <v/>
      </c>
      <c r="V142" s="268">
        <v>24.94</v>
      </c>
      <c r="W142" s="268"/>
      <c r="X142" s="4" t="str">
        <f>IF(AND(ISNUMBER(SnapshotTable[[#This Row],[Equity Basis Per Share]]),ISNUMBER(SnapshotTable[[#This Row],[Equity Target]])),SnapshotTable[[#This Row],[Equity Target]]-SnapshotTable[[#This Row],[Equity Basis Per Share]],"")</f>
        <v/>
      </c>
      <c r="Y142" s="4" t="str">
        <f>IF(AND(ISNUMBER(SnapshotTable[[#This Row],[Equity Basis Per Share]]),ISNUMBER(SnapshotTable[[#This Row],[Equity Stop Loss]])),SnapshotTable[[#This Row],[Equity Stop Loss]]-SnapshotTable[[#This Row],[Equity Basis Per Share]],"")</f>
        <v/>
      </c>
      <c r="Z142" s="275" t="str">
        <f>IFERROR( TEXT(SnapshotTable[[#This Row],[Equity Max Gain Per Share]] /ABS( SnapshotTable[[#This Row],[Equity Max Loss Per Share]]),"0.0 " ) &amp; " : 1", "")</f>
        <v/>
      </c>
      <c r="AA142" s="31" t="str">
        <f>IF(ISNUMBER(SnapshotTable[[#This Row],[Equity Max Gain Per Share]]),SnapshotTable[[#This Row],[Equity Max Gain Per Share]] * SnapshotTable[[#This Row],[Equity Shares]],"")</f>
        <v/>
      </c>
      <c r="AB142" s="31" t="str">
        <f>IF(ISNUMBER(SnapshotTable[[#This Row],[Equity Max Loss Per Share]]),SnapshotTable[[#This Row],[Equity Max Loss Per Share]] * SnapshotTable[[#This Row],[Equity Shares]],"")</f>
        <v/>
      </c>
      <c r="AC142" s="150"/>
      <c r="AD142" s="151"/>
      <c r="AE142" s="31">
        <f>(SnapshotTable[[#This Row],[Annual Dividend Per Share]] / 4) * SnapshotTable[[#This Row],[Equity Shares]]</f>
        <v>0</v>
      </c>
      <c r="AF142" s="31">
        <f>SnapshotTable[[#This Row],[Quarterly Div $]] * 4</f>
        <v>0</v>
      </c>
      <c r="AG142" s="7">
        <f>IF(SnapshotTable[[#This Row],[Annual Dividend Per Share]]&gt;0, SnapshotTable[[#This Row],[Annual Dividend Per Share]]  / SnapshotTable[[#This Row],[Last Price]], 0)</f>
        <v>0</v>
      </c>
      <c r="AH142" s="151"/>
      <c r="AI142" s="5"/>
      <c r="AJ142" s="138"/>
      <c r="AK142" s="152" t="str">
        <f>IF(ISNUMBER( SnapshotTable[[#This Row],[EBF Target]]),(SnapshotTable[[#This Row],[EBF Target]] - SnapshotTable[[#This Row],[Last Price]]) / SnapshotTable[[#This Row],[Last Price]], "")</f>
        <v/>
      </c>
      <c r="AL142" s="152" t="str">
        <f>IF(AND(SnapshotTable[[#This Row],[Equity Basis Total]] &gt; 0,ISNUMBER( SnapshotTable[[#This Row],[Long Term Target]])), SnapshotTable[[#This Row],[From Basis $]] / SnapshotTable[[#This Row],[Equity Basis Total]], "")</f>
        <v/>
      </c>
      <c r="AM142" s="9">
        <f>IF( AND(SnapshotTable[[#This Row],[Equity Shares]] &gt;0,ISNUMBER( SnapshotTable[[#This Row],[Long Term Target]])),(SnapshotTable[[#This Row],[Equity Shares]] * SnapshotTable[[#This Row],[Long Term Target]]) - SnapshotTable[[#This Row],[Equity Basis Total]],0)</f>
        <v>0</v>
      </c>
      <c r="AN142" s="9">
        <f>IF( AND(SnapshotTable[[#This Row],[Equity Shares]] &gt;0,ISNUMBER( SnapshotTable[[#This Row],[Long Term Target]])),(SnapshotTable[[#This Row],[Equity Shares]]*SnapshotTable[[#This Row],[Long Term Target]]) - SnapshotTable[[#This Row],[Equity Value]],0)</f>
        <v>0</v>
      </c>
      <c r="AO142" s="152" t="str">
        <f>IF(AND(ISNUMBER( SnapshotTable[[#This Row],[Long Term Target]]), ISNUMBER(SnapshotTable[[#This Row],[Last Price]])),(SnapshotTable[[#This Row],[Long Term Target]] - SnapshotTable[[#This Row],[Last Price]]) / SnapshotTable[[#This Row],[Last Price]], "")</f>
        <v/>
      </c>
      <c r="AP142" s="5"/>
      <c r="AQ142" s="38"/>
      <c r="AR142" s="5"/>
      <c r="AS142" s="38"/>
      <c r="AT142" s="146"/>
      <c r="AU142" s="187" t="str">
        <f>IF(OR(SnapshotTable[[#This Row],[LP No Fill]]="Y",SnapshotTable[[#This Row],[SP Is Filled]],SnapshotTable[[#This Row],[LC Not Filled]]="Y",SnapshotTable[[#This Row],[SC Is Filled]]),"Y","")</f>
        <v/>
      </c>
      <c r="AV142" s="219"/>
      <c r="AW142" s="225"/>
      <c r="AX142" s="220"/>
      <c r="AY142" s="219" t="str">
        <f>IF(SnapshotTable[[#This Row],[Implied Move]]&gt;0, SnapshotTable[[#This Row],[Last Price]]-SnapshotTable[[#This Row],[Implied Move]],"")</f>
        <v/>
      </c>
      <c r="AZ142" s="219" t="str">
        <f>IF(SnapshotTable[[#This Row],[Implied Move]]&gt;0, SnapshotTable[[#This Row],[Last Price]] + SnapshotTable[[#This Row],[Implied Move]],"")</f>
        <v/>
      </c>
      <c r="BA142" s="331">
        <v>21.77</v>
      </c>
      <c r="BB142" s="347"/>
      <c r="BC14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2" s="351"/>
      <c r="BE142" s="5"/>
      <c r="BF142" s="14"/>
      <c r="BG142" s="13"/>
      <c r="BH142" s="13"/>
      <c r="BI142" s="5"/>
      <c r="BJ142" s="136">
        <f>IF(SnapshotTable[[#This Row],[LP Qty]] &gt; 0, SnapshotTable[[#This Row],[LP Qty]] * SnapshotTable[[#This Row],[LP Book Price]] * 100,0)</f>
        <v>0</v>
      </c>
      <c r="BK142" s="136">
        <f>IF(SnapshotTable[[#This Row],[LP Premium]] &gt; 0, SnapshotTable[[#This Row],[LP Qty]] * SnapshotTable[[#This Row],[LP Strike Price]] * 100,0)</f>
        <v>0</v>
      </c>
      <c r="BL142" s="154"/>
      <c r="BM142" s="385" t="str">
        <f>IF(SnapshotTable[[#This Row],[LP Premium]] &gt; 0,SnapshotTable[[#This Row],[LP Exp Date]]-MAX(SnapshotTable[[#This Row],[LP Book Date]], SnapshotTable[[#This Row],[LP Fill Date]]),"")</f>
        <v/>
      </c>
      <c r="BN142" s="385" t="str">
        <f>IF(ISNUMBER( SnapshotTable[[#This Row],[LP Term]]), SnapshotTable[[#This Row],[LP Exp Date]] - MockToday,"")</f>
        <v/>
      </c>
      <c r="BO142" s="163" t="str">
        <f>IF(AND(SnapshotTable[[#This Row],[LP Exp Date]]&gt;0, SnapshotTable[[#This Row],[LP Strike Price]]&gt;0,SnapshotTable[[#This Row],[LP Qty]]&gt;0,SnapshotTable[[#This Row],[LP Book Date]]&gt;0,SnapshotTable[[#This Row],[LP Book Price]]&gt;0,SnapshotTable[[#This Row],[LP Fill Date]]=0),"Y","")</f>
        <v/>
      </c>
      <c r="BP142" s="31" t="str">
        <f>IF(AND(SnapshotTable[[#This Row],[LP No Fill]]&lt;&gt;"Y",SnapshotTable[[#This Row],[LP Contract Value]]&gt;0, SnapshotTable[[#This Row],[LP Qty]]&gt;0), SnapshotTable[[#This Row],[LP Contract Value]]*SnapshotTable[[#This Row],[LP Qty]]*100,"")</f>
        <v/>
      </c>
      <c r="BQ142" s="13"/>
      <c r="BR142" s="5" t="str">
        <f>IF(SnapshotTable[[#This Row],[SP Exp Date]]&lt;&gt;"",TRUNC(SnapshotTable[[#This Row],[Last Price]]),"")</f>
        <v/>
      </c>
      <c r="BS142" s="36"/>
      <c r="BT142" s="147"/>
      <c r="BU142" s="13"/>
      <c r="BV142" s="5"/>
      <c r="BW142" s="419" t="b">
        <f>AND(ISNUMBER(SnapshotTable[[#This Row],[SP Exp Date]]), ISNUMBER(SnapshotTable[[#This Row],[SP Strike Price]]), ISNUMBER(SnapshotTable[[#This Row],[SP Qty]]), ISNUMBER(SnapshotTable[[#This Row],[SP Book Date]]), ISNUMBER(SnapshotTable[[#This Row],[SP Book Price]]))</f>
        <v>0</v>
      </c>
      <c r="BX142" s="419" t="b">
        <f>AND(SnapshotTable[[#This Row],[SP Is Booked]], NOT(ISBLANK(SnapshotTable[[#This Row],[SP Fill Date]])))</f>
        <v>0</v>
      </c>
      <c r="BY142" s="33">
        <f>IF(SnapshotTable[[#This Row],[SP Is Booked]], SnapshotTable[[#This Row],[SP Qty]] * SnapshotTable[[#This Row],[SP Book Price]] * 100, 0)</f>
        <v>0</v>
      </c>
      <c r="BZ142" s="369"/>
      <c r="CA142" s="368">
        <f>SnapshotTable[[#This Row],[LP Qty]]</f>
        <v>0</v>
      </c>
      <c r="CB142" s="4" t="str">
        <f>IF(SnapshotTable[[#This Row],[SP Is Booked]], SnapshotTable[[#This Row],[SP Strike Price]] - SnapshotTable[[#This Row],[SP Book Price]], "")</f>
        <v/>
      </c>
      <c r="CC142" s="19" t="str">
        <f>IF(SnapshotTable[[#This Row],[SP Is Booked]],SnapshotTable[[#This Row],[SP Exp Date]]-MAX(SnapshotTable[[#This Row],[SP Book Date]], SnapshotTable[[#This Row],[SP Fill Date]]),"")</f>
        <v/>
      </c>
      <c r="CD142" s="7" t="str">
        <f>IF(SnapshotTable[[#This Row],[SP Is Booked]], SnapshotTable[[#This Row],[SP Book Price]]/SnapshotTable[[#This Row],[SP Strike Price]], "")</f>
        <v/>
      </c>
      <c r="CE142" s="7" t="str">
        <f>IF(ISNUMBER(SnapshotTable[[#This Row],[SP ROO Term]]),SnapshotTable[[#This Row],[SP ROO Term]]*(365/SnapshotTable[[#This Row],[SP Term]]),"")</f>
        <v/>
      </c>
      <c r="CF142" s="236">
        <f>SnapshotTable[[#This Row],[LP Strike Price]] * SnapshotTable[[#This Row],[LP Qty]] * 100</f>
        <v>0</v>
      </c>
      <c r="CG142" s="31" t="e">
        <f>IF(ISNUMBER(SnapshotTable[[#This Row],[SP Premium]]), (SnapshotTable[[#This Row],[SP Qty]] * SnapshotTable[[#This Row],[SP Strike Price]]* 100) - SnapshotTable[[#This Row],[LP Protection]], 0)</f>
        <v>#VALUE!</v>
      </c>
      <c r="CH142" s="7" t="str">
        <f>IF(ISNUMBER(SnapshotTable[[#This Row],[SP Break Even]]),-1 * (SnapshotTable[[#This Row],[SP Break Even]] - SnapshotTable[[#This Row],[Last Price]]) / SnapshotTable[[#This Row],[Last Price]], "")</f>
        <v/>
      </c>
      <c r="CI142" s="31">
        <f>IF(AND(ISNUMBER((SnapshotTable[[#This Row],[SP Potential Spend]])), SnapshotTable[[#This Row],[SP Strike Price]] &gt; SnapshotTable[[#This Row],[Last Price]], SnapshotTable[[#This Row],[SP Is Filled]]), SnapshotTable[[#This Row],[SP Potential Spend]] -  SnapshotTable[[#This Row],[LP Max Value]], 0)</f>
        <v>0</v>
      </c>
      <c r="CJ142" s="244"/>
      <c r="CK142" s="31" t="str">
        <f>IF(ISNUMBER(SnapshotTable[[#This Row],[SP Potential Spend]]),IF(ISNUMBER(SnapshotTable[[#This Row],[SP POW]]), SnapshotTable[[#This Row],[SP POW]] * SnapshotTable[[#This Row],[SP Potential Spend]], SnapshotTable[[#This Row],[SP Potential Spend]]), "")</f>
        <v/>
      </c>
      <c r="CL142" s="164" t="e">
        <f>IF(NOT(SnapshotTable[[#This Row],[SP Is Filled]]),(SnapshotTable[[#This Row],[SP Qty]] * SnapshotTable[[#This Row],[SP Strike Price]] * 100) - SnapshotTable[[#This Row],[LP Max Value]],"")</f>
        <v>#VALUE!</v>
      </c>
      <c r="CM142" s="31" t="str">
        <f>IF(SnapshotTable[[#This Row],[SP Actual Spend]]&lt;&gt;0, ((SnapshotTable[[#This Row],[SP Strike Price]]-SnapshotTable[[#This Row],[Last Price]]) *(SnapshotTable[[#This Row],[SP Qty]]*100) - SnapshotTable[[#This Row],[SP Premium]]) * - 1, "")</f>
        <v/>
      </c>
      <c r="CN142" s="218"/>
      <c r="CO142" s="369"/>
      <c r="CP142" s="4" t="str">
        <f>IF(SnapshotTable[[#This Row],[SP Is Filled]], btc_max_buyback_amount(SnapshotTable[[#This Row],[SP Fill Date]],SnapshotTable[[#This Row],[SP Exp Date]], SnapshotTable[[#This Row],[SP Book Price]]),"")</f>
        <v/>
      </c>
      <c r="CQ142" s="78"/>
      <c r="CR14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2" s="155" t="str">
        <f>IF(SnapshotTable[[#This Row],[SP Is Filled]], btc_next_cutoff_date(SnapshotTable[[#This Row],[SP Fill Date]],SnapshotTable[[#This Row],[SP Exp Date]]),"")</f>
        <v/>
      </c>
      <c r="CT142" s="235" t="str" cm="1">
        <f t="array" ref="CT142">IF(SnapshotTable[[#This Row],[SP Is Filled]], btc_should_buy_back(SnapshotTable[[#This Row],[SP Fill Date]], SnapshotTable[[#This Row],[SP Exp Date]], SnapshotTable[[#This Row],[SP Book Price]], SnapshotTable[[#This Row],[SP Current Ask]], MockToday, SnapshotTable[[#This Row],[SP Buyback Override]]),"")</f>
        <v/>
      </c>
      <c r="CU142" s="143"/>
      <c r="CV142" s="235"/>
      <c r="CW142" s="378" t="str">
        <f>IF(ISNUMBER( SnapshotTable[[#This Row],[SP Term]]), SnapshotTable[[#This Row],[SP Exp Date]] - MockToday,"")</f>
        <v/>
      </c>
      <c r="CX142" s="31" t="str">
        <f>IF(SnapshotTable[[#This Row],[SP Is Filled]],SnapshotTable[[#This Row],[SP Buyback Price to Use]] * 100 * SnapshotTable[[#This Row],[SP Qty]], "")</f>
        <v/>
      </c>
      <c r="CY142" s="4" t="str">
        <f>IF(ISNUMBER(SnapshotTable[[#This Row],[SP Strike Price]]), SnapshotTable[[#This Row],[SP Strike Price]] * (1 - SP_MaxLoss_StrikePct), "")</f>
        <v/>
      </c>
      <c r="CZ142" s="31" t="str">
        <f>IF(ISNUMBER(SnapshotTable[[#This Row],[SP Strike  Stop Per Share]]),SnapshotTable[[#This Row],[SP Premium]] - ((SnapshotTable[[#This Row],[SP Strike Price]]-SnapshotTable[[#This Row],[SP Strike  Stop Per Share]]) *(SnapshotTable[[#This Row],[SP Qty]] * 100)),"")</f>
        <v/>
      </c>
      <c r="DA142" s="4" t="str">
        <f>IF(AND(ISNUMBER(SnapshotTable[[#This Row],[SP Premium]]),SnapshotTable[[#This Row],[SP Premium]]&gt;0), SnapshotTable[[#This Row],[SP Book Price]] * (1 + SP_MaxLoss_OptionPct), "")</f>
        <v/>
      </c>
      <c r="DB142" s="31" t="str">
        <f>IF(ISNUMBER(SnapshotTable[[#This Row],[SP Option  Stop Contract]]),(SnapshotTable[[#This Row],[SP Option  Stop Contract]] *(SnapshotTable[[#This Row],[SP Qty]] * 100) - SnapshotTable[[#This Row],[SP Premium]]),"")</f>
        <v/>
      </c>
      <c r="DC142" s="4"/>
      <c r="DD142" s="4"/>
      <c r="DE142" s="4" t="str">
        <f>IF(AND(SnapshotTable[[#This Row],[SP Qty]]&gt;0, SnapshotTable[[#This Row],[SP Stop To Use]]&gt;0),SnapshotTable[[#This Row],[SP Premium]] - ( SnapshotTable[[#This Row],[SP Qty]] * SnapshotTable[[#This Row],[SP Stop To Use]] * 100), "")</f>
        <v/>
      </c>
      <c r="DF142" s="31" t="str">
        <f>IF(AND(SnapshotTable[[#This Row],[SP Qty]]&gt;0,SnapshotTable[[#This Row],[SP Current Ask]]&gt;0), SnapshotTable[[#This Row],[SP Qty]] * SnapshotTable[[#This Row],[SP Current Ask]] * -100, "")</f>
        <v/>
      </c>
      <c r="DG142" s="31" t="str">
        <f>IF(ISNUMBER((SnapshotTable[[#This Row],[SP Total Value]])), SnapshotTable[[#This Row],[SP Premium]] + SnapshotTable[[#This Row],[SP Total Value]], "")</f>
        <v/>
      </c>
      <c r="DH142" s="294" t="str">
        <f>IF(ISNUMBER((SnapshotTable[[#This Row],[SP Total Value]])), SnapshotTable[[#This Row],[SP Gain Loss]] / SnapshotTable[[#This Row],[SP Premium]], "")</f>
        <v/>
      </c>
      <c r="DI142" s="406"/>
      <c r="DJ142" s="138"/>
      <c r="DK142" s="148"/>
      <c r="DL142" s="13"/>
      <c r="DM142" s="13"/>
      <c r="DO142" s="31">
        <f>IF(SnapshotTable[[#This Row],[LC Symbol Count]]=1, SnapshotTable[[#This Row],[LC Qty]] * SnapshotTable[[#This Row],[LC Book Price]] * 100, 0)</f>
        <v>0</v>
      </c>
      <c r="DP142" s="163" t="str">
        <f>IF(AND(SnapshotTable[[#This Row],[LC Exp Date]]&gt;0, SnapshotTable[[#This Row],[LC Strike Price]]&gt;0,SnapshotTable[[#This Row],[LC Qty]]&gt;0,SnapshotTable[[#This Row],[LC Book Date]]&gt;0,SnapshotTable[[#This Row],[LC Book Price]]&gt;0,SnapshotTable[[#This Row],[LC Fill Date]]=0),"Y","")</f>
        <v/>
      </c>
      <c r="DQ142" s="386" t="str">
        <f>IF(SnapshotTable[[#This Row],[LC Premium]] &gt; 0,SnapshotTable[[#This Row],[LC Exp Date]]-MAX(SnapshotTable[[#This Row],[LC Book Date]], SnapshotTable[[#This Row],[LC Fill Date]]),"")</f>
        <v/>
      </c>
      <c r="DR142" s="386" t="str">
        <f>IF(ISNUMBER(SnapshotTable[[#This Row],[LC Term]]), SnapshotTable[[#This Row],[LC Exp Date]] - MockToday, "")</f>
        <v/>
      </c>
      <c r="DS142" s="234" t="str">
        <f>IF(SnapshotTable[[#This Row],[LC Premium]]&gt;0,SnapshotTable[[#This Row],[LC Strike Price]] + SnapshotTable[[#This Row],[LC Book Price]],"")</f>
        <v/>
      </c>
      <c r="DU142" s="9" t="str">
        <f>IF(AND(SnapshotTable[[#This Row],[LC Symbol Count]]&gt;0, SnapshotTable[[#This Row],[LC Contract Value]]&gt;0), SnapshotTable[[#This Row],[LC Contract Value]] * SnapshotTable[[#This Row],[LC Qty]] * 100, "")</f>
        <v/>
      </c>
      <c r="DV142" s="9" t="str">
        <f>IF(AND(ISNUMBER(SnapshotTable[[#This Row],[LC Total Value]]), SnapshotTable[[#This Row],[LC Not Filled]]&lt;&gt;"Y"), SnapshotTable[[#This Row],[LC Total Value]]-SnapshotTable[[#This Row],[LC Premium]],"")</f>
        <v/>
      </c>
      <c r="DW142" s="240" t="str">
        <f>IF(ISNUMBER(SnapshotTable[[#This Row],[LC Actual Gain Loss]]), SnapshotTable[[#This Row],[LC Actual Gain Loss]] / SnapshotTable[[#This Row],[LC Premium]],"")</f>
        <v/>
      </c>
      <c r="DX142" s="284" t="str">
        <f>IF(ISNUMBER(SnapshotTable[[#This Row],[LC Book Price]]),SnapshotTable[[#This Row],[LC Book Price]] * 1.5,"")</f>
        <v/>
      </c>
      <c r="DY142" s="265" t="str">
        <f>IF(SnapshotTable[[#This Row],[LC Premium]]&gt;0, SnapshotTable[[#This Row],[LC Next Target]] * SnapshotTable[[#This Row],[LC Qty]] * 100,"")</f>
        <v/>
      </c>
      <c r="DZ142" s="265" t="str">
        <f>IF(ISNUMBER(SnapshotTable[[#This Row],[LC Target Gross]]), SnapshotTable[[#This Row],[LC Target Gross]] - SnapshotTable[[#This Row],[LC Premium]], "")</f>
        <v/>
      </c>
      <c r="EA142" s="305" t="str">
        <f>IF(ISNUMBER(SnapshotTable[[#This Row],[LC Target Gain Loss]]), SnapshotTable[[#This Row],[LC Target Gain Loss]]/SnapshotTable[[#This Row],[LC Premium]], "")</f>
        <v/>
      </c>
      <c r="EB142" s="262"/>
      <c r="EC142" s="283" t="str">
        <f>IF(SnapshotTable[[#This Row],[LC Premium]]&gt;0, SnapshotTable[[#This Row],[LC Book Price]] * (1 - LC_StopLoss_Pct),"")</f>
        <v/>
      </c>
      <c r="ED142" s="284"/>
      <c r="EE142" s="283" t="str">
        <f>IF(ISNUMBER(SnapshotTable[[#This Row],[LC Contract Value]]),IF(ISNUMBER(SnapshotTable[[#This Row],[LC Stop Loss Override]]), SnapshotTable[[#This Row],[LC Stop Loss Override]],SnapshotTable[[#This Row],[LC Stop Loss Calc Target]]),"")</f>
        <v/>
      </c>
      <c r="EF142" s="31" t="str">
        <f>IF(ISNUMBER(SnapshotTable[[#This Row],[LC Stop  To Use]]), (SnapshotTable[[#This Row],[LC Stop  To Use]] * SnapshotTable[[#This Row],[LC Qty]] * 100),"")</f>
        <v/>
      </c>
      <c r="EG142" s="9" t="str">
        <f>IF(ISNUMBER(SnapshotTable[[#This Row],[LC Total Value]]),SnapshotTable[[#This Row],[LC Stop Loss Amount]] - SnapshotTable[[#This Row],[LC Premium]],"")</f>
        <v/>
      </c>
      <c r="EH142" s="9">
        <f>IF(ISNUMBER(SnapshotTable[[#This Row],[LC Premium]]), SnapshotTable[[#This Row],[LC Qty]] * 100 * SnapshotTable[[#This Row],[LC Strike Price]], "")</f>
        <v>0</v>
      </c>
      <c r="EI142" s="240" t="str">
        <f>IF(AND(ISNUMBER(SnapshotTable[[#This Row],[LC Total Value]]),SnapshotTable[[#This Row],[LC Total Value]]&gt;0),SnapshotTable[[#This Row],[LC Stop Gain Loss]]  / SnapshotTable[[#This Row],[LC Premium]],"")</f>
        <v/>
      </c>
      <c r="EJ142" s="35">
        <f>IF(ISNUMBER(SnapshotTable[[#This Row],[Equity Shares]]),TRUNC(SnapshotTable[[#This Row],[Equity Shares]] / 100),0) + SnapshotTable[[#This Row],[LC Qty]]</f>
        <v>0</v>
      </c>
      <c r="EK142" s="147"/>
      <c r="EL142" s="138" t="str">
        <f>IF(SnapshotTable[[#This Row],[SC Exp Date]]&lt;&gt;"",TRUNC(SnapshotTable[[#This Row],[Last Price]]),"")</f>
        <v/>
      </c>
      <c r="EM142" s="148"/>
      <c r="EN142" s="147"/>
      <c r="EO142" s="147"/>
      <c r="EP142" s="138"/>
      <c r="EQ142" s="419" t="b">
        <f>AND(ISNUMBER(SnapshotTable[[#This Row],[SC Exp Date]]), ISNUMBER(SnapshotTable[[#This Row],[SC Strike Price]]), ISNUMBER(SnapshotTable[[#This Row],[SC Qty]]), ISNUMBER(SnapshotTable[[#This Row],[SC Book Date]]), ISNUMBER(SnapshotTable[[#This Row],[SC Book Price]]))</f>
        <v>0</v>
      </c>
      <c r="ER142" s="419" t="b">
        <f>AND(SnapshotTable[[#This Row],[SC Is Booked]], NOT(ISBLANK(SnapshotTable[[#This Row],[SC Fill Date]])))</f>
        <v>0</v>
      </c>
      <c r="ES142" s="370"/>
      <c r="ET142" s="34" t="str">
        <f>IF(AND(ISNUMBER(SnapshotTable[[#This Row],[SC Exp Date]]), ISNUMBER(SnapshotTable[[#This Row],[SC Book Date]])), SnapshotTable[[#This Row],[SC Exp Date]] - MAX(SnapshotTable[[#This Row],[SC Book Date]], SnapshotTable[[#This Row],[SC Fill Date]]) + 1, "")</f>
        <v/>
      </c>
      <c r="EU142" s="34" t="str">
        <f>IF(ISNUMBER(SnapshotTable[[#This Row],[SC Term]]), SnapshotTable[[#This Row],[SC Exp Date]]- MockToday, "")</f>
        <v/>
      </c>
      <c r="EV142" s="31">
        <f>IF(SnapshotTable[[#This Row],[SC Is Booked]], SnapshotTable[[#This Row],[SC Qty]] * SnapshotTable[[#This Row],[SC Book Price]] * 100, 0)</f>
        <v>0</v>
      </c>
      <c r="EW142" s="4" t="str">
        <f>IF(AND(ISNUMBER(SnapshotTable[[#This Row],[Last Price]]), ISNUMBER( SnapshotTable[[#This Row],[SC Book Price]])), SnapshotTable[[#This Row],[Last Price]] - SnapshotTable[[#This Row],[SC Book Price]],"")</f>
        <v/>
      </c>
      <c r="EX142" s="234" t="str">
        <f>IF(SnapshotTable[[#This Row],[SC Is Booked]],IF(SnapshotTable[[#This Row],[SC Intrinsic Value]] &gt; 0, SnapshotTable[[#This Row],[SC Strike Price]], SnapshotTable[[#This Row],[Last Price]]), "")</f>
        <v/>
      </c>
      <c r="EY142" s="4">
        <f>IF(SnapshotTable[[#This Row],[SC Is Booked]], (MinimumPremiumRequired * SnapshotTable[[#This Row],[SC Basis]] * SnapshotTable[[#This Row],[SC Term]]), 0)</f>
        <v>0</v>
      </c>
      <c r="EZ142" s="283"/>
      <c r="FA142" s="218"/>
      <c r="FB142" s="370"/>
      <c r="FC142" s="4">
        <f>IF(SnapshotTable[[#This Row],[SC Is Filled]], btc_max_buyback_amount(SnapshotTable[[#This Row],[SC Fill Date]],SnapshotTable[[#This Row],[SC Exp Date]], SnapshotTable[[#This Row],[SC Book Price]]),0)</f>
        <v>0</v>
      </c>
      <c r="FD142" s="5"/>
      <c r="FE142" s="144" t="str">
        <f>IF(SnapshotTable[[#This Row],[SC Is Filled]], btc_next_cutoff_date(SnapshotTable[[#This Row],[SC Fill Date]],SnapshotTable[[#This Row],[SC Exp Date]]),"")</f>
        <v/>
      </c>
      <c r="FF142" s="4" t="str" cm="1">
        <f t="array" ref="FF142">IF(SnapshotTable[[#This Row],[SC Is Filled]], btc_should_buy_back(SnapshotTable[[#This Row],[SC Fill Date]], SnapshotTable[[#This Row],[SC Exp Date]], SnapshotTable[[#This Row],[SC Book Price]], SnapshotTable[[#This Row],[SC Current Ask]], MockToday, SnapshotTable[[#This Row],[SC Buyback Override]]),"")</f>
        <v/>
      </c>
      <c r="FG142" s="4">
        <f>IF(SnapshotTable[[#This Row],[SC Is Filled]], MAX(0,SnapshotTable[[#This Row],[Last Price]]  - SnapshotTable[[#This Row],[SC Strike Price]]), 0)</f>
        <v>0</v>
      </c>
      <c r="FH142" s="382">
        <f>IF(SnapshotTable[[#This Row],[SC Is Filled]], IF(ISNUMBER(SnapshotTable[[#This Row],[SC Current Ask]]), SnapshotTable[[#This Row],[SC Current Ask]], SnapshotTable[[#This Row],[SC Book Price]]) - SnapshotTable[[#This Row],[SC Intrinsic Value]], 0)</f>
        <v>0</v>
      </c>
      <c r="FI142" s="143"/>
      <c r="FJ142" s="32" t="str">
        <f>IF(SnapshotTable[[#This Row],[SC Is Filled]],100 * SnapshotTable[[#This Row],[SC Qty]] * IF(ISNUMBER(SnapshotTable[[#This Row],[SC Buyback Override]]), SnapshotTable[[#This Row],[SC Buyback Override]], SnapshotTable[[#This Row],[SC Current Ask]]), "")</f>
        <v/>
      </c>
      <c r="FK142" s="250" t="str">
        <f>IF(SnapshotTable[[#This Row],[SC Time Val]]&gt;0, SnapshotTable[[#This Row],[SC Time Val]] / SnapshotTable[[#This Row],[Last Price]],"")</f>
        <v/>
      </c>
      <c r="FL142" s="302" t="str">
        <f>IF(SnapshotTable[[#This Row],[SC Is Booked]], ((SnapshotTable[[#This Row],[Last Price]] -SnapshotTable[[#This Row],[SC Strike Price]]) / SnapshotTable[[#This Row],[Last Price]]) * -1, "")</f>
        <v/>
      </c>
      <c r="FM142" s="157" t="str">
        <f>IF(SnapshotTable[[#This Row],[SC Is Booked]],  (SnapshotTable[[#This Row],[SC Qty]] * 100 * SnapshotTable[[#This Row],[SC Strike Price]]) - SnapshotTable[[#This Row],[SC Current Ask]], "")</f>
        <v/>
      </c>
      <c r="FN14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2" s="31" t="str">
        <f>IF(AND(ISNUMBER(SnapshotTable[[#This Row],[SC Exercise Gross]]), ISNUMBER(SnapshotTable[[#This Row],[Equity Basis Per Share]] )), SnapshotTable[[#This Row],[SC Exercise Gross]] - SnapshotTable[[#This Row],[Equity Basis Total]] +  SnapshotTable[[#This Row],[SC Premium]], "")</f>
        <v/>
      </c>
      <c r="FP142" s="5" t="str">
        <f>IF(ISNUMBER(SnapshotTable[[#This Row],[SC Exercise Gross]]), (SnapshotTable[[#This Row],[SC Exercise Gross]]) / (SnapshotTable[[#This Row],[SC Qty]] * 100), "")</f>
        <v/>
      </c>
      <c r="FQ142" s="27" t="str">
        <f>IF(SnapshotTable[[#This Row],[SC Is Booked]],SnapshotTable[[#This Row],[SC Time Val]] /SnapshotTable[[#This Row],[SC Basis]], "")</f>
        <v/>
      </c>
      <c r="FR142" s="27" t="str" cm="1">
        <f t="array" ref="FR142">IF(AND(ISNUMBER(SnapshotTable[[#This Row],[SC Term]]),ISNUMBER(SnapshotTable[[#This Row],[SC Simple ROO]])), EllmanAnnualize(SnapshotTable[[#This Row],[SC DTE]], SnapshotTable[[#This Row],[SC Simple ROO]] ),"")</f>
        <v/>
      </c>
      <c r="FS142" s="4" t="e">
        <f>IF(SnapshotTable[[#This Row],[SC Strike Price]] &gt; SnapshotTable[[#This Row],[Last Price]], SnapshotTable[[#This Row],[SC Strike Price]] - SnapshotTable[[#This Row],[Last Price]],0)</f>
        <v>#VALUE!</v>
      </c>
      <c r="FT142" s="27" t="e">
        <f>IF(AND(ISNUMBER(SnapshotTable[[#This Row],[SC Upside Potential]]), SnapshotTable[[#This Row],[SC Upside Potential]] &gt; 0),(SnapshotTable[[#This Row],[SC Upside Potential]]/ SnapshotTable[[#This Row],[ACB]]),"")</f>
        <v>#VALUE!</v>
      </c>
      <c r="FU142" s="333" t="str">
        <f>IF(SnapshotTable[[#This Row],[SC Intrinsic Value]] &gt; 0,SnapshotTable[[#This Row],[SC Intrinsic Value]],"")</f>
        <v/>
      </c>
      <c r="FV142" s="27" t="str">
        <f>IF(AND( ISNUMBER( SnapshotTable[[#This Row],[ACB]]),ISNUMBER(SnapshotTable[[#This Row],[SC Downside Protect]])),SnapshotTable[[#This Row],[SC Downside Protect]] / SnapshotTable[[#This Row],[ACB]],"")</f>
        <v/>
      </c>
      <c r="FW142" s="236" t="str">
        <f>IF(AND(ISNUMBER(SnapshotTable[[#This Row],[SC Simple ROO]]),SnapshotTable[[#This Row],[SC Simple ROO]] &gt; 0), SnapshotTable[[#This Row],[SC Premium]] + (SnapshotTable[[#This Row],[SC Qty]] * SnapshotTable[[#This Row],[SC Upside Potential]]), "")</f>
        <v/>
      </c>
      <c r="FX142" s="302" t="str" cm="1">
        <f t="array" ref="FX142">IF(ISNUMBER(SnapshotTable[[#This Row],[SC Max Dollars]]), annualize(SnapshotTable[[#This Row],[SC Term]],(SnapshotTable[[#This Row],[SC Max Dollars]]/SnapshotTable[[#This Row],[SC Basis]])),"")</f>
        <v/>
      </c>
      <c r="FY142" s="236" t="str">
        <f>IF(AND(SnapshotTable[[#This Row],[SC Qty]]&gt;0,SnapshotTable[[#This Row],[SC Current Ask]]&gt;0), SnapshotTable[[#This Row],[SC Qty]] * SnapshotTable[[#This Row],[SC Current Ask]] * -100, "")</f>
        <v/>
      </c>
      <c r="FZ142" s="31" t="str">
        <f>IF(ISNUMBER((SnapshotTable[[#This Row],[SC Current Value]])), SnapshotTable[[#This Row],[SC Premium]] + SnapshotTable[[#This Row],[SC Current Value]], "")</f>
        <v/>
      </c>
      <c r="GA142" s="294" t="str">
        <f>IFERROR( IF(ISNUMBER((SnapshotTable[[#This Row],[SC Current Value]])), SnapshotTable[[#This Row],[SC Gain Loss]] / SnapshotTable[[#This Row],[SC Premium]], ""), "")</f>
        <v/>
      </c>
      <c r="GB142" s="42">
        <f>SnapshotTable[[#This Row],[Equity Shares]] * SaleSharesToConsiderPercentage</f>
        <v>0</v>
      </c>
      <c r="GC142" s="40">
        <f>SnapshotTable[[#This Row],[Long Term Target]] * SellingPriceToConsiderBasedOnTargetPercentage</f>
        <v>0</v>
      </c>
      <c r="GD142" s="40">
        <f>SnapshotTable[[#This Row],[Last Price]] * (1+ SellingPriceToConsiderBasedOnTargetPercentage)</f>
        <v>35.411999999999999</v>
      </c>
      <c r="GE142" s="41"/>
      <c r="GF142" s="40"/>
      <c r="GG142" s="31">
        <f>SnapshotTable[[#This Row],[Booked Sale Shares]] * SnapshotTable[[#This Row],[Booked Sale Price]]</f>
        <v>0</v>
      </c>
      <c r="GH142" s="31" t="str">
        <f>IF(SnapshotTable[[#This Row],[Equity Basis Total]] &gt; 0, SnapshotTable[[#This Row],[Equity Basis Per Share]] * SnapshotTable[[#This Row],[Booked Sale Shares]], "")</f>
        <v/>
      </c>
      <c r="GI142" s="31">
        <f>IF(SnapshotTable[[#This Row],[Sale Proceeds]]&gt;0, SnapshotTable[[#This Row],[Sale Proceeds]] - SnapshotTable[[#This Row],[Sale Basis]], 0)</f>
        <v>0</v>
      </c>
      <c r="GJ142" s="27" t="str">
        <f>IF(SnapshotTable[[#This Row],[Sale G/L]]&gt;0, SnapshotTable[[#This Row],[Sale G/L]] / SnapshotTable[[#This Row],[Sale Basis]], IF(ISNUMBER(SnapshotTable[[#This Row],[SC Exercise P&amp;L (TAX)]]), SnapshotTable[[#This Row],[SC Exercise P&amp;L (TAX)]] / SnapshotTable[[#This Row],[SC Basis]], ""))</f>
        <v/>
      </c>
      <c r="GK142" s="27"/>
      <c r="GL142" s="43" t="str">
        <f>IF(AND(SnapshotTable[[#This Row],[LP Exp Date]]&gt;0,SnapshotTable[[#This Row],[LP Strike Price]]&gt;0), [1]!ToOptionSymbol(SnapshotTable[[#This Row],[Symbol]], SnapshotTable[[#This Row],[LP Strike Price]],SnapshotTable[[#This Row],[LP Exp Date]],1), "")</f>
        <v/>
      </c>
      <c r="GM142" s="30" t="str">
        <f>IF(LEN(SnapshotTable[[#This Row],[LP Symbol]])&gt;0, 1, "")</f>
        <v/>
      </c>
      <c r="GN142" s="43" t="str">
        <f>IF(AND(SnapshotTable[[#This Row],[SP Exp Date]]&gt;0,SnapshotTable[[#This Row],[SP Strike Price]]&gt;0), [1]!ToOptionSymbol(SnapshotTable[[#This Row],[Symbol]], SnapshotTable[[#This Row],[SP Strike Price]],SnapshotTable[[#This Row],[SP Exp Date]],1), "")</f>
        <v/>
      </c>
      <c r="GO142" s="30" t="str">
        <f>IF(LEN(SnapshotTable[[#This Row],[SP Symbol]])&gt;0, 1, "")</f>
        <v/>
      </c>
      <c r="GP142" s="43" t="str">
        <f>IF(AND(SnapshotTable[[#This Row],[LC Exp Date]]&gt;0,SnapshotTable[[#This Row],[LC Strike Price]]&gt;0), [1]!ToOptionSymbol(SnapshotTable[[#This Row],[Symbol]], SnapshotTable[[#This Row],[LC Strike Price]],SnapshotTable[[#This Row],[LC Exp Date]],0), "")</f>
        <v/>
      </c>
      <c r="GQ142" s="30" t="str">
        <f>IF(LEN(SnapshotTable[[#This Row],[LC Symbol]])&gt;0, 1, "")</f>
        <v/>
      </c>
      <c r="GR142" s="43" t="str">
        <f>IF(AND(SnapshotTable[[#This Row],[SC Exp Date]]&gt;0,SnapshotTable[[#This Row],[SC Strike Price]]&gt;0), [1]!ToOptionSymbol(SnapshotTable[[#This Row],[Symbol]], SnapshotTable[[#This Row],[SC Strike Price]],SnapshotTable[[#This Row],[SC Exp Date]],0), "")</f>
        <v/>
      </c>
      <c r="GS142" s="30" t="str">
        <f>IF(LEN(SnapshotTable[[#This Row],[SC Symbol]])&gt;0, 1, "")</f>
        <v/>
      </c>
      <c r="GT142" s="29" t="str">
        <f>IF(COUNT(SnapshotTable[[#This Row],[LP Symbol Count]],SnapshotTable[[#This Row],[SP Symbol Count]],SnapshotTable[[#This Row],[LC Symbol Count]],SnapshotTable[[#This Row],[SC Symbol Count]])&gt;0, "Y", "")</f>
        <v/>
      </c>
      <c r="GU14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2" s="231" t="e">
        <f>MAX(SnapshotTable[[#This Row],[Equity Basis Total]],SnapshotTable[[#This Row],[Equity Value]]) + (SnapshotTable[[#This Row],[SP Potential Spend]]- SnapshotTable[[#This Row],[SP Premium]] + SnapshotTable[[#This Row],[LP Premium]])+ (SnapshotTable[[#This Row],[LC Premium]] - SnapshotTable[[#This Row],[SC Premium]])</f>
        <v>#VALUE!</v>
      </c>
      <c r="GW142" s="139" t="e">
        <f>IF(AND(SnapshotTable[[#This Row],[Exposure]] &lt;&gt; 0),SnapshotTable[[#This Row],[Exposure]] / SnapshotTable[[#Totals],[Exposure]], "")</f>
        <v>#VALUE!</v>
      </c>
      <c r="HE142" s="268"/>
      <c r="HF142" s="268"/>
      <c r="HK142" s="1"/>
      <c r="HL142" s="1"/>
      <c r="HM142" s="1"/>
      <c r="HN142" s="1"/>
      <c r="HO142" s="1"/>
      <c r="HP142" s="1"/>
    </row>
    <row r="143" spans="2:224" ht="12.75" hidden="1" customHeight="1" x14ac:dyDescent="0.25">
      <c r="B143" s="12" t="s">
        <v>130</v>
      </c>
      <c r="C143" s="422">
        <v>9.41</v>
      </c>
      <c r="D143" s="208"/>
      <c r="E143" s="39">
        <f>SnapshotTable[[#This Row],[Last Price]]*(1 -CrashDiscount)</f>
        <v>7.9984999999999999</v>
      </c>
      <c r="F143" s="26" t="s">
        <v>129</v>
      </c>
      <c r="G143" s="26" t="s">
        <v>9</v>
      </c>
      <c r="H143" s="149"/>
      <c r="I143" s="194">
        <v>44797.677083333336</v>
      </c>
      <c r="J143" s="195">
        <v>44797.677083333336</v>
      </c>
      <c r="K143" s="196"/>
      <c r="L143" s="326"/>
      <c r="M143" s="140"/>
      <c r="N143" s="140"/>
      <c r="O143" s="140"/>
      <c r="P143" s="22"/>
      <c r="Q143" s="25"/>
      <c r="R143" s="4" t="str">
        <f>IF(SnapshotTable[[#This Row],[Equity Basis Total]] &gt; 0, SnapshotTable[[#This Row],[Equity Basis Total]] / SnapshotTable[[#This Row],[Equity Shares]], "")</f>
        <v/>
      </c>
      <c r="S143" s="269">
        <f>SnapshotTable[[#This Row],[Last Price]] * SnapshotTable[[#This Row],[Equity Shares]]</f>
        <v>0</v>
      </c>
      <c r="T143" s="269">
        <f>SnapshotTable[[#This Row],[Equity Value]] - SnapshotTable[[#This Row],[Equity Basis Total]]</f>
        <v>0</v>
      </c>
      <c r="U143" s="270" t="str">
        <f>IF(SnapshotTable[[#This Row],[Equity Basis Total]] &gt; 0, SnapshotTable[[#This Row],[Equity G/L]] / SnapshotTable[[#This Row],[Equity Basis Total]], "")</f>
        <v/>
      </c>
      <c r="V143" s="268"/>
      <c r="W143" s="268"/>
      <c r="X143" s="4" t="str">
        <f>IF(AND(ISNUMBER(SnapshotTable[[#This Row],[Equity Basis Per Share]]),ISNUMBER(SnapshotTable[[#This Row],[Equity Target]])),SnapshotTable[[#This Row],[Equity Target]]-SnapshotTable[[#This Row],[Equity Basis Per Share]],"")</f>
        <v/>
      </c>
      <c r="Y143" s="4" t="str">
        <f>IF(AND(ISNUMBER(SnapshotTable[[#This Row],[Equity Basis Per Share]]),ISNUMBER(SnapshotTable[[#This Row],[Equity Stop Loss]])),SnapshotTable[[#This Row],[Equity Stop Loss]]-SnapshotTable[[#This Row],[Equity Basis Per Share]],"")</f>
        <v/>
      </c>
      <c r="Z143" s="275" t="str">
        <f>IFERROR( TEXT(SnapshotTable[[#This Row],[Equity Max Gain Per Share]] /ABS( SnapshotTable[[#This Row],[Equity Max Loss Per Share]]),"0.0 " ) &amp; " : 1", "")</f>
        <v/>
      </c>
      <c r="AA143" s="31" t="str">
        <f>IF(ISNUMBER(SnapshotTable[[#This Row],[Equity Max Gain Per Share]]),SnapshotTable[[#This Row],[Equity Max Gain Per Share]] * SnapshotTable[[#This Row],[Equity Shares]],"")</f>
        <v/>
      </c>
      <c r="AB143" s="31" t="str">
        <f>IF(ISNUMBER(SnapshotTable[[#This Row],[Equity Max Loss Per Share]]),SnapshotTable[[#This Row],[Equity Max Loss Per Share]] * SnapshotTable[[#This Row],[Equity Shares]],"")</f>
        <v/>
      </c>
      <c r="AC143" s="150">
        <v>0.72</v>
      </c>
      <c r="AD143" s="151">
        <v>43019</v>
      </c>
      <c r="AE143" s="31">
        <f>(SnapshotTable[[#This Row],[Annual Dividend Per Share]] / 4) * SnapshotTable[[#This Row],[Equity Shares]]</f>
        <v>0</v>
      </c>
      <c r="AF143" s="31">
        <f>SnapshotTable[[#This Row],[Quarterly Div $]] * 4</f>
        <v>0</v>
      </c>
      <c r="AG143" s="7">
        <f>IF(SnapshotTable[[#This Row],[Annual Dividend Per Share]]&gt;0, SnapshotTable[[#This Row],[Annual Dividend Per Share]]  / SnapshotTable[[#This Row],[Last Price]], 0)</f>
        <v>7.6514346439957484E-2</v>
      </c>
      <c r="AH143" s="151">
        <v>42986</v>
      </c>
      <c r="AI143" s="5">
        <v>100</v>
      </c>
      <c r="AJ143" s="138">
        <v>111.5</v>
      </c>
      <c r="AK143" s="152">
        <f>IF(ISNUMBER( SnapshotTable[[#This Row],[EBF Target]]),(SnapshotTable[[#This Row],[EBF Target]] - SnapshotTable[[#This Row],[Last Price]]) / SnapshotTable[[#This Row],[Last Price]], "")</f>
        <v>9.6269925611052081</v>
      </c>
      <c r="AL143" s="152" t="str">
        <f>IF(AND(SnapshotTable[[#This Row],[Equity Basis Total]] &gt; 0,ISNUMBER( SnapshotTable[[#This Row],[Long Term Target]])), SnapshotTable[[#This Row],[From Basis $]] / SnapshotTable[[#This Row],[Equity Basis Total]], "")</f>
        <v/>
      </c>
      <c r="AM143" s="9">
        <f>IF( AND(SnapshotTable[[#This Row],[Equity Shares]] &gt;0,ISNUMBER( SnapshotTable[[#This Row],[Long Term Target]])),(SnapshotTable[[#This Row],[Equity Shares]] * SnapshotTable[[#This Row],[Long Term Target]]) - SnapshotTable[[#This Row],[Equity Basis Total]],0)</f>
        <v>0</v>
      </c>
      <c r="AN143" s="9">
        <f>IF( AND(SnapshotTable[[#This Row],[Equity Shares]] &gt;0,ISNUMBER( SnapshotTable[[#This Row],[Long Term Target]])),(SnapshotTable[[#This Row],[Equity Shares]]*SnapshotTable[[#This Row],[Long Term Target]]) - SnapshotTable[[#This Row],[Equity Value]],0)</f>
        <v>0</v>
      </c>
      <c r="AO143" s="152">
        <f>IF(AND(ISNUMBER( SnapshotTable[[#This Row],[Long Term Target]]), ISNUMBER(SnapshotTable[[#This Row],[Last Price]])),(SnapshotTable[[#This Row],[Long Term Target]] - SnapshotTable[[#This Row],[Last Price]]) / SnapshotTable[[#This Row],[Last Price]], "")</f>
        <v>10.849096705632306</v>
      </c>
      <c r="AP143" s="5"/>
      <c r="AQ143" s="38"/>
      <c r="AR143" s="5"/>
      <c r="AS143" s="38"/>
      <c r="AT143" s="146"/>
      <c r="AU143" s="187" t="str">
        <f>IF(OR(SnapshotTable[[#This Row],[LP No Fill]]="Y",SnapshotTable[[#This Row],[SP Is Filled]],SnapshotTable[[#This Row],[LC Not Filled]]="Y",SnapshotTable[[#This Row],[SC Is Filled]]),"Y","")</f>
        <v/>
      </c>
      <c r="AV143" s="219"/>
      <c r="AW143" s="225"/>
      <c r="AX143" s="220"/>
      <c r="AY143" s="219" t="str">
        <f>IF(SnapshotTable[[#This Row],[Implied Move]]&gt;0, SnapshotTable[[#This Row],[Last Price]]-SnapshotTable[[#This Row],[Implied Move]],"")</f>
        <v/>
      </c>
      <c r="AZ143" s="219" t="str">
        <f>IF(SnapshotTable[[#This Row],[Implied Move]]&gt;0, SnapshotTable[[#This Row],[Last Price]] + SnapshotTable[[#This Row],[Implied Move]],"")</f>
        <v/>
      </c>
      <c r="BA143" s="331"/>
      <c r="BB143" s="347"/>
      <c r="BC14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3" s="351"/>
      <c r="BE143" s="5"/>
      <c r="BF143" s="14"/>
      <c r="BG143" s="13"/>
      <c r="BH143" s="13"/>
      <c r="BI143" s="5"/>
      <c r="BJ143" s="136">
        <f>IF(SnapshotTable[[#This Row],[LP Qty]] &gt; 0, SnapshotTable[[#This Row],[LP Qty]] * SnapshotTable[[#This Row],[LP Book Price]] * 100,0)</f>
        <v>0</v>
      </c>
      <c r="BK143" s="136">
        <f>IF(SnapshotTable[[#This Row],[LP Premium]] &gt; 0, SnapshotTable[[#This Row],[LP Qty]] * SnapshotTable[[#This Row],[LP Strike Price]] * 100,0)</f>
        <v>0</v>
      </c>
      <c r="BL143" s="154"/>
      <c r="BM143" s="385" t="str">
        <f>IF(SnapshotTable[[#This Row],[LP Premium]] &gt; 0,SnapshotTable[[#This Row],[LP Exp Date]]-MAX(SnapshotTable[[#This Row],[LP Book Date]], SnapshotTable[[#This Row],[LP Fill Date]]),"")</f>
        <v/>
      </c>
      <c r="BN143" s="385" t="str">
        <f>IF(ISNUMBER( SnapshotTable[[#This Row],[LP Term]]), SnapshotTable[[#This Row],[LP Exp Date]] - MockToday,"")</f>
        <v/>
      </c>
      <c r="BO143" s="163" t="str">
        <f>IF(AND(SnapshotTable[[#This Row],[LP Exp Date]]&gt;0, SnapshotTable[[#This Row],[LP Strike Price]]&gt;0,SnapshotTable[[#This Row],[LP Qty]]&gt;0,SnapshotTable[[#This Row],[LP Book Date]]&gt;0,SnapshotTable[[#This Row],[LP Book Price]]&gt;0,SnapshotTable[[#This Row],[LP Fill Date]]=0),"Y","")</f>
        <v/>
      </c>
      <c r="BP143" s="31" t="str">
        <f>IF(AND(SnapshotTable[[#This Row],[LP No Fill]]&lt;&gt;"Y",SnapshotTable[[#This Row],[LP Contract Value]]&gt;0, SnapshotTable[[#This Row],[LP Qty]]&gt;0), SnapshotTable[[#This Row],[LP Contract Value]]*SnapshotTable[[#This Row],[LP Qty]]*100,"")</f>
        <v/>
      </c>
      <c r="BQ143" s="13"/>
      <c r="BR143" s="5" t="str">
        <f>IF(SnapshotTable[[#This Row],[SP Exp Date]]&lt;&gt;"",TRUNC(SnapshotTable[[#This Row],[Last Price]]),"")</f>
        <v/>
      </c>
      <c r="BS143" s="36"/>
      <c r="BT143" s="147"/>
      <c r="BU143" s="13"/>
      <c r="BV143" s="5"/>
      <c r="BW143" s="419" t="b">
        <f>AND(ISNUMBER(SnapshotTable[[#This Row],[SP Exp Date]]), ISNUMBER(SnapshotTable[[#This Row],[SP Strike Price]]), ISNUMBER(SnapshotTable[[#This Row],[SP Qty]]), ISNUMBER(SnapshotTable[[#This Row],[SP Book Date]]), ISNUMBER(SnapshotTable[[#This Row],[SP Book Price]]))</f>
        <v>0</v>
      </c>
      <c r="BX143" s="419" t="b">
        <f>AND(SnapshotTable[[#This Row],[SP Is Booked]], NOT(ISBLANK(SnapshotTable[[#This Row],[SP Fill Date]])))</f>
        <v>0</v>
      </c>
      <c r="BY143" s="33">
        <f>IF(SnapshotTable[[#This Row],[SP Is Booked]], SnapshotTable[[#This Row],[SP Qty]] * SnapshotTable[[#This Row],[SP Book Price]] * 100, 0)</f>
        <v>0</v>
      </c>
      <c r="BZ143" s="369"/>
      <c r="CA143" s="368">
        <f>SnapshotTable[[#This Row],[LP Qty]]</f>
        <v>0</v>
      </c>
      <c r="CB143" s="4" t="str">
        <f>IF(SnapshotTable[[#This Row],[SP Is Booked]], SnapshotTable[[#This Row],[SP Strike Price]] - SnapshotTable[[#This Row],[SP Book Price]], "")</f>
        <v/>
      </c>
      <c r="CC143" s="19" t="str">
        <f>IF(SnapshotTable[[#This Row],[SP Is Booked]],SnapshotTable[[#This Row],[SP Exp Date]]-MAX(SnapshotTable[[#This Row],[SP Book Date]], SnapshotTable[[#This Row],[SP Fill Date]]),"")</f>
        <v/>
      </c>
      <c r="CD143" s="7" t="str">
        <f>IF(SnapshotTable[[#This Row],[SP Is Booked]], SnapshotTable[[#This Row],[SP Book Price]]/SnapshotTable[[#This Row],[SP Strike Price]], "")</f>
        <v/>
      </c>
      <c r="CE143" s="7" t="str">
        <f>IF(ISNUMBER(SnapshotTable[[#This Row],[SP ROO Term]]),SnapshotTable[[#This Row],[SP ROO Term]]*(365/SnapshotTable[[#This Row],[SP Term]]),"")</f>
        <v/>
      </c>
      <c r="CF143" s="236">
        <f>SnapshotTable[[#This Row],[LP Strike Price]] * SnapshotTable[[#This Row],[LP Qty]] * 100</f>
        <v>0</v>
      </c>
      <c r="CG143" s="31" t="e">
        <f>IF(ISNUMBER(SnapshotTable[[#This Row],[SP Premium]]), (SnapshotTable[[#This Row],[SP Qty]] * SnapshotTable[[#This Row],[SP Strike Price]]* 100) - SnapshotTable[[#This Row],[LP Protection]], 0)</f>
        <v>#VALUE!</v>
      </c>
      <c r="CH143" s="7" t="str">
        <f>IF(ISNUMBER(SnapshotTable[[#This Row],[SP Break Even]]),-1 * (SnapshotTable[[#This Row],[SP Break Even]] - SnapshotTable[[#This Row],[Last Price]]) / SnapshotTable[[#This Row],[Last Price]], "")</f>
        <v/>
      </c>
      <c r="CI143" s="31">
        <f>IF(AND(ISNUMBER((SnapshotTable[[#This Row],[SP Potential Spend]])), SnapshotTable[[#This Row],[SP Strike Price]] &gt; SnapshotTable[[#This Row],[Last Price]], SnapshotTable[[#This Row],[SP Is Filled]]), SnapshotTable[[#This Row],[SP Potential Spend]] -  SnapshotTable[[#This Row],[LP Max Value]], 0)</f>
        <v>0</v>
      </c>
      <c r="CJ143" s="244"/>
      <c r="CK143" s="31" t="str">
        <f>IF(ISNUMBER(SnapshotTable[[#This Row],[SP Potential Spend]]),IF(ISNUMBER(SnapshotTable[[#This Row],[SP POW]]), SnapshotTable[[#This Row],[SP POW]] * SnapshotTable[[#This Row],[SP Potential Spend]], SnapshotTable[[#This Row],[SP Potential Spend]]), "")</f>
        <v/>
      </c>
      <c r="CL143" s="164" t="e">
        <f>IF(NOT(SnapshotTable[[#This Row],[SP Is Filled]]),(SnapshotTable[[#This Row],[SP Qty]] * SnapshotTable[[#This Row],[SP Strike Price]] * 100) - SnapshotTable[[#This Row],[LP Max Value]],"")</f>
        <v>#VALUE!</v>
      </c>
      <c r="CM143" s="31" t="str">
        <f>IF(SnapshotTable[[#This Row],[SP Actual Spend]]&lt;&gt;0, ((SnapshotTable[[#This Row],[SP Strike Price]]-SnapshotTable[[#This Row],[Last Price]]) *(SnapshotTable[[#This Row],[SP Qty]]*100) - SnapshotTable[[#This Row],[SP Premium]]) * - 1, "")</f>
        <v/>
      </c>
      <c r="CN143" s="78"/>
      <c r="CO143" s="369"/>
      <c r="CP143" s="4" t="str">
        <f>IF(SnapshotTable[[#This Row],[SP Is Filled]], btc_max_buyback_amount(SnapshotTable[[#This Row],[SP Fill Date]],SnapshotTable[[#This Row],[SP Exp Date]], SnapshotTable[[#This Row],[SP Book Price]]),"")</f>
        <v/>
      </c>
      <c r="CQ143" s="78"/>
      <c r="CR14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3" s="155" t="str">
        <f>IF(SnapshotTable[[#This Row],[SP Is Filled]], btc_next_cutoff_date(SnapshotTable[[#This Row],[SP Fill Date]],SnapshotTable[[#This Row],[SP Exp Date]]),"")</f>
        <v/>
      </c>
      <c r="CT143" s="235" t="str" cm="1">
        <f t="array" ref="CT143">IF(SnapshotTable[[#This Row],[SP Is Filled]], btc_should_buy_back(SnapshotTable[[#This Row],[SP Fill Date]], SnapshotTable[[#This Row],[SP Exp Date]], SnapshotTable[[#This Row],[SP Book Price]], SnapshotTable[[#This Row],[SP Current Ask]], MockToday, SnapshotTable[[#This Row],[SP Buyback Override]]),"")</f>
        <v/>
      </c>
      <c r="CU143" s="143"/>
      <c r="CV143" s="235"/>
      <c r="CW143" s="378" t="str">
        <f>IF(ISNUMBER( SnapshotTable[[#This Row],[SP Term]]), SnapshotTable[[#This Row],[SP Exp Date]] - MockToday,"")</f>
        <v/>
      </c>
      <c r="CX143" s="31" t="str">
        <f>IF(SnapshotTable[[#This Row],[SP Is Filled]],SnapshotTable[[#This Row],[SP Buyback Price to Use]] * 100 * SnapshotTable[[#This Row],[SP Qty]], "")</f>
        <v/>
      </c>
      <c r="CY143" s="4" t="str">
        <f>IF(ISNUMBER(SnapshotTable[[#This Row],[SP Strike Price]]), SnapshotTable[[#This Row],[SP Strike Price]] * (1 - SP_MaxLoss_StrikePct), "")</f>
        <v/>
      </c>
      <c r="CZ143" s="31" t="str">
        <f>IF(ISNUMBER(SnapshotTable[[#This Row],[SP Strike  Stop Per Share]]),SnapshotTable[[#This Row],[SP Premium]] - ((SnapshotTable[[#This Row],[SP Strike Price]]-SnapshotTable[[#This Row],[SP Strike  Stop Per Share]]) *(SnapshotTable[[#This Row],[SP Qty]] * 100)),"")</f>
        <v/>
      </c>
      <c r="DA143" s="4" t="str">
        <f>IF(AND(ISNUMBER(SnapshotTable[[#This Row],[SP Premium]]),SnapshotTable[[#This Row],[SP Premium]]&gt;0), SnapshotTable[[#This Row],[SP Book Price]] * (1 + SP_MaxLoss_OptionPct), "")</f>
        <v/>
      </c>
      <c r="DB143" s="31" t="str">
        <f>IF(ISNUMBER(SnapshotTable[[#This Row],[SP Option  Stop Contract]]),(SnapshotTable[[#This Row],[SP Option  Stop Contract]] *(SnapshotTable[[#This Row],[SP Qty]] * 100) - SnapshotTable[[#This Row],[SP Premium]]),"")</f>
        <v/>
      </c>
      <c r="DC143" s="4"/>
      <c r="DD143" s="4"/>
      <c r="DE143" s="4" t="str">
        <f>IF(AND(SnapshotTable[[#This Row],[SP Qty]]&gt;0, SnapshotTable[[#This Row],[SP Stop To Use]]&gt;0),SnapshotTable[[#This Row],[SP Premium]] - ( SnapshotTable[[#This Row],[SP Qty]] * SnapshotTable[[#This Row],[SP Stop To Use]] * 100), "")</f>
        <v/>
      </c>
      <c r="DF143" s="31" t="str">
        <f>IF(AND(SnapshotTable[[#This Row],[SP Qty]]&gt;0,SnapshotTable[[#This Row],[SP Current Ask]]&gt;0), SnapshotTable[[#This Row],[SP Qty]] * SnapshotTable[[#This Row],[SP Current Ask]] * -100, "")</f>
        <v/>
      </c>
      <c r="DG143" s="31" t="str">
        <f>IF(ISNUMBER((SnapshotTable[[#This Row],[SP Total Value]])), SnapshotTable[[#This Row],[SP Premium]] + SnapshotTable[[#This Row],[SP Total Value]], "")</f>
        <v/>
      </c>
      <c r="DH143" s="294" t="str">
        <f>IF(ISNUMBER((SnapshotTable[[#This Row],[SP Total Value]])), SnapshotTable[[#This Row],[SP Gain Loss]] / SnapshotTable[[#This Row],[SP Premium]], "")</f>
        <v/>
      </c>
      <c r="DI143" s="406"/>
      <c r="DJ143" s="138"/>
      <c r="DK143" s="148"/>
      <c r="DL143" s="13"/>
      <c r="DM143" s="13"/>
      <c r="DO143" s="31">
        <f>IF(SnapshotTable[[#This Row],[LC Symbol Count]]=1, SnapshotTable[[#This Row],[LC Qty]] * SnapshotTable[[#This Row],[LC Book Price]] * 100, 0)</f>
        <v>0</v>
      </c>
      <c r="DP143" s="163" t="str">
        <f>IF(AND(SnapshotTable[[#This Row],[LC Exp Date]]&gt;0, SnapshotTable[[#This Row],[LC Strike Price]]&gt;0,SnapshotTable[[#This Row],[LC Qty]]&gt;0,SnapshotTable[[#This Row],[LC Book Date]]&gt;0,SnapshotTable[[#This Row],[LC Book Price]]&gt;0,SnapshotTable[[#This Row],[LC Fill Date]]=0),"Y","")</f>
        <v/>
      </c>
      <c r="DQ143" s="386" t="str">
        <f>IF(SnapshotTable[[#This Row],[LC Premium]] &gt; 0,SnapshotTable[[#This Row],[LC Exp Date]]-MAX(SnapshotTable[[#This Row],[LC Book Date]], SnapshotTable[[#This Row],[LC Fill Date]]),"")</f>
        <v/>
      </c>
      <c r="DR143" s="386" t="str">
        <f>IF(ISNUMBER(SnapshotTable[[#This Row],[LC Term]]), SnapshotTable[[#This Row],[LC Exp Date]] - MockToday, "")</f>
        <v/>
      </c>
      <c r="DS143" s="234" t="str">
        <f>IF(SnapshotTable[[#This Row],[LC Premium]]&gt;0,SnapshotTable[[#This Row],[LC Strike Price]] + SnapshotTable[[#This Row],[LC Book Price]],"")</f>
        <v/>
      </c>
      <c r="DU143" s="9" t="str">
        <f>IF(AND(SnapshotTable[[#This Row],[LC Symbol Count]]&gt;0, SnapshotTable[[#This Row],[LC Contract Value]]&gt;0), SnapshotTable[[#This Row],[LC Contract Value]] * SnapshotTable[[#This Row],[LC Qty]] * 100, "")</f>
        <v/>
      </c>
      <c r="DV143" s="9" t="str">
        <f>IF(AND(ISNUMBER(SnapshotTable[[#This Row],[LC Total Value]]), SnapshotTable[[#This Row],[LC Not Filled]]&lt;&gt;"Y"), SnapshotTable[[#This Row],[LC Total Value]]-SnapshotTable[[#This Row],[LC Premium]],"")</f>
        <v/>
      </c>
      <c r="DW143" s="240" t="str">
        <f>IF(ISNUMBER(SnapshotTable[[#This Row],[LC Actual Gain Loss]]), SnapshotTable[[#This Row],[LC Actual Gain Loss]] / SnapshotTable[[#This Row],[LC Premium]],"")</f>
        <v/>
      </c>
      <c r="DX143" s="284" t="str">
        <f>IF(ISNUMBER(SnapshotTable[[#This Row],[LC Book Price]]),SnapshotTable[[#This Row],[LC Book Price]] * 1.5,"")</f>
        <v/>
      </c>
      <c r="DY143" s="265" t="str">
        <f>IF(SnapshotTable[[#This Row],[LC Premium]]&gt;0, SnapshotTable[[#This Row],[LC Next Target]] * SnapshotTable[[#This Row],[LC Qty]] * 100,"")</f>
        <v/>
      </c>
      <c r="DZ143" s="265" t="str">
        <f>IF(ISNUMBER(SnapshotTable[[#This Row],[LC Target Gross]]), SnapshotTable[[#This Row],[LC Target Gross]] - SnapshotTable[[#This Row],[LC Premium]], "")</f>
        <v/>
      </c>
      <c r="EA143" s="305" t="str">
        <f>IF(ISNUMBER(SnapshotTable[[#This Row],[LC Target Gain Loss]]), SnapshotTable[[#This Row],[LC Target Gain Loss]]/SnapshotTable[[#This Row],[LC Premium]], "")</f>
        <v/>
      </c>
      <c r="EB143" s="262"/>
      <c r="EC143" s="283" t="str">
        <f>IF(SnapshotTable[[#This Row],[LC Premium]]&gt;0, SnapshotTable[[#This Row],[LC Book Price]] * (1 - LC_StopLoss_Pct),"")</f>
        <v/>
      </c>
      <c r="ED143" s="284"/>
      <c r="EE143" s="283" t="str">
        <f>IF(ISNUMBER(SnapshotTable[[#This Row],[LC Contract Value]]),IF(ISNUMBER(SnapshotTable[[#This Row],[LC Stop Loss Override]]), SnapshotTable[[#This Row],[LC Stop Loss Override]],SnapshotTable[[#This Row],[LC Stop Loss Calc Target]]),"")</f>
        <v/>
      </c>
      <c r="EF143" s="31" t="str">
        <f>IF(ISNUMBER(SnapshotTable[[#This Row],[LC Stop  To Use]]), (SnapshotTable[[#This Row],[LC Stop  To Use]] * SnapshotTable[[#This Row],[LC Qty]] * 100),"")</f>
        <v/>
      </c>
      <c r="EG143" s="9" t="str">
        <f>IF(ISNUMBER(SnapshotTable[[#This Row],[LC Total Value]]),SnapshotTable[[#This Row],[LC Stop Loss Amount]] - SnapshotTable[[#This Row],[LC Premium]],"")</f>
        <v/>
      </c>
      <c r="EH143" s="9">
        <f>IF(ISNUMBER(SnapshotTable[[#This Row],[LC Premium]]), SnapshotTable[[#This Row],[LC Qty]] * 100 * SnapshotTable[[#This Row],[LC Strike Price]], "")</f>
        <v>0</v>
      </c>
      <c r="EI143" s="240" t="str">
        <f>IF(AND(ISNUMBER(SnapshotTable[[#This Row],[LC Total Value]]),SnapshotTable[[#This Row],[LC Total Value]]&gt;0),SnapshotTable[[#This Row],[LC Stop Gain Loss]]  / SnapshotTable[[#This Row],[LC Premium]],"")</f>
        <v/>
      </c>
      <c r="EJ143" s="35">
        <f>IF(ISNUMBER(SnapshotTable[[#This Row],[Equity Shares]]),TRUNC(SnapshotTable[[#This Row],[Equity Shares]] / 100),0) + SnapshotTable[[#This Row],[LC Qty]]</f>
        <v>0</v>
      </c>
      <c r="EK143" s="147"/>
      <c r="EL143" s="138" t="str">
        <f>IF(SnapshotTable[[#This Row],[SC Exp Date]]&lt;&gt;"",TRUNC(SnapshotTable[[#This Row],[Last Price]]),"")</f>
        <v/>
      </c>
      <c r="EM143" s="148"/>
      <c r="EN143" s="147"/>
      <c r="EO143" s="147"/>
      <c r="EP143" s="138"/>
      <c r="EQ143" s="419" t="b">
        <f>AND(ISNUMBER(SnapshotTable[[#This Row],[SC Exp Date]]), ISNUMBER(SnapshotTable[[#This Row],[SC Strike Price]]), ISNUMBER(SnapshotTable[[#This Row],[SC Qty]]), ISNUMBER(SnapshotTable[[#This Row],[SC Book Date]]), ISNUMBER(SnapshotTable[[#This Row],[SC Book Price]]))</f>
        <v>0</v>
      </c>
      <c r="ER143" s="419" t="b">
        <f>AND(SnapshotTable[[#This Row],[SC Is Booked]], NOT(ISBLANK(SnapshotTable[[#This Row],[SC Fill Date]])))</f>
        <v>0</v>
      </c>
      <c r="ES143" s="370"/>
      <c r="ET143" s="34" t="str">
        <f>IF(AND(ISNUMBER(SnapshotTable[[#This Row],[SC Exp Date]]), ISNUMBER(SnapshotTable[[#This Row],[SC Book Date]])), SnapshotTable[[#This Row],[SC Exp Date]] - MAX(SnapshotTable[[#This Row],[SC Book Date]], SnapshotTable[[#This Row],[SC Fill Date]]) + 1, "")</f>
        <v/>
      </c>
      <c r="EU143" s="34" t="str">
        <f>IF(ISNUMBER(SnapshotTable[[#This Row],[SC Term]]), SnapshotTable[[#This Row],[SC Exp Date]]- MockToday, "")</f>
        <v/>
      </c>
      <c r="EV143" s="31">
        <f>IF(SnapshotTable[[#This Row],[SC Is Booked]], SnapshotTable[[#This Row],[SC Qty]] * SnapshotTable[[#This Row],[SC Book Price]] * 100, 0)</f>
        <v>0</v>
      </c>
      <c r="EW143" s="4" t="str">
        <f>IF(AND(ISNUMBER(SnapshotTable[[#This Row],[Last Price]]), ISNUMBER( SnapshotTable[[#This Row],[SC Book Price]])), SnapshotTable[[#This Row],[Last Price]] - SnapshotTable[[#This Row],[SC Book Price]],"")</f>
        <v/>
      </c>
      <c r="EX143" s="234" t="str">
        <f>IF(SnapshotTable[[#This Row],[SC Is Booked]],IF(SnapshotTable[[#This Row],[SC Intrinsic Value]] &gt; 0, SnapshotTable[[#This Row],[SC Strike Price]], SnapshotTable[[#This Row],[Last Price]]), "")</f>
        <v/>
      </c>
      <c r="EY143" s="4">
        <f>IF(SnapshotTable[[#This Row],[SC Is Booked]], (MinimumPremiumRequired * SnapshotTable[[#This Row],[SC Basis]] * SnapshotTable[[#This Row],[SC Term]]), 0)</f>
        <v>0</v>
      </c>
      <c r="EZ143" s="283"/>
      <c r="FA143" s="218"/>
      <c r="FB143" s="370"/>
      <c r="FC143" s="4">
        <f>IF(SnapshotTable[[#This Row],[SC Is Filled]], btc_max_buyback_amount(SnapshotTable[[#This Row],[SC Fill Date]],SnapshotTable[[#This Row],[SC Exp Date]], SnapshotTable[[#This Row],[SC Book Price]]),0)</f>
        <v>0</v>
      </c>
      <c r="FD143" s="5"/>
      <c r="FE143" s="144" t="str">
        <f>IF(SnapshotTable[[#This Row],[SC Is Filled]], btc_next_cutoff_date(SnapshotTable[[#This Row],[SC Fill Date]],SnapshotTable[[#This Row],[SC Exp Date]]),"")</f>
        <v/>
      </c>
      <c r="FF143" s="4" t="str" cm="1">
        <f t="array" ref="FF143">IF(SnapshotTable[[#This Row],[SC Is Filled]], btc_should_buy_back(SnapshotTable[[#This Row],[SC Fill Date]], SnapshotTable[[#This Row],[SC Exp Date]], SnapshotTable[[#This Row],[SC Book Price]], SnapshotTable[[#This Row],[SC Current Ask]], MockToday, SnapshotTable[[#This Row],[SC Buyback Override]]),"")</f>
        <v/>
      </c>
      <c r="FG143" s="4">
        <f>IF(SnapshotTable[[#This Row],[SC Is Filled]], MAX(0,SnapshotTable[[#This Row],[Last Price]]  - SnapshotTable[[#This Row],[SC Strike Price]]), 0)</f>
        <v>0</v>
      </c>
      <c r="FH143" s="382">
        <f>IF(SnapshotTable[[#This Row],[SC Is Filled]], IF(ISNUMBER(SnapshotTable[[#This Row],[SC Current Ask]]), SnapshotTable[[#This Row],[SC Current Ask]], SnapshotTable[[#This Row],[SC Book Price]]) - SnapshotTable[[#This Row],[SC Intrinsic Value]], 0)</f>
        <v>0</v>
      </c>
      <c r="FI143" s="143"/>
      <c r="FJ143" s="32" t="str">
        <f>IF(SnapshotTable[[#This Row],[SC Is Filled]],100 * SnapshotTable[[#This Row],[SC Qty]] * IF(ISNUMBER(SnapshotTable[[#This Row],[SC Buyback Override]]), SnapshotTable[[#This Row],[SC Buyback Override]], SnapshotTable[[#This Row],[SC Current Ask]]), "")</f>
        <v/>
      </c>
      <c r="FK143" s="250" t="str">
        <f>IF(SnapshotTable[[#This Row],[SC Time Val]]&gt;0, SnapshotTable[[#This Row],[SC Time Val]] / SnapshotTable[[#This Row],[Last Price]],"")</f>
        <v/>
      </c>
      <c r="FL143" s="302" t="str">
        <f>IF(SnapshotTable[[#This Row],[SC Is Booked]], ((SnapshotTable[[#This Row],[Last Price]] -SnapshotTable[[#This Row],[SC Strike Price]]) / SnapshotTable[[#This Row],[Last Price]]) * -1, "")</f>
        <v/>
      </c>
      <c r="FM143" s="157" t="str">
        <f>IF(SnapshotTable[[#This Row],[SC Is Booked]],  (SnapshotTable[[#This Row],[SC Qty]] * 100 * SnapshotTable[[#This Row],[SC Strike Price]]) - SnapshotTable[[#This Row],[SC Current Ask]], "")</f>
        <v/>
      </c>
      <c r="FN14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3" s="31" t="str">
        <f>IF(AND(ISNUMBER(SnapshotTable[[#This Row],[SC Exercise Gross]]), ISNUMBER(SnapshotTable[[#This Row],[Equity Basis Per Share]] )), SnapshotTable[[#This Row],[SC Exercise Gross]] - SnapshotTable[[#This Row],[Equity Basis Total]] +  SnapshotTable[[#This Row],[SC Premium]], "")</f>
        <v/>
      </c>
      <c r="FP143" s="5" t="str">
        <f>IF(ISNUMBER(SnapshotTable[[#This Row],[SC Exercise Gross]]), (SnapshotTable[[#This Row],[SC Exercise Gross]]) / (SnapshotTable[[#This Row],[SC Qty]] * 100), "")</f>
        <v/>
      </c>
      <c r="FQ143" s="27" t="str">
        <f>IF(SnapshotTable[[#This Row],[SC Is Booked]],SnapshotTable[[#This Row],[SC Time Val]] /SnapshotTable[[#This Row],[SC Basis]], "")</f>
        <v/>
      </c>
      <c r="FR143" s="27" t="str" cm="1">
        <f t="array" ref="FR143">IF(AND(ISNUMBER(SnapshotTable[[#This Row],[SC Term]]),ISNUMBER(SnapshotTable[[#This Row],[SC Simple ROO]])), EllmanAnnualize(SnapshotTable[[#This Row],[SC DTE]], SnapshotTable[[#This Row],[SC Simple ROO]] ),"")</f>
        <v/>
      </c>
      <c r="FS143" s="4" t="e">
        <f>IF(SnapshotTable[[#This Row],[SC Strike Price]] &gt; SnapshotTable[[#This Row],[Last Price]], SnapshotTable[[#This Row],[SC Strike Price]] - SnapshotTable[[#This Row],[Last Price]],0)</f>
        <v>#VALUE!</v>
      </c>
      <c r="FT143" s="27" t="e">
        <f>IF(AND(ISNUMBER(SnapshotTable[[#This Row],[SC Upside Potential]]), SnapshotTable[[#This Row],[SC Upside Potential]] &gt; 0),(SnapshotTable[[#This Row],[SC Upside Potential]]/ SnapshotTable[[#This Row],[ACB]]),"")</f>
        <v>#VALUE!</v>
      </c>
      <c r="FU143" s="333" t="str">
        <f>IF(SnapshotTable[[#This Row],[SC Intrinsic Value]] &gt; 0,SnapshotTable[[#This Row],[SC Intrinsic Value]],"")</f>
        <v/>
      </c>
      <c r="FV143" s="27" t="str">
        <f>IF(AND( ISNUMBER( SnapshotTable[[#This Row],[ACB]]),ISNUMBER(SnapshotTable[[#This Row],[SC Downside Protect]])),SnapshotTable[[#This Row],[SC Downside Protect]] / SnapshotTable[[#This Row],[ACB]],"")</f>
        <v/>
      </c>
      <c r="FW143" s="236" t="str">
        <f>IF(AND(ISNUMBER(SnapshotTable[[#This Row],[SC Simple ROO]]),SnapshotTable[[#This Row],[SC Simple ROO]] &gt; 0), SnapshotTable[[#This Row],[SC Premium]] + (SnapshotTable[[#This Row],[SC Qty]] * SnapshotTable[[#This Row],[SC Upside Potential]]), "")</f>
        <v/>
      </c>
      <c r="FX143" s="302" t="str" cm="1">
        <f t="array" ref="FX143">IF(ISNUMBER(SnapshotTable[[#This Row],[SC Max Dollars]]), annualize(SnapshotTable[[#This Row],[SC Term]],(SnapshotTable[[#This Row],[SC Max Dollars]]/SnapshotTable[[#This Row],[SC Basis]])),"")</f>
        <v/>
      </c>
      <c r="FY143" s="236" t="str">
        <f>IF(AND(SnapshotTable[[#This Row],[SC Qty]]&gt;0,SnapshotTable[[#This Row],[SC Current Ask]]&gt;0), SnapshotTable[[#This Row],[SC Qty]] * SnapshotTable[[#This Row],[SC Current Ask]] * -100, "")</f>
        <v/>
      </c>
      <c r="FZ143" s="31" t="str">
        <f>IF(ISNUMBER((SnapshotTable[[#This Row],[SC Current Value]])), SnapshotTable[[#This Row],[SC Premium]] + SnapshotTable[[#This Row],[SC Current Value]], "")</f>
        <v/>
      </c>
      <c r="GA143" s="294" t="str">
        <f>IFERROR( IF(ISNUMBER((SnapshotTable[[#This Row],[SC Current Value]])), SnapshotTable[[#This Row],[SC Gain Loss]] / SnapshotTable[[#This Row],[SC Premium]], ""), "")</f>
        <v/>
      </c>
      <c r="GB143" s="42">
        <f>SnapshotTable[[#This Row],[Equity Shares]] * SaleSharesToConsiderPercentage</f>
        <v>0</v>
      </c>
      <c r="GC143" s="40">
        <f>SnapshotTable[[#This Row],[Long Term Target]] * SellingPriceToConsiderBasedOnTargetPercentage</f>
        <v>105.925</v>
      </c>
      <c r="GD143" s="40">
        <f>SnapshotTable[[#This Row],[Last Price]] * (1+ SellingPriceToConsiderBasedOnTargetPercentage)</f>
        <v>18.349499999999999</v>
      </c>
      <c r="GE143" s="41"/>
      <c r="GF143" s="40"/>
      <c r="GG143" s="31">
        <f>SnapshotTable[[#This Row],[Booked Sale Shares]] * SnapshotTable[[#This Row],[Booked Sale Price]]</f>
        <v>0</v>
      </c>
      <c r="GH143" s="31" t="str">
        <f>IF(SnapshotTable[[#This Row],[Equity Basis Total]] &gt; 0, SnapshotTable[[#This Row],[Equity Basis Per Share]] * SnapshotTable[[#This Row],[Booked Sale Shares]], "")</f>
        <v/>
      </c>
      <c r="GI143" s="31">
        <f>IF(SnapshotTable[[#This Row],[Sale Proceeds]]&gt;0, SnapshotTable[[#This Row],[Sale Proceeds]] - SnapshotTable[[#This Row],[Sale Basis]], 0)</f>
        <v>0</v>
      </c>
      <c r="GJ143" s="27" t="str">
        <f>IF(SnapshotTable[[#This Row],[Sale G/L]]&gt;0, SnapshotTable[[#This Row],[Sale G/L]] / SnapshotTable[[#This Row],[Sale Basis]], IF(ISNUMBER(SnapshotTable[[#This Row],[SC Exercise P&amp;L (TAX)]]), SnapshotTable[[#This Row],[SC Exercise P&amp;L (TAX)]] / SnapshotTable[[#This Row],[SC Basis]], ""))</f>
        <v/>
      </c>
      <c r="GK143" s="27" t="s">
        <v>690</v>
      </c>
      <c r="GL143" s="43" t="str">
        <f>IF(AND(SnapshotTable[[#This Row],[LP Exp Date]]&gt;0,SnapshotTable[[#This Row],[LP Strike Price]]&gt;0), [1]!ToOptionSymbol(SnapshotTable[[#This Row],[Symbol]], SnapshotTable[[#This Row],[LP Strike Price]],SnapshotTable[[#This Row],[LP Exp Date]],1), "")</f>
        <v/>
      </c>
      <c r="GM143" s="30" t="str">
        <f>IF(LEN(SnapshotTable[[#This Row],[LP Symbol]])&gt;0, 1, "")</f>
        <v/>
      </c>
      <c r="GN143" s="43" t="str">
        <f>IF(AND(SnapshotTable[[#This Row],[SP Exp Date]]&gt;0,SnapshotTable[[#This Row],[SP Strike Price]]&gt;0), [1]!ToOptionSymbol(SnapshotTable[[#This Row],[Symbol]], SnapshotTable[[#This Row],[SP Strike Price]],SnapshotTable[[#This Row],[SP Exp Date]],1), "")</f>
        <v/>
      </c>
      <c r="GO143" s="30" t="str">
        <f>IF(LEN(SnapshotTable[[#This Row],[SP Symbol]])&gt;0, 1, "")</f>
        <v/>
      </c>
      <c r="GP143" s="43" t="str">
        <f>IF(AND(SnapshotTable[[#This Row],[LC Exp Date]]&gt;0,SnapshotTable[[#This Row],[LC Strike Price]]&gt;0), [1]!ToOptionSymbol(SnapshotTable[[#This Row],[Symbol]], SnapshotTable[[#This Row],[LC Strike Price]],SnapshotTable[[#This Row],[LC Exp Date]],0), "")</f>
        <v/>
      </c>
      <c r="GQ143" s="30" t="str">
        <f>IF(LEN(SnapshotTable[[#This Row],[LC Symbol]])&gt;0, 1, "")</f>
        <v/>
      </c>
      <c r="GR143" s="43" t="str">
        <f>IF(AND(SnapshotTable[[#This Row],[SC Exp Date]]&gt;0,SnapshotTable[[#This Row],[SC Strike Price]]&gt;0), [1]!ToOptionSymbol(SnapshotTable[[#This Row],[Symbol]], SnapshotTable[[#This Row],[SC Strike Price]],SnapshotTable[[#This Row],[SC Exp Date]],0), "")</f>
        <v/>
      </c>
      <c r="GS143" s="30" t="str">
        <f>IF(LEN(SnapshotTable[[#This Row],[SC Symbol]])&gt;0, 1, "")</f>
        <v/>
      </c>
      <c r="GT143" s="29" t="str">
        <f>IF(COUNT(SnapshotTable[[#This Row],[LP Symbol Count]],SnapshotTable[[#This Row],[SP Symbol Count]],SnapshotTable[[#This Row],[LC Symbol Count]],SnapshotTable[[#This Row],[SC Symbol Count]])&gt;0, "Y", "")</f>
        <v/>
      </c>
      <c r="GU14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3" s="231" t="e">
        <f>MAX(SnapshotTable[[#This Row],[Equity Basis Total]],SnapshotTable[[#This Row],[Equity Value]]) + (SnapshotTable[[#This Row],[SP Potential Spend]]- SnapshotTable[[#This Row],[SP Premium]] + SnapshotTable[[#This Row],[LP Premium]])+ (SnapshotTable[[#This Row],[LC Premium]] - SnapshotTable[[#This Row],[SC Premium]])</f>
        <v>#VALUE!</v>
      </c>
      <c r="GW143" s="139" t="e">
        <f>IF(AND(SnapshotTable[[#This Row],[Exposure]] &lt;&gt; 0),SnapshotTable[[#This Row],[Exposure]] / SnapshotTable[[#Totals],[Exposure]], "")</f>
        <v>#VALUE!</v>
      </c>
      <c r="HE143" s="268"/>
      <c r="HF143" s="268"/>
      <c r="HK143" s="1"/>
      <c r="HL143" s="1"/>
      <c r="HM143" s="1"/>
      <c r="HN143" s="1"/>
      <c r="HO143" s="1"/>
      <c r="HP143" s="1"/>
    </row>
    <row r="144" spans="2:224" ht="12.75" hidden="1" customHeight="1" x14ac:dyDescent="0.25">
      <c r="B144" s="12" t="s">
        <v>48</v>
      </c>
      <c r="C144" s="422">
        <v>110.95</v>
      </c>
      <c r="D144" s="208" t="s">
        <v>885</v>
      </c>
      <c r="E144" s="39">
        <f>SnapshotTable[[#This Row],[Last Price]]*(1 -CrashDiscount)</f>
        <v>94.307500000000005</v>
      </c>
      <c r="F144" s="26" t="s">
        <v>47</v>
      </c>
      <c r="G144" s="26" t="s">
        <v>14</v>
      </c>
      <c r="H144" s="149"/>
      <c r="I144" s="194">
        <v>44776.670138888891</v>
      </c>
      <c r="J144" s="195">
        <v>44776.670138888891</v>
      </c>
      <c r="K144" s="196"/>
      <c r="L144" s="326"/>
      <c r="M144" s="140"/>
      <c r="N144" s="140"/>
      <c r="O144" s="140"/>
      <c r="P144" s="22"/>
      <c r="Q144" s="25"/>
      <c r="R144" s="4" t="str">
        <f>IF(SnapshotTable[[#This Row],[Equity Basis Total]] &gt; 0, SnapshotTable[[#This Row],[Equity Basis Total]] / SnapshotTable[[#This Row],[Equity Shares]], "")</f>
        <v/>
      </c>
      <c r="S144" s="269">
        <f>SnapshotTable[[#This Row],[Last Price]] * SnapshotTable[[#This Row],[Equity Shares]]</f>
        <v>0</v>
      </c>
      <c r="T144" s="269">
        <f>SnapshotTable[[#This Row],[Equity Value]] - SnapshotTable[[#This Row],[Equity Basis Total]]</f>
        <v>0</v>
      </c>
      <c r="U144" s="270" t="str">
        <f>IF(SnapshotTable[[#This Row],[Equity Basis Total]] &gt; 0, SnapshotTable[[#This Row],[Equity G/L]] / SnapshotTable[[#This Row],[Equity Basis Total]], "")</f>
        <v/>
      </c>
      <c r="V144" s="268"/>
      <c r="W144" s="268"/>
      <c r="X144" s="4" t="str">
        <f>IF(AND(ISNUMBER(SnapshotTable[[#This Row],[Equity Basis Per Share]]),ISNUMBER(SnapshotTable[[#This Row],[Equity Target]])),SnapshotTable[[#This Row],[Equity Target]]-SnapshotTable[[#This Row],[Equity Basis Per Share]],"")</f>
        <v/>
      </c>
      <c r="Y144" s="4" t="str">
        <f>IF(AND(ISNUMBER(SnapshotTable[[#This Row],[Equity Basis Per Share]]),ISNUMBER(SnapshotTable[[#This Row],[Equity Stop Loss]])),SnapshotTable[[#This Row],[Equity Stop Loss]]-SnapshotTable[[#This Row],[Equity Basis Per Share]],"")</f>
        <v/>
      </c>
      <c r="Z144" s="275" t="str">
        <f>IFERROR( TEXT(SnapshotTable[[#This Row],[Equity Max Gain Per Share]] /ABS( SnapshotTable[[#This Row],[Equity Max Loss Per Share]]),"0.0 " ) &amp; " : 1", "")</f>
        <v/>
      </c>
      <c r="AA144" s="31" t="str">
        <f>IF(ISNUMBER(SnapshotTable[[#This Row],[Equity Max Gain Per Share]]),SnapshotTable[[#This Row],[Equity Max Gain Per Share]] * SnapshotTable[[#This Row],[Equity Shares]],"")</f>
        <v/>
      </c>
      <c r="AB144" s="31" t="str">
        <f>IF(ISNUMBER(SnapshotTable[[#This Row],[Equity Max Loss Per Share]]),SnapshotTable[[#This Row],[Equity Max Loss Per Share]] * SnapshotTable[[#This Row],[Equity Shares]],"")</f>
        <v/>
      </c>
      <c r="AC144" s="150"/>
      <c r="AD144" s="151" t="s">
        <v>2</v>
      </c>
      <c r="AE144" s="31">
        <f>(SnapshotTable[[#This Row],[Annual Dividend Per Share]] / 4) * SnapshotTable[[#This Row],[Equity Shares]]</f>
        <v>0</v>
      </c>
      <c r="AF144" s="31">
        <f>SnapshotTable[[#This Row],[Quarterly Div $]] * 4</f>
        <v>0</v>
      </c>
      <c r="AG144" s="7">
        <f>IF(SnapshotTable[[#This Row],[Annual Dividend Per Share]]&gt;0, SnapshotTable[[#This Row],[Annual Dividend Per Share]]  / SnapshotTable[[#This Row],[Last Price]], 0)</f>
        <v>0</v>
      </c>
      <c r="AH144" s="151"/>
      <c r="AI144" s="5"/>
      <c r="AJ144" s="138"/>
      <c r="AK144" s="152" t="str">
        <f>IF(ISNUMBER( SnapshotTable[[#This Row],[EBF Target]]),(SnapshotTable[[#This Row],[EBF Target]] - SnapshotTable[[#This Row],[Last Price]]) / SnapshotTable[[#This Row],[Last Price]], "")</f>
        <v/>
      </c>
      <c r="AL144" s="152" t="str">
        <f>IF(AND(SnapshotTable[[#This Row],[Equity Basis Total]] &gt; 0,ISNUMBER( SnapshotTable[[#This Row],[Long Term Target]])), SnapshotTable[[#This Row],[From Basis $]] / SnapshotTable[[#This Row],[Equity Basis Total]], "")</f>
        <v/>
      </c>
      <c r="AM144" s="9">
        <f>IF( AND(SnapshotTable[[#This Row],[Equity Shares]] &gt;0,ISNUMBER( SnapshotTable[[#This Row],[Long Term Target]])),(SnapshotTable[[#This Row],[Equity Shares]] * SnapshotTable[[#This Row],[Long Term Target]]) - SnapshotTable[[#This Row],[Equity Basis Total]],0)</f>
        <v>0</v>
      </c>
      <c r="AN144" s="9">
        <f>IF( AND(SnapshotTable[[#This Row],[Equity Shares]] &gt;0,ISNUMBER( SnapshotTable[[#This Row],[Long Term Target]])),(SnapshotTable[[#This Row],[Equity Shares]]*SnapshotTable[[#This Row],[Long Term Target]]) - SnapshotTable[[#This Row],[Equity Value]],0)</f>
        <v>0</v>
      </c>
      <c r="AO144" s="152" t="str">
        <f>IF(AND(ISNUMBER( SnapshotTable[[#This Row],[Long Term Target]]), ISNUMBER(SnapshotTable[[#This Row],[Last Price]])),(SnapshotTable[[#This Row],[Long Term Target]] - SnapshotTable[[#This Row],[Last Price]]) / SnapshotTable[[#This Row],[Last Price]], "")</f>
        <v/>
      </c>
      <c r="AP144" s="5">
        <v>34</v>
      </c>
      <c r="AQ144" s="38" t="s">
        <v>46</v>
      </c>
      <c r="AR144" s="5">
        <v>32</v>
      </c>
      <c r="AS144" s="38" t="s">
        <v>45</v>
      </c>
      <c r="AT144" s="146"/>
      <c r="AU144" s="187" t="str">
        <f>IF(OR(SnapshotTable[[#This Row],[LP No Fill]]="Y",SnapshotTable[[#This Row],[SP Is Filled]],SnapshotTable[[#This Row],[LC Not Filled]]="Y",SnapshotTable[[#This Row],[SC Is Filled]]),"Y","")</f>
        <v/>
      </c>
      <c r="AV144" s="219"/>
      <c r="AW144" s="225"/>
      <c r="AX144" s="220"/>
      <c r="AY144" s="219" t="str">
        <f>IF(SnapshotTable[[#This Row],[Implied Move]]&gt;0, SnapshotTable[[#This Row],[Last Price]]-SnapshotTable[[#This Row],[Implied Move]],"")</f>
        <v/>
      </c>
      <c r="AZ144" s="219" t="str">
        <f>IF(SnapshotTable[[#This Row],[Implied Move]]&gt;0, SnapshotTable[[#This Row],[Last Price]] + SnapshotTable[[#This Row],[Implied Move]],"")</f>
        <v/>
      </c>
      <c r="BA144" s="331"/>
      <c r="BB144" s="347"/>
      <c r="BC14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4" s="351"/>
      <c r="BE144" s="5"/>
      <c r="BF144" s="14"/>
      <c r="BG144" s="13"/>
      <c r="BH144" s="13"/>
      <c r="BI144" s="5"/>
      <c r="BJ144" s="136">
        <f>IF(SnapshotTable[[#This Row],[LP Qty]] &gt; 0, SnapshotTable[[#This Row],[LP Qty]] * SnapshotTable[[#This Row],[LP Book Price]] * 100,0)</f>
        <v>0</v>
      </c>
      <c r="BK144" s="136">
        <f>IF(SnapshotTable[[#This Row],[LP Premium]] &gt; 0, SnapshotTable[[#This Row],[LP Qty]] * SnapshotTable[[#This Row],[LP Strike Price]] * 100,0)</f>
        <v>0</v>
      </c>
      <c r="BL144" s="154"/>
      <c r="BM144" s="385" t="str">
        <f>IF(SnapshotTable[[#This Row],[LP Premium]] &gt; 0,SnapshotTable[[#This Row],[LP Exp Date]]-MAX(SnapshotTable[[#This Row],[LP Book Date]], SnapshotTable[[#This Row],[LP Fill Date]]),"")</f>
        <v/>
      </c>
      <c r="BN144" s="385" t="str">
        <f>IF(ISNUMBER( SnapshotTable[[#This Row],[LP Term]]), SnapshotTable[[#This Row],[LP Exp Date]] - MockToday,"")</f>
        <v/>
      </c>
      <c r="BO144" s="163" t="str">
        <f>IF(AND(SnapshotTable[[#This Row],[LP Exp Date]]&gt;0, SnapshotTable[[#This Row],[LP Strike Price]]&gt;0,SnapshotTable[[#This Row],[LP Qty]]&gt;0,SnapshotTable[[#This Row],[LP Book Date]]&gt;0,SnapshotTable[[#This Row],[LP Book Price]]&gt;0,SnapshotTable[[#This Row],[LP Fill Date]]=0),"Y","")</f>
        <v/>
      </c>
      <c r="BP144" s="31" t="str">
        <f>IF(AND(SnapshotTable[[#This Row],[LP No Fill]]&lt;&gt;"Y",SnapshotTable[[#This Row],[LP Contract Value]]&gt;0, SnapshotTable[[#This Row],[LP Qty]]&gt;0), SnapshotTable[[#This Row],[LP Contract Value]]*SnapshotTable[[#This Row],[LP Qty]]*100,"")</f>
        <v/>
      </c>
      <c r="BQ144" s="13"/>
      <c r="BR144" s="5" t="str">
        <f>IF(SnapshotTable[[#This Row],[SP Exp Date]]&lt;&gt;"",TRUNC(SnapshotTable[[#This Row],[Last Price]]),"")</f>
        <v/>
      </c>
      <c r="BS144" s="36"/>
      <c r="BT144" s="147"/>
      <c r="BU144" s="13"/>
      <c r="BV144" s="5"/>
      <c r="BW144" s="419" t="b">
        <f>AND(ISNUMBER(SnapshotTable[[#This Row],[SP Exp Date]]), ISNUMBER(SnapshotTable[[#This Row],[SP Strike Price]]), ISNUMBER(SnapshotTable[[#This Row],[SP Qty]]), ISNUMBER(SnapshotTable[[#This Row],[SP Book Date]]), ISNUMBER(SnapshotTable[[#This Row],[SP Book Price]]))</f>
        <v>0</v>
      </c>
      <c r="BX144" s="419" t="b">
        <f>AND(SnapshotTable[[#This Row],[SP Is Booked]], NOT(ISBLANK(SnapshotTable[[#This Row],[SP Fill Date]])))</f>
        <v>0</v>
      </c>
      <c r="BY144" s="33">
        <f>IF(SnapshotTable[[#This Row],[SP Is Booked]], SnapshotTable[[#This Row],[SP Qty]] * SnapshotTable[[#This Row],[SP Book Price]] * 100, 0)</f>
        <v>0</v>
      </c>
      <c r="BZ144" s="369"/>
      <c r="CA144" s="368">
        <f>SnapshotTable[[#This Row],[LP Qty]]</f>
        <v>0</v>
      </c>
      <c r="CB144" s="4" t="str">
        <f>IF(SnapshotTable[[#This Row],[SP Is Booked]], SnapshotTable[[#This Row],[SP Strike Price]] - SnapshotTable[[#This Row],[SP Book Price]], "")</f>
        <v/>
      </c>
      <c r="CC144" s="19" t="str">
        <f>IF(SnapshotTable[[#This Row],[SP Is Booked]],SnapshotTable[[#This Row],[SP Exp Date]]-MAX(SnapshotTable[[#This Row],[SP Book Date]], SnapshotTable[[#This Row],[SP Fill Date]]),"")</f>
        <v/>
      </c>
      <c r="CD144" s="7" t="str">
        <f>IF(SnapshotTable[[#This Row],[SP Is Booked]], SnapshotTable[[#This Row],[SP Book Price]]/SnapshotTable[[#This Row],[SP Strike Price]], "")</f>
        <v/>
      </c>
      <c r="CE144" s="7" t="str">
        <f>IF(ISNUMBER(SnapshotTable[[#This Row],[SP ROO Term]]),SnapshotTable[[#This Row],[SP ROO Term]]*(365/SnapshotTable[[#This Row],[SP Term]]),"")</f>
        <v/>
      </c>
      <c r="CF144" s="236">
        <f>SnapshotTable[[#This Row],[LP Strike Price]] * SnapshotTable[[#This Row],[LP Qty]] * 100</f>
        <v>0</v>
      </c>
      <c r="CG144" s="31" t="e">
        <f>IF(ISNUMBER(SnapshotTable[[#This Row],[SP Premium]]), (SnapshotTable[[#This Row],[SP Qty]] * SnapshotTable[[#This Row],[SP Strike Price]]* 100) - SnapshotTable[[#This Row],[LP Protection]], 0)</f>
        <v>#VALUE!</v>
      </c>
      <c r="CH144" s="7" t="str">
        <f>IF(ISNUMBER(SnapshotTable[[#This Row],[SP Break Even]]),-1 * (SnapshotTable[[#This Row],[SP Break Even]] - SnapshotTable[[#This Row],[Last Price]]) / SnapshotTable[[#This Row],[Last Price]], "")</f>
        <v/>
      </c>
      <c r="CI144" s="31">
        <f>IF(AND(ISNUMBER((SnapshotTable[[#This Row],[SP Potential Spend]])), SnapshotTable[[#This Row],[SP Strike Price]] &gt; SnapshotTable[[#This Row],[Last Price]], SnapshotTable[[#This Row],[SP Is Filled]]), SnapshotTable[[#This Row],[SP Potential Spend]] -  SnapshotTable[[#This Row],[LP Max Value]], 0)</f>
        <v>0</v>
      </c>
      <c r="CJ144" s="244"/>
      <c r="CK144" s="31" t="str">
        <f>IF(ISNUMBER(SnapshotTable[[#This Row],[SP Potential Spend]]),IF(ISNUMBER(SnapshotTable[[#This Row],[SP POW]]), SnapshotTable[[#This Row],[SP POW]] * SnapshotTable[[#This Row],[SP Potential Spend]], SnapshotTable[[#This Row],[SP Potential Spend]]), "")</f>
        <v/>
      </c>
      <c r="CL144" s="164" t="e">
        <f>IF(NOT(SnapshotTable[[#This Row],[SP Is Filled]]),(SnapshotTable[[#This Row],[SP Qty]] * SnapshotTable[[#This Row],[SP Strike Price]] * 100) - SnapshotTable[[#This Row],[LP Max Value]],"")</f>
        <v>#VALUE!</v>
      </c>
      <c r="CM144" s="31" t="str">
        <f>IF(SnapshotTable[[#This Row],[SP Actual Spend]]&lt;&gt;0, ((SnapshotTable[[#This Row],[SP Strike Price]]-SnapshotTable[[#This Row],[Last Price]]) *(SnapshotTable[[#This Row],[SP Qty]]*100) - SnapshotTable[[#This Row],[SP Premium]]) * - 1, "")</f>
        <v/>
      </c>
      <c r="CN144" s="78"/>
      <c r="CO144" s="369"/>
      <c r="CP144" s="4" t="str">
        <f>IF(SnapshotTable[[#This Row],[SP Is Filled]], btc_max_buyback_amount(SnapshotTable[[#This Row],[SP Fill Date]],SnapshotTable[[#This Row],[SP Exp Date]], SnapshotTable[[#This Row],[SP Book Price]]),"")</f>
        <v/>
      </c>
      <c r="CQ144" s="78"/>
      <c r="CR14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4" s="155" t="str">
        <f>IF(SnapshotTable[[#This Row],[SP Is Filled]], btc_next_cutoff_date(SnapshotTable[[#This Row],[SP Fill Date]],SnapshotTable[[#This Row],[SP Exp Date]]),"")</f>
        <v/>
      </c>
      <c r="CT144" s="235" t="str" cm="1">
        <f t="array" ref="CT144">IF(SnapshotTable[[#This Row],[SP Is Filled]], btc_should_buy_back(SnapshotTable[[#This Row],[SP Fill Date]], SnapshotTable[[#This Row],[SP Exp Date]], SnapshotTable[[#This Row],[SP Book Price]], SnapshotTable[[#This Row],[SP Current Ask]], MockToday, SnapshotTable[[#This Row],[SP Buyback Override]]),"")</f>
        <v/>
      </c>
      <c r="CU144" s="143"/>
      <c r="CV144" s="235"/>
      <c r="CW144" s="378" t="str">
        <f>IF(ISNUMBER( SnapshotTable[[#This Row],[SP Term]]), SnapshotTable[[#This Row],[SP Exp Date]] - MockToday,"")</f>
        <v/>
      </c>
      <c r="CX144" s="31" t="str">
        <f>IF(SnapshotTable[[#This Row],[SP Is Filled]],SnapshotTable[[#This Row],[SP Buyback Price to Use]] * 100 * SnapshotTable[[#This Row],[SP Qty]], "")</f>
        <v/>
      </c>
      <c r="CY144" s="4" t="str">
        <f>IF(ISNUMBER(SnapshotTable[[#This Row],[SP Strike Price]]), SnapshotTable[[#This Row],[SP Strike Price]] * (1 - SP_MaxLoss_StrikePct), "")</f>
        <v/>
      </c>
      <c r="CZ144" s="31" t="str">
        <f>IF(ISNUMBER(SnapshotTable[[#This Row],[SP Strike  Stop Per Share]]),SnapshotTable[[#This Row],[SP Premium]] - ((SnapshotTable[[#This Row],[SP Strike Price]]-SnapshotTable[[#This Row],[SP Strike  Stop Per Share]]) *(SnapshotTable[[#This Row],[SP Qty]] * 100)),"")</f>
        <v/>
      </c>
      <c r="DA144" s="4" t="str">
        <f>IF(AND(ISNUMBER(SnapshotTable[[#This Row],[SP Premium]]),SnapshotTable[[#This Row],[SP Premium]]&gt;0), SnapshotTable[[#This Row],[SP Book Price]] * (1 + SP_MaxLoss_OptionPct), "")</f>
        <v/>
      </c>
      <c r="DB144" s="31" t="str">
        <f>IF(ISNUMBER(SnapshotTable[[#This Row],[SP Option  Stop Contract]]),(SnapshotTable[[#This Row],[SP Option  Stop Contract]] *(SnapshotTable[[#This Row],[SP Qty]] * 100) - SnapshotTable[[#This Row],[SP Premium]]),"")</f>
        <v/>
      </c>
      <c r="DC144" s="4"/>
      <c r="DD144" s="4"/>
      <c r="DE144" s="4" t="str">
        <f>IF(AND(SnapshotTable[[#This Row],[SP Qty]]&gt;0, SnapshotTable[[#This Row],[SP Stop To Use]]&gt;0),SnapshotTable[[#This Row],[SP Premium]] - ( SnapshotTable[[#This Row],[SP Qty]] * SnapshotTable[[#This Row],[SP Stop To Use]] * 100), "")</f>
        <v/>
      </c>
      <c r="DF144" s="31" t="str">
        <f>IF(AND(SnapshotTable[[#This Row],[SP Qty]]&gt;0,SnapshotTable[[#This Row],[SP Current Ask]]&gt;0), SnapshotTable[[#This Row],[SP Qty]] * SnapshotTable[[#This Row],[SP Current Ask]] * -100, "")</f>
        <v/>
      </c>
      <c r="DG144" s="31" t="str">
        <f>IF(ISNUMBER((SnapshotTable[[#This Row],[SP Total Value]])), SnapshotTable[[#This Row],[SP Premium]] + SnapshotTable[[#This Row],[SP Total Value]], "")</f>
        <v/>
      </c>
      <c r="DH144" s="294" t="str">
        <f>IF(ISNUMBER((SnapshotTable[[#This Row],[SP Total Value]])), SnapshotTable[[#This Row],[SP Gain Loss]] / SnapshotTable[[#This Row],[SP Premium]], "")</f>
        <v/>
      </c>
      <c r="DI144" s="406"/>
      <c r="DJ144" s="138"/>
      <c r="DK144" s="148"/>
      <c r="DL144" s="13"/>
      <c r="DM144" s="13"/>
      <c r="DO144" s="31">
        <f>IF(SnapshotTable[[#This Row],[LC Symbol Count]]=1, SnapshotTable[[#This Row],[LC Qty]] * SnapshotTable[[#This Row],[LC Book Price]] * 100, 0)</f>
        <v>0</v>
      </c>
      <c r="DP144" s="163" t="str">
        <f>IF(AND(SnapshotTable[[#This Row],[LC Exp Date]]&gt;0, SnapshotTable[[#This Row],[LC Strike Price]]&gt;0,SnapshotTable[[#This Row],[LC Qty]]&gt;0,SnapshotTable[[#This Row],[LC Book Date]]&gt;0,SnapshotTable[[#This Row],[LC Book Price]]&gt;0,SnapshotTable[[#This Row],[LC Fill Date]]=0),"Y","")</f>
        <v/>
      </c>
      <c r="DQ144" s="386" t="str">
        <f>IF(SnapshotTable[[#This Row],[LC Premium]] &gt; 0,SnapshotTable[[#This Row],[LC Exp Date]]-MAX(SnapshotTable[[#This Row],[LC Book Date]], SnapshotTable[[#This Row],[LC Fill Date]]),"")</f>
        <v/>
      </c>
      <c r="DR144" s="386" t="str">
        <f>IF(ISNUMBER(SnapshotTable[[#This Row],[LC Term]]), SnapshotTable[[#This Row],[LC Exp Date]] - MockToday, "")</f>
        <v/>
      </c>
      <c r="DS144" s="234" t="str">
        <f>IF(SnapshotTable[[#This Row],[LC Premium]]&gt;0,SnapshotTable[[#This Row],[LC Strike Price]] + SnapshotTable[[#This Row],[LC Book Price]],"")</f>
        <v/>
      </c>
      <c r="DU144" s="9" t="str">
        <f>IF(AND(SnapshotTable[[#This Row],[LC Symbol Count]]&gt;0, SnapshotTable[[#This Row],[LC Contract Value]]&gt;0), SnapshotTable[[#This Row],[LC Contract Value]] * SnapshotTable[[#This Row],[LC Qty]] * 100, "")</f>
        <v/>
      </c>
      <c r="DV144" s="9" t="str">
        <f>IF(AND(ISNUMBER(SnapshotTable[[#This Row],[LC Total Value]]), SnapshotTable[[#This Row],[LC Not Filled]]&lt;&gt;"Y"), SnapshotTable[[#This Row],[LC Total Value]]-SnapshotTable[[#This Row],[LC Premium]],"")</f>
        <v/>
      </c>
      <c r="DW144" s="240" t="str">
        <f>IF(ISNUMBER(SnapshotTable[[#This Row],[LC Actual Gain Loss]]), SnapshotTable[[#This Row],[LC Actual Gain Loss]] / SnapshotTable[[#This Row],[LC Premium]],"")</f>
        <v/>
      </c>
      <c r="DX144" s="284" t="str">
        <f>IF(ISNUMBER(SnapshotTable[[#This Row],[LC Book Price]]),SnapshotTable[[#This Row],[LC Book Price]] * 1.5,"")</f>
        <v/>
      </c>
      <c r="DY144" s="265" t="str">
        <f>IF(SnapshotTable[[#This Row],[LC Premium]]&gt;0, SnapshotTable[[#This Row],[LC Next Target]] * SnapshotTable[[#This Row],[LC Qty]] * 100,"")</f>
        <v/>
      </c>
      <c r="DZ144" s="265" t="str">
        <f>IF(ISNUMBER(SnapshotTable[[#This Row],[LC Target Gross]]), SnapshotTable[[#This Row],[LC Target Gross]] - SnapshotTable[[#This Row],[LC Premium]], "")</f>
        <v/>
      </c>
      <c r="EA144" s="305" t="str">
        <f>IF(ISNUMBER(SnapshotTable[[#This Row],[LC Target Gain Loss]]), SnapshotTable[[#This Row],[LC Target Gain Loss]]/SnapshotTable[[#This Row],[LC Premium]], "")</f>
        <v/>
      </c>
      <c r="EB144" s="262"/>
      <c r="EC144" s="283" t="str">
        <f>IF(SnapshotTable[[#This Row],[LC Premium]]&gt;0, SnapshotTable[[#This Row],[LC Book Price]] * (1 - LC_StopLoss_Pct),"")</f>
        <v/>
      </c>
      <c r="ED144" s="284"/>
      <c r="EE144" s="283" t="str">
        <f>IF(ISNUMBER(SnapshotTable[[#This Row],[LC Contract Value]]),IF(ISNUMBER(SnapshotTable[[#This Row],[LC Stop Loss Override]]), SnapshotTable[[#This Row],[LC Stop Loss Override]],SnapshotTable[[#This Row],[LC Stop Loss Calc Target]]),"")</f>
        <v/>
      </c>
      <c r="EF144" s="31" t="str">
        <f>IF(ISNUMBER(SnapshotTable[[#This Row],[LC Stop  To Use]]), (SnapshotTable[[#This Row],[LC Stop  To Use]] * SnapshotTable[[#This Row],[LC Qty]] * 100),"")</f>
        <v/>
      </c>
      <c r="EG144" s="9" t="str">
        <f>IF(ISNUMBER(SnapshotTable[[#This Row],[LC Total Value]]),SnapshotTable[[#This Row],[LC Stop Loss Amount]] - SnapshotTable[[#This Row],[LC Premium]],"")</f>
        <v/>
      </c>
      <c r="EH144" s="9">
        <f>IF(ISNUMBER(SnapshotTable[[#This Row],[LC Premium]]), SnapshotTable[[#This Row],[LC Qty]] * 100 * SnapshotTable[[#This Row],[LC Strike Price]], "")</f>
        <v>0</v>
      </c>
      <c r="EI144" s="240" t="str">
        <f>IF(AND(ISNUMBER(SnapshotTable[[#This Row],[LC Total Value]]),SnapshotTable[[#This Row],[LC Total Value]]&gt;0),SnapshotTable[[#This Row],[LC Stop Gain Loss]]  / SnapshotTable[[#This Row],[LC Premium]],"")</f>
        <v/>
      </c>
      <c r="EJ144" s="35">
        <f>IF(ISNUMBER(SnapshotTable[[#This Row],[Equity Shares]]),TRUNC(SnapshotTable[[#This Row],[Equity Shares]] / 100),0) + SnapshotTable[[#This Row],[LC Qty]]</f>
        <v>0</v>
      </c>
      <c r="EK144" s="147"/>
      <c r="EL144" s="138" t="str">
        <f>IF(SnapshotTable[[#This Row],[SC Exp Date]]&lt;&gt;"",TRUNC(SnapshotTable[[#This Row],[Last Price]]),"")</f>
        <v/>
      </c>
      <c r="EM144" s="148"/>
      <c r="EN144" s="147"/>
      <c r="EO144" s="147"/>
      <c r="EP144" s="138"/>
      <c r="EQ144" s="419" t="b">
        <f>AND(ISNUMBER(SnapshotTable[[#This Row],[SC Exp Date]]), ISNUMBER(SnapshotTable[[#This Row],[SC Strike Price]]), ISNUMBER(SnapshotTable[[#This Row],[SC Qty]]), ISNUMBER(SnapshotTable[[#This Row],[SC Book Date]]), ISNUMBER(SnapshotTable[[#This Row],[SC Book Price]]))</f>
        <v>0</v>
      </c>
      <c r="ER144" s="419" t="b">
        <f>AND(SnapshotTable[[#This Row],[SC Is Booked]], NOT(ISBLANK(SnapshotTable[[#This Row],[SC Fill Date]])))</f>
        <v>0</v>
      </c>
      <c r="ES144" s="370"/>
      <c r="ET144" s="34" t="str">
        <f>IF(AND(ISNUMBER(SnapshotTable[[#This Row],[SC Exp Date]]), ISNUMBER(SnapshotTable[[#This Row],[SC Book Date]])), SnapshotTable[[#This Row],[SC Exp Date]] - MAX(SnapshotTable[[#This Row],[SC Book Date]], SnapshotTable[[#This Row],[SC Fill Date]]) + 1, "")</f>
        <v/>
      </c>
      <c r="EU144" s="34" t="str">
        <f>IF(ISNUMBER(SnapshotTable[[#This Row],[SC Term]]), SnapshotTable[[#This Row],[SC Exp Date]]- MockToday, "")</f>
        <v/>
      </c>
      <c r="EV144" s="31">
        <f>IF(SnapshotTable[[#This Row],[SC Is Booked]], SnapshotTable[[#This Row],[SC Qty]] * SnapshotTable[[#This Row],[SC Book Price]] * 100, 0)</f>
        <v>0</v>
      </c>
      <c r="EW144" s="4" t="str">
        <f>IF(AND(ISNUMBER(SnapshotTable[[#This Row],[Last Price]]), ISNUMBER( SnapshotTable[[#This Row],[SC Book Price]])), SnapshotTable[[#This Row],[Last Price]] - SnapshotTable[[#This Row],[SC Book Price]],"")</f>
        <v/>
      </c>
      <c r="EX144" s="234" t="str">
        <f>IF(SnapshotTable[[#This Row],[SC Is Booked]],IF(SnapshotTable[[#This Row],[SC Intrinsic Value]] &gt; 0, SnapshotTable[[#This Row],[SC Strike Price]], SnapshotTable[[#This Row],[Last Price]]), "")</f>
        <v/>
      </c>
      <c r="EY144" s="4">
        <f>IF(SnapshotTable[[#This Row],[SC Is Booked]], (MinimumPremiumRequired * SnapshotTable[[#This Row],[SC Basis]] * SnapshotTable[[#This Row],[SC Term]]), 0)</f>
        <v>0</v>
      </c>
      <c r="EZ144" s="283"/>
      <c r="FA144" s="218"/>
      <c r="FB144" s="370"/>
      <c r="FC144" s="4">
        <f>IF(SnapshotTable[[#This Row],[SC Is Filled]], btc_max_buyback_amount(SnapshotTable[[#This Row],[SC Fill Date]],SnapshotTable[[#This Row],[SC Exp Date]], SnapshotTable[[#This Row],[SC Book Price]]),0)</f>
        <v>0</v>
      </c>
      <c r="FD144" s="5"/>
      <c r="FE144" s="144" t="str">
        <f>IF(SnapshotTable[[#This Row],[SC Is Filled]], btc_next_cutoff_date(SnapshotTable[[#This Row],[SC Fill Date]],SnapshotTable[[#This Row],[SC Exp Date]]),"")</f>
        <v/>
      </c>
      <c r="FF144" s="4" t="str" cm="1">
        <f t="array" ref="FF144">IF(SnapshotTable[[#This Row],[SC Is Filled]], btc_should_buy_back(SnapshotTable[[#This Row],[SC Fill Date]], SnapshotTable[[#This Row],[SC Exp Date]], SnapshotTable[[#This Row],[SC Book Price]], SnapshotTable[[#This Row],[SC Current Ask]], MockToday, SnapshotTable[[#This Row],[SC Buyback Override]]),"")</f>
        <v/>
      </c>
      <c r="FG144" s="4">
        <f>IF(SnapshotTable[[#This Row],[SC Is Filled]], MAX(0,SnapshotTable[[#This Row],[Last Price]]  - SnapshotTable[[#This Row],[SC Strike Price]]), 0)</f>
        <v>0</v>
      </c>
      <c r="FH144" s="382">
        <f>IF(SnapshotTable[[#This Row],[SC Is Filled]], IF(ISNUMBER(SnapshotTable[[#This Row],[SC Current Ask]]), SnapshotTable[[#This Row],[SC Current Ask]], SnapshotTable[[#This Row],[SC Book Price]]) - SnapshotTable[[#This Row],[SC Intrinsic Value]], 0)</f>
        <v>0</v>
      </c>
      <c r="FI144" s="143"/>
      <c r="FJ144" s="32" t="str">
        <f>IF(SnapshotTable[[#This Row],[SC Is Filled]],100 * SnapshotTable[[#This Row],[SC Qty]] * IF(ISNUMBER(SnapshotTable[[#This Row],[SC Buyback Override]]), SnapshotTable[[#This Row],[SC Buyback Override]], SnapshotTable[[#This Row],[SC Current Ask]]), "")</f>
        <v/>
      </c>
      <c r="FK144" s="250" t="str">
        <f>IF(SnapshotTable[[#This Row],[SC Time Val]]&gt;0, SnapshotTable[[#This Row],[SC Time Val]] / SnapshotTable[[#This Row],[Last Price]],"")</f>
        <v/>
      </c>
      <c r="FL144" s="302" t="str">
        <f>IF(SnapshotTable[[#This Row],[SC Is Booked]], ((SnapshotTable[[#This Row],[Last Price]] -SnapshotTable[[#This Row],[SC Strike Price]]) / SnapshotTable[[#This Row],[Last Price]]) * -1, "")</f>
        <v/>
      </c>
      <c r="FM144" s="157" t="str">
        <f>IF(SnapshotTable[[#This Row],[SC Is Booked]],  (SnapshotTable[[#This Row],[SC Qty]] * 100 * SnapshotTable[[#This Row],[SC Strike Price]]) - SnapshotTable[[#This Row],[SC Current Ask]], "")</f>
        <v/>
      </c>
      <c r="FN14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4" s="31" t="str">
        <f>IF(AND(ISNUMBER(SnapshotTable[[#This Row],[SC Exercise Gross]]), ISNUMBER(SnapshotTable[[#This Row],[Equity Basis Per Share]] )), SnapshotTable[[#This Row],[SC Exercise Gross]] - SnapshotTable[[#This Row],[Equity Basis Total]] +  SnapshotTable[[#This Row],[SC Premium]], "")</f>
        <v/>
      </c>
      <c r="FP144" s="5" t="str">
        <f>IF(ISNUMBER(SnapshotTable[[#This Row],[SC Exercise Gross]]), (SnapshotTable[[#This Row],[SC Exercise Gross]]) / (SnapshotTable[[#This Row],[SC Qty]] * 100), "")</f>
        <v/>
      </c>
      <c r="FQ144" s="27" t="str">
        <f>IF(SnapshotTable[[#This Row],[SC Is Booked]],SnapshotTable[[#This Row],[SC Time Val]] /SnapshotTable[[#This Row],[SC Basis]], "")</f>
        <v/>
      </c>
      <c r="FR144" s="27" t="str" cm="1">
        <f t="array" ref="FR144">IF(AND(ISNUMBER(SnapshotTable[[#This Row],[SC Term]]),ISNUMBER(SnapshotTable[[#This Row],[SC Simple ROO]])), EllmanAnnualize(SnapshotTable[[#This Row],[SC DTE]], SnapshotTable[[#This Row],[SC Simple ROO]] ),"")</f>
        <v/>
      </c>
      <c r="FS144" s="4" t="e">
        <f>IF(SnapshotTable[[#This Row],[SC Strike Price]] &gt; SnapshotTable[[#This Row],[Last Price]], SnapshotTable[[#This Row],[SC Strike Price]] - SnapshotTable[[#This Row],[Last Price]],0)</f>
        <v>#VALUE!</v>
      </c>
      <c r="FT144" s="27" t="e">
        <f>IF(AND(ISNUMBER(SnapshotTable[[#This Row],[SC Upside Potential]]), SnapshotTable[[#This Row],[SC Upside Potential]] &gt; 0),(SnapshotTable[[#This Row],[SC Upside Potential]]/ SnapshotTable[[#This Row],[ACB]]),"")</f>
        <v>#VALUE!</v>
      </c>
      <c r="FU144" s="333" t="str">
        <f>IF(SnapshotTable[[#This Row],[SC Intrinsic Value]] &gt; 0,SnapshotTable[[#This Row],[SC Intrinsic Value]],"")</f>
        <v/>
      </c>
      <c r="FV144" s="27" t="str">
        <f>IF(AND( ISNUMBER( SnapshotTable[[#This Row],[ACB]]),ISNUMBER(SnapshotTable[[#This Row],[SC Downside Protect]])),SnapshotTable[[#This Row],[SC Downside Protect]] / SnapshotTable[[#This Row],[ACB]],"")</f>
        <v/>
      </c>
      <c r="FW144" s="236" t="str">
        <f>IF(AND(ISNUMBER(SnapshotTable[[#This Row],[SC Simple ROO]]),SnapshotTable[[#This Row],[SC Simple ROO]] &gt; 0), SnapshotTable[[#This Row],[SC Premium]] + (SnapshotTable[[#This Row],[SC Qty]] * SnapshotTable[[#This Row],[SC Upside Potential]]), "")</f>
        <v/>
      </c>
      <c r="FX144" s="302" t="str" cm="1">
        <f t="array" ref="FX144">IF(ISNUMBER(SnapshotTable[[#This Row],[SC Max Dollars]]), annualize(SnapshotTable[[#This Row],[SC Term]],(SnapshotTable[[#This Row],[SC Max Dollars]]/SnapshotTable[[#This Row],[SC Basis]])),"")</f>
        <v/>
      </c>
      <c r="FY144" s="236" t="str">
        <f>IF(AND(SnapshotTable[[#This Row],[SC Qty]]&gt;0,SnapshotTable[[#This Row],[SC Current Ask]]&gt;0), SnapshotTable[[#This Row],[SC Qty]] * SnapshotTable[[#This Row],[SC Current Ask]] * -100, "")</f>
        <v/>
      </c>
      <c r="FZ144" s="31" t="str">
        <f>IF(ISNUMBER((SnapshotTable[[#This Row],[SC Current Value]])), SnapshotTable[[#This Row],[SC Premium]] + SnapshotTable[[#This Row],[SC Current Value]], "")</f>
        <v/>
      </c>
      <c r="GA144" s="294" t="str">
        <f>IFERROR( IF(ISNUMBER((SnapshotTable[[#This Row],[SC Current Value]])), SnapshotTable[[#This Row],[SC Gain Loss]] / SnapshotTable[[#This Row],[SC Premium]], ""), "")</f>
        <v/>
      </c>
      <c r="GB144" s="42">
        <f>SnapshotTable[[#This Row],[Equity Shares]] * SaleSharesToConsiderPercentage</f>
        <v>0</v>
      </c>
      <c r="GC144" s="40">
        <f>SnapshotTable[[#This Row],[Long Term Target]] * SellingPriceToConsiderBasedOnTargetPercentage</f>
        <v>0</v>
      </c>
      <c r="GD144" s="40">
        <f>SnapshotTable[[#This Row],[Last Price]] * (1+ SellingPriceToConsiderBasedOnTargetPercentage)</f>
        <v>216.35249999999999</v>
      </c>
      <c r="GE144" s="41"/>
      <c r="GF144" s="40"/>
      <c r="GG144" s="31">
        <f>SnapshotTable[[#This Row],[Booked Sale Shares]] * SnapshotTable[[#This Row],[Booked Sale Price]]</f>
        <v>0</v>
      </c>
      <c r="GH144" s="31" t="str">
        <f>IF(SnapshotTable[[#This Row],[Equity Basis Total]] &gt; 0, SnapshotTable[[#This Row],[Equity Basis Per Share]] * SnapshotTable[[#This Row],[Booked Sale Shares]], "")</f>
        <v/>
      </c>
      <c r="GI144" s="31">
        <f>IF(SnapshotTable[[#This Row],[Sale Proceeds]]&gt;0, SnapshotTable[[#This Row],[Sale Proceeds]] - SnapshotTable[[#This Row],[Sale Basis]], 0)</f>
        <v>0</v>
      </c>
      <c r="GJ144" s="27" t="str">
        <f>IF(SnapshotTable[[#This Row],[Sale G/L]]&gt;0, SnapshotTable[[#This Row],[Sale G/L]] / SnapshotTable[[#This Row],[Sale Basis]], IF(ISNUMBER(SnapshotTable[[#This Row],[SC Exercise P&amp;L (TAX)]]), SnapshotTable[[#This Row],[SC Exercise P&amp;L (TAX)]] / SnapshotTable[[#This Row],[SC Basis]], ""))</f>
        <v/>
      </c>
      <c r="GK144" s="27" t="s">
        <v>691</v>
      </c>
      <c r="GL144" s="43" t="str">
        <f>IF(AND(SnapshotTable[[#This Row],[LP Exp Date]]&gt;0,SnapshotTable[[#This Row],[LP Strike Price]]&gt;0), [1]!ToOptionSymbol(SnapshotTable[[#This Row],[Symbol]], SnapshotTable[[#This Row],[LP Strike Price]],SnapshotTable[[#This Row],[LP Exp Date]],1), "")</f>
        <v/>
      </c>
      <c r="GM144" s="30" t="str">
        <f>IF(LEN(SnapshotTable[[#This Row],[LP Symbol]])&gt;0, 1, "")</f>
        <v/>
      </c>
      <c r="GN144" s="43" t="str">
        <f>IF(AND(SnapshotTable[[#This Row],[SP Exp Date]]&gt;0,SnapshotTable[[#This Row],[SP Strike Price]]&gt;0), [1]!ToOptionSymbol(SnapshotTable[[#This Row],[Symbol]], SnapshotTable[[#This Row],[SP Strike Price]],SnapshotTable[[#This Row],[SP Exp Date]],1), "")</f>
        <v/>
      </c>
      <c r="GO144" s="30" t="str">
        <f>IF(LEN(SnapshotTable[[#This Row],[SP Symbol]])&gt;0, 1, "")</f>
        <v/>
      </c>
      <c r="GP144" s="43" t="str">
        <f>IF(AND(SnapshotTable[[#This Row],[LC Exp Date]]&gt;0,SnapshotTable[[#This Row],[LC Strike Price]]&gt;0), [1]!ToOptionSymbol(SnapshotTable[[#This Row],[Symbol]], SnapshotTable[[#This Row],[LC Strike Price]],SnapshotTable[[#This Row],[LC Exp Date]],0), "")</f>
        <v/>
      </c>
      <c r="GQ144" s="30" t="str">
        <f>IF(LEN(SnapshotTable[[#This Row],[LC Symbol]])&gt;0, 1, "")</f>
        <v/>
      </c>
      <c r="GR144" s="43" t="str">
        <f>IF(AND(SnapshotTable[[#This Row],[SC Exp Date]]&gt;0,SnapshotTable[[#This Row],[SC Strike Price]]&gt;0), [1]!ToOptionSymbol(SnapshotTable[[#This Row],[Symbol]], SnapshotTable[[#This Row],[SC Strike Price]],SnapshotTable[[#This Row],[SC Exp Date]],0), "")</f>
        <v/>
      </c>
      <c r="GS144" s="30" t="str">
        <f>IF(LEN(SnapshotTable[[#This Row],[SC Symbol]])&gt;0, 1, "")</f>
        <v/>
      </c>
      <c r="GT144" s="29" t="str">
        <f>IF(COUNT(SnapshotTable[[#This Row],[LP Symbol Count]],SnapshotTable[[#This Row],[SP Symbol Count]],SnapshotTable[[#This Row],[LC Symbol Count]],SnapshotTable[[#This Row],[SC Symbol Count]])&gt;0, "Y", "")</f>
        <v/>
      </c>
      <c r="GU14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4" s="231" t="e">
        <f>MAX(SnapshotTable[[#This Row],[Equity Basis Total]],SnapshotTable[[#This Row],[Equity Value]]) + (SnapshotTable[[#This Row],[SP Potential Spend]]- SnapshotTable[[#This Row],[SP Premium]] + SnapshotTable[[#This Row],[LP Premium]])+ (SnapshotTable[[#This Row],[LC Premium]] - SnapshotTable[[#This Row],[SC Premium]])</f>
        <v>#VALUE!</v>
      </c>
      <c r="GW144" s="139" t="e">
        <f>IF(AND(SnapshotTable[[#This Row],[Exposure]] &lt;&gt; 0),SnapshotTable[[#This Row],[Exposure]] / SnapshotTable[[#Totals],[Exposure]], "")</f>
        <v>#VALUE!</v>
      </c>
      <c r="HE144" s="268"/>
      <c r="HF144" s="268"/>
      <c r="HK144" s="1"/>
      <c r="HL144" s="1"/>
      <c r="HM144" s="1"/>
      <c r="HN144" s="1"/>
      <c r="HO144" s="1"/>
      <c r="HP144" s="1"/>
    </row>
    <row r="145" spans="2:224" ht="12.75" hidden="1" customHeight="1" x14ac:dyDescent="0.25">
      <c r="B145" s="12" t="s">
        <v>213</v>
      </c>
      <c r="C145" s="422">
        <v>266.88</v>
      </c>
      <c r="D145" s="208"/>
      <c r="E145" s="39">
        <f>SnapshotTable[[#This Row],[Last Price]]*(1 -CrashDiscount)</f>
        <v>226.84799999999998</v>
      </c>
      <c r="F145" s="26" t="s">
        <v>212</v>
      </c>
      <c r="G145" s="26" t="s">
        <v>17</v>
      </c>
      <c r="H145" s="149"/>
      <c r="I145" s="194">
        <v>44768.354166666664</v>
      </c>
      <c r="J145" s="195">
        <v>44768.354166666664</v>
      </c>
      <c r="K145" s="196"/>
      <c r="L145" s="326"/>
      <c r="M145" s="140"/>
      <c r="N145" s="140"/>
      <c r="O145" s="140"/>
      <c r="P145" s="22"/>
      <c r="Q145" s="25"/>
      <c r="R145" s="4" t="str">
        <f>IF(SnapshotTable[[#This Row],[Equity Basis Total]] &gt; 0, SnapshotTable[[#This Row],[Equity Basis Total]] / SnapshotTable[[#This Row],[Equity Shares]], "")</f>
        <v/>
      </c>
      <c r="S145" s="269">
        <f>SnapshotTable[[#This Row],[Last Price]] * SnapshotTable[[#This Row],[Equity Shares]]</f>
        <v>0</v>
      </c>
      <c r="T145" s="269">
        <f>SnapshotTable[[#This Row],[Equity Value]] - SnapshotTable[[#This Row],[Equity Basis Total]]</f>
        <v>0</v>
      </c>
      <c r="U145" s="270" t="str">
        <f>IF(SnapshotTable[[#This Row],[Equity Basis Total]] &gt; 0, SnapshotTable[[#This Row],[Equity G/L]] / SnapshotTable[[#This Row],[Equity Basis Total]], "")</f>
        <v/>
      </c>
      <c r="V145" s="268"/>
      <c r="W145" s="268"/>
      <c r="X145" s="4" t="str">
        <f>IF(AND(ISNUMBER(SnapshotTable[[#This Row],[Equity Basis Per Share]]),ISNUMBER(SnapshotTable[[#This Row],[Equity Target]])),SnapshotTable[[#This Row],[Equity Target]]-SnapshotTable[[#This Row],[Equity Basis Per Share]],"")</f>
        <v/>
      </c>
      <c r="Y145" s="4" t="str">
        <f>IF(AND(ISNUMBER(SnapshotTable[[#This Row],[Equity Basis Per Share]]),ISNUMBER(SnapshotTable[[#This Row],[Equity Stop Loss]])),SnapshotTable[[#This Row],[Equity Stop Loss]]-SnapshotTable[[#This Row],[Equity Basis Per Share]],"")</f>
        <v/>
      </c>
      <c r="Z145" s="275" t="str">
        <f>IFERROR( TEXT(SnapshotTable[[#This Row],[Equity Max Gain Per Share]] /ABS( SnapshotTable[[#This Row],[Equity Max Loss Per Share]]),"0.0 " ) &amp; " : 1", "")</f>
        <v/>
      </c>
      <c r="AA145" s="31" t="str">
        <f>IF(ISNUMBER(SnapshotTable[[#This Row],[Equity Max Gain Per Share]]),SnapshotTable[[#This Row],[Equity Max Gain Per Share]] * SnapshotTable[[#This Row],[Equity Shares]],"")</f>
        <v/>
      </c>
      <c r="AB145" s="31" t="str">
        <f>IF(ISNUMBER(SnapshotTable[[#This Row],[Equity Max Loss Per Share]]),SnapshotTable[[#This Row],[Equity Max Loss Per Share]] * SnapshotTable[[#This Row],[Equity Shares]],"")</f>
        <v/>
      </c>
      <c r="AC145" s="150">
        <v>1.4</v>
      </c>
      <c r="AD145" s="151">
        <v>42752</v>
      </c>
      <c r="AE145" s="31">
        <f>(SnapshotTable[[#This Row],[Annual Dividend Per Share]] / 4) * SnapshotTable[[#This Row],[Equity Shares]]</f>
        <v>0</v>
      </c>
      <c r="AF145" s="31">
        <f>SnapshotTable[[#This Row],[Quarterly Div $]] * 4</f>
        <v>0</v>
      </c>
      <c r="AG145" s="7">
        <f>IF(SnapshotTable[[#This Row],[Annual Dividend Per Share]]&gt;0, SnapshotTable[[#This Row],[Annual Dividend Per Share]]  / SnapshotTable[[#This Row],[Last Price]], 0)</f>
        <v>5.2458033573141482E-3</v>
      </c>
      <c r="AH145" s="151">
        <v>42718</v>
      </c>
      <c r="AI145" s="5"/>
      <c r="AJ145" s="138">
        <v>125.06</v>
      </c>
      <c r="AK145" s="152" t="str">
        <f>IF(ISNUMBER( SnapshotTable[[#This Row],[EBF Target]]),(SnapshotTable[[#This Row],[EBF Target]] - SnapshotTable[[#This Row],[Last Price]]) / SnapshotTable[[#This Row],[Last Price]], "")</f>
        <v/>
      </c>
      <c r="AL145" s="152" t="str">
        <f>IF(AND(SnapshotTable[[#This Row],[Equity Basis Total]] &gt; 0,ISNUMBER( SnapshotTable[[#This Row],[Long Term Target]])), SnapshotTable[[#This Row],[From Basis $]] / SnapshotTable[[#This Row],[Equity Basis Total]], "")</f>
        <v/>
      </c>
      <c r="AM145" s="9">
        <f>IF( AND(SnapshotTable[[#This Row],[Equity Shares]] &gt;0,ISNUMBER( SnapshotTable[[#This Row],[Long Term Target]])),(SnapshotTable[[#This Row],[Equity Shares]] * SnapshotTable[[#This Row],[Long Term Target]]) - SnapshotTable[[#This Row],[Equity Basis Total]],0)</f>
        <v>0</v>
      </c>
      <c r="AN145" s="9">
        <f>IF( AND(SnapshotTable[[#This Row],[Equity Shares]] &gt;0,ISNUMBER( SnapshotTable[[#This Row],[Long Term Target]])),(SnapshotTable[[#This Row],[Equity Shares]]*SnapshotTable[[#This Row],[Long Term Target]]) - SnapshotTable[[#This Row],[Equity Value]],0)</f>
        <v>0</v>
      </c>
      <c r="AO145" s="152">
        <f>IF(AND(ISNUMBER( SnapshotTable[[#This Row],[Long Term Target]]), ISNUMBER(SnapshotTable[[#This Row],[Last Price]])),(SnapshotTable[[#This Row],[Long Term Target]] - SnapshotTable[[#This Row],[Last Price]]) / SnapshotTable[[#This Row],[Last Price]], "")</f>
        <v>-0.5313998800959232</v>
      </c>
      <c r="AP145" s="5"/>
      <c r="AQ145" s="38"/>
      <c r="AR145" s="5"/>
      <c r="AS145" s="38"/>
      <c r="AT145" s="146"/>
      <c r="AU145" s="187" t="str">
        <f>IF(OR(SnapshotTable[[#This Row],[LP No Fill]]="Y",SnapshotTable[[#This Row],[SP Is Filled]],SnapshotTable[[#This Row],[LC Not Filled]]="Y",SnapshotTable[[#This Row],[SC Is Filled]]),"Y","")</f>
        <v/>
      </c>
      <c r="AV145" s="219"/>
      <c r="AW145" s="225"/>
      <c r="AX145" s="220"/>
      <c r="AY145" s="219" t="str">
        <f>IF(SnapshotTable[[#This Row],[Implied Move]]&gt;0, SnapshotTable[[#This Row],[Last Price]]-SnapshotTable[[#This Row],[Implied Move]],"")</f>
        <v/>
      </c>
      <c r="AZ145" s="219" t="str">
        <f>IF(SnapshotTable[[#This Row],[Implied Move]]&gt;0, SnapshotTable[[#This Row],[Last Price]] + SnapshotTable[[#This Row],[Implied Move]],"")</f>
        <v/>
      </c>
      <c r="BA145" s="331"/>
      <c r="BB145" s="347"/>
      <c r="BC14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5" s="351"/>
      <c r="BE145" s="5"/>
      <c r="BF145" s="14"/>
      <c r="BG145" s="13"/>
      <c r="BH145" s="13"/>
      <c r="BI145" s="5"/>
      <c r="BJ145" s="136">
        <f>IF(SnapshotTable[[#This Row],[LP Qty]] &gt; 0, SnapshotTable[[#This Row],[LP Qty]] * SnapshotTable[[#This Row],[LP Book Price]] * 100,0)</f>
        <v>0</v>
      </c>
      <c r="BK145" s="136">
        <f>IF(SnapshotTable[[#This Row],[LP Premium]] &gt; 0, SnapshotTable[[#This Row],[LP Qty]] * SnapshotTable[[#This Row],[LP Strike Price]] * 100,0)</f>
        <v>0</v>
      </c>
      <c r="BL145" s="154"/>
      <c r="BM145" s="385" t="str">
        <f>IF(SnapshotTable[[#This Row],[LP Premium]] &gt; 0,SnapshotTable[[#This Row],[LP Exp Date]]-MAX(SnapshotTable[[#This Row],[LP Book Date]], SnapshotTable[[#This Row],[LP Fill Date]]),"")</f>
        <v/>
      </c>
      <c r="BN145" s="385" t="str">
        <f>IF(ISNUMBER( SnapshotTable[[#This Row],[LP Term]]), SnapshotTable[[#This Row],[LP Exp Date]] - MockToday,"")</f>
        <v/>
      </c>
      <c r="BO145" s="163" t="str">
        <f>IF(AND(SnapshotTable[[#This Row],[LP Exp Date]]&gt;0, SnapshotTable[[#This Row],[LP Strike Price]]&gt;0,SnapshotTable[[#This Row],[LP Qty]]&gt;0,SnapshotTable[[#This Row],[LP Book Date]]&gt;0,SnapshotTable[[#This Row],[LP Book Price]]&gt;0,SnapshotTable[[#This Row],[LP Fill Date]]=0),"Y","")</f>
        <v/>
      </c>
      <c r="BP145" s="31" t="str">
        <f>IF(AND(SnapshotTable[[#This Row],[LP No Fill]]&lt;&gt;"Y",SnapshotTable[[#This Row],[LP Contract Value]]&gt;0, SnapshotTable[[#This Row],[LP Qty]]&gt;0), SnapshotTable[[#This Row],[LP Contract Value]]*SnapshotTable[[#This Row],[LP Qty]]*100,"")</f>
        <v/>
      </c>
      <c r="BQ145" s="13"/>
      <c r="BR145" s="5" t="str">
        <f>IF(SnapshotTable[[#This Row],[SP Exp Date]]&lt;&gt;"",TRUNC(SnapshotTable[[#This Row],[Last Price]]),"")</f>
        <v/>
      </c>
      <c r="BS145" s="36"/>
      <c r="BT145" s="147"/>
      <c r="BU145" s="13"/>
      <c r="BV145" s="5"/>
      <c r="BW145" s="419" t="b">
        <f>AND(ISNUMBER(SnapshotTable[[#This Row],[SP Exp Date]]), ISNUMBER(SnapshotTable[[#This Row],[SP Strike Price]]), ISNUMBER(SnapshotTable[[#This Row],[SP Qty]]), ISNUMBER(SnapshotTable[[#This Row],[SP Book Date]]), ISNUMBER(SnapshotTable[[#This Row],[SP Book Price]]))</f>
        <v>0</v>
      </c>
      <c r="BX145" s="419" t="b">
        <f>AND(SnapshotTable[[#This Row],[SP Is Booked]], NOT(ISBLANK(SnapshotTable[[#This Row],[SP Fill Date]])))</f>
        <v>0</v>
      </c>
      <c r="BY145" s="33">
        <f>IF(SnapshotTable[[#This Row],[SP Is Booked]], SnapshotTable[[#This Row],[SP Qty]] * SnapshotTable[[#This Row],[SP Book Price]] * 100, 0)</f>
        <v>0</v>
      </c>
      <c r="BZ145" s="369"/>
      <c r="CA145" s="368">
        <f>SnapshotTable[[#This Row],[LP Qty]]</f>
        <v>0</v>
      </c>
      <c r="CB145" s="4" t="str">
        <f>IF(SnapshotTable[[#This Row],[SP Is Booked]], SnapshotTable[[#This Row],[SP Strike Price]] - SnapshotTable[[#This Row],[SP Book Price]], "")</f>
        <v/>
      </c>
      <c r="CC145" s="19" t="str">
        <f>IF(SnapshotTable[[#This Row],[SP Is Booked]],SnapshotTable[[#This Row],[SP Exp Date]]-MAX(SnapshotTable[[#This Row],[SP Book Date]], SnapshotTable[[#This Row],[SP Fill Date]]),"")</f>
        <v/>
      </c>
      <c r="CD145" s="7" t="str">
        <f>IF(SnapshotTable[[#This Row],[SP Is Booked]], SnapshotTable[[#This Row],[SP Book Price]]/SnapshotTable[[#This Row],[SP Strike Price]], "")</f>
        <v/>
      </c>
      <c r="CE145" s="7" t="str">
        <f>IF(ISNUMBER(SnapshotTable[[#This Row],[SP ROO Term]]),SnapshotTable[[#This Row],[SP ROO Term]]*(365/SnapshotTable[[#This Row],[SP Term]]),"")</f>
        <v/>
      </c>
      <c r="CF145" s="236">
        <f>SnapshotTable[[#This Row],[LP Strike Price]] * SnapshotTable[[#This Row],[LP Qty]] * 100</f>
        <v>0</v>
      </c>
      <c r="CG145" s="31" t="e">
        <f>IF(ISNUMBER(SnapshotTable[[#This Row],[SP Premium]]), (SnapshotTable[[#This Row],[SP Qty]] * SnapshotTable[[#This Row],[SP Strike Price]]* 100) - SnapshotTable[[#This Row],[LP Protection]], 0)</f>
        <v>#VALUE!</v>
      </c>
      <c r="CH145" s="7" t="str">
        <f>IF(ISNUMBER(SnapshotTable[[#This Row],[SP Break Even]]),-1 * (SnapshotTable[[#This Row],[SP Break Even]] - SnapshotTable[[#This Row],[Last Price]]) / SnapshotTable[[#This Row],[Last Price]], "")</f>
        <v/>
      </c>
      <c r="CI145" s="31">
        <f>IF(AND(ISNUMBER((SnapshotTable[[#This Row],[SP Potential Spend]])), SnapshotTable[[#This Row],[SP Strike Price]] &gt; SnapshotTable[[#This Row],[Last Price]], SnapshotTable[[#This Row],[SP Is Filled]]), SnapshotTable[[#This Row],[SP Potential Spend]] -  SnapshotTable[[#This Row],[LP Max Value]], 0)</f>
        <v>0</v>
      </c>
      <c r="CJ145" s="244"/>
      <c r="CK145" s="31" t="str">
        <f>IF(ISNUMBER(SnapshotTable[[#This Row],[SP Potential Spend]]),IF(ISNUMBER(SnapshotTable[[#This Row],[SP POW]]), SnapshotTable[[#This Row],[SP POW]] * SnapshotTable[[#This Row],[SP Potential Spend]], SnapshotTable[[#This Row],[SP Potential Spend]]), "")</f>
        <v/>
      </c>
      <c r="CL145" s="164" t="e">
        <f>IF(NOT(SnapshotTable[[#This Row],[SP Is Filled]]),(SnapshotTable[[#This Row],[SP Qty]] * SnapshotTable[[#This Row],[SP Strike Price]] * 100) - SnapshotTable[[#This Row],[LP Max Value]],"")</f>
        <v>#VALUE!</v>
      </c>
      <c r="CM145" s="31" t="str">
        <f>IF(SnapshotTable[[#This Row],[SP Actual Spend]]&lt;&gt;0, ((SnapshotTable[[#This Row],[SP Strike Price]]-SnapshotTable[[#This Row],[Last Price]]) *(SnapshotTable[[#This Row],[SP Qty]]*100) - SnapshotTable[[#This Row],[SP Premium]]) * - 1, "")</f>
        <v/>
      </c>
      <c r="CN145" s="78"/>
      <c r="CO145" s="369"/>
      <c r="CP145" s="4" t="str">
        <f>IF(SnapshotTable[[#This Row],[SP Is Filled]], btc_max_buyback_amount(SnapshotTable[[#This Row],[SP Fill Date]],SnapshotTable[[#This Row],[SP Exp Date]], SnapshotTable[[#This Row],[SP Book Price]]),"")</f>
        <v/>
      </c>
      <c r="CQ145" s="78"/>
      <c r="CR14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5" s="155" t="str">
        <f>IF(SnapshotTable[[#This Row],[SP Is Filled]], btc_next_cutoff_date(SnapshotTable[[#This Row],[SP Fill Date]],SnapshotTable[[#This Row],[SP Exp Date]]),"")</f>
        <v/>
      </c>
      <c r="CT145" s="235" t="str" cm="1">
        <f t="array" ref="CT145">IF(SnapshotTable[[#This Row],[SP Is Filled]], btc_should_buy_back(SnapshotTable[[#This Row],[SP Fill Date]], SnapshotTable[[#This Row],[SP Exp Date]], SnapshotTable[[#This Row],[SP Book Price]], SnapshotTable[[#This Row],[SP Current Ask]], MockToday, SnapshotTable[[#This Row],[SP Buyback Override]]),"")</f>
        <v/>
      </c>
      <c r="CU145" s="143"/>
      <c r="CV145" s="235"/>
      <c r="CW145" s="378" t="str">
        <f>IF(ISNUMBER( SnapshotTable[[#This Row],[SP Term]]), SnapshotTable[[#This Row],[SP Exp Date]] - MockToday,"")</f>
        <v/>
      </c>
      <c r="CX145" s="31" t="str">
        <f>IF(SnapshotTable[[#This Row],[SP Is Filled]],SnapshotTable[[#This Row],[SP Buyback Price to Use]] * 100 * SnapshotTable[[#This Row],[SP Qty]], "")</f>
        <v/>
      </c>
      <c r="CY145" s="4" t="str">
        <f>IF(ISNUMBER(SnapshotTable[[#This Row],[SP Strike Price]]), SnapshotTable[[#This Row],[SP Strike Price]] * (1 - SP_MaxLoss_StrikePct), "")</f>
        <v/>
      </c>
      <c r="CZ145" s="31" t="str">
        <f>IF(ISNUMBER(SnapshotTable[[#This Row],[SP Strike  Stop Per Share]]),SnapshotTable[[#This Row],[SP Premium]] - ((SnapshotTable[[#This Row],[SP Strike Price]]-SnapshotTable[[#This Row],[SP Strike  Stop Per Share]]) *(SnapshotTable[[#This Row],[SP Qty]] * 100)),"")</f>
        <v/>
      </c>
      <c r="DA145" s="4" t="str">
        <f>IF(AND(ISNUMBER(SnapshotTable[[#This Row],[SP Premium]]),SnapshotTable[[#This Row],[SP Premium]]&gt;0), SnapshotTable[[#This Row],[SP Book Price]] * (1 + SP_MaxLoss_OptionPct), "")</f>
        <v/>
      </c>
      <c r="DB145" s="31" t="str">
        <f>IF(ISNUMBER(SnapshotTable[[#This Row],[SP Option  Stop Contract]]),(SnapshotTable[[#This Row],[SP Option  Stop Contract]] *(SnapshotTable[[#This Row],[SP Qty]] * 100) - SnapshotTable[[#This Row],[SP Premium]]),"")</f>
        <v/>
      </c>
      <c r="DC145" s="4"/>
      <c r="DD145" s="4"/>
      <c r="DE145" s="4" t="str">
        <f>IF(AND(SnapshotTable[[#This Row],[SP Qty]]&gt;0, SnapshotTable[[#This Row],[SP Stop To Use]]&gt;0),SnapshotTable[[#This Row],[SP Premium]] - ( SnapshotTable[[#This Row],[SP Qty]] * SnapshotTable[[#This Row],[SP Stop To Use]] * 100), "")</f>
        <v/>
      </c>
      <c r="DF145" s="31" t="str">
        <f>IF(AND(SnapshotTable[[#This Row],[SP Qty]]&gt;0,SnapshotTable[[#This Row],[SP Current Ask]]&gt;0), SnapshotTable[[#This Row],[SP Qty]] * SnapshotTable[[#This Row],[SP Current Ask]] * -100, "")</f>
        <v/>
      </c>
      <c r="DG145" s="31" t="str">
        <f>IF(ISNUMBER((SnapshotTable[[#This Row],[SP Total Value]])), SnapshotTable[[#This Row],[SP Premium]] + SnapshotTable[[#This Row],[SP Total Value]], "")</f>
        <v/>
      </c>
      <c r="DH145" s="294" t="str">
        <f>IF(ISNUMBER((SnapshotTable[[#This Row],[SP Total Value]])), SnapshotTable[[#This Row],[SP Gain Loss]] / SnapshotTable[[#This Row],[SP Premium]], "")</f>
        <v/>
      </c>
      <c r="DI145" s="406"/>
      <c r="DJ145" s="138"/>
      <c r="DK145" s="148"/>
      <c r="DL145" s="13"/>
      <c r="DM145" s="13"/>
      <c r="DO145" s="31">
        <f>IF(SnapshotTable[[#This Row],[LC Symbol Count]]=1, SnapshotTable[[#This Row],[LC Qty]] * SnapshotTable[[#This Row],[LC Book Price]] * 100, 0)</f>
        <v>0</v>
      </c>
      <c r="DP145" s="163" t="str">
        <f>IF(AND(SnapshotTable[[#This Row],[LC Exp Date]]&gt;0, SnapshotTable[[#This Row],[LC Strike Price]]&gt;0,SnapshotTable[[#This Row],[LC Qty]]&gt;0,SnapshotTable[[#This Row],[LC Book Date]]&gt;0,SnapshotTable[[#This Row],[LC Book Price]]&gt;0,SnapshotTable[[#This Row],[LC Fill Date]]=0),"Y","")</f>
        <v/>
      </c>
      <c r="DQ145" s="386" t="str">
        <f>IF(SnapshotTable[[#This Row],[LC Premium]] &gt; 0,SnapshotTable[[#This Row],[LC Exp Date]]-MAX(SnapshotTable[[#This Row],[LC Book Date]], SnapshotTable[[#This Row],[LC Fill Date]]),"")</f>
        <v/>
      </c>
      <c r="DR145" s="386" t="str">
        <f>IF(ISNUMBER(SnapshotTable[[#This Row],[LC Term]]), SnapshotTable[[#This Row],[LC Exp Date]] - MockToday, "")</f>
        <v/>
      </c>
      <c r="DS145" s="234" t="str">
        <f>IF(SnapshotTable[[#This Row],[LC Premium]]&gt;0,SnapshotTable[[#This Row],[LC Strike Price]] + SnapshotTable[[#This Row],[LC Book Price]],"")</f>
        <v/>
      </c>
      <c r="DU145" s="9" t="str">
        <f>IF(AND(SnapshotTable[[#This Row],[LC Symbol Count]]&gt;0, SnapshotTable[[#This Row],[LC Contract Value]]&gt;0), SnapshotTable[[#This Row],[LC Contract Value]] * SnapshotTable[[#This Row],[LC Qty]] * 100, "")</f>
        <v/>
      </c>
      <c r="DV145" s="9" t="str">
        <f>IF(AND(ISNUMBER(SnapshotTable[[#This Row],[LC Total Value]]), SnapshotTable[[#This Row],[LC Not Filled]]&lt;&gt;"Y"), SnapshotTable[[#This Row],[LC Total Value]]-SnapshotTable[[#This Row],[LC Premium]],"")</f>
        <v/>
      </c>
      <c r="DW145" s="240" t="str">
        <f>IF(ISNUMBER(SnapshotTable[[#This Row],[LC Actual Gain Loss]]), SnapshotTable[[#This Row],[LC Actual Gain Loss]] / SnapshotTable[[#This Row],[LC Premium]],"")</f>
        <v/>
      </c>
      <c r="DX145" s="284" t="str">
        <f>IF(ISNUMBER(SnapshotTable[[#This Row],[LC Book Price]]),SnapshotTable[[#This Row],[LC Book Price]] * 1.5,"")</f>
        <v/>
      </c>
      <c r="DY145" s="265" t="str">
        <f>IF(SnapshotTable[[#This Row],[LC Premium]]&gt;0, SnapshotTable[[#This Row],[LC Next Target]] * SnapshotTable[[#This Row],[LC Qty]] * 100,"")</f>
        <v/>
      </c>
      <c r="DZ145" s="265" t="str">
        <f>IF(ISNUMBER(SnapshotTable[[#This Row],[LC Target Gross]]), SnapshotTable[[#This Row],[LC Target Gross]] - SnapshotTable[[#This Row],[LC Premium]], "")</f>
        <v/>
      </c>
      <c r="EA145" s="305" t="str">
        <f>IF(ISNUMBER(SnapshotTable[[#This Row],[LC Target Gain Loss]]), SnapshotTable[[#This Row],[LC Target Gain Loss]]/SnapshotTable[[#This Row],[LC Premium]], "")</f>
        <v/>
      </c>
      <c r="EB145" s="262"/>
      <c r="EC145" s="283" t="str">
        <f>IF(SnapshotTable[[#This Row],[LC Premium]]&gt;0, SnapshotTable[[#This Row],[LC Book Price]] * (1 - LC_StopLoss_Pct),"")</f>
        <v/>
      </c>
      <c r="ED145" s="284"/>
      <c r="EE145" s="283" t="str">
        <f>IF(ISNUMBER(SnapshotTable[[#This Row],[LC Contract Value]]),IF(ISNUMBER(SnapshotTable[[#This Row],[LC Stop Loss Override]]), SnapshotTable[[#This Row],[LC Stop Loss Override]],SnapshotTable[[#This Row],[LC Stop Loss Calc Target]]),"")</f>
        <v/>
      </c>
      <c r="EF145" s="31" t="str">
        <f>IF(ISNUMBER(SnapshotTable[[#This Row],[LC Stop  To Use]]), (SnapshotTable[[#This Row],[LC Stop  To Use]] * SnapshotTable[[#This Row],[LC Qty]] * 100),"")</f>
        <v/>
      </c>
      <c r="EG145" s="9" t="str">
        <f>IF(ISNUMBER(SnapshotTable[[#This Row],[LC Total Value]]),SnapshotTable[[#This Row],[LC Stop Loss Amount]] - SnapshotTable[[#This Row],[LC Premium]],"")</f>
        <v/>
      </c>
      <c r="EH145" s="9">
        <f>IF(ISNUMBER(SnapshotTable[[#This Row],[LC Premium]]), SnapshotTable[[#This Row],[LC Qty]] * 100 * SnapshotTable[[#This Row],[LC Strike Price]], "")</f>
        <v>0</v>
      </c>
      <c r="EI145" s="240" t="str">
        <f>IF(AND(ISNUMBER(SnapshotTable[[#This Row],[LC Total Value]]),SnapshotTable[[#This Row],[LC Total Value]]&gt;0),SnapshotTable[[#This Row],[LC Stop Gain Loss]]  / SnapshotTable[[#This Row],[LC Premium]],"")</f>
        <v/>
      </c>
      <c r="EJ145" s="35">
        <f>IF(ISNUMBER(SnapshotTable[[#This Row],[Equity Shares]]),TRUNC(SnapshotTable[[#This Row],[Equity Shares]] / 100),0) + SnapshotTable[[#This Row],[LC Qty]]</f>
        <v>0</v>
      </c>
      <c r="EK145" s="147"/>
      <c r="EL145" s="138" t="str">
        <f>IF(SnapshotTable[[#This Row],[SC Exp Date]]&lt;&gt;"",TRUNC(SnapshotTable[[#This Row],[Last Price]]),"")</f>
        <v/>
      </c>
      <c r="EM145" s="148"/>
      <c r="EN145" s="147"/>
      <c r="EO145" s="147"/>
      <c r="EP145" s="138"/>
      <c r="EQ145" s="419" t="b">
        <f>AND(ISNUMBER(SnapshotTable[[#This Row],[SC Exp Date]]), ISNUMBER(SnapshotTable[[#This Row],[SC Strike Price]]), ISNUMBER(SnapshotTable[[#This Row],[SC Qty]]), ISNUMBER(SnapshotTable[[#This Row],[SC Book Date]]), ISNUMBER(SnapshotTable[[#This Row],[SC Book Price]]))</f>
        <v>0</v>
      </c>
      <c r="ER145" s="419" t="b">
        <f>AND(SnapshotTable[[#This Row],[SC Is Booked]], NOT(ISBLANK(SnapshotTable[[#This Row],[SC Fill Date]])))</f>
        <v>0</v>
      </c>
      <c r="ES145" s="370"/>
      <c r="ET145" s="34" t="str">
        <f>IF(AND(ISNUMBER(SnapshotTable[[#This Row],[SC Exp Date]]), ISNUMBER(SnapshotTable[[#This Row],[SC Book Date]])), SnapshotTable[[#This Row],[SC Exp Date]] - MAX(SnapshotTable[[#This Row],[SC Book Date]], SnapshotTable[[#This Row],[SC Fill Date]]) + 1, "")</f>
        <v/>
      </c>
      <c r="EU145" s="34" t="str">
        <f>IF(ISNUMBER(SnapshotTable[[#This Row],[SC Term]]), SnapshotTable[[#This Row],[SC Exp Date]]- MockToday, "")</f>
        <v/>
      </c>
      <c r="EV145" s="31">
        <f>IF(SnapshotTable[[#This Row],[SC Is Booked]], SnapshotTable[[#This Row],[SC Qty]] * SnapshotTable[[#This Row],[SC Book Price]] * 100, 0)</f>
        <v>0</v>
      </c>
      <c r="EW145" s="4" t="str">
        <f>IF(AND(ISNUMBER(SnapshotTable[[#This Row],[Last Price]]), ISNUMBER( SnapshotTable[[#This Row],[SC Book Price]])), SnapshotTable[[#This Row],[Last Price]] - SnapshotTable[[#This Row],[SC Book Price]],"")</f>
        <v/>
      </c>
      <c r="EX145" s="234" t="str">
        <f>IF(SnapshotTable[[#This Row],[SC Is Booked]],IF(SnapshotTable[[#This Row],[SC Intrinsic Value]] &gt; 0, SnapshotTable[[#This Row],[SC Strike Price]], SnapshotTable[[#This Row],[Last Price]]), "")</f>
        <v/>
      </c>
      <c r="EY145" s="4">
        <f>IF(SnapshotTable[[#This Row],[SC Is Booked]], (MinimumPremiumRequired * SnapshotTable[[#This Row],[SC Basis]] * SnapshotTable[[#This Row],[SC Term]]), 0)</f>
        <v>0</v>
      </c>
      <c r="EZ145" s="283"/>
      <c r="FA145" s="218"/>
      <c r="FB145" s="370"/>
      <c r="FC145" s="4">
        <f>IF(SnapshotTable[[#This Row],[SC Is Filled]], btc_max_buyback_amount(SnapshotTable[[#This Row],[SC Fill Date]],SnapshotTable[[#This Row],[SC Exp Date]], SnapshotTable[[#This Row],[SC Book Price]]),0)</f>
        <v>0</v>
      </c>
      <c r="FD145" s="5"/>
      <c r="FE145" s="144" t="str">
        <f>IF(SnapshotTable[[#This Row],[SC Is Filled]], btc_next_cutoff_date(SnapshotTable[[#This Row],[SC Fill Date]],SnapshotTable[[#This Row],[SC Exp Date]]),"")</f>
        <v/>
      </c>
      <c r="FF145" s="4" t="str" cm="1">
        <f t="array" ref="FF145">IF(SnapshotTable[[#This Row],[SC Is Filled]], btc_should_buy_back(SnapshotTable[[#This Row],[SC Fill Date]], SnapshotTable[[#This Row],[SC Exp Date]], SnapshotTable[[#This Row],[SC Book Price]], SnapshotTable[[#This Row],[SC Current Ask]], MockToday, SnapshotTable[[#This Row],[SC Buyback Override]]),"")</f>
        <v/>
      </c>
      <c r="FG145" s="4">
        <f>IF(SnapshotTable[[#This Row],[SC Is Filled]], MAX(0,SnapshotTable[[#This Row],[Last Price]]  - SnapshotTable[[#This Row],[SC Strike Price]]), 0)</f>
        <v>0</v>
      </c>
      <c r="FH145" s="382">
        <f>IF(SnapshotTable[[#This Row],[SC Is Filled]], IF(ISNUMBER(SnapshotTable[[#This Row],[SC Current Ask]]), SnapshotTable[[#This Row],[SC Current Ask]], SnapshotTable[[#This Row],[SC Book Price]]) - SnapshotTable[[#This Row],[SC Intrinsic Value]], 0)</f>
        <v>0</v>
      </c>
      <c r="FI145" s="143"/>
      <c r="FJ145" s="32" t="str">
        <f>IF(SnapshotTable[[#This Row],[SC Is Filled]],100 * SnapshotTable[[#This Row],[SC Qty]] * IF(ISNUMBER(SnapshotTable[[#This Row],[SC Buyback Override]]), SnapshotTable[[#This Row],[SC Buyback Override]], SnapshotTable[[#This Row],[SC Current Ask]]), "")</f>
        <v/>
      </c>
      <c r="FK145" s="250" t="str">
        <f>IF(SnapshotTable[[#This Row],[SC Time Val]]&gt;0, SnapshotTable[[#This Row],[SC Time Val]] / SnapshotTable[[#This Row],[Last Price]],"")</f>
        <v/>
      </c>
      <c r="FL145" s="302" t="str">
        <f>IF(SnapshotTable[[#This Row],[SC Is Booked]], ((SnapshotTable[[#This Row],[Last Price]] -SnapshotTable[[#This Row],[SC Strike Price]]) / SnapshotTable[[#This Row],[Last Price]]) * -1, "")</f>
        <v/>
      </c>
      <c r="FM145" s="157" t="str">
        <f>IF(SnapshotTable[[#This Row],[SC Is Booked]],  (SnapshotTable[[#This Row],[SC Qty]] * 100 * SnapshotTable[[#This Row],[SC Strike Price]]) - SnapshotTable[[#This Row],[SC Current Ask]], "")</f>
        <v/>
      </c>
      <c r="FN14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5" s="31" t="str">
        <f>IF(AND(ISNUMBER(SnapshotTable[[#This Row],[SC Exercise Gross]]), ISNUMBER(SnapshotTable[[#This Row],[Equity Basis Per Share]] )), SnapshotTable[[#This Row],[SC Exercise Gross]] - SnapshotTable[[#This Row],[Equity Basis Total]] +  SnapshotTable[[#This Row],[SC Premium]], "")</f>
        <v/>
      </c>
      <c r="FP145" s="5" t="str">
        <f>IF(ISNUMBER(SnapshotTable[[#This Row],[SC Exercise Gross]]), (SnapshotTable[[#This Row],[SC Exercise Gross]]) / (SnapshotTable[[#This Row],[SC Qty]] * 100), "")</f>
        <v/>
      </c>
      <c r="FQ145" s="27" t="str">
        <f>IF(SnapshotTable[[#This Row],[SC Is Booked]],SnapshotTable[[#This Row],[SC Time Val]] /SnapshotTable[[#This Row],[SC Basis]], "")</f>
        <v/>
      </c>
      <c r="FR145" s="27" t="str" cm="1">
        <f t="array" ref="FR145">IF(AND(ISNUMBER(SnapshotTable[[#This Row],[SC Term]]),ISNUMBER(SnapshotTable[[#This Row],[SC Simple ROO]])), EllmanAnnualize(SnapshotTable[[#This Row],[SC DTE]], SnapshotTable[[#This Row],[SC Simple ROO]] ),"")</f>
        <v/>
      </c>
      <c r="FS145" s="4" t="e">
        <f>IF(SnapshotTable[[#This Row],[SC Strike Price]] &gt; SnapshotTable[[#This Row],[Last Price]], SnapshotTable[[#This Row],[SC Strike Price]] - SnapshotTable[[#This Row],[Last Price]],0)</f>
        <v>#VALUE!</v>
      </c>
      <c r="FT145" s="27" t="e">
        <f>IF(AND(ISNUMBER(SnapshotTable[[#This Row],[SC Upside Potential]]), SnapshotTable[[#This Row],[SC Upside Potential]] &gt; 0),(SnapshotTable[[#This Row],[SC Upside Potential]]/ SnapshotTable[[#This Row],[ACB]]),"")</f>
        <v>#VALUE!</v>
      </c>
      <c r="FU145" s="333" t="str">
        <f>IF(SnapshotTable[[#This Row],[SC Intrinsic Value]] &gt; 0,SnapshotTable[[#This Row],[SC Intrinsic Value]],"")</f>
        <v/>
      </c>
      <c r="FV145" s="27" t="str">
        <f>IF(AND( ISNUMBER( SnapshotTable[[#This Row],[ACB]]),ISNUMBER(SnapshotTable[[#This Row],[SC Downside Protect]])),SnapshotTable[[#This Row],[SC Downside Protect]] / SnapshotTable[[#This Row],[ACB]],"")</f>
        <v/>
      </c>
      <c r="FW145" s="236" t="str">
        <f>IF(AND(ISNUMBER(SnapshotTable[[#This Row],[SC Simple ROO]]),SnapshotTable[[#This Row],[SC Simple ROO]] &gt; 0), SnapshotTable[[#This Row],[SC Premium]] + (SnapshotTable[[#This Row],[SC Qty]] * SnapshotTable[[#This Row],[SC Upside Potential]]), "")</f>
        <v/>
      </c>
      <c r="FX145" s="302" t="str" cm="1">
        <f t="array" ref="FX145">IF(ISNUMBER(SnapshotTable[[#This Row],[SC Max Dollars]]), annualize(SnapshotTable[[#This Row],[SC Term]],(SnapshotTable[[#This Row],[SC Max Dollars]]/SnapshotTable[[#This Row],[SC Basis]])),"")</f>
        <v/>
      </c>
      <c r="FY145" s="236" t="str">
        <f>IF(AND(SnapshotTable[[#This Row],[SC Qty]]&gt;0,SnapshotTable[[#This Row],[SC Current Ask]]&gt;0), SnapshotTable[[#This Row],[SC Qty]] * SnapshotTable[[#This Row],[SC Current Ask]] * -100, "")</f>
        <v/>
      </c>
      <c r="FZ145" s="31" t="str">
        <f>IF(ISNUMBER((SnapshotTable[[#This Row],[SC Current Value]])), SnapshotTable[[#This Row],[SC Premium]] + SnapshotTable[[#This Row],[SC Current Value]], "")</f>
        <v/>
      </c>
      <c r="GA145" s="294" t="str">
        <f>IFERROR( IF(ISNUMBER((SnapshotTable[[#This Row],[SC Current Value]])), SnapshotTable[[#This Row],[SC Gain Loss]] / SnapshotTable[[#This Row],[SC Premium]], ""), "")</f>
        <v/>
      </c>
      <c r="GB145" s="42">
        <f>SnapshotTable[[#This Row],[Equity Shares]] * SaleSharesToConsiderPercentage</f>
        <v>0</v>
      </c>
      <c r="GC145" s="40">
        <f>SnapshotTable[[#This Row],[Long Term Target]] * SellingPriceToConsiderBasedOnTargetPercentage</f>
        <v>118.807</v>
      </c>
      <c r="GD145" s="40">
        <f>SnapshotTable[[#This Row],[Last Price]] * (1+ SellingPriceToConsiderBasedOnTargetPercentage)</f>
        <v>520.41599999999994</v>
      </c>
      <c r="GE145" s="41"/>
      <c r="GF145" s="40"/>
      <c r="GG145" s="31">
        <f>SnapshotTable[[#This Row],[Booked Sale Shares]] * SnapshotTable[[#This Row],[Booked Sale Price]]</f>
        <v>0</v>
      </c>
      <c r="GH145" s="31" t="str">
        <f>IF(SnapshotTable[[#This Row],[Equity Basis Total]] &gt; 0, SnapshotTable[[#This Row],[Equity Basis Per Share]] * SnapshotTable[[#This Row],[Booked Sale Shares]], "")</f>
        <v/>
      </c>
      <c r="GI145" s="31">
        <f>IF(SnapshotTable[[#This Row],[Sale Proceeds]]&gt;0, SnapshotTable[[#This Row],[Sale Proceeds]] - SnapshotTable[[#This Row],[Sale Basis]], 0)</f>
        <v>0</v>
      </c>
      <c r="GJ145" s="27" t="str">
        <f>IF(SnapshotTable[[#This Row],[Sale G/L]]&gt;0, SnapshotTable[[#This Row],[Sale G/L]] / SnapshotTable[[#This Row],[Sale Basis]], IF(ISNUMBER(SnapshotTable[[#This Row],[SC Exercise P&amp;L (TAX)]]), SnapshotTable[[#This Row],[SC Exercise P&amp;L (TAX)]] / SnapshotTable[[#This Row],[SC Basis]], ""))</f>
        <v/>
      </c>
      <c r="GK145" s="27" t="s">
        <v>692</v>
      </c>
      <c r="GL145" s="43" t="str">
        <f>IF(AND(SnapshotTable[[#This Row],[LP Exp Date]]&gt;0,SnapshotTable[[#This Row],[LP Strike Price]]&gt;0), [1]!ToOptionSymbol(SnapshotTable[[#This Row],[Symbol]], SnapshotTable[[#This Row],[LP Strike Price]],SnapshotTable[[#This Row],[LP Exp Date]],1), "")</f>
        <v/>
      </c>
      <c r="GM145" s="30" t="str">
        <f>IF(LEN(SnapshotTable[[#This Row],[LP Symbol]])&gt;0, 1, "")</f>
        <v/>
      </c>
      <c r="GN145" s="43" t="str">
        <f>IF(AND(SnapshotTable[[#This Row],[SP Exp Date]]&gt;0,SnapshotTable[[#This Row],[SP Strike Price]]&gt;0), [1]!ToOptionSymbol(SnapshotTable[[#This Row],[Symbol]], SnapshotTable[[#This Row],[SP Strike Price]],SnapshotTable[[#This Row],[SP Exp Date]],1), "")</f>
        <v/>
      </c>
      <c r="GO145" s="30" t="str">
        <f>IF(LEN(SnapshotTable[[#This Row],[SP Symbol]])&gt;0, 1, "")</f>
        <v/>
      </c>
      <c r="GP145" s="43" t="str">
        <f>IF(AND(SnapshotTable[[#This Row],[LC Exp Date]]&gt;0,SnapshotTable[[#This Row],[LC Strike Price]]&gt;0), [1]!ToOptionSymbol(SnapshotTable[[#This Row],[Symbol]], SnapshotTable[[#This Row],[LC Strike Price]],SnapshotTable[[#This Row],[LC Exp Date]],0), "")</f>
        <v/>
      </c>
      <c r="GQ145" s="30" t="str">
        <f>IF(LEN(SnapshotTable[[#This Row],[LC Symbol]])&gt;0, 1, "")</f>
        <v/>
      </c>
      <c r="GR145" s="43" t="str">
        <f>IF(AND(SnapshotTable[[#This Row],[SC Exp Date]]&gt;0,SnapshotTable[[#This Row],[SC Strike Price]]&gt;0), [1]!ToOptionSymbol(SnapshotTable[[#This Row],[Symbol]], SnapshotTable[[#This Row],[SC Strike Price]],SnapshotTable[[#This Row],[SC Exp Date]],0), "")</f>
        <v/>
      </c>
      <c r="GS145" s="30" t="str">
        <f>IF(LEN(SnapshotTable[[#This Row],[SC Symbol]])&gt;0, 1, "")</f>
        <v/>
      </c>
      <c r="GT145" s="29" t="str">
        <f>IF(COUNT(SnapshotTable[[#This Row],[LP Symbol Count]],SnapshotTable[[#This Row],[SP Symbol Count]],SnapshotTable[[#This Row],[LC Symbol Count]],SnapshotTable[[#This Row],[SC Symbol Count]])&gt;0, "Y", "")</f>
        <v/>
      </c>
      <c r="GU14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5" s="231" t="e">
        <f>MAX(SnapshotTable[[#This Row],[Equity Basis Total]],SnapshotTable[[#This Row],[Equity Value]]) + (SnapshotTable[[#This Row],[SP Potential Spend]]- SnapshotTable[[#This Row],[SP Premium]] + SnapshotTable[[#This Row],[LP Premium]])+ (SnapshotTable[[#This Row],[LC Premium]] - SnapshotTable[[#This Row],[SC Premium]])</f>
        <v>#VALUE!</v>
      </c>
      <c r="GW145" s="139" t="e">
        <f>IF(AND(SnapshotTable[[#This Row],[Exposure]] &lt;&gt; 0),SnapshotTable[[#This Row],[Exposure]] / SnapshotTable[[#Totals],[Exposure]], "")</f>
        <v>#VALUE!</v>
      </c>
      <c r="HE145" s="268"/>
      <c r="HF145" s="268"/>
      <c r="HK145" s="1"/>
      <c r="HL145" s="1"/>
      <c r="HM145" s="1"/>
      <c r="HN145" s="1"/>
      <c r="HO145" s="1"/>
      <c r="HP145" s="1"/>
    </row>
    <row r="146" spans="2:224" ht="12.75" hidden="1" customHeight="1" x14ac:dyDescent="0.25">
      <c r="B146" s="12" t="s">
        <v>180</v>
      </c>
      <c r="C146" s="422">
        <v>112.09</v>
      </c>
      <c r="D146" s="208"/>
      <c r="E146" s="39">
        <f>SnapshotTable[[#This Row],[Last Price]]*(1 -CrashDiscount)</f>
        <v>95.276499999999999</v>
      </c>
      <c r="F146" s="26" t="s">
        <v>179</v>
      </c>
      <c r="G146" s="26" t="s">
        <v>178</v>
      </c>
      <c r="H146" s="149"/>
      <c r="I146" s="194">
        <v>44777.854166666664</v>
      </c>
      <c r="J146" s="195">
        <v>44777.854166666664</v>
      </c>
      <c r="K146" s="196"/>
      <c r="L146" s="326"/>
      <c r="M146" s="140"/>
      <c r="N146" s="140"/>
      <c r="O146" s="140"/>
      <c r="P146" s="22"/>
      <c r="Q146" s="25"/>
      <c r="R146" s="4" t="str">
        <f>IF(SnapshotTable[[#This Row],[Equity Basis Total]] &gt; 0, SnapshotTable[[#This Row],[Equity Basis Total]] / SnapshotTable[[#This Row],[Equity Shares]], "")</f>
        <v/>
      </c>
      <c r="S146" s="269">
        <f>SnapshotTable[[#This Row],[Last Price]] * SnapshotTable[[#This Row],[Equity Shares]]</f>
        <v>0</v>
      </c>
      <c r="T146" s="269">
        <f>SnapshotTable[[#This Row],[Equity Value]] - SnapshotTable[[#This Row],[Equity Basis Total]]</f>
        <v>0</v>
      </c>
      <c r="U146" s="270" t="str">
        <f>IF(SnapshotTable[[#This Row],[Equity Basis Total]] &gt; 0, SnapshotTable[[#This Row],[Equity G/L]] / SnapshotTable[[#This Row],[Equity Basis Total]], "")</f>
        <v/>
      </c>
      <c r="V146" s="268"/>
      <c r="W146" s="268"/>
      <c r="X146" s="4" t="str">
        <f>IF(AND(ISNUMBER(SnapshotTable[[#This Row],[Equity Basis Per Share]]),ISNUMBER(SnapshotTable[[#This Row],[Equity Target]])),SnapshotTable[[#This Row],[Equity Target]]-SnapshotTable[[#This Row],[Equity Basis Per Share]],"")</f>
        <v/>
      </c>
      <c r="Y146" s="4" t="str">
        <f>IF(AND(ISNUMBER(SnapshotTable[[#This Row],[Equity Basis Per Share]]),ISNUMBER(SnapshotTable[[#This Row],[Equity Stop Loss]])),SnapshotTable[[#This Row],[Equity Stop Loss]]-SnapshotTable[[#This Row],[Equity Basis Per Share]],"")</f>
        <v/>
      </c>
      <c r="Z146" s="275" t="str">
        <f>IFERROR( TEXT(SnapshotTable[[#This Row],[Equity Max Gain Per Share]] /ABS( SnapshotTable[[#This Row],[Equity Max Loss Per Share]]),"0.0 " ) &amp; " : 1", "")</f>
        <v/>
      </c>
      <c r="AA146" s="31" t="str">
        <f>IF(ISNUMBER(SnapshotTable[[#This Row],[Equity Max Gain Per Share]]),SnapshotTable[[#This Row],[Equity Max Gain Per Share]] * SnapshotTable[[#This Row],[Equity Shares]],"")</f>
        <v/>
      </c>
      <c r="AB146" s="31" t="str">
        <f>IF(ISNUMBER(SnapshotTable[[#This Row],[Equity Max Loss Per Share]]),SnapshotTable[[#This Row],[Equity Max Loss Per Share]] * SnapshotTable[[#This Row],[Equity Shares]],"")</f>
        <v/>
      </c>
      <c r="AC146" s="150">
        <v>2.6</v>
      </c>
      <c r="AD146" s="151">
        <v>42353</v>
      </c>
      <c r="AE146" s="31">
        <f>(SnapshotTable[[#This Row],[Annual Dividend Per Share]] / 4) * SnapshotTable[[#This Row],[Equity Shares]]</f>
        <v>0</v>
      </c>
      <c r="AF146" s="31">
        <f>SnapshotTable[[#This Row],[Quarterly Div $]] * 4</f>
        <v>0</v>
      </c>
      <c r="AG146" s="7">
        <f>IF(SnapshotTable[[#This Row],[Annual Dividend Per Share]]&gt;0, SnapshotTable[[#This Row],[Annual Dividend Per Share]]  / SnapshotTable[[#This Row],[Last Price]], 0)</f>
        <v>2.3195646355607103E-2</v>
      </c>
      <c r="AH146" s="151">
        <v>42229</v>
      </c>
      <c r="AI146" s="5"/>
      <c r="AJ146" s="138">
        <v>63</v>
      </c>
      <c r="AK146" s="152" t="str">
        <f>IF(ISNUMBER( SnapshotTable[[#This Row],[EBF Target]]),(SnapshotTable[[#This Row],[EBF Target]] - SnapshotTable[[#This Row],[Last Price]]) / SnapshotTable[[#This Row],[Last Price]], "")</f>
        <v/>
      </c>
      <c r="AL146" s="152" t="str">
        <f>IF(AND(SnapshotTable[[#This Row],[Equity Basis Total]] &gt; 0,ISNUMBER( SnapshotTable[[#This Row],[Long Term Target]])), SnapshotTable[[#This Row],[From Basis $]] / SnapshotTable[[#This Row],[Equity Basis Total]], "")</f>
        <v/>
      </c>
      <c r="AM146" s="9">
        <f>IF( AND(SnapshotTable[[#This Row],[Equity Shares]] &gt;0,ISNUMBER( SnapshotTable[[#This Row],[Long Term Target]])),(SnapshotTable[[#This Row],[Equity Shares]] * SnapshotTable[[#This Row],[Long Term Target]]) - SnapshotTable[[#This Row],[Equity Basis Total]],0)</f>
        <v>0</v>
      </c>
      <c r="AN146" s="9">
        <f>IF( AND(SnapshotTable[[#This Row],[Equity Shares]] &gt;0,ISNUMBER( SnapshotTable[[#This Row],[Long Term Target]])),(SnapshotTable[[#This Row],[Equity Shares]]*SnapshotTable[[#This Row],[Long Term Target]]) - SnapshotTable[[#This Row],[Equity Value]],0)</f>
        <v>0</v>
      </c>
      <c r="AO146" s="152">
        <f>IF(AND(ISNUMBER( SnapshotTable[[#This Row],[Long Term Target]]), ISNUMBER(SnapshotTable[[#This Row],[Last Price]])),(SnapshotTable[[#This Row],[Long Term Target]] - SnapshotTable[[#This Row],[Last Price]]) / SnapshotTable[[#This Row],[Last Price]], "")</f>
        <v>-0.43795164599875103</v>
      </c>
      <c r="AP146" s="5"/>
      <c r="AQ146" s="38"/>
      <c r="AR146" s="5"/>
      <c r="AS146" s="38"/>
      <c r="AT146" s="146"/>
      <c r="AU146" s="187" t="str">
        <f>IF(OR(SnapshotTable[[#This Row],[LP No Fill]]="Y",SnapshotTable[[#This Row],[SP Is Filled]],SnapshotTable[[#This Row],[LC Not Filled]]="Y",SnapshotTable[[#This Row],[SC Is Filled]]),"Y","")</f>
        <v/>
      </c>
      <c r="AV146" s="219"/>
      <c r="AW146" s="225"/>
      <c r="AX146" s="220"/>
      <c r="AY146" s="219" t="str">
        <f>IF(SnapshotTable[[#This Row],[Implied Move]]&gt;0, SnapshotTable[[#This Row],[Last Price]]-SnapshotTable[[#This Row],[Implied Move]],"")</f>
        <v/>
      </c>
      <c r="AZ146" s="219" t="str">
        <f>IF(SnapshotTable[[#This Row],[Implied Move]]&gt;0, SnapshotTable[[#This Row],[Last Price]] + SnapshotTable[[#This Row],[Implied Move]],"")</f>
        <v/>
      </c>
      <c r="BA146" s="331"/>
      <c r="BB146" s="347"/>
      <c r="BC14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6" s="351"/>
      <c r="BE146" s="5"/>
      <c r="BF146" s="14"/>
      <c r="BG146" s="13"/>
      <c r="BH146" s="13"/>
      <c r="BI146" s="5"/>
      <c r="BJ146" s="136">
        <f>IF(SnapshotTable[[#This Row],[LP Qty]] &gt; 0, SnapshotTable[[#This Row],[LP Qty]] * SnapshotTable[[#This Row],[LP Book Price]] * 100,0)</f>
        <v>0</v>
      </c>
      <c r="BK146" s="136">
        <f>IF(SnapshotTable[[#This Row],[LP Premium]] &gt; 0, SnapshotTable[[#This Row],[LP Qty]] * SnapshotTable[[#This Row],[LP Strike Price]] * 100,0)</f>
        <v>0</v>
      </c>
      <c r="BL146" s="154"/>
      <c r="BM146" s="385" t="str">
        <f>IF(SnapshotTable[[#This Row],[LP Premium]] &gt; 0,SnapshotTable[[#This Row],[LP Exp Date]]-MAX(SnapshotTable[[#This Row],[LP Book Date]], SnapshotTable[[#This Row],[LP Fill Date]]),"")</f>
        <v/>
      </c>
      <c r="BN146" s="385" t="str">
        <f>IF(ISNUMBER( SnapshotTable[[#This Row],[LP Term]]), SnapshotTable[[#This Row],[LP Exp Date]] - MockToday,"")</f>
        <v/>
      </c>
      <c r="BO146" s="163" t="str">
        <f>IF(AND(SnapshotTable[[#This Row],[LP Exp Date]]&gt;0, SnapshotTable[[#This Row],[LP Strike Price]]&gt;0,SnapshotTable[[#This Row],[LP Qty]]&gt;0,SnapshotTable[[#This Row],[LP Book Date]]&gt;0,SnapshotTable[[#This Row],[LP Book Price]]&gt;0,SnapshotTable[[#This Row],[LP Fill Date]]=0),"Y","")</f>
        <v/>
      </c>
      <c r="BP146" s="31" t="str">
        <f>IF(AND(SnapshotTable[[#This Row],[LP No Fill]]&lt;&gt;"Y",SnapshotTable[[#This Row],[LP Contract Value]]&gt;0, SnapshotTable[[#This Row],[LP Qty]]&gt;0), SnapshotTable[[#This Row],[LP Contract Value]]*SnapshotTable[[#This Row],[LP Qty]]*100,"")</f>
        <v/>
      </c>
      <c r="BQ146" s="13"/>
      <c r="BR146" s="5" t="str">
        <f>IF(SnapshotTable[[#This Row],[SP Exp Date]]&lt;&gt;"",TRUNC(SnapshotTable[[#This Row],[Last Price]]),"")</f>
        <v/>
      </c>
      <c r="BS146" s="36"/>
      <c r="BT146" s="147"/>
      <c r="BU146" s="13"/>
      <c r="BV146" s="5"/>
      <c r="BW146" s="419" t="b">
        <f>AND(ISNUMBER(SnapshotTable[[#This Row],[SP Exp Date]]), ISNUMBER(SnapshotTable[[#This Row],[SP Strike Price]]), ISNUMBER(SnapshotTable[[#This Row],[SP Qty]]), ISNUMBER(SnapshotTable[[#This Row],[SP Book Date]]), ISNUMBER(SnapshotTable[[#This Row],[SP Book Price]]))</f>
        <v>0</v>
      </c>
      <c r="BX146" s="419" t="b">
        <f>AND(SnapshotTable[[#This Row],[SP Is Booked]], NOT(ISBLANK(SnapshotTable[[#This Row],[SP Fill Date]])))</f>
        <v>0</v>
      </c>
      <c r="BY146" s="33">
        <f>IF(SnapshotTable[[#This Row],[SP Is Booked]], SnapshotTable[[#This Row],[SP Qty]] * SnapshotTable[[#This Row],[SP Book Price]] * 100, 0)</f>
        <v>0</v>
      </c>
      <c r="BZ146" s="369"/>
      <c r="CA146" s="368">
        <f>SnapshotTable[[#This Row],[LP Qty]]</f>
        <v>0</v>
      </c>
      <c r="CB146" s="4" t="str">
        <f>IF(SnapshotTable[[#This Row],[SP Is Booked]], SnapshotTable[[#This Row],[SP Strike Price]] - SnapshotTable[[#This Row],[SP Book Price]], "")</f>
        <v/>
      </c>
      <c r="CC146" s="19" t="str">
        <f>IF(SnapshotTable[[#This Row],[SP Is Booked]],SnapshotTable[[#This Row],[SP Exp Date]]-MAX(SnapshotTable[[#This Row],[SP Book Date]], SnapshotTable[[#This Row],[SP Fill Date]]),"")</f>
        <v/>
      </c>
      <c r="CD146" s="7" t="str">
        <f>IF(SnapshotTable[[#This Row],[SP Is Booked]], SnapshotTable[[#This Row],[SP Book Price]]/SnapshotTable[[#This Row],[SP Strike Price]], "")</f>
        <v/>
      </c>
      <c r="CE146" s="7" t="str">
        <f>IF(ISNUMBER(SnapshotTable[[#This Row],[SP ROO Term]]),SnapshotTable[[#This Row],[SP ROO Term]]*(365/SnapshotTable[[#This Row],[SP Term]]),"")</f>
        <v/>
      </c>
      <c r="CF146" s="236">
        <f>SnapshotTable[[#This Row],[LP Strike Price]] * SnapshotTable[[#This Row],[LP Qty]] * 100</f>
        <v>0</v>
      </c>
      <c r="CG146" s="31" t="e">
        <f>IF(ISNUMBER(SnapshotTable[[#This Row],[SP Premium]]), (SnapshotTable[[#This Row],[SP Qty]] * SnapshotTable[[#This Row],[SP Strike Price]]* 100) - SnapshotTable[[#This Row],[LP Protection]], 0)</f>
        <v>#VALUE!</v>
      </c>
      <c r="CH146" s="7" t="str">
        <f>IF(ISNUMBER(SnapshotTable[[#This Row],[SP Break Even]]),-1 * (SnapshotTable[[#This Row],[SP Break Even]] - SnapshotTable[[#This Row],[Last Price]]) / SnapshotTable[[#This Row],[Last Price]], "")</f>
        <v/>
      </c>
      <c r="CI146" s="31">
        <f>IF(AND(ISNUMBER((SnapshotTable[[#This Row],[SP Potential Spend]])), SnapshotTable[[#This Row],[SP Strike Price]] &gt; SnapshotTable[[#This Row],[Last Price]], SnapshotTable[[#This Row],[SP Is Filled]]), SnapshotTable[[#This Row],[SP Potential Spend]] -  SnapshotTable[[#This Row],[LP Max Value]], 0)</f>
        <v>0</v>
      </c>
      <c r="CJ146" s="244"/>
      <c r="CK146" s="31" t="str">
        <f>IF(ISNUMBER(SnapshotTable[[#This Row],[SP Potential Spend]]),IF(ISNUMBER(SnapshotTable[[#This Row],[SP POW]]), SnapshotTable[[#This Row],[SP POW]] * SnapshotTable[[#This Row],[SP Potential Spend]], SnapshotTable[[#This Row],[SP Potential Spend]]), "")</f>
        <v/>
      </c>
      <c r="CL146" s="164" t="e">
        <f>IF(NOT(SnapshotTable[[#This Row],[SP Is Filled]]),(SnapshotTable[[#This Row],[SP Qty]] * SnapshotTable[[#This Row],[SP Strike Price]] * 100) - SnapshotTable[[#This Row],[LP Max Value]],"")</f>
        <v>#VALUE!</v>
      </c>
      <c r="CM146" s="31" t="str">
        <f>IF(SnapshotTable[[#This Row],[SP Actual Spend]]&lt;&gt;0, ((SnapshotTable[[#This Row],[SP Strike Price]]-SnapshotTable[[#This Row],[Last Price]]) *(SnapshotTable[[#This Row],[SP Qty]]*100) - SnapshotTable[[#This Row],[SP Premium]]) * - 1, "")</f>
        <v/>
      </c>
      <c r="CN146" s="78"/>
      <c r="CO146" s="369"/>
      <c r="CP146" s="4" t="str">
        <f>IF(SnapshotTable[[#This Row],[SP Is Filled]], btc_max_buyback_amount(SnapshotTable[[#This Row],[SP Fill Date]],SnapshotTable[[#This Row],[SP Exp Date]], SnapshotTable[[#This Row],[SP Book Price]]),"")</f>
        <v/>
      </c>
      <c r="CQ146" s="78"/>
      <c r="CR14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6" s="155" t="str">
        <f>IF(SnapshotTable[[#This Row],[SP Is Filled]], btc_next_cutoff_date(SnapshotTable[[#This Row],[SP Fill Date]],SnapshotTable[[#This Row],[SP Exp Date]]),"")</f>
        <v/>
      </c>
      <c r="CT146" s="235" t="str" cm="1">
        <f t="array" ref="CT146">IF(SnapshotTable[[#This Row],[SP Is Filled]], btc_should_buy_back(SnapshotTable[[#This Row],[SP Fill Date]], SnapshotTable[[#This Row],[SP Exp Date]], SnapshotTable[[#This Row],[SP Book Price]], SnapshotTable[[#This Row],[SP Current Ask]], MockToday, SnapshotTable[[#This Row],[SP Buyback Override]]),"")</f>
        <v/>
      </c>
      <c r="CU146" s="143"/>
      <c r="CV146" s="235"/>
      <c r="CW146" s="378" t="str">
        <f>IF(ISNUMBER( SnapshotTable[[#This Row],[SP Term]]), SnapshotTable[[#This Row],[SP Exp Date]] - MockToday,"")</f>
        <v/>
      </c>
      <c r="CX146" s="31" t="str">
        <f>IF(SnapshotTable[[#This Row],[SP Is Filled]],SnapshotTable[[#This Row],[SP Buyback Price to Use]] * 100 * SnapshotTable[[#This Row],[SP Qty]], "")</f>
        <v/>
      </c>
      <c r="CY146" s="4" t="str">
        <f>IF(ISNUMBER(SnapshotTable[[#This Row],[SP Strike Price]]), SnapshotTable[[#This Row],[SP Strike Price]] * (1 - SP_MaxLoss_StrikePct), "")</f>
        <v/>
      </c>
      <c r="CZ146" s="31" t="str">
        <f>IF(ISNUMBER(SnapshotTable[[#This Row],[SP Strike  Stop Per Share]]),SnapshotTable[[#This Row],[SP Premium]] - ((SnapshotTable[[#This Row],[SP Strike Price]]-SnapshotTable[[#This Row],[SP Strike  Stop Per Share]]) *(SnapshotTable[[#This Row],[SP Qty]] * 100)),"")</f>
        <v/>
      </c>
      <c r="DA146" s="4" t="str">
        <f>IF(AND(ISNUMBER(SnapshotTable[[#This Row],[SP Premium]]),SnapshotTable[[#This Row],[SP Premium]]&gt;0), SnapshotTable[[#This Row],[SP Book Price]] * (1 + SP_MaxLoss_OptionPct), "")</f>
        <v/>
      </c>
      <c r="DB146" s="31" t="str">
        <f>IF(ISNUMBER(SnapshotTable[[#This Row],[SP Option  Stop Contract]]),(SnapshotTable[[#This Row],[SP Option  Stop Contract]] *(SnapshotTable[[#This Row],[SP Qty]] * 100) - SnapshotTable[[#This Row],[SP Premium]]),"")</f>
        <v/>
      </c>
      <c r="DC146" s="4"/>
      <c r="DD146" s="4"/>
      <c r="DE146" s="4" t="str">
        <f>IF(AND(SnapshotTable[[#This Row],[SP Qty]]&gt;0, SnapshotTable[[#This Row],[SP Stop To Use]]&gt;0),SnapshotTable[[#This Row],[SP Premium]] - ( SnapshotTable[[#This Row],[SP Qty]] * SnapshotTable[[#This Row],[SP Stop To Use]] * 100), "")</f>
        <v/>
      </c>
      <c r="DF146" s="31" t="str">
        <f>IF(AND(SnapshotTable[[#This Row],[SP Qty]]&gt;0,SnapshotTable[[#This Row],[SP Current Ask]]&gt;0), SnapshotTable[[#This Row],[SP Qty]] * SnapshotTable[[#This Row],[SP Current Ask]] * -100, "")</f>
        <v/>
      </c>
      <c r="DG146" s="31" t="str">
        <f>IF(ISNUMBER((SnapshotTable[[#This Row],[SP Total Value]])), SnapshotTable[[#This Row],[SP Premium]] + SnapshotTable[[#This Row],[SP Total Value]], "")</f>
        <v/>
      </c>
      <c r="DH146" s="294" t="str">
        <f>IF(ISNUMBER((SnapshotTable[[#This Row],[SP Total Value]])), SnapshotTable[[#This Row],[SP Gain Loss]] / SnapshotTable[[#This Row],[SP Premium]], "")</f>
        <v/>
      </c>
      <c r="DI146" s="406"/>
      <c r="DJ146" s="138"/>
      <c r="DK146" s="148"/>
      <c r="DL146" s="13"/>
      <c r="DM146" s="13"/>
      <c r="DO146" s="31">
        <f>IF(SnapshotTable[[#This Row],[LC Symbol Count]]=1, SnapshotTable[[#This Row],[LC Qty]] * SnapshotTable[[#This Row],[LC Book Price]] * 100, 0)</f>
        <v>0</v>
      </c>
      <c r="DP146" s="163" t="str">
        <f>IF(AND(SnapshotTable[[#This Row],[LC Exp Date]]&gt;0, SnapshotTable[[#This Row],[LC Strike Price]]&gt;0,SnapshotTable[[#This Row],[LC Qty]]&gt;0,SnapshotTable[[#This Row],[LC Book Date]]&gt;0,SnapshotTable[[#This Row],[LC Book Price]]&gt;0,SnapshotTable[[#This Row],[LC Fill Date]]=0),"Y","")</f>
        <v/>
      </c>
      <c r="DQ146" s="386" t="str">
        <f>IF(SnapshotTable[[#This Row],[LC Premium]] &gt; 0,SnapshotTable[[#This Row],[LC Exp Date]]-MAX(SnapshotTable[[#This Row],[LC Book Date]], SnapshotTable[[#This Row],[LC Fill Date]]),"")</f>
        <v/>
      </c>
      <c r="DR146" s="386" t="str">
        <f>IF(ISNUMBER(SnapshotTable[[#This Row],[LC Term]]), SnapshotTable[[#This Row],[LC Exp Date]] - MockToday, "")</f>
        <v/>
      </c>
      <c r="DS146" s="234" t="str">
        <f>IF(SnapshotTable[[#This Row],[LC Premium]]&gt;0,SnapshotTable[[#This Row],[LC Strike Price]] + SnapshotTable[[#This Row],[LC Book Price]],"")</f>
        <v/>
      </c>
      <c r="DU146" s="9" t="str">
        <f>IF(AND(SnapshotTable[[#This Row],[LC Symbol Count]]&gt;0, SnapshotTable[[#This Row],[LC Contract Value]]&gt;0), SnapshotTable[[#This Row],[LC Contract Value]] * SnapshotTable[[#This Row],[LC Qty]] * 100, "")</f>
        <v/>
      </c>
      <c r="DV146" s="9" t="str">
        <f>IF(AND(ISNUMBER(SnapshotTable[[#This Row],[LC Total Value]]), SnapshotTable[[#This Row],[LC Not Filled]]&lt;&gt;"Y"), SnapshotTable[[#This Row],[LC Total Value]]-SnapshotTable[[#This Row],[LC Premium]],"")</f>
        <v/>
      </c>
      <c r="DW146" s="240" t="str">
        <f>IF(ISNUMBER(SnapshotTable[[#This Row],[LC Actual Gain Loss]]), SnapshotTable[[#This Row],[LC Actual Gain Loss]] / SnapshotTable[[#This Row],[LC Premium]],"")</f>
        <v/>
      </c>
      <c r="DX146" s="284" t="str">
        <f>IF(ISNUMBER(SnapshotTable[[#This Row],[LC Book Price]]),SnapshotTable[[#This Row],[LC Book Price]] * 1.5,"")</f>
        <v/>
      </c>
      <c r="DY146" s="265" t="str">
        <f>IF(SnapshotTable[[#This Row],[LC Premium]]&gt;0, SnapshotTable[[#This Row],[LC Next Target]] * SnapshotTable[[#This Row],[LC Qty]] * 100,"")</f>
        <v/>
      </c>
      <c r="DZ146" s="265" t="str">
        <f>IF(ISNUMBER(SnapshotTable[[#This Row],[LC Target Gross]]), SnapshotTable[[#This Row],[LC Target Gross]] - SnapshotTable[[#This Row],[LC Premium]], "")</f>
        <v/>
      </c>
      <c r="EA146" s="305" t="str">
        <f>IF(ISNUMBER(SnapshotTable[[#This Row],[LC Target Gain Loss]]), SnapshotTable[[#This Row],[LC Target Gain Loss]]/SnapshotTable[[#This Row],[LC Premium]], "")</f>
        <v/>
      </c>
      <c r="EB146" s="262"/>
      <c r="EC146" s="283" t="str">
        <f>IF(SnapshotTable[[#This Row],[LC Premium]]&gt;0, SnapshotTable[[#This Row],[LC Book Price]] * (1 - LC_StopLoss_Pct),"")</f>
        <v/>
      </c>
      <c r="ED146" s="284"/>
      <c r="EE146" s="283" t="str">
        <f>IF(ISNUMBER(SnapshotTable[[#This Row],[LC Contract Value]]),IF(ISNUMBER(SnapshotTable[[#This Row],[LC Stop Loss Override]]), SnapshotTable[[#This Row],[LC Stop Loss Override]],SnapshotTable[[#This Row],[LC Stop Loss Calc Target]]),"")</f>
        <v/>
      </c>
      <c r="EF146" s="31" t="str">
        <f>IF(ISNUMBER(SnapshotTable[[#This Row],[LC Stop  To Use]]), (SnapshotTable[[#This Row],[LC Stop  To Use]] * SnapshotTable[[#This Row],[LC Qty]] * 100),"")</f>
        <v/>
      </c>
      <c r="EG146" s="9" t="str">
        <f>IF(ISNUMBER(SnapshotTable[[#This Row],[LC Total Value]]),SnapshotTable[[#This Row],[LC Stop Loss Amount]] - SnapshotTable[[#This Row],[LC Premium]],"")</f>
        <v/>
      </c>
      <c r="EH146" s="9">
        <f>IF(ISNUMBER(SnapshotTable[[#This Row],[LC Premium]]), SnapshotTable[[#This Row],[LC Qty]] * 100 * SnapshotTable[[#This Row],[LC Strike Price]], "")</f>
        <v>0</v>
      </c>
      <c r="EI146" s="240" t="str">
        <f>IF(AND(ISNUMBER(SnapshotTable[[#This Row],[LC Total Value]]),SnapshotTable[[#This Row],[LC Total Value]]&gt;0),SnapshotTable[[#This Row],[LC Stop Gain Loss]]  / SnapshotTable[[#This Row],[LC Premium]],"")</f>
        <v/>
      </c>
      <c r="EJ146" s="35">
        <f>IF(ISNUMBER(SnapshotTable[[#This Row],[Equity Shares]]),TRUNC(SnapshotTable[[#This Row],[Equity Shares]] / 100),0) + SnapshotTable[[#This Row],[LC Qty]]</f>
        <v>0</v>
      </c>
      <c r="EK146" s="147"/>
      <c r="EL146" s="138" t="str">
        <f>IF(SnapshotTable[[#This Row],[SC Exp Date]]&lt;&gt;"",TRUNC(SnapshotTable[[#This Row],[Last Price]]),"")</f>
        <v/>
      </c>
      <c r="EM146" s="148"/>
      <c r="EN146" s="147"/>
      <c r="EO146" s="147"/>
      <c r="EP146" s="138"/>
      <c r="EQ146" s="419" t="b">
        <f>AND(ISNUMBER(SnapshotTable[[#This Row],[SC Exp Date]]), ISNUMBER(SnapshotTable[[#This Row],[SC Strike Price]]), ISNUMBER(SnapshotTable[[#This Row],[SC Qty]]), ISNUMBER(SnapshotTable[[#This Row],[SC Book Date]]), ISNUMBER(SnapshotTable[[#This Row],[SC Book Price]]))</f>
        <v>0</v>
      </c>
      <c r="ER146" s="419" t="b">
        <f>AND(SnapshotTable[[#This Row],[SC Is Booked]], NOT(ISBLANK(SnapshotTable[[#This Row],[SC Fill Date]])))</f>
        <v>0</v>
      </c>
      <c r="ES146" s="370"/>
      <c r="ET146" s="34" t="str">
        <f>IF(AND(ISNUMBER(SnapshotTable[[#This Row],[SC Exp Date]]), ISNUMBER(SnapshotTable[[#This Row],[SC Book Date]])), SnapshotTable[[#This Row],[SC Exp Date]] - MAX(SnapshotTable[[#This Row],[SC Book Date]], SnapshotTable[[#This Row],[SC Fill Date]]) + 1, "")</f>
        <v/>
      </c>
      <c r="EU146" s="34" t="str">
        <f>IF(ISNUMBER(SnapshotTable[[#This Row],[SC Term]]), SnapshotTable[[#This Row],[SC Exp Date]]- MockToday, "")</f>
        <v/>
      </c>
      <c r="EV146" s="31">
        <f>IF(SnapshotTable[[#This Row],[SC Is Booked]], SnapshotTable[[#This Row],[SC Qty]] * SnapshotTable[[#This Row],[SC Book Price]] * 100, 0)</f>
        <v>0</v>
      </c>
      <c r="EW146" s="4" t="str">
        <f>IF(AND(ISNUMBER(SnapshotTable[[#This Row],[Last Price]]), ISNUMBER( SnapshotTable[[#This Row],[SC Book Price]])), SnapshotTable[[#This Row],[Last Price]] - SnapshotTable[[#This Row],[SC Book Price]],"")</f>
        <v/>
      </c>
      <c r="EX146" s="234" t="str">
        <f>IF(SnapshotTable[[#This Row],[SC Is Booked]],IF(SnapshotTable[[#This Row],[SC Intrinsic Value]] &gt; 0, SnapshotTable[[#This Row],[SC Strike Price]], SnapshotTable[[#This Row],[Last Price]]), "")</f>
        <v/>
      </c>
      <c r="EY146" s="4">
        <f>IF(SnapshotTable[[#This Row],[SC Is Booked]], (MinimumPremiumRequired * SnapshotTable[[#This Row],[SC Basis]] * SnapshotTable[[#This Row],[SC Term]]), 0)</f>
        <v>0</v>
      </c>
      <c r="EZ146" s="283"/>
      <c r="FA146" s="218"/>
      <c r="FB146" s="370"/>
      <c r="FC146" s="4">
        <f>IF(SnapshotTable[[#This Row],[SC Is Filled]], btc_max_buyback_amount(SnapshotTable[[#This Row],[SC Fill Date]],SnapshotTable[[#This Row],[SC Exp Date]], SnapshotTable[[#This Row],[SC Book Price]]),0)</f>
        <v>0</v>
      </c>
      <c r="FD146" s="5"/>
      <c r="FE146" s="144" t="str">
        <f>IF(SnapshotTable[[#This Row],[SC Is Filled]], btc_next_cutoff_date(SnapshotTable[[#This Row],[SC Fill Date]],SnapshotTable[[#This Row],[SC Exp Date]]),"")</f>
        <v/>
      </c>
      <c r="FF146" s="4" t="str" cm="1">
        <f t="array" ref="FF146">IF(SnapshotTable[[#This Row],[SC Is Filled]], btc_should_buy_back(SnapshotTable[[#This Row],[SC Fill Date]], SnapshotTable[[#This Row],[SC Exp Date]], SnapshotTable[[#This Row],[SC Book Price]], SnapshotTable[[#This Row],[SC Current Ask]], MockToday, SnapshotTable[[#This Row],[SC Buyback Override]]),"")</f>
        <v/>
      </c>
      <c r="FG146" s="4">
        <f>IF(SnapshotTable[[#This Row],[SC Is Filled]], MAX(0,SnapshotTable[[#This Row],[Last Price]]  - SnapshotTable[[#This Row],[SC Strike Price]]), 0)</f>
        <v>0</v>
      </c>
      <c r="FH146" s="382">
        <f>IF(SnapshotTable[[#This Row],[SC Is Filled]], IF(ISNUMBER(SnapshotTable[[#This Row],[SC Current Ask]]), SnapshotTable[[#This Row],[SC Current Ask]], SnapshotTable[[#This Row],[SC Book Price]]) - SnapshotTable[[#This Row],[SC Intrinsic Value]], 0)</f>
        <v>0</v>
      </c>
      <c r="FI146" s="143"/>
      <c r="FJ146" s="32" t="str">
        <f>IF(SnapshotTable[[#This Row],[SC Is Filled]],100 * SnapshotTable[[#This Row],[SC Qty]] * IF(ISNUMBER(SnapshotTable[[#This Row],[SC Buyback Override]]), SnapshotTable[[#This Row],[SC Buyback Override]], SnapshotTable[[#This Row],[SC Current Ask]]), "")</f>
        <v/>
      </c>
      <c r="FK146" s="250" t="str">
        <f>IF(SnapshotTable[[#This Row],[SC Time Val]]&gt;0, SnapshotTable[[#This Row],[SC Time Val]] / SnapshotTable[[#This Row],[Last Price]],"")</f>
        <v/>
      </c>
      <c r="FL146" s="302" t="str">
        <f>IF(SnapshotTable[[#This Row],[SC Is Booked]], ((SnapshotTable[[#This Row],[Last Price]] -SnapshotTable[[#This Row],[SC Strike Price]]) / SnapshotTable[[#This Row],[Last Price]]) * -1, "")</f>
        <v/>
      </c>
      <c r="FM146" s="157" t="str">
        <f>IF(SnapshotTable[[#This Row],[SC Is Booked]],  (SnapshotTable[[#This Row],[SC Qty]] * 100 * SnapshotTable[[#This Row],[SC Strike Price]]) - SnapshotTable[[#This Row],[SC Current Ask]], "")</f>
        <v/>
      </c>
      <c r="FN14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6" s="31" t="str">
        <f>IF(AND(ISNUMBER(SnapshotTable[[#This Row],[SC Exercise Gross]]), ISNUMBER(SnapshotTable[[#This Row],[Equity Basis Per Share]] )), SnapshotTable[[#This Row],[SC Exercise Gross]] - SnapshotTable[[#This Row],[Equity Basis Total]] +  SnapshotTable[[#This Row],[SC Premium]], "")</f>
        <v/>
      </c>
      <c r="FP146" s="5" t="str">
        <f>IF(ISNUMBER(SnapshotTable[[#This Row],[SC Exercise Gross]]), (SnapshotTable[[#This Row],[SC Exercise Gross]]) / (SnapshotTable[[#This Row],[SC Qty]] * 100), "")</f>
        <v/>
      </c>
      <c r="FQ146" s="27" t="str">
        <f>IF(SnapshotTable[[#This Row],[SC Is Booked]],SnapshotTable[[#This Row],[SC Time Val]] /SnapshotTable[[#This Row],[SC Basis]], "")</f>
        <v/>
      </c>
      <c r="FR146" s="27" t="str" cm="1">
        <f t="array" ref="FR146">IF(AND(ISNUMBER(SnapshotTable[[#This Row],[SC Term]]),ISNUMBER(SnapshotTable[[#This Row],[SC Simple ROO]])), EllmanAnnualize(SnapshotTable[[#This Row],[SC DTE]], SnapshotTable[[#This Row],[SC Simple ROO]] ),"")</f>
        <v/>
      </c>
      <c r="FS146" s="4" t="e">
        <f>IF(SnapshotTable[[#This Row],[SC Strike Price]] &gt; SnapshotTable[[#This Row],[Last Price]], SnapshotTable[[#This Row],[SC Strike Price]] - SnapshotTable[[#This Row],[Last Price]],0)</f>
        <v>#VALUE!</v>
      </c>
      <c r="FT146" s="27" t="e">
        <f>IF(AND(ISNUMBER(SnapshotTable[[#This Row],[SC Upside Potential]]), SnapshotTable[[#This Row],[SC Upside Potential]] &gt; 0),(SnapshotTable[[#This Row],[SC Upside Potential]]/ SnapshotTable[[#This Row],[ACB]]),"")</f>
        <v>#VALUE!</v>
      </c>
      <c r="FU146" s="333" t="str">
        <f>IF(SnapshotTable[[#This Row],[SC Intrinsic Value]] &gt; 0,SnapshotTable[[#This Row],[SC Intrinsic Value]],"")</f>
        <v/>
      </c>
      <c r="FV146" s="27" t="str">
        <f>IF(AND( ISNUMBER( SnapshotTable[[#This Row],[ACB]]),ISNUMBER(SnapshotTable[[#This Row],[SC Downside Protect]])),SnapshotTable[[#This Row],[SC Downside Protect]] / SnapshotTable[[#This Row],[ACB]],"")</f>
        <v/>
      </c>
      <c r="FW146" s="236" t="str">
        <f>IF(AND(ISNUMBER(SnapshotTable[[#This Row],[SC Simple ROO]]),SnapshotTable[[#This Row],[SC Simple ROO]] &gt; 0), SnapshotTable[[#This Row],[SC Premium]] + (SnapshotTable[[#This Row],[SC Qty]] * SnapshotTable[[#This Row],[SC Upside Potential]]), "")</f>
        <v/>
      </c>
      <c r="FX146" s="302" t="str" cm="1">
        <f t="array" ref="FX146">IF(ISNUMBER(SnapshotTable[[#This Row],[SC Max Dollars]]), annualize(SnapshotTable[[#This Row],[SC Term]],(SnapshotTable[[#This Row],[SC Max Dollars]]/SnapshotTable[[#This Row],[SC Basis]])),"")</f>
        <v/>
      </c>
      <c r="FY146" s="236" t="str">
        <f>IF(AND(SnapshotTable[[#This Row],[SC Qty]]&gt;0,SnapshotTable[[#This Row],[SC Current Ask]]&gt;0), SnapshotTable[[#This Row],[SC Qty]] * SnapshotTable[[#This Row],[SC Current Ask]] * -100, "")</f>
        <v/>
      </c>
      <c r="FZ146" s="31" t="str">
        <f>IF(ISNUMBER((SnapshotTable[[#This Row],[SC Current Value]])), SnapshotTable[[#This Row],[SC Premium]] + SnapshotTable[[#This Row],[SC Current Value]], "")</f>
        <v/>
      </c>
      <c r="GA146" s="294" t="str">
        <f>IFERROR( IF(ISNUMBER((SnapshotTable[[#This Row],[SC Current Value]])), SnapshotTable[[#This Row],[SC Gain Loss]] / SnapshotTable[[#This Row],[SC Premium]], ""), "")</f>
        <v/>
      </c>
      <c r="GB146" s="42">
        <f>SnapshotTable[[#This Row],[Equity Shares]] * SaleSharesToConsiderPercentage</f>
        <v>0</v>
      </c>
      <c r="GC146" s="40">
        <f>SnapshotTable[[#This Row],[Long Term Target]] * SellingPriceToConsiderBasedOnTargetPercentage</f>
        <v>59.849999999999994</v>
      </c>
      <c r="GD146" s="40">
        <f>SnapshotTable[[#This Row],[Last Price]] * (1+ SellingPriceToConsiderBasedOnTargetPercentage)</f>
        <v>218.57550000000001</v>
      </c>
      <c r="GE146" s="41"/>
      <c r="GF146" s="40">
        <v>60</v>
      </c>
      <c r="GG146" s="31">
        <f>SnapshotTable[[#This Row],[Booked Sale Shares]] * SnapshotTable[[#This Row],[Booked Sale Price]]</f>
        <v>0</v>
      </c>
      <c r="GH146" s="31" t="str">
        <f>IF(SnapshotTable[[#This Row],[Equity Basis Total]] &gt; 0, SnapshotTable[[#This Row],[Equity Basis Per Share]] * SnapshotTable[[#This Row],[Booked Sale Shares]], "")</f>
        <v/>
      </c>
      <c r="GI146" s="31">
        <f>IF(SnapshotTable[[#This Row],[Sale Proceeds]]&gt;0, SnapshotTable[[#This Row],[Sale Proceeds]] - SnapshotTable[[#This Row],[Sale Basis]], 0)</f>
        <v>0</v>
      </c>
      <c r="GJ146" s="27" t="str">
        <f>IF(SnapshotTable[[#This Row],[Sale G/L]]&gt;0, SnapshotTable[[#This Row],[Sale G/L]] / SnapshotTable[[#This Row],[Sale Basis]], IF(ISNUMBER(SnapshotTable[[#This Row],[SC Exercise P&amp;L (TAX)]]), SnapshotTable[[#This Row],[SC Exercise P&amp;L (TAX)]] / SnapshotTable[[#This Row],[SC Basis]], ""))</f>
        <v/>
      </c>
      <c r="GK146" s="27" t="s">
        <v>693</v>
      </c>
      <c r="GL146" s="43" t="str">
        <f>IF(AND(SnapshotTable[[#This Row],[LP Exp Date]]&gt;0,SnapshotTable[[#This Row],[LP Strike Price]]&gt;0), [1]!ToOptionSymbol(SnapshotTable[[#This Row],[Symbol]], SnapshotTable[[#This Row],[LP Strike Price]],SnapshotTable[[#This Row],[LP Exp Date]],1), "")</f>
        <v/>
      </c>
      <c r="GM146" s="30" t="str">
        <f>IF(LEN(SnapshotTable[[#This Row],[LP Symbol]])&gt;0, 1, "")</f>
        <v/>
      </c>
      <c r="GN146" s="43" t="str">
        <f>IF(AND(SnapshotTable[[#This Row],[SP Exp Date]]&gt;0,SnapshotTable[[#This Row],[SP Strike Price]]&gt;0), [1]!ToOptionSymbol(SnapshotTable[[#This Row],[Symbol]], SnapshotTable[[#This Row],[SP Strike Price]],SnapshotTable[[#This Row],[SP Exp Date]],1), "")</f>
        <v/>
      </c>
      <c r="GO146" s="30" t="str">
        <f>IF(LEN(SnapshotTable[[#This Row],[SP Symbol]])&gt;0, 1, "")</f>
        <v/>
      </c>
      <c r="GP146" s="43" t="str">
        <f>IF(AND(SnapshotTable[[#This Row],[LC Exp Date]]&gt;0,SnapshotTable[[#This Row],[LC Strike Price]]&gt;0), [1]!ToOptionSymbol(SnapshotTable[[#This Row],[Symbol]], SnapshotTable[[#This Row],[LC Strike Price]],SnapshotTable[[#This Row],[LC Exp Date]],0), "")</f>
        <v/>
      </c>
      <c r="GQ146" s="30" t="str">
        <f>IF(LEN(SnapshotTable[[#This Row],[LC Symbol]])&gt;0, 1, "")</f>
        <v/>
      </c>
      <c r="GR146" s="43" t="str">
        <f>IF(AND(SnapshotTable[[#This Row],[SC Exp Date]]&gt;0,SnapshotTable[[#This Row],[SC Strike Price]]&gt;0), [1]!ToOptionSymbol(SnapshotTable[[#This Row],[Symbol]], SnapshotTable[[#This Row],[SC Strike Price]],SnapshotTable[[#This Row],[SC Exp Date]],0), "")</f>
        <v/>
      </c>
      <c r="GS146" s="30" t="str">
        <f>IF(LEN(SnapshotTable[[#This Row],[SC Symbol]])&gt;0, 1, "")</f>
        <v/>
      </c>
      <c r="GT146" s="29" t="str">
        <f>IF(COUNT(SnapshotTable[[#This Row],[LP Symbol Count]],SnapshotTable[[#This Row],[SP Symbol Count]],SnapshotTable[[#This Row],[LC Symbol Count]],SnapshotTable[[#This Row],[SC Symbol Count]])&gt;0, "Y", "")</f>
        <v/>
      </c>
      <c r="GU14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6" s="231" t="e">
        <f>MAX(SnapshotTable[[#This Row],[Equity Basis Total]],SnapshotTable[[#This Row],[Equity Value]]) + (SnapshotTable[[#This Row],[SP Potential Spend]]- SnapshotTable[[#This Row],[SP Premium]] + SnapshotTable[[#This Row],[LP Premium]])+ (SnapshotTable[[#This Row],[LC Premium]] - SnapshotTable[[#This Row],[SC Premium]])</f>
        <v>#VALUE!</v>
      </c>
      <c r="GW146" s="139" t="e">
        <f>IF(AND(SnapshotTable[[#This Row],[Exposure]] &lt;&gt; 0),SnapshotTable[[#This Row],[Exposure]] / SnapshotTable[[#Totals],[Exposure]], "")</f>
        <v>#VALUE!</v>
      </c>
      <c r="HE146" s="268"/>
      <c r="HF146" s="268"/>
      <c r="HK146" s="1"/>
      <c r="HL146" s="1"/>
      <c r="HM146" s="1"/>
      <c r="HN146" s="1"/>
      <c r="HO146" s="1"/>
      <c r="HP146" s="1"/>
    </row>
    <row r="147" spans="2:224" ht="12.75" hidden="1" customHeight="1" x14ac:dyDescent="0.25">
      <c r="B147" s="12" t="s">
        <v>1036</v>
      </c>
      <c r="C147" s="422">
        <v>30.81</v>
      </c>
      <c r="D147" s="208" t="s">
        <v>578</v>
      </c>
      <c r="E147" s="39">
        <f>SnapshotTable[[#This Row],[Last Price]]*(1 -CrashDiscount)</f>
        <v>26.188499999999998</v>
      </c>
      <c r="F147" s="26" t="s">
        <v>1034</v>
      </c>
      <c r="G147" s="26" t="s">
        <v>872</v>
      </c>
      <c r="H147" s="149"/>
      <c r="I147" s="194">
        <v>44777.708333333336</v>
      </c>
      <c r="J147" s="195">
        <v>44777.708333333336</v>
      </c>
      <c r="K147" s="196"/>
      <c r="L147" s="327"/>
      <c r="M147" s="140"/>
      <c r="N147" s="140"/>
      <c r="O147" s="140"/>
      <c r="P147" s="22"/>
      <c r="Q147" s="25"/>
      <c r="R147" s="4" t="str">
        <f>IF(SnapshotTable[[#This Row],[Equity Basis Total]] &gt; 0, SnapshotTable[[#This Row],[Equity Basis Total]] / SnapshotTable[[#This Row],[Equity Shares]], "")</f>
        <v/>
      </c>
      <c r="S147" s="329">
        <f>SnapshotTable[[#This Row],[Last Price]] * SnapshotTable[[#This Row],[Equity Shares]]</f>
        <v>0</v>
      </c>
      <c r="T147" s="269">
        <f>SnapshotTable[[#This Row],[Equity Value]] - SnapshotTable[[#This Row],[Equity Basis Total]]</f>
        <v>0</v>
      </c>
      <c r="U147" s="270" t="str">
        <f>IF(SnapshotTable[[#This Row],[Equity Basis Total]] &gt; 0, SnapshotTable[[#This Row],[Equity G/L]] / SnapshotTable[[#This Row],[Equity Basis Total]], "")</f>
        <v/>
      </c>
      <c r="V147" s="268">
        <v>75</v>
      </c>
      <c r="W147" s="268">
        <v>63.65</v>
      </c>
      <c r="X147" s="4" t="str">
        <f>IF(AND(ISNUMBER(SnapshotTable[[#This Row],[Equity Basis Per Share]]),ISNUMBER(SnapshotTable[[#This Row],[Equity Target]])),SnapshotTable[[#This Row],[Equity Target]]-SnapshotTable[[#This Row],[Equity Basis Per Share]],"")</f>
        <v/>
      </c>
      <c r="Y147" s="4" t="str">
        <f>IF(AND(ISNUMBER(SnapshotTable[[#This Row],[Equity Basis Per Share]]),ISNUMBER(SnapshotTable[[#This Row],[Equity Stop Loss]])),SnapshotTable[[#This Row],[Equity Stop Loss]]-SnapshotTable[[#This Row],[Equity Basis Per Share]],"")</f>
        <v/>
      </c>
      <c r="Z147" s="275" t="str">
        <f>IFERROR( TEXT(SnapshotTable[[#This Row],[Equity Max Gain Per Share]] /ABS( SnapshotTable[[#This Row],[Equity Max Loss Per Share]]),"0.0 " ) &amp; " : 1", "")</f>
        <v/>
      </c>
      <c r="AA147" s="31" t="str">
        <f>IF(ISNUMBER(SnapshotTable[[#This Row],[Equity Max Gain Per Share]]),SnapshotTable[[#This Row],[Equity Max Gain Per Share]] * SnapshotTable[[#This Row],[Equity Shares]],"")</f>
        <v/>
      </c>
      <c r="AB147" s="31" t="str">
        <f>IF(ISNUMBER(SnapshotTable[[#This Row],[Equity Max Loss Per Share]]),SnapshotTable[[#This Row],[Equity Max Loss Per Share]] * SnapshotTable[[#This Row],[Equity Shares]],"")</f>
        <v/>
      </c>
      <c r="AC147" s="150"/>
      <c r="AD147" s="151"/>
      <c r="AE147" s="31">
        <f>(SnapshotTable[[#This Row],[Annual Dividend Per Share]] / 4) * SnapshotTable[[#This Row],[Equity Shares]]</f>
        <v>0</v>
      </c>
      <c r="AF147" s="31">
        <f>SnapshotTable[[#This Row],[Quarterly Div $]] * 4</f>
        <v>0</v>
      </c>
      <c r="AG147" s="7">
        <f>IF(SnapshotTable[[#This Row],[Annual Dividend Per Share]]&gt;0, SnapshotTable[[#This Row],[Annual Dividend Per Share]]  / SnapshotTable[[#This Row],[Last Price]], 0)</f>
        <v>0</v>
      </c>
      <c r="AH147" s="151"/>
      <c r="AI147" s="330"/>
      <c r="AJ147" s="138">
        <v>78.099999999999994</v>
      </c>
      <c r="AK147" s="152" t="str">
        <f>IF(ISNUMBER( SnapshotTable[[#This Row],[EBF Target]]),(SnapshotTable[[#This Row],[EBF Target]] - SnapshotTable[[#This Row],[Last Price]]) / SnapshotTable[[#This Row],[Last Price]], "")</f>
        <v/>
      </c>
      <c r="AL147" s="152" t="str">
        <f>IF(AND(SnapshotTable[[#This Row],[Equity Basis Total]] &gt; 0,ISNUMBER( SnapshotTable[[#This Row],[Long Term Target]])), SnapshotTable[[#This Row],[From Basis $]] / SnapshotTable[[#This Row],[Equity Basis Total]], "")</f>
        <v/>
      </c>
      <c r="AM147" s="9">
        <f>IF( AND(SnapshotTable[[#This Row],[Equity Shares]] &gt;0,ISNUMBER( SnapshotTable[[#This Row],[Long Term Target]])),(SnapshotTable[[#This Row],[Equity Shares]] * SnapshotTable[[#This Row],[Long Term Target]]) - SnapshotTable[[#This Row],[Equity Basis Total]],0)</f>
        <v>0</v>
      </c>
      <c r="AN147" s="9">
        <f>IF( AND(SnapshotTable[[#This Row],[Equity Shares]] &gt;0,ISNUMBER( SnapshotTable[[#This Row],[Long Term Target]])),(SnapshotTable[[#This Row],[Equity Shares]]*SnapshotTable[[#This Row],[Long Term Target]]) - SnapshotTable[[#This Row],[Equity Value]],0)</f>
        <v>0</v>
      </c>
      <c r="AO147" s="152">
        <f>IF(AND(ISNUMBER( SnapshotTable[[#This Row],[Long Term Target]]), ISNUMBER(SnapshotTable[[#This Row],[Last Price]])),(SnapshotTable[[#This Row],[Long Term Target]] - SnapshotTable[[#This Row],[Last Price]]) / SnapshotTable[[#This Row],[Last Price]], "")</f>
        <v>1.5348912690684842</v>
      </c>
      <c r="AP147" s="5"/>
      <c r="AQ147" s="38"/>
      <c r="AR147" s="5"/>
      <c r="AS147" s="38"/>
      <c r="AT147" s="146"/>
      <c r="AU147" s="187" t="str">
        <f>IF(OR(SnapshotTable[[#This Row],[LP No Fill]]="Y",SnapshotTable[[#This Row],[SP Is Filled]],SnapshotTable[[#This Row],[LC Not Filled]]="Y",SnapshotTable[[#This Row],[SC Is Filled]]),"Y","")</f>
        <v/>
      </c>
      <c r="AV147" s="338"/>
      <c r="AW147" s="339"/>
      <c r="AX147" s="220"/>
      <c r="AY147" s="219" t="str">
        <f>IF(SnapshotTable[[#This Row],[Implied Move]]&gt;0, SnapshotTable[[#This Row],[Last Price]]-SnapshotTable[[#This Row],[Implied Move]],"")</f>
        <v/>
      </c>
      <c r="AZ147" s="219" t="str">
        <f>IF(SnapshotTable[[#This Row],[Implied Move]]&gt;0, SnapshotTable[[#This Row],[Last Price]] + SnapshotTable[[#This Row],[Implied Move]],"")</f>
        <v/>
      </c>
      <c r="BA147" s="331">
        <v>66.23</v>
      </c>
      <c r="BB147" s="347"/>
      <c r="BC14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7" s="351"/>
      <c r="BE147" s="138"/>
      <c r="BF147" s="166"/>
      <c r="BG147" s="167"/>
      <c r="BH147" s="167"/>
      <c r="BI147" s="221"/>
      <c r="BJ147" s="153">
        <f>IF(SnapshotTable[[#This Row],[LP Qty]] &gt; 0, SnapshotTable[[#This Row],[LP Qty]] * SnapshotTable[[#This Row],[LP Book Price]] * 100,0)</f>
        <v>0</v>
      </c>
      <c r="BK147" s="136">
        <f>IF(SnapshotTable[[#This Row],[LP Premium]] &gt; 0, SnapshotTable[[#This Row],[LP Qty]] * SnapshotTable[[#This Row],[LP Strike Price]] * 100,0)</f>
        <v>0</v>
      </c>
      <c r="BL147" s="154"/>
      <c r="BM147" s="385" t="str">
        <f>IF(SnapshotTable[[#This Row],[LP Premium]] &gt; 0,SnapshotTable[[#This Row],[LP Exp Date]]-MAX(SnapshotTable[[#This Row],[LP Book Date]], SnapshotTable[[#This Row],[LP Fill Date]]),"")</f>
        <v/>
      </c>
      <c r="BN147" s="385" t="str">
        <f>IF(ISNUMBER( SnapshotTable[[#This Row],[LP Term]]), SnapshotTable[[#This Row],[LP Exp Date]] - MockToday,"")</f>
        <v/>
      </c>
      <c r="BO147" s="163" t="str">
        <f>IF(AND(SnapshotTable[[#This Row],[LP Exp Date]]&gt;0, SnapshotTable[[#This Row],[LP Strike Price]]&gt;0,SnapshotTable[[#This Row],[LP Qty]]&gt;0,SnapshotTable[[#This Row],[LP Book Date]]&gt;0,SnapshotTable[[#This Row],[LP Book Price]]&gt;0,SnapshotTable[[#This Row],[LP Fill Date]]=0),"Y","")</f>
        <v/>
      </c>
      <c r="BP147" s="31" t="str">
        <f>IF(AND(SnapshotTable[[#This Row],[LP No Fill]]&lt;&gt;"Y",SnapshotTable[[#This Row],[LP Contract Value]]&gt;0, SnapshotTable[[#This Row],[LP Qty]]&gt;0), SnapshotTable[[#This Row],[LP Contract Value]]*SnapshotTable[[#This Row],[LP Qty]]*100,"")</f>
        <v/>
      </c>
      <c r="BQ147" s="13"/>
      <c r="BR147" s="5" t="str">
        <f>IF(SnapshotTable[[#This Row],[SP Exp Date]]&lt;&gt;"",TRUNC(SnapshotTable[[#This Row],[Last Price]]),"")</f>
        <v/>
      </c>
      <c r="BS147" s="36"/>
      <c r="BT147" s="147"/>
      <c r="BU147" s="13"/>
      <c r="BV147" s="5"/>
      <c r="BW147" s="419" t="b">
        <f>AND(ISNUMBER(SnapshotTable[[#This Row],[SP Exp Date]]), ISNUMBER(SnapshotTable[[#This Row],[SP Strike Price]]), ISNUMBER(SnapshotTable[[#This Row],[SP Qty]]), ISNUMBER(SnapshotTable[[#This Row],[SP Book Date]]), ISNUMBER(SnapshotTable[[#This Row],[SP Book Price]]))</f>
        <v>0</v>
      </c>
      <c r="BX147" s="419" t="b">
        <f>AND(SnapshotTable[[#This Row],[SP Is Booked]], NOT(ISBLANK(SnapshotTable[[#This Row],[SP Fill Date]])))</f>
        <v>0</v>
      </c>
      <c r="BY147" s="33">
        <f>IF(SnapshotTable[[#This Row],[SP Is Booked]], SnapshotTable[[#This Row],[SP Qty]] * SnapshotTable[[#This Row],[SP Book Price]] * 100, 0)</f>
        <v>0</v>
      </c>
      <c r="BZ147" s="369"/>
      <c r="CA147" s="368">
        <f>SnapshotTable[[#This Row],[LP Qty]]</f>
        <v>0</v>
      </c>
      <c r="CB147" s="4" t="str">
        <f>IF(SnapshotTable[[#This Row],[SP Is Booked]], SnapshotTable[[#This Row],[SP Strike Price]] - SnapshotTable[[#This Row],[SP Book Price]], "")</f>
        <v/>
      </c>
      <c r="CC147" s="19" t="str">
        <f>IF(SnapshotTable[[#This Row],[SP Is Booked]],SnapshotTable[[#This Row],[SP Exp Date]]-MAX(SnapshotTable[[#This Row],[SP Book Date]], SnapshotTable[[#This Row],[SP Fill Date]]),"")</f>
        <v/>
      </c>
      <c r="CD147" s="7" t="str">
        <f>IF(SnapshotTable[[#This Row],[SP Is Booked]], SnapshotTable[[#This Row],[SP Book Price]]/SnapshotTable[[#This Row],[SP Strike Price]], "")</f>
        <v/>
      </c>
      <c r="CE147" s="7" t="str">
        <f>IF(ISNUMBER(SnapshotTable[[#This Row],[SP ROO Term]]),SnapshotTable[[#This Row],[SP ROO Term]]*(365/SnapshotTable[[#This Row],[SP Term]]),"")</f>
        <v/>
      </c>
      <c r="CF147" s="236">
        <f>SnapshotTable[[#This Row],[LP Strike Price]] * SnapshotTable[[#This Row],[LP Qty]] * 100</f>
        <v>0</v>
      </c>
      <c r="CG147" s="31" t="e">
        <f>IF(ISNUMBER(SnapshotTable[[#This Row],[SP Premium]]), (SnapshotTable[[#This Row],[SP Qty]] * SnapshotTable[[#This Row],[SP Strike Price]]* 100) - SnapshotTable[[#This Row],[LP Protection]], 0)</f>
        <v>#VALUE!</v>
      </c>
      <c r="CH147" s="7" t="str">
        <f>IF(ISNUMBER(SnapshotTable[[#This Row],[SP Break Even]]),-1 * (SnapshotTable[[#This Row],[SP Break Even]] - SnapshotTable[[#This Row],[Last Price]]) / SnapshotTable[[#This Row],[Last Price]], "")</f>
        <v/>
      </c>
      <c r="CI147" s="31">
        <f>IF(AND(ISNUMBER((SnapshotTable[[#This Row],[SP Potential Spend]])), SnapshotTable[[#This Row],[SP Strike Price]] &gt; SnapshotTable[[#This Row],[Last Price]], SnapshotTable[[#This Row],[SP Is Filled]]), SnapshotTable[[#This Row],[SP Potential Spend]] -  SnapshotTable[[#This Row],[LP Max Value]], 0)</f>
        <v>0</v>
      </c>
      <c r="CJ147" s="244"/>
      <c r="CK147" s="31" t="str">
        <f>IF(ISNUMBER(SnapshotTable[[#This Row],[SP Potential Spend]]),IF(ISNUMBER(SnapshotTable[[#This Row],[SP POW]]), SnapshotTable[[#This Row],[SP POW]] * SnapshotTable[[#This Row],[SP Potential Spend]], SnapshotTable[[#This Row],[SP Potential Spend]]), "")</f>
        <v/>
      </c>
      <c r="CL147" s="164" t="e">
        <f>IF(NOT(SnapshotTable[[#This Row],[SP Is Filled]]),(SnapshotTable[[#This Row],[SP Qty]] * SnapshotTable[[#This Row],[SP Strike Price]] * 100) - SnapshotTable[[#This Row],[LP Max Value]],"")</f>
        <v>#VALUE!</v>
      </c>
      <c r="CM147" s="31" t="str">
        <f>IF(SnapshotTable[[#This Row],[SP Actual Spend]]&lt;&gt;0, ((SnapshotTable[[#This Row],[SP Strike Price]]-SnapshotTable[[#This Row],[Last Price]]) *(SnapshotTable[[#This Row],[SP Qty]]*100) - SnapshotTable[[#This Row],[SP Premium]]) * - 1, "")</f>
        <v/>
      </c>
      <c r="CN147" s="154"/>
      <c r="CO147" s="369"/>
      <c r="CP147" s="320" t="str">
        <f>IF(SnapshotTable[[#This Row],[SP Is Filled]], btc_max_buyback_amount(SnapshotTable[[#This Row],[SP Fill Date]],SnapshotTable[[#This Row],[SP Exp Date]], SnapshotTable[[#This Row],[SP Book Price]]),"")</f>
        <v/>
      </c>
      <c r="CQ147" s="78"/>
      <c r="CR147" s="76"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7" s="155" t="str">
        <f>IF(SnapshotTable[[#This Row],[SP Is Filled]], btc_next_cutoff_date(SnapshotTable[[#This Row],[SP Fill Date]],SnapshotTable[[#This Row],[SP Exp Date]]),"")</f>
        <v/>
      </c>
      <c r="CT147" s="235" t="str" cm="1">
        <f t="array" ref="CT147">IF(SnapshotTable[[#This Row],[SP Is Filled]], btc_should_buy_back(SnapshotTable[[#This Row],[SP Fill Date]], SnapshotTable[[#This Row],[SP Exp Date]], SnapshotTable[[#This Row],[SP Book Price]], SnapshotTable[[#This Row],[SP Current Ask]], MockToday, SnapshotTable[[#This Row],[SP Buyback Override]]),"")</f>
        <v/>
      </c>
      <c r="CU147" s="156"/>
      <c r="CV147" s="235"/>
      <c r="CW147" s="378" t="str">
        <f>IF(ISNUMBER( SnapshotTable[[#This Row],[SP Term]]), SnapshotTable[[#This Row],[SP Exp Date]] - MockToday,"")</f>
        <v/>
      </c>
      <c r="CX147" s="31" t="str">
        <f>IF(SnapshotTable[[#This Row],[SP Is Filled]],SnapshotTable[[#This Row],[SP Buyback Price to Use]] * 100 * SnapshotTable[[#This Row],[SP Qty]], "")</f>
        <v/>
      </c>
      <c r="CY147" s="4" t="str">
        <f>IF(ISNUMBER(SnapshotTable[[#This Row],[SP Strike Price]]), SnapshotTable[[#This Row],[SP Strike Price]] * (1 - SP_MaxLoss_StrikePct), "")</f>
        <v/>
      </c>
      <c r="CZ147" s="31" t="str">
        <f>IF(ISNUMBER(SnapshotTable[[#This Row],[SP Strike  Stop Per Share]]),SnapshotTable[[#This Row],[SP Premium]] - ((SnapshotTable[[#This Row],[SP Strike Price]]-SnapshotTable[[#This Row],[SP Strike  Stop Per Share]]) *(SnapshotTable[[#This Row],[SP Qty]] * 100)),"")</f>
        <v/>
      </c>
      <c r="DA147" s="4" t="str">
        <f>IF(AND(ISNUMBER(SnapshotTable[[#This Row],[SP Premium]]),SnapshotTable[[#This Row],[SP Premium]]&gt;0), SnapshotTable[[#This Row],[SP Book Price]] * (1 + SP_MaxLoss_OptionPct), "")</f>
        <v/>
      </c>
      <c r="DB147" s="31" t="str">
        <f>IF(ISNUMBER(SnapshotTable[[#This Row],[SP Option  Stop Contract]]),(SnapshotTable[[#This Row],[SP Option  Stop Contract]] *(SnapshotTable[[#This Row],[SP Qty]] * 100) - SnapshotTable[[#This Row],[SP Premium]]),"")</f>
        <v/>
      </c>
      <c r="DC147" s="4"/>
      <c r="DD147" s="4"/>
      <c r="DE147" s="4" t="str">
        <f>IF(AND(SnapshotTable[[#This Row],[SP Qty]]&gt;0, SnapshotTable[[#This Row],[SP Stop To Use]]&gt;0),SnapshotTable[[#This Row],[SP Premium]] - ( SnapshotTable[[#This Row],[SP Qty]] * SnapshotTable[[#This Row],[SP Stop To Use]] * 100), "")</f>
        <v/>
      </c>
      <c r="DF147" s="31" t="str">
        <f>IF(AND(SnapshotTable[[#This Row],[SP Qty]]&gt;0,SnapshotTable[[#This Row],[SP Current Ask]]&gt;0), SnapshotTable[[#This Row],[SP Qty]] * SnapshotTable[[#This Row],[SP Current Ask]] * -100, "")</f>
        <v/>
      </c>
      <c r="DG147" s="31" t="str">
        <f>IF(ISNUMBER((SnapshotTable[[#This Row],[SP Total Value]])), SnapshotTable[[#This Row],[SP Premium]] + SnapshotTable[[#This Row],[SP Total Value]], "")</f>
        <v/>
      </c>
      <c r="DH147" s="294" t="str">
        <f>IF(ISNUMBER((SnapshotTable[[#This Row],[SP Total Value]])), SnapshotTable[[#This Row],[SP Gain Loss]] / SnapshotTable[[#This Row],[SP Premium]], "")</f>
        <v/>
      </c>
      <c r="DI147" s="406"/>
      <c r="DJ147" s="138"/>
      <c r="DK147" s="148"/>
      <c r="DL147" s="147"/>
      <c r="DM147" s="147"/>
      <c r="DO147" s="31">
        <f>IF(SnapshotTable[[#This Row],[LC Symbol Count]]=1, SnapshotTable[[#This Row],[LC Qty]] * SnapshotTable[[#This Row],[LC Book Price]] * 100, 0)</f>
        <v>0</v>
      </c>
      <c r="DP147" s="289" t="str">
        <f>IF(AND(SnapshotTable[[#This Row],[LC Exp Date]]&gt;0, SnapshotTable[[#This Row],[LC Strike Price]]&gt;0,SnapshotTable[[#This Row],[LC Qty]]&gt;0,SnapshotTable[[#This Row],[LC Book Date]]&gt;0,SnapshotTable[[#This Row],[LC Book Price]]&gt;0,SnapshotTable[[#This Row],[LC Fill Date]]=0),"Y","")</f>
        <v/>
      </c>
      <c r="DQ147" s="386" t="str">
        <f>IF(SnapshotTable[[#This Row],[LC Premium]] &gt; 0,SnapshotTable[[#This Row],[LC Exp Date]]-MAX(SnapshotTable[[#This Row],[LC Book Date]], SnapshotTable[[#This Row],[LC Fill Date]]),"")</f>
        <v/>
      </c>
      <c r="DR147" s="386" t="str">
        <f>IF(ISNUMBER(SnapshotTable[[#This Row],[LC Term]]), SnapshotTable[[#This Row],[LC Exp Date]] - MockToday, "")</f>
        <v/>
      </c>
      <c r="DS147" s="234" t="str">
        <f>IF(SnapshotTable[[#This Row],[LC Premium]]&gt;0,SnapshotTable[[#This Row],[LC Strike Price]] + SnapshotTable[[#This Row],[LC Book Price]],"")</f>
        <v/>
      </c>
      <c r="DU147" s="9" t="str">
        <f>IF(AND(SnapshotTable[[#This Row],[LC Symbol Count]]&gt;0, SnapshotTable[[#This Row],[LC Contract Value]]&gt;0), SnapshotTable[[#This Row],[LC Contract Value]] * SnapshotTable[[#This Row],[LC Qty]] * 100, "")</f>
        <v/>
      </c>
      <c r="DV147" s="9" t="str">
        <f>IF(AND(ISNUMBER(SnapshotTable[[#This Row],[LC Total Value]]), SnapshotTable[[#This Row],[LC Not Filled]]&lt;&gt;"Y"), SnapshotTable[[#This Row],[LC Total Value]]-SnapshotTable[[#This Row],[LC Premium]],"")</f>
        <v/>
      </c>
      <c r="DW147" s="240" t="str">
        <f>IF(ISNUMBER(SnapshotTable[[#This Row],[LC Actual Gain Loss]]), SnapshotTable[[#This Row],[LC Actual Gain Loss]] / SnapshotTable[[#This Row],[LC Premium]],"")</f>
        <v/>
      </c>
      <c r="DX147" s="284" t="str">
        <f>IF(ISNUMBER(SnapshotTable[[#This Row],[LC Book Price]]),SnapshotTable[[#This Row],[LC Book Price]] * 1.5,"")</f>
        <v/>
      </c>
      <c r="DY147" s="265" t="str">
        <f>IF(SnapshotTable[[#This Row],[LC Premium]]&gt;0, SnapshotTable[[#This Row],[LC Next Target]] * SnapshotTable[[#This Row],[LC Qty]] * 100,"")</f>
        <v/>
      </c>
      <c r="DZ147" s="265" t="str">
        <f>IF(ISNUMBER(SnapshotTable[[#This Row],[LC Target Gross]]), SnapshotTable[[#This Row],[LC Target Gross]] - SnapshotTable[[#This Row],[LC Premium]], "")</f>
        <v/>
      </c>
      <c r="EA147" s="305" t="str">
        <f>IF(ISNUMBER(SnapshotTable[[#This Row],[LC Target Gain Loss]]), SnapshotTable[[#This Row],[LC Target Gain Loss]]/SnapshotTable[[#This Row],[LC Premium]], "")</f>
        <v/>
      </c>
      <c r="EB147" s="262"/>
      <c r="EC147" s="290" t="str">
        <f>IF(SnapshotTable[[#This Row],[LC Premium]]&gt;0, SnapshotTable[[#This Row],[LC Book Price]] * (1 - LC_StopLoss_Pct),"")</f>
        <v/>
      </c>
      <c r="ED147" s="284"/>
      <c r="EE147" s="290" t="str">
        <f>IF(ISNUMBER(SnapshotTable[[#This Row],[LC Contract Value]]),IF(ISNUMBER(SnapshotTable[[#This Row],[LC Stop Loss Override]]), SnapshotTable[[#This Row],[LC Stop Loss Override]],SnapshotTable[[#This Row],[LC Stop Loss Calc Target]]),"")</f>
        <v/>
      </c>
      <c r="EF147" s="321" t="str">
        <f>IF(ISNUMBER(SnapshotTable[[#This Row],[LC Stop  To Use]]), (SnapshotTable[[#This Row],[LC Stop  To Use]] * SnapshotTable[[#This Row],[LC Qty]] * 100),"")</f>
        <v/>
      </c>
      <c r="EG147" s="9" t="str">
        <f>IF(ISNUMBER(SnapshotTable[[#This Row],[LC Total Value]]),SnapshotTable[[#This Row],[LC Stop Loss Amount]] - SnapshotTable[[#This Row],[LC Premium]],"")</f>
        <v/>
      </c>
      <c r="EH147" s="9">
        <f>IF(ISNUMBER(SnapshotTable[[#This Row],[LC Premium]]), SnapshotTable[[#This Row],[LC Qty]] * 100 * SnapshotTable[[#This Row],[LC Strike Price]], "")</f>
        <v>0</v>
      </c>
      <c r="EI147" s="240" t="str">
        <f>IF(AND(ISNUMBER(SnapshotTable[[#This Row],[LC Total Value]]),SnapshotTable[[#This Row],[LC Total Value]]&gt;0),SnapshotTable[[#This Row],[LC Stop Gain Loss]]  / SnapshotTable[[#This Row],[LC Premium]],"")</f>
        <v/>
      </c>
      <c r="EJ147" s="35">
        <f>IF(ISNUMBER(SnapshotTable[[#This Row],[Equity Shares]]),TRUNC(SnapshotTable[[#This Row],[Equity Shares]] / 100),0) + SnapshotTable[[#This Row],[LC Qty]]</f>
        <v>0</v>
      </c>
      <c r="EK147" s="147"/>
      <c r="EL147" s="138" t="str">
        <f>IF(SnapshotTable[[#This Row],[SC Exp Date]]&lt;&gt;"",TRUNC(SnapshotTable[[#This Row],[Last Price]]),"")</f>
        <v/>
      </c>
      <c r="EM147" s="148"/>
      <c r="EN147" s="147"/>
      <c r="EO147" s="147"/>
      <c r="EP147" s="138"/>
      <c r="EQ147" s="419" t="b">
        <f>AND(ISNUMBER(SnapshotTable[[#This Row],[SC Exp Date]]), ISNUMBER(SnapshotTable[[#This Row],[SC Strike Price]]), ISNUMBER(SnapshotTable[[#This Row],[SC Qty]]), ISNUMBER(SnapshotTable[[#This Row],[SC Book Date]]), ISNUMBER(SnapshotTable[[#This Row],[SC Book Price]]))</f>
        <v>0</v>
      </c>
      <c r="ER147" s="419" t="b">
        <f>AND(SnapshotTable[[#This Row],[SC Is Booked]], NOT(ISBLANK(SnapshotTable[[#This Row],[SC Fill Date]])))</f>
        <v>0</v>
      </c>
      <c r="ES147" s="370"/>
      <c r="ET147" s="34" t="str">
        <f>IF(AND(ISNUMBER(SnapshotTable[[#This Row],[SC Exp Date]]), ISNUMBER(SnapshotTable[[#This Row],[SC Book Date]])), SnapshotTable[[#This Row],[SC Exp Date]] - MAX(SnapshotTable[[#This Row],[SC Book Date]], SnapshotTable[[#This Row],[SC Fill Date]]) + 1, "")</f>
        <v/>
      </c>
      <c r="EU147" s="34" t="str">
        <f>IF(ISNUMBER(SnapshotTable[[#This Row],[SC Term]]), SnapshotTable[[#This Row],[SC Exp Date]]- MockToday, "")</f>
        <v/>
      </c>
      <c r="EV147" s="31">
        <f>IF(SnapshotTable[[#This Row],[SC Is Booked]], SnapshotTable[[#This Row],[SC Qty]] * SnapshotTable[[#This Row],[SC Book Price]] * 100, 0)</f>
        <v>0</v>
      </c>
      <c r="EW147" s="4" t="str">
        <f>IF(AND(ISNUMBER(SnapshotTable[[#This Row],[Last Price]]), ISNUMBER( SnapshotTable[[#This Row],[SC Book Price]])), SnapshotTable[[#This Row],[Last Price]] - SnapshotTable[[#This Row],[SC Book Price]],"")</f>
        <v/>
      </c>
      <c r="EX147" s="234" t="str">
        <f>IF(SnapshotTable[[#This Row],[SC Is Booked]],IF(SnapshotTable[[#This Row],[SC Intrinsic Value]] &gt; 0, SnapshotTable[[#This Row],[SC Strike Price]], SnapshotTable[[#This Row],[Last Price]]), "")</f>
        <v/>
      </c>
      <c r="EY147" s="4">
        <f>IF(SnapshotTable[[#This Row],[SC Is Booked]], (MinimumPremiumRequired * SnapshotTable[[#This Row],[SC Basis]] * SnapshotTable[[#This Row],[SC Term]]), 0)</f>
        <v>0</v>
      </c>
      <c r="EZ147" s="283"/>
      <c r="FA147" s="218"/>
      <c r="FB147" s="370"/>
      <c r="FC147" s="4">
        <f>IF(SnapshotTable[[#This Row],[SC Is Filled]], btc_max_buyback_amount(SnapshotTable[[#This Row],[SC Fill Date]],SnapshotTable[[#This Row],[SC Exp Date]], SnapshotTable[[#This Row],[SC Book Price]]),0)</f>
        <v>0</v>
      </c>
      <c r="FD147" s="5"/>
      <c r="FE147" s="144" t="str">
        <f>IF(SnapshotTable[[#This Row],[SC Is Filled]], btc_next_cutoff_date(SnapshotTable[[#This Row],[SC Fill Date]],SnapshotTable[[#This Row],[SC Exp Date]]),"")</f>
        <v/>
      </c>
      <c r="FF147" s="4" t="str" cm="1">
        <f t="array" ref="FF147">IF(SnapshotTable[[#This Row],[SC Is Filled]], btc_should_buy_back(SnapshotTable[[#This Row],[SC Fill Date]], SnapshotTable[[#This Row],[SC Exp Date]], SnapshotTable[[#This Row],[SC Book Price]], SnapshotTable[[#This Row],[SC Current Ask]], MockToday, SnapshotTable[[#This Row],[SC Buyback Override]]),"")</f>
        <v/>
      </c>
      <c r="FG147" s="4">
        <f>IF(SnapshotTable[[#This Row],[SC Is Filled]], MAX(0,SnapshotTable[[#This Row],[Last Price]]  - SnapshotTable[[#This Row],[SC Strike Price]]), 0)</f>
        <v>0</v>
      </c>
      <c r="FH147" s="382">
        <f>IF(SnapshotTable[[#This Row],[SC Is Filled]], IF(ISNUMBER(SnapshotTable[[#This Row],[SC Current Ask]]), SnapshotTable[[#This Row],[SC Current Ask]], SnapshotTable[[#This Row],[SC Book Price]]) - SnapshotTable[[#This Row],[SC Intrinsic Value]], 0)</f>
        <v>0</v>
      </c>
      <c r="FI147" s="143"/>
      <c r="FJ147" s="32" t="str">
        <f>IF(SnapshotTable[[#This Row],[SC Is Filled]],100 * SnapshotTable[[#This Row],[SC Qty]] * IF(ISNUMBER(SnapshotTable[[#This Row],[SC Buyback Override]]), SnapshotTable[[#This Row],[SC Buyback Override]], SnapshotTable[[#This Row],[SC Current Ask]]), "")</f>
        <v/>
      </c>
      <c r="FK147" s="250" t="str">
        <f>IF(SnapshotTable[[#This Row],[SC Time Val]]&gt;0, SnapshotTable[[#This Row],[SC Time Val]] / SnapshotTable[[#This Row],[Last Price]],"")</f>
        <v/>
      </c>
      <c r="FL147" s="302" t="str">
        <f>IF(SnapshotTable[[#This Row],[SC Is Booked]], ((SnapshotTable[[#This Row],[Last Price]] -SnapshotTable[[#This Row],[SC Strike Price]]) / SnapshotTable[[#This Row],[Last Price]]) * -1, "")</f>
        <v/>
      </c>
      <c r="FM147" s="157" t="str">
        <f>IF(SnapshotTable[[#This Row],[SC Is Booked]],  (SnapshotTable[[#This Row],[SC Qty]] * 100 * SnapshotTable[[#This Row],[SC Strike Price]]) - SnapshotTable[[#This Row],[SC Current Ask]], "")</f>
        <v/>
      </c>
      <c r="FN147"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7" s="157" t="str">
        <f>IF(AND(ISNUMBER(SnapshotTable[[#This Row],[SC Exercise Gross]]), ISNUMBER(SnapshotTable[[#This Row],[Equity Basis Per Share]] )), SnapshotTable[[#This Row],[SC Exercise Gross]] - SnapshotTable[[#This Row],[Equity Basis Total]] +  SnapshotTable[[#This Row],[SC Premium]], "")</f>
        <v/>
      </c>
      <c r="FP147" s="5" t="str">
        <f>IF(ISNUMBER(SnapshotTable[[#This Row],[SC Exercise Gross]]), (SnapshotTable[[#This Row],[SC Exercise Gross]]) / (SnapshotTable[[#This Row],[SC Qty]] * 100), "")</f>
        <v/>
      </c>
      <c r="FQ147" s="27" t="str">
        <f>IF(SnapshotTable[[#This Row],[SC Is Booked]],SnapshotTable[[#This Row],[SC Time Val]] /SnapshotTable[[#This Row],[SC Basis]], "")</f>
        <v/>
      </c>
      <c r="FR147" s="27" t="str" cm="1">
        <f t="array" ref="FR147">IF(AND(ISNUMBER(SnapshotTable[[#This Row],[SC Term]]),ISNUMBER(SnapshotTable[[#This Row],[SC Simple ROO]])), EllmanAnnualize(SnapshotTable[[#This Row],[SC DTE]], SnapshotTable[[#This Row],[SC Simple ROO]] ),"")</f>
        <v/>
      </c>
      <c r="FS147" s="4" t="e">
        <f>IF(SnapshotTable[[#This Row],[SC Strike Price]] &gt; SnapshotTable[[#This Row],[Last Price]], SnapshotTable[[#This Row],[SC Strike Price]] - SnapshotTable[[#This Row],[Last Price]],0)</f>
        <v>#VALUE!</v>
      </c>
      <c r="FT147" s="27" t="e">
        <f>IF(AND(ISNUMBER(SnapshotTable[[#This Row],[SC Upside Potential]]), SnapshotTable[[#This Row],[SC Upside Potential]] &gt; 0),(SnapshotTable[[#This Row],[SC Upside Potential]]/ SnapshotTable[[#This Row],[ACB]]),"")</f>
        <v>#VALUE!</v>
      </c>
      <c r="FU147" s="333" t="str">
        <f>IF(SnapshotTable[[#This Row],[SC Intrinsic Value]] &gt; 0,SnapshotTable[[#This Row],[SC Intrinsic Value]],"")</f>
        <v/>
      </c>
      <c r="FV147" s="27" t="str">
        <f>IF(AND( ISNUMBER( SnapshotTable[[#This Row],[ACB]]),ISNUMBER(SnapshotTable[[#This Row],[SC Downside Protect]])),SnapshotTable[[#This Row],[SC Downside Protect]] / SnapshotTable[[#This Row],[ACB]],"")</f>
        <v/>
      </c>
      <c r="FW147" s="236" t="str">
        <f>IF(AND(ISNUMBER(SnapshotTable[[#This Row],[SC Simple ROO]]),SnapshotTable[[#This Row],[SC Simple ROO]] &gt; 0), SnapshotTable[[#This Row],[SC Premium]] + (SnapshotTable[[#This Row],[SC Qty]] * SnapshotTable[[#This Row],[SC Upside Potential]]), "")</f>
        <v/>
      </c>
      <c r="FX147" s="302" t="str" cm="1">
        <f t="array" ref="FX147">IF(ISNUMBER(SnapshotTable[[#This Row],[SC Max Dollars]]), annualize(SnapshotTable[[#This Row],[SC Term]],(SnapshotTable[[#This Row],[SC Max Dollars]]/SnapshotTable[[#This Row],[SC Basis]])),"")</f>
        <v/>
      </c>
      <c r="FY147" s="236" t="str">
        <f>IF(AND(SnapshotTable[[#This Row],[SC Qty]]&gt;0,SnapshotTable[[#This Row],[SC Current Ask]]&gt;0), SnapshotTable[[#This Row],[SC Qty]] * SnapshotTable[[#This Row],[SC Current Ask]] * -100, "")</f>
        <v/>
      </c>
      <c r="FZ147" s="235" t="str">
        <f>IF(ISNUMBER((SnapshotTable[[#This Row],[SC Current Value]])), SnapshotTable[[#This Row],[SC Premium]] + SnapshotTable[[#This Row],[SC Current Value]], "")</f>
        <v/>
      </c>
      <c r="GA147" s="294" t="str">
        <f>IFERROR( IF(ISNUMBER((SnapshotTable[[#This Row],[SC Current Value]])), SnapshotTable[[#This Row],[SC Gain Loss]] / SnapshotTable[[#This Row],[SC Premium]], ""), "")</f>
        <v/>
      </c>
      <c r="GB147" s="42">
        <f>SnapshotTable[[#This Row],[Equity Shares]] * SaleSharesToConsiderPercentage</f>
        <v>0</v>
      </c>
      <c r="GC147" s="40">
        <f>SnapshotTable[[#This Row],[Long Term Target]] * SellingPriceToConsiderBasedOnTargetPercentage</f>
        <v>74.194999999999993</v>
      </c>
      <c r="GD147" s="40">
        <f>SnapshotTable[[#This Row],[Last Price]] * (1+ SellingPriceToConsiderBasedOnTargetPercentage)</f>
        <v>60.079499999999996</v>
      </c>
      <c r="GE147" s="41"/>
      <c r="GF147" s="40"/>
      <c r="GG147" s="31">
        <f>SnapshotTable[[#This Row],[Booked Sale Shares]] * SnapshotTable[[#This Row],[Booked Sale Price]]</f>
        <v>0</v>
      </c>
      <c r="GH147" s="31" t="str">
        <f>IF(SnapshotTable[[#This Row],[Equity Basis Total]] &gt; 0, SnapshotTable[[#This Row],[Equity Basis Per Share]] * SnapshotTable[[#This Row],[Booked Sale Shares]], "")</f>
        <v/>
      </c>
      <c r="GI147" s="31">
        <f>IF(SnapshotTable[[#This Row],[Sale Proceeds]]&gt;0, SnapshotTable[[#This Row],[Sale Proceeds]] - SnapshotTable[[#This Row],[Sale Basis]], 0)</f>
        <v>0</v>
      </c>
      <c r="GJ147" s="158" t="str">
        <f>IF(SnapshotTable[[#This Row],[Sale G/L]]&gt;0, SnapshotTable[[#This Row],[Sale G/L]] / SnapshotTable[[#This Row],[Sale Basis]], IF(ISNUMBER(SnapshotTable[[#This Row],[SC Exercise P&amp;L (TAX)]]), SnapshotTable[[#This Row],[SC Exercise P&amp;L (TAX)]] / SnapshotTable[[#This Row],[SC Basis]], ""))</f>
        <v/>
      </c>
      <c r="GK147" s="27"/>
      <c r="GL147" s="159" t="str">
        <f>IF(AND(SnapshotTable[[#This Row],[LP Exp Date]]&gt;0,SnapshotTable[[#This Row],[LP Strike Price]]&gt;0), [1]!ToOptionSymbol(SnapshotTable[[#This Row],[Symbol]], SnapshotTable[[#This Row],[LP Strike Price]],SnapshotTable[[#This Row],[LP Exp Date]],1), "")</f>
        <v/>
      </c>
      <c r="GM147" s="30" t="str">
        <f>IF(LEN(SnapshotTable[[#This Row],[LP Symbol]])&gt;0, 1, "")</f>
        <v/>
      </c>
      <c r="GN147" s="43" t="str">
        <f>IF(AND(SnapshotTable[[#This Row],[SP Exp Date]]&gt;0,SnapshotTable[[#This Row],[SP Strike Price]]&gt;0), [1]!ToOptionSymbol(SnapshotTable[[#This Row],[Symbol]], SnapshotTable[[#This Row],[SP Strike Price]],SnapshotTable[[#This Row],[SP Exp Date]],1), "")</f>
        <v/>
      </c>
      <c r="GO147" s="30" t="str">
        <f>IF(LEN(SnapshotTable[[#This Row],[SP Symbol]])&gt;0, 1, "")</f>
        <v/>
      </c>
      <c r="GP147" s="159" t="str">
        <f>IF(AND(SnapshotTable[[#This Row],[LC Exp Date]]&gt;0,SnapshotTable[[#This Row],[LC Strike Price]]&gt;0), [1]!ToOptionSymbol(SnapshotTable[[#This Row],[Symbol]], SnapshotTable[[#This Row],[LC Strike Price]],SnapshotTable[[#This Row],[LC Exp Date]],0), "")</f>
        <v/>
      </c>
      <c r="GQ147" s="160" t="str">
        <f>IF(LEN(SnapshotTable[[#This Row],[LC Symbol]])&gt;0, 1, "")</f>
        <v/>
      </c>
      <c r="GR147" s="159" t="str">
        <f>IF(AND(SnapshotTable[[#This Row],[SC Exp Date]]&gt;0,SnapshotTable[[#This Row],[SC Strike Price]]&gt;0), [1]!ToOptionSymbol(SnapshotTable[[#This Row],[Symbol]], SnapshotTable[[#This Row],[SC Strike Price]],SnapshotTable[[#This Row],[SC Exp Date]],0), "")</f>
        <v/>
      </c>
      <c r="GS147" s="160" t="str">
        <f>IF(LEN(SnapshotTable[[#This Row],[SC Symbol]])&gt;0, 1, "")</f>
        <v/>
      </c>
      <c r="GT147" s="161" t="str">
        <f>IF(COUNT(SnapshotTable[[#This Row],[LP Symbol Count]],SnapshotTable[[#This Row],[SP Symbol Count]],SnapshotTable[[#This Row],[LC Symbol Count]],SnapshotTable[[#This Row],[SC Symbol Count]])&gt;0, "Y", "")</f>
        <v/>
      </c>
      <c r="GU14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7" s="231" t="e">
        <f>MAX(SnapshotTable[[#This Row],[Equity Basis Total]],SnapshotTable[[#This Row],[Equity Value]]) + (SnapshotTable[[#This Row],[SP Potential Spend]]- SnapshotTable[[#This Row],[SP Premium]] + SnapshotTable[[#This Row],[LP Premium]])+ (SnapshotTable[[#This Row],[LC Premium]] - SnapshotTable[[#This Row],[SC Premium]])</f>
        <v>#VALUE!</v>
      </c>
      <c r="GW147" s="139" t="e">
        <f>IF(AND(SnapshotTable[[#This Row],[Exposure]] &lt;&gt; 0),SnapshotTable[[#This Row],[Exposure]] / SnapshotTable[[#Totals],[Exposure]], "")</f>
        <v>#VALUE!</v>
      </c>
      <c r="HE147" s="268"/>
      <c r="HF147" s="268"/>
      <c r="HK147" s="1"/>
      <c r="HL147" s="1"/>
      <c r="HM147" s="1"/>
      <c r="HN147" s="1"/>
      <c r="HO147" s="1"/>
      <c r="HP147" s="1"/>
    </row>
    <row r="148" spans="2:224" ht="12.75" hidden="1" customHeight="1" x14ac:dyDescent="0.25">
      <c r="B148" s="12" t="s">
        <v>1154</v>
      </c>
      <c r="C148" s="422">
        <v>32.090000000000003</v>
      </c>
      <c r="D148" s="208"/>
      <c r="E148" s="39">
        <f>SnapshotTable[[#This Row],[Last Price]]*(1 -CrashDiscount)</f>
        <v>27.276500000000002</v>
      </c>
      <c r="F148" s="26" t="s">
        <v>54</v>
      </c>
      <c r="G148" s="325" t="s">
        <v>41</v>
      </c>
      <c r="H148" s="149"/>
      <c r="I148" s="194"/>
      <c r="J148" s="195"/>
      <c r="K148" s="196"/>
      <c r="L148" s="326"/>
      <c r="M148" s="140"/>
      <c r="N148" s="140"/>
      <c r="O148" s="140"/>
      <c r="P148" s="22"/>
      <c r="Q148" s="25"/>
      <c r="R148" s="4" t="str">
        <f>IF(SnapshotTable[[#This Row],[Equity Basis Total]] &gt; 0, SnapshotTable[[#This Row],[Equity Basis Total]] / SnapshotTable[[#This Row],[Equity Shares]], "")</f>
        <v/>
      </c>
      <c r="S148" s="269">
        <f>SnapshotTable[[#This Row],[Last Price]] * SnapshotTable[[#This Row],[Equity Shares]]</f>
        <v>0</v>
      </c>
      <c r="T148" s="269">
        <f>SnapshotTable[[#This Row],[Equity Value]] - SnapshotTable[[#This Row],[Equity Basis Total]]</f>
        <v>0</v>
      </c>
      <c r="U148" s="270" t="str">
        <f>IF(SnapshotTable[[#This Row],[Equity Basis Total]] &gt; 0, SnapshotTable[[#This Row],[Equity G/L]] / SnapshotTable[[#This Row],[Equity Basis Total]], "")</f>
        <v/>
      </c>
      <c r="V148" s="268"/>
      <c r="W148" s="268"/>
      <c r="X148" s="4" t="str">
        <f>IF(AND(ISNUMBER(SnapshotTable[[#This Row],[Equity Basis Per Share]]),ISNUMBER(SnapshotTable[[#This Row],[Equity Target]])),SnapshotTable[[#This Row],[Equity Target]]-SnapshotTable[[#This Row],[Equity Basis Per Share]],"")</f>
        <v/>
      </c>
      <c r="Y148" s="4" t="str">
        <f>IF(AND(ISNUMBER(SnapshotTable[[#This Row],[Equity Basis Per Share]]),ISNUMBER(SnapshotTable[[#This Row],[Equity Stop Loss]])),SnapshotTable[[#This Row],[Equity Stop Loss]]-SnapshotTable[[#This Row],[Equity Basis Per Share]],"")</f>
        <v/>
      </c>
      <c r="Z148" s="275" t="str">
        <f>IFERROR( TEXT(SnapshotTable[[#This Row],[Equity Max Gain Per Share]] /ABS( SnapshotTable[[#This Row],[Equity Max Loss Per Share]]),"0.0 " ) &amp; " : 1", "")</f>
        <v/>
      </c>
      <c r="AA148" s="31" t="str">
        <f>IF(ISNUMBER(SnapshotTable[[#This Row],[Equity Max Gain Per Share]]),SnapshotTable[[#This Row],[Equity Max Gain Per Share]] * SnapshotTable[[#This Row],[Equity Shares]],"")</f>
        <v/>
      </c>
      <c r="AB148" s="31" t="str">
        <f>IF(ISNUMBER(SnapshotTable[[#This Row],[Equity Max Loss Per Share]]),SnapshotTable[[#This Row],[Equity Max Loss Per Share]] * SnapshotTable[[#This Row],[Equity Shares]],"")</f>
        <v/>
      </c>
      <c r="AC148" s="150"/>
      <c r="AD148" s="151"/>
      <c r="AE148" s="31">
        <f>(SnapshotTable[[#This Row],[Annual Dividend Per Share]] / 4) * SnapshotTable[[#This Row],[Equity Shares]]</f>
        <v>0</v>
      </c>
      <c r="AF148" s="31">
        <f>SnapshotTable[[#This Row],[Quarterly Div $]] * 4</f>
        <v>0</v>
      </c>
      <c r="AG148" s="7">
        <f>IF(SnapshotTable[[#This Row],[Annual Dividend Per Share]]&gt;0, SnapshotTable[[#This Row],[Annual Dividend Per Share]]  / SnapshotTable[[#This Row],[Last Price]], 0)</f>
        <v>0</v>
      </c>
      <c r="AH148" s="151"/>
      <c r="AI148" s="5"/>
      <c r="AJ148" s="138"/>
      <c r="AK148" s="152" t="str">
        <f>IF(ISNUMBER( SnapshotTable[[#This Row],[EBF Target]]),(SnapshotTable[[#This Row],[EBF Target]] - SnapshotTable[[#This Row],[Last Price]]) / SnapshotTable[[#This Row],[Last Price]], "")</f>
        <v/>
      </c>
      <c r="AL148" s="152" t="str">
        <f>IF(AND(SnapshotTable[[#This Row],[Equity Basis Total]] &gt; 0,ISNUMBER( SnapshotTable[[#This Row],[Long Term Target]])), SnapshotTable[[#This Row],[From Basis $]] / SnapshotTable[[#This Row],[Equity Basis Total]], "")</f>
        <v/>
      </c>
      <c r="AM148" s="9">
        <f>IF( AND(SnapshotTable[[#This Row],[Equity Shares]] &gt;0,ISNUMBER( SnapshotTable[[#This Row],[Long Term Target]])),(SnapshotTable[[#This Row],[Equity Shares]] * SnapshotTable[[#This Row],[Long Term Target]]) - SnapshotTable[[#This Row],[Equity Basis Total]],0)</f>
        <v>0</v>
      </c>
      <c r="AN148" s="9">
        <f>IF( AND(SnapshotTable[[#This Row],[Equity Shares]] &gt;0,ISNUMBER( SnapshotTable[[#This Row],[Long Term Target]])),(SnapshotTable[[#This Row],[Equity Shares]]*SnapshotTable[[#This Row],[Long Term Target]]) - SnapshotTable[[#This Row],[Equity Value]],0)</f>
        <v>0</v>
      </c>
      <c r="AO148" s="152" t="str">
        <f>IF(AND(ISNUMBER( SnapshotTable[[#This Row],[Long Term Target]]), ISNUMBER(SnapshotTable[[#This Row],[Last Price]])),(SnapshotTable[[#This Row],[Long Term Target]] - SnapshotTable[[#This Row],[Last Price]]) / SnapshotTable[[#This Row],[Last Price]], "")</f>
        <v/>
      </c>
      <c r="AP148" s="5"/>
      <c r="AQ148" s="38"/>
      <c r="AR148" s="5"/>
      <c r="AS148" s="38"/>
      <c r="AT148" s="146"/>
      <c r="AU148" s="187" t="str">
        <f>IF(OR(SnapshotTable[[#This Row],[LP No Fill]]="Y",SnapshotTable[[#This Row],[SP Is Filled]],SnapshotTable[[#This Row],[LC Not Filled]]="Y",SnapshotTable[[#This Row],[SC Is Filled]]),"Y","")</f>
        <v/>
      </c>
      <c r="AV148" s="219"/>
      <c r="AW148" s="225"/>
      <c r="AX148" s="220"/>
      <c r="AY148" s="219" t="str">
        <f>IF(SnapshotTable[[#This Row],[Implied Move]]&gt;0, SnapshotTable[[#This Row],[Last Price]]-SnapshotTable[[#This Row],[Implied Move]],"")</f>
        <v/>
      </c>
      <c r="AZ148" s="219" t="str">
        <f>IF(SnapshotTable[[#This Row],[Implied Move]]&gt;0, SnapshotTable[[#This Row],[Last Price]] + SnapshotTable[[#This Row],[Implied Move]],"")</f>
        <v/>
      </c>
      <c r="BA148" s="331">
        <v>12.37</v>
      </c>
      <c r="BB148" s="347"/>
      <c r="BC14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8" s="351"/>
      <c r="BE148" s="5"/>
      <c r="BF148" s="14"/>
      <c r="BG148" s="13"/>
      <c r="BH148" s="13"/>
      <c r="BI148" s="5"/>
      <c r="BJ148" s="136">
        <f>IF(SnapshotTable[[#This Row],[LP Qty]] &gt; 0, SnapshotTable[[#This Row],[LP Qty]] * SnapshotTable[[#This Row],[LP Book Price]] * 100,0)</f>
        <v>0</v>
      </c>
      <c r="BK148" s="136">
        <f>IF(SnapshotTable[[#This Row],[LP Premium]] &gt; 0, SnapshotTable[[#This Row],[LP Qty]] * SnapshotTable[[#This Row],[LP Strike Price]] * 100,0)</f>
        <v>0</v>
      </c>
      <c r="BL148" s="154"/>
      <c r="BM148" s="385" t="str">
        <f>IF(SnapshotTable[[#This Row],[LP Premium]] &gt; 0,SnapshotTable[[#This Row],[LP Exp Date]]-MAX(SnapshotTable[[#This Row],[LP Book Date]], SnapshotTable[[#This Row],[LP Fill Date]]),"")</f>
        <v/>
      </c>
      <c r="BN148" s="385" t="str">
        <f>IF(ISNUMBER( SnapshotTable[[#This Row],[LP Term]]), SnapshotTable[[#This Row],[LP Exp Date]] - MockToday,"")</f>
        <v/>
      </c>
      <c r="BO148" s="163" t="str">
        <f>IF(AND(SnapshotTable[[#This Row],[LP Exp Date]]&gt;0, SnapshotTable[[#This Row],[LP Strike Price]]&gt;0,SnapshotTable[[#This Row],[LP Qty]]&gt;0,SnapshotTable[[#This Row],[LP Book Date]]&gt;0,SnapshotTable[[#This Row],[LP Book Price]]&gt;0,SnapshotTable[[#This Row],[LP Fill Date]]=0),"Y","")</f>
        <v/>
      </c>
      <c r="BP148" s="31" t="str">
        <f>IF(AND(SnapshotTable[[#This Row],[LP No Fill]]&lt;&gt;"Y",SnapshotTable[[#This Row],[LP Contract Value]]&gt;0, SnapshotTable[[#This Row],[LP Qty]]&gt;0), SnapshotTable[[#This Row],[LP Contract Value]]*SnapshotTable[[#This Row],[LP Qty]]*100,"")</f>
        <v/>
      </c>
      <c r="BQ148" s="13"/>
      <c r="BR148" s="5" t="str">
        <f>IF(SnapshotTable[[#This Row],[SP Exp Date]]&lt;&gt;"",TRUNC(SnapshotTable[[#This Row],[Last Price]]),"")</f>
        <v/>
      </c>
      <c r="BS148" s="36"/>
      <c r="BT148" s="147"/>
      <c r="BU148" s="13"/>
      <c r="BV148" s="5"/>
      <c r="BW148" s="419" t="b">
        <f>AND(ISNUMBER(SnapshotTable[[#This Row],[SP Exp Date]]), ISNUMBER(SnapshotTable[[#This Row],[SP Strike Price]]), ISNUMBER(SnapshotTable[[#This Row],[SP Qty]]), ISNUMBER(SnapshotTable[[#This Row],[SP Book Date]]), ISNUMBER(SnapshotTable[[#This Row],[SP Book Price]]))</f>
        <v>0</v>
      </c>
      <c r="BX148" s="419" t="b">
        <f>AND(SnapshotTable[[#This Row],[SP Is Booked]], NOT(ISBLANK(SnapshotTable[[#This Row],[SP Fill Date]])))</f>
        <v>0</v>
      </c>
      <c r="BY148" s="33">
        <f>IF(SnapshotTable[[#This Row],[SP Is Booked]], SnapshotTable[[#This Row],[SP Qty]] * SnapshotTable[[#This Row],[SP Book Price]] * 100, 0)</f>
        <v>0</v>
      </c>
      <c r="BZ148" s="369"/>
      <c r="CA148" s="368">
        <f>SnapshotTable[[#This Row],[LP Qty]]</f>
        <v>0</v>
      </c>
      <c r="CB148" s="4" t="str">
        <f>IF(SnapshotTable[[#This Row],[SP Is Booked]], SnapshotTable[[#This Row],[SP Strike Price]] - SnapshotTable[[#This Row],[SP Book Price]], "")</f>
        <v/>
      </c>
      <c r="CC148" s="19" t="str">
        <f>IF(SnapshotTable[[#This Row],[SP Is Booked]],SnapshotTable[[#This Row],[SP Exp Date]]-MAX(SnapshotTable[[#This Row],[SP Book Date]], SnapshotTable[[#This Row],[SP Fill Date]]),"")</f>
        <v/>
      </c>
      <c r="CD148" s="7" t="str">
        <f>IF(SnapshotTable[[#This Row],[SP Is Booked]], SnapshotTable[[#This Row],[SP Book Price]]/SnapshotTable[[#This Row],[SP Strike Price]], "")</f>
        <v/>
      </c>
      <c r="CE148" s="7" t="str">
        <f>IF(ISNUMBER(SnapshotTable[[#This Row],[SP ROO Term]]),SnapshotTable[[#This Row],[SP ROO Term]]*(365/SnapshotTable[[#This Row],[SP Term]]),"")</f>
        <v/>
      </c>
      <c r="CF148" s="236">
        <f>SnapshotTable[[#This Row],[LP Strike Price]] * SnapshotTable[[#This Row],[LP Qty]] * 100</f>
        <v>0</v>
      </c>
      <c r="CG148" s="31" t="e">
        <f>IF(ISNUMBER(SnapshotTable[[#This Row],[SP Premium]]), (SnapshotTable[[#This Row],[SP Qty]] * SnapshotTable[[#This Row],[SP Strike Price]]* 100) - SnapshotTable[[#This Row],[LP Protection]], 0)</f>
        <v>#VALUE!</v>
      </c>
      <c r="CH148" s="7" t="str">
        <f>IF(ISNUMBER(SnapshotTable[[#This Row],[SP Break Even]]),-1 * (SnapshotTable[[#This Row],[SP Break Even]] - SnapshotTable[[#This Row],[Last Price]]) / SnapshotTable[[#This Row],[Last Price]], "")</f>
        <v/>
      </c>
      <c r="CI148" s="31">
        <f>IF(AND(ISNUMBER((SnapshotTable[[#This Row],[SP Potential Spend]])), SnapshotTable[[#This Row],[SP Strike Price]] &gt; SnapshotTable[[#This Row],[Last Price]], SnapshotTable[[#This Row],[SP Is Filled]]), SnapshotTable[[#This Row],[SP Potential Spend]] -  SnapshotTable[[#This Row],[LP Max Value]], 0)</f>
        <v>0</v>
      </c>
      <c r="CJ148" s="244"/>
      <c r="CK148" s="31" t="str">
        <f>IF(ISNUMBER(SnapshotTable[[#This Row],[SP Potential Spend]]),IF(ISNUMBER(SnapshotTable[[#This Row],[SP POW]]), SnapshotTable[[#This Row],[SP POW]] * SnapshotTable[[#This Row],[SP Potential Spend]], SnapshotTable[[#This Row],[SP Potential Spend]]), "")</f>
        <v/>
      </c>
      <c r="CL148" s="164" t="e">
        <f>IF(NOT(SnapshotTable[[#This Row],[SP Is Filled]]),(SnapshotTable[[#This Row],[SP Qty]] * SnapshotTable[[#This Row],[SP Strike Price]] * 100) - SnapshotTable[[#This Row],[LP Max Value]],"")</f>
        <v>#VALUE!</v>
      </c>
      <c r="CM148" s="31" t="str">
        <f>IF(SnapshotTable[[#This Row],[SP Actual Spend]]&lt;&gt;0, ((SnapshotTable[[#This Row],[SP Strike Price]]-SnapshotTable[[#This Row],[Last Price]]) *(SnapshotTable[[#This Row],[SP Qty]]*100) - SnapshotTable[[#This Row],[SP Premium]]) * - 1, "")</f>
        <v/>
      </c>
      <c r="CN148" s="78"/>
      <c r="CO148" s="369"/>
      <c r="CP148" s="4" t="str">
        <f>IF(SnapshotTable[[#This Row],[SP Is Filled]], btc_max_buyback_amount(SnapshotTable[[#This Row],[SP Fill Date]],SnapshotTable[[#This Row],[SP Exp Date]], SnapshotTable[[#This Row],[SP Book Price]]),"")</f>
        <v/>
      </c>
      <c r="CQ148" s="78"/>
      <c r="CR14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8" s="155" t="str">
        <f>IF(SnapshotTable[[#This Row],[SP Is Filled]], btc_next_cutoff_date(SnapshotTable[[#This Row],[SP Fill Date]],SnapshotTable[[#This Row],[SP Exp Date]]),"")</f>
        <v/>
      </c>
      <c r="CT148" s="235" t="str" cm="1">
        <f t="array" ref="CT148">IF(SnapshotTable[[#This Row],[SP Is Filled]], btc_should_buy_back(SnapshotTable[[#This Row],[SP Fill Date]], SnapshotTable[[#This Row],[SP Exp Date]], SnapshotTable[[#This Row],[SP Book Price]], SnapshotTable[[#This Row],[SP Current Ask]], MockToday, SnapshotTable[[#This Row],[SP Buyback Override]]),"")</f>
        <v/>
      </c>
      <c r="CU148" s="156"/>
      <c r="CV148" s="235"/>
      <c r="CW148" s="378" t="str">
        <f>IF(ISNUMBER( SnapshotTable[[#This Row],[SP Term]]), SnapshotTable[[#This Row],[SP Exp Date]] - MockToday,"")</f>
        <v/>
      </c>
      <c r="CX148" s="31" t="str">
        <f>IF(SnapshotTable[[#This Row],[SP Is Filled]],SnapshotTable[[#This Row],[SP Buyback Price to Use]] * 100 * SnapshotTable[[#This Row],[SP Qty]], "")</f>
        <v/>
      </c>
      <c r="CY148" s="4" t="str">
        <f>IF(ISNUMBER(SnapshotTable[[#This Row],[SP Strike Price]]), SnapshotTable[[#This Row],[SP Strike Price]] * (1 - SP_MaxLoss_StrikePct), "")</f>
        <v/>
      </c>
      <c r="CZ148" s="31" t="str">
        <f>IF(ISNUMBER(SnapshotTable[[#This Row],[SP Strike  Stop Per Share]]),SnapshotTable[[#This Row],[SP Premium]] - ((SnapshotTable[[#This Row],[SP Strike Price]]-SnapshotTable[[#This Row],[SP Strike  Stop Per Share]]) *(SnapshotTable[[#This Row],[SP Qty]] * 100)),"")</f>
        <v/>
      </c>
      <c r="DA148" s="4" t="str">
        <f>IF(AND(ISNUMBER(SnapshotTable[[#This Row],[SP Premium]]),SnapshotTable[[#This Row],[SP Premium]]&gt;0), SnapshotTable[[#This Row],[SP Book Price]] * (1 + SP_MaxLoss_OptionPct), "")</f>
        <v/>
      </c>
      <c r="DB148" s="31" t="str">
        <f>IF(ISNUMBER(SnapshotTable[[#This Row],[SP Option  Stop Contract]]),(SnapshotTable[[#This Row],[SP Option  Stop Contract]] *(SnapshotTable[[#This Row],[SP Qty]] * 100) - SnapshotTable[[#This Row],[SP Premium]]),"")</f>
        <v/>
      </c>
      <c r="DC148" s="4"/>
      <c r="DD148" s="4"/>
      <c r="DE148" s="4" t="str">
        <f>IF(AND(SnapshotTable[[#This Row],[SP Qty]]&gt;0, SnapshotTable[[#This Row],[SP Stop To Use]]&gt;0),SnapshotTable[[#This Row],[SP Premium]] - ( SnapshotTable[[#This Row],[SP Qty]] * SnapshotTable[[#This Row],[SP Stop To Use]] * 100), "")</f>
        <v/>
      </c>
      <c r="DF148" s="31" t="str">
        <f>IF(AND(SnapshotTable[[#This Row],[SP Qty]]&gt;0,SnapshotTable[[#This Row],[SP Current Ask]]&gt;0), SnapshotTable[[#This Row],[SP Qty]] * SnapshotTable[[#This Row],[SP Current Ask]] * -100, "")</f>
        <v/>
      </c>
      <c r="DG148" s="31" t="str">
        <f>IF(ISNUMBER((SnapshotTable[[#This Row],[SP Total Value]])), SnapshotTable[[#This Row],[SP Premium]] + SnapshotTable[[#This Row],[SP Total Value]], "")</f>
        <v/>
      </c>
      <c r="DH148" s="294" t="str">
        <f>IF(ISNUMBER((SnapshotTable[[#This Row],[SP Total Value]])), SnapshotTable[[#This Row],[SP Gain Loss]] / SnapshotTable[[#This Row],[SP Premium]], "")</f>
        <v/>
      </c>
      <c r="DI148" s="406"/>
      <c r="DJ148" s="138"/>
      <c r="DK148" s="148"/>
      <c r="DL148" s="13"/>
      <c r="DM148" s="13"/>
      <c r="DO148" s="31">
        <f>IF(SnapshotTable[[#This Row],[LC Symbol Count]]=1, SnapshotTable[[#This Row],[LC Qty]] * SnapshotTable[[#This Row],[LC Book Price]] * 100, 0)</f>
        <v>0</v>
      </c>
      <c r="DP148" s="163" t="str">
        <f>IF(AND(SnapshotTable[[#This Row],[LC Exp Date]]&gt;0, SnapshotTable[[#This Row],[LC Strike Price]]&gt;0,SnapshotTable[[#This Row],[LC Qty]]&gt;0,SnapshotTable[[#This Row],[LC Book Date]]&gt;0,SnapshotTable[[#This Row],[LC Book Price]]&gt;0,SnapshotTable[[#This Row],[LC Fill Date]]=0),"Y","")</f>
        <v/>
      </c>
      <c r="DQ148" s="386" t="str">
        <f>IF(SnapshotTable[[#This Row],[LC Premium]] &gt; 0,SnapshotTable[[#This Row],[LC Exp Date]]-MAX(SnapshotTable[[#This Row],[LC Book Date]], SnapshotTable[[#This Row],[LC Fill Date]]),"")</f>
        <v/>
      </c>
      <c r="DR148" s="386" t="str">
        <f>IF(ISNUMBER(SnapshotTable[[#This Row],[LC Term]]), SnapshotTable[[#This Row],[LC Exp Date]] - MockToday, "")</f>
        <v/>
      </c>
      <c r="DS148" s="234" t="str">
        <f>IF(SnapshotTable[[#This Row],[LC Premium]]&gt;0,SnapshotTable[[#This Row],[LC Strike Price]] + SnapshotTable[[#This Row],[LC Book Price]],"")</f>
        <v/>
      </c>
      <c r="DU148" s="9" t="str">
        <f>IF(AND(SnapshotTable[[#This Row],[LC Symbol Count]]&gt;0, SnapshotTable[[#This Row],[LC Contract Value]]&gt;0), SnapshotTable[[#This Row],[LC Contract Value]] * SnapshotTable[[#This Row],[LC Qty]] * 100, "")</f>
        <v/>
      </c>
      <c r="DV148" s="9" t="str">
        <f>IF(AND(ISNUMBER(SnapshotTable[[#This Row],[LC Total Value]]), SnapshotTable[[#This Row],[LC Not Filled]]&lt;&gt;"Y"), SnapshotTable[[#This Row],[LC Total Value]]-SnapshotTable[[#This Row],[LC Premium]],"")</f>
        <v/>
      </c>
      <c r="DW148" s="240" t="str">
        <f>IF(ISNUMBER(SnapshotTable[[#This Row],[LC Actual Gain Loss]]), SnapshotTable[[#This Row],[LC Actual Gain Loss]] / SnapshotTable[[#This Row],[LC Premium]],"")</f>
        <v/>
      </c>
      <c r="DX148" s="284" t="str">
        <f>IF(ISNUMBER(SnapshotTable[[#This Row],[LC Book Price]]),SnapshotTable[[#This Row],[LC Book Price]] * 1.5,"")</f>
        <v/>
      </c>
      <c r="DY148" s="265" t="str">
        <f>IF(SnapshotTable[[#This Row],[LC Premium]]&gt;0, SnapshotTable[[#This Row],[LC Next Target]] * SnapshotTable[[#This Row],[LC Qty]] * 100,"")</f>
        <v/>
      </c>
      <c r="DZ148" s="265" t="str">
        <f>IF(ISNUMBER(SnapshotTable[[#This Row],[LC Target Gross]]), SnapshotTable[[#This Row],[LC Target Gross]] - SnapshotTable[[#This Row],[LC Premium]], "")</f>
        <v/>
      </c>
      <c r="EA148" s="305" t="str">
        <f>IF(ISNUMBER(SnapshotTable[[#This Row],[LC Target Gain Loss]]), SnapshotTable[[#This Row],[LC Target Gain Loss]]/SnapshotTable[[#This Row],[LC Premium]], "")</f>
        <v/>
      </c>
      <c r="EB148" s="262"/>
      <c r="EC148" s="283" t="str">
        <f>IF(SnapshotTable[[#This Row],[LC Premium]]&gt;0, SnapshotTable[[#This Row],[LC Book Price]] * (1 - LC_StopLoss_Pct),"")</f>
        <v/>
      </c>
      <c r="ED148" s="284"/>
      <c r="EE148" s="283" t="str">
        <f>IF(ISNUMBER(SnapshotTable[[#This Row],[LC Contract Value]]),IF(ISNUMBER(SnapshotTable[[#This Row],[LC Stop Loss Override]]), SnapshotTable[[#This Row],[LC Stop Loss Override]],SnapshotTable[[#This Row],[LC Stop Loss Calc Target]]),"")</f>
        <v/>
      </c>
      <c r="EF148" s="31" t="str">
        <f>IF(ISNUMBER(SnapshotTable[[#This Row],[LC Stop  To Use]]), (SnapshotTable[[#This Row],[LC Stop  To Use]] * SnapshotTable[[#This Row],[LC Qty]] * 100),"")</f>
        <v/>
      </c>
      <c r="EG148" s="9" t="str">
        <f>IF(ISNUMBER(SnapshotTable[[#This Row],[LC Total Value]]),SnapshotTable[[#This Row],[LC Stop Loss Amount]] - SnapshotTable[[#This Row],[LC Premium]],"")</f>
        <v/>
      </c>
      <c r="EH148" s="9">
        <f>IF(ISNUMBER(SnapshotTable[[#This Row],[LC Premium]]), SnapshotTable[[#This Row],[LC Qty]] * 100 * SnapshotTable[[#This Row],[LC Strike Price]], "")</f>
        <v>0</v>
      </c>
      <c r="EI148" s="240" t="str">
        <f>IF(AND(ISNUMBER(SnapshotTable[[#This Row],[LC Total Value]]),SnapshotTable[[#This Row],[LC Total Value]]&gt;0),SnapshotTable[[#This Row],[LC Stop Gain Loss]]  / SnapshotTable[[#This Row],[LC Premium]],"")</f>
        <v/>
      </c>
      <c r="EJ148" s="35">
        <f>IF(ISNUMBER(SnapshotTable[[#This Row],[Equity Shares]]),TRUNC(SnapshotTable[[#This Row],[Equity Shares]] / 100),0) + SnapshotTable[[#This Row],[LC Qty]]</f>
        <v>0</v>
      </c>
      <c r="EK148" s="147"/>
      <c r="EL148" s="138" t="str">
        <f>IF(SnapshotTable[[#This Row],[SC Exp Date]]&lt;&gt;"",TRUNC(SnapshotTable[[#This Row],[Last Price]]),"")</f>
        <v/>
      </c>
      <c r="EM148" s="148"/>
      <c r="EN148" s="147"/>
      <c r="EO148" s="147"/>
      <c r="EP148" s="138"/>
      <c r="EQ148" s="419" t="b">
        <f>AND(ISNUMBER(SnapshotTable[[#This Row],[SC Exp Date]]), ISNUMBER(SnapshotTable[[#This Row],[SC Strike Price]]), ISNUMBER(SnapshotTable[[#This Row],[SC Qty]]), ISNUMBER(SnapshotTable[[#This Row],[SC Book Date]]), ISNUMBER(SnapshotTable[[#This Row],[SC Book Price]]))</f>
        <v>0</v>
      </c>
      <c r="ER148" s="419" t="b">
        <f>AND(SnapshotTable[[#This Row],[SC Is Booked]], NOT(ISBLANK(SnapshotTable[[#This Row],[SC Fill Date]])))</f>
        <v>0</v>
      </c>
      <c r="ES148" s="370"/>
      <c r="ET148" s="34" t="str">
        <f>IF(AND(ISNUMBER(SnapshotTable[[#This Row],[SC Exp Date]]), ISNUMBER(SnapshotTable[[#This Row],[SC Book Date]])), SnapshotTable[[#This Row],[SC Exp Date]] - MAX(SnapshotTable[[#This Row],[SC Book Date]], SnapshotTable[[#This Row],[SC Fill Date]]) + 1, "")</f>
        <v/>
      </c>
      <c r="EU148" s="34" t="str">
        <f>IF(ISNUMBER(SnapshotTable[[#This Row],[SC Term]]), SnapshotTable[[#This Row],[SC Exp Date]]- MockToday, "")</f>
        <v/>
      </c>
      <c r="EV148" s="31">
        <f>IF(SnapshotTable[[#This Row],[SC Is Booked]], SnapshotTable[[#This Row],[SC Qty]] * SnapshotTable[[#This Row],[SC Book Price]] * 100, 0)</f>
        <v>0</v>
      </c>
      <c r="EW148" s="4" t="str">
        <f>IF(AND(ISNUMBER(SnapshotTable[[#This Row],[Last Price]]), ISNUMBER( SnapshotTable[[#This Row],[SC Book Price]])), SnapshotTable[[#This Row],[Last Price]] - SnapshotTable[[#This Row],[SC Book Price]],"")</f>
        <v/>
      </c>
      <c r="EX148" s="234" t="str">
        <f>IF(SnapshotTable[[#This Row],[SC Is Booked]],IF(SnapshotTable[[#This Row],[SC Intrinsic Value]] &gt; 0, SnapshotTable[[#This Row],[SC Strike Price]], SnapshotTable[[#This Row],[Last Price]]), "")</f>
        <v/>
      </c>
      <c r="EY148" s="4">
        <f>IF(SnapshotTable[[#This Row],[SC Is Booked]], (MinimumPremiumRequired * SnapshotTable[[#This Row],[SC Basis]] * SnapshotTable[[#This Row],[SC Term]]), 0)</f>
        <v>0</v>
      </c>
      <c r="EZ148" s="283"/>
      <c r="FA148" s="218"/>
      <c r="FB148" s="370"/>
      <c r="FC148" s="4">
        <f>IF(SnapshotTable[[#This Row],[SC Is Filled]], btc_max_buyback_amount(SnapshotTable[[#This Row],[SC Fill Date]],SnapshotTable[[#This Row],[SC Exp Date]], SnapshotTable[[#This Row],[SC Book Price]]),0)</f>
        <v>0</v>
      </c>
      <c r="FD148" s="5"/>
      <c r="FE148" s="144" t="str">
        <f>IF(SnapshotTable[[#This Row],[SC Is Filled]], btc_next_cutoff_date(SnapshotTable[[#This Row],[SC Fill Date]],SnapshotTable[[#This Row],[SC Exp Date]]),"")</f>
        <v/>
      </c>
      <c r="FF148" s="4" t="str" cm="1">
        <f t="array" ref="FF148">IF(SnapshotTable[[#This Row],[SC Is Filled]], btc_should_buy_back(SnapshotTable[[#This Row],[SC Fill Date]], SnapshotTable[[#This Row],[SC Exp Date]], SnapshotTable[[#This Row],[SC Book Price]], SnapshotTable[[#This Row],[SC Current Ask]], MockToday, SnapshotTable[[#This Row],[SC Buyback Override]]),"")</f>
        <v/>
      </c>
      <c r="FG148" s="4">
        <f>IF(SnapshotTable[[#This Row],[SC Is Filled]], MAX(0,SnapshotTable[[#This Row],[Last Price]]  - SnapshotTable[[#This Row],[SC Strike Price]]), 0)</f>
        <v>0</v>
      </c>
      <c r="FH148" s="382">
        <f>IF(SnapshotTable[[#This Row],[SC Is Filled]], IF(ISNUMBER(SnapshotTable[[#This Row],[SC Current Ask]]), SnapshotTable[[#This Row],[SC Current Ask]], SnapshotTable[[#This Row],[SC Book Price]]) - SnapshotTable[[#This Row],[SC Intrinsic Value]], 0)</f>
        <v>0</v>
      </c>
      <c r="FI148" s="143"/>
      <c r="FJ148" s="32" t="str">
        <f>IF(SnapshotTable[[#This Row],[SC Is Filled]],100 * SnapshotTable[[#This Row],[SC Qty]] * IF(ISNUMBER(SnapshotTable[[#This Row],[SC Buyback Override]]), SnapshotTable[[#This Row],[SC Buyback Override]], SnapshotTable[[#This Row],[SC Current Ask]]), "")</f>
        <v/>
      </c>
      <c r="FK148" s="250" t="str">
        <f>IF(SnapshotTable[[#This Row],[SC Time Val]]&gt;0, SnapshotTable[[#This Row],[SC Time Val]] / SnapshotTable[[#This Row],[Last Price]],"")</f>
        <v/>
      </c>
      <c r="FL148" s="302" t="str">
        <f>IF(SnapshotTable[[#This Row],[SC Is Booked]], ((SnapshotTable[[#This Row],[Last Price]] -SnapshotTable[[#This Row],[SC Strike Price]]) / SnapshotTable[[#This Row],[Last Price]]) * -1, "")</f>
        <v/>
      </c>
      <c r="FM148" s="157" t="str">
        <f>IF(SnapshotTable[[#This Row],[SC Is Booked]],  (SnapshotTable[[#This Row],[SC Qty]] * 100 * SnapshotTable[[#This Row],[SC Strike Price]]) - SnapshotTable[[#This Row],[SC Current Ask]], "")</f>
        <v/>
      </c>
      <c r="FN14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8" s="31" t="str">
        <f>IF(AND(ISNUMBER(SnapshotTable[[#This Row],[SC Exercise Gross]]), ISNUMBER(SnapshotTable[[#This Row],[Equity Basis Per Share]] )), SnapshotTable[[#This Row],[SC Exercise Gross]] - SnapshotTable[[#This Row],[Equity Basis Total]] +  SnapshotTable[[#This Row],[SC Premium]], "")</f>
        <v/>
      </c>
      <c r="FP148" s="5" t="str">
        <f>IF(ISNUMBER(SnapshotTable[[#This Row],[SC Exercise Gross]]), (SnapshotTable[[#This Row],[SC Exercise Gross]]) / (SnapshotTable[[#This Row],[SC Qty]] * 100), "")</f>
        <v/>
      </c>
      <c r="FQ148" s="27" t="str">
        <f>IF(SnapshotTable[[#This Row],[SC Is Booked]],SnapshotTable[[#This Row],[SC Time Val]] /SnapshotTable[[#This Row],[SC Basis]], "")</f>
        <v/>
      </c>
      <c r="FR148" s="27" t="str" cm="1">
        <f t="array" ref="FR148">IF(AND(ISNUMBER(SnapshotTable[[#This Row],[SC Term]]),ISNUMBER(SnapshotTable[[#This Row],[SC Simple ROO]])), EllmanAnnualize(SnapshotTable[[#This Row],[SC DTE]], SnapshotTable[[#This Row],[SC Simple ROO]] ),"")</f>
        <v/>
      </c>
      <c r="FS148" s="4" t="e">
        <f>IF(SnapshotTable[[#This Row],[SC Strike Price]] &gt; SnapshotTable[[#This Row],[Last Price]], SnapshotTable[[#This Row],[SC Strike Price]] - SnapshotTable[[#This Row],[Last Price]],0)</f>
        <v>#VALUE!</v>
      </c>
      <c r="FT148" s="27" t="e">
        <f>IF(AND(ISNUMBER(SnapshotTable[[#This Row],[SC Upside Potential]]), SnapshotTable[[#This Row],[SC Upside Potential]] &gt; 0),(SnapshotTable[[#This Row],[SC Upside Potential]]/ SnapshotTable[[#This Row],[ACB]]),"")</f>
        <v>#VALUE!</v>
      </c>
      <c r="FU148" s="333" t="str">
        <f>IF(SnapshotTable[[#This Row],[SC Intrinsic Value]] &gt; 0,SnapshotTable[[#This Row],[SC Intrinsic Value]],"")</f>
        <v/>
      </c>
      <c r="FV148" s="27" t="str">
        <f>IF(AND( ISNUMBER( SnapshotTable[[#This Row],[ACB]]),ISNUMBER(SnapshotTable[[#This Row],[SC Downside Protect]])),SnapshotTable[[#This Row],[SC Downside Protect]] / SnapshotTable[[#This Row],[ACB]],"")</f>
        <v/>
      </c>
      <c r="FW148" s="236" t="str">
        <f>IF(AND(ISNUMBER(SnapshotTable[[#This Row],[SC Simple ROO]]),SnapshotTable[[#This Row],[SC Simple ROO]] &gt; 0), SnapshotTable[[#This Row],[SC Premium]] + (SnapshotTable[[#This Row],[SC Qty]] * SnapshotTable[[#This Row],[SC Upside Potential]]), "")</f>
        <v/>
      </c>
      <c r="FX148" s="302" t="str" cm="1">
        <f t="array" ref="FX148">IF(ISNUMBER(SnapshotTable[[#This Row],[SC Max Dollars]]), annualize(SnapshotTable[[#This Row],[SC Term]],(SnapshotTable[[#This Row],[SC Max Dollars]]/SnapshotTable[[#This Row],[SC Basis]])),"")</f>
        <v/>
      </c>
      <c r="FY148" s="236" t="str">
        <f>IF(AND(SnapshotTable[[#This Row],[SC Qty]]&gt;0,SnapshotTable[[#This Row],[SC Current Ask]]&gt;0), SnapshotTable[[#This Row],[SC Qty]] * SnapshotTable[[#This Row],[SC Current Ask]] * -100, "")</f>
        <v/>
      </c>
      <c r="FZ148" s="31" t="str">
        <f>IF(ISNUMBER((SnapshotTable[[#This Row],[SC Current Value]])), SnapshotTable[[#This Row],[SC Premium]] + SnapshotTable[[#This Row],[SC Current Value]], "")</f>
        <v/>
      </c>
      <c r="GA148" s="294" t="str">
        <f>IFERROR( IF(ISNUMBER((SnapshotTable[[#This Row],[SC Current Value]])), SnapshotTable[[#This Row],[SC Gain Loss]] / SnapshotTable[[#This Row],[SC Premium]], ""), "")</f>
        <v/>
      </c>
      <c r="GB148" s="42">
        <f>SnapshotTable[[#This Row],[Equity Shares]] * SaleSharesToConsiderPercentage</f>
        <v>0</v>
      </c>
      <c r="GC148" s="40">
        <f>SnapshotTable[[#This Row],[Long Term Target]] * SellingPriceToConsiderBasedOnTargetPercentage</f>
        <v>0</v>
      </c>
      <c r="GD148" s="40">
        <f>SnapshotTable[[#This Row],[Last Price]] * (1+ SellingPriceToConsiderBasedOnTargetPercentage)</f>
        <v>62.575500000000005</v>
      </c>
      <c r="GE148" s="41"/>
      <c r="GF148" s="40"/>
      <c r="GG148" s="31">
        <f>SnapshotTable[[#This Row],[Booked Sale Shares]] * SnapshotTable[[#This Row],[Booked Sale Price]]</f>
        <v>0</v>
      </c>
      <c r="GH148" s="31" t="str">
        <f>IF(SnapshotTable[[#This Row],[Equity Basis Total]] &gt; 0, SnapshotTable[[#This Row],[Equity Basis Per Share]] * SnapshotTable[[#This Row],[Booked Sale Shares]], "")</f>
        <v/>
      </c>
      <c r="GI148" s="31">
        <f>IF(SnapshotTable[[#This Row],[Sale Proceeds]]&gt;0, SnapshotTable[[#This Row],[Sale Proceeds]] - SnapshotTable[[#This Row],[Sale Basis]], 0)</f>
        <v>0</v>
      </c>
      <c r="GJ148" s="27" t="str">
        <f>IF(SnapshotTable[[#This Row],[Sale G/L]]&gt;0, SnapshotTable[[#This Row],[Sale G/L]] / SnapshotTable[[#This Row],[Sale Basis]], IF(ISNUMBER(SnapshotTable[[#This Row],[SC Exercise P&amp;L (TAX)]]), SnapshotTable[[#This Row],[SC Exercise P&amp;L (TAX)]] / SnapshotTable[[#This Row],[SC Basis]], ""))</f>
        <v/>
      </c>
      <c r="GK148" s="27"/>
      <c r="GL148" s="43" t="str">
        <f>IF(AND(SnapshotTable[[#This Row],[LP Exp Date]]&gt;0,SnapshotTable[[#This Row],[LP Strike Price]]&gt;0), [1]!ToOptionSymbol(SnapshotTable[[#This Row],[Symbol]], SnapshotTable[[#This Row],[LP Strike Price]],SnapshotTable[[#This Row],[LP Exp Date]],1), "")</f>
        <v/>
      </c>
      <c r="GM148" s="30" t="str">
        <f>IF(LEN(SnapshotTable[[#This Row],[LP Symbol]])&gt;0, 1, "")</f>
        <v/>
      </c>
      <c r="GN148" s="43" t="str">
        <f>IF(AND(SnapshotTable[[#This Row],[SP Exp Date]]&gt;0,SnapshotTable[[#This Row],[SP Strike Price]]&gt;0), [1]!ToOptionSymbol(SnapshotTable[[#This Row],[Symbol]], SnapshotTable[[#This Row],[SP Strike Price]],SnapshotTable[[#This Row],[SP Exp Date]],1), "")</f>
        <v/>
      </c>
      <c r="GO148" s="30" t="str">
        <f>IF(LEN(SnapshotTable[[#This Row],[SP Symbol]])&gt;0, 1, "")</f>
        <v/>
      </c>
      <c r="GP148" s="43" t="str">
        <f>IF(AND(SnapshotTable[[#This Row],[LC Exp Date]]&gt;0,SnapshotTable[[#This Row],[LC Strike Price]]&gt;0), [1]!ToOptionSymbol(SnapshotTable[[#This Row],[Symbol]], SnapshotTable[[#This Row],[LC Strike Price]],SnapshotTable[[#This Row],[LC Exp Date]],0), "")</f>
        <v/>
      </c>
      <c r="GQ148" s="30" t="str">
        <f>IF(LEN(SnapshotTable[[#This Row],[LC Symbol]])&gt;0, 1, "")</f>
        <v/>
      </c>
      <c r="GR148" s="43" t="str">
        <f>IF(AND(SnapshotTable[[#This Row],[SC Exp Date]]&gt;0,SnapshotTable[[#This Row],[SC Strike Price]]&gt;0), [1]!ToOptionSymbol(SnapshotTable[[#This Row],[Symbol]], SnapshotTable[[#This Row],[SC Strike Price]],SnapshotTable[[#This Row],[SC Exp Date]],0), "")</f>
        <v/>
      </c>
      <c r="GS148" s="30" t="str">
        <f>IF(LEN(SnapshotTable[[#This Row],[SC Symbol]])&gt;0, 1, "")</f>
        <v/>
      </c>
      <c r="GT148" s="29" t="str">
        <f>IF(COUNT(SnapshotTable[[#This Row],[LP Symbol Count]],SnapshotTable[[#This Row],[SP Symbol Count]],SnapshotTable[[#This Row],[LC Symbol Count]],SnapshotTable[[#This Row],[SC Symbol Count]])&gt;0, "Y", "")</f>
        <v/>
      </c>
      <c r="GU14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8" s="231" t="e">
        <f>MAX(SnapshotTable[[#This Row],[Equity Basis Total]],SnapshotTable[[#This Row],[Equity Value]]) + (SnapshotTable[[#This Row],[SP Potential Spend]]- SnapshotTable[[#This Row],[SP Premium]] + SnapshotTable[[#This Row],[LP Premium]])+ (SnapshotTable[[#This Row],[LC Premium]] - SnapshotTable[[#This Row],[SC Premium]])</f>
        <v>#VALUE!</v>
      </c>
      <c r="GW148" s="139" t="e">
        <f>IF(AND(SnapshotTable[[#This Row],[Exposure]] &lt;&gt; 0),SnapshotTable[[#This Row],[Exposure]] / SnapshotTable[[#Totals],[Exposure]], "")</f>
        <v>#VALUE!</v>
      </c>
      <c r="HE148" s="268"/>
      <c r="HF148" s="268"/>
      <c r="HK148" s="1"/>
      <c r="HL148" s="1"/>
      <c r="HM148" s="1"/>
      <c r="HN148" s="1"/>
      <c r="HO148" s="1"/>
      <c r="HP148" s="1"/>
    </row>
    <row r="149" spans="2:224" ht="12.75" hidden="1" customHeight="1" x14ac:dyDescent="0.25">
      <c r="B149" s="12" t="s">
        <v>929</v>
      </c>
      <c r="C149" s="422">
        <v>82.63</v>
      </c>
      <c r="D149" s="208"/>
      <c r="E149" s="39">
        <f>SnapshotTable[[#This Row],[Last Price]]*(1 -CrashDiscount)</f>
        <v>70.235499999999988</v>
      </c>
      <c r="F149" s="26" t="s">
        <v>839</v>
      </c>
      <c r="G149" s="26" t="s">
        <v>821</v>
      </c>
      <c r="H149" s="149"/>
      <c r="I149" s="194">
        <v>44775.28125</v>
      </c>
      <c r="J149" s="195">
        <v>44775.28125</v>
      </c>
      <c r="K149" s="196"/>
      <c r="L149" s="326"/>
      <c r="M149" s="140"/>
      <c r="N149" s="140"/>
      <c r="O149" s="140"/>
      <c r="P149" s="22"/>
      <c r="Q149" s="25"/>
      <c r="R149" s="4" t="str">
        <f>IF(SnapshotTable[[#This Row],[Equity Basis Total]] &gt; 0, SnapshotTable[[#This Row],[Equity Basis Total]] / SnapshotTable[[#This Row],[Equity Shares]], "")</f>
        <v/>
      </c>
      <c r="S149" s="269">
        <f>SnapshotTable[[#This Row],[Last Price]] * SnapshotTable[[#This Row],[Equity Shares]]</f>
        <v>0</v>
      </c>
      <c r="T149" s="269">
        <f>SnapshotTable[[#This Row],[Equity Value]] - SnapshotTable[[#This Row],[Equity Basis Total]]</f>
        <v>0</v>
      </c>
      <c r="U149" s="270" t="str">
        <f>IF(SnapshotTable[[#This Row],[Equity Basis Total]] &gt; 0, SnapshotTable[[#This Row],[Equity G/L]] / SnapshotTable[[#This Row],[Equity Basis Total]], "")</f>
        <v/>
      </c>
      <c r="V149" s="268"/>
      <c r="W149" s="268"/>
      <c r="X149" s="4" t="str">
        <f>IF(AND(ISNUMBER(SnapshotTable[[#This Row],[Equity Basis Per Share]]),ISNUMBER(SnapshotTable[[#This Row],[Equity Target]])),SnapshotTable[[#This Row],[Equity Target]]-SnapshotTable[[#This Row],[Equity Basis Per Share]],"")</f>
        <v/>
      </c>
      <c r="Y149" s="4" t="str">
        <f>IF(AND(ISNUMBER(SnapshotTable[[#This Row],[Equity Basis Per Share]]),ISNUMBER(SnapshotTable[[#This Row],[Equity Stop Loss]])),SnapshotTable[[#This Row],[Equity Stop Loss]]-SnapshotTable[[#This Row],[Equity Basis Per Share]],"")</f>
        <v/>
      </c>
      <c r="Z149" s="275" t="str">
        <f>IFERROR( TEXT(SnapshotTable[[#This Row],[Equity Max Gain Per Share]] /ABS( SnapshotTable[[#This Row],[Equity Max Loss Per Share]]),"0.0 " ) &amp; " : 1", "")</f>
        <v/>
      </c>
      <c r="AA149" s="31" t="str">
        <f>IF(ISNUMBER(SnapshotTable[[#This Row],[Equity Max Gain Per Share]]),SnapshotTable[[#This Row],[Equity Max Gain Per Share]] * SnapshotTable[[#This Row],[Equity Shares]],"")</f>
        <v/>
      </c>
      <c r="AB149" s="31" t="str">
        <f>IF(ISNUMBER(SnapshotTable[[#This Row],[Equity Max Loss Per Share]]),SnapshotTable[[#This Row],[Equity Max Loss Per Share]] * SnapshotTable[[#This Row],[Equity Shares]],"")</f>
        <v/>
      </c>
      <c r="AC149" s="150"/>
      <c r="AD149" s="151"/>
      <c r="AE149" s="31">
        <f>(SnapshotTable[[#This Row],[Annual Dividend Per Share]] / 4) * SnapshotTable[[#This Row],[Equity Shares]]</f>
        <v>0</v>
      </c>
      <c r="AF149" s="31">
        <f>SnapshotTable[[#This Row],[Quarterly Div $]] * 4</f>
        <v>0</v>
      </c>
      <c r="AG149" s="7">
        <f>IF(SnapshotTable[[#This Row],[Annual Dividend Per Share]]&gt;0, SnapshotTable[[#This Row],[Annual Dividend Per Share]]  / SnapshotTable[[#This Row],[Last Price]], 0)</f>
        <v>0</v>
      </c>
      <c r="AH149" s="151"/>
      <c r="AI149" s="5"/>
      <c r="AJ149" s="138">
        <v>223.86</v>
      </c>
      <c r="AK149" s="152" t="str">
        <f>IF(ISNUMBER( SnapshotTable[[#This Row],[EBF Target]]),(SnapshotTable[[#This Row],[EBF Target]] - SnapshotTable[[#This Row],[Last Price]]) / SnapshotTable[[#This Row],[Last Price]], "")</f>
        <v/>
      </c>
      <c r="AL149" s="152" t="str">
        <f>IF(AND(SnapshotTable[[#This Row],[Equity Basis Total]] &gt; 0,ISNUMBER( SnapshotTable[[#This Row],[Long Term Target]])), SnapshotTable[[#This Row],[From Basis $]] / SnapshotTable[[#This Row],[Equity Basis Total]], "")</f>
        <v/>
      </c>
      <c r="AM149" s="9">
        <f>IF( AND(SnapshotTable[[#This Row],[Equity Shares]] &gt;0,ISNUMBER( SnapshotTable[[#This Row],[Long Term Target]])),(SnapshotTable[[#This Row],[Equity Shares]] * SnapshotTable[[#This Row],[Long Term Target]]) - SnapshotTable[[#This Row],[Equity Basis Total]],0)</f>
        <v>0</v>
      </c>
      <c r="AN149" s="9">
        <f>IF( AND(SnapshotTable[[#This Row],[Equity Shares]] &gt;0,ISNUMBER( SnapshotTable[[#This Row],[Long Term Target]])),(SnapshotTable[[#This Row],[Equity Shares]]*SnapshotTable[[#This Row],[Long Term Target]]) - SnapshotTable[[#This Row],[Equity Value]],0)</f>
        <v>0</v>
      </c>
      <c r="AO149" s="152">
        <f>IF(AND(ISNUMBER( SnapshotTable[[#This Row],[Long Term Target]]), ISNUMBER(SnapshotTable[[#This Row],[Last Price]])),(SnapshotTable[[#This Row],[Long Term Target]] - SnapshotTable[[#This Row],[Last Price]]) / SnapshotTable[[#This Row],[Last Price]], "")</f>
        <v>1.7091855258380737</v>
      </c>
      <c r="AP149" s="5"/>
      <c r="AQ149" s="38"/>
      <c r="AR149" s="5"/>
      <c r="AS149" s="38"/>
      <c r="AT149" s="146"/>
      <c r="AU149" s="187" t="str">
        <f>IF(OR(SnapshotTable[[#This Row],[LP No Fill]]="Y",SnapshotTable[[#This Row],[SP Is Filled]],SnapshotTable[[#This Row],[LC Not Filled]]="Y",SnapshotTable[[#This Row],[SC Is Filled]]),"Y","")</f>
        <v/>
      </c>
      <c r="AV149" s="219"/>
      <c r="AW149" s="225"/>
      <c r="AX149" s="220"/>
      <c r="AY149" s="219" t="str">
        <f>IF(SnapshotTable[[#This Row],[Implied Move]]&gt;0, SnapshotTable[[#This Row],[Last Price]]-SnapshotTable[[#This Row],[Implied Move]],"")</f>
        <v/>
      </c>
      <c r="AZ149" s="219" t="str">
        <f>IF(SnapshotTable[[#This Row],[Implied Move]]&gt;0, SnapshotTable[[#This Row],[Last Price]] + SnapshotTable[[#This Row],[Implied Move]],"")</f>
        <v/>
      </c>
      <c r="BA149" s="331"/>
      <c r="BB149" s="347"/>
      <c r="BC14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9" s="351"/>
      <c r="BE149" s="138"/>
      <c r="BF149" s="166"/>
      <c r="BG149" s="167"/>
      <c r="BH149" s="167"/>
      <c r="BI149" s="221"/>
      <c r="BJ149" s="153">
        <f>IF(SnapshotTable[[#This Row],[LP Qty]] &gt; 0, SnapshotTable[[#This Row],[LP Qty]] * SnapshotTable[[#This Row],[LP Book Price]] * 100,0)</f>
        <v>0</v>
      </c>
      <c r="BK149" s="136">
        <f>IF(SnapshotTable[[#This Row],[LP Premium]] &gt; 0, SnapshotTable[[#This Row],[LP Qty]] * SnapshotTable[[#This Row],[LP Strike Price]] * 100,0)</f>
        <v>0</v>
      </c>
      <c r="BL149" s="154"/>
      <c r="BM149" s="385" t="str">
        <f>IF(SnapshotTable[[#This Row],[LP Premium]] &gt; 0,SnapshotTable[[#This Row],[LP Exp Date]]-MAX(SnapshotTable[[#This Row],[LP Book Date]], SnapshotTable[[#This Row],[LP Fill Date]]),"")</f>
        <v/>
      </c>
      <c r="BN149" s="385" t="str">
        <f>IF(ISNUMBER( SnapshotTable[[#This Row],[LP Term]]), SnapshotTable[[#This Row],[LP Exp Date]] - MockToday,"")</f>
        <v/>
      </c>
      <c r="BO149" s="163" t="str">
        <f>IF(AND(SnapshotTable[[#This Row],[LP Exp Date]]&gt;0, SnapshotTable[[#This Row],[LP Strike Price]]&gt;0,SnapshotTable[[#This Row],[LP Qty]]&gt;0,SnapshotTable[[#This Row],[LP Book Date]]&gt;0,SnapshotTable[[#This Row],[LP Book Price]]&gt;0,SnapshotTable[[#This Row],[LP Fill Date]]=0),"Y","")</f>
        <v/>
      </c>
      <c r="BP149" s="31" t="str">
        <f>IF(AND(SnapshotTable[[#This Row],[LP No Fill]]&lt;&gt;"Y",SnapshotTable[[#This Row],[LP Contract Value]]&gt;0, SnapshotTable[[#This Row],[LP Qty]]&gt;0), SnapshotTable[[#This Row],[LP Contract Value]]*SnapshotTable[[#This Row],[LP Qty]]*100,"")</f>
        <v/>
      </c>
      <c r="BQ149" s="13"/>
      <c r="BR149" s="5" t="str">
        <f>IF(SnapshotTable[[#This Row],[SP Exp Date]]&lt;&gt;"",TRUNC(SnapshotTable[[#This Row],[Last Price]]),"")</f>
        <v/>
      </c>
      <c r="BS149" s="36"/>
      <c r="BT149" s="147"/>
      <c r="BU149" s="13"/>
      <c r="BV149" s="5"/>
      <c r="BW149" s="419" t="b">
        <f>AND(ISNUMBER(SnapshotTable[[#This Row],[SP Exp Date]]), ISNUMBER(SnapshotTable[[#This Row],[SP Strike Price]]), ISNUMBER(SnapshotTable[[#This Row],[SP Qty]]), ISNUMBER(SnapshotTable[[#This Row],[SP Book Date]]), ISNUMBER(SnapshotTable[[#This Row],[SP Book Price]]))</f>
        <v>0</v>
      </c>
      <c r="BX149" s="419" t="b">
        <f>AND(SnapshotTable[[#This Row],[SP Is Booked]], NOT(ISBLANK(SnapshotTable[[#This Row],[SP Fill Date]])))</f>
        <v>0</v>
      </c>
      <c r="BY149" s="33">
        <f>IF(SnapshotTable[[#This Row],[SP Is Booked]], SnapshotTable[[#This Row],[SP Qty]] * SnapshotTable[[#This Row],[SP Book Price]] * 100, 0)</f>
        <v>0</v>
      </c>
      <c r="BZ149" s="369"/>
      <c r="CA149" s="368">
        <f>SnapshotTable[[#This Row],[LP Qty]]</f>
        <v>0</v>
      </c>
      <c r="CB149" s="4" t="str">
        <f>IF(SnapshotTable[[#This Row],[SP Is Booked]], SnapshotTable[[#This Row],[SP Strike Price]] - SnapshotTable[[#This Row],[SP Book Price]], "")</f>
        <v/>
      </c>
      <c r="CC149" s="19" t="str">
        <f>IF(SnapshotTable[[#This Row],[SP Is Booked]],SnapshotTable[[#This Row],[SP Exp Date]]-MAX(SnapshotTable[[#This Row],[SP Book Date]], SnapshotTable[[#This Row],[SP Fill Date]]),"")</f>
        <v/>
      </c>
      <c r="CD149" s="7" t="str">
        <f>IF(SnapshotTable[[#This Row],[SP Is Booked]], SnapshotTable[[#This Row],[SP Book Price]]/SnapshotTable[[#This Row],[SP Strike Price]], "")</f>
        <v/>
      </c>
      <c r="CE149" s="7" t="str">
        <f>IF(ISNUMBER(SnapshotTable[[#This Row],[SP ROO Term]]),SnapshotTable[[#This Row],[SP ROO Term]]*(365/SnapshotTable[[#This Row],[SP Term]]),"")</f>
        <v/>
      </c>
      <c r="CF149" s="236">
        <f>SnapshotTable[[#This Row],[LP Strike Price]] * SnapshotTable[[#This Row],[LP Qty]] * 100</f>
        <v>0</v>
      </c>
      <c r="CG149" s="31" t="e">
        <f>IF(ISNUMBER(SnapshotTable[[#This Row],[SP Premium]]), (SnapshotTable[[#This Row],[SP Qty]] * SnapshotTable[[#This Row],[SP Strike Price]]* 100) - SnapshotTable[[#This Row],[LP Protection]], 0)</f>
        <v>#VALUE!</v>
      </c>
      <c r="CH149" s="7" t="str">
        <f>IF(ISNUMBER(SnapshotTable[[#This Row],[SP Break Even]]),-1 * (SnapshotTable[[#This Row],[SP Break Even]] - SnapshotTable[[#This Row],[Last Price]]) / SnapshotTable[[#This Row],[Last Price]], "")</f>
        <v/>
      </c>
      <c r="CI149" s="31">
        <f>IF(AND(ISNUMBER((SnapshotTable[[#This Row],[SP Potential Spend]])), SnapshotTable[[#This Row],[SP Strike Price]] &gt; SnapshotTable[[#This Row],[Last Price]], SnapshotTable[[#This Row],[SP Is Filled]]), SnapshotTable[[#This Row],[SP Potential Spend]] -  SnapshotTable[[#This Row],[LP Max Value]], 0)</f>
        <v>0</v>
      </c>
      <c r="CJ149" s="244"/>
      <c r="CK149" s="31" t="str">
        <f>IF(ISNUMBER(SnapshotTable[[#This Row],[SP Potential Spend]]),IF(ISNUMBER(SnapshotTable[[#This Row],[SP POW]]), SnapshotTable[[#This Row],[SP POW]] * SnapshotTable[[#This Row],[SP Potential Spend]], SnapshotTable[[#This Row],[SP Potential Spend]]), "")</f>
        <v/>
      </c>
      <c r="CL149" s="164" t="e">
        <f>IF(NOT(SnapshotTable[[#This Row],[SP Is Filled]]),(SnapshotTable[[#This Row],[SP Qty]] * SnapshotTable[[#This Row],[SP Strike Price]] * 100) - SnapshotTable[[#This Row],[LP Max Value]],"")</f>
        <v>#VALUE!</v>
      </c>
      <c r="CM149" s="31" t="str">
        <f>IF(SnapshotTable[[#This Row],[SP Actual Spend]]&lt;&gt;0, ((SnapshotTable[[#This Row],[SP Strike Price]]-SnapshotTable[[#This Row],[Last Price]]) *(SnapshotTable[[#This Row],[SP Qty]]*100) - SnapshotTable[[#This Row],[SP Premium]]) * - 1, "")</f>
        <v/>
      </c>
      <c r="CN149" s="154"/>
      <c r="CO149" s="369"/>
      <c r="CP149" s="320" t="str">
        <f>IF(SnapshotTable[[#This Row],[SP Is Filled]], btc_max_buyback_amount(SnapshotTable[[#This Row],[SP Fill Date]],SnapshotTable[[#This Row],[SP Exp Date]], SnapshotTable[[#This Row],[SP Book Price]]),"")</f>
        <v/>
      </c>
      <c r="CQ149" s="78"/>
      <c r="CR149" s="76"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9" s="155" t="str">
        <f>IF(SnapshotTable[[#This Row],[SP Is Filled]], btc_next_cutoff_date(SnapshotTable[[#This Row],[SP Fill Date]],SnapshotTable[[#This Row],[SP Exp Date]]),"")</f>
        <v/>
      </c>
      <c r="CT149" s="235" t="str" cm="1">
        <f t="array" ref="CT149">IF(SnapshotTable[[#This Row],[SP Is Filled]], btc_should_buy_back(SnapshotTable[[#This Row],[SP Fill Date]], SnapshotTable[[#This Row],[SP Exp Date]], SnapshotTable[[#This Row],[SP Book Price]], SnapshotTable[[#This Row],[SP Current Ask]], MockToday, SnapshotTable[[#This Row],[SP Buyback Override]]),"")</f>
        <v/>
      </c>
      <c r="CU149" s="156"/>
      <c r="CV149" s="235"/>
      <c r="CW149" s="378" t="str">
        <f>IF(ISNUMBER( SnapshotTable[[#This Row],[SP Term]]), SnapshotTable[[#This Row],[SP Exp Date]] - MockToday,"")</f>
        <v/>
      </c>
      <c r="CX149" s="31" t="str">
        <f>IF(SnapshotTable[[#This Row],[SP Is Filled]],SnapshotTable[[#This Row],[SP Buyback Price to Use]] * 100 * SnapshotTable[[#This Row],[SP Qty]], "")</f>
        <v/>
      </c>
      <c r="CY149" s="4" t="str">
        <f>IF(ISNUMBER(SnapshotTable[[#This Row],[SP Strike Price]]), SnapshotTable[[#This Row],[SP Strike Price]] * (1 - SP_MaxLoss_StrikePct), "")</f>
        <v/>
      </c>
      <c r="CZ149" s="31" t="str">
        <f>IF(ISNUMBER(SnapshotTable[[#This Row],[SP Strike  Stop Per Share]]),SnapshotTable[[#This Row],[SP Premium]] - ((SnapshotTable[[#This Row],[SP Strike Price]]-SnapshotTable[[#This Row],[SP Strike  Stop Per Share]]) *(SnapshotTable[[#This Row],[SP Qty]] * 100)),"")</f>
        <v/>
      </c>
      <c r="DA149" s="4" t="str">
        <f>IF(AND(ISNUMBER(SnapshotTable[[#This Row],[SP Premium]]),SnapshotTable[[#This Row],[SP Premium]]&gt;0), SnapshotTable[[#This Row],[SP Book Price]] * (1 + SP_MaxLoss_OptionPct), "")</f>
        <v/>
      </c>
      <c r="DB149" s="31" t="str">
        <f>IF(ISNUMBER(SnapshotTable[[#This Row],[SP Option  Stop Contract]]),(SnapshotTable[[#This Row],[SP Option  Stop Contract]] *(SnapshotTable[[#This Row],[SP Qty]] * 100) - SnapshotTable[[#This Row],[SP Premium]]),"")</f>
        <v/>
      </c>
      <c r="DC149" s="4"/>
      <c r="DD149" s="4"/>
      <c r="DE149" s="4" t="str">
        <f>IF(AND(SnapshotTable[[#This Row],[SP Qty]]&gt;0, SnapshotTable[[#This Row],[SP Stop To Use]]&gt;0),SnapshotTable[[#This Row],[SP Premium]] - ( SnapshotTable[[#This Row],[SP Qty]] * SnapshotTable[[#This Row],[SP Stop To Use]] * 100), "")</f>
        <v/>
      </c>
      <c r="DF149" s="31" t="str">
        <f>IF(AND(SnapshotTable[[#This Row],[SP Qty]]&gt;0,SnapshotTable[[#This Row],[SP Current Ask]]&gt;0), SnapshotTable[[#This Row],[SP Qty]] * SnapshotTable[[#This Row],[SP Current Ask]] * -100, "")</f>
        <v/>
      </c>
      <c r="DG149" s="31" t="str">
        <f>IF(ISNUMBER((SnapshotTable[[#This Row],[SP Total Value]])), SnapshotTable[[#This Row],[SP Premium]] + SnapshotTable[[#This Row],[SP Total Value]], "")</f>
        <v/>
      </c>
      <c r="DH149" s="294" t="str">
        <f>IF(ISNUMBER((SnapshotTable[[#This Row],[SP Total Value]])), SnapshotTable[[#This Row],[SP Gain Loss]] / SnapshotTable[[#This Row],[SP Premium]], "")</f>
        <v/>
      </c>
      <c r="DI149" s="406"/>
      <c r="DJ149" s="138"/>
      <c r="DK149" s="148"/>
      <c r="DL149" s="147"/>
      <c r="DM149" s="147"/>
      <c r="DO149" s="31">
        <f>IF(SnapshotTable[[#This Row],[LC Symbol Count]]=1, SnapshotTable[[#This Row],[LC Qty]] * SnapshotTable[[#This Row],[LC Book Price]] * 100, 0)</f>
        <v>0</v>
      </c>
      <c r="DP149" s="289" t="str">
        <f>IF(AND(SnapshotTable[[#This Row],[LC Exp Date]]&gt;0, SnapshotTable[[#This Row],[LC Strike Price]]&gt;0,SnapshotTable[[#This Row],[LC Qty]]&gt;0,SnapshotTable[[#This Row],[LC Book Date]]&gt;0,SnapshotTable[[#This Row],[LC Book Price]]&gt;0,SnapshotTable[[#This Row],[LC Fill Date]]=0),"Y","")</f>
        <v/>
      </c>
      <c r="DQ149" s="386" t="str">
        <f>IF(SnapshotTable[[#This Row],[LC Premium]] &gt; 0,SnapshotTable[[#This Row],[LC Exp Date]]-MAX(SnapshotTable[[#This Row],[LC Book Date]], SnapshotTable[[#This Row],[LC Fill Date]]),"")</f>
        <v/>
      </c>
      <c r="DR149" s="386" t="str">
        <f>IF(ISNUMBER(SnapshotTable[[#This Row],[LC Term]]), SnapshotTable[[#This Row],[LC Exp Date]] - MockToday, "")</f>
        <v/>
      </c>
      <c r="DS149" s="234" t="str">
        <f>IF(SnapshotTable[[#This Row],[LC Premium]]&gt;0,SnapshotTable[[#This Row],[LC Strike Price]] + SnapshotTable[[#This Row],[LC Book Price]],"")</f>
        <v/>
      </c>
      <c r="DU149" s="9" t="str">
        <f>IF(AND(SnapshotTable[[#This Row],[LC Symbol Count]]&gt;0, SnapshotTable[[#This Row],[LC Contract Value]]&gt;0), SnapshotTable[[#This Row],[LC Contract Value]] * SnapshotTable[[#This Row],[LC Qty]] * 100, "")</f>
        <v/>
      </c>
      <c r="DV149" s="9" t="str">
        <f>IF(AND(ISNUMBER(SnapshotTable[[#This Row],[LC Total Value]]), SnapshotTable[[#This Row],[LC Not Filled]]&lt;&gt;"Y"), SnapshotTable[[#This Row],[LC Total Value]]-SnapshotTable[[#This Row],[LC Premium]],"")</f>
        <v/>
      </c>
      <c r="DW149" s="240" t="str">
        <f>IF(ISNUMBER(SnapshotTable[[#This Row],[LC Actual Gain Loss]]), SnapshotTable[[#This Row],[LC Actual Gain Loss]] / SnapshotTable[[#This Row],[LC Premium]],"")</f>
        <v/>
      </c>
      <c r="DX149" s="284" t="str">
        <f>IF(ISNUMBER(SnapshotTable[[#This Row],[LC Book Price]]),SnapshotTable[[#This Row],[LC Book Price]] * 1.5,"")</f>
        <v/>
      </c>
      <c r="DY149" s="265" t="str">
        <f>IF(SnapshotTable[[#This Row],[LC Premium]]&gt;0, SnapshotTable[[#This Row],[LC Next Target]] * SnapshotTable[[#This Row],[LC Qty]] * 100,"")</f>
        <v/>
      </c>
      <c r="DZ149" s="265" t="str">
        <f>IF(ISNUMBER(SnapshotTable[[#This Row],[LC Target Gross]]), SnapshotTable[[#This Row],[LC Target Gross]] - SnapshotTable[[#This Row],[LC Premium]], "")</f>
        <v/>
      </c>
      <c r="EA149" s="305" t="str">
        <f>IF(ISNUMBER(SnapshotTable[[#This Row],[LC Target Gain Loss]]), SnapshotTable[[#This Row],[LC Target Gain Loss]]/SnapshotTable[[#This Row],[LC Premium]], "")</f>
        <v/>
      </c>
      <c r="EB149" s="262"/>
      <c r="EC149" s="290" t="str">
        <f>IF(SnapshotTable[[#This Row],[LC Premium]]&gt;0, SnapshotTable[[#This Row],[LC Book Price]] * (1 - LC_StopLoss_Pct),"")</f>
        <v/>
      </c>
      <c r="ED149" s="284"/>
      <c r="EE149" s="283" t="str">
        <f>IF(ISNUMBER(SnapshotTable[[#This Row],[LC Contract Value]]),IF(ISNUMBER(SnapshotTable[[#This Row],[LC Stop Loss Override]]), SnapshotTable[[#This Row],[LC Stop Loss Override]],SnapshotTable[[#This Row],[LC Stop Loss Calc Target]]),"")</f>
        <v/>
      </c>
      <c r="EF149" s="31" t="str">
        <f>IF(ISNUMBER(SnapshotTable[[#This Row],[LC Stop  To Use]]), (SnapshotTable[[#This Row],[LC Stop  To Use]] * SnapshotTable[[#This Row],[LC Qty]] * 100),"")</f>
        <v/>
      </c>
      <c r="EG149" s="9" t="str">
        <f>IF(ISNUMBER(SnapshotTable[[#This Row],[LC Total Value]]),SnapshotTable[[#This Row],[LC Stop Loss Amount]] - SnapshotTable[[#This Row],[LC Premium]],"")</f>
        <v/>
      </c>
      <c r="EH149" s="9">
        <f>IF(ISNUMBER(SnapshotTable[[#This Row],[LC Premium]]), SnapshotTable[[#This Row],[LC Qty]] * 100 * SnapshotTable[[#This Row],[LC Strike Price]], "")</f>
        <v>0</v>
      </c>
      <c r="EI149" s="240" t="str">
        <f>IF(AND(ISNUMBER(SnapshotTable[[#This Row],[LC Total Value]]),SnapshotTable[[#This Row],[LC Total Value]]&gt;0),SnapshotTable[[#This Row],[LC Stop Gain Loss]]  / SnapshotTable[[#This Row],[LC Premium]],"")</f>
        <v/>
      </c>
      <c r="EJ149" s="35">
        <f>IF(ISNUMBER(SnapshotTable[[#This Row],[Equity Shares]]),TRUNC(SnapshotTable[[#This Row],[Equity Shares]] / 100),0) + SnapshotTable[[#This Row],[LC Qty]]</f>
        <v>0</v>
      </c>
      <c r="EK149" s="147"/>
      <c r="EL149" s="138" t="str">
        <f>IF(SnapshotTable[[#This Row],[SC Exp Date]]&lt;&gt;"",TRUNC(SnapshotTable[[#This Row],[Last Price]]),"")</f>
        <v/>
      </c>
      <c r="EM149" s="148"/>
      <c r="EN149" s="147"/>
      <c r="EO149" s="147"/>
      <c r="EP149" s="138"/>
      <c r="EQ149" s="419" t="b">
        <f>AND(ISNUMBER(SnapshotTable[[#This Row],[SC Exp Date]]), ISNUMBER(SnapshotTable[[#This Row],[SC Strike Price]]), ISNUMBER(SnapshotTable[[#This Row],[SC Qty]]), ISNUMBER(SnapshotTable[[#This Row],[SC Book Date]]), ISNUMBER(SnapshotTable[[#This Row],[SC Book Price]]))</f>
        <v>0</v>
      </c>
      <c r="ER149" s="419" t="b">
        <f>AND(SnapshotTable[[#This Row],[SC Is Booked]], NOT(ISBLANK(SnapshotTable[[#This Row],[SC Fill Date]])))</f>
        <v>0</v>
      </c>
      <c r="ES149" s="370"/>
      <c r="ET149" s="34" t="str">
        <f>IF(AND(ISNUMBER(SnapshotTable[[#This Row],[SC Exp Date]]), ISNUMBER(SnapshotTable[[#This Row],[SC Book Date]])), SnapshotTable[[#This Row],[SC Exp Date]] - MAX(SnapshotTable[[#This Row],[SC Book Date]], SnapshotTable[[#This Row],[SC Fill Date]]) + 1, "")</f>
        <v/>
      </c>
      <c r="EU149" s="34" t="str">
        <f>IF(ISNUMBER(SnapshotTable[[#This Row],[SC Term]]), SnapshotTable[[#This Row],[SC Exp Date]]- MockToday, "")</f>
        <v/>
      </c>
      <c r="EV149" s="31">
        <f>IF(SnapshotTable[[#This Row],[SC Is Booked]], SnapshotTable[[#This Row],[SC Qty]] * SnapshotTable[[#This Row],[SC Book Price]] * 100, 0)</f>
        <v>0</v>
      </c>
      <c r="EW149" s="4" t="str">
        <f>IF(AND(ISNUMBER(SnapshotTable[[#This Row],[Last Price]]), ISNUMBER( SnapshotTable[[#This Row],[SC Book Price]])), SnapshotTable[[#This Row],[Last Price]] - SnapshotTable[[#This Row],[SC Book Price]],"")</f>
        <v/>
      </c>
      <c r="EX149" s="234" t="str">
        <f>IF(SnapshotTable[[#This Row],[SC Is Booked]],IF(SnapshotTable[[#This Row],[SC Intrinsic Value]] &gt; 0, SnapshotTable[[#This Row],[SC Strike Price]], SnapshotTable[[#This Row],[Last Price]]), "")</f>
        <v/>
      </c>
      <c r="EY149" s="4">
        <f>IF(SnapshotTable[[#This Row],[SC Is Booked]], (MinimumPremiumRequired * SnapshotTable[[#This Row],[SC Basis]] * SnapshotTable[[#This Row],[SC Term]]), 0)</f>
        <v>0</v>
      </c>
      <c r="EZ149" s="283"/>
      <c r="FA149" s="218"/>
      <c r="FB149" s="370"/>
      <c r="FC149" s="4">
        <f>IF(SnapshotTable[[#This Row],[SC Is Filled]], btc_max_buyback_amount(SnapshotTable[[#This Row],[SC Fill Date]],SnapshotTable[[#This Row],[SC Exp Date]], SnapshotTable[[#This Row],[SC Book Price]]),0)</f>
        <v>0</v>
      </c>
      <c r="FD149" s="5"/>
      <c r="FE149" s="144" t="str">
        <f>IF(SnapshotTable[[#This Row],[SC Is Filled]], btc_next_cutoff_date(SnapshotTable[[#This Row],[SC Fill Date]],SnapshotTable[[#This Row],[SC Exp Date]]),"")</f>
        <v/>
      </c>
      <c r="FF149" s="4" t="str" cm="1">
        <f t="array" ref="FF149">IF(SnapshotTable[[#This Row],[SC Is Filled]], btc_should_buy_back(SnapshotTable[[#This Row],[SC Fill Date]], SnapshotTable[[#This Row],[SC Exp Date]], SnapshotTable[[#This Row],[SC Book Price]], SnapshotTable[[#This Row],[SC Current Ask]], MockToday, SnapshotTable[[#This Row],[SC Buyback Override]]),"")</f>
        <v/>
      </c>
      <c r="FG149" s="4">
        <f>IF(SnapshotTable[[#This Row],[SC Is Filled]], MAX(0,SnapshotTable[[#This Row],[Last Price]]  - SnapshotTable[[#This Row],[SC Strike Price]]), 0)</f>
        <v>0</v>
      </c>
      <c r="FH149" s="382">
        <f>IF(SnapshotTable[[#This Row],[SC Is Filled]], IF(ISNUMBER(SnapshotTable[[#This Row],[SC Current Ask]]), SnapshotTable[[#This Row],[SC Current Ask]], SnapshotTable[[#This Row],[SC Book Price]]) - SnapshotTable[[#This Row],[SC Intrinsic Value]], 0)</f>
        <v>0</v>
      </c>
      <c r="FI149" s="143"/>
      <c r="FJ149" s="32" t="str">
        <f>IF(SnapshotTable[[#This Row],[SC Is Filled]],100 * SnapshotTable[[#This Row],[SC Qty]] * IF(ISNUMBER(SnapshotTable[[#This Row],[SC Buyback Override]]), SnapshotTable[[#This Row],[SC Buyback Override]], SnapshotTable[[#This Row],[SC Current Ask]]), "")</f>
        <v/>
      </c>
      <c r="FK149" s="250" t="str">
        <f>IF(SnapshotTable[[#This Row],[SC Time Val]]&gt;0, SnapshotTable[[#This Row],[SC Time Val]] / SnapshotTable[[#This Row],[Last Price]],"")</f>
        <v/>
      </c>
      <c r="FL149" s="302" t="str">
        <f>IF(SnapshotTable[[#This Row],[SC Is Booked]], ((SnapshotTable[[#This Row],[Last Price]] -SnapshotTable[[#This Row],[SC Strike Price]]) / SnapshotTable[[#This Row],[Last Price]]) * -1, "")</f>
        <v/>
      </c>
      <c r="FM149" s="157" t="str">
        <f>IF(SnapshotTable[[#This Row],[SC Is Booked]],  (SnapshotTable[[#This Row],[SC Qty]] * 100 * SnapshotTable[[#This Row],[SC Strike Price]]) - SnapshotTable[[#This Row],[SC Current Ask]], "")</f>
        <v/>
      </c>
      <c r="FN149"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9" s="157" t="str">
        <f>IF(AND(ISNUMBER(SnapshotTable[[#This Row],[SC Exercise Gross]]), ISNUMBER(SnapshotTable[[#This Row],[Equity Basis Per Share]] )), SnapshotTable[[#This Row],[SC Exercise Gross]] - SnapshotTable[[#This Row],[Equity Basis Total]] +  SnapshotTable[[#This Row],[SC Premium]], "")</f>
        <v/>
      </c>
      <c r="FP149" s="5" t="str">
        <f>IF(ISNUMBER(SnapshotTable[[#This Row],[SC Exercise Gross]]), (SnapshotTable[[#This Row],[SC Exercise Gross]]) / (SnapshotTable[[#This Row],[SC Qty]] * 100), "")</f>
        <v/>
      </c>
      <c r="FQ149" s="27" t="str">
        <f>IF(SnapshotTable[[#This Row],[SC Is Booked]],SnapshotTable[[#This Row],[SC Time Val]] /SnapshotTable[[#This Row],[SC Basis]], "")</f>
        <v/>
      </c>
      <c r="FR149" s="27" t="str" cm="1">
        <f t="array" ref="FR149">IF(AND(ISNUMBER(SnapshotTable[[#This Row],[SC Term]]),ISNUMBER(SnapshotTable[[#This Row],[SC Simple ROO]])), EllmanAnnualize(SnapshotTable[[#This Row],[SC DTE]], SnapshotTable[[#This Row],[SC Simple ROO]] ),"")</f>
        <v/>
      </c>
      <c r="FS149" s="4" t="e">
        <f>IF(SnapshotTable[[#This Row],[SC Strike Price]] &gt; SnapshotTable[[#This Row],[Last Price]], SnapshotTable[[#This Row],[SC Strike Price]] - SnapshotTable[[#This Row],[Last Price]],0)</f>
        <v>#VALUE!</v>
      </c>
      <c r="FT149" s="27" t="e">
        <f>IF(AND(ISNUMBER(SnapshotTable[[#This Row],[SC Upside Potential]]), SnapshotTable[[#This Row],[SC Upside Potential]] &gt; 0),(SnapshotTable[[#This Row],[SC Upside Potential]]/ SnapshotTable[[#This Row],[ACB]]),"")</f>
        <v>#VALUE!</v>
      </c>
      <c r="FU149" s="333" t="str">
        <f>IF(SnapshotTable[[#This Row],[SC Intrinsic Value]] &gt; 0,SnapshotTable[[#This Row],[SC Intrinsic Value]],"")</f>
        <v/>
      </c>
      <c r="FV149" s="27" t="str">
        <f>IF(AND( ISNUMBER( SnapshotTable[[#This Row],[ACB]]),ISNUMBER(SnapshotTable[[#This Row],[SC Downside Protect]])),SnapshotTable[[#This Row],[SC Downside Protect]] / SnapshotTable[[#This Row],[ACB]],"")</f>
        <v/>
      </c>
      <c r="FW149" s="236" t="str">
        <f>IF(AND(ISNUMBER(SnapshotTable[[#This Row],[SC Simple ROO]]),SnapshotTable[[#This Row],[SC Simple ROO]] &gt; 0), SnapshotTable[[#This Row],[SC Premium]] + (SnapshotTable[[#This Row],[SC Qty]] * SnapshotTable[[#This Row],[SC Upside Potential]]), "")</f>
        <v/>
      </c>
      <c r="FX149" s="302" t="str" cm="1">
        <f t="array" ref="FX149">IF(ISNUMBER(SnapshotTable[[#This Row],[SC Max Dollars]]), annualize(SnapshotTable[[#This Row],[SC Term]],(SnapshotTable[[#This Row],[SC Max Dollars]]/SnapshotTable[[#This Row],[SC Basis]])),"")</f>
        <v/>
      </c>
      <c r="FY149" s="236" t="str">
        <f>IF(AND(SnapshotTable[[#This Row],[SC Qty]]&gt;0,SnapshotTable[[#This Row],[SC Current Ask]]&gt;0), SnapshotTable[[#This Row],[SC Qty]] * SnapshotTable[[#This Row],[SC Current Ask]] * -100, "")</f>
        <v/>
      </c>
      <c r="FZ149" s="235" t="str">
        <f>IF(ISNUMBER((SnapshotTable[[#This Row],[SC Current Value]])), SnapshotTable[[#This Row],[SC Premium]] + SnapshotTable[[#This Row],[SC Current Value]], "")</f>
        <v/>
      </c>
      <c r="GA149" s="294" t="str">
        <f>IFERROR( IF(ISNUMBER((SnapshotTable[[#This Row],[SC Current Value]])), SnapshotTable[[#This Row],[SC Gain Loss]] / SnapshotTable[[#This Row],[SC Premium]], ""), "")</f>
        <v/>
      </c>
      <c r="GB149" s="42">
        <f>SnapshotTable[[#This Row],[Equity Shares]] * SaleSharesToConsiderPercentage</f>
        <v>0</v>
      </c>
      <c r="GC149" s="40">
        <f>SnapshotTable[[#This Row],[Long Term Target]] * SellingPriceToConsiderBasedOnTargetPercentage</f>
        <v>212.667</v>
      </c>
      <c r="GD149" s="40">
        <f>SnapshotTable[[#This Row],[Last Price]] * (1+ SellingPriceToConsiderBasedOnTargetPercentage)</f>
        <v>161.12849999999997</v>
      </c>
      <c r="GE149" s="41"/>
      <c r="GF149" s="40"/>
      <c r="GG149" s="31">
        <f>SnapshotTable[[#This Row],[Booked Sale Shares]] * SnapshotTable[[#This Row],[Booked Sale Price]]</f>
        <v>0</v>
      </c>
      <c r="GH149" s="31" t="str">
        <f>IF(SnapshotTable[[#This Row],[Equity Basis Total]] &gt; 0, SnapshotTable[[#This Row],[Equity Basis Per Share]] * SnapshotTable[[#This Row],[Booked Sale Shares]], "")</f>
        <v/>
      </c>
      <c r="GI149" s="31">
        <f>IF(SnapshotTable[[#This Row],[Sale Proceeds]]&gt;0, SnapshotTable[[#This Row],[Sale Proceeds]] - SnapshotTable[[#This Row],[Sale Basis]], 0)</f>
        <v>0</v>
      </c>
      <c r="GJ149" s="158" t="str">
        <f>IF(SnapshotTable[[#This Row],[Sale G/L]]&gt;0, SnapshotTable[[#This Row],[Sale G/L]] / SnapshotTable[[#This Row],[Sale Basis]], IF(ISNUMBER(SnapshotTable[[#This Row],[SC Exercise P&amp;L (TAX)]]), SnapshotTable[[#This Row],[SC Exercise P&amp;L (TAX)]] / SnapshotTable[[#This Row],[SC Basis]], ""))</f>
        <v/>
      </c>
      <c r="GK149" s="27"/>
      <c r="GL149" s="159" t="str">
        <f>IF(AND(SnapshotTable[[#This Row],[LP Exp Date]]&gt;0,SnapshotTable[[#This Row],[LP Strike Price]]&gt;0), [1]!ToOptionSymbol(SnapshotTable[[#This Row],[Symbol]], SnapshotTable[[#This Row],[LP Strike Price]],SnapshotTable[[#This Row],[LP Exp Date]],1), "")</f>
        <v/>
      </c>
      <c r="GM149" s="30" t="str">
        <f>IF(LEN(SnapshotTable[[#This Row],[LP Symbol]])&gt;0, 1, "")</f>
        <v/>
      </c>
      <c r="GN149" s="43" t="str">
        <f>IF(AND(SnapshotTable[[#This Row],[SP Exp Date]]&gt;0,SnapshotTable[[#This Row],[SP Strike Price]]&gt;0), [1]!ToOptionSymbol(SnapshotTable[[#This Row],[Symbol]], SnapshotTable[[#This Row],[SP Strike Price]],SnapshotTable[[#This Row],[SP Exp Date]],1), "")</f>
        <v/>
      </c>
      <c r="GO149" s="30" t="str">
        <f>IF(LEN(SnapshotTable[[#This Row],[SP Symbol]])&gt;0, 1, "")</f>
        <v/>
      </c>
      <c r="GP149" s="159" t="str">
        <f>IF(AND(SnapshotTable[[#This Row],[LC Exp Date]]&gt;0,SnapshotTable[[#This Row],[LC Strike Price]]&gt;0), [1]!ToOptionSymbol(SnapshotTable[[#This Row],[Symbol]], SnapshotTable[[#This Row],[LC Strike Price]],SnapshotTable[[#This Row],[LC Exp Date]],0), "")</f>
        <v/>
      </c>
      <c r="GQ149" s="160" t="str">
        <f>IF(LEN(SnapshotTable[[#This Row],[LC Symbol]])&gt;0, 1, "")</f>
        <v/>
      </c>
      <c r="GR149" s="159" t="str">
        <f>IF(AND(SnapshotTable[[#This Row],[SC Exp Date]]&gt;0,SnapshotTable[[#This Row],[SC Strike Price]]&gt;0), [1]!ToOptionSymbol(SnapshotTable[[#This Row],[Symbol]], SnapshotTable[[#This Row],[SC Strike Price]],SnapshotTable[[#This Row],[SC Exp Date]],0), "")</f>
        <v/>
      </c>
      <c r="GS149" s="160" t="str">
        <f>IF(LEN(SnapshotTable[[#This Row],[SC Symbol]])&gt;0, 1, "")</f>
        <v/>
      </c>
      <c r="GT149" s="161" t="str">
        <f>IF(COUNT(SnapshotTable[[#This Row],[LP Symbol Count]],SnapshotTable[[#This Row],[SP Symbol Count]],SnapshotTable[[#This Row],[LC Symbol Count]],SnapshotTable[[#This Row],[SC Symbol Count]])&gt;0, "Y", "")</f>
        <v/>
      </c>
      <c r="GU14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9" s="231" t="e">
        <f>MAX(SnapshotTable[[#This Row],[Equity Basis Total]],SnapshotTable[[#This Row],[Equity Value]]) + (SnapshotTable[[#This Row],[SP Potential Spend]]- SnapshotTable[[#This Row],[SP Premium]] + SnapshotTable[[#This Row],[LP Premium]])+ (SnapshotTable[[#This Row],[LC Premium]] - SnapshotTable[[#This Row],[SC Premium]])</f>
        <v>#VALUE!</v>
      </c>
      <c r="GW149" s="139" t="e">
        <f>IF(AND(SnapshotTable[[#This Row],[Exposure]] &lt;&gt; 0),SnapshotTable[[#This Row],[Exposure]] / SnapshotTable[[#Totals],[Exposure]], "")</f>
        <v>#VALUE!</v>
      </c>
      <c r="HE149" s="268"/>
      <c r="HF149" s="268"/>
      <c r="HK149" s="1"/>
      <c r="HL149" s="1"/>
      <c r="HM149" s="1"/>
      <c r="HN149" s="1"/>
      <c r="HO149" s="1"/>
      <c r="HP149" s="1"/>
    </row>
    <row r="150" spans="2:224" ht="12.75" hidden="1" customHeight="1" x14ac:dyDescent="0.25">
      <c r="B150" s="12" t="s">
        <v>216</v>
      </c>
      <c r="C150" s="422">
        <v>139.63</v>
      </c>
      <c r="D150" s="208"/>
      <c r="E150" s="39">
        <f>SnapshotTable[[#This Row],[Last Price]]*(1 -CrashDiscount)</f>
        <v>118.68549999999999</v>
      </c>
      <c r="F150" s="26" t="s">
        <v>215</v>
      </c>
      <c r="G150" s="26" t="s">
        <v>20</v>
      </c>
      <c r="H150" s="149"/>
      <c r="I150" s="194">
        <v>44776.288194444445</v>
      </c>
      <c r="J150" s="195">
        <v>44776.288194444445</v>
      </c>
      <c r="K150" s="196"/>
      <c r="L150" s="326"/>
      <c r="M150" s="140"/>
      <c r="N150" s="140"/>
      <c r="O150" s="140"/>
      <c r="P150" s="22"/>
      <c r="Q150" s="25"/>
      <c r="R150" s="4" t="str">
        <f>IF(SnapshotTable[[#This Row],[Equity Basis Total]] &gt; 0, SnapshotTable[[#This Row],[Equity Basis Total]] / SnapshotTable[[#This Row],[Equity Shares]], "")</f>
        <v/>
      </c>
      <c r="S150" s="269">
        <f>SnapshotTable[[#This Row],[Last Price]] * SnapshotTable[[#This Row],[Equity Shares]]</f>
        <v>0</v>
      </c>
      <c r="T150" s="269">
        <f>SnapshotTable[[#This Row],[Equity Value]] - SnapshotTable[[#This Row],[Equity Basis Total]]</f>
        <v>0</v>
      </c>
      <c r="U150" s="270" t="str">
        <f>IF(SnapshotTable[[#This Row],[Equity Basis Total]] &gt; 0, SnapshotTable[[#This Row],[Equity G/L]] / SnapshotTable[[#This Row],[Equity Basis Total]], "")</f>
        <v/>
      </c>
      <c r="V150" s="268"/>
      <c r="W150" s="268"/>
      <c r="X150" s="4" t="str">
        <f>IF(AND(ISNUMBER(SnapshotTable[[#This Row],[Equity Basis Per Share]]),ISNUMBER(SnapshotTable[[#This Row],[Equity Target]])),SnapshotTable[[#This Row],[Equity Target]]-SnapshotTable[[#This Row],[Equity Basis Per Share]],"")</f>
        <v/>
      </c>
      <c r="Y150" s="4" t="str">
        <f>IF(AND(ISNUMBER(SnapshotTable[[#This Row],[Equity Basis Per Share]]),ISNUMBER(SnapshotTable[[#This Row],[Equity Stop Loss]])),SnapshotTable[[#This Row],[Equity Stop Loss]]-SnapshotTable[[#This Row],[Equity Basis Per Share]],"")</f>
        <v/>
      </c>
      <c r="Z150" s="275" t="str">
        <f>IFERROR( TEXT(SnapshotTable[[#This Row],[Equity Max Gain Per Share]] /ABS( SnapshotTable[[#This Row],[Equity Max Loss Per Share]]),"0.0 " ) &amp; " : 1", "")</f>
        <v/>
      </c>
      <c r="AA150" s="31" t="str">
        <f>IF(ISNUMBER(SnapshotTable[[#This Row],[Equity Max Gain Per Share]]),SnapshotTable[[#This Row],[Equity Max Gain Per Share]] * SnapshotTable[[#This Row],[Equity Shares]],"")</f>
        <v/>
      </c>
      <c r="AB150" s="31" t="str">
        <f>IF(ISNUMBER(SnapshotTable[[#This Row],[Equity Max Loss Per Share]]),SnapshotTable[[#This Row],[Equity Max Loss Per Share]] * SnapshotTable[[#This Row],[Equity Shares]],"")</f>
        <v/>
      </c>
      <c r="AC150" s="150">
        <v>1.88</v>
      </c>
      <c r="AD150" s="151">
        <v>42348</v>
      </c>
      <c r="AE150" s="31">
        <f>(SnapshotTable[[#This Row],[Annual Dividend Per Share]] / 4) * SnapshotTable[[#This Row],[Equity Shares]]</f>
        <v>0</v>
      </c>
      <c r="AF150" s="31">
        <f>SnapshotTable[[#This Row],[Quarterly Div $]] * 4</f>
        <v>0</v>
      </c>
      <c r="AG150" s="7">
        <f>IF(SnapshotTable[[#This Row],[Annual Dividend Per Share]]&gt;0, SnapshotTable[[#This Row],[Annual Dividend Per Share]]  / SnapshotTable[[#This Row],[Last Price]], 0)</f>
        <v>1.3464155267492658E-2</v>
      </c>
      <c r="AH150" s="151">
        <v>42226</v>
      </c>
      <c r="AI150" s="5">
        <v>80</v>
      </c>
      <c r="AJ150" s="138">
        <v>72.260000000000005</v>
      </c>
      <c r="AK150" s="152">
        <f>IF(ISNUMBER( SnapshotTable[[#This Row],[EBF Target]]),(SnapshotTable[[#This Row],[EBF Target]] - SnapshotTable[[#This Row],[Last Price]]) / SnapshotTable[[#This Row],[Last Price]], "")</f>
        <v>-0.42705722265988683</v>
      </c>
      <c r="AL150" s="152" t="str">
        <f>IF(AND(SnapshotTable[[#This Row],[Equity Basis Total]] &gt; 0,ISNUMBER( SnapshotTable[[#This Row],[Long Term Target]])), SnapshotTable[[#This Row],[From Basis $]] / SnapshotTable[[#This Row],[Equity Basis Total]], "")</f>
        <v/>
      </c>
      <c r="AM150" s="9">
        <f>IF( AND(SnapshotTable[[#This Row],[Equity Shares]] &gt;0,ISNUMBER( SnapshotTable[[#This Row],[Long Term Target]])),(SnapshotTable[[#This Row],[Equity Shares]] * SnapshotTable[[#This Row],[Long Term Target]]) - SnapshotTable[[#This Row],[Equity Basis Total]],0)</f>
        <v>0</v>
      </c>
      <c r="AN150" s="9">
        <f>IF( AND(SnapshotTable[[#This Row],[Equity Shares]] &gt;0,ISNUMBER( SnapshotTable[[#This Row],[Long Term Target]])),(SnapshotTable[[#This Row],[Equity Shares]]*SnapshotTable[[#This Row],[Long Term Target]]) - SnapshotTable[[#This Row],[Equity Value]],0)</f>
        <v>0</v>
      </c>
      <c r="AO150" s="152">
        <f>IF(AND(ISNUMBER( SnapshotTable[[#This Row],[Long Term Target]]), ISNUMBER(SnapshotTable[[#This Row],[Last Price]])),(SnapshotTable[[#This Row],[Long Term Target]] - SnapshotTable[[#This Row],[Last Price]]) / SnapshotTable[[#This Row],[Last Price]], "")</f>
        <v>-0.48248943636754271</v>
      </c>
      <c r="AP150" s="5"/>
      <c r="AQ150" s="38"/>
      <c r="AR150" s="5"/>
      <c r="AS150" s="38"/>
      <c r="AT150" s="146"/>
      <c r="AU150" s="187" t="str">
        <f>IF(OR(SnapshotTable[[#This Row],[LP No Fill]]="Y",SnapshotTable[[#This Row],[SP Is Filled]],SnapshotTable[[#This Row],[LC Not Filled]]="Y",SnapshotTable[[#This Row],[SC Is Filled]]),"Y","")</f>
        <v/>
      </c>
      <c r="AV150" s="219"/>
      <c r="AW150" s="225"/>
      <c r="AX150" s="220"/>
      <c r="AY150" s="219" t="str">
        <f>IF(SnapshotTable[[#This Row],[Implied Move]]&gt;0, SnapshotTable[[#This Row],[Last Price]]-SnapshotTable[[#This Row],[Implied Move]],"")</f>
        <v/>
      </c>
      <c r="AZ150" s="219" t="str">
        <f>IF(SnapshotTable[[#This Row],[Implied Move]]&gt;0, SnapshotTable[[#This Row],[Last Price]] + SnapshotTable[[#This Row],[Implied Move]],"")</f>
        <v/>
      </c>
      <c r="BA150" s="331"/>
      <c r="BB150" s="347"/>
      <c r="BC15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0" s="351"/>
      <c r="BE150" s="5"/>
      <c r="BF150" s="14"/>
      <c r="BG150" s="13"/>
      <c r="BH150" s="13"/>
      <c r="BI150" s="5"/>
      <c r="BJ150" s="136">
        <f>IF(SnapshotTable[[#This Row],[LP Qty]] &gt; 0, SnapshotTable[[#This Row],[LP Qty]] * SnapshotTable[[#This Row],[LP Book Price]] * 100,0)</f>
        <v>0</v>
      </c>
      <c r="BK150" s="136">
        <f>IF(SnapshotTable[[#This Row],[LP Premium]] &gt; 0, SnapshotTable[[#This Row],[LP Qty]] * SnapshotTable[[#This Row],[LP Strike Price]] * 100,0)</f>
        <v>0</v>
      </c>
      <c r="BL150" s="154"/>
      <c r="BM150" s="385" t="str">
        <f>IF(SnapshotTable[[#This Row],[LP Premium]] &gt; 0,SnapshotTable[[#This Row],[LP Exp Date]]-MAX(SnapshotTable[[#This Row],[LP Book Date]], SnapshotTable[[#This Row],[LP Fill Date]]),"")</f>
        <v/>
      </c>
      <c r="BN150" s="385" t="str">
        <f>IF(ISNUMBER( SnapshotTable[[#This Row],[LP Term]]), SnapshotTable[[#This Row],[LP Exp Date]] - MockToday,"")</f>
        <v/>
      </c>
      <c r="BO150" s="163" t="str">
        <f>IF(AND(SnapshotTable[[#This Row],[LP Exp Date]]&gt;0, SnapshotTable[[#This Row],[LP Strike Price]]&gt;0,SnapshotTable[[#This Row],[LP Qty]]&gt;0,SnapshotTable[[#This Row],[LP Book Date]]&gt;0,SnapshotTable[[#This Row],[LP Book Price]]&gt;0,SnapshotTable[[#This Row],[LP Fill Date]]=0),"Y","")</f>
        <v/>
      </c>
      <c r="BP150" s="31" t="str">
        <f>IF(AND(SnapshotTable[[#This Row],[LP No Fill]]&lt;&gt;"Y",SnapshotTable[[#This Row],[LP Contract Value]]&gt;0, SnapshotTable[[#This Row],[LP Qty]]&gt;0), SnapshotTable[[#This Row],[LP Contract Value]]*SnapshotTable[[#This Row],[LP Qty]]*100,"")</f>
        <v/>
      </c>
      <c r="BQ150" s="13"/>
      <c r="BR150" s="5" t="str">
        <f>IF(SnapshotTable[[#This Row],[SP Exp Date]]&lt;&gt;"",TRUNC(SnapshotTable[[#This Row],[Last Price]]),"")</f>
        <v/>
      </c>
      <c r="BS150" s="36"/>
      <c r="BT150" s="147"/>
      <c r="BU150" s="13"/>
      <c r="BV150" s="5"/>
      <c r="BW150" s="419" t="b">
        <f>AND(ISNUMBER(SnapshotTable[[#This Row],[SP Exp Date]]), ISNUMBER(SnapshotTable[[#This Row],[SP Strike Price]]), ISNUMBER(SnapshotTable[[#This Row],[SP Qty]]), ISNUMBER(SnapshotTable[[#This Row],[SP Book Date]]), ISNUMBER(SnapshotTable[[#This Row],[SP Book Price]]))</f>
        <v>0</v>
      </c>
      <c r="BX150" s="419" t="b">
        <f>AND(SnapshotTable[[#This Row],[SP Is Booked]], NOT(ISBLANK(SnapshotTable[[#This Row],[SP Fill Date]])))</f>
        <v>0</v>
      </c>
      <c r="BY150" s="33">
        <f>IF(SnapshotTable[[#This Row],[SP Is Booked]], SnapshotTable[[#This Row],[SP Qty]] * SnapshotTable[[#This Row],[SP Book Price]] * 100, 0)</f>
        <v>0</v>
      </c>
      <c r="BZ150" s="369"/>
      <c r="CA150" s="368">
        <f>SnapshotTable[[#This Row],[LP Qty]]</f>
        <v>0</v>
      </c>
      <c r="CB150" s="4" t="str">
        <f>IF(SnapshotTable[[#This Row],[SP Is Booked]], SnapshotTable[[#This Row],[SP Strike Price]] - SnapshotTable[[#This Row],[SP Book Price]], "")</f>
        <v/>
      </c>
      <c r="CC150" s="19" t="str">
        <f>IF(SnapshotTable[[#This Row],[SP Is Booked]],SnapshotTable[[#This Row],[SP Exp Date]]-MAX(SnapshotTable[[#This Row],[SP Book Date]], SnapshotTable[[#This Row],[SP Fill Date]]),"")</f>
        <v/>
      </c>
      <c r="CD150" s="7" t="str">
        <f>IF(SnapshotTable[[#This Row],[SP Is Booked]], SnapshotTable[[#This Row],[SP Book Price]]/SnapshotTable[[#This Row],[SP Strike Price]], "")</f>
        <v/>
      </c>
      <c r="CE150" s="7" t="str">
        <f>IF(ISNUMBER(SnapshotTable[[#This Row],[SP ROO Term]]),SnapshotTable[[#This Row],[SP ROO Term]]*(365/SnapshotTable[[#This Row],[SP Term]]),"")</f>
        <v/>
      </c>
      <c r="CF150" s="236">
        <f>SnapshotTable[[#This Row],[LP Strike Price]] * SnapshotTable[[#This Row],[LP Qty]] * 100</f>
        <v>0</v>
      </c>
      <c r="CG150" s="31" t="e">
        <f>IF(ISNUMBER(SnapshotTable[[#This Row],[SP Premium]]), (SnapshotTable[[#This Row],[SP Qty]] * SnapshotTable[[#This Row],[SP Strike Price]]* 100) - SnapshotTable[[#This Row],[LP Protection]], 0)</f>
        <v>#VALUE!</v>
      </c>
      <c r="CH150" s="7" t="str">
        <f>IF(ISNUMBER(SnapshotTable[[#This Row],[SP Break Even]]),-1 * (SnapshotTable[[#This Row],[SP Break Even]] - SnapshotTable[[#This Row],[Last Price]]) / SnapshotTable[[#This Row],[Last Price]], "")</f>
        <v/>
      </c>
      <c r="CI150" s="31">
        <f>IF(AND(ISNUMBER((SnapshotTable[[#This Row],[SP Potential Spend]])), SnapshotTable[[#This Row],[SP Strike Price]] &gt; SnapshotTable[[#This Row],[Last Price]], SnapshotTable[[#This Row],[SP Is Filled]]), SnapshotTable[[#This Row],[SP Potential Spend]] -  SnapshotTable[[#This Row],[LP Max Value]], 0)</f>
        <v>0</v>
      </c>
      <c r="CJ150" s="244"/>
      <c r="CK150" s="31" t="str">
        <f>IF(ISNUMBER(SnapshotTable[[#This Row],[SP Potential Spend]]),IF(ISNUMBER(SnapshotTable[[#This Row],[SP POW]]), SnapshotTable[[#This Row],[SP POW]] * SnapshotTable[[#This Row],[SP Potential Spend]], SnapshotTable[[#This Row],[SP Potential Spend]]), "")</f>
        <v/>
      </c>
      <c r="CL150" s="164" t="e">
        <f>IF(NOT(SnapshotTable[[#This Row],[SP Is Filled]]),(SnapshotTable[[#This Row],[SP Qty]] * SnapshotTable[[#This Row],[SP Strike Price]] * 100) - SnapshotTable[[#This Row],[LP Max Value]],"")</f>
        <v>#VALUE!</v>
      </c>
      <c r="CM150" s="31" t="str">
        <f>IF(SnapshotTable[[#This Row],[SP Actual Spend]]&lt;&gt;0, ((SnapshotTable[[#This Row],[SP Strike Price]]-SnapshotTable[[#This Row],[Last Price]]) *(SnapshotTable[[#This Row],[SP Qty]]*100) - SnapshotTable[[#This Row],[SP Premium]]) * - 1, "")</f>
        <v/>
      </c>
      <c r="CN150" s="78"/>
      <c r="CO150" s="369"/>
      <c r="CP150" s="4" t="str">
        <f>IF(SnapshotTable[[#This Row],[SP Is Filled]], btc_max_buyback_amount(SnapshotTable[[#This Row],[SP Fill Date]],SnapshotTable[[#This Row],[SP Exp Date]], SnapshotTable[[#This Row],[SP Book Price]]),"")</f>
        <v/>
      </c>
      <c r="CQ150" s="78"/>
      <c r="CR15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0" s="155" t="str">
        <f>IF(SnapshotTable[[#This Row],[SP Is Filled]], btc_next_cutoff_date(SnapshotTable[[#This Row],[SP Fill Date]],SnapshotTable[[#This Row],[SP Exp Date]]),"")</f>
        <v/>
      </c>
      <c r="CT150" s="235" t="str" cm="1">
        <f t="array" ref="CT150">IF(SnapshotTable[[#This Row],[SP Is Filled]], btc_should_buy_back(SnapshotTable[[#This Row],[SP Fill Date]], SnapshotTable[[#This Row],[SP Exp Date]], SnapshotTable[[#This Row],[SP Book Price]], SnapshotTable[[#This Row],[SP Current Ask]], MockToday, SnapshotTable[[#This Row],[SP Buyback Override]]),"")</f>
        <v/>
      </c>
      <c r="CU150" s="143"/>
      <c r="CV150" s="235"/>
      <c r="CW150" s="378" t="str">
        <f>IF(ISNUMBER( SnapshotTable[[#This Row],[SP Term]]), SnapshotTable[[#This Row],[SP Exp Date]] - MockToday,"")</f>
        <v/>
      </c>
      <c r="CX150" s="31" t="str">
        <f>IF(SnapshotTable[[#This Row],[SP Is Filled]],SnapshotTable[[#This Row],[SP Buyback Price to Use]] * 100 * SnapshotTable[[#This Row],[SP Qty]], "")</f>
        <v/>
      </c>
      <c r="CY150" s="4" t="str">
        <f>IF(ISNUMBER(SnapshotTable[[#This Row],[SP Strike Price]]), SnapshotTable[[#This Row],[SP Strike Price]] * (1 - SP_MaxLoss_StrikePct), "")</f>
        <v/>
      </c>
      <c r="CZ150" s="31" t="str">
        <f>IF(ISNUMBER(SnapshotTable[[#This Row],[SP Strike  Stop Per Share]]),SnapshotTable[[#This Row],[SP Premium]] - ((SnapshotTable[[#This Row],[SP Strike Price]]-SnapshotTable[[#This Row],[SP Strike  Stop Per Share]]) *(SnapshotTable[[#This Row],[SP Qty]] * 100)),"")</f>
        <v/>
      </c>
      <c r="DA150" s="4" t="str">
        <f>IF(AND(ISNUMBER(SnapshotTable[[#This Row],[SP Premium]]),SnapshotTable[[#This Row],[SP Premium]]&gt;0), SnapshotTable[[#This Row],[SP Book Price]] * (1 + SP_MaxLoss_OptionPct), "")</f>
        <v/>
      </c>
      <c r="DB150" s="31" t="str">
        <f>IF(ISNUMBER(SnapshotTable[[#This Row],[SP Option  Stop Contract]]),(SnapshotTable[[#This Row],[SP Option  Stop Contract]] *(SnapshotTable[[#This Row],[SP Qty]] * 100) - SnapshotTable[[#This Row],[SP Premium]]),"")</f>
        <v/>
      </c>
      <c r="DC150" s="4"/>
      <c r="DD150" s="4"/>
      <c r="DE150" s="4" t="str">
        <f>IF(AND(SnapshotTable[[#This Row],[SP Qty]]&gt;0, SnapshotTable[[#This Row],[SP Stop To Use]]&gt;0),SnapshotTable[[#This Row],[SP Premium]] - ( SnapshotTable[[#This Row],[SP Qty]] * SnapshotTable[[#This Row],[SP Stop To Use]] * 100), "")</f>
        <v/>
      </c>
      <c r="DF150" s="31" t="str">
        <f>IF(AND(SnapshotTable[[#This Row],[SP Qty]]&gt;0,SnapshotTable[[#This Row],[SP Current Ask]]&gt;0), SnapshotTable[[#This Row],[SP Qty]] * SnapshotTable[[#This Row],[SP Current Ask]] * -100, "")</f>
        <v/>
      </c>
      <c r="DG150" s="31" t="str">
        <f>IF(ISNUMBER((SnapshotTable[[#This Row],[SP Total Value]])), SnapshotTable[[#This Row],[SP Premium]] + SnapshotTable[[#This Row],[SP Total Value]], "")</f>
        <v/>
      </c>
      <c r="DH150" s="294" t="str">
        <f>IF(ISNUMBER((SnapshotTable[[#This Row],[SP Total Value]])), SnapshotTable[[#This Row],[SP Gain Loss]] / SnapshotTable[[#This Row],[SP Premium]], "")</f>
        <v/>
      </c>
      <c r="DI150" s="406"/>
      <c r="DJ150" s="138"/>
      <c r="DK150" s="148"/>
      <c r="DL150" s="13"/>
      <c r="DM150" s="13"/>
      <c r="DO150" s="31">
        <f>IF(SnapshotTable[[#This Row],[LC Symbol Count]]=1, SnapshotTable[[#This Row],[LC Qty]] * SnapshotTable[[#This Row],[LC Book Price]] * 100, 0)</f>
        <v>0</v>
      </c>
      <c r="DP150" s="163" t="str">
        <f>IF(AND(SnapshotTable[[#This Row],[LC Exp Date]]&gt;0, SnapshotTable[[#This Row],[LC Strike Price]]&gt;0,SnapshotTable[[#This Row],[LC Qty]]&gt;0,SnapshotTable[[#This Row],[LC Book Date]]&gt;0,SnapshotTable[[#This Row],[LC Book Price]]&gt;0,SnapshotTable[[#This Row],[LC Fill Date]]=0),"Y","")</f>
        <v/>
      </c>
      <c r="DQ150" s="386" t="str">
        <f>IF(SnapshotTable[[#This Row],[LC Premium]] &gt; 0,SnapshotTable[[#This Row],[LC Exp Date]]-MAX(SnapshotTable[[#This Row],[LC Book Date]], SnapshotTable[[#This Row],[LC Fill Date]]),"")</f>
        <v/>
      </c>
      <c r="DR150" s="386" t="str">
        <f>IF(ISNUMBER(SnapshotTable[[#This Row],[LC Term]]), SnapshotTable[[#This Row],[LC Exp Date]] - MockToday, "")</f>
        <v/>
      </c>
      <c r="DS150" s="234" t="str">
        <f>IF(SnapshotTable[[#This Row],[LC Premium]]&gt;0,SnapshotTable[[#This Row],[LC Strike Price]] + SnapshotTable[[#This Row],[LC Book Price]],"")</f>
        <v/>
      </c>
      <c r="DU150" s="9" t="str">
        <f>IF(AND(SnapshotTable[[#This Row],[LC Symbol Count]]&gt;0, SnapshotTable[[#This Row],[LC Contract Value]]&gt;0), SnapshotTable[[#This Row],[LC Contract Value]] * SnapshotTable[[#This Row],[LC Qty]] * 100, "")</f>
        <v/>
      </c>
      <c r="DV150" s="9" t="str">
        <f>IF(AND(ISNUMBER(SnapshotTable[[#This Row],[LC Total Value]]), SnapshotTable[[#This Row],[LC Not Filled]]&lt;&gt;"Y"), SnapshotTable[[#This Row],[LC Total Value]]-SnapshotTable[[#This Row],[LC Premium]],"")</f>
        <v/>
      </c>
      <c r="DW150" s="240" t="str">
        <f>IF(ISNUMBER(SnapshotTable[[#This Row],[LC Actual Gain Loss]]), SnapshotTable[[#This Row],[LC Actual Gain Loss]] / SnapshotTable[[#This Row],[LC Premium]],"")</f>
        <v/>
      </c>
      <c r="DX150" s="284" t="str">
        <f>IF(ISNUMBER(SnapshotTable[[#This Row],[LC Book Price]]),SnapshotTable[[#This Row],[LC Book Price]] * 1.5,"")</f>
        <v/>
      </c>
      <c r="DY150" s="265" t="str">
        <f>IF(SnapshotTable[[#This Row],[LC Premium]]&gt;0, SnapshotTable[[#This Row],[LC Next Target]] * SnapshotTable[[#This Row],[LC Qty]] * 100,"")</f>
        <v/>
      </c>
      <c r="DZ150" s="265" t="str">
        <f>IF(ISNUMBER(SnapshotTable[[#This Row],[LC Target Gross]]), SnapshotTable[[#This Row],[LC Target Gross]] - SnapshotTable[[#This Row],[LC Premium]], "")</f>
        <v/>
      </c>
      <c r="EA150" s="305" t="str">
        <f>IF(ISNUMBER(SnapshotTable[[#This Row],[LC Target Gain Loss]]), SnapshotTable[[#This Row],[LC Target Gain Loss]]/SnapshotTable[[#This Row],[LC Premium]], "")</f>
        <v/>
      </c>
      <c r="EB150" s="262"/>
      <c r="EC150" s="283" t="str">
        <f>IF(SnapshotTable[[#This Row],[LC Premium]]&gt;0, SnapshotTable[[#This Row],[LC Book Price]] * (1 - LC_StopLoss_Pct),"")</f>
        <v/>
      </c>
      <c r="ED150" s="284"/>
      <c r="EE150" s="283" t="str">
        <f>IF(ISNUMBER(SnapshotTable[[#This Row],[LC Contract Value]]),IF(ISNUMBER(SnapshotTable[[#This Row],[LC Stop Loss Override]]), SnapshotTable[[#This Row],[LC Stop Loss Override]],SnapshotTable[[#This Row],[LC Stop Loss Calc Target]]),"")</f>
        <v/>
      </c>
      <c r="EF150" s="31" t="str">
        <f>IF(ISNUMBER(SnapshotTable[[#This Row],[LC Stop  To Use]]), (SnapshotTable[[#This Row],[LC Stop  To Use]] * SnapshotTable[[#This Row],[LC Qty]] * 100),"")</f>
        <v/>
      </c>
      <c r="EG150" s="9" t="str">
        <f>IF(ISNUMBER(SnapshotTable[[#This Row],[LC Total Value]]),SnapshotTable[[#This Row],[LC Stop Loss Amount]] - SnapshotTable[[#This Row],[LC Premium]],"")</f>
        <v/>
      </c>
      <c r="EH150" s="9">
        <f>IF(ISNUMBER(SnapshotTable[[#This Row],[LC Premium]]), SnapshotTable[[#This Row],[LC Qty]] * 100 * SnapshotTable[[#This Row],[LC Strike Price]], "")</f>
        <v>0</v>
      </c>
      <c r="EI150" s="240" t="str">
        <f>IF(AND(ISNUMBER(SnapshotTable[[#This Row],[LC Total Value]]),SnapshotTable[[#This Row],[LC Total Value]]&gt;0),SnapshotTable[[#This Row],[LC Stop Gain Loss]]  / SnapshotTable[[#This Row],[LC Premium]],"")</f>
        <v/>
      </c>
      <c r="EJ150" s="35">
        <f>IF(ISNUMBER(SnapshotTable[[#This Row],[Equity Shares]]),TRUNC(SnapshotTable[[#This Row],[Equity Shares]] / 100),0) + SnapshotTable[[#This Row],[LC Qty]]</f>
        <v>0</v>
      </c>
      <c r="EK150" s="147"/>
      <c r="EL150" s="138" t="str">
        <f>IF(SnapshotTable[[#This Row],[SC Exp Date]]&lt;&gt;"",TRUNC(SnapshotTable[[#This Row],[Last Price]]),"")</f>
        <v/>
      </c>
      <c r="EM150" s="148"/>
      <c r="EN150" s="147"/>
      <c r="EO150" s="147"/>
      <c r="EP150" s="138"/>
      <c r="EQ150" s="419" t="b">
        <f>AND(ISNUMBER(SnapshotTable[[#This Row],[SC Exp Date]]), ISNUMBER(SnapshotTable[[#This Row],[SC Strike Price]]), ISNUMBER(SnapshotTable[[#This Row],[SC Qty]]), ISNUMBER(SnapshotTable[[#This Row],[SC Book Date]]), ISNUMBER(SnapshotTable[[#This Row],[SC Book Price]]))</f>
        <v>0</v>
      </c>
      <c r="ER150" s="419" t="b">
        <f>AND(SnapshotTable[[#This Row],[SC Is Booked]], NOT(ISBLANK(SnapshotTable[[#This Row],[SC Fill Date]])))</f>
        <v>0</v>
      </c>
      <c r="ES150" s="370"/>
      <c r="ET150" s="34" t="str">
        <f>IF(AND(ISNUMBER(SnapshotTable[[#This Row],[SC Exp Date]]), ISNUMBER(SnapshotTable[[#This Row],[SC Book Date]])), SnapshotTable[[#This Row],[SC Exp Date]] - MAX(SnapshotTable[[#This Row],[SC Book Date]], SnapshotTable[[#This Row],[SC Fill Date]]) + 1, "")</f>
        <v/>
      </c>
      <c r="EU150" s="34" t="str">
        <f>IF(ISNUMBER(SnapshotTable[[#This Row],[SC Term]]), SnapshotTable[[#This Row],[SC Exp Date]]- MockToday, "")</f>
        <v/>
      </c>
      <c r="EV150" s="31">
        <f>IF(SnapshotTable[[#This Row],[SC Is Booked]], SnapshotTable[[#This Row],[SC Qty]] * SnapshotTable[[#This Row],[SC Book Price]] * 100, 0)</f>
        <v>0</v>
      </c>
      <c r="EW150" s="4" t="str">
        <f>IF(AND(ISNUMBER(SnapshotTable[[#This Row],[Last Price]]), ISNUMBER( SnapshotTable[[#This Row],[SC Book Price]])), SnapshotTable[[#This Row],[Last Price]] - SnapshotTable[[#This Row],[SC Book Price]],"")</f>
        <v/>
      </c>
      <c r="EX150" s="234" t="str">
        <f>IF(SnapshotTable[[#This Row],[SC Is Booked]],IF(SnapshotTable[[#This Row],[SC Intrinsic Value]] &gt; 0, SnapshotTable[[#This Row],[SC Strike Price]], SnapshotTable[[#This Row],[Last Price]]), "")</f>
        <v/>
      </c>
      <c r="EY150" s="4">
        <f>IF(SnapshotTable[[#This Row],[SC Is Booked]], (MinimumPremiumRequired * SnapshotTable[[#This Row],[SC Basis]] * SnapshotTable[[#This Row],[SC Term]]), 0)</f>
        <v>0</v>
      </c>
      <c r="EZ150" s="283"/>
      <c r="FA150" s="218"/>
      <c r="FB150" s="370"/>
      <c r="FC150" s="4">
        <f>IF(SnapshotTable[[#This Row],[SC Is Filled]], btc_max_buyback_amount(SnapshotTable[[#This Row],[SC Fill Date]],SnapshotTable[[#This Row],[SC Exp Date]], SnapshotTable[[#This Row],[SC Book Price]]),0)</f>
        <v>0</v>
      </c>
      <c r="FD150" s="5"/>
      <c r="FE150" s="144" t="str">
        <f>IF(SnapshotTable[[#This Row],[SC Is Filled]], btc_next_cutoff_date(SnapshotTable[[#This Row],[SC Fill Date]],SnapshotTable[[#This Row],[SC Exp Date]]),"")</f>
        <v/>
      </c>
      <c r="FF150" s="4" t="str" cm="1">
        <f t="array" ref="FF150">IF(SnapshotTable[[#This Row],[SC Is Filled]], btc_should_buy_back(SnapshotTable[[#This Row],[SC Fill Date]], SnapshotTable[[#This Row],[SC Exp Date]], SnapshotTable[[#This Row],[SC Book Price]], SnapshotTable[[#This Row],[SC Current Ask]], MockToday, SnapshotTable[[#This Row],[SC Buyback Override]]),"")</f>
        <v/>
      </c>
      <c r="FG150" s="4">
        <f>IF(SnapshotTable[[#This Row],[SC Is Filled]], MAX(0,SnapshotTable[[#This Row],[Last Price]]  - SnapshotTable[[#This Row],[SC Strike Price]]), 0)</f>
        <v>0</v>
      </c>
      <c r="FH150" s="382">
        <f>IF(SnapshotTable[[#This Row],[SC Is Filled]], IF(ISNUMBER(SnapshotTable[[#This Row],[SC Current Ask]]), SnapshotTable[[#This Row],[SC Current Ask]], SnapshotTable[[#This Row],[SC Book Price]]) - SnapshotTable[[#This Row],[SC Intrinsic Value]], 0)</f>
        <v>0</v>
      </c>
      <c r="FI150" s="143"/>
      <c r="FJ150" s="32" t="str">
        <f>IF(SnapshotTable[[#This Row],[SC Is Filled]],100 * SnapshotTable[[#This Row],[SC Qty]] * IF(ISNUMBER(SnapshotTable[[#This Row],[SC Buyback Override]]), SnapshotTable[[#This Row],[SC Buyback Override]], SnapshotTable[[#This Row],[SC Current Ask]]), "")</f>
        <v/>
      </c>
      <c r="FK150" s="250" t="str">
        <f>IF(SnapshotTable[[#This Row],[SC Time Val]]&gt;0, SnapshotTable[[#This Row],[SC Time Val]] / SnapshotTable[[#This Row],[Last Price]],"")</f>
        <v/>
      </c>
      <c r="FL150" s="302" t="str">
        <f>IF(SnapshotTable[[#This Row],[SC Is Booked]], ((SnapshotTable[[#This Row],[Last Price]] -SnapshotTable[[#This Row],[SC Strike Price]]) / SnapshotTable[[#This Row],[Last Price]]) * -1, "")</f>
        <v/>
      </c>
      <c r="FM150" s="157" t="str">
        <f>IF(SnapshotTable[[#This Row],[SC Is Booked]],  (SnapshotTable[[#This Row],[SC Qty]] * 100 * SnapshotTable[[#This Row],[SC Strike Price]]) - SnapshotTable[[#This Row],[SC Current Ask]], "")</f>
        <v/>
      </c>
      <c r="FN15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0" s="31" t="str">
        <f>IF(AND(ISNUMBER(SnapshotTable[[#This Row],[SC Exercise Gross]]), ISNUMBER(SnapshotTable[[#This Row],[Equity Basis Per Share]] )), SnapshotTable[[#This Row],[SC Exercise Gross]] - SnapshotTable[[#This Row],[Equity Basis Total]] +  SnapshotTable[[#This Row],[SC Premium]], "")</f>
        <v/>
      </c>
      <c r="FP150" s="5" t="str">
        <f>IF(ISNUMBER(SnapshotTable[[#This Row],[SC Exercise Gross]]), (SnapshotTable[[#This Row],[SC Exercise Gross]]) / (SnapshotTable[[#This Row],[SC Qty]] * 100), "")</f>
        <v/>
      </c>
      <c r="FQ150" s="27" t="str">
        <f>IF(SnapshotTable[[#This Row],[SC Is Booked]],SnapshotTable[[#This Row],[SC Time Val]] /SnapshotTable[[#This Row],[SC Basis]], "")</f>
        <v/>
      </c>
      <c r="FR150" s="27" t="str" cm="1">
        <f t="array" ref="FR150">IF(AND(ISNUMBER(SnapshotTable[[#This Row],[SC Term]]),ISNUMBER(SnapshotTable[[#This Row],[SC Simple ROO]])), EllmanAnnualize(SnapshotTable[[#This Row],[SC DTE]], SnapshotTable[[#This Row],[SC Simple ROO]] ),"")</f>
        <v/>
      </c>
      <c r="FS150" s="4" t="e">
        <f>IF(SnapshotTable[[#This Row],[SC Strike Price]] &gt; SnapshotTable[[#This Row],[Last Price]], SnapshotTable[[#This Row],[SC Strike Price]] - SnapshotTable[[#This Row],[Last Price]],0)</f>
        <v>#VALUE!</v>
      </c>
      <c r="FT150" s="27" t="e">
        <f>IF(AND(ISNUMBER(SnapshotTable[[#This Row],[SC Upside Potential]]), SnapshotTable[[#This Row],[SC Upside Potential]] &gt; 0),(SnapshotTable[[#This Row],[SC Upside Potential]]/ SnapshotTable[[#This Row],[ACB]]),"")</f>
        <v>#VALUE!</v>
      </c>
      <c r="FU150" s="333" t="str">
        <f>IF(SnapshotTable[[#This Row],[SC Intrinsic Value]] &gt; 0,SnapshotTable[[#This Row],[SC Intrinsic Value]],"")</f>
        <v/>
      </c>
      <c r="FV150" s="27" t="str">
        <f>IF(AND( ISNUMBER( SnapshotTable[[#This Row],[ACB]]),ISNUMBER(SnapshotTable[[#This Row],[SC Downside Protect]])),SnapshotTable[[#This Row],[SC Downside Protect]] / SnapshotTable[[#This Row],[ACB]],"")</f>
        <v/>
      </c>
      <c r="FW150" s="236" t="str">
        <f>IF(AND(ISNUMBER(SnapshotTable[[#This Row],[SC Simple ROO]]),SnapshotTable[[#This Row],[SC Simple ROO]] &gt; 0), SnapshotTable[[#This Row],[SC Premium]] + (SnapshotTable[[#This Row],[SC Qty]] * SnapshotTable[[#This Row],[SC Upside Potential]]), "")</f>
        <v/>
      </c>
      <c r="FX150" s="302" t="str" cm="1">
        <f t="array" ref="FX150">IF(ISNUMBER(SnapshotTable[[#This Row],[SC Max Dollars]]), annualize(SnapshotTable[[#This Row],[SC Term]],(SnapshotTable[[#This Row],[SC Max Dollars]]/SnapshotTable[[#This Row],[SC Basis]])),"")</f>
        <v/>
      </c>
      <c r="FY150" s="236" t="str">
        <f>IF(AND(SnapshotTable[[#This Row],[SC Qty]]&gt;0,SnapshotTable[[#This Row],[SC Current Ask]]&gt;0), SnapshotTable[[#This Row],[SC Qty]] * SnapshotTable[[#This Row],[SC Current Ask]] * -100, "")</f>
        <v/>
      </c>
      <c r="FZ150" s="31" t="str">
        <f>IF(ISNUMBER((SnapshotTable[[#This Row],[SC Current Value]])), SnapshotTable[[#This Row],[SC Premium]] + SnapshotTable[[#This Row],[SC Current Value]], "")</f>
        <v/>
      </c>
      <c r="GA150" s="294" t="str">
        <f>IFERROR( IF(ISNUMBER((SnapshotTable[[#This Row],[SC Current Value]])), SnapshotTable[[#This Row],[SC Gain Loss]] / SnapshotTable[[#This Row],[SC Premium]], ""), "")</f>
        <v/>
      </c>
      <c r="GB150" s="42">
        <f>SnapshotTable[[#This Row],[Equity Shares]] * SaleSharesToConsiderPercentage</f>
        <v>0</v>
      </c>
      <c r="GC150" s="40">
        <f>SnapshotTable[[#This Row],[Long Term Target]] * SellingPriceToConsiderBasedOnTargetPercentage</f>
        <v>68.647000000000006</v>
      </c>
      <c r="GD150" s="40">
        <f>SnapshotTable[[#This Row],[Last Price]] * (1+ SellingPriceToConsiderBasedOnTargetPercentage)</f>
        <v>272.27850000000001</v>
      </c>
      <c r="GE150" s="41"/>
      <c r="GF150" s="40"/>
      <c r="GG150" s="31">
        <f>SnapshotTable[[#This Row],[Booked Sale Shares]] * SnapshotTable[[#This Row],[Booked Sale Price]]</f>
        <v>0</v>
      </c>
      <c r="GH150" s="31" t="str">
        <f>IF(SnapshotTable[[#This Row],[Equity Basis Total]] &gt; 0, SnapshotTable[[#This Row],[Equity Basis Per Share]] * SnapshotTable[[#This Row],[Booked Sale Shares]], "")</f>
        <v/>
      </c>
      <c r="GI150" s="31">
        <f>IF(SnapshotTable[[#This Row],[Sale Proceeds]]&gt;0, SnapshotTable[[#This Row],[Sale Proceeds]] - SnapshotTable[[#This Row],[Sale Basis]], 0)</f>
        <v>0</v>
      </c>
      <c r="GJ150" s="27" t="str">
        <f>IF(SnapshotTable[[#This Row],[Sale G/L]]&gt;0, SnapshotTable[[#This Row],[Sale G/L]] / SnapshotTable[[#This Row],[Sale Basis]], IF(ISNUMBER(SnapshotTable[[#This Row],[SC Exercise P&amp;L (TAX)]]), SnapshotTable[[#This Row],[SC Exercise P&amp;L (TAX)]] / SnapshotTable[[#This Row],[SC Basis]], ""))</f>
        <v/>
      </c>
      <c r="GK150" s="27" t="s">
        <v>694</v>
      </c>
      <c r="GL150" s="43" t="str">
        <f>IF(AND(SnapshotTable[[#This Row],[LP Exp Date]]&gt;0,SnapshotTable[[#This Row],[LP Strike Price]]&gt;0), [1]!ToOptionSymbol(SnapshotTable[[#This Row],[Symbol]], SnapshotTable[[#This Row],[LP Strike Price]],SnapshotTable[[#This Row],[LP Exp Date]],1), "")</f>
        <v/>
      </c>
      <c r="GM150" s="30" t="str">
        <f>IF(LEN(SnapshotTable[[#This Row],[LP Symbol]])&gt;0, 1, "")</f>
        <v/>
      </c>
      <c r="GN150" s="43" t="str">
        <f>IF(AND(SnapshotTable[[#This Row],[SP Exp Date]]&gt;0,SnapshotTable[[#This Row],[SP Strike Price]]&gt;0), [1]!ToOptionSymbol(SnapshotTable[[#This Row],[Symbol]], SnapshotTable[[#This Row],[SP Strike Price]],SnapshotTable[[#This Row],[SP Exp Date]],1), "")</f>
        <v/>
      </c>
      <c r="GO150" s="30" t="str">
        <f>IF(LEN(SnapshotTable[[#This Row],[SP Symbol]])&gt;0, 1, "")</f>
        <v/>
      </c>
      <c r="GP150" s="43" t="str">
        <f>IF(AND(SnapshotTable[[#This Row],[LC Exp Date]]&gt;0,SnapshotTable[[#This Row],[LC Strike Price]]&gt;0), [1]!ToOptionSymbol(SnapshotTable[[#This Row],[Symbol]], SnapshotTable[[#This Row],[LC Strike Price]],SnapshotTable[[#This Row],[LC Exp Date]],0), "")</f>
        <v/>
      </c>
      <c r="GQ150" s="30" t="str">
        <f>IF(LEN(SnapshotTable[[#This Row],[LC Symbol]])&gt;0, 1, "")</f>
        <v/>
      </c>
      <c r="GR150" s="43" t="str">
        <f>IF(AND(SnapshotTable[[#This Row],[SC Exp Date]]&gt;0,SnapshotTable[[#This Row],[SC Strike Price]]&gt;0), [1]!ToOptionSymbol(SnapshotTable[[#This Row],[Symbol]], SnapshotTable[[#This Row],[SC Strike Price]],SnapshotTable[[#This Row],[SC Exp Date]],0), "")</f>
        <v/>
      </c>
      <c r="GS150" s="30" t="str">
        <f>IF(LEN(SnapshotTable[[#This Row],[SC Symbol]])&gt;0, 1, "")</f>
        <v/>
      </c>
      <c r="GT150" s="29" t="str">
        <f>IF(COUNT(SnapshotTable[[#This Row],[LP Symbol Count]],SnapshotTable[[#This Row],[SP Symbol Count]],SnapshotTable[[#This Row],[LC Symbol Count]],SnapshotTable[[#This Row],[SC Symbol Count]])&gt;0, "Y", "")</f>
        <v/>
      </c>
      <c r="GU15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0" s="231" t="e">
        <f>MAX(SnapshotTable[[#This Row],[Equity Basis Total]],SnapshotTable[[#This Row],[Equity Value]]) + (SnapshotTable[[#This Row],[SP Potential Spend]]- SnapshotTable[[#This Row],[SP Premium]] + SnapshotTable[[#This Row],[LP Premium]])+ (SnapshotTable[[#This Row],[LC Premium]] - SnapshotTable[[#This Row],[SC Premium]])</f>
        <v>#VALUE!</v>
      </c>
      <c r="GW150" s="139" t="e">
        <f>IF(AND(SnapshotTable[[#This Row],[Exposure]] &lt;&gt; 0),SnapshotTable[[#This Row],[Exposure]] / SnapshotTable[[#Totals],[Exposure]], "")</f>
        <v>#VALUE!</v>
      </c>
      <c r="HE150" s="268"/>
      <c r="HF150" s="268"/>
      <c r="HK150" s="1"/>
      <c r="HL150" s="1"/>
      <c r="HM150" s="1"/>
      <c r="HN150" s="1"/>
      <c r="HO150" s="1"/>
      <c r="HP150" s="1"/>
    </row>
    <row r="151" spans="2:224" ht="12.75" hidden="1" customHeight="1" x14ac:dyDescent="0.25">
      <c r="B151" s="12" t="s">
        <v>583</v>
      </c>
      <c r="C151" s="422">
        <v>39.58</v>
      </c>
      <c r="D151" s="208"/>
      <c r="E151" s="39">
        <f>SnapshotTable[[#This Row],[Last Price]]*(1 -CrashDiscount)</f>
        <v>33.643000000000001</v>
      </c>
      <c r="F151" s="26" t="s">
        <v>243</v>
      </c>
      <c r="G151" s="26" t="s">
        <v>9</v>
      </c>
      <c r="H151" s="149"/>
      <c r="I151" s="194">
        <v>44950</v>
      </c>
      <c r="J151" s="195">
        <v>44950</v>
      </c>
      <c r="K151" s="196"/>
      <c r="L151" s="326"/>
      <c r="M151" s="140"/>
      <c r="N151" s="140"/>
      <c r="O151" s="140"/>
      <c r="P151" s="22"/>
      <c r="Q151" s="25"/>
      <c r="R151" s="4" t="str">
        <f>IF(SnapshotTable[[#This Row],[Equity Basis Total]] &gt; 0, SnapshotTable[[#This Row],[Equity Basis Total]] / SnapshotTable[[#This Row],[Equity Shares]], "")</f>
        <v/>
      </c>
      <c r="S151" s="269">
        <f>SnapshotTable[[#This Row],[Last Price]] * SnapshotTable[[#This Row],[Equity Shares]]</f>
        <v>0</v>
      </c>
      <c r="T151" s="269">
        <f>SnapshotTable[[#This Row],[Equity Value]] - SnapshotTable[[#This Row],[Equity Basis Total]]</f>
        <v>0</v>
      </c>
      <c r="U151" s="270" t="str">
        <f>IF(SnapshotTable[[#This Row],[Equity Basis Total]] &gt; 0, SnapshotTable[[#This Row],[Equity G/L]] / SnapshotTable[[#This Row],[Equity Basis Total]], "")</f>
        <v/>
      </c>
      <c r="V151" s="268"/>
      <c r="W151" s="268"/>
      <c r="X151" s="4" t="str">
        <f>IF(AND(ISNUMBER(SnapshotTable[[#This Row],[Equity Basis Per Share]]),ISNUMBER(SnapshotTable[[#This Row],[Equity Target]])),SnapshotTable[[#This Row],[Equity Target]]-SnapshotTable[[#This Row],[Equity Basis Per Share]],"")</f>
        <v/>
      </c>
      <c r="Y151" s="4" t="str">
        <f>IF(AND(ISNUMBER(SnapshotTable[[#This Row],[Equity Basis Per Share]]),ISNUMBER(SnapshotTable[[#This Row],[Equity Stop Loss]])),SnapshotTable[[#This Row],[Equity Stop Loss]]-SnapshotTable[[#This Row],[Equity Basis Per Share]],"")</f>
        <v/>
      </c>
      <c r="Z151" s="275" t="str">
        <f>IFERROR( TEXT(SnapshotTable[[#This Row],[Equity Max Gain Per Share]] /ABS( SnapshotTable[[#This Row],[Equity Max Loss Per Share]]),"0.0 " ) &amp; " : 1", "")</f>
        <v/>
      </c>
      <c r="AA151" s="31" t="str">
        <f>IF(ISNUMBER(SnapshotTable[[#This Row],[Equity Max Gain Per Share]]),SnapshotTable[[#This Row],[Equity Max Gain Per Share]] * SnapshotTable[[#This Row],[Equity Shares]],"")</f>
        <v/>
      </c>
      <c r="AB151" s="31" t="str">
        <f>IF(ISNUMBER(SnapshotTable[[#This Row],[Equity Max Loss Per Share]]),SnapshotTable[[#This Row],[Equity Max Loss Per Share]] * SnapshotTable[[#This Row],[Equity Shares]],"")</f>
        <v/>
      </c>
      <c r="AC151" s="150"/>
      <c r="AD151" s="151"/>
      <c r="AE151" s="31">
        <f>(SnapshotTable[[#This Row],[Annual Dividend Per Share]] / 4) * SnapshotTable[[#This Row],[Equity Shares]]</f>
        <v>0</v>
      </c>
      <c r="AF151" s="31">
        <f>SnapshotTable[[#This Row],[Quarterly Div $]] * 4</f>
        <v>0</v>
      </c>
      <c r="AG151" s="7">
        <f>IF(SnapshotTable[[#This Row],[Annual Dividend Per Share]]&gt;0, SnapshotTable[[#This Row],[Annual Dividend Per Share]]  / SnapshotTable[[#This Row],[Last Price]], 0)</f>
        <v>0</v>
      </c>
      <c r="AH151" s="151"/>
      <c r="AI151" s="5"/>
      <c r="AJ151" s="138">
        <v>36.67</v>
      </c>
      <c r="AK151" s="152" t="str">
        <f>IF(ISNUMBER( SnapshotTable[[#This Row],[EBF Target]]),(SnapshotTable[[#This Row],[EBF Target]] - SnapshotTable[[#This Row],[Last Price]]) / SnapshotTable[[#This Row],[Last Price]], "")</f>
        <v/>
      </c>
      <c r="AL151" s="152" t="str">
        <f>IF(AND(SnapshotTable[[#This Row],[Equity Basis Total]] &gt; 0,ISNUMBER( SnapshotTable[[#This Row],[Long Term Target]])), SnapshotTable[[#This Row],[From Basis $]] / SnapshotTable[[#This Row],[Equity Basis Total]], "")</f>
        <v/>
      </c>
      <c r="AM151" s="9">
        <f>IF( AND(SnapshotTable[[#This Row],[Equity Shares]] &gt;0,ISNUMBER( SnapshotTable[[#This Row],[Long Term Target]])),(SnapshotTable[[#This Row],[Equity Shares]] * SnapshotTable[[#This Row],[Long Term Target]]) - SnapshotTable[[#This Row],[Equity Basis Total]],0)</f>
        <v>0</v>
      </c>
      <c r="AN151" s="9">
        <f>IF( AND(SnapshotTable[[#This Row],[Equity Shares]] &gt;0,ISNUMBER( SnapshotTable[[#This Row],[Long Term Target]])),(SnapshotTable[[#This Row],[Equity Shares]]*SnapshotTable[[#This Row],[Long Term Target]]) - SnapshotTable[[#This Row],[Equity Value]],0)</f>
        <v>0</v>
      </c>
      <c r="AO151" s="152">
        <f>IF(AND(ISNUMBER( SnapshotTable[[#This Row],[Long Term Target]]), ISNUMBER(SnapshotTable[[#This Row],[Last Price]])),(SnapshotTable[[#This Row],[Long Term Target]] - SnapshotTable[[#This Row],[Last Price]]) / SnapshotTable[[#This Row],[Last Price]], "")</f>
        <v>-7.3521980798382944E-2</v>
      </c>
      <c r="AP151" s="5">
        <v>65</v>
      </c>
      <c r="AQ151" s="38" t="s">
        <v>110</v>
      </c>
      <c r="AR151" s="5">
        <v>60</v>
      </c>
      <c r="AS151" s="38" t="s">
        <v>38</v>
      </c>
      <c r="AT151" s="146" t="s">
        <v>549</v>
      </c>
      <c r="AU151" s="187" t="str">
        <f>IF(OR(SnapshotTable[[#This Row],[LP No Fill]]="Y",SnapshotTable[[#This Row],[SP Is Filled]],SnapshotTable[[#This Row],[LC Not Filled]]="Y",SnapshotTable[[#This Row],[SC Is Filled]]),"Y","")</f>
        <v/>
      </c>
      <c r="AV151" s="219"/>
      <c r="AW151" s="225"/>
      <c r="AX151" s="220"/>
      <c r="AY151" s="219" t="str">
        <f>IF(SnapshotTable[[#This Row],[Implied Move]]&gt;0, SnapshotTable[[#This Row],[Last Price]]-SnapshotTable[[#This Row],[Implied Move]],"")</f>
        <v/>
      </c>
      <c r="AZ151" s="219" t="str">
        <f>IF(SnapshotTable[[#This Row],[Implied Move]]&gt;0, SnapshotTable[[#This Row],[Last Price]] + SnapshotTable[[#This Row],[Implied Move]],"")</f>
        <v/>
      </c>
      <c r="BA151" s="331"/>
      <c r="BB151" s="347"/>
      <c r="BC15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1" s="351"/>
      <c r="BE151" s="198"/>
      <c r="BF151" s="199"/>
      <c r="BG151" s="200"/>
      <c r="BH151" s="200"/>
      <c r="BI151" s="5"/>
      <c r="BJ151" s="153">
        <f>IF(SnapshotTable[[#This Row],[LP Qty]] &gt; 0, SnapshotTable[[#This Row],[LP Qty]] * SnapshotTable[[#This Row],[LP Book Price]] * 100,0)</f>
        <v>0</v>
      </c>
      <c r="BK151" s="136">
        <f>IF(SnapshotTable[[#This Row],[LP Premium]] &gt; 0, SnapshotTable[[#This Row],[LP Qty]] * SnapshotTable[[#This Row],[LP Strike Price]] * 100,0)</f>
        <v>0</v>
      </c>
      <c r="BL151" s="154"/>
      <c r="BM151" s="385" t="str">
        <f>IF(SnapshotTable[[#This Row],[LP Premium]] &gt; 0,SnapshotTable[[#This Row],[LP Exp Date]]-MAX(SnapshotTable[[#This Row],[LP Book Date]], SnapshotTable[[#This Row],[LP Fill Date]]),"")</f>
        <v/>
      </c>
      <c r="BN151" s="385" t="str">
        <f>IF(ISNUMBER( SnapshotTable[[#This Row],[LP Term]]), SnapshotTable[[#This Row],[LP Exp Date]] - MockToday,"")</f>
        <v/>
      </c>
      <c r="BO151" s="163" t="str">
        <f>IF(AND(SnapshotTable[[#This Row],[LP Exp Date]]&gt;0, SnapshotTable[[#This Row],[LP Strike Price]]&gt;0,SnapshotTable[[#This Row],[LP Qty]]&gt;0,SnapshotTable[[#This Row],[LP Book Date]]&gt;0,SnapshotTable[[#This Row],[LP Book Price]]&gt;0,SnapshotTable[[#This Row],[LP Fill Date]]=0),"Y","")</f>
        <v/>
      </c>
      <c r="BP151" s="31" t="str">
        <f>IF(AND(SnapshotTable[[#This Row],[LP No Fill]]&lt;&gt;"Y",SnapshotTable[[#This Row],[LP Contract Value]]&gt;0, SnapshotTable[[#This Row],[LP Qty]]&gt;0), SnapshotTable[[#This Row],[LP Contract Value]]*SnapshotTable[[#This Row],[LP Qty]]*100,"")</f>
        <v/>
      </c>
      <c r="BQ151" s="13"/>
      <c r="BR151" s="5" t="str">
        <f>IF(SnapshotTable[[#This Row],[SP Exp Date]]&lt;&gt;"",TRUNC(SnapshotTable[[#This Row],[Last Price]]),"")</f>
        <v/>
      </c>
      <c r="BS151" s="36"/>
      <c r="BT151" s="147"/>
      <c r="BU151" s="13"/>
      <c r="BV151" s="5"/>
      <c r="BW151" s="419" t="b">
        <f>AND(ISNUMBER(SnapshotTable[[#This Row],[SP Exp Date]]), ISNUMBER(SnapshotTable[[#This Row],[SP Strike Price]]), ISNUMBER(SnapshotTable[[#This Row],[SP Qty]]), ISNUMBER(SnapshotTable[[#This Row],[SP Book Date]]), ISNUMBER(SnapshotTable[[#This Row],[SP Book Price]]))</f>
        <v>0</v>
      </c>
      <c r="BX151" s="419" t="b">
        <f>AND(SnapshotTable[[#This Row],[SP Is Booked]], NOT(ISBLANK(SnapshotTable[[#This Row],[SP Fill Date]])))</f>
        <v>0</v>
      </c>
      <c r="BY151" s="33">
        <f>IF(SnapshotTable[[#This Row],[SP Is Booked]], SnapshotTable[[#This Row],[SP Qty]] * SnapshotTable[[#This Row],[SP Book Price]] * 100, 0)</f>
        <v>0</v>
      </c>
      <c r="BZ151" s="369"/>
      <c r="CA151" s="368">
        <f>SnapshotTable[[#This Row],[LP Qty]]</f>
        <v>0</v>
      </c>
      <c r="CB151" s="4" t="str">
        <f>IF(SnapshotTable[[#This Row],[SP Is Booked]], SnapshotTable[[#This Row],[SP Strike Price]] - SnapshotTable[[#This Row],[SP Book Price]], "")</f>
        <v/>
      </c>
      <c r="CC151" s="19" t="str">
        <f>IF(SnapshotTable[[#This Row],[SP Is Booked]],SnapshotTable[[#This Row],[SP Exp Date]]-MAX(SnapshotTable[[#This Row],[SP Book Date]], SnapshotTable[[#This Row],[SP Fill Date]]),"")</f>
        <v/>
      </c>
      <c r="CD151" s="7" t="str">
        <f>IF(SnapshotTable[[#This Row],[SP Is Booked]], SnapshotTable[[#This Row],[SP Book Price]]/SnapshotTable[[#This Row],[SP Strike Price]], "")</f>
        <v/>
      </c>
      <c r="CE151" s="7" t="str">
        <f>IF(ISNUMBER(SnapshotTable[[#This Row],[SP ROO Term]]),SnapshotTable[[#This Row],[SP ROO Term]]*(365/SnapshotTable[[#This Row],[SP Term]]),"")</f>
        <v/>
      </c>
      <c r="CF151" s="236">
        <f>SnapshotTable[[#This Row],[LP Strike Price]] * SnapshotTable[[#This Row],[LP Qty]] * 100</f>
        <v>0</v>
      </c>
      <c r="CG151" s="31" t="e">
        <f>IF(ISNUMBER(SnapshotTable[[#This Row],[SP Premium]]), (SnapshotTable[[#This Row],[SP Qty]] * SnapshotTable[[#This Row],[SP Strike Price]]* 100) - SnapshotTable[[#This Row],[LP Protection]], 0)</f>
        <v>#VALUE!</v>
      </c>
      <c r="CH151" s="7" t="str">
        <f>IF(ISNUMBER(SnapshotTable[[#This Row],[SP Break Even]]),-1 * (SnapshotTable[[#This Row],[SP Break Even]] - SnapshotTable[[#This Row],[Last Price]]) / SnapshotTable[[#This Row],[Last Price]], "")</f>
        <v/>
      </c>
      <c r="CI151" s="31">
        <f>IF(AND(ISNUMBER((SnapshotTable[[#This Row],[SP Potential Spend]])), SnapshotTable[[#This Row],[SP Strike Price]] &gt; SnapshotTable[[#This Row],[Last Price]], SnapshotTable[[#This Row],[SP Is Filled]]), SnapshotTable[[#This Row],[SP Potential Spend]] -  SnapshotTable[[#This Row],[LP Max Value]], 0)</f>
        <v>0</v>
      </c>
      <c r="CJ151" s="244"/>
      <c r="CK151" s="31" t="str">
        <f>IF(ISNUMBER(SnapshotTable[[#This Row],[SP Potential Spend]]),IF(ISNUMBER(SnapshotTable[[#This Row],[SP POW]]), SnapshotTable[[#This Row],[SP POW]] * SnapshotTable[[#This Row],[SP Potential Spend]], SnapshotTable[[#This Row],[SP Potential Spend]]), "")</f>
        <v/>
      </c>
      <c r="CL151" s="164" t="e">
        <f>IF(NOT(SnapshotTable[[#This Row],[SP Is Filled]]),(SnapshotTable[[#This Row],[SP Qty]] * SnapshotTable[[#This Row],[SP Strike Price]] * 100) - SnapshotTable[[#This Row],[LP Max Value]],"")</f>
        <v>#VALUE!</v>
      </c>
      <c r="CM151" s="31" t="str">
        <f>IF(SnapshotTable[[#This Row],[SP Actual Spend]]&lt;&gt;0, ((SnapshotTable[[#This Row],[SP Strike Price]]-SnapshotTable[[#This Row],[Last Price]]) *(SnapshotTable[[#This Row],[SP Qty]]*100) - SnapshotTable[[#This Row],[SP Premium]]) * - 1, "")</f>
        <v/>
      </c>
      <c r="CN151" s="154"/>
      <c r="CO151" s="369"/>
      <c r="CP151" s="4" t="str">
        <f>IF(SnapshotTable[[#This Row],[SP Is Filled]], btc_max_buyback_amount(SnapshotTable[[#This Row],[SP Fill Date]],SnapshotTable[[#This Row],[SP Exp Date]], SnapshotTable[[#This Row],[SP Book Price]]),"")</f>
        <v/>
      </c>
      <c r="CQ151" s="78"/>
      <c r="CR15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1" s="155" t="str">
        <f>IF(SnapshotTable[[#This Row],[SP Is Filled]], btc_next_cutoff_date(SnapshotTable[[#This Row],[SP Fill Date]],SnapshotTable[[#This Row],[SP Exp Date]]),"")</f>
        <v/>
      </c>
      <c r="CT151" s="235" t="str" cm="1">
        <f t="array" ref="CT151">IF(SnapshotTable[[#This Row],[SP Is Filled]], btc_should_buy_back(SnapshotTable[[#This Row],[SP Fill Date]], SnapshotTable[[#This Row],[SP Exp Date]], SnapshotTable[[#This Row],[SP Book Price]], SnapshotTable[[#This Row],[SP Current Ask]], MockToday, SnapshotTable[[#This Row],[SP Buyback Override]]),"")</f>
        <v/>
      </c>
      <c r="CU151" s="156"/>
      <c r="CV151" s="235"/>
      <c r="CW151" s="378" t="str">
        <f>IF(ISNUMBER( SnapshotTable[[#This Row],[SP Term]]), SnapshotTable[[#This Row],[SP Exp Date]] - MockToday,"")</f>
        <v/>
      </c>
      <c r="CX151" s="31" t="str">
        <f>IF(SnapshotTable[[#This Row],[SP Is Filled]],SnapshotTable[[#This Row],[SP Buyback Price to Use]] * 100 * SnapshotTable[[#This Row],[SP Qty]], "")</f>
        <v/>
      </c>
      <c r="CY151" s="4" t="str">
        <f>IF(ISNUMBER(SnapshotTable[[#This Row],[SP Strike Price]]), SnapshotTable[[#This Row],[SP Strike Price]] * (1 - SP_MaxLoss_StrikePct), "")</f>
        <v/>
      </c>
      <c r="CZ151" s="31" t="str">
        <f>IF(ISNUMBER(SnapshotTable[[#This Row],[SP Strike  Stop Per Share]]),SnapshotTable[[#This Row],[SP Premium]] - ((SnapshotTable[[#This Row],[SP Strike Price]]-SnapshotTable[[#This Row],[SP Strike  Stop Per Share]]) *(SnapshotTable[[#This Row],[SP Qty]] * 100)),"")</f>
        <v/>
      </c>
      <c r="DA151" s="4" t="str">
        <f>IF(AND(ISNUMBER(SnapshotTable[[#This Row],[SP Premium]]),SnapshotTable[[#This Row],[SP Premium]]&gt;0), SnapshotTable[[#This Row],[SP Book Price]] * (1 + SP_MaxLoss_OptionPct), "")</f>
        <v/>
      </c>
      <c r="DB151" s="31" t="str">
        <f>IF(ISNUMBER(SnapshotTable[[#This Row],[SP Option  Stop Contract]]),(SnapshotTable[[#This Row],[SP Option  Stop Contract]] *(SnapshotTable[[#This Row],[SP Qty]] * 100) - SnapshotTable[[#This Row],[SP Premium]]),"")</f>
        <v/>
      </c>
      <c r="DC151" s="4"/>
      <c r="DD151" s="4"/>
      <c r="DE151" s="4" t="str">
        <f>IF(AND(SnapshotTable[[#This Row],[SP Qty]]&gt;0, SnapshotTable[[#This Row],[SP Stop To Use]]&gt;0),SnapshotTable[[#This Row],[SP Premium]] - ( SnapshotTable[[#This Row],[SP Qty]] * SnapshotTable[[#This Row],[SP Stop To Use]] * 100), "")</f>
        <v/>
      </c>
      <c r="DF151" s="31" t="str">
        <f>IF(AND(SnapshotTable[[#This Row],[SP Qty]]&gt;0,SnapshotTable[[#This Row],[SP Current Ask]]&gt;0), SnapshotTable[[#This Row],[SP Qty]] * SnapshotTable[[#This Row],[SP Current Ask]] * -100, "")</f>
        <v/>
      </c>
      <c r="DG151" s="31" t="str">
        <f>IF(ISNUMBER((SnapshotTable[[#This Row],[SP Total Value]])), SnapshotTable[[#This Row],[SP Premium]] + SnapshotTable[[#This Row],[SP Total Value]], "")</f>
        <v/>
      </c>
      <c r="DH151" s="294" t="str">
        <f>IF(ISNUMBER((SnapshotTable[[#This Row],[SP Total Value]])), SnapshotTable[[#This Row],[SP Gain Loss]] / SnapshotTable[[#This Row],[SP Premium]], "")</f>
        <v/>
      </c>
      <c r="DI151" s="406"/>
      <c r="DJ151" s="138"/>
      <c r="DK151" s="148"/>
      <c r="DL151" s="147"/>
      <c r="DM151" s="147"/>
      <c r="DO151" s="31">
        <f>IF(SnapshotTable[[#This Row],[LC Symbol Count]]=1, SnapshotTable[[#This Row],[LC Qty]] * SnapshotTable[[#This Row],[LC Book Price]] * 100, 0)</f>
        <v>0</v>
      </c>
      <c r="DP151" s="163" t="str">
        <f>IF(AND(SnapshotTable[[#This Row],[LC Exp Date]]&gt;0, SnapshotTable[[#This Row],[LC Strike Price]]&gt;0,SnapshotTable[[#This Row],[LC Qty]]&gt;0,SnapshotTable[[#This Row],[LC Book Date]]&gt;0,SnapshotTable[[#This Row],[LC Book Price]]&gt;0,SnapshotTable[[#This Row],[LC Fill Date]]=0),"Y","")</f>
        <v/>
      </c>
      <c r="DQ151" s="386" t="str">
        <f>IF(SnapshotTable[[#This Row],[LC Premium]] &gt; 0,SnapshotTable[[#This Row],[LC Exp Date]]-MAX(SnapshotTable[[#This Row],[LC Book Date]], SnapshotTable[[#This Row],[LC Fill Date]]),"")</f>
        <v/>
      </c>
      <c r="DR151" s="386" t="str">
        <f>IF(ISNUMBER(SnapshotTable[[#This Row],[LC Term]]), SnapshotTable[[#This Row],[LC Exp Date]] - MockToday, "")</f>
        <v/>
      </c>
      <c r="DS151" s="234" t="str">
        <f>IF(SnapshotTable[[#This Row],[LC Premium]]&gt;0,SnapshotTable[[#This Row],[LC Strike Price]] + SnapshotTable[[#This Row],[LC Book Price]],"")</f>
        <v/>
      </c>
      <c r="DU151" s="9" t="str">
        <f>IF(AND(SnapshotTable[[#This Row],[LC Symbol Count]]&gt;0, SnapshotTable[[#This Row],[LC Contract Value]]&gt;0), SnapshotTable[[#This Row],[LC Contract Value]] * SnapshotTable[[#This Row],[LC Qty]] * 100, "")</f>
        <v/>
      </c>
      <c r="DV151" s="9" t="str">
        <f>IF(AND(ISNUMBER(SnapshotTable[[#This Row],[LC Total Value]]), SnapshotTable[[#This Row],[LC Not Filled]]&lt;&gt;"Y"), SnapshotTable[[#This Row],[LC Total Value]]-SnapshotTable[[#This Row],[LC Premium]],"")</f>
        <v/>
      </c>
      <c r="DW151" s="240" t="str">
        <f>IF(ISNUMBER(SnapshotTable[[#This Row],[LC Actual Gain Loss]]), SnapshotTable[[#This Row],[LC Actual Gain Loss]] / SnapshotTable[[#This Row],[LC Premium]],"")</f>
        <v/>
      </c>
      <c r="DX151" s="284" t="str">
        <f>IF(ISNUMBER(SnapshotTable[[#This Row],[LC Book Price]]),SnapshotTable[[#This Row],[LC Book Price]] * 1.5,"")</f>
        <v/>
      </c>
      <c r="DY151" s="265" t="str">
        <f>IF(SnapshotTable[[#This Row],[LC Premium]]&gt;0, SnapshotTable[[#This Row],[LC Next Target]] * SnapshotTable[[#This Row],[LC Qty]] * 100,"")</f>
        <v/>
      </c>
      <c r="DZ151" s="265" t="str">
        <f>IF(ISNUMBER(SnapshotTable[[#This Row],[LC Target Gross]]), SnapshotTable[[#This Row],[LC Target Gross]] - SnapshotTable[[#This Row],[LC Premium]], "")</f>
        <v/>
      </c>
      <c r="EA151" s="305" t="str">
        <f>IF(ISNUMBER(SnapshotTable[[#This Row],[LC Target Gain Loss]]), SnapshotTable[[#This Row],[LC Target Gain Loss]]/SnapshotTable[[#This Row],[LC Premium]], "")</f>
        <v/>
      </c>
      <c r="EB151" s="262"/>
      <c r="EC151" s="283" t="str">
        <f>IF(SnapshotTable[[#This Row],[LC Premium]]&gt;0, SnapshotTable[[#This Row],[LC Book Price]] * (1 - LC_StopLoss_Pct),"")</f>
        <v/>
      </c>
      <c r="ED151" s="284"/>
      <c r="EE151" s="283" t="str">
        <f>IF(ISNUMBER(SnapshotTable[[#This Row],[LC Contract Value]]),IF(ISNUMBER(SnapshotTable[[#This Row],[LC Stop Loss Override]]), SnapshotTable[[#This Row],[LC Stop Loss Override]],SnapshotTable[[#This Row],[LC Stop Loss Calc Target]]),"")</f>
        <v/>
      </c>
      <c r="EF151" s="31" t="str">
        <f>IF(ISNUMBER(SnapshotTable[[#This Row],[LC Stop  To Use]]), (SnapshotTable[[#This Row],[LC Stop  To Use]] * SnapshotTable[[#This Row],[LC Qty]] * 100),"")</f>
        <v/>
      </c>
      <c r="EG151" s="9" t="str">
        <f>IF(ISNUMBER(SnapshotTable[[#This Row],[LC Total Value]]),SnapshotTable[[#This Row],[LC Stop Loss Amount]] - SnapshotTable[[#This Row],[LC Premium]],"")</f>
        <v/>
      </c>
      <c r="EH151" s="9">
        <f>IF(ISNUMBER(SnapshotTable[[#This Row],[LC Premium]]), SnapshotTable[[#This Row],[LC Qty]] * 100 * SnapshotTable[[#This Row],[LC Strike Price]], "")</f>
        <v>0</v>
      </c>
      <c r="EI151" s="240" t="str">
        <f>IF(AND(ISNUMBER(SnapshotTable[[#This Row],[LC Total Value]]),SnapshotTable[[#This Row],[LC Total Value]]&gt;0),SnapshotTable[[#This Row],[LC Stop Gain Loss]]  / SnapshotTable[[#This Row],[LC Premium]],"")</f>
        <v/>
      </c>
      <c r="EJ151" s="35">
        <f>IF(ISNUMBER(SnapshotTable[[#This Row],[Equity Shares]]),TRUNC(SnapshotTable[[#This Row],[Equity Shares]] / 100),0) + SnapshotTable[[#This Row],[LC Qty]]</f>
        <v>0</v>
      </c>
      <c r="EK151" s="147"/>
      <c r="EL151" s="138" t="str">
        <f>IF(SnapshotTable[[#This Row],[SC Exp Date]]&lt;&gt;"",TRUNC(SnapshotTable[[#This Row],[Last Price]]),"")</f>
        <v/>
      </c>
      <c r="EM151" s="148"/>
      <c r="EN151" s="147"/>
      <c r="EO151" s="147"/>
      <c r="EP151" s="138"/>
      <c r="EQ151" s="419" t="b">
        <f>AND(ISNUMBER(SnapshotTable[[#This Row],[SC Exp Date]]), ISNUMBER(SnapshotTable[[#This Row],[SC Strike Price]]), ISNUMBER(SnapshotTable[[#This Row],[SC Qty]]), ISNUMBER(SnapshotTable[[#This Row],[SC Book Date]]), ISNUMBER(SnapshotTable[[#This Row],[SC Book Price]]))</f>
        <v>0</v>
      </c>
      <c r="ER151" s="419" t="b">
        <f>AND(SnapshotTable[[#This Row],[SC Is Booked]], NOT(ISBLANK(SnapshotTable[[#This Row],[SC Fill Date]])))</f>
        <v>0</v>
      </c>
      <c r="ES151" s="370"/>
      <c r="ET151" s="34" t="str">
        <f>IF(AND(ISNUMBER(SnapshotTable[[#This Row],[SC Exp Date]]), ISNUMBER(SnapshotTable[[#This Row],[SC Book Date]])), SnapshotTable[[#This Row],[SC Exp Date]] - MAX(SnapshotTable[[#This Row],[SC Book Date]], SnapshotTable[[#This Row],[SC Fill Date]]) + 1, "")</f>
        <v/>
      </c>
      <c r="EU151" s="34" t="str">
        <f>IF(ISNUMBER(SnapshotTable[[#This Row],[SC Term]]), SnapshotTable[[#This Row],[SC Exp Date]]- MockToday, "")</f>
        <v/>
      </c>
      <c r="EV151" s="31">
        <f>IF(SnapshotTable[[#This Row],[SC Is Booked]], SnapshotTable[[#This Row],[SC Qty]] * SnapshotTable[[#This Row],[SC Book Price]] * 100, 0)</f>
        <v>0</v>
      </c>
      <c r="EW151" s="4" t="str">
        <f>IF(AND(ISNUMBER(SnapshotTable[[#This Row],[Last Price]]), ISNUMBER( SnapshotTable[[#This Row],[SC Book Price]])), SnapshotTable[[#This Row],[Last Price]] - SnapshotTable[[#This Row],[SC Book Price]],"")</f>
        <v/>
      </c>
      <c r="EX151" s="234" t="str">
        <f>IF(SnapshotTable[[#This Row],[SC Is Booked]],IF(SnapshotTable[[#This Row],[SC Intrinsic Value]] &gt; 0, SnapshotTable[[#This Row],[SC Strike Price]], SnapshotTable[[#This Row],[Last Price]]), "")</f>
        <v/>
      </c>
      <c r="EY151" s="4">
        <f>IF(SnapshotTable[[#This Row],[SC Is Booked]], (MinimumPremiumRequired * SnapshotTable[[#This Row],[SC Basis]] * SnapshotTable[[#This Row],[SC Term]]), 0)</f>
        <v>0</v>
      </c>
      <c r="EZ151" s="283"/>
      <c r="FA151" s="218"/>
      <c r="FB151" s="370"/>
      <c r="FC151" s="4">
        <f>IF(SnapshotTable[[#This Row],[SC Is Filled]], btc_max_buyback_amount(SnapshotTable[[#This Row],[SC Fill Date]],SnapshotTable[[#This Row],[SC Exp Date]], SnapshotTable[[#This Row],[SC Book Price]]),0)</f>
        <v>0</v>
      </c>
      <c r="FD151" s="5"/>
      <c r="FE151" s="144" t="str">
        <f>IF(SnapshotTable[[#This Row],[SC Is Filled]], btc_next_cutoff_date(SnapshotTable[[#This Row],[SC Fill Date]],SnapshotTable[[#This Row],[SC Exp Date]]),"")</f>
        <v/>
      </c>
      <c r="FF151" s="4" t="str" cm="1">
        <f t="array" ref="FF151">IF(SnapshotTable[[#This Row],[SC Is Filled]], btc_should_buy_back(SnapshotTable[[#This Row],[SC Fill Date]], SnapshotTable[[#This Row],[SC Exp Date]], SnapshotTable[[#This Row],[SC Book Price]], SnapshotTable[[#This Row],[SC Current Ask]], MockToday, SnapshotTable[[#This Row],[SC Buyback Override]]),"")</f>
        <v/>
      </c>
      <c r="FG151" s="4">
        <f>IF(SnapshotTable[[#This Row],[SC Is Filled]], MAX(0,SnapshotTable[[#This Row],[Last Price]]  - SnapshotTable[[#This Row],[SC Strike Price]]), 0)</f>
        <v>0</v>
      </c>
      <c r="FH151" s="382">
        <f>IF(SnapshotTable[[#This Row],[SC Is Filled]], IF(ISNUMBER(SnapshotTable[[#This Row],[SC Current Ask]]), SnapshotTable[[#This Row],[SC Current Ask]], SnapshotTable[[#This Row],[SC Book Price]]) - SnapshotTable[[#This Row],[SC Intrinsic Value]], 0)</f>
        <v>0</v>
      </c>
      <c r="FI151" s="143"/>
      <c r="FJ151" s="32" t="str">
        <f>IF(SnapshotTable[[#This Row],[SC Is Filled]],100 * SnapshotTable[[#This Row],[SC Qty]] * IF(ISNUMBER(SnapshotTable[[#This Row],[SC Buyback Override]]), SnapshotTable[[#This Row],[SC Buyback Override]], SnapshotTable[[#This Row],[SC Current Ask]]), "")</f>
        <v/>
      </c>
      <c r="FK151" s="250" t="str">
        <f>IF(SnapshotTable[[#This Row],[SC Time Val]]&gt;0, SnapshotTable[[#This Row],[SC Time Val]] / SnapshotTable[[#This Row],[Last Price]],"")</f>
        <v/>
      </c>
      <c r="FL151" s="302" t="str">
        <f>IF(SnapshotTable[[#This Row],[SC Is Booked]], ((SnapshotTable[[#This Row],[Last Price]] -SnapshotTable[[#This Row],[SC Strike Price]]) / SnapshotTable[[#This Row],[Last Price]]) * -1, "")</f>
        <v/>
      </c>
      <c r="FM151" s="157" t="str">
        <f>IF(SnapshotTable[[#This Row],[SC Is Booked]],  (SnapshotTable[[#This Row],[SC Qty]] * 100 * SnapshotTable[[#This Row],[SC Strike Price]]) - SnapshotTable[[#This Row],[SC Current Ask]], "")</f>
        <v/>
      </c>
      <c r="FN151"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1" s="157" t="str">
        <f>IF(AND(ISNUMBER(SnapshotTable[[#This Row],[SC Exercise Gross]]), ISNUMBER(SnapshotTable[[#This Row],[Equity Basis Per Share]] )), SnapshotTable[[#This Row],[SC Exercise Gross]] - SnapshotTable[[#This Row],[Equity Basis Total]] +  SnapshotTable[[#This Row],[SC Premium]], "")</f>
        <v/>
      </c>
      <c r="FP151" s="5" t="str">
        <f>IF(ISNUMBER(SnapshotTable[[#This Row],[SC Exercise Gross]]), (SnapshotTable[[#This Row],[SC Exercise Gross]]) / (SnapshotTable[[#This Row],[SC Qty]] * 100), "")</f>
        <v/>
      </c>
      <c r="FQ151" s="27" t="str">
        <f>IF(SnapshotTable[[#This Row],[SC Is Booked]],SnapshotTable[[#This Row],[SC Time Val]] /SnapshotTable[[#This Row],[SC Basis]], "")</f>
        <v/>
      </c>
      <c r="FR151" s="27" t="str" cm="1">
        <f t="array" ref="FR151">IF(AND(ISNUMBER(SnapshotTable[[#This Row],[SC Term]]),ISNUMBER(SnapshotTable[[#This Row],[SC Simple ROO]])), EllmanAnnualize(SnapshotTable[[#This Row],[SC DTE]], SnapshotTable[[#This Row],[SC Simple ROO]] ),"")</f>
        <v/>
      </c>
      <c r="FS151" s="4" t="e">
        <f>IF(SnapshotTable[[#This Row],[SC Strike Price]] &gt; SnapshotTable[[#This Row],[Last Price]], SnapshotTable[[#This Row],[SC Strike Price]] - SnapshotTable[[#This Row],[Last Price]],0)</f>
        <v>#VALUE!</v>
      </c>
      <c r="FT151" s="27" t="e">
        <f>IF(AND(ISNUMBER(SnapshotTable[[#This Row],[SC Upside Potential]]), SnapshotTable[[#This Row],[SC Upside Potential]] &gt; 0),(SnapshotTable[[#This Row],[SC Upside Potential]]/ SnapshotTable[[#This Row],[ACB]]),"")</f>
        <v>#VALUE!</v>
      </c>
      <c r="FU151" s="333" t="str">
        <f>IF(SnapshotTable[[#This Row],[SC Intrinsic Value]] &gt; 0,SnapshotTable[[#This Row],[SC Intrinsic Value]],"")</f>
        <v/>
      </c>
      <c r="FV151" s="27" t="str">
        <f>IF(AND( ISNUMBER( SnapshotTable[[#This Row],[ACB]]),ISNUMBER(SnapshotTable[[#This Row],[SC Downside Protect]])),SnapshotTable[[#This Row],[SC Downside Protect]] / SnapshotTable[[#This Row],[ACB]],"")</f>
        <v/>
      </c>
      <c r="FW151" s="236" t="str">
        <f>IF(AND(ISNUMBER(SnapshotTable[[#This Row],[SC Simple ROO]]),SnapshotTable[[#This Row],[SC Simple ROO]] &gt; 0), SnapshotTable[[#This Row],[SC Premium]] + (SnapshotTable[[#This Row],[SC Qty]] * SnapshotTable[[#This Row],[SC Upside Potential]]), "")</f>
        <v/>
      </c>
      <c r="FX151" s="302" t="str" cm="1">
        <f t="array" ref="FX151">IF(ISNUMBER(SnapshotTable[[#This Row],[SC Max Dollars]]), annualize(SnapshotTable[[#This Row],[SC Term]],(SnapshotTable[[#This Row],[SC Max Dollars]]/SnapshotTable[[#This Row],[SC Basis]])),"")</f>
        <v/>
      </c>
      <c r="FY151" s="236" t="str">
        <f>IF(AND(SnapshotTable[[#This Row],[SC Qty]]&gt;0,SnapshotTable[[#This Row],[SC Current Ask]]&gt;0), SnapshotTable[[#This Row],[SC Qty]] * SnapshotTable[[#This Row],[SC Current Ask]] * -100, "")</f>
        <v/>
      </c>
      <c r="FZ151" s="31" t="str">
        <f>IF(ISNUMBER((SnapshotTable[[#This Row],[SC Current Value]])), SnapshotTable[[#This Row],[SC Premium]] + SnapshotTable[[#This Row],[SC Current Value]], "")</f>
        <v/>
      </c>
      <c r="GA151" s="294" t="str">
        <f>IFERROR( IF(ISNUMBER((SnapshotTable[[#This Row],[SC Current Value]])), SnapshotTable[[#This Row],[SC Gain Loss]] / SnapshotTable[[#This Row],[SC Premium]], ""), "")</f>
        <v/>
      </c>
      <c r="GB151" s="201">
        <f>SnapshotTable[[#This Row],[Equity Shares]] * SaleSharesToConsiderPercentage</f>
        <v>0</v>
      </c>
      <c r="GC151" s="202">
        <f>SnapshotTable[[#This Row],[Long Term Target]] * SellingPriceToConsiderBasedOnTargetPercentage</f>
        <v>34.836500000000001</v>
      </c>
      <c r="GD151" s="202">
        <f>SnapshotTable[[#This Row],[Last Price]] * (1+ SellingPriceToConsiderBasedOnTargetPercentage)</f>
        <v>77.180999999999997</v>
      </c>
      <c r="GE151" s="203"/>
      <c r="GF151" s="202"/>
      <c r="GG151" s="31">
        <f>SnapshotTable[[#This Row],[Booked Sale Shares]] * SnapshotTable[[#This Row],[Booked Sale Price]]</f>
        <v>0</v>
      </c>
      <c r="GH151" s="31" t="str">
        <f>IF(SnapshotTable[[#This Row],[Equity Basis Total]] &gt; 0, SnapshotTable[[#This Row],[Equity Basis Per Share]] * SnapshotTable[[#This Row],[Booked Sale Shares]], "")</f>
        <v/>
      </c>
      <c r="GI151" s="31">
        <f>IF(SnapshotTable[[#This Row],[Sale Proceeds]]&gt;0, SnapshotTable[[#This Row],[Sale Proceeds]] - SnapshotTable[[#This Row],[Sale Basis]], 0)</f>
        <v>0</v>
      </c>
      <c r="GJ151" s="158" t="str">
        <f>IF(SnapshotTable[[#This Row],[Sale G/L]]&gt;0, SnapshotTable[[#This Row],[Sale G/L]] / SnapshotTable[[#This Row],[Sale Basis]], IF(ISNUMBER(SnapshotTable[[#This Row],[SC Exercise P&amp;L (TAX)]]), SnapshotTable[[#This Row],[SC Exercise P&amp;L (TAX)]] / SnapshotTable[[#This Row],[SC Basis]], ""))</f>
        <v/>
      </c>
      <c r="GK151" s="158" t="s">
        <v>695</v>
      </c>
      <c r="GL151" s="159" t="str">
        <f>IF(AND(SnapshotTable[[#This Row],[LP Exp Date]]&gt;0,SnapshotTable[[#This Row],[LP Strike Price]]&gt;0), [1]!ToOptionSymbol(SnapshotTable[[#This Row],[Symbol]], SnapshotTable[[#This Row],[LP Strike Price]],SnapshotTable[[#This Row],[LP Exp Date]],1), "")</f>
        <v/>
      </c>
      <c r="GM151" s="30" t="str">
        <f>IF(LEN(SnapshotTable[[#This Row],[LP Symbol]])&gt;0, 1, "")</f>
        <v/>
      </c>
      <c r="GN151" s="43" t="str">
        <f>IF(AND(SnapshotTable[[#This Row],[SP Exp Date]]&gt;0,SnapshotTable[[#This Row],[SP Strike Price]]&gt;0), [1]!ToOptionSymbol(SnapshotTable[[#This Row],[Symbol]], SnapshotTable[[#This Row],[SP Strike Price]],SnapshotTable[[#This Row],[SP Exp Date]],1), "")</f>
        <v/>
      </c>
      <c r="GO151" s="30" t="str">
        <f>IF(LEN(SnapshotTable[[#This Row],[SP Symbol]])&gt;0, 1, "")</f>
        <v/>
      </c>
      <c r="GP151" s="159" t="str">
        <f>IF(AND(SnapshotTable[[#This Row],[LC Exp Date]]&gt;0,SnapshotTable[[#This Row],[LC Strike Price]]&gt;0), [1]!ToOptionSymbol(SnapshotTable[[#This Row],[Symbol]], SnapshotTable[[#This Row],[LC Strike Price]],SnapshotTable[[#This Row],[LC Exp Date]],0), "")</f>
        <v/>
      </c>
      <c r="GQ151" s="160" t="str">
        <f>IF(LEN(SnapshotTable[[#This Row],[LC Symbol]])&gt;0, 1, "")</f>
        <v/>
      </c>
      <c r="GR151" s="159" t="str">
        <f>IF(AND(SnapshotTable[[#This Row],[SC Exp Date]]&gt;0,SnapshotTable[[#This Row],[SC Strike Price]]&gt;0), [1]!ToOptionSymbol(SnapshotTable[[#This Row],[Symbol]], SnapshotTable[[#This Row],[SC Strike Price]],SnapshotTable[[#This Row],[SC Exp Date]],0), "")</f>
        <v/>
      </c>
      <c r="GS151" s="160" t="str">
        <f>IF(LEN(SnapshotTable[[#This Row],[SC Symbol]])&gt;0, 1, "")</f>
        <v/>
      </c>
      <c r="GT151" s="161" t="str">
        <f>IF(COUNT(SnapshotTable[[#This Row],[LP Symbol Count]],SnapshotTable[[#This Row],[SP Symbol Count]],SnapshotTable[[#This Row],[LC Symbol Count]],SnapshotTable[[#This Row],[SC Symbol Count]])&gt;0, "Y", "")</f>
        <v/>
      </c>
      <c r="GU15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1" s="231" t="e">
        <f>MAX(SnapshotTable[[#This Row],[Equity Basis Total]],SnapshotTable[[#This Row],[Equity Value]]) + (SnapshotTable[[#This Row],[SP Potential Spend]]- SnapshotTable[[#This Row],[SP Premium]] + SnapshotTable[[#This Row],[LP Premium]])+ (SnapshotTable[[#This Row],[LC Premium]] - SnapshotTable[[#This Row],[SC Premium]])</f>
        <v>#VALUE!</v>
      </c>
      <c r="GW151" s="139" t="e">
        <f>IF(AND(SnapshotTable[[#This Row],[Exposure]] &lt;&gt; 0),SnapshotTable[[#This Row],[Exposure]] / SnapshotTable[[#Totals],[Exposure]], "")</f>
        <v>#VALUE!</v>
      </c>
      <c r="HE151" s="268"/>
      <c r="HF151" s="268"/>
      <c r="HK151" s="1"/>
      <c r="HL151" s="1"/>
      <c r="HM151" s="1"/>
      <c r="HN151" s="1"/>
      <c r="HO151" s="1"/>
      <c r="HP151" s="1"/>
    </row>
    <row r="152" spans="2:224" ht="12.75" hidden="1" customHeight="1" x14ac:dyDescent="0.25">
      <c r="B152" s="12" t="s">
        <v>138</v>
      </c>
      <c r="C152" s="422">
        <v>144</v>
      </c>
      <c r="D152" s="208"/>
      <c r="E152" s="39">
        <f>SnapshotTable[[#This Row],[Last Price]]*(1 -CrashDiscount)</f>
        <v>122.39999999999999</v>
      </c>
      <c r="F152" s="26" t="s">
        <v>112</v>
      </c>
      <c r="G152" s="26" t="s">
        <v>41</v>
      </c>
      <c r="H152" s="149"/>
      <c r="I152" s="194">
        <v>44768.670138888891</v>
      </c>
      <c r="J152" s="195">
        <v>44768.670138888891</v>
      </c>
      <c r="K152" s="196"/>
      <c r="L152" s="326"/>
      <c r="M152" s="140"/>
      <c r="N152" s="140"/>
      <c r="O152" s="140">
        <v>3</v>
      </c>
      <c r="P152" s="22"/>
      <c r="Q152" s="25"/>
      <c r="R152" s="4" t="str">
        <f>IF(SnapshotTable[[#This Row],[Equity Basis Total]] &gt; 0, SnapshotTable[[#This Row],[Equity Basis Total]] / SnapshotTable[[#This Row],[Equity Shares]], "")</f>
        <v/>
      </c>
      <c r="S152" s="269">
        <f>SnapshotTable[[#This Row],[Last Price]] * SnapshotTable[[#This Row],[Equity Shares]]</f>
        <v>0</v>
      </c>
      <c r="T152" s="269">
        <f>SnapshotTable[[#This Row],[Equity Value]] - SnapshotTable[[#This Row],[Equity Basis Total]]</f>
        <v>0</v>
      </c>
      <c r="U152" s="270" t="str">
        <f>IF(SnapshotTable[[#This Row],[Equity Basis Total]] &gt; 0, SnapshotTable[[#This Row],[Equity G/L]] / SnapshotTable[[#This Row],[Equity Basis Total]], "")</f>
        <v/>
      </c>
      <c r="V152" s="268"/>
      <c r="W152" s="268"/>
      <c r="X152" s="4" t="str">
        <f>IF(AND(ISNUMBER(SnapshotTable[[#This Row],[Equity Basis Per Share]]),ISNUMBER(SnapshotTable[[#This Row],[Equity Target]])),SnapshotTable[[#This Row],[Equity Target]]-SnapshotTable[[#This Row],[Equity Basis Per Share]],"")</f>
        <v/>
      </c>
      <c r="Y152" s="4" t="str">
        <f>IF(AND(ISNUMBER(SnapshotTable[[#This Row],[Equity Basis Per Share]]),ISNUMBER(SnapshotTable[[#This Row],[Equity Stop Loss]])),SnapshotTable[[#This Row],[Equity Stop Loss]]-SnapshotTable[[#This Row],[Equity Basis Per Share]],"")</f>
        <v/>
      </c>
      <c r="Z152" s="275" t="str">
        <f>IFERROR( TEXT(SnapshotTable[[#This Row],[Equity Max Gain Per Share]] /ABS( SnapshotTable[[#This Row],[Equity Max Loss Per Share]]),"0.0 " ) &amp; " : 1", "")</f>
        <v/>
      </c>
      <c r="AA152" s="31" t="str">
        <f>IF(ISNUMBER(SnapshotTable[[#This Row],[Equity Max Gain Per Share]]),SnapshotTable[[#This Row],[Equity Max Gain Per Share]] * SnapshotTable[[#This Row],[Equity Shares]],"")</f>
        <v/>
      </c>
      <c r="AB152" s="31" t="str">
        <f>IF(ISNUMBER(SnapshotTable[[#This Row],[Equity Max Loss Per Share]]),SnapshotTable[[#This Row],[Equity Max Loss Per Share]] * SnapshotTable[[#This Row],[Equity Shares]],"")</f>
        <v/>
      </c>
      <c r="AC152" s="150">
        <v>0.67</v>
      </c>
      <c r="AD152" s="151">
        <v>42398</v>
      </c>
      <c r="AE152" s="31">
        <f>(SnapshotTable[[#This Row],[Annual Dividend Per Share]] / 4) * SnapshotTable[[#This Row],[Equity Shares]]</f>
        <v>0</v>
      </c>
      <c r="AF152" s="31">
        <f>SnapshotTable[[#This Row],[Quarterly Div $]] * 4</f>
        <v>0</v>
      </c>
      <c r="AG152" s="7">
        <f>IF(SnapshotTable[[#This Row],[Annual Dividend Per Share]]&gt;0, SnapshotTable[[#This Row],[Annual Dividend Per Share]]  / SnapshotTable[[#This Row],[Last Price]], 0)</f>
        <v>4.6527777777777782E-3</v>
      </c>
      <c r="AH152" s="151">
        <v>42380</v>
      </c>
      <c r="AI152" s="5"/>
      <c r="AJ152" s="138">
        <v>90</v>
      </c>
      <c r="AK152" s="152" t="str">
        <f>IF(ISNUMBER( SnapshotTable[[#This Row],[EBF Target]]),(SnapshotTable[[#This Row],[EBF Target]] - SnapshotTable[[#This Row],[Last Price]]) / SnapshotTable[[#This Row],[Last Price]], "")</f>
        <v/>
      </c>
      <c r="AL152" s="152" t="str">
        <f>IF(AND(SnapshotTable[[#This Row],[Equity Basis Total]] &gt; 0,ISNUMBER( SnapshotTable[[#This Row],[Long Term Target]])), SnapshotTable[[#This Row],[From Basis $]] / SnapshotTable[[#This Row],[Equity Basis Total]], "")</f>
        <v/>
      </c>
      <c r="AM152" s="9">
        <f>IF( AND(SnapshotTable[[#This Row],[Equity Shares]] &gt;0,ISNUMBER( SnapshotTable[[#This Row],[Long Term Target]])),(SnapshotTable[[#This Row],[Equity Shares]] * SnapshotTable[[#This Row],[Long Term Target]]) - SnapshotTable[[#This Row],[Equity Basis Total]],0)</f>
        <v>0</v>
      </c>
      <c r="AN152" s="9">
        <f>IF( AND(SnapshotTable[[#This Row],[Equity Shares]] &gt;0,ISNUMBER( SnapshotTable[[#This Row],[Long Term Target]])),(SnapshotTable[[#This Row],[Equity Shares]]*SnapshotTable[[#This Row],[Long Term Target]]) - SnapshotTable[[#This Row],[Equity Value]],0)</f>
        <v>0</v>
      </c>
      <c r="AO152" s="152">
        <f>IF(AND(ISNUMBER( SnapshotTable[[#This Row],[Long Term Target]]), ISNUMBER(SnapshotTable[[#This Row],[Last Price]])),(SnapshotTable[[#This Row],[Long Term Target]] - SnapshotTable[[#This Row],[Last Price]]) / SnapshotTable[[#This Row],[Last Price]], "")</f>
        <v>-0.375</v>
      </c>
      <c r="AP152" s="5"/>
      <c r="AQ152" s="38"/>
      <c r="AR152" s="5"/>
      <c r="AS152" s="38"/>
      <c r="AT152" s="146"/>
      <c r="AU152" s="187" t="str">
        <f>IF(OR(SnapshotTable[[#This Row],[LP No Fill]]="Y",SnapshotTable[[#This Row],[SP Is Filled]],SnapshotTable[[#This Row],[LC Not Filled]]="Y",SnapshotTable[[#This Row],[SC Is Filled]]),"Y","")</f>
        <v/>
      </c>
      <c r="AV152" s="219"/>
      <c r="AW152" s="225"/>
      <c r="AX152" s="220"/>
      <c r="AY152" s="219" t="str">
        <f>IF(SnapshotTable[[#This Row],[Implied Move]]&gt;0, SnapshotTable[[#This Row],[Last Price]]-SnapshotTable[[#This Row],[Implied Move]],"")</f>
        <v/>
      </c>
      <c r="AZ152" s="219" t="str">
        <f>IF(SnapshotTable[[#This Row],[Implied Move]]&gt;0, SnapshotTable[[#This Row],[Last Price]] + SnapshotTable[[#This Row],[Implied Move]],"")</f>
        <v/>
      </c>
      <c r="BA152" s="331"/>
      <c r="BB152" s="347"/>
      <c r="BC15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2" s="351"/>
      <c r="BE152" s="5"/>
      <c r="BF152" s="14"/>
      <c r="BG152" s="13"/>
      <c r="BH152" s="13"/>
      <c r="BI152" s="5"/>
      <c r="BJ152" s="136">
        <f>IF(SnapshotTable[[#This Row],[LP Qty]] &gt; 0, SnapshotTable[[#This Row],[LP Qty]] * SnapshotTable[[#This Row],[LP Book Price]] * 100,0)</f>
        <v>0</v>
      </c>
      <c r="BK152" s="136">
        <f>IF(SnapshotTable[[#This Row],[LP Premium]] &gt; 0, SnapshotTable[[#This Row],[LP Qty]] * SnapshotTable[[#This Row],[LP Strike Price]] * 100,0)</f>
        <v>0</v>
      </c>
      <c r="BL152" s="154"/>
      <c r="BM152" s="385" t="str">
        <f>IF(SnapshotTable[[#This Row],[LP Premium]] &gt; 0,SnapshotTable[[#This Row],[LP Exp Date]]-MAX(SnapshotTable[[#This Row],[LP Book Date]], SnapshotTable[[#This Row],[LP Fill Date]]),"")</f>
        <v/>
      </c>
      <c r="BN152" s="385" t="str">
        <f>IF(ISNUMBER( SnapshotTable[[#This Row],[LP Term]]), SnapshotTable[[#This Row],[LP Exp Date]] - MockToday,"")</f>
        <v/>
      </c>
      <c r="BO152" s="163" t="str">
        <f>IF(AND(SnapshotTable[[#This Row],[LP Exp Date]]&gt;0, SnapshotTable[[#This Row],[LP Strike Price]]&gt;0,SnapshotTable[[#This Row],[LP Qty]]&gt;0,SnapshotTable[[#This Row],[LP Book Date]]&gt;0,SnapshotTable[[#This Row],[LP Book Price]]&gt;0,SnapshotTable[[#This Row],[LP Fill Date]]=0),"Y","")</f>
        <v/>
      </c>
      <c r="BP152" s="31" t="str">
        <f>IF(AND(SnapshotTable[[#This Row],[LP No Fill]]&lt;&gt;"Y",SnapshotTable[[#This Row],[LP Contract Value]]&gt;0, SnapshotTable[[#This Row],[LP Qty]]&gt;0), SnapshotTable[[#This Row],[LP Contract Value]]*SnapshotTable[[#This Row],[LP Qty]]*100,"")</f>
        <v/>
      </c>
      <c r="BQ152" s="13"/>
      <c r="BR152" s="5" t="str">
        <f>IF(SnapshotTable[[#This Row],[SP Exp Date]]&lt;&gt;"",TRUNC(SnapshotTable[[#This Row],[Last Price]]),"")</f>
        <v/>
      </c>
      <c r="BS152" s="36"/>
      <c r="BT152" s="147"/>
      <c r="BU152" s="13"/>
      <c r="BV152" s="5"/>
      <c r="BW152" s="419" t="b">
        <f>AND(ISNUMBER(SnapshotTable[[#This Row],[SP Exp Date]]), ISNUMBER(SnapshotTable[[#This Row],[SP Strike Price]]), ISNUMBER(SnapshotTable[[#This Row],[SP Qty]]), ISNUMBER(SnapshotTable[[#This Row],[SP Book Date]]), ISNUMBER(SnapshotTable[[#This Row],[SP Book Price]]))</f>
        <v>0</v>
      </c>
      <c r="BX152" s="419" t="b">
        <f>AND(SnapshotTable[[#This Row],[SP Is Booked]], NOT(ISBLANK(SnapshotTable[[#This Row],[SP Fill Date]])))</f>
        <v>0</v>
      </c>
      <c r="BY152" s="33">
        <f>IF(SnapshotTable[[#This Row],[SP Is Booked]], SnapshotTable[[#This Row],[SP Qty]] * SnapshotTable[[#This Row],[SP Book Price]] * 100, 0)</f>
        <v>0</v>
      </c>
      <c r="BZ152" s="369"/>
      <c r="CA152" s="368">
        <f>SnapshotTable[[#This Row],[LP Qty]]</f>
        <v>0</v>
      </c>
      <c r="CB152" s="4" t="str">
        <f>IF(SnapshotTable[[#This Row],[SP Is Booked]], SnapshotTable[[#This Row],[SP Strike Price]] - SnapshotTable[[#This Row],[SP Book Price]], "")</f>
        <v/>
      </c>
      <c r="CC152" s="19" t="str">
        <f>IF(SnapshotTable[[#This Row],[SP Is Booked]],SnapshotTable[[#This Row],[SP Exp Date]]-MAX(SnapshotTable[[#This Row],[SP Book Date]], SnapshotTable[[#This Row],[SP Fill Date]]),"")</f>
        <v/>
      </c>
      <c r="CD152" s="7" t="str">
        <f>IF(SnapshotTable[[#This Row],[SP Is Booked]], SnapshotTable[[#This Row],[SP Book Price]]/SnapshotTable[[#This Row],[SP Strike Price]], "")</f>
        <v/>
      </c>
      <c r="CE152" s="7" t="str">
        <f>IF(ISNUMBER(SnapshotTable[[#This Row],[SP ROO Term]]),SnapshotTable[[#This Row],[SP ROO Term]]*(365/SnapshotTable[[#This Row],[SP Term]]),"")</f>
        <v/>
      </c>
      <c r="CF152" s="236">
        <f>SnapshotTable[[#This Row],[LP Strike Price]] * SnapshotTable[[#This Row],[LP Qty]] * 100</f>
        <v>0</v>
      </c>
      <c r="CG152" s="31" t="e">
        <f>IF(ISNUMBER(SnapshotTable[[#This Row],[SP Premium]]), (SnapshotTable[[#This Row],[SP Qty]] * SnapshotTable[[#This Row],[SP Strike Price]]* 100) - SnapshotTable[[#This Row],[LP Protection]], 0)</f>
        <v>#VALUE!</v>
      </c>
      <c r="CH152" s="7" t="str">
        <f>IF(ISNUMBER(SnapshotTable[[#This Row],[SP Break Even]]),-1 * (SnapshotTable[[#This Row],[SP Break Even]] - SnapshotTable[[#This Row],[Last Price]]) / SnapshotTable[[#This Row],[Last Price]], "")</f>
        <v/>
      </c>
      <c r="CI152" s="31">
        <f>IF(AND(ISNUMBER((SnapshotTable[[#This Row],[SP Potential Spend]])), SnapshotTable[[#This Row],[SP Strike Price]] &gt; SnapshotTable[[#This Row],[Last Price]], SnapshotTable[[#This Row],[SP Is Filled]]), SnapshotTable[[#This Row],[SP Potential Spend]] -  SnapshotTable[[#This Row],[LP Max Value]], 0)</f>
        <v>0</v>
      </c>
      <c r="CJ152" s="244"/>
      <c r="CK152" s="31" t="str">
        <f>IF(ISNUMBER(SnapshotTable[[#This Row],[SP Potential Spend]]),IF(ISNUMBER(SnapshotTable[[#This Row],[SP POW]]), SnapshotTable[[#This Row],[SP POW]] * SnapshotTable[[#This Row],[SP Potential Spend]], SnapshotTable[[#This Row],[SP Potential Spend]]), "")</f>
        <v/>
      </c>
      <c r="CL152" s="164" t="e">
        <f>IF(NOT(SnapshotTable[[#This Row],[SP Is Filled]]),(SnapshotTable[[#This Row],[SP Qty]] * SnapshotTable[[#This Row],[SP Strike Price]] * 100) - SnapshotTable[[#This Row],[LP Max Value]],"")</f>
        <v>#VALUE!</v>
      </c>
      <c r="CM152" s="31" t="str">
        <f>IF(SnapshotTable[[#This Row],[SP Actual Spend]]&lt;&gt;0, ((SnapshotTable[[#This Row],[SP Strike Price]]-SnapshotTable[[#This Row],[Last Price]]) *(SnapshotTable[[#This Row],[SP Qty]]*100) - SnapshotTable[[#This Row],[SP Premium]]) * - 1, "")</f>
        <v/>
      </c>
      <c r="CN152" s="78"/>
      <c r="CO152" s="369"/>
      <c r="CP152" s="4" t="str">
        <f>IF(SnapshotTable[[#This Row],[SP Is Filled]], btc_max_buyback_amount(SnapshotTable[[#This Row],[SP Fill Date]],SnapshotTable[[#This Row],[SP Exp Date]], SnapshotTable[[#This Row],[SP Book Price]]),"")</f>
        <v/>
      </c>
      <c r="CQ152" s="78"/>
      <c r="CR15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2" s="155" t="str">
        <f>IF(SnapshotTable[[#This Row],[SP Is Filled]], btc_next_cutoff_date(SnapshotTable[[#This Row],[SP Fill Date]],SnapshotTable[[#This Row],[SP Exp Date]]),"")</f>
        <v/>
      </c>
      <c r="CT152" s="235" t="str" cm="1">
        <f t="array" ref="CT152">IF(SnapshotTable[[#This Row],[SP Is Filled]], btc_should_buy_back(SnapshotTable[[#This Row],[SP Fill Date]], SnapshotTable[[#This Row],[SP Exp Date]], SnapshotTable[[#This Row],[SP Book Price]], SnapshotTable[[#This Row],[SP Current Ask]], MockToday, SnapshotTable[[#This Row],[SP Buyback Override]]),"")</f>
        <v/>
      </c>
      <c r="CU152" s="143"/>
      <c r="CV152" s="235"/>
      <c r="CW152" s="378" t="str">
        <f>IF(ISNUMBER( SnapshotTable[[#This Row],[SP Term]]), SnapshotTable[[#This Row],[SP Exp Date]] - MockToday,"")</f>
        <v/>
      </c>
      <c r="CX152" s="31" t="str">
        <f>IF(SnapshotTable[[#This Row],[SP Is Filled]],SnapshotTable[[#This Row],[SP Buyback Price to Use]] * 100 * SnapshotTable[[#This Row],[SP Qty]], "")</f>
        <v/>
      </c>
      <c r="CY152" s="4" t="str">
        <f>IF(ISNUMBER(SnapshotTable[[#This Row],[SP Strike Price]]), SnapshotTable[[#This Row],[SP Strike Price]] * (1 - SP_MaxLoss_StrikePct), "")</f>
        <v/>
      </c>
      <c r="CZ152" s="31" t="str">
        <f>IF(ISNUMBER(SnapshotTable[[#This Row],[SP Strike  Stop Per Share]]),SnapshotTable[[#This Row],[SP Premium]] - ((SnapshotTable[[#This Row],[SP Strike Price]]-SnapshotTable[[#This Row],[SP Strike  Stop Per Share]]) *(SnapshotTable[[#This Row],[SP Qty]] * 100)),"")</f>
        <v/>
      </c>
      <c r="DA152" s="4" t="str">
        <f>IF(AND(ISNUMBER(SnapshotTable[[#This Row],[SP Premium]]),SnapshotTable[[#This Row],[SP Premium]]&gt;0), SnapshotTable[[#This Row],[SP Book Price]] * (1 + SP_MaxLoss_OptionPct), "")</f>
        <v/>
      </c>
      <c r="DB152" s="31" t="str">
        <f>IF(ISNUMBER(SnapshotTable[[#This Row],[SP Option  Stop Contract]]),(SnapshotTable[[#This Row],[SP Option  Stop Contract]] *(SnapshotTable[[#This Row],[SP Qty]] * 100) - SnapshotTable[[#This Row],[SP Premium]]),"")</f>
        <v/>
      </c>
      <c r="DC152" s="4"/>
      <c r="DD152" s="4"/>
      <c r="DE152" s="4" t="str">
        <f>IF(AND(SnapshotTable[[#This Row],[SP Qty]]&gt;0, SnapshotTable[[#This Row],[SP Stop To Use]]&gt;0),SnapshotTable[[#This Row],[SP Premium]] - ( SnapshotTable[[#This Row],[SP Qty]] * SnapshotTable[[#This Row],[SP Stop To Use]] * 100), "")</f>
        <v/>
      </c>
      <c r="DF152" s="31" t="str">
        <f>IF(AND(SnapshotTable[[#This Row],[SP Qty]]&gt;0,SnapshotTable[[#This Row],[SP Current Ask]]&gt;0), SnapshotTable[[#This Row],[SP Qty]] * SnapshotTable[[#This Row],[SP Current Ask]] * -100, "")</f>
        <v/>
      </c>
      <c r="DG152" s="31" t="str">
        <f>IF(ISNUMBER((SnapshotTable[[#This Row],[SP Total Value]])), SnapshotTable[[#This Row],[SP Premium]] + SnapshotTable[[#This Row],[SP Total Value]], "")</f>
        <v/>
      </c>
      <c r="DH152" s="294" t="str">
        <f>IF(ISNUMBER((SnapshotTable[[#This Row],[SP Total Value]])), SnapshotTable[[#This Row],[SP Gain Loss]] / SnapshotTable[[#This Row],[SP Premium]], "")</f>
        <v/>
      </c>
      <c r="DI152" s="406"/>
      <c r="DJ152" s="138"/>
      <c r="DK152" s="148"/>
      <c r="DL152" s="13"/>
      <c r="DM152" s="13"/>
      <c r="DO152" s="31">
        <f>IF(SnapshotTable[[#This Row],[LC Symbol Count]]=1, SnapshotTable[[#This Row],[LC Qty]] * SnapshotTable[[#This Row],[LC Book Price]] * 100, 0)</f>
        <v>0</v>
      </c>
      <c r="DP152" s="163" t="str">
        <f>IF(AND(SnapshotTable[[#This Row],[LC Exp Date]]&gt;0, SnapshotTable[[#This Row],[LC Strike Price]]&gt;0,SnapshotTable[[#This Row],[LC Qty]]&gt;0,SnapshotTable[[#This Row],[LC Book Date]]&gt;0,SnapshotTable[[#This Row],[LC Book Price]]&gt;0,SnapshotTable[[#This Row],[LC Fill Date]]=0),"Y","")</f>
        <v/>
      </c>
      <c r="DQ152" s="386" t="str">
        <f>IF(SnapshotTable[[#This Row],[LC Premium]] &gt; 0,SnapshotTable[[#This Row],[LC Exp Date]]-MAX(SnapshotTable[[#This Row],[LC Book Date]], SnapshotTable[[#This Row],[LC Fill Date]]),"")</f>
        <v/>
      </c>
      <c r="DR152" s="386" t="str">
        <f>IF(ISNUMBER(SnapshotTable[[#This Row],[LC Term]]), SnapshotTable[[#This Row],[LC Exp Date]] - MockToday, "")</f>
        <v/>
      </c>
      <c r="DS152" s="234" t="str">
        <f>IF(SnapshotTable[[#This Row],[LC Premium]]&gt;0,SnapshotTable[[#This Row],[LC Strike Price]] + SnapshotTable[[#This Row],[LC Book Price]],"")</f>
        <v/>
      </c>
      <c r="DU152" s="9" t="str">
        <f>IF(AND(SnapshotTable[[#This Row],[LC Symbol Count]]&gt;0, SnapshotTable[[#This Row],[LC Contract Value]]&gt;0), SnapshotTable[[#This Row],[LC Contract Value]] * SnapshotTable[[#This Row],[LC Qty]] * 100, "")</f>
        <v/>
      </c>
      <c r="DV152" s="9" t="str">
        <f>IF(AND(ISNUMBER(SnapshotTable[[#This Row],[LC Total Value]]), SnapshotTable[[#This Row],[LC Not Filled]]&lt;&gt;"Y"), SnapshotTable[[#This Row],[LC Total Value]]-SnapshotTable[[#This Row],[LC Premium]],"")</f>
        <v/>
      </c>
      <c r="DW152" s="240" t="str">
        <f>IF(ISNUMBER(SnapshotTable[[#This Row],[LC Actual Gain Loss]]), SnapshotTable[[#This Row],[LC Actual Gain Loss]] / SnapshotTable[[#This Row],[LC Premium]],"")</f>
        <v/>
      </c>
      <c r="DX152" s="284" t="str">
        <f>IF(ISNUMBER(SnapshotTable[[#This Row],[LC Book Price]]),SnapshotTable[[#This Row],[LC Book Price]] * 1.5,"")</f>
        <v/>
      </c>
      <c r="DY152" s="265" t="str">
        <f>IF(SnapshotTable[[#This Row],[LC Premium]]&gt;0, SnapshotTable[[#This Row],[LC Next Target]] * SnapshotTable[[#This Row],[LC Qty]] * 100,"")</f>
        <v/>
      </c>
      <c r="DZ152" s="265" t="str">
        <f>IF(ISNUMBER(SnapshotTable[[#This Row],[LC Target Gross]]), SnapshotTable[[#This Row],[LC Target Gross]] - SnapshotTable[[#This Row],[LC Premium]], "")</f>
        <v/>
      </c>
      <c r="EA152" s="305" t="str">
        <f>IF(ISNUMBER(SnapshotTable[[#This Row],[LC Target Gain Loss]]), SnapshotTable[[#This Row],[LC Target Gain Loss]]/SnapshotTable[[#This Row],[LC Premium]], "")</f>
        <v/>
      </c>
      <c r="EB152" s="262"/>
      <c r="EC152" s="283" t="str">
        <f>IF(SnapshotTable[[#This Row],[LC Premium]]&gt;0, SnapshotTable[[#This Row],[LC Book Price]] * (1 - LC_StopLoss_Pct),"")</f>
        <v/>
      </c>
      <c r="ED152" s="284"/>
      <c r="EE152" s="283" t="str">
        <f>IF(ISNUMBER(SnapshotTable[[#This Row],[LC Contract Value]]),IF(ISNUMBER(SnapshotTable[[#This Row],[LC Stop Loss Override]]), SnapshotTable[[#This Row],[LC Stop Loss Override]],SnapshotTable[[#This Row],[LC Stop Loss Calc Target]]),"")</f>
        <v/>
      </c>
      <c r="EF152" s="31" t="str">
        <f>IF(ISNUMBER(SnapshotTable[[#This Row],[LC Stop  To Use]]), (SnapshotTable[[#This Row],[LC Stop  To Use]] * SnapshotTable[[#This Row],[LC Qty]] * 100),"")</f>
        <v/>
      </c>
      <c r="EG152" s="9" t="str">
        <f>IF(ISNUMBER(SnapshotTable[[#This Row],[LC Total Value]]),SnapshotTable[[#This Row],[LC Stop Loss Amount]] - SnapshotTable[[#This Row],[LC Premium]],"")</f>
        <v/>
      </c>
      <c r="EH152" s="9">
        <f>IF(ISNUMBER(SnapshotTable[[#This Row],[LC Premium]]), SnapshotTable[[#This Row],[LC Qty]] * 100 * SnapshotTable[[#This Row],[LC Strike Price]], "")</f>
        <v>0</v>
      </c>
      <c r="EI152" s="240" t="str">
        <f>IF(AND(ISNUMBER(SnapshotTable[[#This Row],[LC Total Value]]),SnapshotTable[[#This Row],[LC Total Value]]&gt;0),SnapshotTable[[#This Row],[LC Stop Gain Loss]]  / SnapshotTable[[#This Row],[LC Premium]],"")</f>
        <v/>
      </c>
      <c r="EJ152" s="35">
        <f>IF(ISNUMBER(SnapshotTable[[#This Row],[Equity Shares]]),TRUNC(SnapshotTable[[#This Row],[Equity Shares]] / 100),0) + SnapshotTable[[#This Row],[LC Qty]]</f>
        <v>0</v>
      </c>
      <c r="EK152" s="147"/>
      <c r="EL152" s="138" t="str">
        <f>IF(SnapshotTable[[#This Row],[SC Exp Date]]&lt;&gt;"",TRUNC(SnapshotTable[[#This Row],[Last Price]]),"")</f>
        <v/>
      </c>
      <c r="EM152" s="148"/>
      <c r="EN152" s="147"/>
      <c r="EO152" s="147"/>
      <c r="EP152" s="138"/>
      <c r="EQ152" s="419" t="b">
        <f>AND(ISNUMBER(SnapshotTable[[#This Row],[SC Exp Date]]), ISNUMBER(SnapshotTable[[#This Row],[SC Strike Price]]), ISNUMBER(SnapshotTable[[#This Row],[SC Qty]]), ISNUMBER(SnapshotTable[[#This Row],[SC Book Date]]), ISNUMBER(SnapshotTable[[#This Row],[SC Book Price]]))</f>
        <v>0</v>
      </c>
      <c r="ER152" s="419" t="b">
        <f>AND(SnapshotTable[[#This Row],[SC Is Booked]], NOT(ISBLANK(SnapshotTable[[#This Row],[SC Fill Date]])))</f>
        <v>0</v>
      </c>
      <c r="ES152" s="370"/>
      <c r="ET152" s="34" t="str">
        <f>IF(AND(ISNUMBER(SnapshotTable[[#This Row],[SC Exp Date]]), ISNUMBER(SnapshotTable[[#This Row],[SC Book Date]])), SnapshotTable[[#This Row],[SC Exp Date]] - MAX(SnapshotTable[[#This Row],[SC Book Date]], SnapshotTable[[#This Row],[SC Fill Date]]) + 1, "")</f>
        <v/>
      </c>
      <c r="EU152" s="34" t="str">
        <f>IF(ISNUMBER(SnapshotTable[[#This Row],[SC Term]]), SnapshotTable[[#This Row],[SC Exp Date]]- MockToday, "")</f>
        <v/>
      </c>
      <c r="EV152" s="31">
        <f>IF(SnapshotTable[[#This Row],[SC Is Booked]], SnapshotTable[[#This Row],[SC Qty]] * SnapshotTable[[#This Row],[SC Book Price]] * 100, 0)</f>
        <v>0</v>
      </c>
      <c r="EW152" s="4" t="str">
        <f>IF(AND(ISNUMBER(SnapshotTable[[#This Row],[Last Price]]), ISNUMBER( SnapshotTable[[#This Row],[SC Book Price]])), SnapshotTable[[#This Row],[Last Price]] - SnapshotTable[[#This Row],[SC Book Price]],"")</f>
        <v/>
      </c>
      <c r="EX152" s="234" t="str">
        <f>IF(SnapshotTable[[#This Row],[SC Is Booked]],IF(SnapshotTable[[#This Row],[SC Intrinsic Value]] &gt; 0, SnapshotTable[[#This Row],[SC Strike Price]], SnapshotTable[[#This Row],[Last Price]]), "")</f>
        <v/>
      </c>
      <c r="EY152" s="4">
        <f>IF(SnapshotTable[[#This Row],[SC Is Booked]], (MinimumPremiumRequired * SnapshotTable[[#This Row],[SC Basis]] * SnapshotTable[[#This Row],[SC Term]]), 0)</f>
        <v>0</v>
      </c>
      <c r="EZ152" s="283"/>
      <c r="FA152" s="218"/>
      <c r="FB152" s="370"/>
      <c r="FC152" s="4">
        <f>IF(SnapshotTable[[#This Row],[SC Is Filled]], btc_max_buyback_amount(SnapshotTable[[#This Row],[SC Fill Date]],SnapshotTable[[#This Row],[SC Exp Date]], SnapshotTable[[#This Row],[SC Book Price]]),0)</f>
        <v>0</v>
      </c>
      <c r="FD152" s="5"/>
      <c r="FE152" s="144" t="str">
        <f>IF(SnapshotTable[[#This Row],[SC Is Filled]], btc_next_cutoff_date(SnapshotTable[[#This Row],[SC Fill Date]],SnapshotTable[[#This Row],[SC Exp Date]]),"")</f>
        <v/>
      </c>
      <c r="FF152" s="4" t="str" cm="1">
        <f t="array" ref="FF152">IF(SnapshotTable[[#This Row],[SC Is Filled]], btc_should_buy_back(SnapshotTable[[#This Row],[SC Fill Date]], SnapshotTable[[#This Row],[SC Exp Date]], SnapshotTable[[#This Row],[SC Book Price]], SnapshotTable[[#This Row],[SC Current Ask]], MockToday, SnapshotTable[[#This Row],[SC Buyback Override]]),"")</f>
        <v/>
      </c>
      <c r="FG152" s="4">
        <f>IF(SnapshotTable[[#This Row],[SC Is Filled]], MAX(0,SnapshotTable[[#This Row],[Last Price]]  - SnapshotTable[[#This Row],[SC Strike Price]]), 0)</f>
        <v>0</v>
      </c>
      <c r="FH152" s="382">
        <f>IF(SnapshotTable[[#This Row],[SC Is Filled]], IF(ISNUMBER(SnapshotTable[[#This Row],[SC Current Ask]]), SnapshotTable[[#This Row],[SC Current Ask]], SnapshotTable[[#This Row],[SC Book Price]]) - SnapshotTable[[#This Row],[SC Intrinsic Value]], 0)</f>
        <v>0</v>
      </c>
      <c r="FI152" s="143"/>
      <c r="FJ152" s="32" t="str">
        <f>IF(SnapshotTable[[#This Row],[SC Is Filled]],100 * SnapshotTable[[#This Row],[SC Qty]] * IF(ISNUMBER(SnapshotTable[[#This Row],[SC Buyback Override]]), SnapshotTable[[#This Row],[SC Buyback Override]], SnapshotTable[[#This Row],[SC Current Ask]]), "")</f>
        <v/>
      </c>
      <c r="FK152" s="250" t="str">
        <f>IF(SnapshotTable[[#This Row],[SC Time Val]]&gt;0, SnapshotTable[[#This Row],[SC Time Val]] / SnapshotTable[[#This Row],[Last Price]],"")</f>
        <v/>
      </c>
      <c r="FL152" s="302" t="str">
        <f>IF(SnapshotTable[[#This Row],[SC Is Booked]], ((SnapshotTable[[#This Row],[Last Price]] -SnapshotTable[[#This Row],[SC Strike Price]]) / SnapshotTable[[#This Row],[Last Price]]) * -1, "")</f>
        <v/>
      </c>
      <c r="FM152" s="157" t="str">
        <f>IF(SnapshotTable[[#This Row],[SC Is Booked]],  (SnapshotTable[[#This Row],[SC Qty]] * 100 * SnapshotTable[[#This Row],[SC Strike Price]]) - SnapshotTable[[#This Row],[SC Current Ask]], "")</f>
        <v/>
      </c>
      <c r="FN15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2" s="31" t="str">
        <f>IF(AND(ISNUMBER(SnapshotTable[[#This Row],[SC Exercise Gross]]), ISNUMBER(SnapshotTable[[#This Row],[Equity Basis Per Share]] )), SnapshotTable[[#This Row],[SC Exercise Gross]] - SnapshotTable[[#This Row],[Equity Basis Total]] +  SnapshotTable[[#This Row],[SC Premium]], "")</f>
        <v/>
      </c>
      <c r="FP152" s="5" t="str">
        <f>IF(ISNUMBER(SnapshotTable[[#This Row],[SC Exercise Gross]]), (SnapshotTable[[#This Row],[SC Exercise Gross]]) / (SnapshotTable[[#This Row],[SC Qty]] * 100), "")</f>
        <v/>
      </c>
      <c r="FQ152" s="27" t="str">
        <f>IF(SnapshotTable[[#This Row],[SC Is Booked]],SnapshotTable[[#This Row],[SC Time Val]] /SnapshotTable[[#This Row],[SC Basis]], "")</f>
        <v/>
      </c>
      <c r="FR152" s="27" t="str" cm="1">
        <f t="array" ref="FR152">IF(AND(ISNUMBER(SnapshotTable[[#This Row],[SC Term]]),ISNUMBER(SnapshotTable[[#This Row],[SC Simple ROO]])), EllmanAnnualize(SnapshotTable[[#This Row],[SC DTE]], SnapshotTable[[#This Row],[SC Simple ROO]] ),"")</f>
        <v/>
      </c>
      <c r="FS152" s="4" t="e">
        <f>IF(SnapshotTable[[#This Row],[SC Strike Price]] &gt; SnapshotTable[[#This Row],[Last Price]], SnapshotTable[[#This Row],[SC Strike Price]] - SnapshotTable[[#This Row],[Last Price]],0)</f>
        <v>#VALUE!</v>
      </c>
      <c r="FT152" s="27" t="e">
        <f>IF(AND(ISNUMBER(SnapshotTable[[#This Row],[SC Upside Potential]]), SnapshotTable[[#This Row],[SC Upside Potential]] &gt; 0),(SnapshotTable[[#This Row],[SC Upside Potential]]/ SnapshotTable[[#This Row],[ACB]]),"")</f>
        <v>#VALUE!</v>
      </c>
      <c r="FU152" s="333" t="str">
        <f>IF(SnapshotTable[[#This Row],[SC Intrinsic Value]] &gt; 0,SnapshotTable[[#This Row],[SC Intrinsic Value]],"")</f>
        <v/>
      </c>
      <c r="FV152" s="27" t="str">
        <f>IF(AND( ISNUMBER( SnapshotTable[[#This Row],[ACB]]),ISNUMBER(SnapshotTable[[#This Row],[SC Downside Protect]])),SnapshotTable[[#This Row],[SC Downside Protect]] / SnapshotTable[[#This Row],[ACB]],"")</f>
        <v/>
      </c>
      <c r="FW152" s="236" t="str">
        <f>IF(AND(ISNUMBER(SnapshotTable[[#This Row],[SC Simple ROO]]),SnapshotTable[[#This Row],[SC Simple ROO]] &gt; 0), SnapshotTable[[#This Row],[SC Premium]] + (SnapshotTable[[#This Row],[SC Qty]] * SnapshotTable[[#This Row],[SC Upside Potential]]), "")</f>
        <v/>
      </c>
      <c r="FX152" s="302" t="str" cm="1">
        <f t="array" ref="FX152">IF(ISNUMBER(SnapshotTable[[#This Row],[SC Max Dollars]]), annualize(SnapshotTable[[#This Row],[SC Term]],(SnapshotTable[[#This Row],[SC Max Dollars]]/SnapshotTable[[#This Row],[SC Basis]])),"")</f>
        <v/>
      </c>
      <c r="FY152" s="236" t="str">
        <f>IF(AND(SnapshotTable[[#This Row],[SC Qty]]&gt;0,SnapshotTable[[#This Row],[SC Current Ask]]&gt;0), SnapshotTable[[#This Row],[SC Qty]] * SnapshotTable[[#This Row],[SC Current Ask]] * -100, "")</f>
        <v/>
      </c>
      <c r="FZ152" s="31" t="str">
        <f>IF(ISNUMBER((SnapshotTable[[#This Row],[SC Current Value]])), SnapshotTable[[#This Row],[SC Premium]] + SnapshotTable[[#This Row],[SC Current Value]], "")</f>
        <v/>
      </c>
      <c r="GA152" s="294" t="str">
        <f>IFERROR( IF(ISNUMBER((SnapshotTable[[#This Row],[SC Current Value]])), SnapshotTable[[#This Row],[SC Gain Loss]] / SnapshotTable[[#This Row],[SC Premium]], ""), "")</f>
        <v/>
      </c>
      <c r="GB152" s="42">
        <f>SnapshotTable[[#This Row],[Equity Shares]] * SaleSharesToConsiderPercentage</f>
        <v>0</v>
      </c>
      <c r="GC152" s="40">
        <f>SnapshotTable[[#This Row],[Long Term Target]] * SellingPriceToConsiderBasedOnTargetPercentage</f>
        <v>85.5</v>
      </c>
      <c r="GD152" s="40">
        <f>SnapshotTable[[#This Row],[Last Price]] * (1+ SellingPriceToConsiderBasedOnTargetPercentage)</f>
        <v>280.8</v>
      </c>
      <c r="GE152" s="41"/>
      <c r="GF152" s="40"/>
      <c r="GG152" s="31">
        <f>SnapshotTable[[#This Row],[Booked Sale Shares]] * SnapshotTable[[#This Row],[Booked Sale Price]]</f>
        <v>0</v>
      </c>
      <c r="GH152" s="31" t="str">
        <f>IF(SnapshotTable[[#This Row],[Equity Basis Total]] &gt; 0, SnapshotTable[[#This Row],[Equity Basis Per Share]] * SnapshotTable[[#This Row],[Booked Sale Shares]], "")</f>
        <v/>
      </c>
      <c r="GI152" s="31">
        <f>IF(SnapshotTable[[#This Row],[Sale Proceeds]]&gt;0, SnapshotTable[[#This Row],[Sale Proceeds]] - SnapshotTable[[#This Row],[Sale Basis]], 0)</f>
        <v>0</v>
      </c>
      <c r="GJ152" s="27" t="str">
        <f>IF(SnapshotTable[[#This Row],[Sale G/L]]&gt;0, SnapshotTable[[#This Row],[Sale G/L]] / SnapshotTable[[#This Row],[Sale Basis]], IF(ISNUMBER(SnapshotTable[[#This Row],[SC Exercise P&amp;L (TAX)]]), SnapshotTable[[#This Row],[SC Exercise P&amp;L (TAX)]] / SnapshotTable[[#This Row],[SC Basis]], ""))</f>
        <v/>
      </c>
      <c r="GK152" s="27" t="s">
        <v>696</v>
      </c>
      <c r="GL152" s="43" t="str">
        <f>IF(AND(SnapshotTable[[#This Row],[LP Exp Date]]&gt;0,SnapshotTable[[#This Row],[LP Strike Price]]&gt;0), [1]!ToOptionSymbol(SnapshotTable[[#This Row],[Symbol]], SnapshotTable[[#This Row],[LP Strike Price]],SnapshotTable[[#This Row],[LP Exp Date]],1), "")</f>
        <v/>
      </c>
      <c r="GM152" s="30" t="str">
        <f>IF(LEN(SnapshotTable[[#This Row],[LP Symbol]])&gt;0, 1, "")</f>
        <v/>
      </c>
      <c r="GN152" s="43" t="str">
        <f>IF(AND(SnapshotTable[[#This Row],[SP Exp Date]]&gt;0,SnapshotTable[[#This Row],[SP Strike Price]]&gt;0), [1]!ToOptionSymbol(SnapshotTable[[#This Row],[Symbol]], SnapshotTable[[#This Row],[SP Strike Price]],SnapshotTable[[#This Row],[SP Exp Date]],1), "")</f>
        <v/>
      </c>
      <c r="GO152" s="30" t="str">
        <f>IF(LEN(SnapshotTable[[#This Row],[SP Symbol]])&gt;0, 1, "")</f>
        <v/>
      </c>
      <c r="GP152" s="43" t="str">
        <f>IF(AND(SnapshotTable[[#This Row],[LC Exp Date]]&gt;0,SnapshotTable[[#This Row],[LC Strike Price]]&gt;0), [1]!ToOptionSymbol(SnapshotTable[[#This Row],[Symbol]], SnapshotTable[[#This Row],[LC Strike Price]],SnapshotTable[[#This Row],[LC Exp Date]],0), "")</f>
        <v/>
      </c>
      <c r="GQ152" s="30" t="str">
        <f>IF(LEN(SnapshotTable[[#This Row],[LC Symbol]])&gt;0, 1, "")</f>
        <v/>
      </c>
      <c r="GR152" s="43" t="str">
        <f>IF(AND(SnapshotTable[[#This Row],[SC Exp Date]]&gt;0,SnapshotTable[[#This Row],[SC Strike Price]]&gt;0), [1]!ToOptionSymbol(SnapshotTable[[#This Row],[Symbol]], SnapshotTable[[#This Row],[SC Strike Price]],SnapshotTable[[#This Row],[SC Exp Date]],0), "")</f>
        <v/>
      </c>
      <c r="GS152" s="30" t="str">
        <f>IF(LEN(SnapshotTable[[#This Row],[SC Symbol]])&gt;0, 1, "")</f>
        <v/>
      </c>
      <c r="GT152" s="29" t="str">
        <f>IF(COUNT(SnapshotTable[[#This Row],[LP Symbol Count]],SnapshotTable[[#This Row],[SP Symbol Count]],SnapshotTable[[#This Row],[LC Symbol Count]],SnapshotTable[[#This Row],[SC Symbol Count]])&gt;0, "Y", "")</f>
        <v/>
      </c>
      <c r="GU15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2" s="231" t="e">
        <f>MAX(SnapshotTable[[#This Row],[Equity Basis Total]],SnapshotTable[[#This Row],[Equity Value]]) + (SnapshotTable[[#This Row],[SP Potential Spend]]- SnapshotTable[[#This Row],[SP Premium]] + SnapshotTable[[#This Row],[LP Premium]])+ (SnapshotTable[[#This Row],[LC Premium]] - SnapshotTable[[#This Row],[SC Premium]])</f>
        <v>#VALUE!</v>
      </c>
      <c r="GW152" s="139" t="e">
        <f>IF(AND(SnapshotTable[[#This Row],[Exposure]] &lt;&gt; 0),SnapshotTable[[#This Row],[Exposure]] / SnapshotTable[[#Totals],[Exposure]], "")</f>
        <v>#VALUE!</v>
      </c>
      <c r="HE152" s="268"/>
      <c r="HF152" s="268"/>
      <c r="HK152" s="1"/>
      <c r="HL152" s="1"/>
      <c r="HM152" s="1"/>
      <c r="HN152" s="1"/>
      <c r="HO152" s="1"/>
      <c r="HP152" s="1"/>
    </row>
    <row r="153" spans="2:224" ht="12.75" hidden="1" customHeight="1" x14ac:dyDescent="0.25">
      <c r="B153" s="12" t="s">
        <v>98</v>
      </c>
      <c r="C153" s="422">
        <v>8.19</v>
      </c>
      <c r="D153" s="208"/>
      <c r="E153" s="39">
        <f>SnapshotTable[[#This Row],[Last Price]]*(1 -CrashDiscount)</f>
        <v>6.9614999999999991</v>
      </c>
      <c r="F153" s="26" t="s">
        <v>97</v>
      </c>
      <c r="G153" s="26" t="s">
        <v>41</v>
      </c>
      <c r="H153" s="149"/>
      <c r="I153" s="194">
        <v>44768.670138888891</v>
      </c>
      <c r="J153" s="195">
        <v>44768.670138888891</v>
      </c>
      <c r="K153" s="196"/>
      <c r="L153" s="326"/>
      <c r="M153" s="140"/>
      <c r="N153" s="140"/>
      <c r="O153" s="140"/>
      <c r="P153" s="22"/>
      <c r="Q153" s="25"/>
      <c r="R153" s="4" t="str">
        <f>IF(SnapshotTable[[#This Row],[Equity Basis Total]] &gt; 0, SnapshotTable[[#This Row],[Equity Basis Total]] / SnapshotTable[[#This Row],[Equity Shares]], "")</f>
        <v/>
      </c>
      <c r="S153" s="269">
        <f>SnapshotTable[[#This Row],[Last Price]] * SnapshotTable[[#This Row],[Equity Shares]]</f>
        <v>0</v>
      </c>
      <c r="T153" s="269">
        <f>SnapshotTable[[#This Row],[Equity Value]] - SnapshotTable[[#This Row],[Equity Basis Total]]</f>
        <v>0</v>
      </c>
      <c r="U153" s="270" t="str">
        <f>IF(SnapshotTable[[#This Row],[Equity Basis Total]] &gt; 0, SnapshotTable[[#This Row],[Equity G/L]] / SnapshotTable[[#This Row],[Equity Basis Total]], "")</f>
        <v/>
      </c>
      <c r="V153" s="268"/>
      <c r="W153" s="268"/>
      <c r="X153" s="4" t="str">
        <f>IF(AND(ISNUMBER(SnapshotTable[[#This Row],[Equity Basis Per Share]]),ISNUMBER(SnapshotTable[[#This Row],[Equity Target]])),SnapshotTable[[#This Row],[Equity Target]]-SnapshotTable[[#This Row],[Equity Basis Per Share]],"")</f>
        <v/>
      </c>
      <c r="Y153" s="4" t="str">
        <f>IF(AND(ISNUMBER(SnapshotTable[[#This Row],[Equity Basis Per Share]]),ISNUMBER(SnapshotTable[[#This Row],[Equity Stop Loss]])),SnapshotTable[[#This Row],[Equity Stop Loss]]-SnapshotTable[[#This Row],[Equity Basis Per Share]],"")</f>
        <v/>
      </c>
      <c r="Z153" s="275" t="str">
        <f>IFERROR( TEXT(SnapshotTable[[#This Row],[Equity Max Gain Per Share]] /ABS( SnapshotTable[[#This Row],[Equity Max Loss Per Share]]),"0.0 " ) &amp; " : 1", "")</f>
        <v/>
      </c>
      <c r="AA153" s="31" t="str">
        <f>IF(ISNUMBER(SnapshotTable[[#This Row],[Equity Max Gain Per Share]]),SnapshotTable[[#This Row],[Equity Max Gain Per Share]] * SnapshotTable[[#This Row],[Equity Shares]],"")</f>
        <v/>
      </c>
      <c r="AB153" s="31" t="str">
        <f>IF(ISNUMBER(SnapshotTable[[#This Row],[Equity Max Loss Per Share]]),SnapshotTable[[#This Row],[Equity Max Loss Per Share]] * SnapshotTable[[#This Row],[Equity Shares]],"")</f>
        <v/>
      </c>
      <c r="AC153" s="150">
        <v>0.6</v>
      </c>
      <c r="AD153" s="151">
        <v>42356</v>
      </c>
      <c r="AE153" s="31">
        <f>(SnapshotTable[[#This Row],[Annual Dividend Per Share]] / 4) * SnapshotTable[[#This Row],[Equity Shares]]</f>
        <v>0</v>
      </c>
      <c r="AF153" s="31">
        <f>SnapshotTable[[#This Row],[Quarterly Div $]] * 4</f>
        <v>0</v>
      </c>
      <c r="AG153" s="7">
        <f>IF(SnapshotTable[[#This Row],[Annual Dividend Per Share]]&gt;0, SnapshotTable[[#This Row],[Annual Dividend Per Share]]  / SnapshotTable[[#This Row],[Last Price]], 0)</f>
        <v>7.3260073260073263E-2</v>
      </c>
      <c r="AH153" s="151">
        <v>42247</v>
      </c>
      <c r="AI153" s="5"/>
      <c r="AJ153" s="138">
        <v>20</v>
      </c>
      <c r="AK153" s="152" t="str">
        <f>IF(ISNUMBER( SnapshotTable[[#This Row],[EBF Target]]),(SnapshotTable[[#This Row],[EBF Target]] - SnapshotTable[[#This Row],[Last Price]]) / SnapshotTable[[#This Row],[Last Price]], "")</f>
        <v/>
      </c>
      <c r="AL153" s="152" t="str">
        <f>IF(AND(SnapshotTable[[#This Row],[Equity Basis Total]] &gt; 0,ISNUMBER( SnapshotTable[[#This Row],[Long Term Target]])), SnapshotTable[[#This Row],[From Basis $]] / SnapshotTable[[#This Row],[Equity Basis Total]], "")</f>
        <v/>
      </c>
      <c r="AM153" s="9">
        <f>IF( AND(SnapshotTable[[#This Row],[Equity Shares]] &gt;0,ISNUMBER( SnapshotTable[[#This Row],[Long Term Target]])),(SnapshotTable[[#This Row],[Equity Shares]] * SnapshotTable[[#This Row],[Long Term Target]]) - SnapshotTable[[#This Row],[Equity Basis Total]],0)</f>
        <v>0</v>
      </c>
      <c r="AN153" s="9">
        <f>IF( AND(SnapshotTable[[#This Row],[Equity Shares]] &gt;0,ISNUMBER( SnapshotTable[[#This Row],[Long Term Target]])),(SnapshotTable[[#This Row],[Equity Shares]]*SnapshotTable[[#This Row],[Long Term Target]]) - SnapshotTable[[#This Row],[Equity Value]],0)</f>
        <v>0</v>
      </c>
      <c r="AO153" s="152">
        <f>IF(AND(ISNUMBER( SnapshotTable[[#This Row],[Long Term Target]]), ISNUMBER(SnapshotTable[[#This Row],[Last Price]])),(SnapshotTable[[#This Row],[Long Term Target]] - SnapshotTable[[#This Row],[Last Price]]) / SnapshotTable[[#This Row],[Last Price]], "")</f>
        <v>1.4420024420024422</v>
      </c>
      <c r="AP153" s="5"/>
      <c r="AQ153" s="38"/>
      <c r="AR153" s="5"/>
      <c r="AS153" s="38"/>
      <c r="AT153" s="146"/>
      <c r="AU153" s="187" t="str">
        <f>IF(OR(SnapshotTable[[#This Row],[LP No Fill]]="Y",SnapshotTable[[#This Row],[SP Is Filled]],SnapshotTable[[#This Row],[LC Not Filled]]="Y",SnapshotTable[[#This Row],[SC Is Filled]]),"Y","")</f>
        <v/>
      </c>
      <c r="AV153" s="219"/>
      <c r="AW153" s="225"/>
      <c r="AX153" s="220"/>
      <c r="AY153" s="219" t="str">
        <f>IF(SnapshotTable[[#This Row],[Implied Move]]&gt;0, SnapshotTable[[#This Row],[Last Price]]-SnapshotTable[[#This Row],[Implied Move]],"")</f>
        <v/>
      </c>
      <c r="AZ153" s="219" t="str">
        <f>IF(SnapshotTable[[#This Row],[Implied Move]]&gt;0, SnapshotTable[[#This Row],[Last Price]] + SnapshotTable[[#This Row],[Implied Move]],"")</f>
        <v/>
      </c>
      <c r="BA153" s="331"/>
      <c r="BB153" s="347"/>
      <c r="BC15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3" s="351"/>
      <c r="BE153" s="5"/>
      <c r="BF153" s="14"/>
      <c r="BG153" s="13"/>
      <c r="BH153" s="13"/>
      <c r="BI153" s="5"/>
      <c r="BJ153" s="136">
        <f>IF(SnapshotTable[[#This Row],[LP Qty]] &gt; 0, SnapshotTable[[#This Row],[LP Qty]] * SnapshotTable[[#This Row],[LP Book Price]] * 100,0)</f>
        <v>0</v>
      </c>
      <c r="BK153" s="136">
        <f>IF(SnapshotTable[[#This Row],[LP Premium]] &gt; 0, SnapshotTable[[#This Row],[LP Qty]] * SnapshotTable[[#This Row],[LP Strike Price]] * 100,0)</f>
        <v>0</v>
      </c>
      <c r="BL153" s="154"/>
      <c r="BM153" s="385" t="str">
        <f>IF(SnapshotTable[[#This Row],[LP Premium]] &gt; 0,SnapshotTable[[#This Row],[LP Exp Date]]-MAX(SnapshotTable[[#This Row],[LP Book Date]], SnapshotTable[[#This Row],[LP Fill Date]]),"")</f>
        <v/>
      </c>
      <c r="BN153" s="385" t="str">
        <f>IF(ISNUMBER( SnapshotTable[[#This Row],[LP Term]]), SnapshotTable[[#This Row],[LP Exp Date]] - MockToday,"")</f>
        <v/>
      </c>
      <c r="BO153" s="163" t="str">
        <f>IF(AND(SnapshotTable[[#This Row],[LP Exp Date]]&gt;0, SnapshotTable[[#This Row],[LP Strike Price]]&gt;0,SnapshotTable[[#This Row],[LP Qty]]&gt;0,SnapshotTable[[#This Row],[LP Book Date]]&gt;0,SnapshotTable[[#This Row],[LP Book Price]]&gt;0,SnapshotTable[[#This Row],[LP Fill Date]]=0),"Y","")</f>
        <v/>
      </c>
      <c r="BP153" s="31" t="str">
        <f>IF(AND(SnapshotTable[[#This Row],[LP No Fill]]&lt;&gt;"Y",SnapshotTable[[#This Row],[LP Contract Value]]&gt;0, SnapshotTable[[#This Row],[LP Qty]]&gt;0), SnapshotTable[[#This Row],[LP Contract Value]]*SnapshotTable[[#This Row],[LP Qty]]*100,"")</f>
        <v/>
      </c>
      <c r="BQ153" s="13"/>
      <c r="BR153" s="5" t="str">
        <f>IF(SnapshotTable[[#This Row],[SP Exp Date]]&lt;&gt;"",TRUNC(SnapshotTable[[#This Row],[Last Price]]),"")</f>
        <v/>
      </c>
      <c r="BS153" s="36"/>
      <c r="BT153" s="147"/>
      <c r="BU153" s="13"/>
      <c r="BV153" s="5"/>
      <c r="BW153" s="419" t="b">
        <f>AND(ISNUMBER(SnapshotTable[[#This Row],[SP Exp Date]]), ISNUMBER(SnapshotTable[[#This Row],[SP Strike Price]]), ISNUMBER(SnapshotTable[[#This Row],[SP Qty]]), ISNUMBER(SnapshotTable[[#This Row],[SP Book Date]]), ISNUMBER(SnapshotTable[[#This Row],[SP Book Price]]))</f>
        <v>0</v>
      </c>
      <c r="BX153" s="419" t="b">
        <f>AND(SnapshotTable[[#This Row],[SP Is Booked]], NOT(ISBLANK(SnapshotTable[[#This Row],[SP Fill Date]])))</f>
        <v>0</v>
      </c>
      <c r="BY153" s="33">
        <f>IF(SnapshotTable[[#This Row],[SP Is Booked]], SnapshotTable[[#This Row],[SP Qty]] * SnapshotTable[[#This Row],[SP Book Price]] * 100, 0)</f>
        <v>0</v>
      </c>
      <c r="BZ153" s="369"/>
      <c r="CA153" s="368">
        <f>SnapshotTable[[#This Row],[LP Qty]]</f>
        <v>0</v>
      </c>
      <c r="CB153" s="4" t="str">
        <f>IF(SnapshotTable[[#This Row],[SP Is Booked]], SnapshotTable[[#This Row],[SP Strike Price]] - SnapshotTable[[#This Row],[SP Book Price]], "")</f>
        <v/>
      </c>
      <c r="CC153" s="19" t="str">
        <f>IF(SnapshotTable[[#This Row],[SP Is Booked]],SnapshotTable[[#This Row],[SP Exp Date]]-MAX(SnapshotTable[[#This Row],[SP Book Date]], SnapshotTable[[#This Row],[SP Fill Date]]),"")</f>
        <v/>
      </c>
      <c r="CD153" s="7" t="str">
        <f>IF(SnapshotTable[[#This Row],[SP Is Booked]], SnapshotTable[[#This Row],[SP Book Price]]/SnapshotTable[[#This Row],[SP Strike Price]], "")</f>
        <v/>
      </c>
      <c r="CE153" s="7" t="str">
        <f>IF(ISNUMBER(SnapshotTable[[#This Row],[SP ROO Term]]),SnapshotTable[[#This Row],[SP ROO Term]]*(365/SnapshotTable[[#This Row],[SP Term]]),"")</f>
        <v/>
      </c>
      <c r="CF153" s="236">
        <f>SnapshotTable[[#This Row],[LP Strike Price]] * SnapshotTable[[#This Row],[LP Qty]] * 100</f>
        <v>0</v>
      </c>
      <c r="CG153" s="31" t="e">
        <f>IF(ISNUMBER(SnapshotTable[[#This Row],[SP Premium]]), (SnapshotTable[[#This Row],[SP Qty]] * SnapshotTable[[#This Row],[SP Strike Price]]* 100) - SnapshotTable[[#This Row],[LP Protection]], 0)</f>
        <v>#VALUE!</v>
      </c>
      <c r="CH153" s="7" t="str">
        <f>IF(ISNUMBER(SnapshotTable[[#This Row],[SP Break Even]]),-1 * (SnapshotTable[[#This Row],[SP Break Even]] - SnapshotTable[[#This Row],[Last Price]]) / SnapshotTable[[#This Row],[Last Price]], "")</f>
        <v/>
      </c>
      <c r="CI153" s="31">
        <f>IF(AND(ISNUMBER((SnapshotTable[[#This Row],[SP Potential Spend]])), SnapshotTable[[#This Row],[SP Strike Price]] &gt; SnapshotTable[[#This Row],[Last Price]], SnapshotTable[[#This Row],[SP Is Filled]]), SnapshotTable[[#This Row],[SP Potential Spend]] -  SnapshotTable[[#This Row],[LP Max Value]], 0)</f>
        <v>0</v>
      </c>
      <c r="CJ153" s="244"/>
      <c r="CK153" s="31" t="str">
        <f>IF(ISNUMBER(SnapshotTable[[#This Row],[SP Potential Spend]]),IF(ISNUMBER(SnapshotTable[[#This Row],[SP POW]]), SnapshotTable[[#This Row],[SP POW]] * SnapshotTable[[#This Row],[SP Potential Spend]], SnapshotTable[[#This Row],[SP Potential Spend]]), "")</f>
        <v/>
      </c>
      <c r="CL153" s="164" t="e">
        <f>IF(NOT(SnapshotTable[[#This Row],[SP Is Filled]]),(SnapshotTable[[#This Row],[SP Qty]] * SnapshotTable[[#This Row],[SP Strike Price]] * 100) - SnapshotTable[[#This Row],[LP Max Value]],"")</f>
        <v>#VALUE!</v>
      </c>
      <c r="CM153" s="31" t="str">
        <f>IF(SnapshotTable[[#This Row],[SP Actual Spend]]&lt;&gt;0, ((SnapshotTable[[#This Row],[SP Strike Price]]-SnapshotTable[[#This Row],[Last Price]]) *(SnapshotTable[[#This Row],[SP Qty]]*100) - SnapshotTable[[#This Row],[SP Premium]]) * - 1, "")</f>
        <v/>
      </c>
      <c r="CN153" s="78"/>
      <c r="CO153" s="369"/>
      <c r="CP153" s="4" t="str">
        <f>IF(SnapshotTable[[#This Row],[SP Is Filled]], btc_max_buyback_amount(SnapshotTable[[#This Row],[SP Fill Date]],SnapshotTable[[#This Row],[SP Exp Date]], SnapshotTable[[#This Row],[SP Book Price]]),"")</f>
        <v/>
      </c>
      <c r="CQ153" s="78"/>
      <c r="CR15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3" s="155" t="str">
        <f>IF(SnapshotTable[[#This Row],[SP Is Filled]], btc_next_cutoff_date(SnapshotTable[[#This Row],[SP Fill Date]],SnapshotTable[[#This Row],[SP Exp Date]]),"")</f>
        <v/>
      </c>
      <c r="CT153" s="235" t="str" cm="1">
        <f t="array" ref="CT153">IF(SnapshotTable[[#This Row],[SP Is Filled]], btc_should_buy_back(SnapshotTable[[#This Row],[SP Fill Date]], SnapshotTable[[#This Row],[SP Exp Date]], SnapshotTable[[#This Row],[SP Book Price]], SnapshotTable[[#This Row],[SP Current Ask]], MockToday, SnapshotTable[[#This Row],[SP Buyback Override]]),"")</f>
        <v/>
      </c>
      <c r="CU153" s="143"/>
      <c r="CV153" s="235"/>
      <c r="CW153" s="378" t="str">
        <f>IF(ISNUMBER( SnapshotTable[[#This Row],[SP Term]]), SnapshotTable[[#This Row],[SP Exp Date]] - MockToday,"")</f>
        <v/>
      </c>
      <c r="CX153" s="31" t="str">
        <f>IF(SnapshotTable[[#This Row],[SP Is Filled]],SnapshotTable[[#This Row],[SP Buyback Price to Use]] * 100 * SnapshotTable[[#This Row],[SP Qty]], "")</f>
        <v/>
      </c>
      <c r="CY153" s="4" t="str">
        <f>IF(ISNUMBER(SnapshotTable[[#This Row],[SP Strike Price]]), SnapshotTable[[#This Row],[SP Strike Price]] * (1 - SP_MaxLoss_StrikePct), "")</f>
        <v/>
      </c>
      <c r="CZ153" s="31" t="str">
        <f>IF(ISNUMBER(SnapshotTable[[#This Row],[SP Strike  Stop Per Share]]),SnapshotTable[[#This Row],[SP Premium]] - ((SnapshotTable[[#This Row],[SP Strike Price]]-SnapshotTable[[#This Row],[SP Strike  Stop Per Share]]) *(SnapshotTable[[#This Row],[SP Qty]] * 100)),"")</f>
        <v/>
      </c>
      <c r="DA153" s="4" t="str">
        <f>IF(AND(ISNUMBER(SnapshotTable[[#This Row],[SP Premium]]),SnapshotTable[[#This Row],[SP Premium]]&gt;0), SnapshotTable[[#This Row],[SP Book Price]] * (1 + SP_MaxLoss_OptionPct), "")</f>
        <v/>
      </c>
      <c r="DB153" s="31" t="str">
        <f>IF(ISNUMBER(SnapshotTable[[#This Row],[SP Option  Stop Contract]]),(SnapshotTable[[#This Row],[SP Option  Stop Contract]] *(SnapshotTable[[#This Row],[SP Qty]] * 100) - SnapshotTable[[#This Row],[SP Premium]]),"")</f>
        <v/>
      </c>
      <c r="DC153" s="4"/>
      <c r="DD153" s="4"/>
      <c r="DE153" s="4" t="str">
        <f>IF(AND(SnapshotTable[[#This Row],[SP Qty]]&gt;0, SnapshotTable[[#This Row],[SP Stop To Use]]&gt;0),SnapshotTable[[#This Row],[SP Premium]] - ( SnapshotTable[[#This Row],[SP Qty]] * SnapshotTable[[#This Row],[SP Stop To Use]] * 100), "")</f>
        <v/>
      </c>
      <c r="DF153" s="31" t="str">
        <f>IF(AND(SnapshotTable[[#This Row],[SP Qty]]&gt;0,SnapshotTable[[#This Row],[SP Current Ask]]&gt;0), SnapshotTable[[#This Row],[SP Qty]] * SnapshotTable[[#This Row],[SP Current Ask]] * -100, "")</f>
        <v/>
      </c>
      <c r="DG153" s="31" t="str">
        <f>IF(ISNUMBER((SnapshotTable[[#This Row],[SP Total Value]])), SnapshotTable[[#This Row],[SP Premium]] + SnapshotTable[[#This Row],[SP Total Value]], "")</f>
        <v/>
      </c>
      <c r="DH153" s="294" t="str">
        <f>IF(ISNUMBER((SnapshotTable[[#This Row],[SP Total Value]])), SnapshotTable[[#This Row],[SP Gain Loss]] / SnapshotTable[[#This Row],[SP Premium]], "")</f>
        <v/>
      </c>
      <c r="DI153" s="406"/>
      <c r="DJ153" s="138"/>
      <c r="DK153" s="148"/>
      <c r="DL153" s="13"/>
      <c r="DM153" s="13"/>
      <c r="DO153" s="31">
        <f>IF(SnapshotTable[[#This Row],[LC Symbol Count]]=1, SnapshotTable[[#This Row],[LC Qty]] * SnapshotTable[[#This Row],[LC Book Price]] * 100, 0)</f>
        <v>0</v>
      </c>
      <c r="DP153" s="163" t="str">
        <f>IF(AND(SnapshotTable[[#This Row],[LC Exp Date]]&gt;0, SnapshotTable[[#This Row],[LC Strike Price]]&gt;0,SnapshotTable[[#This Row],[LC Qty]]&gt;0,SnapshotTable[[#This Row],[LC Book Date]]&gt;0,SnapshotTable[[#This Row],[LC Book Price]]&gt;0,SnapshotTable[[#This Row],[LC Fill Date]]=0),"Y","")</f>
        <v/>
      </c>
      <c r="DQ153" s="386" t="str">
        <f>IF(SnapshotTable[[#This Row],[LC Premium]] &gt; 0,SnapshotTable[[#This Row],[LC Exp Date]]-MAX(SnapshotTable[[#This Row],[LC Book Date]], SnapshotTable[[#This Row],[LC Fill Date]]),"")</f>
        <v/>
      </c>
      <c r="DR153" s="386" t="str">
        <f>IF(ISNUMBER(SnapshotTable[[#This Row],[LC Term]]), SnapshotTable[[#This Row],[LC Exp Date]] - MockToday, "")</f>
        <v/>
      </c>
      <c r="DS153" s="234" t="str">
        <f>IF(SnapshotTable[[#This Row],[LC Premium]]&gt;0,SnapshotTable[[#This Row],[LC Strike Price]] + SnapshotTable[[#This Row],[LC Book Price]],"")</f>
        <v/>
      </c>
      <c r="DU153" s="9" t="str">
        <f>IF(AND(SnapshotTable[[#This Row],[LC Symbol Count]]&gt;0, SnapshotTable[[#This Row],[LC Contract Value]]&gt;0), SnapshotTable[[#This Row],[LC Contract Value]] * SnapshotTable[[#This Row],[LC Qty]] * 100, "")</f>
        <v/>
      </c>
      <c r="DV153" s="9" t="str">
        <f>IF(AND(ISNUMBER(SnapshotTable[[#This Row],[LC Total Value]]), SnapshotTable[[#This Row],[LC Not Filled]]&lt;&gt;"Y"), SnapshotTable[[#This Row],[LC Total Value]]-SnapshotTable[[#This Row],[LC Premium]],"")</f>
        <v/>
      </c>
      <c r="DW153" s="240" t="str">
        <f>IF(ISNUMBER(SnapshotTable[[#This Row],[LC Actual Gain Loss]]), SnapshotTable[[#This Row],[LC Actual Gain Loss]] / SnapshotTable[[#This Row],[LC Premium]],"")</f>
        <v/>
      </c>
      <c r="DX153" s="284" t="str">
        <f>IF(ISNUMBER(SnapshotTable[[#This Row],[LC Book Price]]),SnapshotTable[[#This Row],[LC Book Price]] * 1.5,"")</f>
        <v/>
      </c>
      <c r="DY153" s="265" t="str">
        <f>IF(SnapshotTable[[#This Row],[LC Premium]]&gt;0, SnapshotTable[[#This Row],[LC Next Target]] * SnapshotTable[[#This Row],[LC Qty]] * 100,"")</f>
        <v/>
      </c>
      <c r="DZ153" s="265" t="str">
        <f>IF(ISNUMBER(SnapshotTable[[#This Row],[LC Target Gross]]), SnapshotTable[[#This Row],[LC Target Gross]] - SnapshotTable[[#This Row],[LC Premium]], "")</f>
        <v/>
      </c>
      <c r="EA153" s="305" t="str">
        <f>IF(ISNUMBER(SnapshotTable[[#This Row],[LC Target Gain Loss]]), SnapshotTable[[#This Row],[LC Target Gain Loss]]/SnapshotTable[[#This Row],[LC Premium]], "")</f>
        <v/>
      </c>
      <c r="EB153" s="262"/>
      <c r="EC153" s="283" t="str">
        <f>IF(SnapshotTable[[#This Row],[LC Premium]]&gt;0, SnapshotTable[[#This Row],[LC Book Price]] * (1 - LC_StopLoss_Pct),"")</f>
        <v/>
      </c>
      <c r="ED153" s="284"/>
      <c r="EE153" s="283" t="str">
        <f>IF(ISNUMBER(SnapshotTable[[#This Row],[LC Contract Value]]),IF(ISNUMBER(SnapshotTable[[#This Row],[LC Stop Loss Override]]), SnapshotTable[[#This Row],[LC Stop Loss Override]],SnapshotTable[[#This Row],[LC Stop Loss Calc Target]]),"")</f>
        <v/>
      </c>
      <c r="EF153" s="31" t="str">
        <f>IF(ISNUMBER(SnapshotTable[[#This Row],[LC Stop  To Use]]), (SnapshotTable[[#This Row],[LC Stop  To Use]] * SnapshotTable[[#This Row],[LC Qty]] * 100),"")</f>
        <v/>
      </c>
      <c r="EG153" s="9" t="str">
        <f>IF(ISNUMBER(SnapshotTable[[#This Row],[LC Total Value]]),SnapshotTable[[#This Row],[LC Stop Loss Amount]] - SnapshotTable[[#This Row],[LC Premium]],"")</f>
        <v/>
      </c>
      <c r="EH153" s="9">
        <f>IF(ISNUMBER(SnapshotTable[[#This Row],[LC Premium]]), SnapshotTable[[#This Row],[LC Qty]] * 100 * SnapshotTable[[#This Row],[LC Strike Price]], "")</f>
        <v>0</v>
      </c>
      <c r="EI153" s="240" t="str">
        <f>IF(AND(ISNUMBER(SnapshotTable[[#This Row],[LC Total Value]]),SnapshotTable[[#This Row],[LC Total Value]]&gt;0),SnapshotTable[[#This Row],[LC Stop Gain Loss]]  / SnapshotTable[[#This Row],[LC Premium]],"")</f>
        <v/>
      </c>
      <c r="EJ153" s="35">
        <f>IF(ISNUMBER(SnapshotTable[[#This Row],[Equity Shares]]),TRUNC(SnapshotTable[[#This Row],[Equity Shares]] / 100),0) + SnapshotTable[[#This Row],[LC Qty]]</f>
        <v>0</v>
      </c>
      <c r="EK153" s="147"/>
      <c r="EL153" s="138" t="str">
        <f>IF(SnapshotTable[[#This Row],[SC Exp Date]]&lt;&gt;"",TRUNC(SnapshotTable[[#This Row],[Last Price]]),"")</f>
        <v/>
      </c>
      <c r="EM153" s="148"/>
      <c r="EN153" s="147"/>
      <c r="EO153" s="147"/>
      <c r="EP153" s="138"/>
      <c r="EQ153" s="419" t="b">
        <f>AND(ISNUMBER(SnapshotTable[[#This Row],[SC Exp Date]]), ISNUMBER(SnapshotTable[[#This Row],[SC Strike Price]]), ISNUMBER(SnapshotTable[[#This Row],[SC Qty]]), ISNUMBER(SnapshotTable[[#This Row],[SC Book Date]]), ISNUMBER(SnapshotTable[[#This Row],[SC Book Price]]))</f>
        <v>0</v>
      </c>
      <c r="ER153" s="419" t="b">
        <f>AND(SnapshotTable[[#This Row],[SC Is Booked]], NOT(ISBLANK(SnapshotTable[[#This Row],[SC Fill Date]])))</f>
        <v>0</v>
      </c>
      <c r="ES153" s="370"/>
      <c r="ET153" s="34" t="str">
        <f>IF(AND(ISNUMBER(SnapshotTable[[#This Row],[SC Exp Date]]), ISNUMBER(SnapshotTable[[#This Row],[SC Book Date]])), SnapshotTable[[#This Row],[SC Exp Date]] - MAX(SnapshotTable[[#This Row],[SC Book Date]], SnapshotTable[[#This Row],[SC Fill Date]]) + 1, "")</f>
        <v/>
      </c>
      <c r="EU153" s="34" t="str">
        <f>IF(ISNUMBER(SnapshotTable[[#This Row],[SC Term]]), SnapshotTable[[#This Row],[SC Exp Date]]- MockToday, "")</f>
        <v/>
      </c>
      <c r="EV153" s="31">
        <f>IF(SnapshotTable[[#This Row],[SC Is Booked]], SnapshotTable[[#This Row],[SC Qty]] * SnapshotTable[[#This Row],[SC Book Price]] * 100, 0)</f>
        <v>0</v>
      </c>
      <c r="EW153" s="4" t="str">
        <f>IF(AND(ISNUMBER(SnapshotTable[[#This Row],[Last Price]]), ISNUMBER( SnapshotTable[[#This Row],[SC Book Price]])), SnapshotTable[[#This Row],[Last Price]] - SnapshotTable[[#This Row],[SC Book Price]],"")</f>
        <v/>
      </c>
      <c r="EX153" s="234" t="str">
        <f>IF(SnapshotTable[[#This Row],[SC Is Booked]],IF(SnapshotTable[[#This Row],[SC Intrinsic Value]] &gt; 0, SnapshotTable[[#This Row],[SC Strike Price]], SnapshotTable[[#This Row],[Last Price]]), "")</f>
        <v/>
      </c>
      <c r="EY153" s="4">
        <f>IF(SnapshotTable[[#This Row],[SC Is Booked]], (MinimumPremiumRequired * SnapshotTable[[#This Row],[SC Basis]] * SnapshotTable[[#This Row],[SC Term]]), 0)</f>
        <v>0</v>
      </c>
      <c r="EZ153" s="283"/>
      <c r="FA153" s="218"/>
      <c r="FB153" s="370"/>
      <c r="FC153" s="4">
        <f>IF(SnapshotTable[[#This Row],[SC Is Filled]], btc_max_buyback_amount(SnapshotTable[[#This Row],[SC Fill Date]],SnapshotTable[[#This Row],[SC Exp Date]], SnapshotTable[[#This Row],[SC Book Price]]),0)</f>
        <v>0</v>
      </c>
      <c r="FD153" s="5"/>
      <c r="FE153" s="144" t="str">
        <f>IF(SnapshotTable[[#This Row],[SC Is Filled]], btc_next_cutoff_date(SnapshotTable[[#This Row],[SC Fill Date]],SnapshotTable[[#This Row],[SC Exp Date]]),"")</f>
        <v/>
      </c>
      <c r="FF153" s="4" t="str" cm="1">
        <f t="array" ref="FF153">IF(SnapshotTable[[#This Row],[SC Is Filled]], btc_should_buy_back(SnapshotTable[[#This Row],[SC Fill Date]], SnapshotTable[[#This Row],[SC Exp Date]], SnapshotTable[[#This Row],[SC Book Price]], SnapshotTable[[#This Row],[SC Current Ask]], MockToday, SnapshotTable[[#This Row],[SC Buyback Override]]),"")</f>
        <v/>
      </c>
      <c r="FG153" s="4">
        <f>IF(SnapshotTable[[#This Row],[SC Is Filled]], MAX(0,SnapshotTable[[#This Row],[Last Price]]  - SnapshotTable[[#This Row],[SC Strike Price]]), 0)</f>
        <v>0</v>
      </c>
      <c r="FH153" s="382">
        <f>IF(SnapshotTable[[#This Row],[SC Is Filled]], IF(ISNUMBER(SnapshotTable[[#This Row],[SC Current Ask]]), SnapshotTable[[#This Row],[SC Current Ask]], SnapshotTable[[#This Row],[SC Book Price]]) - SnapshotTable[[#This Row],[SC Intrinsic Value]], 0)</f>
        <v>0</v>
      </c>
      <c r="FI153" s="143"/>
      <c r="FJ153" s="32" t="str">
        <f>IF(SnapshotTable[[#This Row],[SC Is Filled]],100 * SnapshotTable[[#This Row],[SC Qty]] * IF(ISNUMBER(SnapshotTable[[#This Row],[SC Buyback Override]]), SnapshotTable[[#This Row],[SC Buyback Override]], SnapshotTable[[#This Row],[SC Current Ask]]), "")</f>
        <v/>
      </c>
      <c r="FK153" s="250" t="str">
        <f>IF(SnapshotTable[[#This Row],[SC Time Val]]&gt;0, SnapshotTable[[#This Row],[SC Time Val]] / SnapshotTable[[#This Row],[Last Price]],"")</f>
        <v/>
      </c>
      <c r="FL153" s="302" t="str">
        <f>IF(SnapshotTable[[#This Row],[SC Is Booked]], ((SnapshotTable[[#This Row],[Last Price]] -SnapshotTable[[#This Row],[SC Strike Price]]) / SnapshotTable[[#This Row],[Last Price]]) * -1, "")</f>
        <v/>
      </c>
      <c r="FM153" s="157" t="str">
        <f>IF(SnapshotTable[[#This Row],[SC Is Booked]],  (SnapshotTable[[#This Row],[SC Qty]] * 100 * SnapshotTable[[#This Row],[SC Strike Price]]) - SnapshotTable[[#This Row],[SC Current Ask]], "")</f>
        <v/>
      </c>
      <c r="FN15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3" s="31" t="str">
        <f>IF(AND(ISNUMBER(SnapshotTable[[#This Row],[SC Exercise Gross]]), ISNUMBER(SnapshotTable[[#This Row],[Equity Basis Per Share]] )), SnapshotTable[[#This Row],[SC Exercise Gross]] - SnapshotTable[[#This Row],[Equity Basis Total]] +  SnapshotTable[[#This Row],[SC Premium]], "")</f>
        <v/>
      </c>
      <c r="FP153" s="5" t="str">
        <f>IF(ISNUMBER(SnapshotTable[[#This Row],[SC Exercise Gross]]), (SnapshotTable[[#This Row],[SC Exercise Gross]]) / (SnapshotTable[[#This Row],[SC Qty]] * 100), "")</f>
        <v/>
      </c>
      <c r="FQ153" s="27" t="str">
        <f>IF(SnapshotTable[[#This Row],[SC Is Booked]],SnapshotTable[[#This Row],[SC Time Val]] /SnapshotTable[[#This Row],[SC Basis]], "")</f>
        <v/>
      </c>
      <c r="FR153" s="27" t="str" cm="1">
        <f t="array" ref="FR153">IF(AND(ISNUMBER(SnapshotTable[[#This Row],[SC Term]]),ISNUMBER(SnapshotTable[[#This Row],[SC Simple ROO]])), EllmanAnnualize(SnapshotTable[[#This Row],[SC DTE]], SnapshotTable[[#This Row],[SC Simple ROO]] ),"")</f>
        <v/>
      </c>
      <c r="FS153" s="4" t="e">
        <f>IF(SnapshotTable[[#This Row],[SC Strike Price]] &gt; SnapshotTable[[#This Row],[Last Price]], SnapshotTable[[#This Row],[SC Strike Price]] - SnapshotTable[[#This Row],[Last Price]],0)</f>
        <v>#VALUE!</v>
      </c>
      <c r="FT153" s="27" t="e">
        <f>IF(AND(ISNUMBER(SnapshotTable[[#This Row],[SC Upside Potential]]), SnapshotTable[[#This Row],[SC Upside Potential]] &gt; 0),(SnapshotTable[[#This Row],[SC Upside Potential]]/ SnapshotTable[[#This Row],[ACB]]),"")</f>
        <v>#VALUE!</v>
      </c>
      <c r="FU153" s="333" t="str">
        <f>IF(SnapshotTable[[#This Row],[SC Intrinsic Value]] &gt; 0,SnapshotTable[[#This Row],[SC Intrinsic Value]],"")</f>
        <v/>
      </c>
      <c r="FV153" s="27" t="str">
        <f>IF(AND( ISNUMBER( SnapshotTable[[#This Row],[ACB]]),ISNUMBER(SnapshotTable[[#This Row],[SC Downside Protect]])),SnapshotTable[[#This Row],[SC Downside Protect]] / SnapshotTable[[#This Row],[ACB]],"")</f>
        <v/>
      </c>
      <c r="FW153" s="236" t="str">
        <f>IF(AND(ISNUMBER(SnapshotTable[[#This Row],[SC Simple ROO]]),SnapshotTable[[#This Row],[SC Simple ROO]] &gt; 0), SnapshotTable[[#This Row],[SC Premium]] + (SnapshotTable[[#This Row],[SC Qty]] * SnapshotTable[[#This Row],[SC Upside Potential]]), "")</f>
        <v/>
      </c>
      <c r="FX153" s="302" t="str" cm="1">
        <f t="array" ref="FX153">IF(ISNUMBER(SnapshotTable[[#This Row],[SC Max Dollars]]), annualize(SnapshotTable[[#This Row],[SC Term]],(SnapshotTable[[#This Row],[SC Max Dollars]]/SnapshotTable[[#This Row],[SC Basis]])),"")</f>
        <v/>
      </c>
      <c r="FY153" s="236" t="str">
        <f>IF(AND(SnapshotTable[[#This Row],[SC Qty]]&gt;0,SnapshotTable[[#This Row],[SC Current Ask]]&gt;0), SnapshotTable[[#This Row],[SC Qty]] * SnapshotTable[[#This Row],[SC Current Ask]] * -100, "")</f>
        <v/>
      </c>
      <c r="FZ153" s="31" t="str">
        <f>IF(ISNUMBER((SnapshotTable[[#This Row],[SC Current Value]])), SnapshotTable[[#This Row],[SC Premium]] + SnapshotTable[[#This Row],[SC Current Value]], "")</f>
        <v/>
      </c>
      <c r="GA153" s="294" t="str">
        <f>IFERROR( IF(ISNUMBER((SnapshotTable[[#This Row],[SC Current Value]])), SnapshotTable[[#This Row],[SC Gain Loss]] / SnapshotTable[[#This Row],[SC Premium]], ""), "")</f>
        <v/>
      </c>
      <c r="GB153" s="42">
        <f>SnapshotTable[[#This Row],[Equity Shares]] * SaleSharesToConsiderPercentage</f>
        <v>0</v>
      </c>
      <c r="GC153" s="40">
        <f>SnapshotTable[[#This Row],[Long Term Target]] * SellingPriceToConsiderBasedOnTargetPercentage</f>
        <v>19</v>
      </c>
      <c r="GD153" s="40">
        <f>SnapshotTable[[#This Row],[Last Price]] * (1+ SellingPriceToConsiderBasedOnTargetPercentage)</f>
        <v>15.970499999999999</v>
      </c>
      <c r="GE153" s="41"/>
      <c r="GF153" s="40">
        <v>57.88</v>
      </c>
      <c r="GG153" s="31">
        <f>SnapshotTable[[#This Row],[Booked Sale Shares]] * SnapshotTable[[#This Row],[Booked Sale Price]]</f>
        <v>0</v>
      </c>
      <c r="GH153" s="31" t="str">
        <f>IF(SnapshotTable[[#This Row],[Equity Basis Total]] &gt; 0, SnapshotTable[[#This Row],[Equity Basis Per Share]] * SnapshotTable[[#This Row],[Booked Sale Shares]], "")</f>
        <v/>
      </c>
      <c r="GI153" s="31">
        <f>IF(SnapshotTable[[#This Row],[Sale Proceeds]]&gt;0, SnapshotTable[[#This Row],[Sale Proceeds]] - SnapshotTable[[#This Row],[Sale Basis]], 0)</f>
        <v>0</v>
      </c>
      <c r="GJ153" s="27" t="str">
        <f>IF(SnapshotTable[[#This Row],[Sale G/L]]&gt;0, SnapshotTable[[#This Row],[Sale G/L]] / SnapshotTable[[#This Row],[Sale Basis]], IF(ISNUMBER(SnapshotTable[[#This Row],[SC Exercise P&amp;L (TAX)]]), SnapshotTable[[#This Row],[SC Exercise P&amp;L (TAX)]] / SnapshotTable[[#This Row],[SC Basis]], ""))</f>
        <v/>
      </c>
      <c r="GK153" s="27" t="s">
        <v>697</v>
      </c>
      <c r="GL153" s="43" t="str">
        <f>IF(AND(SnapshotTable[[#This Row],[LP Exp Date]]&gt;0,SnapshotTable[[#This Row],[LP Strike Price]]&gt;0), [1]!ToOptionSymbol(SnapshotTable[[#This Row],[Symbol]], SnapshotTable[[#This Row],[LP Strike Price]],SnapshotTable[[#This Row],[LP Exp Date]],1), "")</f>
        <v/>
      </c>
      <c r="GM153" s="30" t="str">
        <f>IF(LEN(SnapshotTable[[#This Row],[LP Symbol]])&gt;0, 1, "")</f>
        <v/>
      </c>
      <c r="GN153" s="43" t="str">
        <f>IF(AND(SnapshotTable[[#This Row],[SP Exp Date]]&gt;0,SnapshotTable[[#This Row],[SP Strike Price]]&gt;0), [1]!ToOptionSymbol(SnapshotTable[[#This Row],[Symbol]], SnapshotTable[[#This Row],[SP Strike Price]],SnapshotTable[[#This Row],[SP Exp Date]],1), "")</f>
        <v/>
      </c>
      <c r="GO153" s="30" t="str">
        <f>IF(LEN(SnapshotTable[[#This Row],[SP Symbol]])&gt;0, 1, "")</f>
        <v/>
      </c>
      <c r="GP153" s="43" t="str">
        <f>IF(AND(SnapshotTable[[#This Row],[LC Exp Date]]&gt;0,SnapshotTable[[#This Row],[LC Strike Price]]&gt;0), [1]!ToOptionSymbol(SnapshotTable[[#This Row],[Symbol]], SnapshotTable[[#This Row],[LC Strike Price]],SnapshotTable[[#This Row],[LC Exp Date]],0), "")</f>
        <v/>
      </c>
      <c r="GQ153" s="30" t="str">
        <f>IF(LEN(SnapshotTable[[#This Row],[LC Symbol]])&gt;0, 1, "")</f>
        <v/>
      </c>
      <c r="GR153" s="43" t="str">
        <f>IF(AND(SnapshotTable[[#This Row],[SC Exp Date]]&gt;0,SnapshotTable[[#This Row],[SC Strike Price]]&gt;0), [1]!ToOptionSymbol(SnapshotTable[[#This Row],[Symbol]], SnapshotTable[[#This Row],[SC Strike Price]],SnapshotTable[[#This Row],[SC Exp Date]],0), "")</f>
        <v/>
      </c>
      <c r="GS153" s="30" t="str">
        <f>IF(LEN(SnapshotTable[[#This Row],[SC Symbol]])&gt;0, 1, "")</f>
        <v/>
      </c>
      <c r="GT153" s="29" t="str">
        <f>IF(COUNT(SnapshotTable[[#This Row],[LP Symbol Count]],SnapshotTable[[#This Row],[SP Symbol Count]],SnapshotTable[[#This Row],[LC Symbol Count]],SnapshotTable[[#This Row],[SC Symbol Count]])&gt;0, "Y", "")</f>
        <v/>
      </c>
      <c r="GU15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3" s="231" t="e">
        <f>MAX(SnapshotTable[[#This Row],[Equity Basis Total]],SnapshotTable[[#This Row],[Equity Value]]) + (SnapshotTable[[#This Row],[SP Potential Spend]]- SnapshotTable[[#This Row],[SP Premium]] + SnapshotTable[[#This Row],[LP Premium]])+ (SnapshotTable[[#This Row],[LC Premium]] - SnapshotTable[[#This Row],[SC Premium]])</f>
        <v>#VALUE!</v>
      </c>
      <c r="GW153" s="139" t="e">
        <f>IF(AND(SnapshotTable[[#This Row],[Exposure]] &lt;&gt; 0),SnapshotTable[[#This Row],[Exposure]] / SnapshotTable[[#Totals],[Exposure]], "")</f>
        <v>#VALUE!</v>
      </c>
      <c r="HE153" s="268"/>
      <c r="HF153" s="268"/>
      <c r="HK153" s="1"/>
      <c r="HL153" s="1"/>
      <c r="HM153" s="1"/>
      <c r="HN153" s="1"/>
      <c r="HO153" s="1"/>
      <c r="HP153" s="1"/>
    </row>
    <row r="154" spans="2:224" ht="12.75" hidden="1" customHeight="1" x14ac:dyDescent="0.25">
      <c r="B154" s="12" t="s">
        <v>985</v>
      </c>
      <c r="C154" s="422">
        <v>18.329999999999998</v>
      </c>
      <c r="D154" s="208" t="s">
        <v>578</v>
      </c>
      <c r="E154" s="39">
        <f>SnapshotTable[[#This Row],[Last Price]]*(1 -CrashDiscount)</f>
        <v>15.580499999999999</v>
      </c>
      <c r="F154" s="26" t="s">
        <v>986</v>
      </c>
      <c r="G154" s="26" t="s">
        <v>610</v>
      </c>
      <c r="H154" s="149"/>
      <c r="I154" s="194">
        <v>44768.670138888891</v>
      </c>
      <c r="J154" s="195">
        <v>44768.670138888891</v>
      </c>
      <c r="K154" s="196"/>
      <c r="L154" s="326"/>
      <c r="M154" s="140"/>
      <c r="N154" s="140"/>
      <c r="O154" s="140"/>
      <c r="P154" s="22"/>
      <c r="Q154" s="25"/>
      <c r="R154" s="4" t="str">
        <f>IF(SnapshotTable[[#This Row],[Equity Basis Total]] &gt; 0, SnapshotTable[[#This Row],[Equity Basis Total]] / SnapshotTable[[#This Row],[Equity Shares]], "")</f>
        <v/>
      </c>
      <c r="S154" s="269">
        <f>SnapshotTable[[#This Row],[Last Price]] * SnapshotTable[[#This Row],[Equity Shares]]</f>
        <v>0</v>
      </c>
      <c r="T154" s="269">
        <f>SnapshotTable[[#This Row],[Equity Value]] - SnapshotTable[[#This Row],[Equity Basis Total]]</f>
        <v>0</v>
      </c>
      <c r="U154" s="270" t="str">
        <f>IF(SnapshotTable[[#This Row],[Equity Basis Total]] &gt; 0, SnapshotTable[[#This Row],[Equity G/L]] / SnapshotTable[[#This Row],[Equity Basis Total]], "")</f>
        <v/>
      </c>
      <c r="V154" s="268">
        <v>28.44</v>
      </c>
      <c r="W154" s="268"/>
      <c r="X154" s="4" t="str">
        <f>IF(AND(ISNUMBER(SnapshotTable[[#This Row],[Equity Basis Per Share]]),ISNUMBER(SnapshotTable[[#This Row],[Equity Target]])),SnapshotTable[[#This Row],[Equity Target]]-SnapshotTable[[#This Row],[Equity Basis Per Share]],"")</f>
        <v/>
      </c>
      <c r="Y154" s="4" t="str">
        <f>IF(AND(ISNUMBER(SnapshotTable[[#This Row],[Equity Basis Per Share]]),ISNUMBER(SnapshotTable[[#This Row],[Equity Stop Loss]])),SnapshotTable[[#This Row],[Equity Stop Loss]]-SnapshotTable[[#This Row],[Equity Basis Per Share]],"")</f>
        <v/>
      </c>
      <c r="Z154" s="275" t="str">
        <f>IFERROR( TEXT(SnapshotTable[[#This Row],[Equity Max Gain Per Share]] /ABS( SnapshotTable[[#This Row],[Equity Max Loss Per Share]]),"0.0 " ) &amp; " : 1", "")</f>
        <v/>
      </c>
      <c r="AA154" s="31" t="str">
        <f>IF(ISNUMBER(SnapshotTable[[#This Row],[Equity Max Gain Per Share]]),SnapshotTable[[#This Row],[Equity Max Gain Per Share]] * SnapshotTable[[#This Row],[Equity Shares]],"")</f>
        <v/>
      </c>
      <c r="AB154" s="31" t="str">
        <f>IF(ISNUMBER(SnapshotTable[[#This Row],[Equity Max Loss Per Share]]),SnapshotTable[[#This Row],[Equity Max Loss Per Share]] * SnapshotTable[[#This Row],[Equity Shares]],"")</f>
        <v/>
      </c>
      <c r="AC154" s="150"/>
      <c r="AD154" s="151"/>
      <c r="AE154" s="31">
        <f>(SnapshotTable[[#This Row],[Annual Dividend Per Share]] / 4) * SnapshotTable[[#This Row],[Equity Shares]]</f>
        <v>0</v>
      </c>
      <c r="AF154" s="31">
        <f>SnapshotTable[[#This Row],[Quarterly Div $]] * 4</f>
        <v>0</v>
      </c>
      <c r="AG154" s="7">
        <f>IF(SnapshotTable[[#This Row],[Annual Dividend Per Share]]&gt;0, SnapshotTable[[#This Row],[Annual Dividend Per Share]]  / SnapshotTable[[#This Row],[Last Price]], 0)</f>
        <v>0</v>
      </c>
      <c r="AH154" s="151"/>
      <c r="AI154" s="5"/>
      <c r="AJ154" s="138">
        <v>34</v>
      </c>
      <c r="AK154" s="152" t="str">
        <f>IF(ISNUMBER( SnapshotTable[[#This Row],[EBF Target]]),(SnapshotTable[[#This Row],[EBF Target]] - SnapshotTable[[#This Row],[Last Price]]) / SnapshotTable[[#This Row],[Last Price]], "")</f>
        <v/>
      </c>
      <c r="AL154" s="152" t="str">
        <f>IF(AND(SnapshotTable[[#This Row],[Equity Basis Total]] &gt; 0,ISNUMBER( SnapshotTable[[#This Row],[Long Term Target]])), SnapshotTable[[#This Row],[From Basis $]] / SnapshotTable[[#This Row],[Equity Basis Total]], "")</f>
        <v/>
      </c>
      <c r="AM154" s="9">
        <f>IF( AND(SnapshotTable[[#This Row],[Equity Shares]] &gt;0,ISNUMBER( SnapshotTable[[#This Row],[Long Term Target]])),(SnapshotTable[[#This Row],[Equity Shares]] * SnapshotTable[[#This Row],[Long Term Target]]) - SnapshotTable[[#This Row],[Equity Basis Total]],0)</f>
        <v>0</v>
      </c>
      <c r="AN154" s="9">
        <f>IF( AND(SnapshotTable[[#This Row],[Equity Shares]] &gt;0,ISNUMBER( SnapshotTable[[#This Row],[Long Term Target]])),(SnapshotTable[[#This Row],[Equity Shares]]*SnapshotTable[[#This Row],[Long Term Target]]) - SnapshotTable[[#This Row],[Equity Value]],0)</f>
        <v>0</v>
      </c>
      <c r="AO154" s="152">
        <f>IF(AND(ISNUMBER( SnapshotTable[[#This Row],[Long Term Target]]), ISNUMBER(SnapshotTable[[#This Row],[Last Price]])),(SnapshotTable[[#This Row],[Long Term Target]] - SnapshotTable[[#This Row],[Last Price]]) / SnapshotTable[[#This Row],[Last Price]], "")</f>
        <v>0.85488270594653593</v>
      </c>
      <c r="AP154" s="5">
        <v>28.44</v>
      </c>
      <c r="AQ154" s="38" t="s">
        <v>89</v>
      </c>
      <c r="AR154" s="5">
        <v>26.88</v>
      </c>
      <c r="AS154" s="38" t="s">
        <v>32</v>
      </c>
      <c r="AT154" s="146"/>
      <c r="AU154" s="187" t="str">
        <f>IF(OR(SnapshotTable[[#This Row],[LP No Fill]]="Y",SnapshotTable[[#This Row],[SP Is Filled]],SnapshotTable[[#This Row],[LC Not Filled]]="Y",SnapshotTable[[#This Row],[SC Is Filled]]),"Y","")</f>
        <v/>
      </c>
      <c r="AV154" s="219"/>
      <c r="AW154" s="225"/>
      <c r="AX154" s="220"/>
      <c r="AY154" s="219" t="str">
        <f>IF(SnapshotTable[[#This Row],[Implied Move]]&gt;0, SnapshotTable[[#This Row],[Last Price]]-SnapshotTable[[#This Row],[Implied Move]],"")</f>
        <v/>
      </c>
      <c r="AZ154" s="219" t="str">
        <f>IF(SnapshotTable[[#This Row],[Implied Move]]&gt;0, SnapshotTable[[#This Row],[Last Price]] + SnapshotTable[[#This Row],[Implied Move]],"")</f>
        <v/>
      </c>
      <c r="BA154" s="331">
        <v>26.17</v>
      </c>
      <c r="BB154" s="347" t="s">
        <v>997</v>
      </c>
      <c r="BC154" s="37"/>
      <c r="BD154" s="351"/>
      <c r="BE154" s="5"/>
      <c r="BF154" s="14"/>
      <c r="BG154" s="13"/>
      <c r="BH154" s="13"/>
      <c r="BI154" s="5"/>
      <c r="BJ154" s="136">
        <f>IF(SnapshotTable[[#This Row],[LP Qty]] &gt; 0, SnapshotTable[[#This Row],[LP Qty]] * SnapshotTable[[#This Row],[LP Book Price]] * 100,0)</f>
        <v>0</v>
      </c>
      <c r="BK154" s="136">
        <f>IF(SnapshotTable[[#This Row],[LP Premium]] &gt; 0, SnapshotTable[[#This Row],[LP Qty]] * SnapshotTable[[#This Row],[LP Strike Price]] * 100,0)</f>
        <v>0</v>
      </c>
      <c r="BL154" s="154"/>
      <c r="BM154" s="385" t="str">
        <f>IF(SnapshotTable[[#This Row],[LP Premium]] &gt; 0,SnapshotTable[[#This Row],[LP Exp Date]]-MAX(SnapshotTable[[#This Row],[LP Book Date]], SnapshotTable[[#This Row],[LP Fill Date]]),"")</f>
        <v/>
      </c>
      <c r="BN154" s="385" t="str">
        <f>IF(ISNUMBER( SnapshotTable[[#This Row],[LP Term]]), SnapshotTable[[#This Row],[LP Exp Date]] - MockToday,"")</f>
        <v/>
      </c>
      <c r="BO154" s="163" t="str">
        <f>IF(AND(SnapshotTable[[#This Row],[LP Exp Date]]&gt;0, SnapshotTable[[#This Row],[LP Strike Price]]&gt;0,SnapshotTable[[#This Row],[LP Qty]]&gt;0,SnapshotTable[[#This Row],[LP Book Date]]&gt;0,SnapshotTable[[#This Row],[LP Book Price]]&gt;0,SnapshotTable[[#This Row],[LP Fill Date]]=0),"Y","")</f>
        <v/>
      </c>
      <c r="BP154" s="31"/>
      <c r="BQ154" s="13"/>
      <c r="BR154" s="5" t="str">
        <f>IF(SnapshotTable[[#This Row],[SP Exp Date]]&lt;&gt;"",TRUNC(SnapshotTable[[#This Row],[Last Price]]),"")</f>
        <v/>
      </c>
      <c r="BS154" s="36"/>
      <c r="BT154" s="147"/>
      <c r="BU154" s="13"/>
      <c r="BV154" s="5"/>
      <c r="BW154" s="419" t="b">
        <f>AND(ISNUMBER(SnapshotTable[[#This Row],[SP Exp Date]]), ISNUMBER(SnapshotTable[[#This Row],[SP Strike Price]]), ISNUMBER(SnapshotTable[[#This Row],[SP Qty]]), ISNUMBER(SnapshotTable[[#This Row],[SP Book Date]]), ISNUMBER(SnapshotTable[[#This Row],[SP Book Price]]))</f>
        <v>0</v>
      </c>
      <c r="BX154" s="419" t="b">
        <f>AND(SnapshotTable[[#This Row],[SP Is Booked]], NOT(ISBLANK(SnapshotTable[[#This Row],[SP Fill Date]])))</f>
        <v>0</v>
      </c>
      <c r="BY154" s="33">
        <f>IF(SnapshotTable[[#This Row],[SP Is Booked]], SnapshotTable[[#This Row],[SP Qty]] * SnapshotTable[[#This Row],[SP Book Price]] * 100, 0)</f>
        <v>0</v>
      </c>
      <c r="BZ154" s="369"/>
      <c r="CA154" s="368">
        <f>SnapshotTable[[#This Row],[LP Qty]]</f>
        <v>0</v>
      </c>
      <c r="CB154" s="4" t="str">
        <f>IF(SnapshotTable[[#This Row],[SP Is Booked]], SnapshotTable[[#This Row],[SP Strike Price]] - SnapshotTable[[#This Row],[SP Book Price]], "")</f>
        <v/>
      </c>
      <c r="CC154" s="19" t="str">
        <f>IF(SnapshotTable[[#This Row],[SP Is Booked]],SnapshotTable[[#This Row],[SP Exp Date]]-MAX(SnapshotTable[[#This Row],[SP Book Date]], SnapshotTable[[#This Row],[SP Fill Date]]),"")</f>
        <v/>
      </c>
      <c r="CD154" s="7" t="str">
        <f>IF(SnapshotTable[[#This Row],[SP Is Booked]], SnapshotTable[[#This Row],[SP Book Price]]/SnapshotTable[[#This Row],[SP Strike Price]], "")</f>
        <v/>
      </c>
      <c r="CE154" s="7" t="str">
        <f>IF(ISNUMBER(SnapshotTable[[#This Row],[SP ROO Term]]),SnapshotTable[[#This Row],[SP ROO Term]]*(365/SnapshotTable[[#This Row],[SP Term]]),"")</f>
        <v/>
      </c>
      <c r="CF154" s="236">
        <f>SnapshotTable[[#This Row],[LP Strike Price]] * SnapshotTable[[#This Row],[LP Qty]] * 100</f>
        <v>0</v>
      </c>
      <c r="CG154" s="31" t="e">
        <f>IF(ISNUMBER(SnapshotTable[[#This Row],[SP Premium]]), (SnapshotTable[[#This Row],[SP Qty]] * SnapshotTable[[#This Row],[SP Strike Price]]* 100) - SnapshotTable[[#This Row],[LP Protection]], 0)</f>
        <v>#VALUE!</v>
      </c>
      <c r="CH154" s="7" t="str">
        <f>IF(ISNUMBER(SnapshotTable[[#This Row],[SP Break Even]]),-1 * (SnapshotTable[[#This Row],[SP Break Even]] - SnapshotTable[[#This Row],[Last Price]]) / SnapshotTable[[#This Row],[Last Price]], "")</f>
        <v/>
      </c>
      <c r="CI154" s="31">
        <f>IF(AND(ISNUMBER((SnapshotTable[[#This Row],[SP Potential Spend]])), SnapshotTable[[#This Row],[SP Strike Price]] &gt; SnapshotTable[[#This Row],[Last Price]], SnapshotTable[[#This Row],[SP Is Filled]]), SnapshotTable[[#This Row],[SP Potential Spend]] -  SnapshotTable[[#This Row],[LP Max Value]], 0)</f>
        <v>0</v>
      </c>
      <c r="CJ154" s="244"/>
      <c r="CK154" s="31" t="str">
        <f>IF(ISNUMBER(SnapshotTable[[#This Row],[SP Potential Spend]]),IF(ISNUMBER(SnapshotTable[[#This Row],[SP POW]]), SnapshotTable[[#This Row],[SP POW]] * SnapshotTable[[#This Row],[SP Potential Spend]], SnapshotTable[[#This Row],[SP Potential Spend]]), "")</f>
        <v/>
      </c>
      <c r="CL154" s="164" t="e">
        <f>IF(NOT(SnapshotTable[[#This Row],[SP Is Filled]]),(SnapshotTable[[#This Row],[SP Qty]] * SnapshotTable[[#This Row],[SP Strike Price]] * 100) - SnapshotTable[[#This Row],[LP Max Value]],"")</f>
        <v>#VALUE!</v>
      </c>
      <c r="CM154" s="31" t="str">
        <f>IF(SnapshotTable[[#This Row],[SP Actual Spend]]&lt;&gt;0, ((SnapshotTable[[#This Row],[SP Strike Price]]-SnapshotTable[[#This Row],[Last Price]]) *(SnapshotTable[[#This Row],[SP Qty]]*100) - SnapshotTable[[#This Row],[SP Premium]]) * - 1, "")</f>
        <v/>
      </c>
      <c r="CN154" s="78"/>
      <c r="CO154" s="369"/>
      <c r="CP154" s="4" t="str">
        <f>IF(SnapshotTable[[#This Row],[SP Is Filled]], btc_max_buyback_amount(SnapshotTable[[#This Row],[SP Fill Date]],SnapshotTable[[#This Row],[SP Exp Date]], SnapshotTable[[#This Row],[SP Book Price]]),"")</f>
        <v/>
      </c>
      <c r="CQ154" s="78"/>
      <c r="CR15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4" s="155" t="str">
        <f>IF(SnapshotTable[[#This Row],[SP Is Filled]], btc_next_cutoff_date(SnapshotTable[[#This Row],[SP Fill Date]],SnapshotTable[[#This Row],[SP Exp Date]]),"")</f>
        <v/>
      </c>
      <c r="CT154" s="235" t="str" cm="1">
        <f t="array" ref="CT154">IF(SnapshotTable[[#This Row],[SP Is Filled]], btc_should_buy_back(SnapshotTable[[#This Row],[SP Fill Date]], SnapshotTable[[#This Row],[SP Exp Date]], SnapshotTable[[#This Row],[SP Book Price]], SnapshotTable[[#This Row],[SP Current Ask]], MockToday, SnapshotTable[[#This Row],[SP Buyback Override]]),"")</f>
        <v/>
      </c>
      <c r="CU154" s="143"/>
      <c r="CV154" s="235"/>
      <c r="CW154" s="378" t="str">
        <f>IF(ISNUMBER( SnapshotTable[[#This Row],[SP Term]]), SnapshotTable[[#This Row],[SP Exp Date]] - MockToday,"")</f>
        <v/>
      </c>
      <c r="CX154" s="31" t="str">
        <f>IF(SnapshotTable[[#This Row],[SP Is Filled]],SnapshotTable[[#This Row],[SP Buyback Price to Use]] * 100 * SnapshotTable[[#This Row],[SP Qty]], "")</f>
        <v/>
      </c>
      <c r="CY154" s="4" t="str">
        <f>IF(ISNUMBER(SnapshotTable[[#This Row],[SP Strike Price]]), SnapshotTable[[#This Row],[SP Strike Price]] * (1 - SP_MaxLoss_StrikePct), "")</f>
        <v/>
      </c>
      <c r="CZ154" s="31" t="str">
        <f>IF(ISNUMBER(SnapshotTable[[#This Row],[SP Strike  Stop Per Share]]),SnapshotTable[[#This Row],[SP Premium]] - ((SnapshotTable[[#This Row],[SP Strike Price]]-SnapshotTable[[#This Row],[SP Strike  Stop Per Share]]) *(SnapshotTable[[#This Row],[SP Qty]] * 100)),"")</f>
        <v/>
      </c>
      <c r="DA154" s="4" t="str">
        <f>IF(AND(ISNUMBER(SnapshotTable[[#This Row],[SP Premium]]),SnapshotTable[[#This Row],[SP Premium]]&gt;0), SnapshotTable[[#This Row],[SP Book Price]] * (1 + SP_MaxLoss_OptionPct), "")</f>
        <v/>
      </c>
      <c r="DB154" s="31" t="str">
        <f>IF(ISNUMBER(SnapshotTable[[#This Row],[SP Option  Stop Contract]]),(SnapshotTable[[#This Row],[SP Option  Stop Contract]] *(SnapshotTable[[#This Row],[SP Qty]] * 100) - SnapshotTable[[#This Row],[SP Premium]]),"")</f>
        <v/>
      </c>
      <c r="DC154" s="4"/>
      <c r="DD154" s="4"/>
      <c r="DE154" s="4" t="str">
        <f>IF(AND(SnapshotTable[[#This Row],[SP Qty]]&gt;0, SnapshotTable[[#This Row],[SP Stop To Use]]&gt;0),SnapshotTable[[#This Row],[SP Premium]] - ( SnapshotTable[[#This Row],[SP Qty]] * SnapshotTable[[#This Row],[SP Stop To Use]] * 100), "")</f>
        <v/>
      </c>
      <c r="DF154" s="31" t="str">
        <f>IF(AND(SnapshotTable[[#This Row],[SP Qty]]&gt;0,SnapshotTable[[#This Row],[SP Current Ask]]&gt;0), SnapshotTable[[#This Row],[SP Qty]] * SnapshotTable[[#This Row],[SP Current Ask]] * -100, "")</f>
        <v/>
      </c>
      <c r="DG154" s="31" t="str">
        <f>IF(ISNUMBER((SnapshotTable[[#This Row],[SP Total Value]])), SnapshotTable[[#This Row],[SP Premium]] + SnapshotTable[[#This Row],[SP Total Value]], "")</f>
        <v/>
      </c>
      <c r="DH154" s="294"/>
      <c r="DI154" s="406"/>
      <c r="DJ154" s="138"/>
      <c r="DK154" s="148"/>
      <c r="DL154" s="13"/>
      <c r="DM154" s="13"/>
      <c r="DO154" s="31">
        <f>IF(SnapshotTable[[#This Row],[LC Symbol Count]]=1, SnapshotTable[[#This Row],[LC Qty]] * SnapshotTable[[#This Row],[LC Book Price]] * 100, 0)</f>
        <v>0</v>
      </c>
      <c r="DP154" s="163" t="str">
        <f>IF(AND(SnapshotTable[[#This Row],[LC Exp Date]]&gt;0, SnapshotTable[[#This Row],[LC Strike Price]]&gt;0,SnapshotTable[[#This Row],[LC Qty]]&gt;0,SnapshotTable[[#This Row],[LC Book Date]]&gt;0,SnapshotTable[[#This Row],[LC Book Price]]&gt;0,SnapshotTable[[#This Row],[LC Fill Date]]=0),"Y","")</f>
        <v/>
      </c>
      <c r="DQ154" s="386" t="str">
        <f>IF(SnapshotTable[[#This Row],[LC Premium]] &gt; 0,SnapshotTable[[#This Row],[LC Exp Date]]-MAX(SnapshotTable[[#This Row],[LC Book Date]], SnapshotTable[[#This Row],[LC Fill Date]]),"")</f>
        <v/>
      </c>
      <c r="DR154" s="386" t="str">
        <f>IF(ISNUMBER(SnapshotTable[[#This Row],[LC Term]]), SnapshotTable[[#This Row],[LC Exp Date]] - MockToday, "")</f>
        <v/>
      </c>
      <c r="DS154" s="234" t="str">
        <f>IF(SnapshotTable[[#This Row],[LC Premium]]&gt;0,SnapshotTable[[#This Row],[LC Strike Price]] + SnapshotTable[[#This Row],[LC Book Price]],"")</f>
        <v/>
      </c>
      <c r="DU154" s="9" t="str">
        <f>IF(AND(SnapshotTable[[#This Row],[LC Symbol Count]]&gt;0, SnapshotTable[[#This Row],[LC Contract Value]]&gt;0), SnapshotTable[[#This Row],[LC Contract Value]] * SnapshotTable[[#This Row],[LC Qty]] * 100, "")</f>
        <v/>
      </c>
      <c r="DV154" s="9" t="str">
        <f>IF(AND(ISNUMBER(SnapshotTable[[#This Row],[LC Total Value]]), SnapshotTable[[#This Row],[LC Not Filled]]&lt;&gt;"Y"), SnapshotTable[[#This Row],[LC Total Value]]-SnapshotTable[[#This Row],[LC Premium]],"")</f>
        <v/>
      </c>
      <c r="DW154" s="240" t="str">
        <f>IF(ISNUMBER(SnapshotTable[[#This Row],[LC Actual Gain Loss]]), SnapshotTable[[#This Row],[LC Actual Gain Loss]] / SnapshotTable[[#This Row],[LC Premium]],"")</f>
        <v/>
      </c>
      <c r="DX154" s="284" t="str">
        <f>IF(ISNUMBER(SnapshotTable[[#This Row],[LC Book Price]]),SnapshotTable[[#This Row],[LC Book Price]] * 1.5,"")</f>
        <v/>
      </c>
      <c r="DY154" s="265" t="str">
        <f>IF(SnapshotTable[[#This Row],[LC Premium]]&gt;0, SnapshotTable[[#This Row],[LC Next Target]] * SnapshotTable[[#This Row],[LC Qty]] * 100,"")</f>
        <v/>
      </c>
      <c r="DZ154" s="265" t="str">
        <f>IF(ISNUMBER(SnapshotTable[[#This Row],[LC Target Gross]]), SnapshotTable[[#This Row],[LC Target Gross]] - SnapshotTable[[#This Row],[LC Premium]], "")</f>
        <v/>
      </c>
      <c r="EA154" s="305" t="str">
        <f>IF(ISNUMBER(SnapshotTable[[#This Row],[LC Target Gain Loss]]), SnapshotTable[[#This Row],[LC Target Gain Loss]]/SnapshotTable[[#This Row],[LC Premium]], "")</f>
        <v/>
      </c>
      <c r="EB154" s="262"/>
      <c r="EC154" s="283" t="str">
        <f>IF(SnapshotTable[[#This Row],[LC Premium]]&gt;0, SnapshotTable[[#This Row],[LC Book Price]] * (1 - LC_StopLoss_Pct),"")</f>
        <v/>
      </c>
      <c r="ED154" s="284"/>
      <c r="EE154" s="283" t="str">
        <f>IF(ISNUMBER(SnapshotTable[[#This Row],[LC Contract Value]]),IF(ISNUMBER(SnapshotTable[[#This Row],[LC Stop Loss Override]]), SnapshotTable[[#This Row],[LC Stop Loss Override]],SnapshotTable[[#This Row],[LC Stop Loss Calc Target]]),"")</f>
        <v/>
      </c>
      <c r="EF154" s="31" t="str">
        <f>IF(ISNUMBER(SnapshotTable[[#This Row],[LC Stop  To Use]]), (SnapshotTable[[#This Row],[LC Stop  To Use]] * SnapshotTable[[#This Row],[LC Qty]] * 100),"")</f>
        <v/>
      </c>
      <c r="EG154" s="9" t="str">
        <f>IF(ISNUMBER(SnapshotTable[[#This Row],[LC Total Value]]),SnapshotTable[[#This Row],[LC Stop Loss Amount]] - SnapshotTable[[#This Row],[LC Premium]],"")</f>
        <v/>
      </c>
      <c r="EH154" s="9">
        <f>IF(ISNUMBER(SnapshotTable[[#This Row],[LC Premium]]), SnapshotTable[[#This Row],[LC Qty]] * 100 * SnapshotTable[[#This Row],[LC Strike Price]], "")</f>
        <v>0</v>
      </c>
      <c r="EI154" s="240"/>
      <c r="EJ154" s="35">
        <f>IF(ISNUMBER(SnapshotTable[[#This Row],[Equity Shares]]),TRUNC(SnapshotTable[[#This Row],[Equity Shares]] / 100),0) + SnapshotTable[[#This Row],[LC Qty]]</f>
        <v>0</v>
      </c>
      <c r="EK154" s="147"/>
      <c r="EL154" s="138" t="str">
        <f>IF(SnapshotTable[[#This Row],[SC Exp Date]]&lt;&gt;"",TRUNC(SnapshotTable[[#This Row],[Last Price]]),"")</f>
        <v/>
      </c>
      <c r="EM154" s="148"/>
      <c r="EN154" s="147"/>
      <c r="EO154" s="147"/>
      <c r="EP154" s="138"/>
      <c r="EQ154" s="419" t="b">
        <f>AND(ISNUMBER(SnapshotTable[[#This Row],[SC Exp Date]]), ISNUMBER(SnapshotTable[[#This Row],[SC Strike Price]]), ISNUMBER(SnapshotTable[[#This Row],[SC Qty]]), ISNUMBER(SnapshotTable[[#This Row],[SC Book Date]]), ISNUMBER(SnapshotTable[[#This Row],[SC Book Price]]))</f>
        <v>0</v>
      </c>
      <c r="ER154" s="419" t="b">
        <f>AND(SnapshotTable[[#This Row],[SC Is Booked]], NOT(ISBLANK(SnapshotTable[[#This Row],[SC Fill Date]])))</f>
        <v>0</v>
      </c>
      <c r="ES154" s="370"/>
      <c r="ET154" s="34" t="str">
        <f>IF(AND(ISNUMBER(SnapshotTable[[#This Row],[SC Exp Date]]), ISNUMBER(SnapshotTable[[#This Row],[SC Book Date]])), SnapshotTable[[#This Row],[SC Exp Date]] - MAX(SnapshotTable[[#This Row],[SC Book Date]], SnapshotTable[[#This Row],[SC Fill Date]]) + 1, "")</f>
        <v/>
      </c>
      <c r="EU154" s="34" t="str">
        <f>IF(ISNUMBER(SnapshotTable[[#This Row],[SC Term]]), SnapshotTable[[#This Row],[SC Exp Date]]- MockToday, "")</f>
        <v/>
      </c>
      <c r="EV154" s="31">
        <f>IF(SnapshotTable[[#This Row],[SC Is Booked]], SnapshotTable[[#This Row],[SC Qty]] * SnapshotTable[[#This Row],[SC Book Price]] * 100, 0)</f>
        <v>0</v>
      </c>
      <c r="EW154" s="4" t="str">
        <f>IF(AND(ISNUMBER(SnapshotTable[[#This Row],[Last Price]]), ISNUMBER( SnapshotTable[[#This Row],[SC Book Price]])), SnapshotTable[[#This Row],[Last Price]] - SnapshotTable[[#This Row],[SC Book Price]],"")</f>
        <v/>
      </c>
      <c r="EX154" s="234" t="str">
        <f>IF(SnapshotTable[[#This Row],[SC Is Booked]],IF(SnapshotTable[[#This Row],[SC Intrinsic Value]] &gt; 0, SnapshotTable[[#This Row],[SC Strike Price]], SnapshotTable[[#This Row],[Last Price]]), "")</f>
        <v/>
      </c>
      <c r="EY154" s="4">
        <f>IF(SnapshotTable[[#This Row],[SC Is Booked]], (MinimumPremiumRequired * SnapshotTable[[#This Row],[SC Basis]] * SnapshotTable[[#This Row],[SC Term]]), 0)</f>
        <v>0</v>
      </c>
      <c r="EZ154" s="283"/>
      <c r="FA154" s="218"/>
      <c r="FB154" s="370"/>
      <c r="FC154" s="4">
        <f>IF(SnapshotTable[[#This Row],[SC Is Filled]], btc_max_buyback_amount(SnapshotTable[[#This Row],[SC Fill Date]],SnapshotTable[[#This Row],[SC Exp Date]], SnapshotTable[[#This Row],[SC Book Price]]),0)</f>
        <v>0</v>
      </c>
      <c r="FD154" s="5"/>
      <c r="FE154" s="144" t="str">
        <f>IF(SnapshotTable[[#This Row],[SC Is Filled]], btc_next_cutoff_date(SnapshotTable[[#This Row],[SC Fill Date]],SnapshotTable[[#This Row],[SC Exp Date]]),"")</f>
        <v/>
      </c>
      <c r="FF154" s="4" t="str" cm="1">
        <f t="array" ref="FF154">IF(SnapshotTable[[#This Row],[SC Is Filled]], btc_should_buy_back(SnapshotTable[[#This Row],[SC Fill Date]], SnapshotTable[[#This Row],[SC Exp Date]], SnapshotTable[[#This Row],[SC Book Price]], SnapshotTable[[#This Row],[SC Current Ask]], MockToday, SnapshotTable[[#This Row],[SC Buyback Override]]),"")</f>
        <v/>
      </c>
      <c r="FG154" s="4">
        <f>IF(SnapshotTable[[#This Row],[SC Is Filled]], MAX(0,SnapshotTable[[#This Row],[Last Price]]  - SnapshotTable[[#This Row],[SC Strike Price]]), 0)</f>
        <v>0</v>
      </c>
      <c r="FH154" s="382">
        <f>IF(SnapshotTable[[#This Row],[SC Is Filled]], IF(ISNUMBER(SnapshotTable[[#This Row],[SC Current Ask]]), SnapshotTable[[#This Row],[SC Current Ask]], SnapshotTable[[#This Row],[SC Book Price]]) - SnapshotTable[[#This Row],[SC Intrinsic Value]], 0)</f>
        <v>0</v>
      </c>
      <c r="FI154" s="143"/>
      <c r="FJ154" s="32" t="str">
        <f>IF(SnapshotTable[[#This Row],[SC Is Filled]],100 * SnapshotTable[[#This Row],[SC Qty]] * IF(ISNUMBER(SnapshotTable[[#This Row],[SC Buyback Override]]), SnapshotTable[[#This Row],[SC Buyback Override]], SnapshotTable[[#This Row],[SC Current Ask]]), "")</f>
        <v/>
      </c>
      <c r="FK154" s="250" t="str">
        <f>IF(SnapshotTable[[#This Row],[SC Time Val]]&gt;0, SnapshotTable[[#This Row],[SC Time Val]] / SnapshotTable[[#This Row],[Last Price]],"")</f>
        <v/>
      </c>
      <c r="FL154" s="302" t="str">
        <f>IF(SnapshotTable[[#This Row],[SC Is Booked]], ((SnapshotTable[[#This Row],[Last Price]] -SnapshotTable[[#This Row],[SC Strike Price]]) / SnapshotTable[[#This Row],[Last Price]]) * -1, "")</f>
        <v/>
      </c>
      <c r="FM154" s="157" t="str">
        <f>IF(SnapshotTable[[#This Row],[SC Is Booked]],  (SnapshotTable[[#This Row],[SC Qty]] * 100 * SnapshotTable[[#This Row],[SC Strike Price]]) - SnapshotTable[[#This Row],[SC Current Ask]], "")</f>
        <v/>
      </c>
      <c r="FN15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4" s="31" t="str">
        <f>IF(AND(ISNUMBER(SnapshotTable[[#This Row],[SC Exercise Gross]]), ISNUMBER(SnapshotTable[[#This Row],[Equity Basis Per Share]] )), SnapshotTable[[#This Row],[SC Exercise Gross]] - SnapshotTable[[#This Row],[Equity Basis Total]] +  SnapshotTable[[#This Row],[SC Premium]], "")</f>
        <v/>
      </c>
      <c r="FP154" s="5" t="str">
        <f>IF(ISNUMBER(SnapshotTable[[#This Row],[SC Exercise Gross]]), (SnapshotTable[[#This Row],[SC Exercise Gross]]) / (SnapshotTable[[#This Row],[SC Qty]] * 100), "")</f>
        <v/>
      </c>
      <c r="FQ154" s="27" t="str">
        <f>IF(SnapshotTable[[#This Row],[SC Is Booked]],SnapshotTable[[#This Row],[SC Time Val]] /SnapshotTable[[#This Row],[SC Basis]], "")</f>
        <v/>
      </c>
      <c r="FR154" s="27" t="str" cm="1">
        <f t="array" ref="FR154">IF(AND(ISNUMBER(SnapshotTable[[#This Row],[SC Term]]),ISNUMBER(SnapshotTable[[#This Row],[SC Simple ROO]])), EllmanAnnualize(SnapshotTable[[#This Row],[SC DTE]], SnapshotTable[[#This Row],[SC Simple ROO]] ),"")</f>
        <v/>
      </c>
      <c r="FS154" s="4" t="e">
        <f>IF(SnapshotTable[[#This Row],[SC Strike Price]] &gt; SnapshotTable[[#This Row],[Last Price]], SnapshotTable[[#This Row],[SC Strike Price]] - SnapshotTable[[#This Row],[Last Price]],0)</f>
        <v>#VALUE!</v>
      </c>
      <c r="FT154" s="27" t="e">
        <f>IF(AND(ISNUMBER(SnapshotTable[[#This Row],[SC Upside Potential]]), SnapshotTable[[#This Row],[SC Upside Potential]] &gt; 0),(SnapshotTable[[#This Row],[SC Upside Potential]]/ SnapshotTable[[#This Row],[ACB]]),"")</f>
        <v>#VALUE!</v>
      </c>
      <c r="FU154" s="333" t="str">
        <f>IF(SnapshotTable[[#This Row],[SC Intrinsic Value]] &gt; 0,SnapshotTable[[#This Row],[SC Intrinsic Value]],"")</f>
        <v/>
      </c>
      <c r="FV154" s="27" t="str">
        <f>IF(AND( ISNUMBER( SnapshotTable[[#This Row],[ACB]]),ISNUMBER(SnapshotTable[[#This Row],[SC Downside Protect]])),SnapshotTable[[#This Row],[SC Downside Protect]] / SnapshotTable[[#This Row],[ACB]],"")</f>
        <v/>
      </c>
      <c r="FW154" s="236" t="str">
        <f>IF(AND(ISNUMBER(SnapshotTable[[#This Row],[SC Simple ROO]]),SnapshotTable[[#This Row],[SC Simple ROO]] &gt; 0), SnapshotTable[[#This Row],[SC Premium]] + (SnapshotTable[[#This Row],[SC Qty]] * SnapshotTable[[#This Row],[SC Upside Potential]]), "")</f>
        <v/>
      </c>
      <c r="FX154" s="302" t="str" cm="1">
        <f t="array" ref="FX154">IF(ISNUMBER(SnapshotTable[[#This Row],[SC Max Dollars]]), annualize(SnapshotTable[[#This Row],[SC Term]],(SnapshotTable[[#This Row],[SC Max Dollars]]/SnapshotTable[[#This Row],[SC Basis]])),"")</f>
        <v/>
      </c>
      <c r="FY154" s="236" t="str">
        <f>IF(AND(SnapshotTable[[#This Row],[SC Qty]]&gt;0,SnapshotTable[[#This Row],[SC Current Ask]]&gt;0), SnapshotTable[[#This Row],[SC Qty]] * SnapshotTable[[#This Row],[SC Current Ask]] * -100, "")</f>
        <v/>
      </c>
      <c r="FZ154" s="31" t="str">
        <f>IF(ISNUMBER((SnapshotTable[[#This Row],[SC Current Value]])), SnapshotTable[[#This Row],[SC Premium]] + SnapshotTable[[#This Row],[SC Current Value]], "")</f>
        <v/>
      </c>
      <c r="GA154" s="294" t="str">
        <f>IFERROR( IF(ISNUMBER((SnapshotTable[[#This Row],[SC Current Value]])), SnapshotTable[[#This Row],[SC Gain Loss]] / SnapshotTable[[#This Row],[SC Premium]], ""), "")</f>
        <v/>
      </c>
      <c r="GB154" s="42">
        <f>SnapshotTable[[#This Row],[Equity Shares]] * SaleSharesToConsiderPercentage</f>
        <v>0</v>
      </c>
      <c r="GC154" s="40">
        <f>SnapshotTable[[#This Row],[Long Term Target]] * SellingPriceToConsiderBasedOnTargetPercentage</f>
        <v>32.299999999999997</v>
      </c>
      <c r="GD154" s="40">
        <f>SnapshotTable[[#This Row],[Last Price]] * (1+ SellingPriceToConsiderBasedOnTargetPercentage)</f>
        <v>35.743499999999997</v>
      </c>
      <c r="GE154" s="41"/>
      <c r="GF154" s="40"/>
      <c r="GG154" s="31">
        <f>SnapshotTable[[#This Row],[Booked Sale Shares]] * SnapshotTable[[#This Row],[Booked Sale Price]]</f>
        <v>0</v>
      </c>
      <c r="GH154" s="31" t="str">
        <f>IF(SnapshotTable[[#This Row],[Equity Basis Total]] &gt; 0, SnapshotTable[[#This Row],[Equity Basis Per Share]] * SnapshotTable[[#This Row],[Booked Sale Shares]], "")</f>
        <v/>
      </c>
      <c r="GI154" s="31">
        <f>IF(SnapshotTable[[#This Row],[Sale Proceeds]]&gt;0, SnapshotTable[[#This Row],[Sale Proceeds]] - SnapshotTable[[#This Row],[Sale Basis]], 0)</f>
        <v>0</v>
      </c>
      <c r="GJ154" s="27" t="str">
        <f>IF(SnapshotTable[[#This Row],[Sale G/L]]&gt;0, SnapshotTable[[#This Row],[Sale G/L]] / SnapshotTable[[#This Row],[Sale Basis]], IF(ISNUMBER(SnapshotTable[[#This Row],[SC Exercise P&amp;L (TAX)]]), SnapshotTable[[#This Row],[SC Exercise P&amp;L (TAX)]] / SnapshotTable[[#This Row],[SC Basis]], ""))</f>
        <v/>
      </c>
      <c r="GK154" s="27"/>
      <c r="GL154" s="43" t="str">
        <f>IF(AND(SnapshotTable[[#This Row],[LP Exp Date]]&gt;0,SnapshotTable[[#This Row],[LP Strike Price]]&gt;0), [1]!ToOptionSymbol(SnapshotTable[[#This Row],[Symbol]], SnapshotTable[[#This Row],[LP Strike Price]],SnapshotTable[[#This Row],[LP Exp Date]],1), "")</f>
        <v/>
      </c>
      <c r="GM154" s="30" t="str">
        <f>IF(LEN(SnapshotTable[[#This Row],[LP Symbol]])&gt;0, 1, "")</f>
        <v/>
      </c>
      <c r="GN154" s="43" t="str">
        <f>IF(AND(SnapshotTable[[#This Row],[SP Exp Date]]&gt;0,SnapshotTable[[#This Row],[SP Strike Price]]&gt;0), [1]!ToOptionSymbol(SnapshotTable[[#This Row],[Symbol]], SnapshotTable[[#This Row],[SP Strike Price]],SnapshotTable[[#This Row],[SP Exp Date]],1), "")</f>
        <v/>
      </c>
      <c r="GO154" s="30" t="str">
        <f>IF(LEN(SnapshotTable[[#This Row],[SP Symbol]])&gt;0, 1, "")</f>
        <v/>
      </c>
      <c r="GP154" s="43" t="str">
        <f>IF(AND(SnapshotTable[[#This Row],[LC Exp Date]]&gt;0,SnapshotTable[[#This Row],[LC Strike Price]]&gt;0), [1]!ToOptionSymbol(SnapshotTable[[#This Row],[Symbol]], SnapshotTable[[#This Row],[LC Strike Price]],SnapshotTable[[#This Row],[LC Exp Date]],0), "")</f>
        <v/>
      </c>
      <c r="GQ154" s="30" t="str">
        <f>IF(LEN(SnapshotTable[[#This Row],[LC Symbol]])&gt;0, 1, "")</f>
        <v/>
      </c>
      <c r="GR154" s="43" t="str">
        <f>IF(AND(SnapshotTable[[#This Row],[SC Exp Date]]&gt;0,SnapshotTable[[#This Row],[SC Strike Price]]&gt;0), [1]!ToOptionSymbol(SnapshotTable[[#This Row],[Symbol]], SnapshotTable[[#This Row],[SC Strike Price]],SnapshotTable[[#This Row],[SC Exp Date]],0), "")</f>
        <v/>
      </c>
      <c r="GS154" s="30" t="str">
        <f>IF(LEN(SnapshotTable[[#This Row],[SC Symbol]])&gt;0, 1, "")</f>
        <v/>
      </c>
      <c r="GT154" s="29" t="str">
        <f>IF(COUNT(SnapshotTable[[#This Row],[LP Symbol Count]],SnapshotTable[[#This Row],[SP Symbol Count]],SnapshotTable[[#This Row],[LC Symbol Count]],SnapshotTable[[#This Row],[SC Symbol Count]])&gt;0, "Y", "")</f>
        <v/>
      </c>
      <c r="GU15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4" s="231" t="e">
        <f>MAX(SnapshotTable[[#This Row],[Equity Basis Total]],SnapshotTable[[#This Row],[Equity Value]]) + (SnapshotTable[[#This Row],[SP Potential Spend]]- SnapshotTable[[#This Row],[SP Premium]] + SnapshotTable[[#This Row],[LP Premium]])+ (SnapshotTable[[#This Row],[LC Premium]] - SnapshotTable[[#This Row],[SC Premium]])</f>
        <v>#VALUE!</v>
      </c>
      <c r="GW154" s="139" t="e">
        <f>IF(AND(SnapshotTable[[#This Row],[Exposure]] &lt;&gt; 0),SnapshotTable[[#This Row],[Exposure]] / SnapshotTable[[#Totals],[Exposure]], "")</f>
        <v>#VALUE!</v>
      </c>
      <c r="HE154" s="268"/>
      <c r="HF154" s="268"/>
      <c r="HK154" s="1"/>
      <c r="HL154" s="1"/>
      <c r="HM154" s="1"/>
      <c r="HN154" s="1"/>
      <c r="HO154" s="1"/>
      <c r="HP154" s="1"/>
    </row>
    <row r="155" spans="2:224" ht="12.75" hidden="1" customHeight="1" x14ac:dyDescent="0.25">
      <c r="B155" s="12" t="s">
        <v>1235</v>
      </c>
      <c r="C155" s="422">
        <v>44.88</v>
      </c>
      <c r="D155" s="208">
        <v>8.1999999999999993</v>
      </c>
      <c r="E155" s="39">
        <f>SnapshotTable[[#This Row],[Last Price]]*(1 -CrashDiscount)</f>
        <v>38.148000000000003</v>
      </c>
      <c r="F155" s="26" t="s">
        <v>975</v>
      </c>
      <c r="G155" s="26" t="s">
        <v>822</v>
      </c>
      <c r="H155" s="149"/>
      <c r="I155" s="194"/>
      <c r="J155" s="195"/>
      <c r="K155" s="196"/>
      <c r="L155" s="326"/>
      <c r="M155" s="140"/>
      <c r="N155" s="140"/>
      <c r="O155" s="140"/>
      <c r="P155" s="22"/>
      <c r="Q155" s="25"/>
      <c r="R155" s="4" t="str">
        <f>IF(SnapshotTable[[#This Row],[Equity Basis Total]] &gt; 0, SnapshotTable[[#This Row],[Equity Basis Total]] / SnapshotTable[[#This Row],[Equity Shares]], "")</f>
        <v/>
      </c>
      <c r="S155" s="269">
        <f>SnapshotTable[[#This Row],[Last Price]] * SnapshotTable[[#This Row],[Equity Shares]]</f>
        <v>0</v>
      </c>
      <c r="T155" s="269">
        <f>SnapshotTable[[#This Row],[Equity Value]] - SnapshotTable[[#This Row],[Equity Basis Total]]</f>
        <v>0</v>
      </c>
      <c r="U155" s="270" t="str">
        <f>IF(SnapshotTable[[#This Row],[Equity Basis Total]] &gt; 0, SnapshotTable[[#This Row],[Equity G/L]] / SnapshotTable[[#This Row],[Equity Basis Total]], "")</f>
        <v/>
      </c>
      <c r="V155" s="268"/>
      <c r="W155" s="268"/>
      <c r="X155" s="4" t="str">
        <f>IF(AND(ISNUMBER(SnapshotTable[[#This Row],[Equity Basis Per Share]]),ISNUMBER(SnapshotTable[[#This Row],[Equity Target]])),SnapshotTable[[#This Row],[Equity Target]]-SnapshotTable[[#This Row],[Equity Basis Per Share]],"")</f>
        <v/>
      </c>
      <c r="Y155" s="4" t="str">
        <f>IF(AND(ISNUMBER(SnapshotTable[[#This Row],[Equity Basis Per Share]]),ISNUMBER(SnapshotTable[[#This Row],[Equity Stop Loss]])),SnapshotTable[[#This Row],[Equity Stop Loss]]-SnapshotTable[[#This Row],[Equity Basis Per Share]],"")</f>
        <v/>
      </c>
      <c r="Z155" s="275" t="str">
        <f>IFERROR( TEXT(SnapshotTable[[#This Row],[Equity Max Gain Per Share]] /ABS( SnapshotTable[[#This Row],[Equity Max Loss Per Share]]),"0.0 " ) &amp; " : 1", "")</f>
        <v/>
      </c>
      <c r="AA155" s="31" t="str">
        <f>IF(ISNUMBER(SnapshotTable[[#This Row],[Equity Max Gain Per Share]]),SnapshotTable[[#This Row],[Equity Max Gain Per Share]] * SnapshotTable[[#This Row],[Equity Shares]],"")</f>
        <v/>
      </c>
      <c r="AB155" s="31" t="str">
        <f>IF(ISNUMBER(SnapshotTable[[#This Row],[Equity Max Loss Per Share]]),SnapshotTable[[#This Row],[Equity Max Loss Per Share]] * SnapshotTable[[#This Row],[Equity Shares]],"")</f>
        <v/>
      </c>
      <c r="AC155" s="150"/>
      <c r="AD155" s="151"/>
      <c r="AE155" s="31">
        <f>(SnapshotTable[[#This Row],[Annual Dividend Per Share]] / 4) * SnapshotTable[[#This Row],[Equity Shares]]</f>
        <v>0</v>
      </c>
      <c r="AF155" s="31">
        <f>SnapshotTable[[#This Row],[Quarterly Div $]] * 4</f>
        <v>0</v>
      </c>
      <c r="AG155" s="7">
        <f>IF(SnapshotTable[[#This Row],[Annual Dividend Per Share]]&gt;0, SnapshotTable[[#This Row],[Annual Dividend Per Share]]  / SnapshotTable[[#This Row],[Last Price]], 0)</f>
        <v>0</v>
      </c>
      <c r="AH155" s="151"/>
      <c r="AI155" s="5"/>
      <c r="AJ155" s="138">
        <v>60.21</v>
      </c>
      <c r="AK155" s="152" t="str">
        <f>IF(ISNUMBER( SnapshotTable[[#This Row],[EBF Target]]),(SnapshotTable[[#This Row],[EBF Target]] - SnapshotTable[[#This Row],[Last Price]]) / SnapshotTable[[#This Row],[Last Price]], "")</f>
        <v/>
      </c>
      <c r="AL155" s="152" t="str">
        <f>IF(AND(SnapshotTable[[#This Row],[Equity Basis Total]] &gt; 0,ISNUMBER( SnapshotTable[[#This Row],[Long Term Target]])), SnapshotTable[[#This Row],[From Basis $]] / SnapshotTable[[#This Row],[Equity Basis Total]], "")</f>
        <v/>
      </c>
      <c r="AM155" s="9">
        <f>IF( AND(SnapshotTable[[#This Row],[Equity Shares]] &gt;0,ISNUMBER( SnapshotTable[[#This Row],[Long Term Target]])),(SnapshotTable[[#This Row],[Equity Shares]] * SnapshotTable[[#This Row],[Long Term Target]]) - SnapshotTable[[#This Row],[Equity Basis Total]],0)</f>
        <v>0</v>
      </c>
      <c r="AN155" s="9">
        <f>IF( AND(SnapshotTable[[#This Row],[Equity Shares]] &gt;0,ISNUMBER( SnapshotTable[[#This Row],[Long Term Target]])),(SnapshotTable[[#This Row],[Equity Shares]]*SnapshotTable[[#This Row],[Long Term Target]]) - SnapshotTable[[#This Row],[Equity Value]],0)</f>
        <v>0</v>
      </c>
      <c r="AO155" s="152">
        <f>IF(AND(ISNUMBER( SnapshotTable[[#This Row],[Long Term Target]]), ISNUMBER(SnapshotTable[[#This Row],[Last Price]])),(SnapshotTable[[#This Row],[Long Term Target]] - SnapshotTable[[#This Row],[Last Price]]) / SnapshotTable[[#This Row],[Last Price]], "")</f>
        <v>0.34157754010695179</v>
      </c>
      <c r="AP155" s="5">
        <v>55</v>
      </c>
      <c r="AQ155" s="38" t="s">
        <v>46</v>
      </c>
      <c r="AR155" s="5">
        <v>55</v>
      </c>
      <c r="AS155" s="38" t="s">
        <v>45</v>
      </c>
      <c r="AT155" s="146" t="s">
        <v>575</v>
      </c>
      <c r="AU155" s="187" t="str">
        <f>IF(OR(SnapshotTable[[#This Row],[LP No Fill]]="Y",SnapshotTable[[#This Row],[SP Is Filled]],SnapshotTable[[#This Row],[LC Not Filled]]="Y",SnapshotTable[[#This Row],[SC Is Filled]]),"Y","")</f>
        <v/>
      </c>
      <c r="AV155" s="219"/>
      <c r="AW155" s="225"/>
      <c r="AX155" s="220"/>
      <c r="AY155" s="219" t="str">
        <f>IF(SnapshotTable[[#This Row],[Implied Move]]&gt;0, SnapshotTable[[#This Row],[Last Price]]-SnapshotTable[[#This Row],[Implied Move]],"")</f>
        <v/>
      </c>
      <c r="AZ155" s="219" t="str">
        <f>IF(SnapshotTable[[#This Row],[Implied Move]]&gt;0, SnapshotTable[[#This Row],[Last Price]] + SnapshotTable[[#This Row],[Implied Move]],"")</f>
        <v/>
      </c>
      <c r="BA155" s="331">
        <v>31.45</v>
      </c>
      <c r="BB155" s="347"/>
      <c r="BC15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5" s="351"/>
      <c r="BE155" s="5"/>
      <c r="BF155" s="14"/>
      <c r="BG155" s="13"/>
      <c r="BH155" s="13"/>
      <c r="BI155" s="5"/>
      <c r="BJ155" s="136">
        <f>IF(SnapshotTable[[#This Row],[LP Qty]] &gt; 0, SnapshotTable[[#This Row],[LP Qty]] * SnapshotTable[[#This Row],[LP Book Price]] * 100,0)</f>
        <v>0</v>
      </c>
      <c r="BK155" s="136">
        <f>IF(SnapshotTable[[#This Row],[LP Premium]] &gt; 0, SnapshotTable[[#This Row],[LP Qty]] * SnapshotTable[[#This Row],[LP Strike Price]] * 100,0)</f>
        <v>0</v>
      </c>
      <c r="BL155" s="154"/>
      <c r="BM155" s="385" t="str">
        <f>IF(SnapshotTable[[#This Row],[LP Premium]] &gt; 0,SnapshotTable[[#This Row],[LP Exp Date]]-MAX(SnapshotTable[[#This Row],[LP Book Date]], SnapshotTable[[#This Row],[LP Fill Date]]),"")</f>
        <v/>
      </c>
      <c r="BN155" s="385" t="str">
        <f>IF(ISNUMBER( SnapshotTable[[#This Row],[LP Term]]), SnapshotTable[[#This Row],[LP Exp Date]] - MockToday,"")</f>
        <v/>
      </c>
      <c r="BO155" s="163" t="str">
        <f>IF(AND(SnapshotTable[[#This Row],[LP Exp Date]]&gt;0, SnapshotTable[[#This Row],[LP Strike Price]]&gt;0,SnapshotTable[[#This Row],[LP Qty]]&gt;0,SnapshotTable[[#This Row],[LP Book Date]]&gt;0,SnapshotTable[[#This Row],[LP Book Price]]&gt;0,SnapshotTable[[#This Row],[LP Fill Date]]=0),"Y","")</f>
        <v/>
      </c>
      <c r="BP155" s="31" t="str">
        <f>IF(AND(SnapshotTable[[#This Row],[LP No Fill]]&lt;&gt;"Y",SnapshotTable[[#This Row],[LP Contract Value]]&gt;0, SnapshotTable[[#This Row],[LP Qty]]&gt;0), SnapshotTable[[#This Row],[LP Contract Value]]*SnapshotTable[[#This Row],[LP Qty]]*100,"")</f>
        <v/>
      </c>
      <c r="BQ155" s="13"/>
      <c r="BR155" s="5" t="str">
        <f>IF(SnapshotTable[[#This Row],[SP Exp Date]]&lt;&gt;"",TRUNC(SnapshotTable[[#This Row],[Last Price]]),"")</f>
        <v/>
      </c>
      <c r="BS155" s="36"/>
      <c r="BT155" s="147"/>
      <c r="BU155" s="13"/>
      <c r="BV155" s="5"/>
      <c r="BW155" s="419" t="b">
        <f>AND(ISNUMBER(SnapshotTable[[#This Row],[SP Exp Date]]), ISNUMBER(SnapshotTable[[#This Row],[SP Strike Price]]), ISNUMBER(SnapshotTable[[#This Row],[SP Qty]]), ISNUMBER(SnapshotTable[[#This Row],[SP Book Date]]), ISNUMBER(SnapshotTable[[#This Row],[SP Book Price]]))</f>
        <v>0</v>
      </c>
      <c r="BX155" s="419" t="b">
        <f>AND(SnapshotTable[[#This Row],[SP Is Booked]], NOT(ISBLANK(SnapshotTable[[#This Row],[SP Fill Date]])))</f>
        <v>0</v>
      </c>
      <c r="BY155" s="33">
        <f>IF(SnapshotTable[[#This Row],[SP Is Booked]], SnapshotTable[[#This Row],[SP Qty]] * SnapshotTable[[#This Row],[SP Book Price]] * 100, 0)</f>
        <v>0</v>
      </c>
      <c r="BZ155" s="369"/>
      <c r="CA155" s="368">
        <f>SnapshotTable[[#This Row],[LP Qty]]</f>
        <v>0</v>
      </c>
      <c r="CB155" s="4" t="str">
        <f>IF(SnapshotTable[[#This Row],[SP Is Booked]], SnapshotTable[[#This Row],[SP Strike Price]] - SnapshotTable[[#This Row],[SP Book Price]], "")</f>
        <v/>
      </c>
      <c r="CC155" s="19" t="str">
        <f>IF(SnapshotTable[[#This Row],[SP Is Booked]],SnapshotTable[[#This Row],[SP Exp Date]]-MAX(SnapshotTable[[#This Row],[SP Book Date]], SnapshotTable[[#This Row],[SP Fill Date]]),"")</f>
        <v/>
      </c>
      <c r="CD155" s="7" t="str">
        <f>IF(SnapshotTable[[#This Row],[SP Is Booked]], SnapshotTable[[#This Row],[SP Book Price]]/SnapshotTable[[#This Row],[SP Strike Price]], "")</f>
        <v/>
      </c>
      <c r="CE155" s="7" t="str">
        <f>IF(ISNUMBER(SnapshotTable[[#This Row],[SP ROO Term]]),SnapshotTable[[#This Row],[SP ROO Term]]*(365/SnapshotTable[[#This Row],[SP Term]]),"")</f>
        <v/>
      </c>
      <c r="CF155" s="236">
        <f>SnapshotTable[[#This Row],[LP Strike Price]] * SnapshotTable[[#This Row],[LP Qty]] * 100</f>
        <v>0</v>
      </c>
      <c r="CG155" s="31" t="e">
        <f>IF(ISNUMBER(SnapshotTable[[#This Row],[SP Premium]]), (SnapshotTable[[#This Row],[SP Qty]] * SnapshotTable[[#This Row],[SP Strike Price]]* 100) - SnapshotTable[[#This Row],[LP Protection]], 0)</f>
        <v>#VALUE!</v>
      </c>
      <c r="CH155" s="7" t="str">
        <f>IF(ISNUMBER(SnapshotTable[[#This Row],[SP Break Even]]),-1 * (SnapshotTable[[#This Row],[SP Break Even]] - SnapshotTable[[#This Row],[Last Price]]) / SnapshotTable[[#This Row],[Last Price]], "")</f>
        <v/>
      </c>
      <c r="CI155" s="31">
        <f>IF(AND(ISNUMBER((SnapshotTable[[#This Row],[SP Potential Spend]])), SnapshotTable[[#This Row],[SP Strike Price]] &gt; SnapshotTable[[#This Row],[Last Price]], SnapshotTable[[#This Row],[SP Is Filled]]), SnapshotTable[[#This Row],[SP Potential Spend]] -  SnapshotTable[[#This Row],[LP Max Value]], 0)</f>
        <v>0</v>
      </c>
      <c r="CJ155" s="244"/>
      <c r="CK155" s="31" t="str">
        <f>IF(ISNUMBER(SnapshotTable[[#This Row],[SP Potential Spend]]),IF(ISNUMBER(SnapshotTable[[#This Row],[SP POW]]), SnapshotTable[[#This Row],[SP POW]] * SnapshotTable[[#This Row],[SP Potential Spend]], SnapshotTable[[#This Row],[SP Potential Spend]]), "")</f>
        <v/>
      </c>
      <c r="CL155" s="164" t="e">
        <f>IF(NOT(SnapshotTable[[#This Row],[SP Is Filled]]),(SnapshotTable[[#This Row],[SP Qty]] * SnapshotTable[[#This Row],[SP Strike Price]] * 100) - SnapshotTable[[#This Row],[LP Max Value]],"")</f>
        <v>#VALUE!</v>
      </c>
      <c r="CM155" s="31" t="str">
        <f>IF(SnapshotTable[[#This Row],[SP Actual Spend]]&lt;&gt;0, ((SnapshotTable[[#This Row],[SP Strike Price]]-SnapshotTable[[#This Row],[Last Price]]) *(SnapshotTable[[#This Row],[SP Qty]]*100) - SnapshotTable[[#This Row],[SP Premium]]) * - 1, "")</f>
        <v/>
      </c>
      <c r="CN155" s="78"/>
      <c r="CO155" s="369"/>
      <c r="CP155" s="4" t="str">
        <f>IF(SnapshotTable[[#This Row],[SP Is Filled]], btc_max_buyback_amount(SnapshotTable[[#This Row],[SP Fill Date]],SnapshotTable[[#This Row],[SP Exp Date]], SnapshotTable[[#This Row],[SP Book Price]]),"")</f>
        <v/>
      </c>
      <c r="CQ155" s="78"/>
      <c r="CR15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5" s="155" t="str">
        <f>IF(SnapshotTable[[#This Row],[SP Is Filled]], btc_next_cutoff_date(SnapshotTable[[#This Row],[SP Fill Date]],SnapshotTable[[#This Row],[SP Exp Date]]),"")</f>
        <v/>
      </c>
      <c r="CT155" s="235" t="str" cm="1">
        <f t="array" ref="CT155">IF(SnapshotTable[[#This Row],[SP Is Filled]], btc_should_buy_back(SnapshotTable[[#This Row],[SP Fill Date]], SnapshotTable[[#This Row],[SP Exp Date]], SnapshotTable[[#This Row],[SP Book Price]], SnapshotTable[[#This Row],[SP Current Ask]], MockToday, SnapshotTable[[#This Row],[SP Buyback Override]]),"")</f>
        <v/>
      </c>
      <c r="CU155" s="143"/>
      <c r="CV155" s="235"/>
      <c r="CW155" s="378" t="str">
        <f>IF(ISNUMBER( SnapshotTable[[#This Row],[SP Term]]), SnapshotTable[[#This Row],[SP Exp Date]] - MockToday,"")</f>
        <v/>
      </c>
      <c r="CX155" s="31" t="str">
        <f>IF(SnapshotTable[[#This Row],[SP Is Filled]],SnapshotTable[[#This Row],[SP Buyback Price to Use]] * 100 * SnapshotTable[[#This Row],[SP Qty]], "")</f>
        <v/>
      </c>
      <c r="CY155" s="4" t="str">
        <f>IF(ISNUMBER(SnapshotTable[[#This Row],[SP Strike Price]]), SnapshotTable[[#This Row],[SP Strike Price]] * (1 - SP_MaxLoss_StrikePct), "")</f>
        <v/>
      </c>
      <c r="CZ155" s="31" t="str">
        <f>IF(ISNUMBER(SnapshotTable[[#This Row],[SP Strike  Stop Per Share]]),SnapshotTable[[#This Row],[SP Premium]] - ((SnapshotTable[[#This Row],[SP Strike Price]]-SnapshotTable[[#This Row],[SP Strike  Stop Per Share]]) *(SnapshotTable[[#This Row],[SP Qty]] * 100)),"")</f>
        <v/>
      </c>
      <c r="DA155" s="4" t="str">
        <f>IF(AND(ISNUMBER(SnapshotTable[[#This Row],[SP Premium]]),SnapshotTable[[#This Row],[SP Premium]]&gt;0), SnapshotTable[[#This Row],[SP Book Price]] * (1 + SP_MaxLoss_OptionPct), "")</f>
        <v/>
      </c>
      <c r="DB155" s="31" t="str">
        <f>IF(ISNUMBER(SnapshotTable[[#This Row],[SP Option  Stop Contract]]),(SnapshotTable[[#This Row],[SP Option  Stop Contract]] *(SnapshotTable[[#This Row],[SP Qty]] * 100) - SnapshotTable[[#This Row],[SP Premium]]),"")</f>
        <v/>
      </c>
      <c r="DC155" s="4"/>
      <c r="DD155" s="4"/>
      <c r="DE155" s="4" t="str">
        <f>IF(AND(SnapshotTable[[#This Row],[SP Qty]]&gt;0, SnapshotTable[[#This Row],[SP Stop To Use]]&gt;0),SnapshotTable[[#This Row],[SP Premium]] - ( SnapshotTable[[#This Row],[SP Qty]] * SnapshotTable[[#This Row],[SP Stop To Use]] * 100), "")</f>
        <v/>
      </c>
      <c r="DF155" s="31" t="str">
        <f>IF(AND(SnapshotTable[[#This Row],[SP Qty]]&gt;0,SnapshotTable[[#This Row],[SP Current Ask]]&gt;0), SnapshotTable[[#This Row],[SP Qty]] * SnapshotTable[[#This Row],[SP Current Ask]] * -100, "")</f>
        <v/>
      </c>
      <c r="DG155" s="31" t="str">
        <f>IF(ISNUMBER((SnapshotTable[[#This Row],[SP Total Value]])), SnapshotTable[[#This Row],[SP Premium]] + SnapshotTable[[#This Row],[SP Total Value]], "")</f>
        <v/>
      </c>
      <c r="DH155" s="294" t="str">
        <f>IF(ISNUMBER((SnapshotTable[[#This Row],[SP Total Value]])), SnapshotTable[[#This Row],[SP Gain Loss]] / SnapshotTable[[#This Row],[SP Premium]], "")</f>
        <v/>
      </c>
      <c r="DI155" s="406"/>
      <c r="DJ155" s="138"/>
      <c r="DK155" s="148"/>
      <c r="DL155" s="13"/>
      <c r="DM155" s="13"/>
      <c r="DO155" s="31">
        <f>IF(SnapshotTable[[#This Row],[LC Symbol Count]]=1, SnapshotTable[[#This Row],[LC Qty]] * SnapshotTable[[#This Row],[LC Book Price]] * 100, 0)</f>
        <v>0</v>
      </c>
      <c r="DP155" s="163" t="str">
        <f>IF(AND(SnapshotTable[[#This Row],[LC Exp Date]]&gt;0, SnapshotTable[[#This Row],[LC Strike Price]]&gt;0,SnapshotTable[[#This Row],[LC Qty]]&gt;0,SnapshotTable[[#This Row],[LC Book Date]]&gt;0,SnapshotTable[[#This Row],[LC Book Price]]&gt;0,SnapshotTable[[#This Row],[LC Fill Date]]=0),"Y","")</f>
        <v/>
      </c>
      <c r="DQ155" s="386" t="str">
        <f>IF(SnapshotTable[[#This Row],[LC Premium]] &gt; 0,SnapshotTable[[#This Row],[LC Exp Date]]-MAX(SnapshotTable[[#This Row],[LC Book Date]], SnapshotTable[[#This Row],[LC Fill Date]]),"")</f>
        <v/>
      </c>
      <c r="DR155" s="386" t="str">
        <f>IF(ISNUMBER(SnapshotTable[[#This Row],[LC Term]]), SnapshotTable[[#This Row],[LC Exp Date]] - MockToday, "")</f>
        <v/>
      </c>
      <c r="DS155" s="234" t="str">
        <f>IF(SnapshotTable[[#This Row],[LC Premium]]&gt;0,SnapshotTable[[#This Row],[LC Strike Price]] + SnapshotTable[[#This Row],[LC Book Price]],"")</f>
        <v/>
      </c>
      <c r="DT155" s="5">
        <v>7.15</v>
      </c>
      <c r="DU155" s="9">
        <f>IF(AND(SnapshotTable[[#This Row],[LC Symbol Count]]&gt;0, SnapshotTable[[#This Row],[LC Contract Value]]&gt;0), SnapshotTable[[#This Row],[LC Contract Value]] * SnapshotTable[[#This Row],[LC Qty]] * 100, "")</f>
        <v>0</v>
      </c>
      <c r="DV155" s="9">
        <f>IF(AND(ISNUMBER(SnapshotTable[[#This Row],[LC Total Value]]), SnapshotTable[[#This Row],[LC Not Filled]]&lt;&gt;"Y"), SnapshotTable[[#This Row],[LC Total Value]]-SnapshotTable[[#This Row],[LC Premium]],"")</f>
        <v>0</v>
      </c>
      <c r="DW155" s="240" t="e">
        <f>IF(ISNUMBER(SnapshotTable[[#This Row],[LC Actual Gain Loss]]), SnapshotTable[[#This Row],[LC Actual Gain Loss]] / SnapshotTable[[#This Row],[LC Premium]],"")</f>
        <v>#DIV/0!</v>
      </c>
      <c r="DX155" s="284" t="str">
        <f>IF(ISNUMBER(SnapshotTable[[#This Row],[LC Book Price]]),SnapshotTable[[#This Row],[LC Book Price]] * 1.5,"")</f>
        <v/>
      </c>
      <c r="DY155" s="265" t="str">
        <f>IF(SnapshotTable[[#This Row],[LC Premium]]&gt;0, SnapshotTable[[#This Row],[LC Next Target]] * SnapshotTable[[#This Row],[LC Qty]] * 100,"")</f>
        <v/>
      </c>
      <c r="DZ155" s="265" t="str">
        <f>IF(ISNUMBER(SnapshotTable[[#This Row],[LC Target Gross]]), SnapshotTable[[#This Row],[LC Target Gross]] - SnapshotTable[[#This Row],[LC Premium]], "")</f>
        <v/>
      </c>
      <c r="EA155" s="305" t="str">
        <f>IF(ISNUMBER(SnapshotTable[[#This Row],[LC Target Gain Loss]]), SnapshotTable[[#This Row],[LC Target Gain Loss]]/SnapshotTable[[#This Row],[LC Premium]], "")</f>
        <v/>
      </c>
      <c r="EB155" s="262"/>
      <c r="EC155" s="283" t="str">
        <f>IF(SnapshotTable[[#This Row],[LC Premium]]&gt;0, SnapshotTable[[#This Row],[LC Book Price]] * (1 - LC_StopLoss_Pct),"")</f>
        <v/>
      </c>
      <c r="ED155" s="284"/>
      <c r="EE155" s="283" t="str">
        <f>IF(ISNUMBER(SnapshotTable[[#This Row],[LC Contract Value]]),IF(ISNUMBER(SnapshotTable[[#This Row],[LC Stop Loss Override]]), SnapshotTable[[#This Row],[LC Stop Loss Override]],SnapshotTable[[#This Row],[LC Stop Loss Calc Target]]),"")</f>
        <v/>
      </c>
      <c r="EF155" s="31" t="str">
        <f>IF(ISNUMBER(SnapshotTable[[#This Row],[LC Stop  To Use]]), (SnapshotTable[[#This Row],[LC Stop  To Use]] * SnapshotTable[[#This Row],[LC Qty]] * 100),"")</f>
        <v/>
      </c>
      <c r="EG155" s="9" t="e">
        <f>IF(ISNUMBER(SnapshotTable[[#This Row],[LC Total Value]]),SnapshotTable[[#This Row],[LC Stop Loss Amount]] - SnapshotTable[[#This Row],[LC Premium]],"")</f>
        <v>#VALUE!</v>
      </c>
      <c r="EH155" s="9">
        <f>IF(ISNUMBER(SnapshotTable[[#This Row],[LC Premium]]), SnapshotTable[[#This Row],[LC Qty]] * 100 * SnapshotTable[[#This Row],[LC Strike Price]], "")</f>
        <v>0</v>
      </c>
      <c r="EI155" s="240" t="str">
        <f>IF(AND(ISNUMBER(SnapshotTable[[#This Row],[LC Total Value]]),SnapshotTable[[#This Row],[LC Total Value]]&gt;0),SnapshotTable[[#This Row],[LC Stop Gain Loss]]  / SnapshotTable[[#This Row],[LC Premium]],"")</f>
        <v/>
      </c>
      <c r="EJ155" s="35">
        <f>IF(ISNUMBER(SnapshotTable[[#This Row],[Equity Shares]]),TRUNC(SnapshotTable[[#This Row],[Equity Shares]] / 100),0) + SnapshotTable[[#This Row],[LC Qty]]</f>
        <v>0</v>
      </c>
      <c r="EK155" s="147"/>
      <c r="EL155" s="138" t="str">
        <f>IF(SnapshotTable[[#This Row],[SC Exp Date]]&lt;&gt;"",TRUNC(SnapshotTable[[#This Row],[Last Price]]),"")</f>
        <v/>
      </c>
      <c r="EM155" s="148"/>
      <c r="EN155" s="147"/>
      <c r="EO155" s="147"/>
      <c r="EP155" s="138"/>
      <c r="EQ155" s="419" t="b">
        <f>AND(ISNUMBER(SnapshotTable[[#This Row],[SC Exp Date]]), ISNUMBER(SnapshotTable[[#This Row],[SC Strike Price]]), ISNUMBER(SnapshotTable[[#This Row],[SC Qty]]), ISNUMBER(SnapshotTable[[#This Row],[SC Book Date]]), ISNUMBER(SnapshotTable[[#This Row],[SC Book Price]]))</f>
        <v>0</v>
      </c>
      <c r="ER155" s="419" t="b">
        <f>AND(SnapshotTable[[#This Row],[SC Is Booked]], NOT(ISBLANK(SnapshotTable[[#This Row],[SC Fill Date]])))</f>
        <v>0</v>
      </c>
      <c r="ES155" s="370"/>
      <c r="ET155" s="34" t="str">
        <f>IF(AND(ISNUMBER(SnapshotTable[[#This Row],[SC Exp Date]]), ISNUMBER(SnapshotTable[[#This Row],[SC Book Date]])), SnapshotTable[[#This Row],[SC Exp Date]] - MAX(SnapshotTable[[#This Row],[SC Book Date]], SnapshotTable[[#This Row],[SC Fill Date]]) + 1, "")</f>
        <v/>
      </c>
      <c r="EU155" s="34" t="str">
        <f>IF(ISNUMBER(SnapshotTable[[#This Row],[SC Term]]), SnapshotTable[[#This Row],[SC Exp Date]]- MockToday, "")</f>
        <v/>
      </c>
      <c r="EV155" s="31">
        <f>IF(SnapshotTable[[#This Row],[SC Is Booked]], SnapshotTable[[#This Row],[SC Qty]] * SnapshotTable[[#This Row],[SC Book Price]] * 100, 0)</f>
        <v>0</v>
      </c>
      <c r="EW155" s="4" t="str">
        <f>IF(AND(ISNUMBER(SnapshotTable[[#This Row],[Last Price]]), ISNUMBER( SnapshotTable[[#This Row],[SC Book Price]])), SnapshotTable[[#This Row],[Last Price]] - SnapshotTable[[#This Row],[SC Book Price]],"")</f>
        <v/>
      </c>
      <c r="EX155" s="234" t="str">
        <f>IF(SnapshotTable[[#This Row],[SC Is Booked]],IF(SnapshotTable[[#This Row],[SC Intrinsic Value]] &gt; 0, SnapshotTable[[#This Row],[SC Strike Price]], SnapshotTable[[#This Row],[Last Price]]), "")</f>
        <v/>
      </c>
      <c r="EY155" s="4">
        <f>IF(SnapshotTable[[#This Row],[SC Is Booked]], (MinimumPremiumRequired * SnapshotTable[[#This Row],[SC Basis]] * SnapshotTable[[#This Row],[SC Term]]), 0)</f>
        <v>0</v>
      </c>
      <c r="EZ155" s="283"/>
      <c r="FA155" s="218"/>
      <c r="FB155" s="370"/>
      <c r="FC155" s="4">
        <f>IF(SnapshotTable[[#This Row],[SC Is Filled]], btc_max_buyback_amount(SnapshotTable[[#This Row],[SC Fill Date]],SnapshotTable[[#This Row],[SC Exp Date]], SnapshotTable[[#This Row],[SC Book Price]]),0)</f>
        <v>0</v>
      </c>
      <c r="FD155" s="5"/>
      <c r="FE155" s="144" t="str">
        <f>IF(SnapshotTable[[#This Row],[SC Is Filled]], btc_next_cutoff_date(SnapshotTable[[#This Row],[SC Fill Date]],SnapshotTable[[#This Row],[SC Exp Date]]),"")</f>
        <v/>
      </c>
      <c r="FF155" s="4" t="str" cm="1">
        <f t="array" ref="FF155">IF(SnapshotTable[[#This Row],[SC Is Filled]], btc_should_buy_back(SnapshotTable[[#This Row],[SC Fill Date]], SnapshotTable[[#This Row],[SC Exp Date]], SnapshotTable[[#This Row],[SC Book Price]], SnapshotTable[[#This Row],[SC Current Ask]], MockToday, SnapshotTable[[#This Row],[SC Buyback Override]]),"")</f>
        <v/>
      </c>
      <c r="FG155" s="4">
        <f>IF(SnapshotTable[[#This Row],[SC Is Filled]], MAX(0,SnapshotTable[[#This Row],[Last Price]]  - SnapshotTable[[#This Row],[SC Strike Price]]), 0)</f>
        <v>0</v>
      </c>
      <c r="FH155" s="382">
        <f>IF(SnapshotTable[[#This Row],[SC Is Filled]], IF(ISNUMBER(SnapshotTable[[#This Row],[SC Current Ask]]), SnapshotTable[[#This Row],[SC Current Ask]], SnapshotTable[[#This Row],[SC Book Price]]) - SnapshotTable[[#This Row],[SC Intrinsic Value]], 0)</f>
        <v>0</v>
      </c>
      <c r="FI155" s="143"/>
      <c r="FJ155" s="32" t="str">
        <f>IF(SnapshotTable[[#This Row],[SC Is Filled]],100 * SnapshotTable[[#This Row],[SC Qty]] * IF(ISNUMBER(SnapshotTable[[#This Row],[SC Buyback Override]]), SnapshotTable[[#This Row],[SC Buyback Override]], SnapshotTable[[#This Row],[SC Current Ask]]), "")</f>
        <v/>
      </c>
      <c r="FK155" s="250" t="str">
        <f>IF(SnapshotTable[[#This Row],[SC Time Val]]&gt;0, SnapshotTable[[#This Row],[SC Time Val]] / SnapshotTable[[#This Row],[Last Price]],"")</f>
        <v/>
      </c>
      <c r="FL155" s="302" t="str">
        <f>IF(SnapshotTable[[#This Row],[SC Is Booked]], ((SnapshotTable[[#This Row],[Last Price]] -SnapshotTable[[#This Row],[SC Strike Price]]) / SnapshotTable[[#This Row],[Last Price]]) * -1, "")</f>
        <v/>
      </c>
      <c r="FM155" s="157" t="str">
        <f>IF(SnapshotTable[[#This Row],[SC Is Booked]],  (SnapshotTable[[#This Row],[SC Qty]] * 100 * SnapshotTable[[#This Row],[SC Strike Price]]) - SnapshotTable[[#This Row],[SC Current Ask]], "")</f>
        <v/>
      </c>
      <c r="FN15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5" s="31" t="str">
        <f>IF(AND(ISNUMBER(SnapshotTable[[#This Row],[SC Exercise Gross]]), ISNUMBER(SnapshotTable[[#This Row],[Equity Basis Per Share]] )), SnapshotTable[[#This Row],[SC Exercise Gross]] - SnapshotTable[[#This Row],[Equity Basis Total]] +  SnapshotTable[[#This Row],[SC Premium]], "")</f>
        <v/>
      </c>
      <c r="FP155" s="5" t="str">
        <f>IF(ISNUMBER(SnapshotTable[[#This Row],[SC Exercise Gross]]), (SnapshotTable[[#This Row],[SC Exercise Gross]]) / (SnapshotTable[[#This Row],[SC Qty]] * 100), "")</f>
        <v/>
      </c>
      <c r="FQ155" s="27" t="str">
        <f>IF(SnapshotTable[[#This Row],[SC Is Booked]],SnapshotTable[[#This Row],[SC Time Val]] /SnapshotTable[[#This Row],[SC Basis]], "")</f>
        <v/>
      </c>
      <c r="FR155" s="27" t="str" cm="1">
        <f t="array" ref="FR155">IF(AND(ISNUMBER(SnapshotTable[[#This Row],[SC Term]]),ISNUMBER(SnapshotTable[[#This Row],[SC Simple ROO]])), EllmanAnnualize(SnapshotTable[[#This Row],[SC DTE]], SnapshotTable[[#This Row],[SC Simple ROO]] ),"")</f>
        <v/>
      </c>
      <c r="FS155" s="4" t="e">
        <f>IF(SnapshotTable[[#This Row],[SC Strike Price]] &gt; SnapshotTable[[#This Row],[Last Price]], SnapshotTable[[#This Row],[SC Strike Price]] - SnapshotTable[[#This Row],[Last Price]],0)</f>
        <v>#VALUE!</v>
      </c>
      <c r="FT155" s="27" t="e">
        <f>IF(AND(ISNUMBER(SnapshotTable[[#This Row],[SC Upside Potential]]), SnapshotTable[[#This Row],[SC Upside Potential]] &gt; 0),(SnapshotTable[[#This Row],[SC Upside Potential]]/ SnapshotTable[[#This Row],[ACB]]),"")</f>
        <v>#VALUE!</v>
      </c>
      <c r="FU155" s="333" t="str">
        <f>IF(SnapshotTable[[#This Row],[SC Intrinsic Value]] &gt; 0,SnapshotTable[[#This Row],[SC Intrinsic Value]],"")</f>
        <v/>
      </c>
      <c r="FV155" s="27" t="str">
        <f>IF(AND( ISNUMBER( SnapshotTable[[#This Row],[ACB]]),ISNUMBER(SnapshotTable[[#This Row],[SC Downside Protect]])),SnapshotTable[[#This Row],[SC Downside Protect]] / SnapshotTable[[#This Row],[ACB]],"")</f>
        <v/>
      </c>
      <c r="FW155" s="236" t="str">
        <f>IF(AND(ISNUMBER(SnapshotTable[[#This Row],[SC Simple ROO]]),SnapshotTable[[#This Row],[SC Simple ROO]] &gt; 0), SnapshotTable[[#This Row],[SC Premium]] + (SnapshotTable[[#This Row],[SC Qty]] * SnapshotTable[[#This Row],[SC Upside Potential]]), "")</f>
        <v/>
      </c>
      <c r="FX155" s="302" t="str" cm="1">
        <f t="array" ref="FX155">IF(ISNUMBER(SnapshotTable[[#This Row],[SC Max Dollars]]), annualize(SnapshotTable[[#This Row],[SC Term]],(SnapshotTable[[#This Row],[SC Max Dollars]]/SnapshotTable[[#This Row],[SC Basis]])),"")</f>
        <v/>
      </c>
      <c r="FY155" s="236" t="str">
        <f>IF(AND(SnapshotTable[[#This Row],[SC Qty]]&gt;0,SnapshotTable[[#This Row],[SC Current Ask]]&gt;0), SnapshotTable[[#This Row],[SC Qty]] * SnapshotTable[[#This Row],[SC Current Ask]] * -100, "")</f>
        <v/>
      </c>
      <c r="FZ155" s="31" t="str">
        <f>IF(ISNUMBER((SnapshotTable[[#This Row],[SC Current Value]])), SnapshotTable[[#This Row],[SC Premium]] + SnapshotTable[[#This Row],[SC Current Value]], "")</f>
        <v/>
      </c>
      <c r="GA155" s="294" t="str">
        <f>IFERROR( IF(ISNUMBER((SnapshotTable[[#This Row],[SC Current Value]])), SnapshotTable[[#This Row],[SC Gain Loss]] / SnapshotTable[[#This Row],[SC Premium]], ""), "")</f>
        <v/>
      </c>
      <c r="GB155" s="42">
        <f>SnapshotTable[[#This Row],[Equity Shares]] * SaleSharesToConsiderPercentage</f>
        <v>0</v>
      </c>
      <c r="GC155" s="40">
        <f>SnapshotTable[[#This Row],[Long Term Target]] * SellingPriceToConsiderBasedOnTargetPercentage</f>
        <v>57.1995</v>
      </c>
      <c r="GD155" s="40">
        <f>SnapshotTable[[#This Row],[Last Price]] * (1+ SellingPriceToConsiderBasedOnTargetPercentage)</f>
        <v>87.516000000000005</v>
      </c>
      <c r="GE155" s="41"/>
      <c r="GF155" s="40"/>
      <c r="GG155" s="31">
        <f>SnapshotTable[[#This Row],[Booked Sale Shares]] * SnapshotTable[[#This Row],[Booked Sale Price]]</f>
        <v>0</v>
      </c>
      <c r="GH155" s="31" t="str">
        <f>IF(SnapshotTable[[#This Row],[Equity Basis Total]] &gt; 0, SnapshotTable[[#This Row],[Equity Basis Per Share]] * SnapshotTable[[#This Row],[Booked Sale Shares]], "")</f>
        <v/>
      </c>
      <c r="GI155" s="31">
        <f>IF(SnapshotTable[[#This Row],[Sale Proceeds]]&gt;0, SnapshotTable[[#This Row],[Sale Proceeds]] - SnapshotTable[[#This Row],[Sale Basis]], 0)</f>
        <v>0</v>
      </c>
      <c r="GJ155" s="27" t="str">
        <f>IF(SnapshotTable[[#This Row],[Sale G/L]]&gt;0, SnapshotTable[[#This Row],[Sale G/L]] / SnapshotTable[[#This Row],[Sale Basis]], IF(ISNUMBER(SnapshotTable[[#This Row],[SC Exercise P&amp;L (TAX)]]), SnapshotTable[[#This Row],[SC Exercise P&amp;L (TAX)]] / SnapshotTable[[#This Row],[SC Basis]], ""))</f>
        <v/>
      </c>
      <c r="GK155" s="27" t="s">
        <v>1150</v>
      </c>
      <c r="GL155" s="43" t="str">
        <f>IF(AND(SnapshotTable[[#This Row],[LP Exp Date]]&gt;0,SnapshotTable[[#This Row],[LP Strike Price]]&gt;0), [1]!ToOptionSymbol(SnapshotTable[[#This Row],[Symbol]], SnapshotTable[[#This Row],[LP Strike Price]],SnapshotTable[[#This Row],[LP Exp Date]],1), "")</f>
        <v/>
      </c>
      <c r="GM155" s="30" t="str">
        <f>IF(LEN(SnapshotTable[[#This Row],[LP Symbol]])&gt;0, 1, "")</f>
        <v/>
      </c>
      <c r="GN155" s="43" t="str">
        <f>IF(AND(SnapshotTable[[#This Row],[SP Exp Date]]&gt;0,SnapshotTable[[#This Row],[SP Strike Price]]&gt;0), [1]!ToOptionSymbol(SnapshotTable[[#This Row],[Symbol]], SnapshotTable[[#This Row],[SP Strike Price]],SnapshotTable[[#This Row],[SP Exp Date]],1), "")</f>
        <v/>
      </c>
      <c r="GO155" s="30" t="str">
        <f>IF(LEN(SnapshotTable[[#This Row],[SP Symbol]])&gt;0, 1, "")</f>
        <v/>
      </c>
      <c r="GP155" s="43" t="str">
        <f>IF(AND(SnapshotTable[[#This Row],[LC Exp Date]]&gt;0,SnapshotTable[[#This Row],[LC Strike Price]]&gt;0), [1]!ToOptionSymbol(SnapshotTable[[#This Row],[Symbol]], SnapshotTable[[#This Row],[LC Strike Price]],SnapshotTable[[#This Row],[LC Exp Date]],0), "")</f>
        <v/>
      </c>
      <c r="GQ155" s="30" t="str">
        <f>IF(LEN(SnapshotTable[[#This Row],[LC Symbol]])&gt;0, 1, "")</f>
        <v/>
      </c>
      <c r="GR155" s="43" t="str">
        <f>IF(AND(SnapshotTable[[#This Row],[SC Exp Date]]&gt;0,SnapshotTable[[#This Row],[SC Strike Price]]&gt;0), [1]!ToOptionSymbol(SnapshotTable[[#This Row],[Symbol]], SnapshotTable[[#This Row],[SC Strike Price]],SnapshotTable[[#This Row],[SC Exp Date]],0), "")</f>
        <v/>
      </c>
      <c r="GS155" s="30" t="str">
        <f>IF(LEN(SnapshotTable[[#This Row],[SC Symbol]])&gt;0, 1, "")</f>
        <v/>
      </c>
      <c r="GT155" s="29" t="str">
        <f>IF(COUNT(SnapshotTable[[#This Row],[LP Symbol Count]],SnapshotTable[[#This Row],[SP Symbol Count]],SnapshotTable[[#This Row],[LC Symbol Count]],SnapshotTable[[#This Row],[SC Symbol Count]])&gt;0, "Y", "")</f>
        <v/>
      </c>
      <c r="GU15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5" s="231" t="e">
        <f>MAX(SnapshotTable[[#This Row],[Equity Basis Total]],SnapshotTable[[#This Row],[Equity Value]]) + (SnapshotTable[[#This Row],[SP Potential Spend]]- SnapshotTable[[#This Row],[SP Premium]] + SnapshotTable[[#This Row],[LP Premium]])+ (SnapshotTable[[#This Row],[LC Premium]] - SnapshotTable[[#This Row],[SC Premium]])</f>
        <v>#VALUE!</v>
      </c>
      <c r="GW155" s="139" t="e">
        <f>IF(AND(SnapshotTable[[#This Row],[Exposure]] &lt;&gt; 0),SnapshotTable[[#This Row],[Exposure]] / SnapshotTable[[#Totals],[Exposure]], "")</f>
        <v>#VALUE!</v>
      </c>
      <c r="HE155" s="268"/>
      <c r="HF155" s="268"/>
      <c r="HK155" s="1"/>
      <c r="HL155" s="1"/>
      <c r="HM155" s="1"/>
      <c r="HN155" s="1"/>
      <c r="HO155" s="1"/>
      <c r="HP155" s="1"/>
    </row>
    <row r="156" spans="2:224" ht="12.75" hidden="1" customHeight="1" x14ac:dyDescent="0.25">
      <c r="B156" s="12" t="s">
        <v>194</v>
      </c>
      <c r="C156" s="422">
        <v>406.91</v>
      </c>
      <c r="D156" s="208"/>
      <c r="E156" s="39">
        <f>SnapshotTable[[#This Row],[Last Price]]*(1 -CrashDiscount)</f>
        <v>345.87350000000004</v>
      </c>
      <c r="F156" s="26" t="s">
        <v>29</v>
      </c>
      <c r="G156" s="26" t="s">
        <v>20</v>
      </c>
      <c r="H156" s="149"/>
      <c r="I156" s="194">
        <v>44775.270833333336</v>
      </c>
      <c r="J156" s="195">
        <v>44775.270833333336</v>
      </c>
      <c r="K156" s="196"/>
      <c r="L156" s="326"/>
      <c r="M156" s="140"/>
      <c r="N156" s="140"/>
      <c r="O156" s="140"/>
      <c r="P156" s="22"/>
      <c r="Q156" s="25"/>
      <c r="R156" s="4" t="str">
        <f>IF(SnapshotTable[[#This Row],[Equity Basis Total]] &gt; 0, SnapshotTable[[#This Row],[Equity Basis Total]] / SnapshotTable[[#This Row],[Equity Shares]], "")</f>
        <v/>
      </c>
      <c r="S156" s="269">
        <f>SnapshotTable[[#This Row],[Last Price]] * SnapshotTable[[#This Row],[Equity Shares]]</f>
        <v>0</v>
      </c>
      <c r="T156" s="269">
        <f>SnapshotTable[[#This Row],[Equity Value]] - SnapshotTable[[#This Row],[Equity Basis Total]]</f>
        <v>0</v>
      </c>
      <c r="U156" s="270" t="str">
        <f>IF(SnapshotTable[[#This Row],[Equity Basis Total]] &gt; 0, SnapshotTable[[#This Row],[Equity G/L]] / SnapshotTable[[#This Row],[Equity Basis Total]], "")</f>
        <v/>
      </c>
      <c r="V156" s="268"/>
      <c r="W156" s="268"/>
      <c r="X156" s="4" t="str">
        <f>IF(AND(ISNUMBER(SnapshotTable[[#This Row],[Equity Basis Per Share]]),ISNUMBER(SnapshotTable[[#This Row],[Equity Target]])),SnapshotTable[[#This Row],[Equity Target]]-SnapshotTable[[#This Row],[Equity Basis Per Share]],"")</f>
        <v/>
      </c>
      <c r="Y156" s="4" t="str">
        <f>IF(AND(ISNUMBER(SnapshotTable[[#This Row],[Equity Basis Per Share]]),ISNUMBER(SnapshotTable[[#This Row],[Equity Stop Loss]])),SnapshotTable[[#This Row],[Equity Stop Loss]]-SnapshotTable[[#This Row],[Equity Basis Per Share]],"")</f>
        <v/>
      </c>
      <c r="Z156" s="275" t="str">
        <f>IFERROR( TEXT(SnapshotTable[[#This Row],[Equity Max Gain Per Share]] /ABS( SnapshotTable[[#This Row],[Equity Max Loss Per Share]]),"0.0 " ) &amp; " : 1", "")</f>
        <v/>
      </c>
      <c r="AA156" s="31" t="str">
        <f>IF(ISNUMBER(SnapshotTable[[#This Row],[Equity Max Gain Per Share]]),SnapshotTable[[#This Row],[Equity Max Gain Per Share]] * SnapshotTable[[#This Row],[Equity Shares]],"")</f>
        <v/>
      </c>
      <c r="AB156" s="31" t="str">
        <f>IF(ISNUMBER(SnapshotTable[[#This Row],[Equity Max Loss Per Share]]),SnapshotTable[[#This Row],[Equity Max Loss Per Share]] * SnapshotTable[[#This Row],[Equity Shares]],"")</f>
        <v/>
      </c>
      <c r="AC156" s="150">
        <v>2.2000000000000002</v>
      </c>
      <c r="AD156" s="151">
        <v>42329</v>
      </c>
      <c r="AE156" s="31">
        <f>(SnapshotTable[[#This Row],[Annual Dividend Per Share]] / 4) * SnapshotTable[[#This Row],[Equity Shares]]</f>
        <v>0</v>
      </c>
      <c r="AF156" s="31">
        <f>SnapshotTable[[#This Row],[Quarterly Div $]] * 4</f>
        <v>0</v>
      </c>
      <c r="AG156" s="7">
        <f>IF(SnapshotTable[[#This Row],[Annual Dividend Per Share]]&gt;0, SnapshotTable[[#This Row],[Annual Dividend Per Share]]  / SnapshotTable[[#This Row],[Last Price]], 0)</f>
        <v>5.4066009682730825E-3</v>
      </c>
      <c r="AH156" s="151">
        <v>42213</v>
      </c>
      <c r="AI156" s="5"/>
      <c r="AJ156" s="138">
        <v>74</v>
      </c>
      <c r="AK156" s="152" t="str">
        <f>IF(ISNUMBER( SnapshotTable[[#This Row],[EBF Target]]),(SnapshotTable[[#This Row],[EBF Target]] - SnapshotTable[[#This Row],[Last Price]]) / SnapshotTable[[#This Row],[Last Price]], "")</f>
        <v/>
      </c>
      <c r="AL156" s="152" t="str">
        <f>IF(AND(SnapshotTable[[#This Row],[Equity Basis Total]] &gt; 0,ISNUMBER( SnapshotTable[[#This Row],[Long Term Target]])), SnapshotTable[[#This Row],[From Basis $]] / SnapshotTable[[#This Row],[Equity Basis Total]], "")</f>
        <v/>
      </c>
      <c r="AM156" s="9">
        <f>IF( AND(SnapshotTable[[#This Row],[Equity Shares]] &gt;0,ISNUMBER( SnapshotTable[[#This Row],[Long Term Target]])),(SnapshotTable[[#This Row],[Equity Shares]] * SnapshotTable[[#This Row],[Long Term Target]]) - SnapshotTable[[#This Row],[Equity Basis Total]],0)</f>
        <v>0</v>
      </c>
      <c r="AN156" s="9">
        <f>IF( AND(SnapshotTable[[#This Row],[Equity Shares]] &gt;0,ISNUMBER( SnapshotTable[[#This Row],[Long Term Target]])),(SnapshotTable[[#This Row],[Equity Shares]]*SnapshotTable[[#This Row],[Long Term Target]]) - SnapshotTable[[#This Row],[Equity Value]],0)</f>
        <v>0</v>
      </c>
      <c r="AO156" s="152">
        <f>IF(AND(ISNUMBER( SnapshotTable[[#This Row],[Long Term Target]]), ISNUMBER(SnapshotTable[[#This Row],[Last Price]])),(SnapshotTable[[#This Row],[Long Term Target]] - SnapshotTable[[#This Row],[Last Price]]) / SnapshotTable[[#This Row],[Last Price]], "")</f>
        <v>-0.81814160379445089</v>
      </c>
      <c r="AP156" s="5"/>
      <c r="AQ156" s="38"/>
      <c r="AR156" s="5"/>
      <c r="AS156" s="38"/>
      <c r="AT156" s="146"/>
      <c r="AU156" s="187" t="str">
        <f>IF(OR(SnapshotTable[[#This Row],[LP No Fill]]="Y",SnapshotTable[[#This Row],[SP Is Filled]],SnapshotTable[[#This Row],[LC Not Filled]]="Y",SnapshotTable[[#This Row],[SC Is Filled]]),"Y","")</f>
        <v/>
      </c>
      <c r="AV156" s="219"/>
      <c r="AW156" s="225"/>
      <c r="AX156" s="220"/>
      <c r="AY156" s="219" t="str">
        <f>IF(SnapshotTable[[#This Row],[Implied Move]]&gt;0, SnapshotTable[[#This Row],[Last Price]]-SnapshotTable[[#This Row],[Implied Move]],"")</f>
        <v/>
      </c>
      <c r="AZ156" s="219" t="str">
        <f>IF(SnapshotTable[[#This Row],[Implied Move]]&gt;0, SnapshotTable[[#This Row],[Last Price]] + SnapshotTable[[#This Row],[Implied Move]],"")</f>
        <v/>
      </c>
      <c r="BA156" s="331"/>
      <c r="BB156" s="347"/>
      <c r="BC15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6" s="351"/>
      <c r="BE156" s="5"/>
      <c r="BF156" s="14"/>
      <c r="BG156" s="13"/>
      <c r="BH156" s="13"/>
      <c r="BI156" s="5"/>
      <c r="BJ156" s="136">
        <f>IF(SnapshotTable[[#This Row],[LP Qty]] &gt; 0, SnapshotTable[[#This Row],[LP Qty]] * SnapshotTable[[#This Row],[LP Book Price]] * 100,0)</f>
        <v>0</v>
      </c>
      <c r="BK156" s="136">
        <f>IF(SnapshotTable[[#This Row],[LP Premium]] &gt; 0, SnapshotTable[[#This Row],[LP Qty]] * SnapshotTable[[#This Row],[LP Strike Price]] * 100,0)</f>
        <v>0</v>
      </c>
      <c r="BL156" s="154"/>
      <c r="BM156" s="385" t="str">
        <f>IF(SnapshotTable[[#This Row],[LP Premium]] &gt; 0,SnapshotTable[[#This Row],[LP Exp Date]]-MAX(SnapshotTable[[#This Row],[LP Book Date]], SnapshotTable[[#This Row],[LP Fill Date]]),"")</f>
        <v/>
      </c>
      <c r="BN156" s="385" t="str">
        <f>IF(ISNUMBER( SnapshotTable[[#This Row],[LP Term]]), SnapshotTable[[#This Row],[LP Exp Date]] - MockToday,"")</f>
        <v/>
      </c>
      <c r="BO156" s="163" t="str">
        <f>IF(AND(SnapshotTable[[#This Row],[LP Exp Date]]&gt;0, SnapshotTable[[#This Row],[LP Strike Price]]&gt;0,SnapshotTable[[#This Row],[LP Qty]]&gt;0,SnapshotTable[[#This Row],[LP Book Date]]&gt;0,SnapshotTable[[#This Row],[LP Book Price]]&gt;0,SnapshotTable[[#This Row],[LP Fill Date]]=0),"Y","")</f>
        <v/>
      </c>
      <c r="BP156" s="31" t="str">
        <f>IF(AND(SnapshotTable[[#This Row],[LP No Fill]]&lt;&gt;"Y",SnapshotTable[[#This Row],[LP Contract Value]]&gt;0, SnapshotTable[[#This Row],[LP Qty]]&gt;0), SnapshotTable[[#This Row],[LP Contract Value]]*SnapshotTable[[#This Row],[LP Qty]]*100,"")</f>
        <v/>
      </c>
      <c r="BQ156" s="13"/>
      <c r="BR156" s="5" t="str">
        <f>IF(SnapshotTable[[#This Row],[SP Exp Date]]&lt;&gt;"",TRUNC(SnapshotTable[[#This Row],[Last Price]]),"")</f>
        <v/>
      </c>
      <c r="BS156" s="36"/>
      <c r="BT156" s="147"/>
      <c r="BU156" s="13"/>
      <c r="BV156" s="5"/>
      <c r="BW156" s="419" t="b">
        <f>AND(ISNUMBER(SnapshotTable[[#This Row],[SP Exp Date]]), ISNUMBER(SnapshotTable[[#This Row],[SP Strike Price]]), ISNUMBER(SnapshotTable[[#This Row],[SP Qty]]), ISNUMBER(SnapshotTable[[#This Row],[SP Book Date]]), ISNUMBER(SnapshotTable[[#This Row],[SP Book Price]]))</f>
        <v>0</v>
      </c>
      <c r="BX156" s="419" t="b">
        <f>AND(SnapshotTable[[#This Row],[SP Is Booked]], NOT(ISBLANK(SnapshotTable[[#This Row],[SP Fill Date]])))</f>
        <v>0</v>
      </c>
      <c r="BY156" s="33">
        <f>IF(SnapshotTable[[#This Row],[SP Is Booked]], SnapshotTable[[#This Row],[SP Qty]] * SnapshotTable[[#This Row],[SP Book Price]] * 100, 0)</f>
        <v>0</v>
      </c>
      <c r="BZ156" s="369"/>
      <c r="CA156" s="368">
        <f>SnapshotTable[[#This Row],[LP Qty]]</f>
        <v>0</v>
      </c>
      <c r="CB156" s="4" t="str">
        <f>IF(SnapshotTable[[#This Row],[SP Is Booked]], SnapshotTable[[#This Row],[SP Strike Price]] - SnapshotTable[[#This Row],[SP Book Price]], "")</f>
        <v/>
      </c>
      <c r="CC156" s="19" t="str">
        <f>IF(SnapshotTable[[#This Row],[SP Is Booked]],SnapshotTable[[#This Row],[SP Exp Date]]-MAX(SnapshotTable[[#This Row],[SP Book Date]], SnapshotTable[[#This Row],[SP Fill Date]]),"")</f>
        <v/>
      </c>
      <c r="CD156" s="7" t="str">
        <f>IF(SnapshotTable[[#This Row],[SP Is Booked]], SnapshotTable[[#This Row],[SP Book Price]]/SnapshotTable[[#This Row],[SP Strike Price]], "")</f>
        <v/>
      </c>
      <c r="CE156" s="7" t="str">
        <f>IF(ISNUMBER(SnapshotTable[[#This Row],[SP ROO Term]]),SnapshotTable[[#This Row],[SP ROO Term]]*(365/SnapshotTable[[#This Row],[SP Term]]),"")</f>
        <v/>
      </c>
      <c r="CF156" s="236">
        <f>SnapshotTable[[#This Row],[LP Strike Price]] * SnapshotTable[[#This Row],[LP Qty]] * 100</f>
        <v>0</v>
      </c>
      <c r="CG156" s="31" t="e">
        <f>IF(ISNUMBER(SnapshotTable[[#This Row],[SP Premium]]), (SnapshotTable[[#This Row],[SP Qty]] * SnapshotTable[[#This Row],[SP Strike Price]]* 100) - SnapshotTable[[#This Row],[LP Protection]], 0)</f>
        <v>#VALUE!</v>
      </c>
      <c r="CH156" s="7" t="str">
        <f>IF(ISNUMBER(SnapshotTable[[#This Row],[SP Break Even]]),-1 * (SnapshotTable[[#This Row],[SP Break Even]] - SnapshotTable[[#This Row],[Last Price]]) / SnapshotTable[[#This Row],[Last Price]], "")</f>
        <v/>
      </c>
      <c r="CI156" s="31">
        <f>IF(AND(ISNUMBER((SnapshotTable[[#This Row],[SP Potential Spend]])), SnapshotTable[[#This Row],[SP Strike Price]] &gt; SnapshotTable[[#This Row],[Last Price]], SnapshotTable[[#This Row],[SP Is Filled]]), SnapshotTable[[#This Row],[SP Potential Spend]] -  SnapshotTable[[#This Row],[LP Max Value]], 0)</f>
        <v>0</v>
      </c>
      <c r="CJ156" s="244"/>
      <c r="CK156" s="31" t="str">
        <f>IF(ISNUMBER(SnapshotTable[[#This Row],[SP Potential Spend]]),IF(ISNUMBER(SnapshotTable[[#This Row],[SP POW]]), SnapshotTable[[#This Row],[SP POW]] * SnapshotTable[[#This Row],[SP Potential Spend]], SnapshotTable[[#This Row],[SP Potential Spend]]), "")</f>
        <v/>
      </c>
      <c r="CL156" s="164" t="e">
        <f>IF(NOT(SnapshotTable[[#This Row],[SP Is Filled]]),(SnapshotTable[[#This Row],[SP Qty]] * SnapshotTable[[#This Row],[SP Strike Price]] * 100) - SnapshotTable[[#This Row],[LP Max Value]],"")</f>
        <v>#VALUE!</v>
      </c>
      <c r="CM156" s="31" t="str">
        <f>IF(SnapshotTable[[#This Row],[SP Actual Spend]]&lt;&gt;0, ((SnapshotTable[[#This Row],[SP Strike Price]]-SnapshotTable[[#This Row],[Last Price]]) *(SnapshotTable[[#This Row],[SP Qty]]*100) - SnapshotTable[[#This Row],[SP Premium]]) * - 1, "")</f>
        <v/>
      </c>
      <c r="CN156" s="78"/>
      <c r="CO156" s="369"/>
      <c r="CP156" s="4" t="str">
        <f>IF(SnapshotTable[[#This Row],[SP Is Filled]], btc_max_buyback_amount(SnapshotTable[[#This Row],[SP Fill Date]],SnapshotTable[[#This Row],[SP Exp Date]], SnapshotTable[[#This Row],[SP Book Price]]),"")</f>
        <v/>
      </c>
      <c r="CQ156" s="78"/>
      <c r="CR15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6" s="155" t="str">
        <f>IF(SnapshotTable[[#This Row],[SP Is Filled]], btc_next_cutoff_date(SnapshotTable[[#This Row],[SP Fill Date]],SnapshotTable[[#This Row],[SP Exp Date]]),"")</f>
        <v/>
      </c>
      <c r="CT156" s="235" t="str" cm="1">
        <f t="array" ref="CT156">IF(SnapshotTable[[#This Row],[SP Is Filled]], btc_should_buy_back(SnapshotTable[[#This Row],[SP Fill Date]], SnapshotTable[[#This Row],[SP Exp Date]], SnapshotTable[[#This Row],[SP Book Price]], SnapshotTable[[#This Row],[SP Current Ask]], MockToday, SnapshotTable[[#This Row],[SP Buyback Override]]),"")</f>
        <v/>
      </c>
      <c r="CU156" s="143"/>
      <c r="CV156" s="235"/>
      <c r="CW156" s="378" t="str">
        <f>IF(ISNUMBER( SnapshotTable[[#This Row],[SP Term]]), SnapshotTable[[#This Row],[SP Exp Date]] - MockToday,"")</f>
        <v/>
      </c>
      <c r="CX156" s="31" t="str">
        <f>IF(SnapshotTable[[#This Row],[SP Is Filled]],SnapshotTable[[#This Row],[SP Buyback Price to Use]] * 100 * SnapshotTable[[#This Row],[SP Qty]], "")</f>
        <v/>
      </c>
      <c r="CY156" s="4" t="str">
        <f>IF(ISNUMBER(SnapshotTable[[#This Row],[SP Strike Price]]), SnapshotTable[[#This Row],[SP Strike Price]] * (1 - SP_MaxLoss_StrikePct), "")</f>
        <v/>
      </c>
      <c r="CZ156" s="31" t="str">
        <f>IF(ISNUMBER(SnapshotTable[[#This Row],[SP Strike  Stop Per Share]]),SnapshotTable[[#This Row],[SP Premium]] - ((SnapshotTable[[#This Row],[SP Strike Price]]-SnapshotTable[[#This Row],[SP Strike  Stop Per Share]]) *(SnapshotTable[[#This Row],[SP Qty]] * 100)),"")</f>
        <v/>
      </c>
      <c r="DA156" s="4" t="str">
        <f>IF(AND(ISNUMBER(SnapshotTable[[#This Row],[SP Premium]]),SnapshotTable[[#This Row],[SP Premium]]&gt;0), SnapshotTable[[#This Row],[SP Book Price]] * (1 + SP_MaxLoss_OptionPct), "")</f>
        <v/>
      </c>
      <c r="DB156" s="31" t="str">
        <f>IF(ISNUMBER(SnapshotTable[[#This Row],[SP Option  Stop Contract]]),(SnapshotTable[[#This Row],[SP Option  Stop Contract]] *(SnapshotTable[[#This Row],[SP Qty]] * 100) - SnapshotTable[[#This Row],[SP Premium]]),"")</f>
        <v/>
      </c>
      <c r="DC156" s="4"/>
      <c r="DD156" s="4"/>
      <c r="DE156" s="4" t="str">
        <f>IF(AND(SnapshotTable[[#This Row],[SP Qty]]&gt;0, SnapshotTable[[#This Row],[SP Stop To Use]]&gt;0),SnapshotTable[[#This Row],[SP Premium]] - ( SnapshotTable[[#This Row],[SP Qty]] * SnapshotTable[[#This Row],[SP Stop To Use]] * 100), "")</f>
        <v/>
      </c>
      <c r="DF156" s="31" t="str">
        <f>IF(AND(SnapshotTable[[#This Row],[SP Qty]]&gt;0,SnapshotTable[[#This Row],[SP Current Ask]]&gt;0), SnapshotTable[[#This Row],[SP Qty]] * SnapshotTable[[#This Row],[SP Current Ask]] * -100, "")</f>
        <v/>
      </c>
      <c r="DG156" s="31" t="str">
        <f>IF(ISNUMBER((SnapshotTable[[#This Row],[SP Total Value]])), SnapshotTable[[#This Row],[SP Premium]] + SnapshotTable[[#This Row],[SP Total Value]], "")</f>
        <v/>
      </c>
      <c r="DH156" s="294" t="str">
        <f>IF(ISNUMBER((SnapshotTable[[#This Row],[SP Total Value]])), SnapshotTable[[#This Row],[SP Gain Loss]] / SnapshotTable[[#This Row],[SP Premium]], "")</f>
        <v/>
      </c>
      <c r="DI156" s="406"/>
      <c r="DJ156" s="138"/>
      <c r="DK156" s="148"/>
      <c r="DL156" s="13"/>
      <c r="DM156" s="13"/>
      <c r="DO156" s="31">
        <f>IF(SnapshotTable[[#This Row],[LC Symbol Count]]=1, SnapshotTable[[#This Row],[LC Qty]] * SnapshotTable[[#This Row],[LC Book Price]] * 100, 0)</f>
        <v>0</v>
      </c>
      <c r="DP156" s="163" t="str">
        <f>IF(AND(SnapshotTable[[#This Row],[LC Exp Date]]&gt;0, SnapshotTable[[#This Row],[LC Strike Price]]&gt;0,SnapshotTable[[#This Row],[LC Qty]]&gt;0,SnapshotTable[[#This Row],[LC Book Date]]&gt;0,SnapshotTable[[#This Row],[LC Book Price]]&gt;0,SnapshotTable[[#This Row],[LC Fill Date]]=0),"Y","")</f>
        <v/>
      </c>
      <c r="DQ156" s="386" t="str">
        <f>IF(SnapshotTable[[#This Row],[LC Premium]] &gt; 0,SnapshotTable[[#This Row],[LC Exp Date]]-MAX(SnapshotTable[[#This Row],[LC Book Date]], SnapshotTable[[#This Row],[LC Fill Date]]),"")</f>
        <v/>
      </c>
      <c r="DR156" s="386" t="str">
        <f>IF(ISNUMBER(SnapshotTable[[#This Row],[LC Term]]), SnapshotTable[[#This Row],[LC Exp Date]] - MockToday, "")</f>
        <v/>
      </c>
      <c r="DS156" s="234" t="str">
        <f>IF(SnapshotTable[[#This Row],[LC Premium]]&gt;0,SnapshotTable[[#This Row],[LC Strike Price]] + SnapshotTable[[#This Row],[LC Book Price]],"")</f>
        <v/>
      </c>
      <c r="DU156" s="9" t="str">
        <f>IF(AND(SnapshotTable[[#This Row],[LC Symbol Count]]&gt;0, SnapshotTable[[#This Row],[LC Contract Value]]&gt;0), SnapshotTable[[#This Row],[LC Contract Value]] * SnapshotTable[[#This Row],[LC Qty]] * 100, "")</f>
        <v/>
      </c>
      <c r="DV156" s="9" t="str">
        <f>IF(AND(ISNUMBER(SnapshotTable[[#This Row],[LC Total Value]]), SnapshotTable[[#This Row],[LC Not Filled]]&lt;&gt;"Y"), SnapshotTable[[#This Row],[LC Total Value]]-SnapshotTable[[#This Row],[LC Premium]],"")</f>
        <v/>
      </c>
      <c r="DW156" s="240" t="str">
        <f>IF(ISNUMBER(SnapshotTable[[#This Row],[LC Actual Gain Loss]]), SnapshotTable[[#This Row],[LC Actual Gain Loss]] / SnapshotTable[[#This Row],[LC Premium]],"")</f>
        <v/>
      </c>
      <c r="DX156" s="284" t="str">
        <f>IF(ISNUMBER(SnapshotTable[[#This Row],[LC Book Price]]),SnapshotTable[[#This Row],[LC Book Price]] * 1.5,"")</f>
        <v/>
      </c>
      <c r="DY156" s="265" t="str">
        <f>IF(SnapshotTable[[#This Row],[LC Premium]]&gt;0, SnapshotTable[[#This Row],[LC Next Target]] * SnapshotTable[[#This Row],[LC Qty]] * 100,"")</f>
        <v/>
      </c>
      <c r="DZ156" s="265" t="str">
        <f>IF(ISNUMBER(SnapshotTable[[#This Row],[LC Target Gross]]), SnapshotTable[[#This Row],[LC Target Gross]] - SnapshotTable[[#This Row],[LC Premium]], "")</f>
        <v/>
      </c>
      <c r="EA156" s="305" t="str">
        <f>IF(ISNUMBER(SnapshotTable[[#This Row],[LC Target Gain Loss]]), SnapshotTable[[#This Row],[LC Target Gain Loss]]/SnapshotTable[[#This Row],[LC Premium]], "")</f>
        <v/>
      </c>
      <c r="EB156" s="262"/>
      <c r="EC156" s="283" t="str">
        <f>IF(SnapshotTable[[#This Row],[LC Premium]]&gt;0, SnapshotTable[[#This Row],[LC Book Price]] * (1 - LC_StopLoss_Pct),"")</f>
        <v/>
      </c>
      <c r="ED156" s="284"/>
      <c r="EE156" s="283" t="str">
        <f>IF(ISNUMBER(SnapshotTable[[#This Row],[LC Contract Value]]),IF(ISNUMBER(SnapshotTable[[#This Row],[LC Stop Loss Override]]), SnapshotTable[[#This Row],[LC Stop Loss Override]],SnapshotTable[[#This Row],[LC Stop Loss Calc Target]]),"")</f>
        <v/>
      </c>
      <c r="EF156" s="31" t="str">
        <f>IF(ISNUMBER(SnapshotTable[[#This Row],[LC Stop  To Use]]), (SnapshotTable[[#This Row],[LC Stop  To Use]] * SnapshotTable[[#This Row],[LC Qty]] * 100),"")</f>
        <v/>
      </c>
      <c r="EG156" s="9" t="str">
        <f>IF(ISNUMBER(SnapshotTable[[#This Row],[LC Total Value]]),SnapshotTable[[#This Row],[LC Stop Loss Amount]] - SnapshotTable[[#This Row],[LC Premium]],"")</f>
        <v/>
      </c>
      <c r="EH156" s="9">
        <f>IF(ISNUMBER(SnapshotTable[[#This Row],[LC Premium]]), SnapshotTable[[#This Row],[LC Qty]] * 100 * SnapshotTable[[#This Row],[LC Strike Price]], "")</f>
        <v>0</v>
      </c>
      <c r="EI156" s="240" t="str">
        <f>IF(AND(ISNUMBER(SnapshotTable[[#This Row],[LC Total Value]]),SnapshotTable[[#This Row],[LC Total Value]]&gt;0),SnapshotTable[[#This Row],[LC Stop Gain Loss]]  / SnapshotTable[[#This Row],[LC Premium]],"")</f>
        <v/>
      </c>
      <c r="EJ156" s="35">
        <f>IF(ISNUMBER(SnapshotTable[[#This Row],[Equity Shares]]),TRUNC(SnapshotTable[[#This Row],[Equity Shares]] / 100),0) + SnapshotTable[[#This Row],[LC Qty]]</f>
        <v>0</v>
      </c>
      <c r="EK156" s="147"/>
      <c r="EL156" s="138" t="str">
        <f>IF(SnapshotTable[[#This Row],[SC Exp Date]]&lt;&gt;"",TRUNC(SnapshotTable[[#This Row],[Last Price]]),"")</f>
        <v/>
      </c>
      <c r="EM156" s="148"/>
      <c r="EN156" s="147"/>
      <c r="EO156" s="147"/>
      <c r="EP156" s="138"/>
      <c r="EQ156" s="419" t="b">
        <f>AND(ISNUMBER(SnapshotTable[[#This Row],[SC Exp Date]]), ISNUMBER(SnapshotTable[[#This Row],[SC Strike Price]]), ISNUMBER(SnapshotTable[[#This Row],[SC Qty]]), ISNUMBER(SnapshotTable[[#This Row],[SC Book Date]]), ISNUMBER(SnapshotTable[[#This Row],[SC Book Price]]))</f>
        <v>0</v>
      </c>
      <c r="ER156" s="419" t="b">
        <f>AND(SnapshotTable[[#This Row],[SC Is Booked]], NOT(ISBLANK(SnapshotTable[[#This Row],[SC Fill Date]])))</f>
        <v>0</v>
      </c>
      <c r="ES156" s="370"/>
      <c r="ET156" s="34" t="str">
        <f>IF(AND(ISNUMBER(SnapshotTable[[#This Row],[SC Exp Date]]), ISNUMBER(SnapshotTable[[#This Row],[SC Book Date]])), SnapshotTable[[#This Row],[SC Exp Date]] - MAX(SnapshotTable[[#This Row],[SC Book Date]], SnapshotTable[[#This Row],[SC Fill Date]]) + 1, "")</f>
        <v/>
      </c>
      <c r="EU156" s="34" t="str">
        <f>IF(ISNUMBER(SnapshotTable[[#This Row],[SC Term]]), SnapshotTable[[#This Row],[SC Exp Date]]- MockToday, "")</f>
        <v/>
      </c>
      <c r="EV156" s="31">
        <f>IF(SnapshotTable[[#This Row],[SC Is Booked]], SnapshotTable[[#This Row],[SC Qty]] * SnapshotTable[[#This Row],[SC Book Price]] * 100, 0)</f>
        <v>0</v>
      </c>
      <c r="EW156" s="4" t="str">
        <f>IF(AND(ISNUMBER(SnapshotTable[[#This Row],[Last Price]]), ISNUMBER( SnapshotTable[[#This Row],[SC Book Price]])), SnapshotTable[[#This Row],[Last Price]] - SnapshotTable[[#This Row],[SC Book Price]],"")</f>
        <v/>
      </c>
      <c r="EX156" s="234" t="str">
        <f>IF(SnapshotTable[[#This Row],[SC Is Booked]],IF(SnapshotTable[[#This Row],[SC Intrinsic Value]] &gt; 0, SnapshotTable[[#This Row],[SC Strike Price]], SnapshotTable[[#This Row],[Last Price]]), "")</f>
        <v/>
      </c>
      <c r="EY156" s="4">
        <f>IF(SnapshotTable[[#This Row],[SC Is Booked]], (MinimumPremiumRequired * SnapshotTable[[#This Row],[SC Basis]] * SnapshotTable[[#This Row],[SC Term]]), 0)</f>
        <v>0</v>
      </c>
      <c r="EZ156" s="283"/>
      <c r="FA156" s="218"/>
      <c r="FB156" s="370"/>
      <c r="FC156" s="4">
        <f>IF(SnapshotTable[[#This Row],[SC Is Filled]], btc_max_buyback_amount(SnapshotTable[[#This Row],[SC Fill Date]],SnapshotTable[[#This Row],[SC Exp Date]], SnapshotTable[[#This Row],[SC Book Price]]),0)</f>
        <v>0</v>
      </c>
      <c r="FD156" s="5"/>
      <c r="FE156" s="144" t="str">
        <f>IF(SnapshotTable[[#This Row],[SC Is Filled]], btc_next_cutoff_date(SnapshotTable[[#This Row],[SC Fill Date]],SnapshotTable[[#This Row],[SC Exp Date]]),"")</f>
        <v/>
      </c>
      <c r="FF156" s="4" t="str" cm="1">
        <f t="array" ref="FF156">IF(SnapshotTable[[#This Row],[SC Is Filled]], btc_should_buy_back(SnapshotTable[[#This Row],[SC Fill Date]], SnapshotTable[[#This Row],[SC Exp Date]], SnapshotTable[[#This Row],[SC Book Price]], SnapshotTable[[#This Row],[SC Current Ask]], MockToday, SnapshotTable[[#This Row],[SC Buyback Override]]),"")</f>
        <v/>
      </c>
      <c r="FG156" s="4">
        <f>IF(SnapshotTable[[#This Row],[SC Is Filled]], MAX(0,SnapshotTable[[#This Row],[Last Price]]  - SnapshotTable[[#This Row],[SC Strike Price]]), 0)</f>
        <v>0</v>
      </c>
      <c r="FH156" s="382">
        <f>IF(SnapshotTable[[#This Row],[SC Is Filled]], IF(ISNUMBER(SnapshotTable[[#This Row],[SC Current Ask]]), SnapshotTable[[#This Row],[SC Current Ask]], SnapshotTable[[#This Row],[SC Book Price]]) - SnapshotTable[[#This Row],[SC Intrinsic Value]], 0)</f>
        <v>0</v>
      </c>
      <c r="FI156" s="143"/>
      <c r="FJ156" s="32" t="str">
        <f>IF(SnapshotTable[[#This Row],[SC Is Filled]],100 * SnapshotTable[[#This Row],[SC Qty]] * IF(ISNUMBER(SnapshotTable[[#This Row],[SC Buyback Override]]), SnapshotTable[[#This Row],[SC Buyback Override]], SnapshotTable[[#This Row],[SC Current Ask]]), "")</f>
        <v/>
      </c>
      <c r="FK156" s="250" t="str">
        <f>IF(SnapshotTable[[#This Row],[SC Time Val]]&gt;0, SnapshotTable[[#This Row],[SC Time Val]] / SnapshotTable[[#This Row],[Last Price]],"")</f>
        <v/>
      </c>
      <c r="FL156" s="302" t="str">
        <f>IF(SnapshotTable[[#This Row],[SC Is Booked]], ((SnapshotTable[[#This Row],[Last Price]] -SnapshotTable[[#This Row],[SC Strike Price]]) / SnapshotTable[[#This Row],[Last Price]]) * -1, "")</f>
        <v/>
      </c>
      <c r="FM156" s="157" t="str">
        <f>IF(SnapshotTable[[#This Row],[SC Is Booked]],  (SnapshotTable[[#This Row],[SC Qty]] * 100 * SnapshotTable[[#This Row],[SC Strike Price]]) - SnapshotTable[[#This Row],[SC Current Ask]], "")</f>
        <v/>
      </c>
      <c r="FN15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6" s="31" t="str">
        <f>IF(AND(ISNUMBER(SnapshotTable[[#This Row],[SC Exercise Gross]]), ISNUMBER(SnapshotTable[[#This Row],[Equity Basis Per Share]] )), SnapshotTable[[#This Row],[SC Exercise Gross]] - SnapshotTable[[#This Row],[Equity Basis Total]] +  SnapshotTable[[#This Row],[SC Premium]], "")</f>
        <v/>
      </c>
      <c r="FP156" s="5" t="str">
        <f>IF(ISNUMBER(SnapshotTable[[#This Row],[SC Exercise Gross]]), (SnapshotTable[[#This Row],[SC Exercise Gross]]) / (SnapshotTable[[#This Row],[SC Qty]] * 100), "")</f>
        <v/>
      </c>
      <c r="FQ156" s="27" t="str">
        <f>IF(SnapshotTable[[#This Row],[SC Is Booked]],SnapshotTable[[#This Row],[SC Time Val]] /SnapshotTable[[#This Row],[SC Basis]], "")</f>
        <v/>
      </c>
      <c r="FR156" s="27" t="str" cm="1">
        <f t="array" ref="FR156">IF(AND(ISNUMBER(SnapshotTable[[#This Row],[SC Term]]),ISNUMBER(SnapshotTable[[#This Row],[SC Simple ROO]])), EllmanAnnualize(SnapshotTable[[#This Row],[SC DTE]], SnapshotTable[[#This Row],[SC Simple ROO]] ),"")</f>
        <v/>
      </c>
      <c r="FS156" s="4" t="e">
        <f>IF(SnapshotTable[[#This Row],[SC Strike Price]] &gt; SnapshotTable[[#This Row],[Last Price]], SnapshotTable[[#This Row],[SC Strike Price]] - SnapshotTable[[#This Row],[Last Price]],0)</f>
        <v>#VALUE!</v>
      </c>
      <c r="FT156" s="27" t="e">
        <f>IF(AND(ISNUMBER(SnapshotTable[[#This Row],[SC Upside Potential]]), SnapshotTable[[#This Row],[SC Upside Potential]] &gt; 0),(SnapshotTable[[#This Row],[SC Upside Potential]]/ SnapshotTable[[#This Row],[ACB]]),"")</f>
        <v>#VALUE!</v>
      </c>
      <c r="FU156" s="333" t="str">
        <f>IF(SnapshotTable[[#This Row],[SC Intrinsic Value]] &gt; 0,SnapshotTable[[#This Row],[SC Intrinsic Value]],"")</f>
        <v/>
      </c>
      <c r="FV156" s="27" t="str">
        <f>IF(AND( ISNUMBER( SnapshotTable[[#This Row],[ACB]]),ISNUMBER(SnapshotTable[[#This Row],[SC Downside Protect]])),SnapshotTable[[#This Row],[SC Downside Protect]] / SnapshotTable[[#This Row],[ACB]],"")</f>
        <v/>
      </c>
      <c r="FW156" s="236" t="str">
        <f>IF(AND(ISNUMBER(SnapshotTable[[#This Row],[SC Simple ROO]]),SnapshotTable[[#This Row],[SC Simple ROO]] &gt; 0), SnapshotTable[[#This Row],[SC Premium]] + (SnapshotTable[[#This Row],[SC Qty]] * SnapshotTable[[#This Row],[SC Upside Potential]]), "")</f>
        <v/>
      </c>
      <c r="FX156" s="302" t="str" cm="1">
        <f t="array" ref="FX156">IF(ISNUMBER(SnapshotTable[[#This Row],[SC Max Dollars]]), annualize(SnapshotTable[[#This Row],[SC Term]],(SnapshotTable[[#This Row],[SC Max Dollars]]/SnapshotTable[[#This Row],[SC Basis]])),"")</f>
        <v/>
      </c>
      <c r="FY156" s="236" t="str">
        <f>IF(AND(SnapshotTable[[#This Row],[SC Qty]]&gt;0,SnapshotTable[[#This Row],[SC Current Ask]]&gt;0), SnapshotTable[[#This Row],[SC Qty]] * SnapshotTable[[#This Row],[SC Current Ask]] * -100, "")</f>
        <v/>
      </c>
      <c r="FZ156" s="31" t="str">
        <f>IF(ISNUMBER((SnapshotTable[[#This Row],[SC Current Value]])), SnapshotTable[[#This Row],[SC Premium]] + SnapshotTable[[#This Row],[SC Current Value]], "")</f>
        <v/>
      </c>
      <c r="GA156" s="294" t="str">
        <f>IFERROR( IF(ISNUMBER((SnapshotTable[[#This Row],[SC Current Value]])), SnapshotTable[[#This Row],[SC Gain Loss]] / SnapshotTable[[#This Row],[SC Premium]], ""), "")</f>
        <v/>
      </c>
      <c r="GB156" s="42">
        <f>SnapshotTable[[#This Row],[Equity Shares]] * SaleSharesToConsiderPercentage</f>
        <v>0</v>
      </c>
      <c r="GC156" s="40">
        <f>SnapshotTable[[#This Row],[Long Term Target]] * SellingPriceToConsiderBasedOnTargetPercentage</f>
        <v>70.3</v>
      </c>
      <c r="GD156" s="40">
        <f>SnapshotTable[[#This Row],[Last Price]] * (1+ SellingPriceToConsiderBasedOnTargetPercentage)</f>
        <v>793.47450000000003</v>
      </c>
      <c r="GE156" s="41"/>
      <c r="GF156" s="40"/>
      <c r="GG156" s="31">
        <f>SnapshotTable[[#This Row],[Booked Sale Shares]] * SnapshotTable[[#This Row],[Booked Sale Price]]</f>
        <v>0</v>
      </c>
      <c r="GH156" s="31" t="str">
        <f>IF(SnapshotTable[[#This Row],[Equity Basis Total]] &gt; 0, SnapshotTable[[#This Row],[Equity Basis Per Share]] * SnapshotTable[[#This Row],[Booked Sale Shares]], "")</f>
        <v/>
      </c>
      <c r="GI156" s="31">
        <f>IF(SnapshotTable[[#This Row],[Sale Proceeds]]&gt;0, SnapshotTable[[#This Row],[Sale Proceeds]] - SnapshotTable[[#This Row],[Sale Basis]], 0)</f>
        <v>0</v>
      </c>
      <c r="GJ156" s="27" t="str">
        <f>IF(SnapshotTable[[#This Row],[Sale G/L]]&gt;0, SnapshotTable[[#This Row],[Sale G/L]] / SnapshotTable[[#This Row],[Sale Basis]], IF(ISNUMBER(SnapshotTable[[#This Row],[SC Exercise P&amp;L (TAX)]]), SnapshotTable[[#This Row],[SC Exercise P&amp;L (TAX)]] / SnapshotTable[[#This Row],[SC Basis]], ""))</f>
        <v/>
      </c>
      <c r="GK156" s="27" t="s">
        <v>698</v>
      </c>
      <c r="GL156" s="43" t="str">
        <f>IF(AND(SnapshotTable[[#This Row],[LP Exp Date]]&gt;0,SnapshotTable[[#This Row],[LP Strike Price]]&gt;0), [1]!ToOptionSymbol(SnapshotTable[[#This Row],[Symbol]], SnapshotTable[[#This Row],[LP Strike Price]],SnapshotTable[[#This Row],[LP Exp Date]],1), "")</f>
        <v/>
      </c>
      <c r="GM156" s="30" t="str">
        <f>IF(LEN(SnapshotTable[[#This Row],[LP Symbol]])&gt;0, 1, "")</f>
        <v/>
      </c>
      <c r="GN156" s="43" t="str">
        <f>IF(AND(SnapshotTable[[#This Row],[SP Exp Date]]&gt;0,SnapshotTable[[#This Row],[SP Strike Price]]&gt;0), [1]!ToOptionSymbol(SnapshotTable[[#This Row],[Symbol]], SnapshotTable[[#This Row],[SP Strike Price]],SnapshotTable[[#This Row],[SP Exp Date]],1), "")</f>
        <v/>
      </c>
      <c r="GO156" s="30" t="str">
        <f>IF(LEN(SnapshotTable[[#This Row],[SP Symbol]])&gt;0, 1, "")</f>
        <v/>
      </c>
      <c r="GP156" s="43" t="str">
        <f>IF(AND(SnapshotTable[[#This Row],[LC Exp Date]]&gt;0,SnapshotTable[[#This Row],[LC Strike Price]]&gt;0), [1]!ToOptionSymbol(SnapshotTable[[#This Row],[Symbol]], SnapshotTable[[#This Row],[LC Strike Price]],SnapshotTable[[#This Row],[LC Exp Date]],0), "")</f>
        <v/>
      </c>
      <c r="GQ156" s="30" t="str">
        <f>IF(LEN(SnapshotTable[[#This Row],[LC Symbol]])&gt;0, 1, "")</f>
        <v/>
      </c>
      <c r="GR156" s="43" t="str">
        <f>IF(AND(SnapshotTable[[#This Row],[SC Exp Date]]&gt;0,SnapshotTable[[#This Row],[SC Strike Price]]&gt;0), [1]!ToOptionSymbol(SnapshotTable[[#This Row],[Symbol]], SnapshotTable[[#This Row],[SC Strike Price]],SnapshotTable[[#This Row],[SC Exp Date]],0), "")</f>
        <v/>
      </c>
      <c r="GS156" s="30" t="str">
        <f>IF(LEN(SnapshotTable[[#This Row],[SC Symbol]])&gt;0, 1, "")</f>
        <v/>
      </c>
      <c r="GT156" s="29" t="str">
        <f>IF(COUNT(SnapshotTable[[#This Row],[LP Symbol Count]],SnapshotTable[[#This Row],[SP Symbol Count]],SnapshotTable[[#This Row],[LC Symbol Count]],SnapshotTable[[#This Row],[SC Symbol Count]])&gt;0, "Y", "")</f>
        <v/>
      </c>
      <c r="GU15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6" s="231" t="e">
        <f>MAX(SnapshotTable[[#This Row],[Equity Basis Total]],SnapshotTable[[#This Row],[Equity Value]]) + (SnapshotTable[[#This Row],[SP Potential Spend]]- SnapshotTable[[#This Row],[SP Premium]] + SnapshotTable[[#This Row],[LP Premium]])+ (SnapshotTable[[#This Row],[LC Premium]] - SnapshotTable[[#This Row],[SC Premium]])</f>
        <v>#VALUE!</v>
      </c>
      <c r="GW156" s="139" t="e">
        <f>IF(AND(SnapshotTable[[#This Row],[Exposure]] &lt;&gt; 0),SnapshotTable[[#This Row],[Exposure]] / SnapshotTable[[#Totals],[Exposure]], "")</f>
        <v>#VALUE!</v>
      </c>
      <c r="HE156" s="268"/>
      <c r="HF156" s="268"/>
      <c r="HK156" s="1"/>
      <c r="HL156" s="1"/>
      <c r="HM156" s="1"/>
      <c r="HN156" s="1"/>
      <c r="HO156" s="1"/>
      <c r="HP156" s="1"/>
    </row>
    <row r="157" spans="2:224" ht="12.75" hidden="1" customHeight="1" x14ac:dyDescent="0.25">
      <c r="B157" s="12" t="s">
        <v>569</v>
      </c>
      <c r="C157" s="422">
        <v>36.619999999999997</v>
      </c>
      <c r="D157" s="208"/>
      <c r="E157" s="39">
        <f>SnapshotTable[[#This Row],[Last Price]]*(1 -CrashDiscount)</f>
        <v>31.126999999999995</v>
      </c>
      <c r="F157" s="26" t="s">
        <v>5</v>
      </c>
      <c r="G157" s="26" t="s">
        <v>4</v>
      </c>
      <c r="H157" s="149"/>
      <c r="I157" s="194">
        <v>44775.270833333336</v>
      </c>
      <c r="J157" s="195">
        <v>44775.270833333336</v>
      </c>
      <c r="K157" s="196"/>
      <c r="L157" s="326"/>
      <c r="M157" s="140"/>
      <c r="N157" s="140"/>
      <c r="O157" s="140"/>
      <c r="P157" s="22"/>
      <c r="Q157" s="25"/>
      <c r="R157" s="4" t="str">
        <f>IF(SnapshotTable[[#This Row],[Equity Basis Total]] &gt; 0, SnapshotTable[[#This Row],[Equity Basis Total]] / SnapshotTable[[#This Row],[Equity Shares]], "")</f>
        <v/>
      </c>
      <c r="S157" s="269">
        <f>SnapshotTable[[#This Row],[Last Price]] * SnapshotTable[[#This Row],[Equity Shares]]</f>
        <v>0</v>
      </c>
      <c r="T157" s="269">
        <f>SnapshotTable[[#This Row],[Equity Value]] - SnapshotTable[[#This Row],[Equity Basis Total]]</f>
        <v>0</v>
      </c>
      <c r="U157" s="270" t="str">
        <f>IF(SnapshotTable[[#This Row],[Equity Basis Total]] &gt; 0, SnapshotTable[[#This Row],[Equity G/L]] / SnapshotTable[[#This Row],[Equity Basis Total]], "")</f>
        <v/>
      </c>
      <c r="V157" s="268"/>
      <c r="W157" s="268"/>
      <c r="X157" s="4" t="str">
        <f>IF(AND(ISNUMBER(SnapshotTable[[#This Row],[Equity Basis Per Share]]),ISNUMBER(SnapshotTable[[#This Row],[Equity Target]])),SnapshotTable[[#This Row],[Equity Target]]-SnapshotTable[[#This Row],[Equity Basis Per Share]],"")</f>
        <v/>
      </c>
      <c r="Y157" s="4" t="str">
        <f>IF(AND(ISNUMBER(SnapshotTable[[#This Row],[Equity Basis Per Share]]),ISNUMBER(SnapshotTable[[#This Row],[Equity Stop Loss]])),SnapshotTable[[#This Row],[Equity Stop Loss]]-SnapshotTable[[#This Row],[Equity Basis Per Share]],"")</f>
        <v/>
      </c>
      <c r="Z157" s="275" t="str">
        <f>IFERROR( TEXT(SnapshotTable[[#This Row],[Equity Max Gain Per Share]] /ABS( SnapshotTable[[#This Row],[Equity Max Loss Per Share]]),"0.0 " ) &amp; " : 1", "")</f>
        <v/>
      </c>
      <c r="AA157" s="31" t="str">
        <f>IF(ISNUMBER(SnapshotTable[[#This Row],[Equity Max Gain Per Share]]),SnapshotTable[[#This Row],[Equity Max Gain Per Share]] * SnapshotTable[[#This Row],[Equity Shares]],"")</f>
        <v/>
      </c>
      <c r="AB157" s="31" t="str">
        <f>IF(ISNUMBER(SnapshotTable[[#This Row],[Equity Max Loss Per Share]]),SnapshotTable[[#This Row],[Equity Max Loss Per Share]] * SnapshotTable[[#This Row],[Equity Shares]],"")</f>
        <v/>
      </c>
      <c r="AC157" s="150"/>
      <c r="AD157" s="151"/>
      <c r="AE157" s="31">
        <f>(SnapshotTable[[#This Row],[Annual Dividend Per Share]] / 4) * SnapshotTable[[#This Row],[Equity Shares]]</f>
        <v>0</v>
      </c>
      <c r="AF157" s="31">
        <f>SnapshotTable[[#This Row],[Quarterly Div $]] * 4</f>
        <v>0</v>
      </c>
      <c r="AG157" s="7">
        <f>IF(SnapshotTable[[#This Row],[Annual Dividend Per Share]]&gt;0, SnapshotTable[[#This Row],[Annual Dividend Per Share]]  / SnapshotTable[[#This Row],[Last Price]], 0)</f>
        <v>0</v>
      </c>
      <c r="AH157" s="151"/>
      <c r="AI157" s="5"/>
      <c r="AJ157" s="138" t="s">
        <v>164</v>
      </c>
      <c r="AK157" s="152" t="str">
        <f>IF(ISNUMBER( SnapshotTable[[#This Row],[EBF Target]]),(SnapshotTable[[#This Row],[EBF Target]] - SnapshotTable[[#This Row],[Last Price]]) / SnapshotTable[[#This Row],[Last Price]], "")</f>
        <v/>
      </c>
      <c r="AL157" s="152" t="str">
        <f>IF(AND(SnapshotTable[[#This Row],[Equity Basis Total]] &gt; 0,ISNUMBER( SnapshotTable[[#This Row],[Long Term Target]])), SnapshotTable[[#This Row],[From Basis $]] / SnapshotTable[[#This Row],[Equity Basis Total]], "")</f>
        <v/>
      </c>
      <c r="AM157" s="9">
        <f>IF( AND(SnapshotTable[[#This Row],[Equity Shares]] &gt;0,ISNUMBER( SnapshotTable[[#This Row],[Long Term Target]])),(SnapshotTable[[#This Row],[Equity Shares]] * SnapshotTable[[#This Row],[Long Term Target]]) - SnapshotTable[[#This Row],[Equity Basis Total]],0)</f>
        <v>0</v>
      </c>
      <c r="AN157" s="9">
        <f>IF( AND(SnapshotTable[[#This Row],[Equity Shares]] &gt;0,ISNUMBER( SnapshotTable[[#This Row],[Long Term Target]])),(SnapshotTable[[#This Row],[Equity Shares]]*SnapshotTable[[#This Row],[Long Term Target]]) - SnapshotTable[[#This Row],[Equity Value]],0)</f>
        <v>0</v>
      </c>
      <c r="AO157" s="152" t="str">
        <f>IF(AND(ISNUMBER( SnapshotTable[[#This Row],[Long Term Target]]), ISNUMBER(SnapshotTable[[#This Row],[Last Price]])),(SnapshotTable[[#This Row],[Long Term Target]] - SnapshotTable[[#This Row],[Last Price]]) / SnapshotTable[[#This Row],[Last Price]], "")</f>
        <v/>
      </c>
      <c r="AP157" s="5">
        <v>40.5</v>
      </c>
      <c r="AQ157" s="38" t="s">
        <v>38</v>
      </c>
      <c r="AR157" s="5">
        <v>40.5</v>
      </c>
      <c r="AS157" s="38" t="s">
        <v>26</v>
      </c>
      <c r="AT157" s="146" t="s">
        <v>538</v>
      </c>
      <c r="AU157" s="187" t="str">
        <f>IF(OR(SnapshotTable[[#This Row],[LP No Fill]]="Y",SnapshotTable[[#This Row],[SP Is Filled]],SnapshotTable[[#This Row],[LC Not Filled]]="Y",SnapshotTable[[#This Row],[SC Is Filled]]),"Y","")</f>
        <v/>
      </c>
      <c r="AV157" s="219"/>
      <c r="AW157" s="225"/>
      <c r="AX157" s="220"/>
      <c r="AY157" s="219" t="str">
        <f>IF(SnapshotTable[[#This Row],[Implied Move]]&gt;0, SnapshotTable[[#This Row],[Last Price]]-SnapshotTable[[#This Row],[Implied Move]],"")</f>
        <v/>
      </c>
      <c r="AZ157" s="219" t="str">
        <f>IF(SnapshotTable[[#This Row],[Implied Move]]&gt;0, SnapshotTable[[#This Row],[Last Price]] + SnapshotTable[[#This Row],[Implied Move]],"")</f>
        <v/>
      </c>
      <c r="BA157" s="331"/>
      <c r="BB157" s="347"/>
      <c r="BC15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7" s="351"/>
      <c r="BE157" s="168"/>
      <c r="BF157" s="169"/>
      <c r="BG157" s="170"/>
      <c r="BH157" s="170"/>
      <c r="BI157" s="5"/>
      <c r="BJ157" s="153">
        <f>IF(SnapshotTable[[#This Row],[LP Qty]] &gt; 0, SnapshotTable[[#This Row],[LP Qty]] * SnapshotTable[[#This Row],[LP Book Price]] * 100,0)</f>
        <v>0</v>
      </c>
      <c r="BK157" s="136">
        <f>IF(SnapshotTable[[#This Row],[LP Premium]] &gt; 0, SnapshotTable[[#This Row],[LP Qty]] * SnapshotTable[[#This Row],[LP Strike Price]] * 100,0)</f>
        <v>0</v>
      </c>
      <c r="BL157" s="154"/>
      <c r="BM157" s="385" t="str">
        <f>IF(SnapshotTable[[#This Row],[LP Premium]] &gt; 0,SnapshotTable[[#This Row],[LP Exp Date]]-MAX(SnapshotTable[[#This Row],[LP Book Date]], SnapshotTable[[#This Row],[LP Fill Date]]),"")</f>
        <v/>
      </c>
      <c r="BN157" s="385" t="str">
        <f>IF(ISNUMBER( SnapshotTable[[#This Row],[LP Term]]), SnapshotTable[[#This Row],[LP Exp Date]] - MockToday,"")</f>
        <v/>
      </c>
      <c r="BO157" s="163" t="str">
        <f>IF(AND(SnapshotTable[[#This Row],[LP Exp Date]]&gt;0, SnapshotTable[[#This Row],[LP Strike Price]]&gt;0,SnapshotTable[[#This Row],[LP Qty]]&gt;0,SnapshotTable[[#This Row],[LP Book Date]]&gt;0,SnapshotTable[[#This Row],[LP Book Price]]&gt;0,SnapshotTable[[#This Row],[LP Fill Date]]=0),"Y","")</f>
        <v/>
      </c>
      <c r="BP157" s="31" t="str">
        <f>IF(AND(SnapshotTable[[#This Row],[LP No Fill]]&lt;&gt;"Y",SnapshotTable[[#This Row],[LP Contract Value]]&gt;0, SnapshotTable[[#This Row],[LP Qty]]&gt;0), SnapshotTable[[#This Row],[LP Contract Value]]*SnapshotTable[[#This Row],[LP Qty]]*100,"")</f>
        <v/>
      </c>
      <c r="BQ157" s="13"/>
      <c r="BR157" s="5" t="str">
        <f>IF(SnapshotTable[[#This Row],[SP Exp Date]]&lt;&gt;"",TRUNC(SnapshotTable[[#This Row],[Last Price]]),"")</f>
        <v/>
      </c>
      <c r="BS157" s="36"/>
      <c r="BT157" s="147"/>
      <c r="BU157" s="13"/>
      <c r="BV157" s="5"/>
      <c r="BW157" s="419" t="b">
        <f>AND(ISNUMBER(SnapshotTable[[#This Row],[SP Exp Date]]), ISNUMBER(SnapshotTable[[#This Row],[SP Strike Price]]), ISNUMBER(SnapshotTable[[#This Row],[SP Qty]]), ISNUMBER(SnapshotTable[[#This Row],[SP Book Date]]), ISNUMBER(SnapshotTable[[#This Row],[SP Book Price]]))</f>
        <v>0</v>
      </c>
      <c r="BX157" s="419" t="b">
        <f>AND(SnapshotTable[[#This Row],[SP Is Booked]], NOT(ISBLANK(SnapshotTable[[#This Row],[SP Fill Date]])))</f>
        <v>0</v>
      </c>
      <c r="BY157" s="33">
        <f>IF(SnapshotTable[[#This Row],[SP Is Booked]], SnapshotTable[[#This Row],[SP Qty]] * SnapshotTable[[#This Row],[SP Book Price]] * 100, 0)</f>
        <v>0</v>
      </c>
      <c r="BZ157" s="369"/>
      <c r="CA157" s="368">
        <f>SnapshotTable[[#This Row],[LP Qty]]</f>
        <v>0</v>
      </c>
      <c r="CB157" s="4" t="str">
        <f>IF(SnapshotTable[[#This Row],[SP Is Booked]], SnapshotTable[[#This Row],[SP Strike Price]] - SnapshotTable[[#This Row],[SP Book Price]], "")</f>
        <v/>
      </c>
      <c r="CC157" s="19" t="str">
        <f>IF(SnapshotTable[[#This Row],[SP Is Booked]],SnapshotTable[[#This Row],[SP Exp Date]]-MAX(SnapshotTable[[#This Row],[SP Book Date]], SnapshotTable[[#This Row],[SP Fill Date]]),"")</f>
        <v/>
      </c>
      <c r="CD157" s="7" t="str">
        <f>IF(SnapshotTable[[#This Row],[SP Is Booked]], SnapshotTable[[#This Row],[SP Book Price]]/SnapshotTable[[#This Row],[SP Strike Price]], "")</f>
        <v/>
      </c>
      <c r="CE157" s="7" t="str">
        <f>IF(ISNUMBER(SnapshotTable[[#This Row],[SP ROO Term]]),SnapshotTable[[#This Row],[SP ROO Term]]*(365/SnapshotTable[[#This Row],[SP Term]]),"")</f>
        <v/>
      </c>
      <c r="CF157" s="236">
        <f>SnapshotTable[[#This Row],[LP Strike Price]] * SnapshotTable[[#This Row],[LP Qty]] * 100</f>
        <v>0</v>
      </c>
      <c r="CG157" s="31" t="e">
        <f>IF(ISNUMBER(SnapshotTable[[#This Row],[SP Premium]]), (SnapshotTable[[#This Row],[SP Qty]] * SnapshotTable[[#This Row],[SP Strike Price]]* 100) - SnapshotTable[[#This Row],[LP Protection]], 0)</f>
        <v>#VALUE!</v>
      </c>
      <c r="CH157" s="7" t="str">
        <f>IF(ISNUMBER(SnapshotTable[[#This Row],[SP Break Even]]),-1 * (SnapshotTable[[#This Row],[SP Break Even]] - SnapshotTable[[#This Row],[Last Price]]) / SnapshotTable[[#This Row],[Last Price]], "")</f>
        <v/>
      </c>
      <c r="CI157" s="31">
        <f>IF(AND(ISNUMBER((SnapshotTable[[#This Row],[SP Potential Spend]])), SnapshotTable[[#This Row],[SP Strike Price]] &gt; SnapshotTable[[#This Row],[Last Price]], SnapshotTable[[#This Row],[SP Is Filled]]), SnapshotTable[[#This Row],[SP Potential Spend]] -  SnapshotTable[[#This Row],[LP Max Value]], 0)</f>
        <v>0</v>
      </c>
      <c r="CJ157" s="244"/>
      <c r="CK157" s="31" t="str">
        <f>IF(ISNUMBER(SnapshotTable[[#This Row],[SP Potential Spend]]),IF(ISNUMBER(SnapshotTable[[#This Row],[SP POW]]), SnapshotTable[[#This Row],[SP POW]] * SnapshotTable[[#This Row],[SP Potential Spend]], SnapshotTable[[#This Row],[SP Potential Spend]]), "")</f>
        <v/>
      </c>
      <c r="CL157" s="164" t="e">
        <f>IF(NOT(SnapshotTable[[#This Row],[SP Is Filled]]),(SnapshotTable[[#This Row],[SP Qty]] * SnapshotTable[[#This Row],[SP Strike Price]] * 100) - SnapshotTable[[#This Row],[LP Max Value]],"")</f>
        <v>#VALUE!</v>
      </c>
      <c r="CM157" s="31" t="str">
        <f>IF(SnapshotTable[[#This Row],[SP Actual Spend]]&lt;&gt;0, ((SnapshotTable[[#This Row],[SP Strike Price]]-SnapshotTable[[#This Row],[Last Price]]) *(SnapshotTable[[#This Row],[SP Qty]]*100) - SnapshotTable[[#This Row],[SP Premium]]) * - 1, "")</f>
        <v/>
      </c>
      <c r="CN157" s="154"/>
      <c r="CO157" s="369"/>
      <c r="CP157" s="4" t="str">
        <f>IF(SnapshotTable[[#This Row],[SP Is Filled]], btc_max_buyback_amount(SnapshotTable[[#This Row],[SP Fill Date]],SnapshotTable[[#This Row],[SP Exp Date]], SnapshotTable[[#This Row],[SP Book Price]]),"")</f>
        <v/>
      </c>
      <c r="CQ157" s="78"/>
      <c r="CR15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7" s="155" t="str">
        <f>IF(SnapshotTable[[#This Row],[SP Is Filled]], btc_next_cutoff_date(SnapshotTable[[#This Row],[SP Fill Date]],SnapshotTable[[#This Row],[SP Exp Date]]),"")</f>
        <v/>
      </c>
      <c r="CT157" s="235" t="str" cm="1">
        <f t="array" ref="CT157">IF(SnapshotTable[[#This Row],[SP Is Filled]], btc_should_buy_back(SnapshotTable[[#This Row],[SP Fill Date]], SnapshotTable[[#This Row],[SP Exp Date]], SnapshotTable[[#This Row],[SP Book Price]], SnapshotTable[[#This Row],[SP Current Ask]], MockToday, SnapshotTable[[#This Row],[SP Buyback Override]]),"")</f>
        <v/>
      </c>
      <c r="CU157" s="156"/>
      <c r="CV157" s="235"/>
      <c r="CW157" s="378" t="str">
        <f>IF(ISNUMBER( SnapshotTable[[#This Row],[SP Term]]), SnapshotTable[[#This Row],[SP Exp Date]] - MockToday,"")</f>
        <v/>
      </c>
      <c r="CX157" s="31" t="str">
        <f>IF(SnapshotTable[[#This Row],[SP Is Filled]],SnapshotTable[[#This Row],[SP Buyback Price to Use]] * 100 * SnapshotTable[[#This Row],[SP Qty]], "")</f>
        <v/>
      </c>
      <c r="CY157" s="4" t="str">
        <f>IF(ISNUMBER(SnapshotTable[[#This Row],[SP Strike Price]]), SnapshotTable[[#This Row],[SP Strike Price]] * (1 - SP_MaxLoss_StrikePct), "")</f>
        <v/>
      </c>
      <c r="CZ157" s="31" t="str">
        <f>IF(ISNUMBER(SnapshotTable[[#This Row],[SP Strike  Stop Per Share]]),SnapshotTable[[#This Row],[SP Premium]] - ((SnapshotTable[[#This Row],[SP Strike Price]]-SnapshotTable[[#This Row],[SP Strike  Stop Per Share]]) *(SnapshotTable[[#This Row],[SP Qty]] * 100)),"")</f>
        <v/>
      </c>
      <c r="DA157" s="4" t="str">
        <f>IF(AND(ISNUMBER(SnapshotTable[[#This Row],[SP Premium]]),SnapshotTable[[#This Row],[SP Premium]]&gt;0), SnapshotTable[[#This Row],[SP Book Price]] * (1 + SP_MaxLoss_OptionPct), "")</f>
        <v/>
      </c>
      <c r="DB157" s="31" t="str">
        <f>IF(ISNUMBER(SnapshotTable[[#This Row],[SP Option  Stop Contract]]),(SnapshotTable[[#This Row],[SP Option  Stop Contract]] *(SnapshotTable[[#This Row],[SP Qty]] * 100) - SnapshotTable[[#This Row],[SP Premium]]),"")</f>
        <v/>
      </c>
      <c r="DC157" s="4"/>
      <c r="DD157" s="4"/>
      <c r="DE157" s="4" t="str">
        <f>IF(AND(SnapshotTable[[#This Row],[SP Qty]]&gt;0, SnapshotTable[[#This Row],[SP Stop To Use]]&gt;0),SnapshotTable[[#This Row],[SP Premium]] - ( SnapshotTable[[#This Row],[SP Qty]] * SnapshotTable[[#This Row],[SP Stop To Use]] * 100), "")</f>
        <v/>
      </c>
      <c r="DF157" s="31" t="str">
        <f>IF(AND(SnapshotTable[[#This Row],[SP Qty]]&gt;0,SnapshotTable[[#This Row],[SP Current Ask]]&gt;0), SnapshotTable[[#This Row],[SP Qty]] * SnapshotTable[[#This Row],[SP Current Ask]] * -100, "")</f>
        <v/>
      </c>
      <c r="DG157" s="31" t="str">
        <f>IF(ISNUMBER((SnapshotTable[[#This Row],[SP Total Value]])), SnapshotTable[[#This Row],[SP Premium]] + SnapshotTable[[#This Row],[SP Total Value]], "")</f>
        <v/>
      </c>
      <c r="DH157" s="294" t="str">
        <f>IF(ISNUMBER((SnapshotTable[[#This Row],[SP Total Value]])), SnapshotTable[[#This Row],[SP Gain Loss]] / SnapshotTable[[#This Row],[SP Premium]], "")</f>
        <v/>
      </c>
      <c r="DI157" s="406"/>
      <c r="DJ157" s="138"/>
      <c r="DK157" s="148"/>
      <c r="DL157" s="13"/>
      <c r="DM157" s="13"/>
      <c r="DO157" s="31">
        <f>IF(SnapshotTable[[#This Row],[LC Symbol Count]]=1, SnapshotTable[[#This Row],[LC Qty]] * SnapshotTable[[#This Row],[LC Book Price]] * 100, 0)</f>
        <v>0</v>
      </c>
      <c r="DP157" s="163" t="str">
        <f>IF(AND(SnapshotTable[[#This Row],[LC Exp Date]]&gt;0, SnapshotTable[[#This Row],[LC Strike Price]]&gt;0,SnapshotTable[[#This Row],[LC Qty]]&gt;0,SnapshotTable[[#This Row],[LC Book Date]]&gt;0,SnapshotTable[[#This Row],[LC Book Price]]&gt;0,SnapshotTable[[#This Row],[LC Fill Date]]=0),"Y","")</f>
        <v/>
      </c>
      <c r="DQ157" s="386" t="str">
        <f>IF(SnapshotTable[[#This Row],[LC Premium]] &gt; 0,SnapshotTable[[#This Row],[LC Exp Date]]-MAX(SnapshotTable[[#This Row],[LC Book Date]], SnapshotTable[[#This Row],[LC Fill Date]]),"")</f>
        <v/>
      </c>
      <c r="DR157" s="386" t="str">
        <f>IF(ISNUMBER(SnapshotTable[[#This Row],[LC Term]]), SnapshotTable[[#This Row],[LC Exp Date]] - MockToday, "")</f>
        <v/>
      </c>
      <c r="DS157" s="234" t="str">
        <f>IF(SnapshotTable[[#This Row],[LC Premium]]&gt;0,SnapshotTable[[#This Row],[LC Strike Price]] + SnapshotTable[[#This Row],[LC Book Price]],"")</f>
        <v/>
      </c>
      <c r="DU157" s="9" t="str">
        <f>IF(AND(SnapshotTable[[#This Row],[LC Symbol Count]]&gt;0, SnapshotTable[[#This Row],[LC Contract Value]]&gt;0), SnapshotTable[[#This Row],[LC Contract Value]] * SnapshotTable[[#This Row],[LC Qty]] * 100, "")</f>
        <v/>
      </c>
      <c r="DV157" s="9" t="str">
        <f>IF(AND(ISNUMBER(SnapshotTable[[#This Row],[LC Total Value]]), SnapshotTable[[#This Row],[LC Not Filled]]&lt;&gt;"Y"), SnapshotTable[[#This Row],[LC Total Value]]-SnapshotTable[[#This Row],[LC Premium]],"")</f>
        <v/>
      </c>
      <c r="DW157" s="240" t="str">
        <f>IF(ISNUMBER(SnapshotTable[[#This Row],[LC Actual Gain Loss]]), SnapshotTable[[#This Row],[LC Actual Gain Loss]] / SnapshotTable[[#This Row],[LC Premium]],"")</f>
        <v/>
      </c>
      <c r="DX157" s="284" t="str">
        <f>IF(ISNUMBER(SnapshotTable[[#This Row],[LC Book Price]]),SnapshotTable[[#This Row],[LC Book Price]] * 1.5,"")</f>
        <v/>
      </c>
      <c r="DY157" s="265" t="str">
        <f>IF(SnapshotTable[[#This Row],[LC Premium]]&gt;0, SnapshotTable[[#This Row],[LC Next Target]] * SnapshotTable[[#This Row],[LC Qty]] * 100,"")</f>
        <v/>
      </c>
      <c r="DZ157" s="265" t="str">
        <f>IF(ISNUMBER(SnapshotTable[[#This Row],[LC Target Gross]]), SnapshotTable[[#This Row],[LC Target Gross]] - SnapshotTable[[#This Row],[LC Premium]], "")</f>
        <v/>
      </c>
      <c r="EA157" s="305" t="str">
        <f>IF(ISNUMBER(SnapshotTable[[#This Row],[LC Target Gain Loss]]), SnapshotTable[[#This Row],[LC Target Gain Loss]]/SnapshotTable[[#This Row],[LC Premium]], "")</f>
        <v/>
      </c>
      <c r="EB157" s="262"/>
      <c r="EC157" s="283" t="str">
        <f>IF(SnapshotTable[[#This Row],[LC Premium]]&gt;0, SnapshotTable[[#This Row],[LC Book Price]] * (1 - LC_StopLoss_Pct),"")</f>
        <v/>
      </c>
      <c r="ED157" s="284"/>
      <c r="EE157" s="283" t="str">
        <f>IF(ISNUMBER(SnapshotTable[[#This Row],[LC Contract Value]]),IF(ISNUMBER(SnapshotTable[[#This Row],[LC Stop Loss Override]]), SnapshotTable[[#This Row],[LC Stop Loss Override]],SnapshotTable[[#This Row],[LC Stop Loss Calc Target]]),"")</f>
        <v/>
      </c>
      <c r="EF157" s="31" t="str">
        <f>IF(ISNUMBER(SnapshotTable[[#This Row],[LC Stop  To Use]]), (SnapshotTable[[#This Row],[LC Stop  To Use]] * SnapshotTable[[#This Row],[LC Qty]] * 100),"")</f>
        <v/>
      </c>
      <c r="EG157" s="9" t="str">
        <f>IF(ISNUMBER(SnapshotTable[[#This Row],[LC Total Value]]),SnapshotTable[[#This Row],[LC Stop Loss Amount]] - SnapshotTable[[#This Row],[LC Premium]],"")</f>
        <v/>
      </c>
      <c r="EH157" s="9">
        <f>IF(ISNUMBER(SnapshotTable[[#This Row],[LC Premium]]), SnapshotTable[[#This Row],[LC Qty]] * 100 * SnapshotTable[[#This Row],[LC Strike Price]], "")</f>
        <v>0</v>
      </c>
      <c r="EI157" s="240" t="str">
        <f>IF(AND(ISNUMBER(SnapshotTable[[#This Row],[LC Total Value]]),SnapshotTable[[#This Row],[LC Total Value]]&gt;0),SnapshotTable[[#This Row],[LC Stop Gain Loss]]  / SnapshotTable[[#This Row],[LC Premium]],"")</f>
        <v/>
      </c>
      <c r="EJ157" s="35">
        <f>IF(ISNUMBER(SnapshotTable[[#This Row],[Equity Shares]]),TRUNC(SnapshotTable[[#This Row],[Equity Shares]] / 100),0) + SnapshotTable[[#This Row],[LC Qty]]</f>
        <v>0</v>
      </c>
      <c r="EK157" s="147"/>
      <c r="EL157" s="138" t="str">
        <f>IF(SnapshotTable[[#This Row],[SC Exp Date]]&lt;&gt;"",TRUNC(SnapshotTable[[#This Row],[Last Price]]),"")</f>
        <v/>
      </c>
      <c r="EM157" s="148"/>
      <c r="EN157" s="147"/>
      <c r="EO157" s="147"/>
      <c r="EP157" s="138"/>
      <c r="EQ157" s="419" t="b">
        <f>AND(ISNUMBER(SnapshotTable[[#This Row],[SC Exp Date]]), ISNUMBER(SnapshotTable[[#This Row],[SC Strike Price]]), ISNUMBER(SnapshotTable[[#This Row],[SC Qty]]), ISNUMBER(SnapshotTable[[#This Row],[SC Book Date]]), ISNUMBER(SnapshotTable[[#This Row],[SC Book Price]]))</f>
        <v>0</v>
      </c>
      <c r="ER157" s="419" t="b">
        <f>AND(SnapshotTable[[#This Row],[SC Is Booked]], NOT(ISBLANK(SnapshotTable[[#This Row],[SC Fill Date]])))</f>
        <v>0</v>
      </c>
      <c r="ES157" s="370"/>
      <c r="ET157" s="34" t="str">
        <f>IF(AND(ISNUMBER(SnapshotTable[[#This Row],[SC Exp Date]]), ISNUMBER(SnapshotTable[[#This Row],[SC Book Date]])), SnapshotTable[[#This Row],[SC Exp Date]] - MAX(SnapshotTable[[#This Row],[SC Book Date]], SnapshotTable[[#This Row],[SC Fill Date]]) + 1, "")</f>
        <v/>
      </c>
      <c r="EU157" s="34" t="str">
        <f>IF(ISNUMBER(SnapshotTable[[#This Row],[SC Term]]), SnapshotTable[[#This Row],[SC Exp Date]]- MockToday, "")</f>
        <v/>
      </c>
      <c r="EV157" s="31">
        <f>IF(SnapshotTable[[#This Row],[SC Is Booked]], SnapshotTable[[#This Row],[SC Qty]] * SnapshotTable[[#This Row],[SC Book Price]] * 100, 0)</f>
        <v>0</v>
      </c>
      <c r="EW157" s="4" t="str">
        <f>IF(AND(ISNUMBER(SnapshotTable[[#This Row],[Last Price]]), ISNUMBER( SnapshotTable[[#This Row],[SC Book Price]])), SnapshotTable[[#This Row],[Last Price]] - SnapshotTable[[#This Row],[SC Book Price]],"")</f>
        <v/>
      </c>
      <c r="EX157" s="234" t="str">
        <f>IF(SnapshotTable[[#This Row],[SC Is Booked]],IF(SnapshotTable[[#This Row],[SC Intrinsic Value]] &gt; 0, SnapshotTable[[#This Row],[SC Strike Price]], SnapshotTable[[#This Row],[Last Price]]), "")</f>
        <v/>
      </c>
      <c r="EY157" s="4">
        <f>IF(SnapshotTable[[#This Row],[SC Is Booked]], (MinimumPremiumRequired * SnapshotTable[[#This Row],[SC Basis]] * SnapshotTable[[#This Row],[SC Term]]), 0)</f>
        <v>0</v>
      </c>
      <c r="EZ157" s="283"/>
      <c r="FA157" s="218"/>
      <c r="FB157" s="370"/>
      <c r="FC157" s="4">
        <f>IF(SnapshotTable[[#This Row],[SC Is Filled]], btc_max_buyback_amount(SnapshotTable[[#This Row],[SC Fill Date]],SnapshotTable[[#This Row],[SC Exp Date]], SnapshotTable[[#This Row],[SC Book Price]]),0)</f>
        <v>0</v>
      </c>
      <c r="FD157" s="5"/>
      <c r="FE157" s="144" t="str">
        <f>IF(SnapshotTable[[#This Row],[SC Is Filled]], btc_next_cutoff_date(SnapshotTable[[#This Row],[SC Fill Date]],SnapshotTable[[#This Row],[SC Exp Date]]),"")</f>
        <v/>
      </c>
      <c r="FF157" s="4" t="str" cm="1">
        <f t="array" ref="FF157">IF(SnapshotTable[[#This Row],[SC Is Filled]], btc_should_buy_back(SnapshotTable[[#This Row],[SC Fill Date]], SnapshotTable[[#This Row],[SC Exp Date]], SnapshotTable[[#This Row],[SC Book Price]], SnapshotTable[[#This Row],[SC Current Ask]], MockToday, SnapshotTable[[#This Row],[SC Buyback Override]]),"")</f>
        <v/>
      </c>
      <c r="FG157" s="4">
        <f>IF(SnapshotTable[[#This Row],[SC Is Filled]], MAX(0,SnapshotTable[[#This Row],[Last Price]]  - SnapshotTable[[#This Row],[SC Strike Price]]), 0)</f>
        <v>0</v>
      </c>
      <c r="FH157" s="382">
        <f>IF(SnapshotTable[[#This Row],[SC Is Filled]], IF(ISNUMBER(SnapshotTable[[#This Row],[SC Current Ask]]), SnapshotTable[[#This Row],[SC Current Ask]], SnapshotTable[[#This Row],[SC Book Price]]) - SnapshotTable[[#This Row],[SC Intrinsic Value]], 0)</f>
        <v>0</v>
      </c>
      <c r="FI157" s="143"/>
      <c r="FJ157" s="32" t="str">
        <f>IF(SnapshotTable[[#This Row],[SC Is Filled]],100 * SnapshotTable[[#This Row],[SC Qty]] * IF(ISNUMBER(SnapshotTable[[#This Row],[SC Buyback Override]]), SnapshotTable[[#This Row],[SC Buyback Override]], SnapshotTable[[#This Row],[SC Current Ask]]), "")</f>
        <v/>
      </c>
      <c r="FK157" s="250" t="str">
        <f>IF(SnapshotTable[[#This Row],[SC Time Val]]&gt;0, SnapshotTable[[#This Row],[SC Time Val]] / SnapshotTable[[#This Row],[Last Price]],"")</f>
        <v/>
      </c>
      <c r="FL157" s="302" t="str">
        <f>IF(SnapshotTable[[#This Row],[SC Is Booked]], ((SnapshotTable[[#This Row],[Last Price]] -SnapshotTable[[#This Row],[SC Strike Price]]) / SnapshotTable[[#This Row],[Last Price]]) * -1, "")</f>
        <v/>
      </c>
      <c r="FM157" s="157" t="str">
        <f>IF(SnapshotTable[[#This Row],[SC Is Booked]],  (SnapshotTable[[#This Row],[SC Qty]] * 100 * SnapshotTable[[#This Row],[SC Strike Price]]) - SnapshotTable[[#This Row],[SC Current Ask]], "")</f>
        <v/>
      </c>
      <c r="FN157"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7" s="157" t="str">
        <f>IF(AND(ISNUMBER(SnapshotTable[[#This Row],[SC Exercise Gross]]), ISNUMBER(SnapshotTable[[#This Row],[Equity Basis Per Share]] )), SnapshotTable[[#This Row],[SC Exercise Gross]] - SnapshotTable[[#This Row],[Equity Basis Total]] +  SnapshotTable[[#This Row],[SC Premium]], "")</f>
        <v/>
      </c>
      <c r="FP157" s="5" t="str">
        <f>IF(ISNUMBER(SnapshotTable[[#This Row],[SC Exercise Gross]]), (SnapshotTable[[#This Row],[SC Exercise Gross]]) / (SnapshotTable[[#This Row],[SC Qty]] * 100), "")</f>
        <v/>
      </c>
      <c r="FQ157" s="27" t="str">
        <f>IF(SnapshotTable[[#This Row],[SC Is Booked]],SnapshotTable[[#This Row],[SC Time Val]] /SnapshotTable[[#This Row],[SC Basis]], "")</f>
        <v/>
      </c>
      <c r="FR157" s="27" t="str" cm="1">
        <f t="array" ref="FR157">IF(AND(ISNUMBER(SnapshotTable[[#This Row],[SC Term]]),ISNUMBER(SnapshotTable[[#This Row],[SC Simple ROO]])), EllmanAnnualize(SnapshotTable[[#This Row],[SC DTE]], SnapshotTable[[#This Row],[SC Simple ROO]] ),"")</f>
        <v/>
      </c>
      <c r="FS157" s="4" t="e">
        <f>IF(SnapshotTable[[#This Row],[SC Strike Price]] &gt; SnapshotTable[[#This Row],[Last Price]], SnapshotTable[[#This Row],[SC Strike Price]] - SnapshotTable[[#This Row],[Last Price]],0)</f>
        <v>#VALUE!</v>
      </c>
      <c r="FT157" s="27" t="e">
        <f>IF(AND(ISNUMBER(SnapshotTable[[#This Row],[SC Upside Potential]]), SnapshotTable[[#This Row],[SC Upside Potential]] &gt; 0),(SnapshotTable[[#This Row],[SC Upside Potential]]/ SnapshotTable[[#This Row],[ACB]]),"")</f>
        <v>#VALUE!</v>
      </c>
      <c r="FU157" s="333" t="str">
        <f>IF(SnapshotTable[[#This Row],[SC Intrinsic Value]] &gt; 0,SnapshotTable[[#This Row],[SC Intrinsic Value]],"")</f>
        <v/>
      </c>
      <c r="FV157" s="27" t="str">
        <f>IF(AND( ISNUMBER( SnapshotTable[[#This Row],[ACB]]),ISNUMBER(SnapshotTable[[#This Row],[SC Downside Protect]])),SnapshotTable[[#This Row],[SC Downside Protect]] / SnapshotTable[[#This Row],[ACB]],"")</f>
        <v/>
      </c>
      <c r="FW157" s="236" t="str">
        <f>IF(AND(ISNUMBER(SnapshotTable[[#This Row],[SC Simple ROO]]),SnapshotTable[[#This Row],[SC Simple ROO]] &gt; 0), SnapshotTable[[#This Row],[SC Premium]] + (SnapshotTable[[#This Row],[SC Qty]] * SnapshotTable[[#This Row],[SC Upside Potential]]), "")</f>
        <v/>
      </c>
      <c r="FX157" s="302" t="str" cm="1">
        <f t="array" ref="FX157">IF(ISNUMBER(SnapshotTable[[#This Row],[SC Max Dollars]]), annualize(SnapshotTable[[#This Row],[SC Term]],(SnapshotTable[[#This Row],[SC Max Dollars]]/SnapshotTable[[#This Row],[SC Basis]])),"")</f>
        <v/>
      </c>
      <c r="FY157" s="236" t="str">
        <f>IF(AND(SnapshotTable[[#This Row],[SC Qty]]&gt;0,SnapshotTable[[#This Row],[SC Current Ask]]&gt;0), SnapshotTable[[#This Row],[SC Qty]] * SnapshotTable[[#This Row],[SC Current Ask]] * -100, "")</f>
        <v/>
      </c>
      <c r="FZ157" s="31" t="str">
        <f>IF(ISNUMBER((SnapshotTable[[#This Row],[SC Current Value]])), SnapshotTable[[#This Row],[SC Premium]] + SnapshotTable[[#This Row],[SC Current Value]], "")</f>
        <v/>
      </c>
      <c r="GA157" s="294" t="str">
        <f>IFERROR( IF(ISNUMBER((SnapshotTable[[#This Row],[SC Current Value]])), SnapshotTable[[#This Row],[SC Gain Loss]] / SnapshotTable[[#This Row],[SC Premium]], ""), "")</f>
        <v/>
      </c>
      <c r="GB157" s="171">
        <f>SnapshotTable[[#This Row],[Equity Shares]] * SaleSharesToConsiderPercentage</f>
        <v>0</v>
      </c>
      <c r="GC157" s="172" t="e">
        <f>SnapshotTable[[#This Row],[Long Term Target]] * SellingPriceToConsiderBasedOnTargetPercentage</f>
        <v>#VALUE!</v>
      </c>
      <c r="GD157" s="172">
        <f>SnapshotTable[[#This Row],[Last Price]] * (1+ SellingPriceToConsiderBasedOnTargetPercentage)</f>
        <v>71.408999999999992</v>
      </c>
      <c r="GE157" s="173"/>
      <c r="GF157" s="172"/>
      <c r="GG157" s="31">
        <f>SnapshotTable[[#This Row],[Booked Sale Shares]] * SnapshotTable[[#This Row],[Booked Sale Price]]</f>
        <v>0</v>
      </c>
      <c r="GH157" s="31" t="str">
        <f>IF(SnapshotTable[[#This Row],[Equity Basis Total]] &gt; 0, SnapshotTable[[#This Row],[Equity Basis Per Share]] * SnapshotTable[[#This Row],[Booked Sale Shares]], "")</f>
        <v/>
      </c>
      <c r="GI157" s="31">
        <f>IF(SnapshotTable[[#This Row],[Sale Proceeds]]&gt;0, SnapshotTable[[#This Row],[Sale Proceeds]] - SnapshotTable[[#This Row],[Sale Basis]], 0)</f>
        <v>0</v>
      </c>
      <c r="GJ157" s="158" t="str">
        <f>IF(SnapshotTable[[#This Row],[Sale G/L]]&gt;0, SnapshotTable[[#This Row],[Sale G/L]] / SnapshotTable[[#This Row],[Sale Basis]], IF(ISNUMBER(SnapshotTable[[#This Row],[SC Exercise P&amp;L (TAX)]]), SnapshotTable[[#This Row],[SC Exercise P&amp;L (TAX)]] / SnapshotTable[[#This Row],[SC Basis]], ""))</f>
        <v/>
      </c>
      <c r="GK157" s="158" t="s">
        <v>699</v>
      </c>
      <c r="GL157" s="159" t="str">
        <f>IF(AND(SnapshotTable[[#This Row],[LP Exp Date]]&gt;0,SnapshotTable[[#This Row],[LP Strike Price]]&gt;0), [1]!ToOptionSymbol(SnapshotTable[[#This Row],[Symbol]], SnapshotTable[[#This Row],[LP Strike Price]],SnapshotTable[[#This Row],[LP Exp Date]],1), "")</f>
        <v/>
      </c>
      <c r="GM157" s="30" t="str">
        <f>IF(LEN(SnapshotTable[[#This Row],[LP Symbol]])&gt;0, 1, "")</f>
        <v/>
      </c>
      <c r="GN157" s="43" t="str">
        <f>IF(AND(SnapshotTable[[#This Row],[SP Exp Date]]&gt;0,SnapshotTable[[#This Row],[SP Strike Price]]&gt;0), [1]!ToOptionSymbol(SnapshotTable[[#This Row],[Symbol]], SnapshotTable[[#This Row],[SP Strike Price]],SnapshotTable[[#This Row],[SP Exp Date]],1), "")</f>
        <v/>
      </c>
      <c r="GO157" s="30" t="str">
        <f>IF(LEN(SnapshotTable[[#This Row],[SP Symbol]])&gt;0, 1, "")</f>
        <v/>
      </c>
      <c r="GP157" s="159" t="str">
        <f>IF(AND(SnapshotTable[[#This Row],[LC Exp Date]]&gt;0,SnapshotTable[[#This Row],[LC Strike Price]]&gt;0), [1]!ToOptionSymbol(SnapshotTable[[#This Row],[Symbol]], SnapshotTable[[#This Row],[LC Strike Price]],SnapshotTable[[#This Row],[LC Exp Date]],0), "")</f>
        <v/>
      </c>
      <c r="GQ157" s="160" t="str">
        <f>IF(LEN(SnapshotTable[[#This Row],[LC Symbol]])&gt;0, 1, "")</f>
        <v/>
      </c>
      <c r="GR157" s="159" t="str">
        <f>IF(AND(SnapshotTable[[#This Row],[SC Exp Date]]&gt;0,SnapshotTable[[#This Row],[SC Strike Price]]&gt;0), [1]!ToOptionSymbol(SnapshotTable[[#This Row],[Symbol]], SnapshotTable[[#This Row],[SC Strike Price]],SnapshotTable[[#This Row],[SC Exp Date]],0), "")</f>
        <v/>
      </c>
      <c r="GS157" s="160" t="str">
        <f>IF(LEN(SnapshotTable[[#This Row],[SC Symbol]])&gt;0, 1, "")</f>
        <v/>
      </c>
      <c r="GT157" s="161" t="str">
        <f>IF(COUNT(SnapshotTable[[#This Row],[LP Symbol Count]],SnapshotTable[[#This Row],[SP Symbol Count]],SnapshotTable[[#This Row],[LC Symbol Count]],SnapshotTable[[#This Row],[SC Symbol Count]])&gt;0, "Y", "")</f>
        <v/>
      </c>
      <c r="GU15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7" s="231" t="e">
        <f>MAX(SnapshotTable[[#This Row],[Equity Basis Total]],SnapshotTable[[#This Row],[Equity Value]]) + (SnapshotTable[[#This Row],[SP Potential Spend]]- SnapshotTable[[#This Row],[SP Premium]] + SnapshotTable[[#This Row],[LP Premium]])+ (SnapshotTable[[#This Row],[LC Premium]] - SnapshotTable[[#This Row],[SC Premium]])</f>
        <v>#VALUE!</v>
      </c>
      <c r="GW157" s="139" t="e">
        <f>IF(AND(SnapshotTable[[#This Row],[Exposure]] &lt;&gt; 0),SnapshotTable[[#This Row],[Exposure]] / SnapshotTable[[#Totals],[Exposure]], "")</f>
        <v>#VALUE!</v>
      </c>
      <c r="HE157" s="268"/>
      <c r="HF157" s="268"/>
      <c r="HK157" s="1"/>
      <c r="HL157" s="1"/>
      <c r="HM157" s="1"/>
      <c r="HN157" s="1"/>
      <c r="HO157" s="1"/>
      <c r="HP157" s="1"/>
    </row>
    <row r="158" spans="2:224" ht="12.75" hidden="1" customHeight="1" x14ac:dyDescent="0.25">
      <c r="B158" s="12" t="s">
        <v>1183</v>
      </c>
      <c r="C158" s="422">
        <v>54.98</v>
      </c>
      <c r="D158" s="208" t="s">
        <v>578</v>
      </c>
      <c r="E158" s="39">
        <f>SnapshotTable[[#This Row],[Last Price]]*(1 -CrashDiscount)</f>
        <v>46.732999999999997</v>
      </c>
      <c r="F158" s="325" t="s">
        <v>223</v>
      </c>
      <c r="G158" s="325" t="s">
        <v>49</v>
      </c>
      <c r="H158" s="149"/>
      <c r="I158" s="194"/>
      <c r="J158" s="195"/>
      <c r="K158" s="196"/>
      <c r="L158" s="326"/>
      <c r="M158" s="140"/>
      <c r="N158" s="140"/>
      <c r="O158" s="140"/>
      <c r="P158" s="22"/>
      <c r="Q158" s="25"/>
      <c r="R158" s="4" t="str">
        <f>IF(SnapshotTable[[#This Row],[Equity Basis Total]] &gt; 0, SnapshotTable[[#This Row],[Equity Basis Total]] / SnapshotTable[[#This Row],[Equity Shares]], "")</f>
        <v/>
      </c>
      <c r="S158" s="269">
        <f>SnapshotTable[[#This Row],[Last Price]] * SnapshotTable[[#This Row],[Equity Shares]]</f>
        <v>0</v>
      </c>
      <c r="T158" s="269">
        <f>SnapshotTable[[#This Row],[Equity Value]] - SnapshotTable[[#This Row],[Equity Basis Total]]</f>
        <v>0</v>
      </c>
      <c r="U158" s="270" t="str">
        <f>IF(SnapshotTable[[#This Row],[Equity Basis Total]] &gt; 0, SnapshotTable[[#This Row],[Equity G/L]] / SnapshotTable[[#This Row],[Equity Basis Total]], "")</f>
        <v/>
      </c>
      <c r="V158" s="268">
        <v>32</v>
      </c>
      <c r="W158" s="268"/>
      <c r="X158" s="4" t="str">
        <f>IF(AND(ISNUMBER(SnapshotTable[[#This Row],[Equity Basis Per Share]]),ISNUMBER(SnapshotTable[[#This Row],[Equity Target]])),SnapshotTable[[#This Row],[Equity Target]]-SnapshotTable[[#This Row],[Equity Basis Per Share]],"")</f>
        <v/>
      </c>
      <c r="Y158" s="4" t="str">
        <f>IF(AND(ISNUMBER(SnapshotTable[[#This Row],[Equity Basis Per Share]]),ISNUMBER(SnapshotTable[[#This Row],[Equity Stop Loss]])),SnapshotTable[[#This Row],[Equity Stop Loss]]-SnapshotTable[[#This Row],[Equity Basis Per Share]],"")</f>
        <v/>
      </c>
      <c r="Z158" s="275" t="str">
        <f>IFERROR( TEXT(SnapshotTable[[#This Row],[Equity Max Gain Per Share]] /ABS( SnapshotTable[[#This Row],[Equity Max Loss Per Share]]),"0.0 " ) &amp; " : 1", "")</f>
        <v/>
      </c>
      <c r="AA158" s="31" t="str">
        <f>IF(ISNUMBER(SnapshotTable[[#This Row],[Equity Max Gain Per Share]]),SnapshotTable[[#This Row],[Equity Max Gain Per Share]] * SnapshotTable[[#This Row],[Equity Shares]],"")</f>
        <v/>
      </c>
      <c r="AB158" s="31" t="str">
        <f>IF(ISNUMBER(SnapshotTable[[#This Row],[Equity Max Loss Per Share]]),SnapshotTable[[#This Row],[Equity Max Loss Per Share]] * SnapshotTable[[#This Row],[Equity Shares]],"")</f>
        <v/>
      </c>
      <c r="AC158" s="150"/>
      <c r="AD158" s="151"/>
      <c r="AE158" s="31">
        <f>(SnapshotTable[[#This Row],[Annual Dividend Per Share]] / 4) * SnapshotTable[[#This Row],[Equity Shares]]</f>
        <v>0</v>
      </c>
      <c r="AF158" s="31">
        <f>SnapshotTable[[#This Row],[Quarterly Div $]] * 4</f>
        <v>0</v>
      </c>
      <c r="AG158" s="7">
        <f>IF(SnapshotTable[[#This Row],[Annual Dividend Per Share]]&gt;0, SnapshotTable[[#This Row],[Annual Dividend Per Share]]  / SnapshotTable[[#This Row],[Last Price]], 0)</f>
        <v>0</v>
      </c>
      <c r="AH158" s="151"/>
      <c r="AI158" s="5"/>
      <c r="AJ158" s="138"/>
      <c r="AK158" s="152" t="str">
        <f>IF(ISNUMBER( SnapshotTable[[#This Row],[EBF Target]]),(SnapshotTable[[#This Row],[EBF Target]] - SnapshotTable[[#This Row],[Last Price]]) / SnapshotTable[[#This Row],[Last Price]], "")</f>
        <v/>
      </c>
      <c r="AL158" s="152" t="str">
        <f>IF(AND(SnapshotTable[[#This Row],[Equity Basis Total]] &gt; 0,ISNUMBER( SnapshotTable[[#This Row],[Long Term Target]])), SnapshotTable[[#This Row],[From Basis $]] / SnapshotTable[[#This Row],[Equity Basis Total]], "")</f>
        <v/>
      </c>
      <c r="AM158" s="9">
        <f>IF( AND(SnapshotTable[[#This Row],[Equity Shares]] &gt;0,ISNUMBER( SnapshotTable[[#This Row],[Long Term Target]])),(SnapshotTable[[#This Row],[Equity Shares]] * SnapshotTable[[#This Row],[Long Term Target]]) - SnapshotTable[[#This Row],[Equity Basis Total]],0)</f>
        <v>0</v>
      </c>
      <c r="AN158" s="9">
        <f>IF( AND(SnapshotTable[[#This Row],[Equity Shares]] &gt;0,ISNUMBER( SnapshotTable[[#This Row],[Long Term Target]])),(SnapshotTable[[#This Row],[Equity Shares]]*SnapshotTable[[#This Row],[Long Term Target]]) - SnapshotTable[[#This Row],[Equity Value]],0)</f>
        <v>0</v>
      </c>
      <c r="AO158" s="152" t="str">
        <f>IF(AND(ISNUMBER( SnapshotTable[[#This Row],[Long Term Target]]), ISNUMBER(SnapshotTable[[#This Row],[Last Price]])),(SnapshotTable[[#This Row],[Long Term Target]] - SnapshotTable[[#This Row],[Last Price]]) / SnapshotTable[[#This Row],[Last Price]], "")</f>
        <v/>
      </c>
      <c r="AP158" s="5"/>
      <c r="AQ158" s="38"/>
      <c r="AR158" s="5"/>
      <c r="AS158" s="38"/>
      <c r="AT158" s="146"/>
      <c r="AU158" s="187" t="str">
        <f>IF(OR(SnapshotTable[[#This Row],[LP No Fill]]="Y",SnapshotTable[[#This Row],[SP Is Filled]],SnapshotTable[[#This Row],[LC Not Filled]]="Y",SnapshotTable[[#This Row],[SC Is Filled]]),"Y","")</f>
        <v/>
      </c>
      <c r="AV158" s="219"/>
      <c r="AW158" s="225"/>
      <c r="AX158" s="220"/>
      <c r="AY158" s="219" t="str">
        <f>IF(SnapshotTable[[#This Row],[Implied Move]]&gt;0, SnapshotTable[[#This Row],[Last Price]]-SnapshotTable[[#This Row],[Implied Move]],"")</f>
        <v/>
      </c>
      <c r="AZ158" s="219" t="str">
        <f>IF(SnapshotTable[[#This Row],[Implied Move]]&gt;0, SnapshotTable[[#This Row],[Last Price]] + SnapshotTable[[#This Row],[Implied Move]],"")</f>
        <v/>
      </c>
      <c r="BA158" s="331"/>
      <c r="BB158" s="347"/>
      <c r="BC15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8" s="351"/>
      <c r="BE158" s="5"/>
      <c r="BF158" s="14"/>
      <c r="BG158" s="13"/>
      <c r="BH158" s="13"/>
      <c r="BI158" s="5"/>
      <c r="BJ158" s="136">
        <f>IF(SnapshotTable[[#This Row],[LP Qty]] &gt; 0, SnapshotTable[[#This Row],[LP Qty]] * SnapshotTable[[#This Row],[LP Book Price]] * 100,0)</f>
        <v>0</v>
      </c>
      <c r="BK158" s="136">
        <f>IF(SnapshotTable[[#This Row],[LP Premium]] &gt; 0, SnapshotTable[[#This Row],[LP Qty]] * SnapshotTable[[#This Row],[LP Strike Price]] * 100,0)</f>
        <v>0</v>
      </c>
      <c r="BL158" s="154"/>
      <c r="BM158" s="385" t="str">
        <f>IF(SnapshotTable[[#This Row],[LP Premium]] &gt; 0,SnapshotTable[[#This Row],[LP Exp Date]]-MAX(SnapshotTable[[#This Row],[LP Book Date]], SnapshotTable[[#This Row],[LP Fill Date]]),"")</f>
        <v/>
      </c>
      <c r="BN158" s="385" t="str">
        <f>IF(ISNUMBER( SnapshotTable[[#This Row],[LP Term]]), SnapshotTable[[#This Row],[LP Exp Date]] - MockToday,"")</f>
        <v/>
      </c>
      <c r="BO158" s="163" t="str">
        <f>IF(AND(SnapshotTable[[#This Row],[LP Exp Date]]&gt;0, SnapshotTable[[#This Row],[LP Strike Price]]&gt;0,SnapshotTable[[#This Row],[LP Qty]]&gt;0,SnapshotTable[[#This Row],[LP Book Date]]&gt;0,SnapshotTable[[#This Row],[LP Book Price]]&gt;0,SnapshotTable[[#This Row],[LP Fill Date]]=0),"Y","")</f>
        <v/>
      </c>
      <c r="BP158" s="31" t="str">
        <f>IF(AND(SnapshotTable[[#This Row],[LP No Fill]]&lt;&gt;"Y",SnapshotTable[[#This Row],[LP Contract Value]]&gt;0, SnapshotTable[[#This Row],[LP Qty]]&gt;0), SnapshotTable[[#This Row],[LP Contract Value]]*SnapshotTable[[#This Row],[LP Qty]]*100,"")</f>
        <v/>
      </c>
      <c r="BQ158" s="13"/>
      <c r="BR158" s="5" t="str">
        <f>IF(SnapshotTable[[#This Row],[SP Exp Date]]&lt;&gt;"",TRUNC(SnapshotTable[[#This Row],[Last Price]]),"")</f>
        <v/>
      </c>
      <c r="BS158" s="36"/>
      <c r="BT158" s="147"/>
      <c r="BU158" s="13"/>
      <c r="BV158" s="5"/>
      <c r="BW158" s="419" t="b">
        <f>AND(ISNUMBER(SnapshotTable[[#This Row],[SP Exp Date]]), ISNUMBER(SnapshotTable[[#This Row],[SP Strike Price]]), ISNUMBER(SnapshotTable[[#This Row],[SP Qty]]), ISNUMBER(SnapshotTable[[#This Row],[SP Book Date]]), ISNUMBER(SnapshotTable[[#This Row],[SP Book Price]]))</f>
        <v>0</v>
      </c>
      <c r="BX158" s="419" t="b">
        <f>AND(SnapshotTable[[#This Row],[SP Is Booked]], NOT(ISBLANK(SnapshotTable[[#This Row],[SP Fill Date]])))</f>
        <v>0</v>
      </c>
      <c r="BY158" s="33">
        <f>IF(SnapshotTable[[#This Row],[SP Is Booked]], SnapshotTable[[#This Row],[SP Qty]] * SnapshotTable[[#This Row],[SP Book Price]] * 100, 0)</f>
        <v>0</v>
      </c>
      <c r="BZ158" s="369"/>
      <c r="CA158" s="368">
        <f>SnapshotTable[[#This Row],[LP Qty]]</f>
        <v>0</v>
      </c>
      <c r="CB158" s="4" t="str">
        <f>IF(SnapshotTable[[#This Row],[SP Is Booked]], SnapshotTable[[#This Row],[SP Strike Price]] - SnapshotTable[[#This Row],[SP Book Price]], "")</f>
        <v/>
      </c>
      <c r="CC158" s="19" t="str">
        <f>IF(SnapshotTable[[#This Row],[SP Is Booked]],SnapshotTable[[#This Row],[SP Exp Date]]-MAX(SnapshotTable[[#This Row],[SP Book Date]], SnapshotTable[[#This Row],[SP Fill Date]]),"")</f>
        <v/>
      </c>
      <c r="CD158" s="7" t="str">
        <f>IF(SnapshotTable[[#This Row],[SP Is Booked]], SnapshotTable[[#This Row],[SP Book Price]]/SnapshotTable[[#This Row],[SP Strike Price]], "")</f>
        <v/>
      </c>
      <c r="CE158" s="7" t="str">
        <f>IF(ISNUMBER(SnapshotTable[[#This Row],[SP ROO Term]]),SnapshotTable[[#This Row],[SP ROO Term]]*(365/SnapshotTable[[#This Row],[SP Term]]),"")</f>
        <v/>
      </c>
      <c r="CF158" s="236">
        <f>SnapshotTable[[#This Row],[LP Strike Price]] * SnapshotTable[[#This Row],[LP Qty]] * 100</f>
        <v>0</v>
      </c>
      <c r="CG158" s="31" t="e">
        <f>IF(ISNUMBER(SnapshotTable[[#This Row],[SP Premium]]), (SnapshotTable[[#This Row],[SP Qty]] * SnapshotTable[[#This Row],[SP Strike Price]]* 100) - SnapshotTable[[#This Row],[LP Protection]], 0)</f>
        <v>#VALUE!</v>
      </c>
      <c r="CH158" s="7" t="str">
        <f>IF(ISNUMBER(SnapshotTable[[#This Row],[SP Break Even]]),-1 * (SnapshotTable[[#This Row],[SP Break Even]] - SnapshotTable[[#This Row],[Last Price]]) / SnapshotTable[[#This Row],[Last Price]], "")</f>
        <v/>
      </c>
      <c r="CI158" s="31">
        <f>IF(AND(ISNUMBER((SnapshotTable[[#This Row],[SP Potential Spend]])), SnapshotTable[[#This Row],[SP Strike Price]] &gt; SnapshotTable[[#This Row],[Last Price]], SnapshotTable[[#This Row],[SP Is Filled]]), SnapshotTable[[#This Row],[SP Potential Spend]] -  SnapshotTable[[#This Row],[LP Max Value]], 0)</f>
        <v>0</v>
      </c>
      <c r="CJ158" s="244"/>
      <c r="CK158" s="31" t="str">
        <f>IF(ISNUMBER(SnapshotTable[[#This Row],[SP Potential Spend]]),IF(ISNUMBER(SnapshotTable[[#This Row],[SP POW]]), SnapshotTable[[#This Row],[SP POW]] * SnapshotTable[[#This Row],[SP Potential Spend]], SnapshotTable[[#This Row],[SP Potential Spend]]), "")</f>
        <v/>
      </c>
      <c r="CL158" s="164" t="e">
        <f>IF(NOT(SnapshotTable[[#This Row],[SP Is Filled]]),(SnapshotTable[[#This Row],[SP Qty]] * SnapshotTable[[#This Row],[SP Strike Price]] * 100) - SnapshotTable[[#This Row],[LP Max Value]],"")</f>
        <v>#VALUE!</v>
      </c>
      <c r="CM158" s="31" t="str">
        <f>IF(SnapshotTable[[#This Row],[SP Actual Spend]]&lt;&gt;0, ((SnapshotTable[[#This Row],[SP Strike Price]]-SnapshotTable[[#This Row],[Last Price]]) *(SnapshotTable[[#This Row],[SP Qty]]*100) - SnapshotTable[[#This Row],[SP Premium]]) * - 1, "")</f>
        <v/>
      </c>
      <c r="CN158" s="78"/>
      <c r="CO158" s="369"/>
      <c r="CP158" s="4" t="str">
        <f>IF(SnapshotTable[[#This Row],[SP Is Filled]], btc_max_buyback_amount(SnapshotTable[[#This Row],[SP Fill Date]],SnapshotTable[[#This Row],[SP Exp Date]], SnapshotTable[[#This Row],[SP Book Price]]),"")</f>
        <v/>
      </c>
      <c r="CQ158" s="78"/>
      <c r="CR15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8" s="155" t="str">
        <f>IF(SnapshotTable[[#This Row],[SP Is Filled]], btc_next_cutoff_date(SnapshotTable[[#This Row],[SP Fill Date]],SnapshotTable[[#This Row],[SP Exp Date]]),"")</f>
        <v/>
      </c>
      <c r="CT158" s="235" t="str" cm="1">
        <f t="array" ref="CT158">IF(SnapshotTable[[#This Row],[SP Is Filled]], btc_should_buy_back(SnapshotTable[[#This Row],[SP Fill Date]], SnapshotTable[[#This Row],[SP Exp Date]], SnapshotTable[[#This Row],[SP Book Price]], SnapshotTable[[#This Row],[SP Current Ask]], MockToday, SnapshotTable[[#This Row],[SP Buyback Override]]),"")</f>
        <v/>
      </c>
      <c r="CU158" s="156"/>
      <c r="CV158" s="235"/>
      <c r="CW158" s="378" t="str">
        <f>IF(ISNUMBER( SnapshotTable[[#This Row],[SP Term]]), SnapshotTable[[#This Row],[SP Exp Date]] - MockToday,"")</f>
        <v/>
      </c>
      <c r="CX158" s="31" t="str">
        <f>IF(SnapshotTable[[#This Row],[SP Is Filled]],SnapshotTable[[#This Row],[SP Buyback Price to Use]] * 100 * SnapshotTable[[#This Row],[SP Qty]], "")</f>
        <v/>
      </c>
      <c r="CY158" s="4" t="str">
        <f>IF(ISNUMBER(SnapshotTable[[#This Row],[SP Strike Price]]), SnapshotTable[[#This Row],[SP Strike Price]] * (1 - SP_MaxLoss_StrikePct), "")</f>
        <v/>
      </c>
      <c r="CZ158" s="31" t="str">
        <f>IF(ISNUMBER(SnapshotTable[[#This Row],[SP Strike  Stop Per Share]]),SnapshotTable[[#This Row],[SP Premium]] - ((SnapshotTable[[#This Row],[SP Strike Price]]-SnapshotTable[[#This Row],[SP Strike  Stop Per Share]]) *(SnapshotTable[[#This Row],[SP Qty]] * 100)),"")</f>
        <v/>
      </c>
      <c r="DA158" s="4" t="str">
        <f>IF(AND(ISNUMBER(SnapshotTable[[#This Row],[SP Premium]]),SnapshotTable[[#This Row],[SP Premium]]&gt;0), SnapshotTable[[#This Row],[SP Book Price]] * (1 + SP_MaxLoss_OptionPct), "")</f>
        <v/>
      </c>
      <c r="DB158" s="31" t="str">
        <f>IF(ISNUMBER(SnapshotTable[[#This Row],[SP Option  Stop Contract]]),(SnapshotTable[[#This Row],[SP Option  Stop Contract]] *(SnapshotTable[[#This Row],[SP Qty]] * 100) - SnapshotTable[[#This Row],[SP Premium]]),"")</f>
        <v/>
      </c>
      <c r="DC158" s="4"/>
      <c r="DD158" s="4"/>
      <c r="DE158" s="4" t="str">
        <f>IF(AND(SnapshotTable[[#This Row],[SP Qty]]&gt;0, SnapshotTable[[#This Row],[SP Stop To Use]]&gt;0),SnapshotTable[[#This Row],[SP Premium]] - ( SnapshotTable[[#This Row],[SP Qty]] * SnapshotTable[[#This Row],[SP Stop To Use]] * 100), "")</f>
        <v/>
      </c>
      <c r="DF158" s="31" t="str">
        <f>IF(AND(SnapshotTable[[#This Row],[SP Qty]]&gt;0,SnapshotTable[[#This Row],[SP Current Ask]]&gt;0), SnapshotTable[[#This Row],[SP Qty]] * SnapshotTable[[#This Row],[SP Current Ask]] * -100, "")</f>
        <v/>
      </c>
      <c r="DG158" s="31" t="str">
        <f>IF(ISNUMBER((SnapshotTable[[#This Row],[SP Total Value]])), SnapshotTable[[#This Row],[SP Premium]] + SnapshotTable[[#This Row],[SP Total Value]], "")</f>
        <v/>
      </c>
      <c r="DH158" s="294" t="str">
        <f>IF(ISNUMBER((SnapshotTable[[#This Row],[SP Total Value]])), SnapshotTable[[#This Row],[SP Gain Loss]] / SnapshotTable[[#This Row],[SP Premium]], "")</f>
        <v/>
      </c>
      <c r="DI158" s="406"/>
      <c r="DJ158" s="138"/>
      <c r="DK158" s="148"/>
      <c r="DL158" s="13"/>
      <c r="DM158" s="13"/>
      <c r="DO158" s="31">
        <f>IF(SnapshotTable[[#This Row],[LC Symbol Count]]=1, SnapshotTable[[#This Row],[LC Qty]] * SnapshotTable[[#This Row],[LC Book Price]] * 100, 0)</f>
        <v>0</v>
      </c>
      <c r="DP158" s="163" t="str">
        <f>IF(AND(SnapshotTable[[#This Row],[LC Exp Date]]&gt;0, SnapshotTable[[#This Row],[LC Strike Price]]&gt;0,SnapshotTable[[#This Row],[LC Qty]]&gt;0,SnapshotTable[[#This Row],[LC Book Date]]&gt;0,SnapshotTable[[#This Row],[LC Book Price]]&gt;0,SnapshotTable[[#This Row],[LC Fill Date]]=0),"Y","")</f>
        <v/>
      </c>
      <c r="DQ158" s="386" t="str">
        <f>IF(SnapshotTable[[#This Row],[LC Premium]] &gt; 0,SnapshotTable[[#This Row],[LC Exp Date]]-MAX(SnapshotTable[[#This Row],[LC Book Date]], SnapshotTable[[#This Row],[LC Fill Date]]),"")</f>
        <v/>
      </c>
      <c r="DR158" s="386" t="str">
        <f>IF(ISNUMBER(SnapshotTable[[#This Row],[LC Term]]), SnapshotTable[[#This Row],[LC Exp Date]] - MockToday, "")</f>
        <v/>
      </c>
      <c r="DS158" s="234" t="str">
        <f>IF(SnapshotTable[[#This Row],[LC Premium]]&gt;0,SnapshotTable[[#This Row],[LC Strike Price]] + SnapshotTable[[#This Row],[LC Book Price]],"")</f>
        <v/>
      </c>
      <c r="DU158" s="9" t="str">
        <f>IF(AND(SnapshotTable[[#This Row],[LC Symbol Count]]&gt;0, SnapshotTable[[#This Row],[LC Contract Value]]&gt;0), SnapshotTable[[#This Row],[LC Contract Value]] * SnapshotTable[[#This Row],[LC Qty]] * 100, "")</f>
        <v/>
      </c>
      <c r="DV158" s="9" t="str">
        <f>IF(AND(ISNUMBER(SnapshotTable[[#This Row],[LC Total Value]]), SnapshotTable[[#This Row],[LC Not Filled]]&lt;&gt;"Y"), SnapshotTable[[#This Row],[LC Total Value]]-SnapshotTable[[#This Row],[LC Premium]],"")</f>
        <v/>
      </c>
      <c r="DW158" s="240" t="str">
        <f>IF(ISNUMBER(SnapshotTable[[#This Row],[LC Actual Gain Loss]]), SnapshotTable[[#This Row],[LC Actual Gain Loss]] / SnapshotTable[[#This Row],[LC Premium]],"")</f>
        <v/>
      </c>
      <c r="DX158" s="284" t="str">
        <f>IF(ISNUMBER(SnapshotTable[[#This Row],[LC Book Price]]),SnapshotTable[[#This Row],[LC Book Price]] * 1.5,"")</f>
        <v/>
      </c>
      <c r="DY158" s="265" t="str">
        <f>IF(SnapshotTable[[#This Row],[LC Premium]]&gt;0, SnapshotTable[[#This Row],[LC Next Target]] * SnapshotTable[[#This Row],[LC Qty]] * 100,"")</f>
        <v/>
      </c>
      <c r="DZ158" s="265" t="str">
        <f>IF(ISNUMBER(SnapshotTable[[#This Row],[LC Target Gross]]), SnapshotTable[[#This Row],[LC Target Gross]] - SnapshotTable[[#This Row],[LC Premium]], "")</f>
        <v/>
      </c>
      <c r="EA158" s="305" t="str">
        <f>IF(ISNUMBER(SnapshotTable[[#This Row],[LC Target Gain Loss]]), SnapshotTable[[#This Row],[LC Target Gain Loss]]/SnapshotTable[[#This Row],[LC Premium]], "")</f>
        <v/>
      </c>
      <c r="EB158" s="262"/>
      <c r="EC158" s="283" t="str">
        <f>IF(SnapshotTable[[#This Row],[LC Premium]]&gt;0, SnapshotTable[[#This Row],[LC Book Price]] * (1 - LC_StopLoss_Pct),"")</f>
        <v/>
      </c>
      <c r="ED158" s="284"/>
      <c r="EE158" s="283" t="str">
        <f>IF(ISNUMBER(SnapshotTable[[#This Row],[LC Contract Value]]),IF(ISNUMBER(SnapshotTable[[#This Row],[LC Stop Loss Override]]), SnapshotTable[[#This Row],[LC Stop Loss Override]],SnapshotTable[[#This Row],[LC Stop Loss Calc Target]]),"")</f>
        <v/>
      </c>
      <c r="EF158" s="31" t="str">
        <f>IF(ISNUMBER(SnapshotTable[[#This Row],[LC Stop  To Use]]), (SnapshotTable[[#This Row],[LC Stop  To Use]] * SnapshotTable[[#This Row],[LC Qty]] * 100),"")</f>
        <v/>
      </c>
      <c r="EG158" s="9" t="str">
        <f>IF(ISNUMBER(SnapshotTable[[#This Row],[LC Total Value]]),SnapshotTable[[#This Row],[LC Stop Loss Amount]] - SnapshotTable[[#This Row],[LC Premium]],"")</f>
        <v/>
      </c>
      <c r="EH158" s="9">
        <f>IF(ISNUMBER(SnapshotTable[[#This Row],[LC Premium]]), SnapshotTable[[#This Row],[LC Qty]] * 100 * SnapshotTable[[#This Row],[LC Strike Price]], "")</f>
        <v>0</v>
      </c>
      <c r="EI158" s="240" t="str">
        <f>IF(AND(ISNUMBER(SnapshotTable[[#This Row],[LC Total Value]]),SnapshotTable[[#This Row],[LC Total Value]]&gt;0),SnapshotTable[[#This Row],[LC Stop Gain Loss]]  / SnapshotTable[[#This Row],[LC Premium]],"")</f>
        <v/>
      </c>
      <c r="EJ158" s="35">
        <f>IF(ISNUMBER(SnapshotTable[[#This Row],[Equity Shares]]),TRUNC(SnapshotTable[[#This Row],[Equity Shares]] / 100),0) + SnapshotTable[[#This Row],[LC Qty]]</f>
        <v>0</v>
      </c>
      <c r="EK158" s="147"/>
      <c r="EL158" s="138" t="str">
        <f>IF(SnapshotTable[[#This Row],[SC Exp Date]]&lt;&gt;"",TRUNC(SnapshotTable[[#This Row],[Last Price]]),"")</f>
        <v/>
      </c>
      <c r="EM158" s="148"/>
      <c r="EN158" s="147"/>
      <c r="EO158" s="147"/>
      <c r="EP158" s="138"/>
      <c r="EQ158" s="419" t="b">
        <f>AND(ISNUMBER(SnapshotTable[[#This Row],[SC Exp Date]]), ISNUMBER(SnapshotTable[[#This Row],[SC Strike Price]]), ISNUMBER(SnapshotTable[[#This Row],[SC Qty]]), ISNUMBER(SnapshotTable[[#This Row],[SC Book Date]]), ISNUMBER(SnapshotTable[[#This Row],[SC Book Price]]))</f>
        <v>0</v>
      </c>
      <c r="ER158" s="419" t="b">
        <f>AND(SnapshotTable[[#This Row],[SC Is Booked]], NOT(ISBLANK(SnapshotTable[[#This Row],[SC Fill Date]])))</f>
        <v>0</v>
      </c>
      <c r="ES158" s="370"/>
      <c r="ET158" s="34" t="str">
        <f>IF(AND(ISNUMBER(SnapshotTable[[#This Row],[SC Exp Date]]), ISNUMBER(SnapshotTable[[#This Row],[SC Book Date]])), SnapshotTable[[#This Row],[SC Exp Date]] - MAX(SnapshotTable[[#This Row],[SC Book Date]], SnapshotTable[[#This Row],[SC Fill Date]]) + 1, "")</f>
        <v/>
      </c>
      <c r="EU158" s="34" t="str">
        <f>IF(ISNUMBER(SnapshotTable[[#This Row],[SC Term]]), SnapshotTable[[#This Row],[SC Exp Date]]- MockToday, "")</f>
        <v/>
      </c>
      <c r="EV158" s="31">
        <f>IF(SnapshotTable[[#This Row],[SC Is Booked]], SnapshotTable[[#This Row],[SC Qty]] * SnapshotTable[[#This Row],[SC Book Price]] * 100, 0)</f>
        <v>0</v>
      </c>
      <c r="EW158" s="4" t="str">
        <f>IF(AND(ISNUMBER(SnapshotTable[[#This Row],[Last Price]]), ISNUMBER( SnapshotTable[[#This Row],[SC Book Price]])), SnapshotTable[[#This Row],[Last Price]] - SnapshotTable[[#This Row],[SC Book Price]],"")</f>
        <v/>
      </c>
      <c r="EX158" s="234" t="str">
        <f>IF(SnapshotTable[[#This Row],[SC Is Booked]],IF(SnapshotTable[[#This Row],[SC Intrinsic Value]] &gt; 0, SnapshotTable[[#This Row],[SC Strike Price]], SnapshotTable[[#This Row],[Last Price]]), "")</f>
        <v/>
      </c>
      <c r="EY158" s="4">
        <f>IF(SnapshotTable[[#This Row],[SC Is Booked]], (MinimumPremiumRequired * SnapshotTable[[#This Row],[SC Basis]] * SnapshotTable[[#This Row],[SC Term]]), 0)</f>
        <v>0</v>
      </c>
      <c r="EZ158" s="283"/>
      <c r="FA158" s="218"/>
      <c r="FB158" s="370"/>
      <c r="FC158" s="4">
        <f>IF(SnapshotTable[[#This Row],[SC Is Filled]], btc_max_buyback_amount(SnapshotTable[[#This Row],[SC Fill Date]],SnapshotTable[[#This Row],[SC Exp Date]], SnapshotTable[[#This Row],[SC Book Price]]),0)</f>
        <v>0</v>
      </c>
      <c r="FD158" s="5"/>
      <c r="FE158" s="144" t="str">
        <f>IF(SnapshotTable[[#This Row],[SC Is Filled]], btc_next_cutoff_date(SnapshotTable[[#This Row],[SC Fill Date]],SnapshotTable[[#This Row],[SC Exp Date]]),"")</f>
        <v/>
      </c>
      <c r="FF158" s="4" t="str" cm="1">
        <f t="array" ref="FF158">IF(SnapshotTable[[#This Row],[SC Is Filled]], btc_should_buy_back(SnapshotTable[[#This Row],[SC Fill Date]], SnapshotTable[[#This Row],[SC Exp Date]], SnapshotTable[[#This Row],[SC Book Price]], SnapshotTable[[#This Row],[SC Current Ask]], MockToday, SnapshotTable[[#This Row],[SC Buyback Override]]),"")</f>
        <v/>
      </c>
      <c r="FG158" s="4">
        <f>IF(SnapshotTable[[#This Row],[SC Is Filled]], MAX(0,SnapshotTable[[#This Row],[Last Price]]  - SnapshotTable[[#This Row],[SC Strike Price]]), 0)</f>
        <v>0</v>
      </c>
      <c r="FH158" s="382">
        <f>IF(SnapshotTable[[#This Row],[SC Is Filled]], IF(ISNUMBER(SnapshotTable[[#This Row],[SC Current Ask]]), SnapshotTable[[#This Row],[SC Current Ask]], SnapshotTable[[#This Row],[SC Book Price]]) - SnapshotTable[[#This Row],[SC Intrinsic Value]], 0)</f>
        <v>0</v>
      </c>
      <c r="FI158" s="143">
        <v>45786</v>
      </c>
      <c r="FJ158" s="32" t="str">
        <f>IF(SnapshotTable[[#This Row],[SC Is Filled]],100 * SnapshotTable[[#This Row],[SC Qty]] * IF(ISNUMBER(SnapshotTable[[#This Row],[SC Buyback Override]]), SnapshotTable[[#This Row],[SC Buyback Override]], SnapshotTable[[#This Row],[SC Current Ask]]), "")</f>
        <v/>
      </c>
      <c r="FK158" s="250" t="str">
        <f>IF(SnapshotTable[[#This Row],[SC Time Val]]&gt;0, SnapshotTable[[#This Row],[SC Time Val]] / SnapshotTable[[#This Row],[Last Price]],"")</f>
        <v/>
      </c>
      <c r="FL158" s="302" t="str">
        <f>IF(SnapshotTable[[#This Row],[SC Is Booked]], ((SnapshotTable[[#This Row],[Last Price]] -SnapshotTable[[#This Row],[SC Strike Price]]) / SnapshotTable[[#This Row],[Last Price]]) * -1, "")</f>
        <v/>
      </c>
      <c r="FM158" s="157" t="str">
        <f>IF(SnapshotTable[[#This Row],[SC Is Booked]],  (SnapshotTable[[#This Row],[SC Qty]] * 100 * SnapshotTable[[#This Row],[SC Strike Price]]) - SnapshotTable[[#This Row],[SC Current Ask]], "")</f>
        <v/>
      </c>
      <c r="FN15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8" s="31" t="str">
        <f>IF(AND(ISNUMBER(SnapshotTable[[#This Row],[SC Exercise Gross]]), ISNUMBER(SnapshotTable[[#This Row],[Equity Basis Per Share]] )), SnapshotTable[[#This Row],[SC Exercise Gross]] - SnapshotTable[[#This Row],[Equity Basis Total]] +  SnapshotTable[[#This Row],[SC Premium]], "")</f>
        <v/>
      </c>
      <c r="FP158" s="5" t="str">
        <f>IF(ISNUMBER(SnapshotTable[[#This Row],[SC Exercise Gross]]), (SnapshotTable[[#This Row],[SC Exercise Gross]]) / (SnapshotTable[[#This Row],[SC Qty]] * 100), "")</f>
        <v/>
      </c>
      <c r="FQ158" s="27" t="str">
        <f>IF(SnapshotTable[[#This Row],[SC Is Booked]],SnapshotTable[[#This Row],[SC Time Val]] /SnapshotTable[[#This Row],[SC Basis]], "")</f>
        <v/>
      </c>
      <c r="FR158" s="27" t="str" cm="1">
        <f t="array" ref="FR158">IF(AND(ISNUMBER(SnapshotTable[[#This Row],[SC Term]]),ISNUMBER(SnapshotTable[[#This Row],[SC Simple ROO]])), EllmanAnnualize(SnapshotTable[[#This Row],[SC DTE]], SnapshotTable[[#This Row],[SC Simple ROO]] ),"")</f>
        <v/>
      </c>
      <c r="FS158" s="4" t="e">
        <f>IF(SnapshotTable[[#This Row],[SC Strike Price]] &gt; SnapshotTable[[#This Row],[Last Price]], SnapshotTable[[#This Row],[SC Strike Price]] - SnapshotTable[[#This Row],[Last Price]],0)</f>
        <v>#VALUE!</v>
      </c>
      <c r="FT158" s="27" t="e">
        <f>IF(AND(ISNUMBER(SnapshotTable[[#This Row],[SC Upside Potential]]), SnapshotTable[[#This Row],[SC Upside Potential]] &gt; 0),(SnapshotTable[[#This Row],[SC Upside Potential]]/ SnapshotTable[[#This Row],[ACB]]),"")</f>
        <v>#VALUE!</v>
      </c>
      <c r="FU158" s="333" t="str">
        <f>IF(SnapshotTable[[#This Row],[SC Intrinsic Value]] &gt; 0,SnapshotTable[[#This Row],[SC Intrinsic Value]],"")</f>
        <v/>
      </c>
      <c r="FV158" s="27" t="str">
        <f>IF(AND( ISNUMBER( SnapshotTable[[#This Row],[ACB]]),ISNUMBER(SnapshotTable[[#This Row],[SC Downside Protect]])),SnapshotTable[[#This Row],[SC Downside Protect]] / SnapshotTable[[#This Row],[ACB]],"")</f>
        <v/>
      </c>
      <c r="FW158" s="236" t="str">
        <f>IF(AND(ISNUMBER(SnapshotTable[[#This Row],[SC Simple ROO]]),SnapshotTable[[#This Row],[SC Simple ROO]] &gt; 0), SnapshotTable[[#This Row],[SC Premium]] + (SnapshotTable[[#This Row],[SC Qty]] * SnapshotTable[[#This Row],[SC Upside Potential]]), "")</f>
        <v/>
      </c>
      <c r="FX158" s="302" t="str" cm="1">
        <f t="array" ref="FX158">IF(ISNUMBER(SnapshotTable[[#This Row],[SC Max Dollars]]), annualize(SnapshotTable[[#This Row],[SC Term]],(SnapshotTable[[#This Row],[SC Max Dollars]]/SnapshotTable[[#This Row],[SC Basis]])),"")</f>
        <v/>
      </c>
      <c r="FY158" s="236" t="str">
        <f>IF(AND(SnapshotTable[[#This Row],[SC Qty]]&gt;0,SnapshotTable[[#This Row],[SC Current Ask]]&gt;0), SnapshotTable[[#This Row],[SC Qty]] * SnapshotTable[[#This Row],[SC Current Ask]] * -100, "")</f>
        <v/>
      </c>
      <c r="FZ158" s="31" t="str">
        <f>IF(ISNUMBER((SnapshotTable[[#This Row],[SC Current Value]])), SnapshotTable[[#This Row],[SC Premium]] + SnapshotTable[[#This Row],[SC Current Value]], "")</f>
        <v/>
      </c>
      <c r="GA158" s="294" t="str">
        <f>IFERROR( IF(ISNUMBER((SnapshotTable[[#This Row],[SC Current Value]])), SnapshotTable[[#This Row],[SC Gain Loss]] / SnapshotTable[[#This Row],[SC Premium]], ""), "")</f>
        <v/>
      </c>
      <c r="GB158" s="42">
        <f>SnapshotTable[[#This Row],[Equity Shares]] * SaleSharesToConsiderPercentage</f>
        <v>0</v>
      </c>
      <c r="GC158" s="40">
        <f>SnapshotTable[[#This Row],[Long Term Target]] * SellingPriceToConsiderBasedOnTargetPercentage</f>
        <v>0</v>
      </c>
      <c r="GD158" s="40">
        <f>SnapshotTable[[#This Row],[Last Price]] * (1+ SellingPriceToConsiderBasedOnTargetPercentage)</f>
        <v>107.211</v>
      </c>
      <c r="GE158" s="41"/>
      <c r="GF158" s="40"/>
      <c r="GG158" s="31">
        <f>SnapshotTable[[#This Row],[Booked Sale Shares]] * SnapshotTable[[#This Row],[Booked Sale Price]]</f>
        <v>0</v>
      </c>
      <c r="GH158" s="31" t="str">
        <f>IF(SnapshotTable[[#This Row],[Equity Basis Total]] &gt; 0, SnapshotTable[[#This Row],[Equity Basis Per Share]] * SnapshotTable[[#This Row],[Booked Sale Shares]], "")</f>
        <v/>
      </c>
      <c r="GI158" s="31">
        <f>IF(SnapshotTable[[#This Row],[Sale Proceeds]]&gt;0, SnapshotTable[[#This Row],[Sale Proceeds]] - SnapshotTable[[#This Row],[Sale Basis]], 0)</f>
        <v>0</v>
      </c>
      <c r="GJ158" s="27" t="str">
        <f>IF(SnapshotTable[[#This Row],[Sale G/L]]&gt;0, SnapshotTable[[#This Row],[Sale G/L]] / SnapshotTable[[#This Row],[Sale Basis]], IF(ISNUMBER(SnapshotTable[[#This Row],[SC Exercise P&amp;L (TAX)]]), SnapshotTable[[#This Row],[SC Exercise P&amp;L (TAX)]] / SnapshotTable[[#This Row],[SC Basis]], ""))</f>
        <v/>
      </c>
      <c r="GK158" s="27"/>
      <c r="GL158" s="43" t="str">
        <f>IF(AND(SnapshotTable[[#This Row],[LP Exp Date]]&gt;0,SnapshotTable[[#This Row],[LP Strike Price]]&gt;0), [1]!ToOptionSymbol(SnapshotTable[[#This Row],[Symbol]], SnapshotTable[[#This Row],[LP Strike Price]],SnapshotTable[[#This Row],[LP Exp Date]],1), "")</f>
        <v/>
      </c>
      <c r="GM158" s="30" t="str">
        <f>IF(LEN(SnapshotTable[[#This Row],[LP Symbol]])&gt;0, 1, "")</f>
        <v/>
      </c>
      <c r="GN158" s="43" t="str">
        <f>IF(AND(SnapshotTable[[#This Row],[SP Exp Date]]&gt;0,SnapshotTable[[#This Row],[SP Strike Price]]&gt;0), [1]!ToOptionSymbol(SnapshotTable[[#This Row],[Symbol]], SnapshotTable[[#This Row],[SP Strike Price]],SnapshotTable[[#This Row],[SP Exp Date]],1), "")</f>
        <v/>
      </c>
      <c r="GO158" s="30" t="str">
        <f>IF(LEN(SnapshotTable[[#This Row],[SP Symbol]])&gt;0, 1, "")</f>
        <v/>
      </c>
      <c r="GP158" s="43" t="str">
        <f>IF(AND(SnapshotTable[[#This Row],[LC Exp Date]]&gt;0,SnapshotTable[[#This Row],[LC Strike Price]]&gt;0), [1]!ToOptionSymbol(SnapshotTable[[#This Row],[Symbol]], SnapshotTable[[#This Row],[LC Strike Price]],SnapshotTable[[#This Row],[LC Exp Date]],0), "")</f>
        <v/>
      </c>
      <c r="GQ158" s="30" t="str">
        <f>IF(LEN(SnapshotTable[[#This Row],[LC Symbol]])&gt;0, 1, "")</f>
        <v/>
      </c>
      <c r="GR158" s="43" t="str">
        <f>IF(AND(SnapshotTable[[#This Row],[SC Exp Date]]&gt;0,SnapshotTable[[#This Row],[SC Strike Price]]&gt;0), [1]!ToOptionSymbol(SnapshotTable[[#This Row],[Symbol]], SnapshotTable[[#This Row],[SC Strike Price]],SnapshotTable[[#This Row],[SC Exp Date]],0), "")</f>
        <v/>
      </c>
      <c r="GS158" s="30" t="str">
        <f>IF(LEN(SnapshotTable[[#This Row],[SC Symbol]])&gt;0, 1, "")</f>
        <v/>
      </c>
      <c r="GT158" s="29" t="str">
        <f>IF(COUNT(SnapshotTable[[#This Row],[LP Symbol Count]],SnapshotTable[[#This Row],[SP Symbol Count]],SnapshotTable[[#This Row],[LC Symbol Count]],SnapshotTable[[#This Row],[SC Symbol Count]])&gt;0, "Y", "")</f>
        <v/>
      </c>
      <c r="GU15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8" s="231" t="e">
        <f>MAX(SnapshotTable[[#This Row],[Equity Basis Total]],SnapshotTable[[#This Row],[Equity Value]]) + (SnapshotTable[[#This Row],[SP Potential Spend]]- SnapshotTable[[#This Row],[SP Premium]] + SnapshotTable[[#This Row],[LP Premium]])+ (SnapshotTable[[#This Row],[LC Premium]] - SnapshotTable[[#This Row],[SC Premium]])</f>
        <v>#VALUE!</v>
      </c>
      <c r="GW158" s="139" t="e">
        <f>IF(AND(SnapshotTable[[#This Row],[Exposure]] &lt;&gt; 0),SnapshotTable[[#This Row],[Exposure]] / SnapshotTable[[#Totals],[Exposure]], "")</f>
        <v>#VALUE!</v>
      </c>
      <c r="HE158" s="268"/>
      <c r="HF158" s="268"/>
      <c r="HK158" s="1"/>
      <c r="HL158" s="1"/>
      <c r="HM158" s="1"/>
      <c r="HN158" s="1"/>
      <c r="HO158" s="1"/>
      <c r="HP158" s="1"/>
    </row>
    <row r="159" spans="2:224" ht="12.75" hidden="1" customHeight="1" x14ac:dyDescent="0.25">
      <c r="B159" s="12" t="s">
        <v>170</v>
      </c>
      <c r="C159" s="422">
        <v>68.819999999999993</v>
      </c>
      <c r="D159" s="208"/>
      <c r="E159" s="39">
        <f>SnapshotTable[[#This Row],[Last Price]]*(1 -CrashDiscount)</f>
        <v>58.496999999999993</v>
      </c>
      <c r="F159" s="26" t="s">
        <v>5</v>
      </c>
      <c r="G159" s="26" t="s">
        <v>4</v>
      </c>
      <c r="H159" s="149"/>
      <c r="I159" s="194">
        <v>44775.270833333336</v>
      </c>
      <c r="J159" s="195">
        <v>44775.270833333336</v>
      </c>
      <c r="K159" s="196"/>
      <c r="L159" s="326"/>
      <c r="M159" s="140"/>
      <c r="N159" s="140"/>
      <c r="O159" s="140"/>
      <c r="P159" s="22"/>
      <c r="Q159" s="25"/>
      <c r="R159" s="4" t="str">
        <f>IF(SnapshotTable[[#This Row],[Equity Basis Total]] &gt; 0, SnapshotTable[[#This Row],[Equity Basis Total]] / SnapshotTable[[#This Row],[Equity Shares]], "")</f>
        <v/>
      </c>
      <c r="S159" s="269">
        <f>SnapshotTable[[#This Row],[Last Price]] * SnapshotTable[[#This Row],[Equity Shares]]</f>
        <v>0</v>
      </c>
      <c r="T159" s="269">
        <f>SnapshotTable[[#This Row],[Equity Value]] - SnapshotTable[[#This Row],[Equity Basis Total]]</f>
        <v>0</v>
      </c>
      <c r="U159" s="270" t="str">
        <f>IF(SnapshotTable[[#This Row],[Equity Basis Total]] &gt; 0, SnapshotTable[[#This Row],[Equity G/L]] / SnapshotTable[[#This Row],[Equity Basis Total]], "")</f>
        <v/>
      </c>
      <c r="V159" s="268"/>
      <c r="W159" s="268"/>
      <c r="X159" s="4" t="str">
        <f>IF(AND(ISNUMBER(SnapshotTable[[#This Row],[Equity Basis Per Share]]),ISNUMBER(SnapshotTable[[#This Row],[Equity Target]])),SnapshotTable[[#This Row],[Equity Target]]-SnapshotTable[[#This Row],[Equity Basis Per Share]],"")</f>
        <v/>
      </c>
      <c r="Y159" s="4" t="str">
        <f>IF(AND(ISNUMBER(SnapshotTable[[#This Row],[Equity Basis Per Share]]),ISNUMBER(SnapshotTable[[#This Row],[Equity Stop Loss]])),SnapshotTable[[#This Row],[Equity Stop Loss]]-SnapshotTable[[#This Row],[Equity Basis Per Share]],"")</f>
        <v/>
      </c>
      <c r="Z159" s="275" t="str">
        <f>IFERROR( TEXT(SnapshotTable[[#This Row],[Equity Max Gain Per Share]] /ABS( SnapshotTable[[#This Row],[Equity Max Loss Per Share]]),"0.0 " ) &amp; " : 1", "")</f>
        <v/>
      </c>
      <c r="AA159" s="31" t="str">
        <f>IF(ISNUMBER(SnapshotTable[[#This Row],[Equity Max Gain Per Share]]),SnapshotTable[[#This Row],[Equity Max Gain Per Share]] * SnapshotTable[[#This Row],[Equity Shares]],"")</f>
        <v/>
      </c>
      <c r="AB159" s="31" t="str">
        <f>IF(ISNUMBER(SnapshotTable[[#This Row],[Equity Max Loss Per Share]]),SnapshotTable[[#This Row],[Equity Max Loss Per Share]] * SnapshotTable[[#This Row],[Equity Shares]],"")</f>
        <v/>
      </c>
      <c r="AC159" s="150"/>
      <c r="AD159" s="151" t="s">
        <v>2</v>
      </c>
      <c r="AE159" s="31">
        <f>(SnapshotTable[[#This Row],[Annual Dividend Per Share]] / 4) * SnapshotTable[[#This Row],[Equity Shares]]</f>
        <v>0</v>
      </c>
      <c r="AF159" s="31">
        <f>SnapshotTable[[#This Row],[Quarterly Div $]] * 4</f>
        <v>0</v>
      </c>
      <c r="AG159" s="7">
        <f>IF(SnapshotTable[[#This Row],[Annual Dividend Per Share]]&gt;0, SnapshotTable[[#This Row],[Annual Dividend Per Share]]  / SnapshotTable[[#This Row],[Last Price]], 0)</f>
        <v>0</v>
      </c>
      <c r="AH159" s="151"/>
      <c r="AI159" s="5"/>
      <c r="AJ159" s="138" t="s">
        <v>164</v>
      </c>
      <c r="AK159" s="152" t="str">
        <f>IF(ISNUMBER( SnapshotTable[[#This Row],[EBF Target]]),(SnapshotTable[[#This Row],[EBF Target]] - SnapshotTable[[#This Row],[Last Price]]) / SnapshotTable[[#This Row],[Last Price]], "")</f>
        <v/>
      </c>
      <c r="AL159" s="152" t="str">
        <f>IF(AND(SnapshotTable[[#This Row],[Equity Basis Total]] &gt; 0,ISNUMBER( SnapshotTable[[#This Row],[Long Term Target]])), SnapshotTable[[#This Row],[From Basis $]] / SnapshotTable[[#This Row],[Equity Basis Total]], "")</f>
        <v/>
      </c>
      <c r="AM159" s="9">
        <f>IF( AND(SnapshotTable[[#This Row],[Equity Shares]] &gt;0,ISNUMBER( SnapshotTable[[#This Row],[Long Term Target]])),(SnapshotTable[[#This Row],[Equity Shares]] * SnapshotTable[[#This Row],[Long Term Target]]) - SnapshotTable[[#This Row],[Equity Basis Total]],0)</f>
        <v>0</v>
      </c>
      <c r="AN159" s="9">
        <f>IF( AND(SnapshotTable[[#This Row],[Equity Shares]] &gt;0,ISNUMBER( SnapshotTable[[#This Row],[Long Term Target]])),(SnapshotTable[[#This Row],[Equity Shares]]*SnapshotTable[[#This Row],[Long Term Target]]) - SnapshotTable[[#This Row],[Equity Value]],0)</f>
        <v>0</v>
      </c>
      <c r="AO159" s="152" t="str">
        <f>IF(AND(ISNUMBER( SnapshotTable[[#This Row],[Long Term Target]]), ISNUMBER(SnapshotTable[[#This Row],[Last Price]])),(SnapshotTable[[#This Row],[Long Term Target]] - SnapshotTable[[#This Row],[Last Price]]) / SnapshotTable[[#This Row],[Last Price]], "")</f>
        <v/>
      </c>
      <c r="AP159" s="5"/>
      <c r="AQ159" s="38"/>
      <c r="AR159" s="5"/>
      <c r="AS159" s="38"/>
      <c r="AT159" s="146"/>
      <c r="AU159" s="187" t="str">
        <f>IF(OR(SnapshotTable[[#This Row],[LP No Fill]]="Y",SnapshotTable[[#This Row],[SP Is Filled]],SnapshotTable[[#This Row],[LC Not Filled]]="Y",SnapshotTable[[#This Row],[SC Is Filled]]),"Y","")</f>
        <v/>
      </c>
      <c r="AV159" s="219"/>
      <c r="AW159" s="225"/>
      <c r="AX159" s="220"/>
      <c r="AY159" s="219" t="str">
        <f>IF(SnapshotTable[[#This Row],[Implied Move]]&gt;0, SnapshotTable[[#This Row],[Last Price]]-SnapshotTable[[#This Row],[Implied Move]],"")</f>
        <v/>
      </c>
      <c r="AZ159" s="219" t="str">
        <f>IF(SnapshotTable[[#This Row],[Implied Move]]&gt;0, SnapshotTable[[#This Row],[Last Price]] + SnapshotTable[[#This Row],[Implied Move]],"")</f>
        <v/>
      </c>
      <c r="BA159" s="331"/>
      <c r="BB159" s="347"/>
      <c r="BC15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9" s="351"/>
      <c r="BE159" s="5"/>
      <c r="BF159" s="14"/>
      <c r="BG159" s="13"/>
      <c r="BH159" s="13"/>
      <c r="BI159" s="5"/>
      <c r="BJ159" s="136">
        <f>IF(SnapshotTable[[#This Row],[LP Qty]] &gt; 0, SnapshotTable[[#This Row],[LP Qty]] * SnapshotTable[[#This Row],[LP Book Price]] * 100,0)</f>
        <v>0</v>
      </c>
      <c r="BK159" s="136">
        <f>IF(SnapshotTable[[#This Row],[LP Premium]] &gt; 0, SnapshotTable[[#This Row],[LP Qty]] * SnapshotTable[[#This Row],[LP Strike Price]] * 100,0)</f>
        <v>0</v>
      </c>
      <c r="BL159" s="154"/>
      <c r="BM159" s="385" t="str">
        <f>IF(SnapshotTable[[#This Row],[LP Premium]] &gt; 0,SnapshotTable[[#This Row],[LP Exp Date]]-MAX(SnapshotTable[[#This Row],[LP Book Date]], SnapshotTable[[#This Row],[LP Fill Date]]),"")</f>
        <v/>
      </c>
      <c r="BN159" s="385" t="str">
        <f>IF(ISNUMBER( SnapshotTable[[#This Row],[LP Term]]), SnapshotTable[[#This Row],[LP Exp Date]] - MockToday,"")</f>
        <v/>
      </c>
      <c r="BO159" s="163" t="str">
        <f>IF(AND(SnapshotTable[[#This Row],[LP Exp Date]]&gt;0, SnapshotTable[[#This Row],[LP Strike Price]]&gt;0,SnapshotTable[[#This Row],[LP Qty]]&gt;0,SnapshotTable[[#This Row],[LP Book Date]]&gt;0,SnapshotTable[[#This Row],[LP Book Price]]&gt;0,SnapshotTable[[#This Row],[LP Fill Date]]=0),"Y","")</f>
        <v/>
      </c>
      <c r="BP159" s="31" t="str">
        <f>IF(AND(SnapshotTable[[#This Row],[LP No Fill]]&lt;&gt;"Y",SnapshotTable[[#This Row],[LP Contract Value]]&gt;0, SnapshotTable[[#This Row],[LP Qty]]&gt;0), SnapshotTable[[#This Row],[LP Contract Value]]*SnapshotTable[[#This Row],[LP Qty]]*100,"")</f>
        <v/>
      </c>
      <c r="BQ159" s="13"/>
      <c r="BR159" s="5" t="str">
        <f>IF(SnapshotTable[[#This Row],[SP Exp Date]]&lt;&gt;"",TRUNC(SnapshotTable[[#This Row],[Last Price]]),"")</f>
        <v/>
      </c>
      <c r="BS159" s="36"/>
      <c r="BT159" s="147"/>
      <c r="BU159" s="13"/>
      <c r="BV159" s="5"/>
      <c r="BW159" s="419" t="b">
        <f>AND(ISNUMBER(SnapshotTable[[#This Row],[SP Exp Date]]), ISNUMBER(SnapshotTable[[#This Row],[SP Strike Price]]), ISNUMBER(SnapshotTable[[#This Row],[SP Qty]]), ISNUMBER(SnapshotTable[[#This Row],[SP Book Date]]), ISNUMBER(SnapshotTable[[#This Row],[SP Book Price]]))</f>
        <v>0</v>
      </c>
      <c r="BX159" s="419" t="b">
        <f>AND(SnapshotTable[[#This Row],[SP Is Booked]], NOT(ISBLANK(SnapshotTable[[#This Row],[SP Fill Date]])))</f>
        <v>0</v>
      </c>
      <c r="BY159" s="33">
        <f>IF(SnapshotTable[[#This Row],[SP Is Booked]], SnapshotTable[[#This Row],[SP Qty]] * SnapshotTable[[#This Row],[SP Book Price]] * 100, 0)</f>
        <v>0</v>
      </c>
      <c r="BZ159" s="369"/>
      <c r="CA159" s="368">
        <f>SnapshotTable[[#This Row],[LP Qty]]</f>
        <v>0</v>
      </c>
      <c r="CB159" s="4" t="str">
        <f>IF(SnapshotTable[[#This Row],[SP Is Booked]], SnapshotTable[[#This Row],[SP Strike Price]] - SnapshotTable[[#This Row],[SP Book Price]], "")</f>
        <v/>
      </c>
      <c r="CC159" s="19" t="str">
        <f>IF(SnapshotTable[[#This Row],[SP Is Booked]],SnapshotTable[[#This Row],[SP Exp Date]]-MAX(SnapshotTable[[#This Row],[SP Book Date]], SnapshotTable[[#This Row],[SP Fill Date]]),"")</f>
        <v/>
      </c>
      <c r="CD159" s="7" t="str">
        <f>IF(SnapshotTable[[#This Row],[SP Is Booked]], SnapshotTable[[#This Row],[SP Book Price]]/SnapshotTable[[#This Row],[SP Strike Price]], "")</f>
        <v/>
      </c>
      <c r="CE159" s="7" t="str">
        <f>IF(ISNUMBER(SnapshotTable[[#This Row],[SP ROO Term]]),SnapshotTable[[#This Row],[SP ROO Term]]*(365/SnapshotTable[[#This Row],[SP Term]]),"")</f>
        <v/>
      </c>
      <c r="CF159" s="236">
        <f>SnapshotTable[[#This Row],[LP Strike Price]] * SnapshotTable[[#This Row],[LP Qty]] * 100</f>
        <v>0</v>
      </c>
      <c r="CG159" s="31" t="e">
        <f>IF(ISNUMBER(SnapshotTable[[#This Row],[SP Premium]]), (SnapshotTable[[#This Row],[SP Qty]] * SnapshotTable[[#This Row],[SP Strike Price]]* 100) - SnapshotTable[[#This Row],[LP Protection]], 0)</f>
        <v>#VALUE!</v>
      </c>
      <c r="CH159" s="7" t="str">
        <f>IF(ISNUMBER(SnapshotTable[[#This Row],[SP Break Even]]),-1 * (SnapshotTable[[#This Row],[SP Break Even]] - SnapshotTable[[#This Row],[Last Price]]) / SnapshotTable[[#This Row],[Last Price]], "")</f>
        <v/>
      </c>
      <c r="CI159" s="31">
        <f>IF(AND(ISNUMBER((SnapshotTable[[#This Row],[SP Potential Spend]])), SnapshotTable[[#This Row],[SP Strike Price]] &gt; SnapshotTable[[#This Row],[Last Price]], SnapshotTable[[#This Row],[SP Is Filled]]), SnapshotTable[[#This Row],[SP Potential Spend]] -  SnapshotTable[[#This Row],[LP Max Value]], 0)</f>
        <v>0</v>
      </c>
      <c r="CJ159" s="244"/>
      <c r="CK159" s="31" t="str">
        <f>IF(ISNUMBER(SnapshotTable[[#This Row],[SP Potential Spend]]),IF(ISNUMBER(SnapshotTable[[#This Row],[SP POW]]), SnapshotTable[[#This Row],[SP POW]] * SnapshotTable[[#This Row],[SP Potential Spend]], SnapshotTable[[#This Row],[SP Potential Spend]]), "")</f>
        <v/>
      </c>
      <c r="CL159" s="164" t="e">
        <f>IF(NOT(SnapshotTable[[#This Row],[SP Is Filled]]),(SnapshotTable[[#This Row],[SP Qty]] * SnapshotTable[[#This Row],[SP Strike Price]] * 100) - SnapshotTable[[#This Row],[LP Max Value]],"")</f>
        <v>#VALUE!</v>
      </c>
      <c r="CM159" s="31" t="str">
        <f>IF(SnapshotTable[[#This Row],[SP Actual Spend]]&lt;&gt;0, ((SnapshotTable[[#This Row],[SP Strike Price]]-SnapshotTable[[#This Row],[Last Price]]) *(SnapshotTable[[#This Row],[SP Qty]]*100) - SnapshotTable[[#This Row],[SP Premium]]) * - 1, "")</f>
        <v/>
      </c>
      <c r="CN159" s="78"/>
      <c r="CO159" s="369"/>
      <c r="CP159" s="4" t="str">
        <f>IF(SnapshotTable[[#This Row],[SP Is Filled]], btc_max_buyback_amount(SnapshotTable[[#This Row],[SP Fill Date]],SnapshotTable[[#This Row],[SP Exp Date]], SnapshotTable[[#This Row],[SP Book Price]]),"")</f>
        <v/>
      </c>
      <c r="CQ159" s="78"/>
      <c r="CR15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9" s="155" t="str">
        <f>IF(SnapshotTable[[#This Row],[SP Is Filled]], btc_next_cutoff_date(SnapshotTable[[#This Row],[SP Fill Date]],SnapshotTable[[#This Row],[SP Exp Date]]),"")</f>
        <v/>
      </c>
      <c r="CT159" s="235" t="str" cm="1">
        <f t="array" ref="CT159">IF(SnapshotTable[[#This Row],[SP Is Filled]], btc_should_buy_back(SnapshotTable[[#This Row],[SP Fill Date]], SnapshotTable[[#This Row],[SP Exp Date]], SnapshotTable[[#This Row],[SP Book Price]], SnapshotTable[[#This Row],[SP Current Ask]], MockToday, SnapshotTable[[#This Row],[SP Buyback Override]]),"")</f>
        <v/>
      </c>
      <c r="CU159" s="143"/>
      <c r="CV159" s="235"/>
      <c r="CW159" s="378" t="str">
        <f>IF(ISNUMBER( SnapshotTable[[#This Row],[SP Term]]), SnapshotTable[[#This Row],[SP Exp Date]] - MockToday,"")</f>
        <v/>
      </c>
      <c r="CX159" s="31" t="str">
        <f>IF(SnapshotTable[[#This Row],[SP Is Filled]],SnapshotTable[[#This Row],[SP Buyback Price to Use]] * 100 * SnapshotTable[[#This Row],[SP Qty]], "")</f>
        <v/>
      </c>
      <c r="CY159" s="4" t="str">
        <f>IF(ISNUMBER(SnapshotTable[[#This Row],[SP Strike Price]]), SnapshotTable[[#This Row],[SP Strike Price]] * (1 - SP_MaxLoss_StrikePct), "")</f>
        <v/>
      </c>
      <c r="CZ159" s="31" t="str">
        <f>IF(ISNUMBER(SnapshotTable[[#This Row],[SP Strike  Stop Per Share]]),SnapshotTable[[#This Row],[SP Premium]] - ((SnapshotTable[[#This Row],[SP Strike Price]]-SnapshotTable[[#This Row],[SP Strike  Stop Per Share]]) *(SnapshotTable[[#This Row],[SP Qty]] * 100)),"")</f>
        <v/>
      </c>
      <c r="DA159" s="4" t="str">
        <f>IF(AND(ISNUMBER(SnapshotTable[[#This Row],[SP Premium]]),SnapshotTable[[#This Row],[SP Premium]]&gt;0), SnapshotTable[[#This Row],[SP Book Price]] * (1 + SP_MaxLoss_OptionPct), "")</f>
        <v/>
      </c>
      <c r="DB159" s="31" t="str">
        <f>IF(ISNUMBER(SnapshotTable[[#This Row],[SP Option  Stop Contract]]),(SnapshotTable[[#This Row],[SP Option  Stop Contract]] *(SnapshotTable[[#This Row],[SP Qty]] * 100) - SnapshotTable[[#This Row],[SP Premium]]),"")</f>
        <v/>
      </c>
      <c r="DC159" s="4"/>
      <c r="DD159" s="4"/>
      <c r="DE159" s="4" t="str">
        <f>IF(AND(SnapshotTable[[#This Row],[SP Qty]]&gt;0, SnapshotTable[[#This Row],[SP Stop To Use]]&gt;0),SnapshotTable[[#This Row],[SP Premium]] - ( SnapshotTable[[#This Row],[SP Qty]] * SnapshotTable[[#This Row],[SP Stop To Use]] * 100), "")</f>
        <v/>
      </c>
      <c r="DF159" s="31" t="str">
        <f>IF(AND(SnapshotTable[[#This Row],[SP Qty]]&gt;0,SnapshotTable[[#This Row],[SP Current Ask]]&gt;0), SnapshotTable[[#This Row],[SP Qty]] * SnapshotTable[[#This Row],[SP Current Ask]] * -100, "")</f>
        <v/>
      </c>
      <c r="DG159" s="31" t="str">
        <f>IF(ISNUMBER((SnapshotTable[[#This Row],[SP Total Value]])), SnapshotTable[[#This Row],[SP Premium]] + SnapshotTable[[#This Row],[SP Total Value]], "")</f>
        <v/>
      </c>
      <c r="DH159" s="294" t="str">
        <f>IF(ISNUMBER((SnapshotTable[[#This Row],[SP Total Value]])), SnapshotTable[[#This Row],[SP Gain Loss]] / SnapshotTable[[#This Row],[SP Premium]], "")</f>
        <v/>
      </c>
      <c r="DI159" s="406"/>
      <c r="DJ159" s="138"/>
      <c r="DK159" s="148"/>
      <c r="DL159" s="13"/>
      <c r="DM159" s="13"/>
      <c r="DO159" s="31">
        <f>IF(SnapshotTable[[#This Row],[LC Symbol Count]]=1, SnapshotTable[[#This Row],[LC Qty]] * SnapshotTable[[#This Row],[LC Book Price]] * 100, 0)</f>
        <v>0</v>
      </c>
      <c r="DP159" s="163" t="str">
        <f>IF(AND(SnapshotTable[[#This Row],[LC Exp Date]]&gt;0, SnapshotTable[[#This Row],[LC Strike Price]]&gt;0,SnapshotTable[[#This Row],[LC Qty]]&gt;0,SnapshotTable[[#This Row],[LC Book Date]]&gt;0,SnapshotTable[[#This Row],[LC Book Price]]&gt;0,SnapshotTable[[#This Row],[LC Fill Date]]=0),"Y","")</f>
        <v/>
      </c>
      <c r="DQ159" s="386" t="str">
        <f>IF(SnapshotTable[[#This Row],[LC Premium]] &gt; 0,SnapshotTable[[#This Row],[LC Exp Date]]-MAX(SnapshotTable[[#This Row],[LC Book Date]], SnapshotTable[[#This Row],[LC Fill Date]]),"")</f>
        <v/>
      </c>
      <c r="DR159" s="386" t="str">
        <f>IF(ISNUMBER(SnapshotTable[[#This Row],[LC Term]]), SnapshotTable[[#This Row],[LC Exp Date]] - MockToday, "")</f>
        <v/>
      </c>
      <c r="DS159" s="234" t="str">
        <f>IF(SnapshotTable[[#This Row],[LC Premium]]&gt;0,SnapshotTable[[#This Row],[LC Strike Price]] + SnapshotTable[[#This Row],[LC Book Price]],"")</f>
        <v/>
      </c>
      <c r="DU159" s="9" t="str">
        <f>IF(AND(SnapshotTable[[#This Row],[LC Symbol Count]]&gt;0, SnapshotTable[[#This Row],[LC Contract Value]]&gt;0), SnapshotTable[[#This Row],[LC Contract Value]] * SnapshotTable[[#This Row],[LC Qty]] * 100, "")</f>
        <v/>
      </c>
      <c r="DV159" s="9" t="str">
        <f>IF(AND(ISNUMBER(SnapshotTable[[#This Row],[LC Total Value]]), SnapshotTable[[#This Row],[LC Not Filled]]&lt;&gt;"Y"), SnapshotTable[[#This Row],[LC Total Value]]-SnapshotTable[[#This Row],[LC Premium]],"")</f>
        <v/>
      </c>
      <c r="DW159" s="240" t="str">
        <f>IF(ISNUMBER(SnapshotTable[[#This Row],[LC Actual Gain Loss]]), SnapshotTable[[#This Row],[LC Actual Gain Loss]] / SnapshotTable[[#This Row],[LC Premium]],"")</f>
        <v/>
      </c>
      <c r="DX159" s="284" t="str">
        <f>IF(ISNUMBER(SnapshotTable[[#This Row],[LC Book Price]]),SnapshotTable[[#This Row],[LC Book Price]] * 1.5,"")</f>
        <v/>
      </c>
      <c r="DY159" s="265" t="str">
        <f>IF(SnapshotTable[[#This Row],[LC Premium]]&gt;0, SnapshotTable[[#This Row],[LC Next Target]] * SnapshotTable[[#This Row],[LC Qty]] * 100,"")</f>
        <v/>
      </c>
      <c r="DZ159" s="265" t="str">
        <f>IF(ISNUMBER(SnapshotTable[[#This Row],[LC Target Gross]]), SnapshotTable[[#This Row],[LC Target Gross]] - SnapshotTable[[#This Row],[LC Premium]], "")</f>
        <v/>
      </c>
      <c r="EA159" s="305" t="str">
        <f>IF(ISNUMBER(SnapshotTable[[#This Row],[LC Target Gain Loss]]), SnapshotTable[[#This Row],[LC Target Gain Loss]]/SnapshotTable[[#This Row],[LC Premium]], "")</f>
        <v/>
      </c>
      <c r="EB159" s="262"/>
      <c r="EC159" s="283" t="str">
        <f>IF(SnapshotTable[[#This Row],[LC Premium]]&gt;0, SnapshotTable[[#This Row],[LC Book Price]] * (1 - LC_StopLoss_Pct),"")</f>
        <v/>
      </c>
      <c r="ED159" s="284"/>
      <c r="EE159" s="283" t="str">
        <f>IF(ISNUMBER(SnapshotTable[[#This Row],[LC Contract Value]]),IF(ISNUMBER(SnapshotTable[[#This Row],[LC Stop Loss Override]]), SnapshotTable[[#This Row],[LC Stop Loss Override]],SnapshotTable[[#This Row],[LC Stop Loss Calc Target]]),"")</f>
        <v/>
      </c>
      <c r="EF159" s="31" t="str">
        <f>IF(ISNUMBER(SnapshotTable[[#This Row],[LC Stop  To Use]]), (SnapshotTable[[#This Row],[LC Stop  To Use]] * SnapshotTable[[#This Row],[LC Qty]] * 100),"")</f>
        <v/>
      </c>
      <c r="EG159" s="9" t="str">
        <f>IF(ISNUMBER(SnapshotTable[[#This Row],[LC Total Value]]),SnapshotTable[[#This Row],[LC Stop Loss Amount]] - SnapshotTable[[#This Row],[LC Premium]],"")</f>
        <v/>
      </c>
      <c r="EH159" s="9">
        <f>IF(ISNUMBER(SnapshotTable[[#This Row],[LC Premium]]), SnapshotTable[[#This Row],[LC Qty]] * 100 * SnapshotTable[[#This Row],[LC Strike Price]], "")</f>
        <v>0</v>
      </c>
      <c r="EI159" s="240" t="str">
        <f>IF(AND(ISNUMBER(SnapshotTable[[#This Row],[LC Total Value]]),SnapshotTable[[#This Row],[LC Total Value]]&gt;0),SnapshotTable[[#This Row],[LC Stop Gain Loss]]  / SnapshotTable[[#This Row],[LC Premium]],"")</f>
        <v/>
      </c>
      <c r="EJ159" s="35">
        <f>IF(ISNUMBER(SnapshotTable[[#This Row],[Equity Shares]]),TRUNC(SnapshotTable[[#This Row],[Equity Shares]] / 100),0) + SnapshotTable[[#This Row],[LC Qty]]</f>
        <v>0</v>
      </c>
      <c r="EK159" s="147"/>
      <c r="EL159" s="138" t="str">
        <f>IF(SnapshotTable[[#This Row],[SC Exp Date]]&lt;&gt;"",TRUNC(SnapshotTable[[#This Row],[Last Price]]),"")</f>
        <v/>
      </c>
      <c r="EM159" s="148"/>
      <c r="EN159" s="147"/>
      <c r="EO159" s="147"/>
      <c r="EP159" s="138"/>
      <c r="EQ159" s="419" t="b">
        <f>AND(ISNUMBER(SnapshotTable[[#This Row],[SC Exp Date]]), ISNUMBER(SnapshotTable[[#This Row],[SC Strike Price]]), ISNUMBER(SnapshotTable[[#This Row],[SC Qty]]), ISNUMBER(SnapshotTable[[#This Row],[SC Book Date]]), ISNUMBER(SnapshotTable[[#This Row],[SC Book Price]]))</f>
        <v>0</v>
      </c>
      <c r="ER159" s="419" t="b">
        <f>AND(SnapshotTable[[#This Row],[SC Is Booked]], NOT(ISBLANK(SnapshotTable[[#This Row],[SC Fill Date]])))</f>
        <v>0</v>
      </c>
      <c r="ES159" s="370"/>
      <c r="ET159" s="34" t="str">
        <f>IF(AND(ISNUMBER(SnapshotTable[[#This Row],[SC Exp Date]]), ISNUMBER(SnapshotTable[[#This Row],[SC Book Date]])), SnapshotTable[[#This Row],[SC Exp Date]] - MAX(SnapshotTable[[#This Row],[SC Book Date]], SnapshotTable[[#This Row],[SC Fill Date]]) + 1, "")</f>
        <v/>
      </c>
      <c r="EU159" s="34" t="str">
        <f>IF(ISNUMBER(SnapshotTable[[#This Row],[SC Term]]), SnapshotTable[[#This Row],[SC Exp Date]]- MockToday, "")</f>
        <v/>
      </c>
      <c r="EV159" s="31">
        <f>IF(SnapshotTable[[#This Row],[SC Is Booked]], SnapshotTable[[#This Row],[SC Qty]] * SnapshotTable[[#This Row],[SC Book Price]] * 100, 0)</f>
        <v>0</v>
      </c>
      <c r="EW159" s="4" t="str">
        <f>IF(AND(ISNUMBER(SnapshotTable[[#This Row],[Last Price]]), ISNUMBER( SnapshotTable[[#This Row],[SC Book Price]])), SnapshotTable[[#This Row],[Last Price]] - SnapshotTable[[#This Row],[SC Book Price]],"")</f>
        <v/>
      </c>
      <c r="EX159" s="234" t="str">
        <f>IF(SnapshotTable[[#This Row],[SC Is Booked]],IF(SnapshotTable[[#This Row],[SC Intrinsic Value]] &gt; 0, SnapshotTable[[#This Row],[SC Strike Price]], SnapshotTable[[#This Row],[Last Price]]), "")</f>
        <v/>
      </c>
      <c r="EY159" s="4">
        <f>IF(SnapshotTable[[#This Row],[SC Is Booked]], (MinimumPremiumRequired * SnapshotTable[[#This Row],[SC Basis]] * SnapshotTable[[#This Row],[SC Term]]), 0)</f>
        <v>0</v>
      </c>
      <c r="EZ159" s="283"/>
      <c r="FA159" s="218"/>
      <c r="FB159" s="370"/>
      <c r="FC159" s="4">
        <f>IF(SnapshotTable[[#This Row],[SC Is Filled]], btc_max_buyback_amount(SnapshotTable[[#This Row],[SC Fill Date]],SnapshotTable[[#This Row],[SC Exp Date]], SnapshotTable[[#This Row],[SC Book Price]]),0)</f>
        <v>0</v>
      </c>
      <c r="FD159" s="5"/>
      <c r="FE159" s="144" t="str">
        <f>IF(SnapshotTable[[#This Row],[SC Is Filled]], btc_next_cutoff_date(SnapshotTable[[#This Row],[SC Fill Date]],SnapshotTable[[#This Row],[SC Exp Date]]),"")</f>
        <v/>
      </c>
      <c r="FF159" s="4" t="str" cm="1">
        <f t="array" ref="FF159">IF(SnapshotTable[[#This Row],[SC Is Filled]], btc_should_buy_back(SnapshotTable[[#This Row],[SC Fill Date]], SnapshotTable[[#This Row],[SC Exp Date]], SnapshotTable[[#This Row],[SC Book Price]], SnapshotTable[[#This Row],[SC Current Ask]], MockToday, SnapshotTable[[#This Row],[SC Buyback Override]]),"")</f>
        <v/>
      </c>
      <c r="FG159" s="4">
        <f>IF(SnapshotTable[[#This Row],[SC Is Filled]], MAX(0,SnapshotTable[[#This Row],[Last Price]]  - SnapshotTable[[#This Row],[SC Strike Price]]), 0)</f>
        <v>0</v>
      </c>
      <c r="FH159" s="382">
        <f>IF(SnapshotTable[[#This Row],[SC Is Filled]], IF(ISNUMBER(SnapshotTable[[#This Row],[SC Current Ask]]), SnapshotTable[[#This Row],[SC Current Ask]], SnapshotTable[[#This Row],[SC Book Price]]) - SnapshotTable[[#This Row],[SC Intrinsic Value]], 0)</f>
        <v>0</v>
      </c>
      <c r="FI159" s="143"/>
      <c r="FJ159" s="32" t="str">
        <f>IF(SnapshotTable[[#This Row],[SC Is Filled]],100 * SnapshotTable[[#This Row],[SC Qty]] * IF(ISNUMBER(SnapshotTable[[#This Row],[SC Buyback Override]]), SnapshotTable[[#This Row],[SC Buyback Override]], SnapshotTable[[#This Row],[SC Current Ask]]), "")</f>
        <v/>
      </c>
      <c r="FK159" s="250" t="str">
        <f>IF(SnapshotTable[[#This Row],[SC Time Val]]&gt;0, SnapshotTable[[#This Row],[SC Time Val]] / SnapshotTable[[#This Row],[Last Price]],"")</f>
        <v/>
      </c>
      <c r="FL159" s="302" t="str">
        <f>IF(SnapshotTable[[#This Row],[SC Is Booked]], ((SnapshotTable[[#This Row],[Last Price]] -SnapshotTable[[#This Row],[SC Strike Price]]) / SnapshotTable[[#This Row],[Last Price]]) * -1, "")</f>
        <v/>
      </c>
      <c r="FM159" s="157" t="str">
        <f>IF(SnapshotTable[[#This Row],[SC Is Booked]],  (SnapshotTable[[#This Row],[SC Qty]] * 100 * SnapshotTable[[#This Row],[SC Strike Price]]) - SnapshotTable[[#This Row],[SC Current Ask]], "")</f>
        <v/>
      </c>
      <c r="FN15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9" s="31" t="str">
        <f>IF(AND(ISNUMBER(SnapshotTable[[#This Row],[SC Exercise Gross]]), ISNUMBER(SnapshotTable[[#This Row],[Equity Basis Per Share]] )), SnapshotTable[[#This Row],[SC Exercise Gross]] - SnapshotTable[[#This Row],[Equity Basis Total]] +  SnapshotTable[[#This Row],[SC Premium]], "")</f>
        <v/>
      </c>
      <c r="FP159" s="5" t="str">
        <f>IF(ISNUMBER(SnapshotTable[[#This Row],[SC Exercise Gross]]), (SnapshotTable[[#This Row],[SC Exercise Gross]]) / (SnapshotTable[[#This Row],[SC Qty]] * 100), "")</f>
        <v/>
      </c>
      <c r="FQ159" s="27" t="str">
        <f>IF(SnapshotTable[[#This Row],[SC Is Booked]],SnapshotTable[[#This Row],[SC Time Val]] /SnapshotTable[[#This Row],[SC Basis]], "")</f>
        <v/>
      </c>
      <c r="FR159" s="27" t="str" cm="1">
        <f t="array" ref="FR159">IF(AND(ISNUMBER(SnapshotTable[[#This Row],[SC Term]]),ISNUMBER(SnapshotTable[[#This Row],[SC Simple ROO]])), EllmanAnnualize(SnapshotTable[[#This Row],[SC DTE]], SnapshotTable[[#This Row],[SC Simple ROO]] ),"")</f>
        <v/>
      </c>
      <c r="FS159" s="4" t="e">
        <f>IF(SnapshotTable[[#This Row],[SC Strike Price]] &gt; SnapshotTable[[#This Row],[Last Price]], SnapshotTable[[#This Row],[SC Strike Price]] - SnapshotTable[[#This Row],[Last Price]],0)</f>
        <v>#VALUE!</v>
      </c>
      <c r="FT159" s="27" t="e">
        <f>IF(AND(ISNUMBER(SnapshotTable[[#This Row],[SC Upside Potential]]), SnapshotTable[[#This Row],[SC Upside Potential]] &gt; 0),(SnapshotTable[[#This Row],[SC Upside Potential]]/ SnapshotTable[[#This Row],[ACB]]),"")</f>
        <v>#VALUE!</v>
      </c>
      <c r="FU159" s="333" t="str">
        <f>IF(SnapshotTable[[#This Row],[SC Intrinsic Value]] &gt; 0,SnapshotTable[[#This Row],[SC Intrinsic Value]],"")</f>
        <v/>
      </c>
      <c r="FV159" s="27" t="str">
        <f>IF(AND( ISNUMBER( SnapshotTable[[#This Row],[ACB]]),ISNUMBER(SnapshotTable[[#This Row],[SC Downside Protect]])),SnapshotTable[[#This Row],[SC Downside Protect]] / SnapshotTable[[#This Row],[ACB]],"")</f>
        <v/>
      </c>
      <c r="FW159" s="236" t="str">
        <f>IF(AND(ISNUMBER(SnapshotTable[[#This Row],[SC Simple ROO]]),SnapshotTable[[#This Row],[SC Simple ROO]] &gt; 0), SnapshotTable[[#This Row],[SC Premium]] + (SnapshotTable[[#This Row],[SC Qty]] * SnapshotTable[[#This Row],[SC Upside Potential]]), "")</f>
        <v/>
      </c>
      <c r="FX159" s="302" t="str" cm="1">
        <f t="array" ref="FX159">IF(ISNUMBER(SnapshotTable[[#This Row],[SC Max Dollars]]), annualize(SnapshotTable[[#This Row],[SC Term]],(SnapshotTable[[#This Row],[SC Max Dollars]]/SnapshotTable[[#This Row],[SC Basis]])),"")</f>
        <v/>
      </c>
      <c r="FY159" s="236" t="str">
        <f>IF(AND(SnapshotTable[[#This Row],[SC Qty]]&gt;0,SnapshotTable[[#This Row],[SC Current Ask]]&gt;0), SnapshotTable[[#This Row],[SC Qty]] * SnapshotTable[[#This Row],[SC Current Ask]] * -100, "")</f>
        <v/>
      </c>
      <c r="FZ159" s="31" t="str">
        <f>IF(ISNUMBER((SnapshotTable[[#This Row],[SC Current Value]])), SnapshotTable[[#This Row],[SC Premium]] + SnapshotTable[[#This Row],[SC Current Value]], "")</f>
        <v/>
      </c>
      <c r="GA159" s="294" t="str">
        <f>IFERROR( IF(ISNUMBER((SnapshotTable[[#This Row],[SC Current Value]])), SnapshotTable[[#This Row],[SC Gain Loss]] / SnapshotTable[[#This Row],[SC Premium]], ""), "")</f>
        <v/>
      </c>
      <c r="GB159" s="42">
        <f>SnapshotTable[[#This Row],[Equity Shares]] * SaleSharesToConsiderPercentage</f>
        <v>0</v>
      </c>
      <c r="GC159" s="40" t="e">
        <f>SnapshotTable[[#This Row],[Long Term Target]] * SellingPriceToConsiderBasedOnTargetPercentage</f>
        <v>#VALUE!</v>
      </c>
      <c r="GD159" s="40">
        <f>SnapshotTable[[#This Row],[Last Price]] * (1+ SellingPriceToConsiderBasedOnTargetPercentage)</f>
        <v>134.19899999999998</v>
      </c>
      <c r="GE159" s="41"/>
      <c r="GF159" s="40"/>
      <c r="GG159" s="31">
        <f>SnapshotTable[[#This Row],[Booked Sale Shares]] * SnapshotTable[[#This Row],[Booked Sale Price]]</f>
        <v>0</v>
      </c>
      <c r="GH159" s="31" t="str">
        <f>IF(SnapshotTable[[#This Row],[Equity Basis Total]] &gt; 0, SnapshotTable[[#This Row],[Equity Basis Per Share]] * SnapshotTable[[#This Row],[Booked Sale Shares]], "")</f>
        <v/>
      </c>
      <c r="GI159" s="31">
        <f>IF(SnapshotTable[[#This Row],[Sale Proceeds]]&gt;0, SnapshotTable[[#This Row],[Sale Proceeds]] - SnapshotTable[[#This Row],[Sale Basis]], 0)</f>
        <v>0</v>
      </c>
      <c r="GJ159" s="27" t="str">
        <f>IF(SnapshotTable[[#This Row],[Sale G/L]]&gt;0, SnapshotTable[[#This Row],[Sale G/L]] / SnapshotTable[[#This Row],[Sale Basis]], IF(ISNUMBER(SnapshotTable[[#This Row],[SC Exercise P&amp;L (TAX)]]), SnapshotTable[[#This Row],[SC Exercise P&amp;L (TAX)]] / SnapshotTable[[#This Row],[SC Basis]], ""))</f>
        <v/>
      </c>
      <c r="GK159" s="27" t="s">
        <v>700</v>
      </c>
      <c r="GL159" s="43" t="str">
        <f>IF(AND(SnapshotTable[[#This Row],[LP Exp Date]]&gt;0,SnapshotTable[[#This Row],[LP Strike Price]]&gt;0), [1]!ToOptionSymbol(SnapshotTable[[#This Row],[Symbol]], SnapshotTable[[#This Row],[LP Strike Price]],SnapshotTable[[#This Row],[LP Exp Date]],1), "")</f>
        <v/>
      </c>
      <c r="GM159" s="30" t="str">
        <f>IF(LEN(SnapshotTable[[#This Row],[LP Symbol]])&gt;0, 1, "")</f>
        <v/>
      </c>
      <c r="GN159" s="43" t="str">
        <f>IF(AND(SnapshotTable[[#This Row],[SP Exp Date]]&gt;0,SnapshotTable[[#This Row],[SP Strike Price]]&gt;0), [1]!ToOptionSymbol(SnapshotTable[[#This Row],[Symbol]], SnapshotTable[[#This Row],[SP Strike Price]],SnapshotTable[[#This Row],[SP Exp Date]],1), "")</f>
        <v/>
      </c>
      <c r="GO159" s="30" t="str">
        <f>IF(LEN(SnapshotTable[[#This Row],[SP Symbol]])&gt;0, 1, "")</f>
        <v/>
      </c>
      <c r="GP159" s="43" t="str">
        <f>IF(AND(SnapshotTable[[#This Row],[LC Exp Date]]&gt;0,SnapshotTable[[#This Row],[LC Strike Price]]&gt;0), [1]!ToOptionSymbol(SnapshotTable[[#This Row],[Symbol]], SnapshotTable[[#This Row],[LC Strike Price]],SnapshotTable[[#This Row],[LC Exp Date]],0), "")</f>
        <v/>
      </c>
      <c r="GQ159" s="30" t="str">
        <f>IF(LEN(SnapshotTable[[#This Row],[LC Symbol]])&gt;0, 1, "")</f>
        <v/>
      </c>
      <c r="GR159" s="43" t="str">
        <f>IF(AND(SnapshotTable[[#This Row],[SC Exp Date]]&gt;0,SnapshotTable[[#This Row],[SC Strike Price]]&gt;0), [1]!ToOptionSymbol(SnapshotTable[[#This Row],[Symbol]], SnapshotTable[[#This Row],[SC Strike Price]],SnapshotTable[[#This Row],[SC Exp Date]],0), "")</f>
        <v/>
      </c>
      <c r="GS159" s="30" t="str">
        <f>IF(LEN(SnapshotTable[[#This Row],[SC Symbol]])&gt;0, 1, "")</f>
        <v/>
      </c>
      <c r="GT159" s="29" t="str">
        <f>IF(COUNT(SnapshotTable[[#This Row],[LP Symbol Count]],SnapshotTable[[#This Row],[SP Symbol Count]],SnapshotTable[[#This Row],[LC Symbol Count]],SnapshotTable[[#This Row],[SC Symbol Count]])&gt;0, "Y", "")</f>
        <v/>
      </c>
      <c r="GU15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9" s="231" t="e">
        <f>MAX(SnapshotTable[[#This Row],[Equity Basis Total]],SnapshotTable[[#This Row],[Equity Value]]) + (SnapshotTable[[#This Row],[SP Potential Spend]]- SnapshotTable[[#This Row],[SP Premium]] + SnapshotTable[[#This Row],[LP Premium]])+ (SnapshotTable[[#This Row],[LC Premium]] - SnapshotTable[[#This Row],[SC Premium]])</f>
        <v>#VALUE!</v>
      </c>
      <c r="GW159" s="139" t="e">
        <f>IF(AND(SnapshotTable[[#This Row],[Exposure]] &lt;&gt; 0),SnapshotTable[[#This Row],[Exposure]] / SnapshotTable[[#Totals],[Exposure]], "")</f>
        <v>#VALUE!</v>
      </c>
      <c r="HE159" s="268"/>
      <c r="HF159" s="268"/>
      <c r="HK159" s="1"/>
      <c r="HL159" s="1"/>
      <c r="HM159" s="1"/>
      <c r="HN159" s="1"/>
      <c r="HO159" s="1"/>
      <c r="HP159" s="1"/>
    </row>
    <row r="160" spans="2:224" ht="12.75" hidden="1" customHeight="1" x14ac:dyDescent="0.25">
      <c r="B160" s="12" t="s">
        <v>134</v>
      </c>
      <c r="C160" s="422">
        <v>45.33</v>
      </c>
      <c r="D160" s="208"/>
      <c r="E160" s="39">
        <f>SnapshotTable[[#This Row],[Last Price]]*(1 -CrashDiscount)</f>
        <v>38.530499999999996</v>
      </c>
      <c r="F160" s="26" t="s">
        <v>133</v>
      </c>
      <c r="G160" s="26" t="s">
        <v>14</v>
      </c>
      <c r="H160" s="149"/>
      <c r="I160" s="194">
        <v>44755.284722222219</v>
      </c>
      <c r="J160" s="195">
        <v>44755.284722222219</v>
      </c>
      <c r="K160" s="196"/>
      <c r="L160" s="326"/>
      <c r="M160" s="140"/>
      <c r="N160" s="140"/>
      <c r="O160" s="140"/>
      <c r="P160" s="22"/>
      <c r="Q160" s="25"/>
      <c r="R160" s="4" t="str">
        <f>IF(SnapshotTable[[#This Row],[Equity Basis Total]] &gt; 0, SnapshotTable[[#This Row],[Equity Basis Total]] / SnapshotTable[[#This Row],[Equity Shares]], "")</f>
        <v/>
      </c>
      <c r="S160" s="269">
        <f>SnapshotTable[[#This Row],[Last Price]] * SnapshotTable[[#This Row],[Equity Shares]]</f>
        <v>0</v>
      </c>
      <c r="T160" s="269">
        <f>SnapshotTable[[#This Row],[Equity Value]] - SnapshotTable[[#This Row],[Equity Basis Total]]</f>
        <v>0</v>
      </c>
      <c r="U160" s="270" t="str">
        <f>IF(SnapshotTable[[#This Row],[Equity Basis Total]] &gt; 0, SnapshotTable[[#This Row],[Equity G/L]] / SnapshotTable[[#This Row],[Equity Basis Total]], "")</f>
        <v/>
      </c>
      <c r="V160" s="268"/>
      <c r="W160" s="268"/>
      <c r="X160" s="4" t="str">
        <f>IF(AND(ISNUMBER(SnapshotTable[[#This Row],[Equity Basis Per Share]]),ISNUMBER(SnapshotTable[[#This Row],[Equity Target]])),SnapshotTable[[#This Row],[Equity Target]]-SnapshotTable[[#This Row],[Equity Basis Per Share]],"")</f>
        <v/>
      </c>
      <c r="Y160" s="4" t="str">
        <f>IF(AND(ISNUMBER(SnapshotTable[[#This Row],[Equity Basis Per Share]]),ISNUMBER(SnapshotTable[[#This Row],[Equity Stop Loss]])),SnapshotTable[[#This Row],[Equity Stop Loss]]-SnapshotTable[[#This Row],[Equity Basis Per Share]],"")</f>
        <v/>
      </c>
      <c r="Z160" s="275" t="str">
        <f>IFERROR( TEXT(SnapshotTable[[#This Row],[Equity Max Gain Per Share]] /ABS( SnapshotTable[[#This Row],[Equity Max Loss Per Share]]),"0.0 " ) &amp; " : 1", "")</f>
        <v/>
      </c>
      <c r="AA160" s="31" t="str">
        <f>IF(ISNUMBER(SnapshotTable[[#This Row],[Equity Max Gain Per Share]]),SnapshotTable[[#This Row],[Equity Max Gain Per Share]] * SnapshotTable[[#This Row],[Equity Shares]],"")</f>
        <v/>
      </c>
      <c r="AB160" s="31" t="str">
        <f>IF(ISNUMBER(SnapshotTable[[#This Row],[Equity Max Loss Per Share]]),SnapshotTable[[#This Row],[Equity Max Loss Per Share]] * SnapshotTable[[#This Row],[Equity Shares]],"")</f>
        <v/>
      </c>
      <c r="AC160" s="150">
        <v>1.28</v>
      </c>
      <c r="AD160" s="151">
        <v>42883</v>
      </c>
      <c r="AE160" s="31">
        <f>(SnapshotTable[[#This Row],[Annual Dividend Per Share]] / 4) * SnapshotTable[[#This Row],[Equity Shares]]</f>
        <v>0</v>
      </c>
      <c r="AF160" s="31">
        <f>SnapshotTable[[#This Row],[Quarterly Div $]] * 4</f>
        <v>0</v>
      </c>
      <c r="AG160" s="7">
        <f>IF(SnapshotTable[[#This Row],[Annual Dividend Per Share]]&gt;0, SnapshotTable[[#This Row],[Annual Dividend Per Share]]  / SnapshotTable[[#This Row],[Last Price]], 0)</f>
        <v>2.8237370394881979E-2</v>
      </c>
      <c r="AH160" s="151">
        <v>42852</v>
      </c>
      <c r="AI160" s="5"/>
      <c r="AJ160" s="138">
        <v>50.4</v>
      </c>
      <c r="AK160" s="152" t="str">
        <f>IF(ISNUMBER( SnapshotTable[[#This Row],[EBF Target]]),(SnapshotTable[[#This Row],[EBF Target]] - SnapshotTable[[#This Row],[Last Price]]) / SnapshotTable[[#This Row],[Last Price]], "")</f>
        <v/>
      </c>
      <c r="AL160" s="152" t="str">
        <f>IF(AND(SnapshotTable[[#This Row],[Equity Basis Total]] &gt; 0,ISNUMBER( SnapshotTable[[#This Row],[Long Term Target]])), SnapshotTable[[#This Row],[From Basis $]] / SnapshotTable[[#This Row],[Equity Basis Total]], "")</f>
        <v/>
      </c>
      <c r="AM160" s="9">
        <f>IF( AND(SnapshotTable[[#This Row],[Equity Shares]] &gt;0,ISNUMBER( SnapshotTable[[#This Row],[Long Term Target]])),(SnapshotTable[[#This Row],[Equity Shares]] * SnapshotTable[[#This Row],[Long Term Target]]) - SnapshotTable[[#This Row],[Equity Basis Total]],0)</f>
        <v>0</v>
      </c>
      <c r="AN160" s="9">
        <f>IF( AND(SnapshotTable[[#This Row],[Equity Shares]] &gt;0,ISNUMBER( SnapshotTable[[#This Row],[Long Term Target]])),(SnapshotTable[[#This Row],[Equity Shares]]*SnapshotTable[[#This Row],[Long Term Target]]) - SnapshotTable[[#This Row],[Equity Value]],0)</f>
        <v>0</v>
      </c>
      <c r="AO160" s="152">
        <f>IF(AND(ISNUMBER( SnapshotTable[[#This Row],[Long Term Target]]), ISNUMBER(SnapshotTable[[#This Row],[Last Price]])),(SnapshotTable[[#This Row],[Long Term Target]] - SnapshotTable[[#This Row],[Last Price]]) / SnapshotTable[[#This Row],[Last Price]], "")</f>
        <v>0.11184645929847783</v>
      </c>
      <c r="AP160" s="5">
        <v>51.58</v>
      </c>
      <c r="AQ160" s="38" t="s">
        <v>46</v>
      </c>
      <c r="AR160" s="5">
        <v>51.58</v>
      </c>
      <c r="AS160" s="38" t="s">
        <v>45</v>
      </c>
      <c r="AT160" s="146"/>
      <c r="AU160" s="187" t="str">
        <f>IF(OR(SnapshotTable[[#This Row],[LP No Fill]]="Y",SnapshotTable[[#This Row],[SP Is Filled]],SnapshotTable[[#This Row],[LC Not Filled]]="Y",SnapshotTable[[#This Row],[SC Is Filled]]),"Y","")</f>
        <v/>
      </c>
      <c r="AV160" s="219"/>
      <c r="AW160" s="225"/>
      <c r="AX160" s="220"/>
      <c r="AY160" s="219" t="str">
        <f>IF(SnapshotTable[[#This Row],[Implied Move]]&gt;0, SnapshotTable[[#This Row],[Last Price]]-SnapshotTable[[#This Row],[Implied Move]],"")</f>
        <v/>
      </c>
      <c r="AZ160" s="219" t="str">
        <f>IF(SnapshotTable[[#This Row],[Implied Move]]&gt;0, SnapshotTable[[#This Row],[Last Price]] + SnapshotTable[[#This Row],[Implied Move]],"")</f>
        <v/>
      </c>
      <c r="BA160" s="331"/>
      <c r="BB160" s="347"/>
      <c r="BC16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0" s="351"/>
      <c r="BE160" s="5"/>
      <c r="BF160" s="14"/>
      <c r="BG160" s="13"/>
      <c r="BH160" s="13"/>
      <c r="BI160" s="5"/>
      <c r="BJ160" s="136">
        <f>IF(SnapshotTable[[#This Row],[LP Qty]] &gt; 0, SnapshotTable[[#This Row],[LP Qty]] * SnapshotTable[[#This Row],[LP Book Price]] * 100,0)</f>
        <v>0</v>
      </c>
      <c r="BK160" s="136">
        <f>IF(SnapshotTable[[#This Row],[LP Premium]] &gt; 0, SnapshotTable[[#This Row],[LP Qty]] * SnapshotTable[[#This Row],[LP Strike Price]] * 100,0)</f>
        <v>0</v>
      </c>
      <c r="BL160" s="154"/>
      <c r="BM160" s="385" t="str">
        <f>IF(SnapshotTable[[#This Row],[LP Premium]] &gt; 0,SnapshotTable[[#This Row],[LP Exp Date]]-MAX(SnapshotTable[[#This Row],[LP Book Date]], SnapshotTable[[#This Row],[LP Fill Date]]),"")</f>
        <v/>
      </c>
      <c r="BN160" s="385" t="str">
        <f>IF(ISNUMBER( SnapshotTable[[#This Row],[LP Term]]), SnapshotTable[[#This Row],[LP Exp Date]] - MockToday,"")</f>
        <v/>
      </c>
      <c r="BO160" s="163" t="str">
        <f>IF(AND(SnapshotTable[[#This Row],[LP Exp Date]]&gt;0, SnapshotTable[[#This Row],[LP Strike Price]]&gt;0,SnapshotTable[[#This Row],[LP Qty]]&gt;0,SnapshotTable[[#This Row],[LP Book Date]]&gt;0,SnapshotTable[[#This Row],[LP Book Price]]&gt;0,SnapshotTable[[#This Row],[LP Fill Date]]=0),"Y","")</f>
        <v/>
      </c>
      <c r="BP160" s="31" t="str">
        <f>IF(AND(SnapshotTable[[#This Row],[LP No Fill]]&lt;&gt;"Y",SnapshotTable[[#This Row],[LP Contract Value]]&gt;0, SnapshotTable[[#This Row],[LP Qty]]&gt;0), SnapshotTable[[#This Row],[LP Contract Value]]*SnapshotTable[[#This Row],[LP Qty]]*100,"")</f>
        <v/>
      </c>
      <c r="BQ160" s="13"/>
      <c r="BR160" s="5" t="str">
        <f>IF(SnapshotTable[[#This Row],[SP Exp Date]]&lt;&gt;"",TRUNC(SnapshotTable[[#This Row],[Last Price]]),"")</f>
        <v/>
      </c>
      <c r="BS160" s="36"/>
      <c r="BT160" s="147"/>
      <c r="BU160" s="13"/>
      <c r="BV160" s="5"/>
      <c r="BW160" s="419" t="b">
        <f>AND(ISNUMBER(SnapshotTable[[#This Row],[SP Exp Date]]), ISNUMBER(SnapshotTable[[#This Row],[SP Strike Price]]), ISNUMBER(SnapshotTable[[#This Row],[SP Qty]]), ISNUMBER(SnapshotTable[[#This Row],[SP Book Date]]), ISNUMBER(SnapshotTable[[#This Row],[SP Book Price]]))</f>
        <v>0</v>
      </c>
      <c r="BX160" s="419" t="b">
        <f>AND(SnapshotTable[[#This Row],[SP Is Booked]], NOT(ISBLANK(SnapshotTable[[#This Row],[SP Fill Date]])))</f>
        <v>0</v>
      </c>
      <c r="BY160" s="33">
        <f>IF(SnapshotTable[[#This Row],[SP Is Booked]], SnapshotTable[[#This Row],[SP Qty]] * SnapshotTable[[#This Row],[SP Book Price]] * 100, 0)</f>
        <v>0</v>
      </c>
      <c r="BZ160" s="369"/>
      <c r="CA160" s="368">
        <f>SnapshotTable[[#This Row],[LP Qty]]</f>
        <v>0</v>
      </c>
      <c r="CB160" s="4" t="str">
        <f>IF(SnapshotTable[[#This Row],[SP Is Booked]], SnapshotTable[[#This Row],[SP Strike Price]] - SnapshotTable[[#This Row],[SP Book Price]], "")</f>
        <v/>
      </c>
      <c r="CC160" s="19" t="str">
        <f>IF(SnapshotTable[[#This Row],[SP Is Booked]],SnapshotTable[[#This Row],[SP Exp Date]]-MAX(SnapshotTable[[#This Row],[SP Book Date]], SnapshotTable[[#This Row],[SP Fill Date]]),"")</f>
        <v/>
      </c>
      <c r="CD160" s="7" t="str">
        <f>IF(SnapshotTable[[#This Row],[SP Is Booked]], SnapshotTable[[#This Row],[SP Book Price]]/SnapshotTable[[#This Row],[SP Strike Price]], "")</f>
        <v/>
      </c>
      <c r="CE160" s="7" t="str">
        <f>IF(ISNUMBER(SnapshotTable[[#This Row],[SP ROO Term]]),SnapshotTable[[#This Row],[SP ROO Term]]*(365/SnapshotTable[[#This Row],[SP Term]]),"")</f>
        <v/>
      </c>
      <c r="CF160" s="236">
        <f>SnapshotTable[[#This Row],[LP Strike Price]] * SnapshotTable[[#This Row],[LP Qty]] * 100</f>
        <v>0</v>
      </c>
      <c r="CG160" s="31" t="e">
        <f>IF(ISNUMBER(SnapshotTable[[#This Row],[SP Premium]]), (SnapshotTable[[#This Row],[SP Qty]] * SnapshotTable[[#This Row],[SP Strike Price]]* 100) - SnapshotTable[[#This Row],[LP Protection]], 0)</f>
        <v>#VALUE!</v>
      </c>
      <c r="CH160" s="7" t="str">
        <f>IF(ISNUMBER(SnapshotTable[[#This Row],[SP Break Even]]),-1 * (SnapshotTable[[#This Row],[SP Break Even]] - SnapshotTable[[#This Row],[Last Price]]) / SnapshotTable[[#This Row],[Last Price]], "")</f>
        <v/>
      </c>
      <c r="CI160" s="31">
        <f>IF(AND(ISNUMBER((SnapshotTable[[#This Row],[SP Potential Spend]])), SnapshotTable[[#This Row],[SP Strike Price]] &gt; SnapshotTable[[#This Row],[Last Price]], SnapshotTable[[#This Row],[SP Is Filled]]), SnapshotTable[[#This Row],[SP Potential Spend]] -  SnapshotTable[[#This Row],[LP Max Value]], 0)</f>
        <v>0</v>
      </c>
      <c r="CJ160" s="244"/>
      <c r="CK160" s="31" t="str">
        <f>IF(ISNUMBER(SnapshotTable[[#This Row],[SP Potential Spend]]),IF(ISNUMBER(SnapshotTable[[#This Row],[SP POW]]), SnapshotTable[[#This Row],[SP POW]] * SnapshotTable[[#This Row],[SP Potential Spend]], SnapshotTable[[#This Row],[SP Potential Spend]]), "")</f>
        <v/>
      </c>
      <c r="CL160" s="164" t="e">
        <f>IF(NOT(SnapshotTable[[#This Row],[SP Is Filled]]),(SnapshotTable[[#This Row],[SP Qty]] * SnapshotTable[[#This Row],[SP Strike Price]] * 100) - SnapshotTable[[#This Row],[LP Max Value]],"")</f>
        <v>#VALUE!</v>
      </c>
      <c r="CM160" s="31" t="str">
        <f>IF(SnapshotTable[[#This Row],[SP Actual Spend]]&lt;&gt;0, ((SnapshotTable[[#This Row],[SP Strike Price]]-SnapshotTable[[#This Row],[Last Price]]) *(SnapshotTable[[#This Row],[SP Qty]]*100) - SnapshotTable[[#This Row],[SP Premium]]) * - 1, "")</f>
        <v/>
      </c>
      <c r="CN160" s="78"/>
      <c r="CO160" s="369"/>
      <c r="CP160" s="4" t="str">
        <f>IF(SnapshotTable[[#This Row],[SP Is Filled]], btc_max_buyback_amount(SnapshotTable[[#This Row],[SP Fill Date]],SnapshotTable[[#This Row],[SP Exp Date]], SnapshotTable[[#This Row],[SP Book Price]]),"")</f>
        <v/>
      </c>
      <c r="CQ160" s="78"/>
      <c r="CR16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0" s="155" t="str">
        <f>IF(SnapshotTable[[#This Row],[SP Is Filled]], btc_next_cutoff_date(SnapshotTable[[#This Row],[SP Fill Date]],SnapshotTable[[#This Row],[SP Exp Date]]),"")</f>
        <v/>
      </c>
      <c r="CT160" s="235" t="str" cm="1">
        <f t="array" ref="CT160">IF(SnapshotTable[[#This Row],[SP Is Filled]], btc_should_buy_back(SnapshotTable[[#This Row],[SP Fill Date]], SnapshotTable[[#This Row],[SP Exp Date]], SnapshotTable[[#This Row],[SP Book Price]], SnapshotTable[[#This Row],[SP Current Ask]], MockToday, SnapshotTable[[#This Row],[SP Buyback Override]]),"")</f>
        <v/>
      </c>
      <c r="CU160" s="143"/>
      <c r="CV160" s="235"/>
      <c r="CW160" s="378" t="str">
        <f>IF(ISNUMBER( SnapshotTable[[#This Row],[SP Term]]), SnapshotTable[[#This Row],[SP Exp Date]] - MockToday,"")</f>
        <v/>
      </c>
      <c r="CX160" s="31" t="str">
        <f>IF(SnapshotTable[[#This Row],[SP Is Filled]],SnapshotTable[[#This Row],[SP Buyback Price to Use]] * 100 * SnapshotTable[[#This Row],[SP Qty]], "")</f>
        <v/>
      </c>
      <c r="CY160" s="4" t="str">
        <f>IF(ISNUMBER(SnapshotTable[[#This Row],[SP Strike Price]]), SnapshotTable[[#This Row],[SP Strike Price]] * (1 - SP_MaxLoss_StrikePct), "")</f>
        <v/>
      </c>
      <c r="CZ160" s="31" t="str">
        <f>IF(ISNUMBER(SnapshotTable[[#This Row],[SP Strike  Stop Per Share]]),SnapshotTable[[#This Row],[SP Premium]] - ((SnapshotTable[[#This Row],[SP Strike Price]]-SnapshotTable[[#This Row],[SP Strike  Stop Per Share]]) *(SnapshotTable[[#This Row],[SP Qty]] * 100)),"")</f>
        <v/>
      </c>
      <c r="DA160" s="4" t="str">
        <f>IF(AND(ISNUMBER(SnapshotTable[[#This Row],[SP Premium]]),SnapshotTable[[#This Row],[SP Premium]]&gt;0), SnapshotTable[[#This Row],[SP Book Price]] * (1 + SP_MaxLoss_OptionPct), "")</f>
        <v/>
      </c>
      <c r="DB160" s="31" t="str">
        <f>IF(ISNUMBER(SnapshotTable[[#This Row],[SP Option  Stop Contract]]),(SnapshotTable[[#This Row],[SP Option  Stop Contract]] *(SnapshotTable[[#This Row],[SP Qty]] * 100) - SnapshotTable[[#This Row],[SP Premium]]),"")</f>
        <v/>
      </c>
      <c r="DC160" s="4"/>
      <c r="DD160" s="4"/>
      <c r="DE160" s="4" t="str">
        <f>IF(AND(SnapshotTable[[#This Row],[SP Qty]]&gt;0, SnapshotTable[[#This Row],[SP Stop To Use]]&gt;0),SnapshotTable[[#This Row],[SP Premium]] - ( SnapshotTable[[#This Row],[SP Qty]] * SnapshotTable[[#This Row],[SP Stop To Use]] * 100), "")</f>
        <v/>
      </c>
      <c r="DF160" s="31" t="str">
        <f>IF(AND(SnapshotTable[[#This Row],[SP Qty]]&gt;0,SnapshotTable[[#This Row],[SP Current Ask]]&gt;0), SnapshotTable[[#This Row],[SP Qty]] * SnapshotTable[[#This Row],[SP Current Ask]] * -100, "")</f>
        <v/>
      </c>
      <c r="DG160" s="31" t="str">
        <f>IF(ISNUMBER((SnapshotTable[[#This Row],[SP Total Value]])), SnapshotTable[[#This Row],[SP Premium]] + SnapshotTable[[#This Row],[SP Total Value]], "")</f>
        <v/>
      </c>
      <c r="DH160" s="294" t="str">
        <f>IF(ISNUMBER((SnapshotTable[[#This Row],[SP Total Value]])), SnapshotTable[[#This Row],[SP Gain Loss]] / SnapshotTable[[#This Row],[SP Premium]], "")</f>
        <v/>
      </c>
      <c r="DI160" s="406"/>
      <c r="DJ160" s="138"/>
      <c r="DK160" s="148"/>
      <c r="DL160" s="13"/>
      <c r="DM160" s="13"/>
      <c r="DO160" s="31">
        <f>IF(SnapshotTable[[#This Row],[LC Symbol Count]]=1, SnapshotTable[[#This Row],[LC Qty]] * SnapshotTable[[#This Row],[LC Book Price]] * 100, 0)</f>
        <v>0</v>
      </c>
      <c r="DP160" s="163" t="str">
        <f>IF(AND(SnapshotTable[[#This Row],[LC Exp Date]]&gt;0, SnapshotTable[[#This Row],[LC Strike Price]]&gt;0,SnapshotTable[[#This Row],[LC Qty]]&gt;0,SnapshotTable[[#This Row],[LC Book Date]]&gt;0,SnapshotTable[[#This Row],[LC Book Price]]&gt;0,SnapshotTable[[#This Row],[LC Fill Date]]=0),"Y","")</f>
        <v/>
      </c>
      <c r="DQ160" s="386" t="str">
        <f>IF(SnapshotTable[[#This Row],[LC Premium]] &gt; 0,SnapshotTable[[#This Row],[LC Exp Date]]-MAX(SnapshotTable[[#This Row],[LC Book Date]], SnapshotTable[[#This Row],[LC Fill Date]]),"")</f>
        <v/>
      </c>
      <c r="DR160" s="386" t="str">
        <f>IF(ISNUMBER(SnapshotTable[[#This Row],[LC Term]]), SnapshotTable[[#This Row],[LC Exp Date]] - MockToday, "")</f>
        <v/>
      </c>
      <c r="DS160" s="234" t="str">
        <f>IF(SnapshotTable[[#This Row],[LC Premium]]&gt;0,SnapshotTable[[#This Row],[LC Strike Price]] + SnapshotTable[[#This Row],[LC Book Price]],"")</f>
        <v/>
      </c>
      <c r="DU160" s="9" t="str">
        <f>IF(AND(SnapshotTable[[#This Row],[LC Symbol Count]]&gt;0, SnapshotTable[[#This Row],[LC Contract Value]]&gt;0), SnapshotTable[[#This Row],[LC Contract Value]] * SnapshotTable[[#This Row],[LC Qty]] * 100, "")</f>
        <v/>
      </c>
      <c r="DV160" s="9" t="str">
        <f>IF(AND(ISNUMBER(SnapshotTable[[#This Row],[LC Total Value]]), SnapshotTable[[#This Row],[LC Not Filled]]&lt;&gt;"Y"), SnapshotTable[[#This Row],[LC Total Value]]-SnapshotTable[[#This Row],[LC Premium]],"")</f>
        <v/>
      </c>
      <c r="DW160" s="240" t="str">
        <f>IF(ISNUMBER(SnapshotTable[[#This Row],[LC Actual Gain Loss]]), SnapshotTable[[#This Row],[LC Actual Gain Loss]] / SnapshotTable[[#This Row],[LC Premium]],"")</f>
        <v/>
      </c>
      <c r="DX160" s="284" t="str">
        <f>IF(ISNUMBER(SnapshotTable[[#This Row],[LC Book Price]]),SnapshotTable[[#This Row],[LC Book Price]] * 1.5,"")</f>
        <v/>
      </c>
      <c r="DY160" s="265" t="str">
        <f>IF(SnapshotTable[[#This Row],[LC Premium]]&gt;0, SnapshotTable[[#This Row],[LC Next Target]] * SnapshotTable[[#This Row],[LC Qty]] * 100,"")</f>
        <v/>
      </c>
      <c r="DZ160" s="265" t="str">
        <f>IF(ISNUMBER(SnapshotTable[[#This Row],[LC Target Gross]]), SnapshotTable[[#This Row],[LC Target Gross]] - SnapshotTable[[#This Row],[LC Premium]], "")</f>
        <v/>
      </c>
      <c r="EA160" s="305" t="str">
        <f>IF(ISNUMBER(SnapshotTable[[#This Row],[LC Target Gain Loss]]), SnapshotTable[[#This Row],[LC Target Gain Loss]]/SnapshotTable[[#This Row],[LC Premium]], "")</f>
        <v/>
      </c>
      <c r="EB160" s="262"/>
      <c r="EC160" s="283" t="str">
        <f>IF(SnapshotTable[[#This Row],[LC Premium]]&gt;0, SnapshotTable[[#This Row],[LC Book Price]] * (1 - LC_StopLoss_Pct),"")</f>
        <v/>
      </c>
      <c r="ED160" s="284"/>
      <c r="EE160" s="283" t="str">
        <f>IF(ISNUMBER(SnapshotTable[[#This Row],[LC Contract Value]]),IF(ISNUMBER(SnapshotTable[[#This Row],[LC Stop Loss Override]]), SnapshotTable[[#This Row],[LC Stop Loss Override]],SnapshotTable[[#This Row],[LC Stop Loss Calc Target]]),"")</f>
        <v/>
      </c>
      <c r="EF160" s="31" t="str">
        <f>IF(ISNUMBER(SnapshotTable[[#This Row],[LC Stop  To Use]]), (SnapshotTable[[#This Row],[LC Stop  To Use]] * SnapshotTable[[#This Row],[LC Qty]] * 100),"")</f>
        <v/>
      </c>
      <c r="EG160" s="9" t="str">
        <f>IF(ISNUMBER(SnapshotTable[[#This Row],[LC Total Value]]),SnapshotTable[[#This Row],[LC Stop Loss Amount]] - SnapshotTable[[#This Row],[LC Premium]],"")</f>
        <v/>
      </c>
      <c r="EH160" s="9">
        <f>IF(ISNUMBER(SnapshotTable[[#This Row],[LC Premium]]), SnapshotTable[[#This Row],[LC Qty]] * 100 * SnapshotTable[[#This Row],[LC Strike Price]], "")</f>
        <v>0</v>
      </c>
      <c r="EI160" s="240" t="str">
        <f>IF(AND(ISNUMBER(SnapshotTable[[#This Row],[LC Total Value]]),SnapshotTable[[#This Row],[LC Total Value]]&gt;0),SnapshotTable[[#This Row],[LC Stop Gain Loss]]  / SnapshotTable[[#This Row],[LC Premium]],"")</f>
        <v/>
      </c>
      <c r="EJ160" s="35">
        <f>IF(ISNUMBER(SnapshotTable[[#This Row],[Equity Shares]]),TRUNC(SnapshotTable[[#This Row],[Equity Shares]] / 100),0) + SnapshotTable[[#This Row],[LC Qty]]</f>
        <v>0</v>
      </c>
      <c r="EK160" s="147"/>
      <c r="EL160" s="138" t="str">
        <f>IF(SnapshotTable[[#This Row],[SC Exp Date]]&lt;&gt;"",TRUNC(SnapshotTable[[#This Row],[Last Price]]),"")</f>
        <v/>
      </c>
      <c r="EM160" s="148"/>
      <c r="EN160" s="147"/>
      <c r="EO160" s="147"/>
      <c r="EP160" s="138"/>
      <c r="EQ160" s="419" t="b">
        <f>AND(ISNUMBER(SnapshotTable[[#This Row],[SC Exp Date]]), ISNUMBER(SnapshotTable[[#This Row],[SC Strike Price]]), ISNUMBER(SnapshotTable[[#This Row],[SC Qty]]), ISNUMBER(SnapshotTable[[#This Row],[SC Book Date]]), ISNUMBER(SnapshotTable[[#This Row],[SC Book Price]]))</f>
        <v>0</v>
      </c>
      <c r="ER160" s="419" t="b">
        <f>AND(SnapshotTable[[#This Row],[SC Is Booked]], NOT(ISBLANK(SnapshotTable[[#This Row],[SC Fill Date]])))</f>
        <v>0</v>
      </c>
      <c r="ES160" s="370"/>
      <c r="ET160" s="34" t="str">
        <f>IF(AND(ISNUMBER(SnapshotTable[[#This Row],[SC Exp Date]]), ISNUMBER(SnapshotTable[[#This Row],[SC Book Date]])), SnapshotTable[[#This Row],[SC Exp Date]] - MAX(SnapshotTable[[#This Row],[SC Book Date]], SnapshotTable[[#This Row],[SC Fill Date]]) + 1, "")</f>
        <v/>
      </c>
      <c r="EU160" s="34" t="str">
        <f>IF(ISNUMBER(SnapshotTable[[#This Row],[SC Term]]), SnapshotTable[[#This Row],[SC Exp Date]]- MockToday, "")</f>
        <v/>
      </c>
      <c r="EV160" s="31">
        <f>IF(SnapshotTable[[#This Row],[SC Is Booked]], SnapshotTable[[#This Row],[SC Qty]] * SnapshotTable[[#This Row],[SC Book Price]] * 100, 0)</f>
        <v>0</v>
      </c>
      <c r="EW160" s="4" t="str">
        <f>IF(AND(ISNUMBER(SnapshotTable[[#This Row],[Last Price]]), ISNUMBER( SnapshotTable[[#This Row],[SC Book Price]])), SnapshotTable[[#This Row],[Last Price]] - SnapshotTable[[#This Row],[SC Book Price]],"")</f>
        <v/>
      </c>
      <c r="EX160" s="234" t="str">
        <f>IF(SnapshotTable[[#This Row],[SC Is Booked]],IF(SnapshotTable[[#This Row],[SC Intrinsic Value]] &gt; 0, SnapshotTable[[#This Row],[SC Strike Price]], SnapshotTable[[#This Row],[Last Price]]), "")</f>
        <v/>
      </c>
      <c r="EY160" s="4">
        <f>IF(SnapshotTable[[#This Row],[SC Is Booked]], (MinimumPremiumRequired * SnapshotTable[[#This Row],[SC Basis]] * SnapshotTable[[#This Row],[SC Term]]), 0)</f>
        <v>0</v>
      </c>
      <c r="EZ160" s="283"/>
      <c r="FA160" s="218"/>
      <c r="FB160" s="370"/>
      <c r="FC160" s="4">
        <f>IF(SnapshotTable[[#This Row],[SC Is Filled]], btc_max_buyback_amount(SnapshotTable[[#This Row],[SC Fill Date]],SnapshotTable[[#This Row],[SC Exp Date]], SnapshotTable[[#This Row],[SC Book Price]]),0)</f>
        <v>0</v>
      </c>
      <c r="FD160" s="5"/>
      <c r="FE160" s="144" t="str">
        <f>IF(SnapshotTable[[#This Row],[SC Is Filled]], btc_next_cutoff_date(SnapshotTable[[#This Row],[SC Fill Date]],SnapshotTable[[#This Row],[SC Exp Date]]),"")</f>
        <v/>
      </c>
      <c r="FF160" s="4" t="str" cm="1">
        <f t="array" ref="FF160">IF(SnapshotTable[[#This Row],[SC Is Filled]], btc_should_buy_back(SnapshotTable[[#This Row],[SC Fill Date]], SnapshotTable[[#This Row],[SC Exp Date]], SnapshotTable[[#This Row],[SC Book Price]], SnapshotTable[[#This Row],[SC Current Ask]], MockToday, SnapshotTable[[#This Row],[SC Buyback Override]]),"")</f>
        <v/>
      </c>
      <c r="FG160" s="4">
        <f>IF(SnapshotTable[[#This Row],[SC Is Filled]], MAX(0,SnapshotTable[[#This Row],[Last Price]]  - SnapshotTable[[#This Row],[SC Strike Price]]), 0)</f>
        <v>0</v>
      </c>
      <c r="FH160" s="382">
        <f>IF(SnapshotTable[[#This Row],[SC Is Filled]], IF(ISNUMBER(SnapshotTable[[#This Row],[SC Current Ask]]), SnapshotTable[[#This Row],[SC Current Ask]], SnapshotTable[[#This Row],[SC Book Price]]) - SnapshotTable[[#This Row],[SC Intrinsic Value]], 0)</f>
        <v>0</v>
      </c>
      <c r="FI160" s="143"/>
      <c r="FJ160" s="32" t="str">
        <f>IF(SnapshotTable[[#This Row],[SC Is Filled]],100 * SnapshotTable[[#This Row],[SC Qty]] * IF(ISNUMBER(SnapshotTable[[#This Row],[SC Buyback Override]]), SnapshotTable[[#This Row],[SC Buyback Override]], SnapshotTable[[#This Row],[SC Current Ask]]), "")</f>
        <v/>
      </c>
      <c r="FK160" s="250" t="str">
        <f>IF(SnapshotTable[[#This Row],[SC Time Val]]&gt;0, SnapshotTable[[#This Row],[SC Time Val]] / SnapshotTable[[#This Row],[Last Price]],"")</f>
        <v/>
      </c>
      <c r="FL160" s="302" t="str">
        <f>IF(SnapshotTable[[#This Row],[SC Is Booked]], ((SnapshotTable[[#This Row],[Last Price]] -SnapshotTable[[#This Row],[SC Strike Price]]) / SnapshotTable[[#This Row],[Last Price]]) * -1, "")</f>
        <v/>
      </c>
      <c r="FM160" s="157" t="str">
        <f>IF(SnapshotTable[[#This Row],[SC Is Booked]],  (SnapshotTable[[#This Row],[SC Qty]] * 100 * SnapshotTable[[#This Row],[SC Strike Price]]) - SnapshotTable[[#This Row],[SC Current Ask]], "")</f>
        <v/>
      </c>
      <c r="FN16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0" s="31" t="str">
        <f>IF(AND(ISNUMBER(SnapshotTable[[#This Row],[SC Exercise Gross]]), ISNUMBER(SnapshotTable[[#This Row],[Equity Basis Per Share]] )), SnapshotTable[[#This Row],[SC Exercise Gross]] - SnapshotTable[[#This Row],[Equity Basis Total]] +  SnapshotTable[[#This Row],[SC Premium]], "")</f>
        <v/>
      </c>
      <c r="FP160" s="5" t="str">
        <f>IF(ISNUMBER(SnapshotTable[[#This Row],[SC Exercise Gross]]), (SnapshotTable[[#This Row],[SC Exercise Gross]]) / (SnapshotTable[[#This Row],[SC Qty]] * 100), "")</f>
        <v/>
      </c>
      <c r="FQ160" s="27" t="str">
        <f>IF(SnapshotTable[[#This Row],[SC Is Booked]],SnapshotTable[[#This Row],[SC Time Val]] /SnapshotTable[[#This Row],[SC Basis]], "")</f>
        <v/>
      </c>
      <c r="FR160" s="27" t="str" cm="1">
        <f t="array" ref="FR160">IF(AND(ISNUMBER(SnapshotTable[[#This Row],[SC Term]]),ISNUMBER(SnapshotTable[[#This Row],[SC Simple ROO]])), EllmanAnnualize(SnapshotTable[[#This Row],[SC DTE]], SnapshotTable[[#This Row],[SC Simple ROO]] ),"")</f>
        <v/>
      </c>
      <c r="FS160" s="4" t="e">
        <f>IF(SnapshotTable[[#This Row],[SC Strike Price]] &gt; SnapshotTable[[#This Row],[Last Price]], SnapshotTable[[#This Row],[SC Strike Price]] - SnapshotTable[[#This Row],[Last Price]],0)</f>
        <v>#VALUE!</v>
      </c>
      <c r="FT160" s="27" t="e">
        <f>IF(AND(ISNUMBER(SnapshotTable[[#This Row],[SC Upside Potential]]), SnapshotTable[[#This Row],[SC Upside Potential]] &gt; 0),(SnapshotTable[[#This Row],[SC Upside Potential]]/ SnapshotTable[[#This Row],[ACB]]),"")</f>
        <v>#VALUE!</v>
      </c>
      <c r="FU160" s="333" t="str">
        <f>IF(SnapshotTable[[#This Row],[SC Intrinsic Value]] &gt; 0,SnapshotTable[[#This Row],[SC Intrinsic Value]],"")</f>
        <v/>
      </c>
      <c r="FV160" s="27" t="str">
        <f>IF(AND( ISNUMBER( SnapshotTable[[#This Row],[ACB]]),ISNUMBER(SnapshotTable[[#This Row],[SC Downside Protect]])),SnapshotTable[[#This Row],[SC Downside Protect]] / SnapshotTable[[#This Row],[ACB]],"")</f>
        <v/>
      </c>
      <c r="FW160" s="236" t="str">
        <f>IF(AND(ISNUMBER(SnapshotTable[[#This Row],[SC Simple ROO]]),SnapshotTable[[#This Row],[SC Simple ROO]] &gt; 0), SnapshotTable[[#This Row],[SC Premium]] + (SnapshotTable[[#This Row],[SC Qty]] * SnapshotTable[[#This Row],[SC Upside Potential]]), "")</f>
        <v/>
      </c>
      <c r="FX160" s="302" t="str" cm="1">
        <f t="array" ref="FX160">IF(ISNUMBER(SnapshotTable[[#This Row],[SC Max Dollars]]), annualize(SnapshotTable[[#This Row],[SC Term]],(SnapshotTable[[#This Row],[SC Max Dollars]]/SnapshotTable[[#This Row],[SC Basis]])),"")</f>
        <v/>
      </c>
      <c r="FY160" s="236" t="str">
        <f>IF(AND(SnapshotTable[[#This Row],[SC Qty]]&gt;0,SnapshotTable[[#This Row],[SC Current Ask]]&gt;0), SnapshotTable[[#This Row],[SC Qty]] * SnapshotTable[[#This Row],[SC Current Ask]] * -100, "")</f>
        <v/>
      </c>
      <c r="FZ160" s="31" t="str">
        <f>IF(ISNUMBER((SnapshotTable[[#This Row],[SC Current Value]])), SnapshotTable[[#This Row],[SC Premium]] + SnapshotTable[[#This Row],[SC Current Value]], "")</f>
        <v/>
      </c>
      <c r="GA160" s="294" t="str">
        <f>IFERROR( IF(ISNUMBER((SnapshotTable[[#This Row],[SC Current Value]])), SnapshotTable[[#This Row],[SC Gain Loss]] / SnapshotTable[[#This Row],[SC Premium]], ""), "")</f>
        <v/>
      </c>
      <c r="GB160" s="42">
        <f>SnapshotTable[[#This Row],[Equity Shares]] * SaleSharesToConsiderPercentage</f>
        <v>0</v>
      </c>
      <c r="GC160" s="40">
        <f>SnapshotTable[[#This Row],[Long Term Target]] * SellingPriceToConsiderBasedOnTargetPercentage</f>
        <v>47.879999999999995</v>
      </c>
      <c r="GD160" s="40">
        <f>SnapshotTable[[#This Row],[Last Price]] * (1+ SellingPriceToConsiderBasedOnTargetPercentage)</f>
        <v>88.393499999999989</v>
      </c>
      <c r="GE160" s="41"/>
      <c r="GF160" s="40"/>
      <c r="GG160" s="31">
        <f>SnapshotTable[[#This Row],[Booked Sale Shares]] * SnapshotTable[[#This Row],[Booked Sale Price]]</f>
        <v>0</v>
      </c>
      <c r="GH160" s="31" t="str">
        <f>IF(SnapshotTable[[#This Row],[Equity Basis Total]] &gt; 0, SnapshotTable[[#This Row],[Equity Basis Per Share]] * SnapshotTable[[#This Row],[Booked Sale Shares]], "")</f>
        <v/>
      </c>
      <c r="GI160" s="31">
        <f>IF(SnapshotTable[[#This Row],[Sale Proceeds]]&gt;0, SnapshotTable[[#This Row],[Sale Proceeds]] - SnapshotTable[[#This Row],[Sale Basis]], 0)</f>
        <v>0</v>
      </c>
      <c r="GJ160" s="27" t="str">
        <f>IF(SnapshotTable[[#This Row],[Sale G/L]]&gt;0, SnapshotTable[[#This Row],[Sale G/L]] / SnapshotTable[[#This Row],[Sale Basis]], IF(ISNUMBER(SnapshotTable[[#This Row],[SC Exercise P&amp;L (TAX)]]), SnapshotTable[[#This Row],[SC Exercise P&amp;L (TAX)]] / SnapshotTable[[#This Row],[SC Basis]], ""))</f>
        <v/>
      </c>
      <c r="GK160" s="27" t="s">
        <v>701</v>
      </c>
      <c r="GL160" s="43" t="str">
        <f>IF(AND(SnapshotTable[[#This Row],[LP Exp Date]]&gt;0,SnapshotTable[[#This Row],[LP Strike Price]]&gt;0), [1]!ToOptionSymbol(SnapshotTable[[#This Row],[Symbol]], SnapshotTable[[#This Row],[LP Strike Price]],SnapshotTable[[#This Row],[LP Exp Date]],1), "")</f>
        <v/>
      </c>
      <c r="GM160" s="30" t="str">
        <f>IF(LEN(SnapshotTable[[#This Row],[LP Symbol]])&gt;0, 1, "")</f>
        <v/>
      </c>
      <c r="GN160" s="43" t="str">
        <f>IF(AND(SnapshotTable[[#This Row],[SP Exp Date]]&gt;0,SnapshotTable[[#This Row],[SP Strike Price]]&gt;0), [1]!ToOptionSymbol(SnapshotTable[[#This Row],[Symbol]], SnapshotTable[[#This Row],[SP Strike Price]],SnapshotTable[[#This Row],[SP Exp Date]],1), "")</f>
        <v/>
      </c>
      <c r="GO160" s="30" t="str">
        <f>IF(LEN(SnapshotTable[[#This Row],[SP Symbol]])&gt;0, 1, "")</f>
        <v/>
      </c>
      <c r="GP160" s="43" t="str">
        <f>IF(AND(SnapshotTable[[#This Row],[LC Exp Date]]&gt;0,SnapshotTable[[#This Row],[LC Strike Price]]&gt;0), [1]!ToOptionSymbol(SnapshotTable[[#This Row],[Symbol]], SnapshotTable[[#This Row],[LC Strike Price]],SnapshotTable[[#This Row],[LC Exp Date]],0), "")</f>
        <v/>
      </c>
      <c r="GQ160" s="30" t="str">
        <f>IF(LEN(SnapshotTable[[#This Row],[LC Symbol]])&gt;0, 1, "")</f>
        <v/>
      </c>
      <c r="GR160" s="43" t="str">
        <f>IF(AND(SnapshotTable[[#This Row],[SC Exp Date]]&gt;0,SnapshotTable[[#This Row],[SC Strike Price]]&gt;0), [1]!ToOptionSymbol(SnapshotTable[[#This Row],[Symbol]], SnapshotTable[[#This Row],[SC Strike Price]],SnapshotTable[[#This Row],[SC Exp Date]],0), "")</f>
        <v/>
      </c>
      <c r="GS160" s="30" t="str">
        <f>IF(LEN(SnapshotTable[[#This Row],[SC Symbol]])&gt;0, 1, "")</f>
        <v/>
      </c>
      <c r="GT160" s="29" t="str">
        <f>IF(COUNT(SnapshotTable[[#This Row],[LP Symbol Count]],SnapshotTable[[#This Row],[SP Symbol Count]],SnapshotTable[[#This Row],[LC Symbol Count]],SnapshotTable[[#This Row],[SC Symbol Count]])&gt;0, "Y", "")</f>
        <v/>
      </c>
      <c r="GU16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0" s="231" t="e">
        <f>MAX(SnapshotTable[[#This Row],[Equity Basis Total]],SnapshotTable[[#This Row],[Equity Value]]) + (SnapshotTable[[#This Row],[SP Potential Spend]]- SnapshotTable[[#This Row],[SP Premium]] + SnapshotTable[[#This Row],[LP Premium]])+ (SnapshotTable[[#This Row],[LC Premium]] - SnapshotTable[[#This Row],[SC Premium]])</f>
        <v>#VALUE!</v>
      </c>
      <c r="GW160" s="139" t="e">
        <f>IF(AND(SnapshotTable[[#This Row],[Exposure]] &lt;&gt; 0),SnapshotTable[[#This Row],[Exposure]] / SnapshotTable[[#Totals],[Exposure]], "")</f>
        <v>#VALUE!</v>
      </c>
      <c r="HE160" s="268"/>
      <c r="HF160" s="268"/>
      <c r="HK160" s="1"/>
      <c r="HL160" s="1"/>
      <c r="HM160" s="1"/>
      <c r="HN160" s="1"/>
      <c r="HO160" s="1"/>
      <c r="HP160" s="1"/>
    </row>
    <row r="161" spans="2:224" ht="12.75" hidden="1" customHeight="1" x14ac:dyDescent="0.25">
      <c r="B161" s="12" t="s">
        <v>254</v>
      </c>
      <c r="C161" s="387">
        <v>219</v>
      </c>
      <c r="D161" s="208" t="s">
        <v>885</v>
      </c>
      <c r="E161" s="39">
        <f>SnapshotTable[[#This Row],[Last Price]]*(1 -CrashDiscount)</f>
        <v>186.15</v>
      </c>
      <c r="F161" s="26" t="s">
        <v>970</v>
      </c>
      <c r="G161" s="26" t="s">
        <v>872</v>
      </c>
      <c r="H161" s="149"/>
      <c r="I161" s="194">
        <v>44951</v>
      </c>
      <c r="J161" s="195">
        <v>44951</v>
      </c>
      <c r="K161" s="196"/>
      <c r="L161" s="326"/>
      <c r="M161" s="140"/>
      <c r="N161" s="140"/>
      <c r="O161" s="140"/>
      <c r="P161" s="22">
        <v>100</v>
      </c>
      <c r="Q161" s="25">
        <v>22261.360000000001</v>
      </c>
      <c r="R161" s="4">
        <f>IF(SnapshotTable[[#This Row],[Equity Basis Total]] &gt; 0, SnapshotTable[[#This Row],[Equity Basis Total]] / SnapshotTable[[#This Row],[Equity Shares]], "")</f>
        <v>222.61360000000002</v>
      </c>
      <c r="S161" s="269">
        <f>SnapshotTable[[#This Row],[Last Price]] * SnapshotTable[[#This Row],[Equity Shares]]</f>
        <v>21900</v>
      </c>
      <c r="T161" s="269">
        <f>SnapshotTable[[#This Row],[Equity Value]] - SnapshotTable[[#This Row],[Equity Basis Total]]</f>
        <v>-361.36000000000058</v>
      </c>
      <c r="U161" s="270">
        <f>IF(SnapshotTable[[#This Row],[Equity Basis Total]] &gt; 0, SnapshotTable[[#This Row],[Equity G/L]] / SnapshotTable[[#This Row],[Equity Basis Total]], "")</f>
        <v>-1.6232611125286171E-2</v>
      </c>
      <c r="V161" s="268">
        <v>270</v>
      </c>
      <c r="W161" s="268">
        <v>207</v>
      </c>
      <c r="X161" s="4">
        <f>IF(AND(ISNUMBER(SnapshotTable[[#This Row],[Equity Basis Per Share]]),ISNUMBER(SnapshotTable[[#This Row],[Equity Target]])),SnapshotTable[[#This Row],[Equity Target]]-SnapshotTable[[#This Row],[Equity Basis Per Share]],"")</f>
        <v>47.386399999999981</v>
      </c>
      <c r="Y161" s="4">
        <f>IF(AND(ISNUMBER(SnapshotTable[[#This Row],[Equity Basis Per Share]]),ISNUMBER(SnapshotTable[[#This Row],[Equity Stop Loss]])),SnapshotTable[[#This Row],[Equity Stop Loss]]-SnapshotTable[[#This Row],[Equity Basis Per Share]],"")</f>
        <v>-15.613600000000019</v>
      </c>
      <c r="Z161" s="275" t="str">
        <f>IFERROR( TEXT(SnapshotTable[[#This Row],[Equity Max Gain Per Share]] /ABS( SnapshotTable[[#This Row],[Equity Max Loss Per Share]]),"0.0 " ) &amp; " : 1", "")</f>
        <v>3.0  : 1</v>
      </c>
      <c r="AA161" s="31">
        <f>IF(ISNUMBER(SnapshotTable[[#This Row],[Equity Max Gain Per Share]]),SnapshotTable[[#This Row],[Equity Max Gain Per Share]] * SnapshotTable[[#This Row],[Equity Shares]],"")</f>
        <v>4738.6399999999976</v>
      </c>
      <c r="AB161" s="31">
        <f>IF(ISNUMBER(SnapshotTable[[#This Row],[Equity Max Loss Per Share]]),SnapshotTable[[#This Row],[Equity Max Loss Per Share]] * SnapshotTable[[#This Row],[Equity Shares]],"")</f>
        <v>-1561.3600000000019</v>
      </c>
      <c r="AC161" s="150">
        <v>4.3600000000000003</v>
      </c>
      <c r="AD161" s="151">
        <v>42433</v>
      </c>
      <c r="AE161" s="31">
        <f>(SnapshotTable[[#This Row],[Annual Dividend Per Share]] / 4) * SnapshotTable[[#This Row],[Equity Shares]]</f>
        <v>109.00000000000001</v>
      </c>
      <c r="AF161" s="31">
        <f>SnapshotTable[[#This Row],[Quarterly Div $]] * 4</f>
        <v>436.00000000000006</v>
      </c>
      <c r="AG161" s="7">
        <f>IF(SnapshotTable[[#This Row],[Annual Dividend Per Share]]&gt;0, SnapshotTable[[#This Row],[Annual Dividend Per Share]]  / SnapshotTable[[#This Row],[Last Price]], 0)</f>
        <v>1.9908675799086759E-2</v>
      </c>
      <c r="AH161" s="151">
        <v>43228</v>
      </c>
      <c r="AI161" s="5">
        <f>SnapshotTable[[#This Row],[Equity Target]]</f>
        <v>270</v>
      </c>
      <c r="AJ161" s="138">
        <v>191.12</v>
      </c>
      <c r="AK161" s="152">
        <f>IF(ISNUMBER( SnapshotTable[[#This Row],[EBF Target]]),(SnapshotTable[[#This Row],[EBF Target]] - SnapshotTable[[#This Row],[Last Price]]) / SnapshotTable[[#This Row],[Last Price]], "")</f>
        <v>0.23287671232876711</v>
      </c>
      <c r="AL161" s="152">
        <f>IF(AND(SnapshotTable[[#This Row],[Equity Basis Total]] &gt; 0,ISNUMBER( SnapshotTable[[#This Row],[Long Term Target]])), SnapshotTable[[#This Row],[From Basis $]] / SnapshotTable[[#This Row],[Equity Basis Total]], "")</f>
        <v>-0.14147203944413103</v>
      </c>
      <c r="AM161" s="9">
        <f>IF( AND(SnapshotTable[[#This Row],[Equity Shares]] &gt;0,ISNUMBER( SnapshotTable[[#This Row],[Long Term Target]])),(SnapshotTable[[#This Row],[Equity Shares]] * SnapshotTable[[#This Row],[Long Term Target]]) - SnapshotTable[[#This Row],[Equity Basis Total]],0)</f>
        <v>-3149.3600000000006</v>
      </c>
      <c r="AN161" s="9">
        <f>IF( AND(SnapshotTable[[#This Row],[Equity Shares]] &gt;0,ISNUMBER( SnapshotTable[[#This Row],[Long Term Target]])),(SnapshotTable[[#This Row],[Equity Shares]]*SnapshotTable[[#This Row],[Long Term Target]]) - SnapshotTable[[#This Row],[Equity Value]],0)</f>
        <v>-2788</v>
      </c>
      <c r="AO161" s="152">
        <f>IF(AND(ISNUMBER( SnapshotTable[[#This Row],[Long Term Target]]), ISNUMBER(SnapshotTable[[#This Row],[Last Price]])),(SnapshotTable[[#This Row],[Long Term Target]] - SnapshotTable[[#This Row],[Last Price]]) / SnapshotTable[[#This Row],[Last Price]], "")</f>
        <v>-0.12730593607305934</v>
      </c>
      <c r="AP161" s="5">
        <v>180</v>
      </c>
      <c r="AQ161" s="38" t="s">
        <v>38</v>
      </c>
      <c r="AR161" s="5">
        <v>180</v>
      </c>
      <c r="AS161" s="38" t="s">
        <v>26</v>
      </c>
      <c r="AT161" s="146" t="s">
        <v>538</v>
      </c>
      <c r="AU161" s="187" t="str">
        <f ca="1">IF(OR(SnapshotTable[[#This Row],[LP No Fill]]="Y",SnapshotTable[[#This Row],[SP Is Filled]],SnapshotTable[[#This Row],[LC Not Filled]]="Y",SnapshotTable[[#This Row],[SC Is Filled]]),"Y","")</f>
        <v>Y</v>
      </c>
      <c r="AV161" s="219"/>
      <c r="AW161" s="225"/>
      <c r="AX161" s="220"/>
      <c r="AY161" s="219" t="str">
        <f>IF(SnapshotTable[[#This Row],[Implied Move]]&gt;0, SnapshotTable[[#This Row],[Last Price]]-SnapshotTable[[#This Row],[Implied Move]],"")</f>
        <v/>
      </c>
      <c r="AZ161" s="219" t="str">
        <f>IF(SnapshotTable[[#This Row],[Implied Move]]&gt;0, SnapshotTable[[#This Row],[Last Price]] + SnapshotTable[[#This Row],[Implied Move]],"")</f>
        <v/>
      </c>
      <c r="BA161" s="331">
        <v>218.03</v>
      </c>
      <c r="BB161" s="347"/>
      <c r="BC161"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46241</v>
      </c>
      <c r="BD161" s="351"/>
      <c r="BE161" s="5"/>
      <c r="BF161" s="14"/>
      <c r="BG161" s="13"/>
      <c r="BH161" s="13"/>
      <c r="BI161" s="5"/>
      <c r="BJ161" s="136">
        <f>IF(SnapshotTable[[#This Row],[LP Qty]] &gt; 0, SnapshotTable[[#This Row],[LP Qty]] * SnapshotTable[[#This Row],[LP Book Price]] * 100,0)</f>
        <v>0</v>
      </c>
      <c r="BK161" s="136">
        <f>IF(SnapshotTable[[#This Row],[LP Premium]] &gt; 0, SnapshotTable[[#This Row],[LP Qty]] * SnapshotTable[[#This Row],[LP Strike Price]] * 100,0)</f>
        <v>0</v>
      </c>
      <c r="BL161" s="280"/>
      <c r="BM161" s="385" t="str">
        <f>IF(SnapshotTable[[#This Row],[LP Premium]] &gt; 0,SnapshotTable[[#This Row],[LP Exp Date]]-MAX(SnapshotTable[[#This Row],[LP Book Date]], SnapshotTable[[#This Row],[LP Fill Date]]),"")</f>
        <v/>
      </c>
      <c r="BN161" s="385" t="str">
        <f>IF(ISNUMBER( SnapshotTable[[#This Row],[LP Term]]), SnapshotTable[[#This Row],[LP Exp Date]] - MockToday,"")</f>
        <v/>
      </c>
      <c r="BO161" s="163" t="str">
        <f>IF(AND(SnapshotTable[[#This Row],[LP Exp Date]]&gt;0, SnapshotTable[[#This Row],[LP Strike Price]]&gt;0,SnapshotTable[[#This Row],[LP Qty]]&gt;0,SnapshotTable[[#This Row],[LP Book Date]]&gt;0,SnapshotTable[[#This Row],[LP Book Price]]&gt;0,SnapshotTable[[#This Row],[LP Fill Date]]=0),"Y","")</f>
        <v/>
      </c>
      <c r="BP161" s="31" t="str">
        <f>IF(AND(SnapshotTable[[#This Row],[LP No Fill]]&lt;&gt;"Y",SnapshotTable[[#This Row],[LP Contract Value]]&gt;0, SnapshotTable[[#This Row],[LP Qty]]&gt;0), SnapshotTable[[#This Row],[LP Contract Value]]*SnapshotTable[[#This Row],[LP Qty]]*100,"")</f>
        <v/>
      </c>
      <c r="BQ161" s="13"/>
      <c r="BR161" s="5" t="str">
        <f>IF(SnapshotTable[[#This Row],[SP Exp Date]]&lt;&gt;"",TRUNC(SnapshotTable[[#This Row],[Last Price]]),"")</f>
        <v/>
      </c>
      <c r="BS161" s="36"/>
      <c r="BT161" s="147"/>
      <c r="BU161" s="13"/>
      <c r="BV161" s="5"/>
      <c r="BW161" s="419" t="b">
        <f>AND(ISNUMBER(SnapshotTable[[#This Row],[SP Exp Date]]), ISNUMBER(SnapshotTable[[#This Row],[SP Strike Price]]), ISNUMBER(SnapshotTable[[#This Row],[SP Qty]]), ISNUMBER(SnapshotTable[[#This Row],[SP Book Date]]), ISNUMBER(SnapshotTable[[#This Row],[SP Book Price]]))</f>
        <v>0</v>
      </c>
      <c r="BX161" s="419" t="b">
        <f>AND(SnapshotTable[[#This Row],[SP Is Booked]], NOT(ISBLANK(SnapshotTable[[#This Row],[SP Fill Date]])))</f>
        <v>0</v>
      </c>
      <c r="BY161" s="33">
        <f>IF(SnapshotTable[[#This Row],[SP Is Booked]], SnapshotTable[[#This Row],[SP Qty]] * SnapshotTable[[#This Row],[SP Book Price]] * 100, 0)</f>
        <v>0</v>
      </c>
      <c r="BZ161" s="369">
        <v>0.65</v>
      </c>
      <c r="CA161" s="368">
        <f>SnapshotTable[[#This Row],[LP Qty]]</f>
        <v>0</v>
      </c>
      <c r="CB161" s="4" t="str">
        <f>IF(SnapshotTable[[#This Row],[SP Is Booked]], SnapshotTable[[#This Row],[SP Strike Price]] - SnapshotTable[[#This Row],[SP Book Price]], "")</f>
        <v/>
      </c>
      <c r="CC161" s="19" t="str">
        <f>IF(SnapshotTable[[#This Row],[SP Is Booked]],SnapshotTable[[#This Row],[SP Exp Date]]-MAX(SnapshotTable[[#This Row],[SP Book Date]], SnapshotTable[[#This Row],[SP Fill Date]]),"")</f>
        <v/>
      </c>
      <c r="CD161" s="7" t="str">
        <f>IF(SnapshotTable[[#This Row],[SP Is Booked]], SnapshotTable[[#This Row],[SP Book Price]]/SnapshotTable[[#This Row],[SP Strike Price]], "")</f>
        <v/>
      </c>
      <c r="CE161" s="7" t="str">
        <f>IF(ISNUMBER(SnapshotTable[[#This Row],[SP ROO Term]]),SnapshotTable[[#This Row],[SP ROO Term]]*(365/SnapshotTable[[#This Row],[SP Term]]),"")</f>
        <v/>
      </c>
      <c r="CF161" s="236">
        <f>SnapshotTable[[#This Row],[LP Strike Price]] * SnapshotTable[[#This Row],[LP Qty]] * 100</f>
        <v>0</v>
      </c>
      <c r="CG161" s="31" t="e">
        <f>IF(ISNUMBER(SnapshotTable[[#This Row],[SP Premium]]), (SnapshotTable[[#This Row],[SP Qty]] * SnapshotTable[[#This Row],[SP Strike Price]]* 100) - SnapshotTable[[#This Row],[LP Protection]], 0)</f>
        <v>#VALUE!</v>
      </c>
      <c r="CH161" s="7" t="str">
        <f>IF(ISNUMBER(SnapshotTable[[#This Row],[SP Break Even]]),-1 * (SnapshotTable[[#This Row],[SP Break Even]] - SnapshotTable[[#This Row],[Last Price]]) / SnapshotTable[[#This Row],[Last Price]], "")</f>
        <v/>
      </c>
      <c r="CI161" s="31">
        <f>IF(AND(ISNUMBER((SnapshotTable[[#This Row],[SP Potential Spend]])), SnapshotTable[[#This Row],[SP Strike Price]] &gt; SnapshotTable[[#This Row],[Last Price]], SnapshotTable[[#This Row],[SP Is Filled]]), SnapshotTable[[#This Row],[SP Potential Spend]] -  SnapshotTable[[#This Row],[LP Max Value]], 0)</f>
        <v>0</v>
      </c>
      <c r="CJ161" s="244"/>
      <c r="CK161" s="31" t="str">
        <f>IF(ISNUMBER(SnapshotTable[[#This Row],[SP Potential Spend]]),IF(ISNUMBER(SnapshotTable[[#This Row],[SP POW]]), SnapshotTable[[#This Row],[SP POW]] * SnapshotTable[[#This Row],[SP Potential Spend]], SnapshotTable[[#This Row],[SP Potential Spend]]), "")</f>
        <v/>
      </c>
      <c r="CL161" s="164" t="e">
        <f>IF(NOT(SnapshotTable[[#This Row],[SP Is Filled]]),(SnapshotTable[[#This Row],[SP Qty]] * SnapshotTable[[#This Row],[SP Strike Price]] * 100) - SnapshotTable[[#This Row],[LP Max Value]],"")</f>
        <v>#VALUE!</v>
      </c>
      <c r="CM161" s="31" t="str">
        <f>IF(SnapshotTable[[#This Row],[SP Actual Spend]]&lt;&gt;0, ((SnapshotTable[[#This Row],[SP Strike Price]]-SnapshotTable[[#This Row],[Last Price]]) *(SnapshotTable[[#This Row],[SP Qty]]*100) - SnapshotTable[[#This Row],[SP Premium]]) * - 1, "")</f>
        <v/>
      </c>
      <c r="CN161" s="78"/>
      <c r="CO161" s="369"/>
      <c r="CP161" s="4" t="str">
        <f>IF(SnapshotTable[[#This Row],[SP Is Filled]], btc_max_buyback_amount(SnapshotTable[[#This Row],[SP Fill Date]],SnapshotTable[[#This Row],[SP Exp Date]], SnapshotTable[[#This Row],[SP Book Price]]),"")</f>
        <v/>
      </c>
      <c r="CQ161" s="78"/>
      <c r="CR16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1" s="155" t="str">
        <f>IF(SnapshotTable[[#This Row],[SP Is Filled]], btc_next_cutoff_date(SnapshotTable[[#This Row],[SP Fill Date]],SnapshotTable[[#This Row],[SP Exp Date]]),"")</f>
        <v/>
      </c>
      <c r="CT161" s="235" t="str" cm="1">
        <f t="array" ref="CT161">IF(SnapshotTable[[#This Row],[SP Is Filled]], btc_should_buy_back(SnapshotTable[[#This Row],[SP Fill Date]], SnapshotTable[[#This Row],[SP Exp Date]], SnapshotTable[[#This Row],[SP Book Price]], SnapshotTable[[#This Row],[SP Current Ask]], MockToday, SnapshotTable[[#This Row],[SP Buyback Override]]),"")</f>
        <v/>
      </c>
      <c r="CU161" s="143"/>
      <c r="CV161" s="235"/>
      <c r="CW161" s="378" t="str">
        <f>IF(ISNUMBER( SnapshotTable[[#This Row],[SP Term]]), SnapshotTable[[#This Row],[SP Exp Date]] - MockToday,"")</f>
        <v/>
      </c>
      <c r="CX161" s="31" t="str">
        <f>IF(SnapshotTable[[#This Row],[SP Is Filled]],SnapshotTable[[#This Row],[SP Buyback Price to Use]] * 100 * SnapshotTable[[#This Row],[SP Qty]], "")</f>
        <v/>
      </c>
      <c r="CY161" s="4" t="str">
        <f>IF(ISNUMBER(SnapshotTable[[#This Row],[SP Strike Price]]), SnapshotTable[[#This Row],[SP Strike Price]] * (1 - SP_MaxLoss_StrikePct), "")</f>
        <v/>
      </c>
      <c r="CZ161" s="31" t="str">
        <f>IF(ISNUMBER(SnapshotTable[[#This Row],[SP Strike  Stop Per Share]]),SnapshotTable[[#This Row],[SP Premium]] - ((SnapshotTable[[#This Row],[SP Strike Price]]-SnapshotTable[[#This Row],[SP Strike  Stop Per Share]]) *(SnapshotTable[[#This Row],[SP Qty]] * 100)),"")</f>
        <v/>
      </c>
      <c r="DA161" s="4" t="str">
        <f>IF(AND(ISNUMBER(SnapshotTable[[#This Row],[SP Premium]]),SnapshotTable[[#This Row],[SP Premium]]&gt;0), SnapshotTable[[#This Row],[SP Book Price]] * (1 + SP_MaxLoss_OptionPct), "")</f>
        <v/>
      </c>
      <c r="DB161" s="31" t="str">
        <f>IF(ISNUMBER(SnapshotTable[[#This Row],[SP Option  Stop Contract]]),(SnapshotTable[[#This Row],[SP Option  Stop Contract]] *(SnapshotTable[[#This Row],[SP Qty]] * 100) - SnapshotTable[[#This Row],[SP Premium]]),"")</f>
        <v/>
      </c>
      <c r="DC161" s="4"/>
      <c r="DD161" s="4"/>
      <c r="DE161" s="4" t="str">
        <f>IF(AND(SnapshotTable[[#This Row],[SP Qty]]&gt;0, SnapshotTable[[#This Row],[SP Stop To Use]]&gt;0),SnapshotTable[[#This Row],[SP Premium]] - ( SnapshotTable[[#This Row],[SP Qty]] * SnapshotTable[[#This Row],[SP Stop To Use]] * 100), "")</f>
        <v/>
      </c>
      <c r="DF161" s="31" t="str">
        <f>IF(AND(SnapshotTable[[#This Row],[SP Qty]]&gt;0,SnapshotTable[[#This Row],[SP Current Ask]]&gt;0), SnapshotTable[[#This Row],[SP Qty]] * SnapshotTable[[#This Row],[SP Current Ask]] * -100, "")</f>
        <v/>
      </c>
      <c r="DG161" s="31" t="str">
        <f>IF(ISNUMBER((SnapshotTable[[#This Row],[SP Total Value]])), SnapshotTable[[#This Row],[SP Premium]] + SnapshotTable[[#This Row],[SP Total Value]], "")</f>
        <v/>
      </c>
      <c r="DH161" s="294" t="str">
        <f>IF(ISNUMBER((SnapshotTable[[#This Row],[SP Total Value]])), SnapshotTable[[#This Row],[SP Gain Loss]] / SnapshotTable[[#This Row],[SP Premium]], "")</f>
        <v/>
      </c>
      <c r="DI161" s="406"/>
      <c r="DJ161" s="138"/>
      <c r="DK161" s="148"/>
      <c r="DL161" s="13"/>
      <c r="DM161" s="13"/>
      <c r="DO161" s="31">
        <f>IF(SnapshotTable[[#This Row],[LC Symbol Count]]=1, SnapshotTable[[#This Row],[LC Qty]] * SnapshotTable[[#This Row],[LC Book Price]] * 100, 0)</f>
        <v>0</v>
      </c>
      <c r="DP161" s="163" t="str">
        <f>IF(AND(SnapshotTable[[#This Row],[LC Exp Date]]&gt;0, SnapshotTable[[#This Row],[LC Strike Price]]&gt;0,SnapshotTable[[#This Row],[LC Qty]]&gt;0,SnapshotTable[[#This Row],[LC Book Date]]&gt;0,SnapshotTable[[#This Row],[LC Book Price]]&gt;0,SnapshotTable[[#This Row],[LC Fill Date]]=0),"Y","")</f>
        <v/>
      </c>
      <c r="DQ161" s="386" t="str">
        <f>IF(SnapshotTable[[#This Row],[LC Premium]] &gt; 0,SnapshotTable[[#This Row],[LC Exp Date]]-MAX(SnapshotTable[[#This Row],[LC Book Date]], SnapshotTable[[#This Row],[LC Fill Date]]),"")</f>
        <v/>
      </c>
      <c r="DR161" s="386" t="str">
        <f>IF(ISNUMBER(SnapshotTable[[#This Row],[LC Term]]), SnapshotTable[[#This Row],[LC Exp Date]] - MockToday, "")</f>
        <v/>
      </c>
      <c r="DS161" s="234" t="str">
        <f>IF(SnapshotTable[[#This Row],[LC Premium]]&gt;0,SnapshotTable[[#This Row],[LC Strike Price]] + SnapshotTable[[#This Row],[LC Book Price]],"")</f>
        <v/>
      </c>
      <c r="DU161" s="9" t="str">
        <f>IF(AND(SnapshotTable[[#This Row],[LC Symbol Count]]&gt;0, SnapshotTable[[#This Row],[LC Contract Value]]&gt;0), SnapshotTable[[#This Row],[LC Contract Value]] * SnapshotTable[[#This Row],[LC Qty]] * 100, "")</f>
        <v/>
      </c>
      <c r="DV161" s="9" t="str">
        <f>IF(AND(ISNUMBER(SnapshotTable[[#This Row],[LC Total Value]]), SnapshotTable[[#This Row],[LC Not Filled]]&lt;&gt;"Y"), SnapshotTable[[#This Row],[LC Total Value]]-SnapshotTable[[#This Row],[LC Premium]],"")</f>
        <v/>
      </c>
      <c r="DW161" s="240" t="str">
        <f>IF(ISNUMBER(SnapshotTable[[#This Row],[LC Actual Gain Loss]]), SnapshotTable[[#This Row],[LC Actual Gain Loss]] / SnapshotTable[[#This Row],[LC Premium]],"")</f>
        <v/>
      </c>
      <c r="DX161" s="284"/>
      <c r="DY161" s="265" t="str">
        <f>IF(SnapshotTable[[#This Row],[LC Premium]]&gt;0, SnapshotTable[[#This Row],[LC Next Target]] * SnapshotTable[[#This Row],[LC Qty]] * 100,"")</f>
        <v/>
      </c>
      <c r="DZ161" s="265" t="str">
        <f>IF(ISNUMBER(SnapshotTable[[#This Row],[LC Target Gross]]), SnapshotTable[[#This Row],[LC Target Gross]] - SnapshotTable[[#This Row],[LC Premium]], "")</f>
        <v/>
      </c>
      <c r="EA161" s="305" t="str">
        <f>IF(ISNUMBER(SnapshotTable[[#This Row],[LC Target Gain Loss]]), SnapshotTable[[#This Row],[LC Target Gain Loss]]/SnapshotTable[[#This Row],[LC Premium]], "")</f>
        <v/>
      </c>
      <c r="EB161" s="262"/>
      <c r="EC161" s="283" t="str">
        <f>IF(SnapshotTable[[#This Row],[LC Premium]]&gt;0, SnapshotTable[[#This Row],[LC Book Price]] * (1 - LC_StopLoss_Pct),"")</f>
        <v/>
      </c>
      <c r="ED161" s="284"/>
      <c r="EE161" s="283" t="str">
        <f>IF(ISNUMBER(SnapshotTable[[#This Row],[LC Contract Value]]),IF(ISNUMBER(SnapshotTable[[#This Row],[LC Stop Loss Override]]), SnapshotTable[[#This Row],[LC Stop Loss Override]],SnapshotTable[[#This Row],[LC Stop Loss Calc Target]]),"")</f>
        <v/>
      </c>
      <c r="EF161" s="31" t="str">
        <f>IF(ISNUMBER(SnapshotTable[[#This Row],[LC Stop  To Use]]), (SnapshotTable[[#This Row],[LC Stop  To Use]] * SnapshotTable[[#This Row],[LC Qty]] * 100),"")</f>
        <v/>
      </c>
      <c r="EG161" s="9" t="str">
        <f>IF(ISNUMBER(SnapshotTable[[#This Row],[LC Total Value]]),SnapshotTable[[#This Row],[LC Stop Loss Amount]] - SnapshotTable[[#This Row],[LC Premium]],"")</f>
        <v/>
      </c>
      <c r="EH161" s="9">
        <f>IF(ISNUMBER(SnapshotTable[[#This Row],[LC Premium]]), SnapshotTable[[#This Row],[LC Qty]] * 100 * SnapshotTable[[#This Row],[LC Strike Price]], "")</f>
        <v>0</v>
      </c>
      <c r="EI161" s="240" t="str">
        <f>IF(AND(ISNUMBER(SnapshotTable[[#This Row],[LC Total Value]]),SnapshotTable[[#This Row],[LC Total Value]]&gt;0),SnapshotTable[[#This Row],[LC Stop Gain Loss]]  / SnapshotTable[[#This Row],[LC Premium]],"")</f>
        <v/>
      </c>
      <c r="EJ161" s="35">
        <f>IF(ISNUMBER(SnapshotTable[[#This Row],[Equity Shares]]),TRUNC(SnapshotTable[[#This Row],[Equity Shares]] / 100),0) + SnapshotTable[[#This Row],[LC Qty]]</f>
        <v>1</v>
      </c>
      <c r="EK161" s="147">
        <f ca="1">NextFridayOpex</f>
        <v>46241</v>
      </c>
      <c r="EL161" s="138">
        <f ca="1">IF(SnapshotTable[[#This Row],[SC Exp Date]]&lt;&gt;"",TRUNC(SnapshotTable[[#This Row],[Last Price]]),"")</f>
        <v>219</v>
      </c>
      <c r="EM161" s="148">
        <v>1</v>
      </c>
      <c r="EN161" s="147">
        <f ca="1">WORKDAY(MockToday, 0)</f>
        <v>46235</v>
      </c>
      <c r="EO161" s="147">
        <f ca="1">SnapshotTable[[#This Row],[SC Book Date]]</f>
        <v>46235</v>
      </c>
      <c r="EP161" s="138">
        <v>1.41</v>
      </c>
      <c r="EQ161" s="419" t="b">
        <f ca="1">AND(ISNUMBER(SnapshotTable[[#This Row],[SC Exp Date]]), ISNUMBER(SnapshotTable[[#This Row],[SC Strike Price]]), ISNUMBER(SnapshotTable[[#This Row],[SC Qty]]), ISNUMBER(SnapshotTable[[#This Row],[SC Book Date]]), ISNUMBER(SnapshotTable[[#This Row],[SC Book Price]]))</f>
        <v>1</v>
      </c>
      <c r="ER161" s="419" t="b">
        <f ca="1">AND(SnapshotTable[[#This Row],[SC Is Booked]], NOT(ISBLANK(SnapshotTable[[#This Row],[SC Fill Date]])))</f>
        <v>1</v>
      </c>
      <c r="ES161" s="370">
        <v>0.38</v>
      </c>
      <c r="ET161" s="34">
        <f ca="1">IF(AND(ISNUMBER(SnapshotTable[[#This Row],[SC Exp Date]]), ISNUMBER(SnapshotTable[[#This Row],[SC Book Date]])), SnapshotTable[[#This Row],[SC Exp Date]] - MAX(SnapshotTable[[#This Row],[SC Book Date]], SnapshotTable[[#This Row],[SC Fill Date]]) + 1, "")</f>
        <v>7</v>
      </c>
      <c r="EU161" s="34">
        <f ca="1">IF(ISNUMBER(SnapshotTable[[#This Row],[SC Term]]), SnapshotTable[[#This Row],[SC Exp Date]]- MockToday, "")</f>
        <v>6</v>
      </c>
      <c r="EV161" s="31">
        <f ca="1">IF(SnapshotTable[[#This Row],[SC Is Booked]], SnapshotTable[[#This Row],[SC Qty]] * SnapshotTable[[#This Row],[SC Book Price]] * 100, 0)</f>
        <v>141</v>
      </c>
      <c r="EW161" s="4">
        <f>IF(AND(ISNUMBER(SnapshotTable[[#This Row],[Last Price]]), ISNUMBER( SnapshotTable[[#This Row],[SC Book Price]])), SnapshotTable[[#This Row],[Last Price]] - SnapshotTable[[#This Row],[SC Book Price]],"")</f>
        <v>217.59</v>
      </c>
      <c r="EX161" s="234">
        <f ca="1">IF(SnapshotTable[[#This Row],[SC Is Booked]],IF(SnapshotTable[[#This Row],[SC Intrinsic Value]] &gt; 0, SnapshotTable[[#This Row],[SC Strike Price]], SnapshotTable[[#This Row],[Last Price]]), "")</f>
        <v>219</v>
      </c>
      <c r="EY161" s="4">
        <f ca="1">IF(SnapshotTable[[#This Row],[SC Is Booked]], (MinimumPremiumRequired * SnapshotTable[[#This Row],[SC Basis]] * SnapshotTable[[#This Row],[SC Term]]), 0)</f>
        <v>1.5329999999999999</v>
      </c>
      <c r="EZ161" s="283"/>
      <c r="FA161" s="218">
        <v>2.71</v>
      </c>
      <c r="FB161" s="370">
        <v>0.09</v>
      </c>
      <c r="FC161" s="4" t="e">
        <f ca="1">IF(SnapshotTable[[#This Row],[SC Is Filled]], btc_max_buyback_amount(SnapshotTable[[#This Row],[SC Fill Date]],SnapshotTable[[#This Row],[SC Exp Date]], SnapshotTable[[#This Row],[SC Book Price]]),0)</f>
        <v>#NAME?</v>
      </c>
      <c r="FD161" s="5"/>
      <c r="FE161" s="144" t="e">
        <f ca="1">IF(SnapshotTable[[#This Row],[SC Is Filled]], btc_next_cutoff_date(SnapshotTable[[#This Row],[SC Fill Date]],SnapshotTable[[#This Row],[SC Exp Date]]),"")</f>
        <v>#NAME?</v>
      </c>
      <c r="FF161" s="4" t="e" cm="1">
        <f t="array" aca="1" ref="FF161" ca="1">IF(SnapshotTable[[#This Row],[SC Is Filled]], btc_should_buy_back(SnapshotTable[[#This Row],[SC Fill Date]], SnapshotTable[[#This Row],[SC Exp Date]], SnapshotTable[[#This Row],[SC Book Price]], SnapshotTable[[#This Row],[SC Current Ask]], MockToday, SnapshotTable[[#This Row],[SC Buyback Override]]),"")</f>
        <v>#NAME?</v>
      </c>
      <c r="FG161" s="4">
        <f ca="1">IF(SnapshotTable[[#This Row],[SC Is Filled]], MAX(0,SnapshotTable[[#This Row],[Last Price]]  - SnapshotTable[[#This Row],[SC Strike Price]]), 0)</f>
        <v>0</v>
      </c>
      <c r="FH161" s="382">
        <f ca="1">IF(SnapshotTable[[#This Row],[SC Is Filled]], IF(ISNUMBER(SnapshotTable[[#This Row],[SC Current Ask]]), SnapshotTable[[#This Row],[SC Current Ask]], SnapshotTable[[#This Row],[SC Book Price]]) - SnapshotTable[[#This Row],[SC Intrinsic Value]], 0)</f>
        <v>2.71</v>
      </c>
      <c r="FI161" s="143">
        <v>46211</v>
      </c>
      <c r="FJ161" s="32">
        <f ca="1">IF(SnapshotTable[[#This Row],[SC Is Filled]],100 * SnapshotTable[[#This Row],[SC Qty]] * IF(ISNUMBER(SnapshotTable[[#This Row],[SC Buyback Override]]), SnapshotTable[[#This Row],[SC Buyback Override]], SnapshotTable[[#This Row],[SC Current Ask]]), "")</f>
        <v>271</v>
      </c>
      <c r="FK161" s="250">
        <f ca="1">IF(SnapshotTable[[#This Row],[SC Time Val]]&gt;0, SnapshotTable[[#This Row],[SC Time Val]] / SnapshotTable[[#This Row],[Last Price]],"")</f>
        <v>1.2374429223744291E-2</v>
      </c>
      <c r="FL161" s="302">
        <f ca="1">IF(SnapshotTable[[#This Row],[SC Is Booked]], ((SnapshotTable[[#This Row],[Last Price]] -SnapshotTable[[#This Row],[SC Strike Price]]) / SnapshotTable[[#This Row],[Last Price]]) * -1, "")</f>
        <v>0</v>
      </c>
      <c r="FM161" s="157">
        <f ca="1">IF(SnapshotTable[[#This Row],[SC Is Booked]],  (SnapshotTable[[#This Row],[SC Qty]] * 100 * SnapshotTable[[#This Row],[SC Strike Price]]) - SnapshotTable[[#This Row],[SC Current Ask]], "")</f>
        <v>21897.29</v>
      </c>
      <c r="FN161" s="31">
        <f ca="1">IF(AND(ISNUMBER(SnapshotTable[[#This Row],[SC Exercise Gross]]), SnapshotTable[[#This Row],[SC Exercise Gross]] &lt; (SnapshotTable[[#This Row],[SC Qty]] * 100 * SnapshotTable[[#This Row],[Last Price]])),  (SnapshotTable[[#This Row],[SC Qty]] * 100 * SnapshotTable[[#This Row],[Last Price]]) - SnapshotTable[[#This Row],[SC Exercise Gross]], "")</f>
        <v>2.7099999999991269</v>
      </c>
      <c r="FO161" s="31">
        <f ca="1">IF(AND(ISNUMBER(SnapshotTable[[#This Row],[SC Exercise Gross]]), ISNUMBER(SnapshotTable[[#This Row],[Equity Basis Per Share]] )), SnapshotTable[[#This Row],[SC Exercise Gross]] - SnapshotTable[[#This Row],[Equity Basis Total]] +  SnapshotTable[[#This Row],[SC Premium]], "")</f>
        <v>-223.06999999999971</v>
      </c>
      <c r="FP161" s="5">
        <f ca="1">IF(ISNUMBER(SnapshotTable[[#This Row],[SC Exercise Gross]]), (SnapshotTable[[#This Row],[SC Exercise Gross]]) / (SnapshotTable[[#This Row],[SC Qty]] * 100), "")</f>
        <v>218.97290000000001</v>
      </c>
      <c r="FQ161" s="27">
        <f ca="1">IF(SnapshotTable[[#This Row],[SC Is Booked]],SnapshotTable[[#This Row],[SC Time Val]] /SnapshotTable[[#This Row],[SC Basis]], "")</f>
        <v>1.2374429223744291E-2</v>
      </c>
      <c r="FR161" s="27" t="e" cm="1">
        <f t="array" aca="1" ref="FR161" ca="1">IF(AND(ISNUMBER(SnapshotTable[[#This Row],[SC Term]]),ISNUMBER(SnapshotTable[[#This Row],[SC Simple ROO]])), EllmanAnnualize(SnapshotTable[[#This Row],[SC DTE]], SnapshotTable[[#This Row],[SC Simple ROO]] ),"")</f>
        <v>#NAME?</v>
      </c>
      <c r="FS161" s="4">
        <f ca="1">IF(SnapshotTable[[#This Row],[SC Strike Price]] &gt; SnapshotTable[[#This Row],[Last Price]], SnapshotTable[[#This Row],[SC Strike Price]] - SnapshotTable[[#This Row],[Last Price]],0)</f>
        <v>0</v>
      </c>
      <c r="FT161" s="27" t="str">
        <f ca="1">IF(AND(ISNUMBER(SnapshotTable[[#This Row],[SC Upside Potential]]), SnapshotTable[[#This Row],[SC Upside Potential]] &gt; 0),(SnapshotTable[[#This Row],[SC Upside Potential]]/ SnapshotTable[[#This Row],[ACB]]),"")</f>
        <v/>
      </c>
      <c r="FU161" s="333" t="str">
        <f ca="1">IF(SnapshotTable[[#This Row],[SC Intrinsic Value]] &gt; 0,SnapshotTable[[#This Row],[SC Intrinsic Value]],"")</f>
        <v/>
      </c>
      <c r="FV161" s="27" t="str">
        <f ca="1">IF(AND( ISNUMBER( SnapshotTable[[#This Row],[ACB]]),ISNUMBER(SnapshotTable[[#This Row],[SC Downside Protect]])),SnapshotTable[[#This Row],[SC Downside Protect]] / SnapshotTable[[#This Row],[ACB]],"")</f>
        <v/>
      </c>
      <c r="FW161" s="236">
        <f ca="1">IF(AND(ISNUMBER(SnapshotTable[[#This Row],[SC Simple ROO]]),SnapshotTable[[#This Row],[SC Simple ROO]] &gt; 0), SnapshotTable[[#This Row],[SC Premium]] + (SnapshotTable[[#This Row],[SC Qty]] * SnapshotTable[[#This Row],[SC Upside Potential]]), "")</f>
        <v>141</v>
      </c>
      <c r="FX161" s="302" t="e" cm="1">
        <f t="array" aca="1" ref="FX161" ca="1">IF(ISNUMBER(SnapshotTable[[#This Row],[SC Max Dollars]]), annualize(SnapshotTable[[#This Row],[SC Term]],(SnapshotTable[[#This Row],[SC Max Dollars]]/SnapshotTable[[#This Row],[SC Basis]])),"")</f>
        <v>#NAME?</v>
      </c>
      <c r="FY161" s="236">
        <f>IF(AND(SnapshotTable[[#This Row],[SC Qty]]&gt;0,SnapshotTable[[#This Row],[SC Current Ask]]&gt;0), SnapshotTable[[#This Row],[SC Qty]] * SnapshotTable[[#This Row],[SC Current Ask]] * -100, "")</f>
        <v>-271</v>
      </c>
      <c r="FZ161" s="31">
        <f ca="1">IF(ISNUMBER((SnapshotTable[[#This Row],[SC Current Value]])), SnapshotTable[[#This Row],[SC Premium]] + SnapshotTable[[#This Row],[SC Current Value]], "")</f>
        <v>-130</v>
      </c>
      <c r="GA161" s="294">
        <f ca="1">IFERROR( IF(ISNUMBER((SnapshotTable[[#This Row],[SC Current Value]])), SnapshotTable[[#This Row],[SC Gain Loss]] / SnapshotTable[[#This Row],[SC Premium]], ""), "")</f>
        <v>-0.92198581560283688</v>
      </c>
      <c r="GB161" s="42">
        <f>SnapshotTable[[#This Row],[Equity Shares]] * SaleSharesToConsiderPercentage</f>
        <v>20</v>
      </c>
      <c r="GC161" s="40">
        <f>SnapshotTable[[#This Row],[Long Term Target]] * SellingPriceToConsiderBasedOnTargetPercentage</f>
        <v>181.56399999999999</v>
      </c>
      <c r="GD161" s="40">
        <f>SnapshotTable[[#This Row],[Last Price]] * (1+ SellingPriceToConsiderBasedOnTargetPercentage)</f>
        <v>427.05</v>
      </c>
      <c r="GE161" s="41"/>
      <c r="GF161" s="40"/>
      <c r="GG161" s="31">
        <f>SnapshotTable[[#This Row],[Booked Sale Shares]] * SnapshotTable[[#This Row],[Booked Sale Price]]</f>
        <v>0</v>
      </c>
      <c r="GH161" s="31">
        <f>IF(SnapshotTable[[#This Row],[Equity Basis Total]] &gt; 0, SnapshotTable[[#This Row],[Equity Basis Per Share]] * SnapshotTable[[#This Row],[Booked Sale Shares]], "")</f>
        <v>0</v>
      </c>
      <c r="GI161" s="31">
        <f>IF(SnapshotTable[[#This Row],[Sale Proceeds]]&gt;0, SnapshotTable[[#This Row],[Sale Proceeds]] - SnapshotTable[[#This Row],[Sale Basis]], 0)</f>
        <v>0</v>
      </c>
      <c r="GJ161" s="27">
        <f ca="1">IF(SnapshotTable[[#This Row],[Sale G/L]]&gt;0, SnapshotTable[[#This Row],[Sale G/L]] / SnapshotTable[[#This Row],[Sale Basis]], IF(ISNUMBER(SnapshotTable[[#This Row],[SC Exercise P&amp;L (TAX)]]), SnapshotTable[[#This Row],[SC Exercise P&amp;L (TAX)]] / SnapshotTable[[#This Row],[SC Basis]], ""))</f>
        <v>-1.0185844748858435</v>
      </c>
      <c r="GK161" s="27" t="s">
        <v>1014</v>
      </c>
      <c r="GL161" s="43" t="str">
        <f>IF(AND(SnapshotTable[[#This Row],[LP Exp Date]]&gt;0,SnapshotTable[[#This Row],[LP Strike Price]]&gt;0), [1]!ToOptionSymbol(SnapshotTable[[#This Row],[Symbol]], SnapshotTable[[#This Row],[LP Strike Price]],SnapshotTable[[#This Row],[LP Exp Date]],1), "")</f>
        <v/>
      </c>
      <c r="GM161" s="30" t="str">
        <f>IF(LEN(SnapshotTable[[#This Row],[LP Symbol]])&gt;0, 1, "")</f>
        <v/>
      </c>
      <c r="GN161" s="43" t="str">
        <f>IF(AND(SnapshotTable[[#This Row],[SP Exp Date]]&gt;0,SnapshotTable[[#This Row],[SP Strike Price]]&gt;0), [1]!ToOptionSymbol(SnapshotTable[[#This Row],[Symbol]], SnapshotTable[[#This Row],[SP Strike Price]],SnapshotTable[[#This Row],[SP Exp Date]],1), "")</f>
        <v/>
      </c>
      <c r="GO161" s="30" t="str">
        <f>IF(LEN(SnapshotTable[[#This Row],[SP Symbol]])&gt;0, 1, "")</f>
        <v/>
      </c>
      <c r="GP161" s="43" t="str">
        <f>IF(AND(SnapshotTable[[#This Row],[LC Exp Date]]&gt;0,SnapshotTable[[#This Row],[LC Strike Price]]&gt;0), [1]!ToOptionSymbol(SnapshotTable[[#This Row],[Symbol]], SnapshotTable[[#This Row],[LC Strike Price]],SnapshotTable[[#This Row],[LC Exp Date]],0), "")</f>
        <v/>
      </c>
      <c r="GQ161" s="30" t="str">
        <f>IF(LEN(SnapshotTable[[#This Row],[LC Symbol]])&gt;0, 1, "")</f>
        <v/>
      </c>
      <c r="GR161" s="43" t="str">
        <f ca="1">IF(AND(SnapshotTable[[#This Row],[SC Exp Date]]&gt;0,SnapshotTable[[#This Row],[SC Strike Price]]&gt;0), [1]!ToOptionSymbol(SnapshotTable[[#This Row],[Symbol]], SnapshotTable[[#This Row],[SC Strike Price]],SnapshotTable[[#This Row],[SC Exp Date]],0), "")</f>
        <v>BA260807C00219000</v>
      </c>
      <c r="GS161" s="30">
        <f ca="1">IF(LEN(SnapshotTable[[#This Row],[SC Symbol]])&gt;0, 1, "")</f>
        <v>1</v>
      </c>
      <c r="GT161" s="29" t="str">
        <f ca="1">IF(COUNT(SnapshotTable[[#This Row],[LP Symbol Count]],SnapshotTable[[#This Row],[SP Symbol Count]],SnapshotTable[[#This Row],[LC Symbol Count]],SnapshotTable[[#This Row],[SC Symbol Count]])&gt;0, "Y", "")</f>
        <v>Y</v>
      </c>
      <c r="GU161"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SC </v>
      </c>
      <c r="GV161" s="231" t="e">
        <f ca="1">MAX(SnapshotTable[[#This Row],[Equity Basis Total]],SnapshotTable[[#This Row],[Equity Value]]) + (SnapshotTable[[#This Row],[SP Potential Spend]]- SnapshotTable[[#This Row],[SP Premium]] + SnapshotTable[[#This Row],[LP Premium]])+ (SnapshotTable[[#This Row],[LC Premium]] - SnapshotTable[[#This Row],[SC Premium]])</f>
        <v>#VALUE!</v>
      </c>
      <c r="GW161" s="139" t="e">
        <f ca="1">IF(AND(SnapshotTable[[#This Row],[Exposure]] &lt;&gt; 0),SnapshotTable[[#This Row],[Exposure]] / SnapshotTable[[#Totals],[Exposure]], "")</f>
        <v>#VALUE!</v>
      </c>
      <c r="HE161" s="268"/>
      <c r="HF161" s="268"/>
      <c r="HK161" s="1"/>
      <c r="HL161" s="1"/>
      <c r="HM161" s="1"/>
      <c r="HN161" s="1"/>
      <c r="HO161" s="1"/>
      <c r="HP161" s="1"/>
    </row>
    <row r="162" spans="2:224" ht="12.75" hidden="1" customHeight="1" x14ac:dyDescent="0.25">
      <c r="B162" s="12" t="s">
        <v>1250</v>
      </c>
      <c r="C162" s="422">
        <v>31.49</v>
      </c>
      <c r="D162" s="208"/>
      <c r="E162" s="39">
        <f>SnapshotTable[[#This Row],[Last Price]]*(1 -CrashDiscount)</f>
        <v>26.766499999999997</v>
      </c>
      <c r="F162" s="325" t="s">
        <v>223</v>
      </c>
      <c r="G162" s="325" t="s">
        <v>49</v>
      </c>
      <c r="H162" s="149"/>
      <c r="I162" s="194"/>
      <c r="J162" s="195"/>
      <c r="K162" s="196"/>
      <c r="L162" s="326"/>
      <c r="M162" s="140"/>
      <c r="N162" s="140"/>
      <c r="O162" s="140"/>
      <c r="P162" s="22"/>
      <c r="Q162" s="25"/>
      <c r="R162" s="4" t="str">
        <f>IF(SnapshotTable[[#This Row],[Equity Basis Total]] &gt; 0, SnapshotTable[[#This Row],[Equity Basis Total]] / SnapshotTable[[#This Row],[Equity Shares]], "")</f>
        <v/>
      </c>
      <c r="S162" s="269">
        <f>SnapshotTable[[#This Row],[Last Price]] * SnapshotTable[[#This Row],[Equity Shares]]</f>
        <v>0</v>
      </c>
      <c r="T162" s="269">
        <f>SnapshotTable[[#This Row],[Equity Value]] - SnapshotTable[[#This Row],[Equity Basis Total]]</f>
        <v>0</v>
      </c>
      <c r="U162" s="270" t="str">
        <f>IF(SnapshotTable[[#This Row],[Equity Basis Total]] &gt; 0, SnapshotTable[[#This Row],[Equity G/L]] / SnapshotTable[[#This Row],[Equity Basis Total]], "")</f>
        <v/>
      </c>
      <c r="V162" s="268"/>
      <c r="W162" s="268"/>
      <c r="X162" s="4" t="str">
        <f>IF(AND(ISNUMBER(SnapshotTable[[#This Row],[Equity Basis Per Share]]),ISNUMBER(SnapshotTable[[#This Row],[Equity Target]])),SnapshotTable[[#This Row],[Equity Target]]-SnapshotTable[[#This Row],[Equity Basis Per Share]],"")</f>
        <v/>
      </c>
      <c r="Y162" s="4" t="str">
        <f>IF(AND(ISNUMBER(SnapshotTable[[#This Row],[Equity Basis Per Share]]),ISNUMBER(SnapshotTable[[#This Row],[Equity Stop Loss]])),SnapshotTable[[#This Row],[Equity Stop Loss]]-SnapshotTable[[#This Row],[Equity Basis Per Share]],"")</f>
        <v/>
      </c>
      <c r="Z162" s="275" t="str">
        <f>IFERROR( TEXT(SnapshotTable[[#This Row],[Equity Max Gain Per Share]] /ABS( SnapshotTable[[#This Row],[Equity Max Loss Per Share]]),"0.0 " ) &amp; " : 1", "")</f>
        <v/>
      </c>
      <c r="AA162" s="31" t="str">
        <f>IF(ISNUMBER(SnapshotTable[[#This Row],[Equity Max Gain Per Share]]),SnapshotTable[[#This Row],[Equity Max Gain Per Share]] * SnapshotTable[[#This Row],[Equity Shares]],"")</f>
        <v/>
      </c>
      <c r="AB162" s="31" t="str">
        <f>IF(ISNUMBER(SnapshotTable[[#This Row],[Equity Max Loss Per Share]]),SnapshotTable[[#This Row],[Equity Max Loss Per Share]] * SnapshotTable[[#This Row],[Equity Shares]],"")</f>
        <v/>
      </c>
      <c r="AC162" s="150"/>
      <c r="AD162" s="151"/>
      <c r="AE162" s="31">
        <f>(SnapshotTable[[#This Row],[Annual Dividend Per Share]] / 4) * SnapshotTable[[#This Row],[Equity Shares]]</f>
        <v>0</v>
      </c>
      <c r="AF162" s="31">
        <f>SnapshotTable[[#This Row],[Quarterly Div $]] * 4</f>
        <v>0</v>
      </c>
      <c r="AG162" s="7">
        <f>IF(SnapshotTable[[#This Row],[Annual Dividend Per Share]]&gt;0, SnapshotTable[[#This Row],[Annual Dividend Per Share]]  / SnapshotTable[[#This Row],[Last Price]], 0)</f>
        <v>0</v>
      </c>
      <c r="AH162" s="151"/>
      <c r="AI162" s="5"/>
      <c r="AJ162" s="138"/>
      <c r="AK162" s="152" t="str">
        <f>IF(ISNUMBER( SnapshotTable[[#This Row],[EBF Target]]),(SnapshotTable[[#This Row],[EBF Target]] - SnapshotTable[[#This Row],[Last Price]]) / SnapshotTable[[#This Row],[Last Price]], "")</f>
        <v/>
      </c>
      <c r="AL162" s="152" t="str">
        <f>IF(AND(SnapshotTable[[#This Row],[Equity Basis Total]] &gt; 0,ISNUMBER( SnapshotTable[[#This Row],[Long Term Target]])), SnapshotTable[[#This Row],[From Basis $]] / SnapshotTable[[#This Row],[Equity Basis Total]], "")</f>
        <v/>
      </c>
      <c r="AM162" s="9">
        <f>IF( AND(SnapshotTable[[#This Row],[Equity Shares]] &gt;0,ISNUMBER( SnapshotTable[[#This Row],[Long Term Target]])),(SnapshotTable[[#This Row],[Equity Shares]] * SnapshotTable[[#This Row],[Long Term Target]]) - SnapshotTable[[#This Row],[Equity Basis Total]],0)</f>
        <v>0</v>
      </c>
      <c r="AN162" s="9">
        <f>IF( AND(SnapshotTable[[#This Row],[Equity Shares]] &gt;0,ISNUMBER( SnapshotTable[[#This Row],[Long Term Target]])),(SnapshotTable[[#This Row],[Equity Shares]]*SnapshotTable[[#This Row],[Long Term Target]]) - SnapshotTable[[#This Row],[Equity Value]],0)</f>
        <v>0</v>
      </c>
      <c r="AO162" s="152" t="str">
        <f>IF(AND(ISNUMBER( SnapshotTable[[#This Row],[Long Term Target]]), ISNUMBER(SnapshotTable[[#This Row],[Last Price]])),(SnapshotTable[[#This Row],[Long Term Target]] - SnapshotTable[[#This Row],[Last Price]]) / SnapshotTable[[#This Row],[Last Price]], "")</f>
        <v/>
      </c>
      <c r="AP162" s="5"/>
      <c r="AQ162" s="38"/>
      <c r="AR162" s="5"/>
      <c r="AS162" s="38"/>
      <c r="AT162" s="146"/>
      <c r="AU162" s="187" t="str">
        <f>IF(OR(SnapshotTable[[#This Row],[LP No Fill]]="Y",SnapshotTable[[#This Row],[SP Is Filled]],SnapshotTable[[#This Row],[LC Not Filled]]="Y",SnapshotTable[[#This Row],[SC Is Filled]]),"Y","")</f>
        <v/>
      </c>
      <c r="AV162" s="219"/>
      <c r="AW162" s="225"/>
      <c r="AX162" s="220"/>
      <c r="AY162" s="219" t="str">
        <f>IF(SnapshotTable[[#This Row],[Implied Move]]&gt;0, SnapshotTable[[#This Row],[Last Price]]-SnapshotTable[[#This Row],[Implied Move]],"")</f>
        <v/>
      </c>
      <c r="AZ162" s="219" t="str">
        <f>IF(SnapshotTable[[#This Row],[Implied Move]]&gt;0, SnapshotTable[[#This Row],[Last Price]] + SnapshotTable[[#This Row],[Implied Move]],"")</f>
        <v/>
      </c>
      <c r="BA162" s="331">
        <v>24.29</v>
      </c>
      <c r="BB162" s="347"/>
      <c r="BC16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2" s="351"/>
      <c r="BE162" s="5"/>
      <c r="BF162" s="14"/>
      <c r="BG162" s="13"/>
      <c r="BH162" s="13"/>
      <c r="BI162" s="5"/>
      <c r="BJ162" s="136">
        <f>IF(SnapshotTable[[#This Row],[LP Qty]] &gt; 0, SnapshotTable[[#This Row],[LP Qty]] * SnapshotTable[[#This Row],[LP Book Price]] * 100,0)</f>
        <v>0</v>
      </c>
      <c r="BK162" s="136">
        <f>IF(SnapshotTable[[#This Row],[LP Premium]] &gt; 0, SnapshotTable[[#This Row],[LP Qty]] * SnapshotTable[[#This Row],[LP Strike Price]] * 100,0)</f>
        <v>0</v>
      </c>
      <c r="BL162" s="154"/>
      <c r="BM162" s="385" t="str">
        <f>IF(SnapshotTable[[#This Row],[LP Premium]] &gt; 0,SnapshotTable[[#This Row],[LP Exp Date]]-MAX(SnapshotTable[[#This Row],[LP Book Date]], SnapshotTable[[#This Row],[LP Fill Date]]),"")</f>
        <v/>
      </c>
      <c r="BN162" s="385" t="str">
        <f>IF(ISNUMBER( SnapshotTable[[#This Row],[LP Term]]), SnapshotTable[[#This Row],[LP Exp Date]] - MockToday,"")</f>
        <v/>
      </c>
      <c r="BO162" s="163" t="str">
        <f>IF(AND(SnapshotTable[[#This Row],[LP Exp Date]]&gt;0, SnapshotTable[[#This Row],[LP Strike Price]]&gt;0,SnapshotTable[[#This Row],[LP Qty]]&gt;0,SnapshotTable[[#This Row],[LP Book Date]]&gt;0,SnapshotTable[[#This Row],[LP Book Price]]&gt;0,SnapshotTable[[#This Row],[LP Fill Date]]=0),"Y","")</f>
        <v/>
      </c>
      <c r="BP162" s="31" t="str">
        <f>IF(AND(SnapshotTable[[#This Row],[LP No Fill]]&lt;&gt;"Y",SnapshotTable[[#This Row],[LP Contract Value]]&gt;0, SnapshotTable[[#This Row],[LP Qty]]&gt;0), SnapshotTable[[#This Row],[LP Contract Value]]*SnapshotTable[[#This Row],[LP Qty]]*100,"")</f>
        <v/>
      </c>
      <c r="BQ162" s="13"/>
      <c r="BR162" s="5" t="str">
        <f>IF(SnapshotTable[[#This Row],[SP Exp Date]]&lt;&gt;"",TRUNC(SnapshotTable[[#This Row],[Last Price]]),"")</f>
        <v/>
      </c>
      <c r="BS162" s="36"/>
      <c r="BT162" s="147"/>
      <c r="BU162" s="13"/>
      <c r="BV162" s="5"/>
      <c r="BW162" s="419" t="b">
        <f>AND(ISNUMBER(SnapshotTable[[#This Row],[SP Exp Date]]), ISNUMBER(SnapshotTable[[#This Row],[SP Strike Price]]), ISNUMBER(SnapshotTable[[#This Row],[SP Qty]]), ISNUMBER(SnapshotTable[[#This Row],[SP Book Date]]), ISNUMBER(SnapshotTable[[#This Row],[SP Book Price]]))</f>
        <v>0</v>
      </c>
      <c r="BX162" s="419" t="b">
        <f>AND(SnapshotTable[[#This Row],[SP Is Booked]], NOT(ISBLANK(SnapshotTable[[#This Row],[SP Fill Date]])))</f>
        <v>0</v>
      </c>
      <c r="BY162" s="33">
        <f>IF(SnapshotTable[[#This Row],[SP Is Booked]], SnapshotTable[[#This Row],[SP Qty]] * SnapshotTable[[#This Row],[SP Book Price]] * 100, 0)</f>
        <v>0</v>
      </c>
      <c r="BZ162" s="369"/>
      <c r="CA162" s="368">
        <f>SnapshotTable[[#This Row],[LP Qty]]</f>
        <v>0</v>
      </c>
      <c r="CB162" s="4" t="str">
        <f>IF(SnapshotTable[[#This Row],[SP Is Booked]], SnapshotTable[[#This Row],[SP Strike Price]] - SnapshotTable[[#This Row],[SP Book Price]], "")</f>
        <v/>
      </c>
      <c r="CC162" s="19" t="str">
        <f>IF(SnapshotTable[[#This Row],[SP Is Booked]],SnapshotTable[[#This Row],[SP Exp Date]]-MAX(SnapshotTable[[#This Row],[SP Book Date]], SnapshotTable[[#This Row],[SP Fill Date]]),"")</f>
        <v/>
      </c>
      <c r="CD162" s="7" t="str">
        <f>IF(SnapshotTable[[#This Row],[SP Is Booked]], SnapshotTable[[#This Row],[SP Book Price]]/SnapshotTable[[#This Row],[SP Strike Price]], "")</f>
        <v/>
      </c>
      <c r="CE162" s="7" t="str">
        <f>IF(ISNUMBER(SnapshotTable[[#This Row],[SP ROO Term]]),SnapshotTable[[#This Row],[SP ROO Term]]*(365/SnapshotTable[[#This Row],[SP Term]]),"")</f>
        <v/>
      </c>
      <c r="CF162" s="236">
        <f>SnapshotTable[[#This Row],[LP Strike Price]] * SnapshotTable[[#This Row],[LP Qty]] * 100</f>
        <v>0</v>
      </c>
      <c r="CG162" s="31" t="e">
        <f>IF(ISNUMBER(SnapshotTable[[#This Row],[SP Premium]]), (SnapshotTable[[#This Row],[SP Qty]] * SnapshotTable[[#This Row],[SP Strike Price]]* 100) - SnapshotTable[[#This Row],[LP Protection]], 0)</f>
        <v>#VALUE!</v>
      </c>
      <c r="CH162" s="7" t="str">
        <f>IF(ISNUMBER(SnapshotTable[[#This Row],[SP Break Even]]),-1 * (SnapshotTable[[#This Row],[SP Break Even]] - SnapshotTable[[#This Row],[Last Price]]) / SnapshotTable[[#This Row],[Last Price]], "")</f>
        <v/>
      </c>
      <c r="CI162" s="31">
        <f>IF(AND(ISNUMBER((SnapshotTable[[#This Row],[SP Potential Spend]])), SnapshotTable[[#This Row],[SP Strike Price]] &gt; SnapshotTable[[#This Row],[Last Price]], SnapshotTable[[#This Row],[SP Is Filled]]), SnapshotTable[[#This Row],[SP Potential Spend]] -  SnapshotTable[[#This Row],[LP Max Value]], 0)</f>
        <v>0</v>
      </c>
      <c r="CJ162" s="244"/>
      <c r="CK162" s="31" t="str">
        <f>IF(ISNUMBER(SnapshotTable[[#This Row],[SP Potential Spend]]),IF(ISNUMBER(SnapshotTable[[#This Row],[SP POW]]), SnapshotTable[[#This Row],[SP POW]] * SnapshotTable[[#This Row],[SP Potential Spend]], SnapshotTable[[#This Row],[SP Potential Spend]]), "")</f>
        <v/>
      </c>
      <c r="CL162" s="164" t="e">
        <f>IF(NOT(SnapshotTable[[#This Row],[SP Is Filled]]),(SnapshotTable[[#This Row],[SP Qty]] * SnapshotTable[[#This Row],[SP Strike Price]] * 100) - SnapshotTable[[#This Row],[LP Max Value]],"")</f>
        <v>#VALUE!</v>
      </c>
      <c r="CM162" s="31" t="str">
        <f>IF(SnapshotTable[[#This Row],[SP Actual Spend]]&lt;&gt;0, ((SnapshotTable[[#This Row],[SP Strike Price]]-SnapshotTable[[#This Row],[Last Price]]) *(SnapshotTable[[#This Row],[SP Qty]]*100) - SnapshotTable[[#This Row],[SP Premium]]) * - 1, "")</f>
        <v/>
      </c>
      <c r="CN162" s="78"/>
      <c r="CO162" s="369"/>
      <c r="CP162" s="4" t="str">
        <f>IF(SnapshotTable[[#This Row],[SP Is Filled]], btc_max_buyback_amount(SnapshotTable[[#This Row],[SP Fill Date]],SnapshotTable[[#This Row],[SP Exp Date]], SnapshotTable[[#This Row],[SP Book Price]]),"")</f>
        <v/>
      </c>
      <c r="CQ162" s="78"/>
      <c r="CR16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2" s="155" t="str">
        <f>IF(SnapshotTable[[#This Row],[SP Is Filled]], btc_next_cutoff_date(SnapshotTable[[#This Row],[SP Fill Date]],SnapshotTable[[#This Row],[SP Exp Date]]),"")</f>
        <v/>
      </c>
      <c r="CT162" s="235" t="str" cm="1">
        <f t="array" ref="CT162">IF(SnapshotTable[[#This Row],[SP Is Filled]], btc_should_buy_back(SnapshotTable[[#This Row],[SP Fill Date]], SnapshotTable[[#This Row],[SP Exp Date]], SnapshotTable[[#This Row],[SP Book Price]], SnapshotTable[[#This Row],[SP Current Ask]], MockToday, SnapshotTable[[#This Row],[SP Buyback Override]]),"")</f>
        <v/>
      </c>
      <c r="CU162" s="156"/>
      <c r="CV162" s="235"/>
      <c r="CW162" s="378" t="str">
        <f>IF(ISNUMBER( SnapshotTable[[#This Row],[SP Term]]), SnapshotTable[[#This Row],[SP Exp Date]] - MockToday,"")</f>
        <v/>
      </c>
      <c r="CX162" s="31" t="str">
        <f>IF(SnapshotTable[[#This Row],[SP Is Filled]],SnapshotTable[[#This Row],[SP Buyback Price to Use]] * 100 * SnapshotTable[[#This Row],[SP Qty]], "")</f>
        <v/>
      </c>
      <c r="CY162" s="4" t="str">
        <f>IF(ISNUMBER(SnapshotTable[[#This Row],[SP Strike Price]]), SnapshotTable[[#This Row],[SP Strike Price]] * (1 - SP_MaxLoss_StrikePct), "")</f>
        <v/>
      </c>
      <c r="CZ162" s="31" t="str">
        <f>IF(ISNUMBER(SnapshotTable[[#This Row],[SP Strike  Stop Per Share]]),SnapshotTable[[#This Row],[SP Premium]] - ((SnapshotTable[[#This Row],[SP Strike Price]]-SnapshotTable[[#This Row],[SP Strike  Stop Per Share]]) *(SnapshotTable[[#This Row],[SP Qty]] * 100)),"")</f>
        <v/>
      </c>
      <c r="DA162" s="4" t="str">
        <f>IF(AND(ISNUMBER(SnapshotTable[[#This Row],[SP Premium]]),SnapshotTable[[#This Row],[SP Premium]]&gt;0), SnapshotTable[[#This Row],[SP Book Price]] * (1 + SP_MaxLoss_OptionPct), "")</f>
        <v/>
      </c>
      <c r="DB162" s="31" t="str">
        <f>IF(ISNUMBER(SnapshotTable[[#This Row],[SP Option  Stop Contract]]),(SnapshotTable[[#This Row],[SP Option  Stop Contract]] *(SnapshotTable[[#This Row],[SP Qty]] * 100) - SnapshotTable[[#This Row],[SP Premium]]),"")</f>
        <v/>
      </c>
      <c r="DC162" s="4"/>
      <c r="DD162" s="4"/>
      <c r="DE162" s="4" t="str">
        <f>IF(AND(SnapshotTable[[#This Row],[SP Qty]]&gt;0, SnapshotTable[[#This Row],[SP Stop To Use]]&gt;0),SnapshotTable[[#This Row],[SP Premium]] - ( SnapshotTable[[#This Row],[SP Qty]] * SnapshotTable[[#This Row],[SP Stop To Use]] * 100), "")</f>
        <v/>
      </c>
      <c r="DF162" s="31" t="str">
        <f>IF(AND(SnapshotTable[[#This Row],[SP Qty]]&gt;0,SnapshotTable[[#This Row],[SP Current Ask]]&gt;0), SnapshotTable[[#This Row],[SP Qty]] * SnapshotTable[[#This Row],[SP Current Ask]] * -100, "")</f>
        <v/>
      </c>
      <c r="DG162" s="31" t="str">
        <f>IF(ISNUMBER((SnapshotTable[[#This Row],[SP Total Value]])), SnapshotTable[[#This Row],[SP Premium]] + SnapshotTable[[#This Row],[SP Total Value]], "")</f>
        <v/>
      </c>
      <c r="DH162" s="294" t="str">
        <f>IF(ISNUMBER((SnapshotTable[[#This Row],[SP Total Value]])), SnapshotTable[[#This Row],[SP Gain Loss]] / SnapshotTable[[#This Row],[SP Premium]], "")</f>
        <v/>
      </c>
      <c r="DI162" s="406"/>
      <c r="DJ162" s="138"/>
      <c r="DK162" s="148"/>
      <c r="DL162" s="13"/>
      <c r="DM162" s="13"/>
      <c r="DO162" s="31">
        <f>IF(SnapshotTable[[#This Row],[LC Symbol Count]]=1, SnapshotTable[[#This Row],[LC Qty]] * SnapshotTable[[#This Row],[LC Book Price]] * 100, 0)</f>
        <v>0</v>
      </c>
      <c r="DP162" s="163" t="str">
        <f>IF(AND(SnapshotTable[[#This Row],[LC Exp Date]]&gt;0, SnapshotTable[[#This Row],[LC Strike Price]]&gt;0,SnapshotTable[[#This Row],[LC Qty]]&gt;0,SnapshotTable[[#This Row],[LC Book Date]]&gt;0,SnapshotTable[[#This Row],[LC Book Price]]&gt;0,SnapshotTable[[#This Row],[LC Fill Date]]=0),"Y","")</f>
        <v/>
      </c>
      <c r="DQ162" s="386" t="str">
        <f>IF(SnapshotTable[[#This Row],[LC Premium]] &gt; 0,SnapshotTable[[#This Row],[LC Exp Date]]-MAX(SnapshotTable[[#This Row],[LC Book Date]], SnapshotTable[[#This Row],[LC Fill Date]]),"")</f>
        <v/>
      </c>
      <c r="DR162" s="386" t="str">
        <f>IF(ISNUMBER(SnapshotTable[[#This Row],[LC Term]]), SnapshotTable[[#This Row],[LC Exp Date]] - MockToday, "")</f>
        <v/>
      </c>
      <c r="DS162" s="234" t="str">
        <f>IF(SnapshotTable[[#This Row],[LC Premium]]&gt;0,SnapshotTable[[#This Row],[LC Strike Price]] + SnapshotTable[[#This Row],[LC Book Price]],"")</f>
        <v/>
      </c>
      <c r="DU162" s="9" t="str">
        <f>IF(AND(SnapshotTable[[#This Row],[LC Symbol Count]]&gt;0, SnapshotTable[[#This Row],[LC Contract Value]]&gt;0), SnapshotTable[[#This Row],[LC Contract Value]] * SnapshotTable[[#This Row],[LC Qty]] * 100, "")</f>
        <v/>
      </c>
      <c r="DV162" s="9" t="str">
        <f>IF(AND(ISNUMBER(SnapshotTable[[#This Row],[LC Total Value]]), SnapshotTable[[#This Row],[LC Not Filled]]&lt;&gt;"Y"), SnapshotTable[[#This Row],[LC Total Value]]-SnapshotTable[[#This Row],[LC Premium]],"")</f>
        <v/>
      </c>
      <c r="DW162" s="240" t="str">
        <f>IF(ISNUMBER(SnapshotTable[[#This Row],[LC Actual Gain Loss]]), SnapshotTable[[#This Row],[LC Actual Gain Loss]] / SnapshotTable[[#This Row],[LC Premium]],"")</f>
        <v/>
      </c>
      <c r="DX162" s="284" t="str">
        <f>IF(ISNUMBER(SnapshotTable[[#This Row],[LC Book Price]]),SnapshotTable[[#This Row],[LC Book Price]] * 1.5,"")</f>
        <v/>
      </c>
      <c r="DY162" s="265" t="str">
        <f>IF(SnapshotTable[[#This Row],[LC Premium]]&gt;0, SnapshotTable[[#This Row],[LC Next Target]] * SnapshotTable[[#This Row],[LC Qty]] * 100,"")</f>
        <v/>
      </c>
      <c r="DZ162" s="265" t="str">
        <f>IF(ISNUMBER(SnapshotTable[[#This Row],[LC Target Gross]]), SnapshotTable[[#This Row],[LC Target Gross]] - SnapshotTable[[#This Row],[LC Premium]], "")</f>
        <v/>
      </c>
      <c r="EA162" s="305" t="str">
        <f>IF(ISNUMBER(SnapshotTable[[#This Row],[LC Target Gain Loss]]), SnapshotTable[[#This Row],[LC Target Gain Loss]]/SnapshotTable[[#This Row],[LC Premium]], "")</f>
        <v/>
      </c>
      <c r="EB162" s="262"/>
      <c r="EC162" s="283" t="str">
        <f>IF(SnapshotTable[[#This Row],[LC Premium]]&gt;0, SnapshotTable[[#This Row],[LC Book Price]] * (1 - LC_StopLoss_Pct),"")</f>
        <v/>
      </c>
      <c r="ED162" s="284"/>
      <c r="EE162" s="283" t="str">
        <f>IF(ISNUMBER(SnapshotTable[[#This Row],[LC Contract Value]]),IF(ISNUMBER(SnapshotTable[[#This Row],[LC Stop Loss Override]]), SnapshotTable[[#This Row],[LC Stop Loss Override]],SnapshotTable[[#This Row],[LC Stop Loss Calc Target]]),"")</f>
        <v/>
      </c>
      <c r="EF162" s="31" t="str">
        <f>IF(ISNUMBER(SnapshotTable[[#This Row],[LC Stop  To Use]]), (SnapshotTable[[#This Row],[LC Stop  To Use]] * SnapshotTable[[#This Row],[LC Qty]] * 100),"")</f>
        <v/>
      </c>
      <c r="EG162" s="9" t="str">
        <f>IF(ISNUMBER(SnapshotTable[[#This Row],[LC Total Value]]),SnapshotTable[[#This Row],[LC Stop Loss Amount]] - SnapshotTable[[#This Row],[LC Premium]],"")</f>
        <v/>
      </c>
      <c r="EH162" s="9">
        <f>IF(ISNUMBER(SnapshotTable[[#This Row],[LC Premium]]), SnapshotTable[[#This Row],[LC Qty]] * 100 * SnapshotTable[[#This Row],[LC Strike Price]], "")</f>
        <v>0</v>
      </c>
      <c r="EI162" s="240" t="str">
        <f>IF(AND(ISNUMBER(SnapshotTable[[#This Row],[LC Total Value]]),SnapshotTable[[#This Row],[LC Total Value]]&gt;0),SnapshotTable[[#This Row],[LC Stop Gain Loss]]  / SnapshotTable[[#This Row],[LC Premium]],"")</f>
        <v/>
      </c>
      <c r="EJ162" s="35">
        <f>IF(ISNUMBER(SnapshotTable[[#This Row],[Equity Shares]]),TRUNC(SnapshotTable[[#This Row],[Equity Shares]] / 100),0) + SnapshotTable[[#This Row],[LC Qty]]</f>
        <v>0</v>
      </c>
      <c r="EK162" s="147"/>
      <c r="EL162" s="138" t="str">
        <f>IF(SnapshotTable[[#This Row],[SC Exp Date]]&lt;&gt;"",TRUNC(SnapshotTable[[#This Row],[Last Price]]),"")</f>
        <v/>
      </c>
      <c r="EM162" s="148"/>
      <c r="EN162" s="147"/>
      <c r="EO162" s="147"/>
      <c r="EP162" s="138"/>
      <c r="EQ162" s="419" t="b">
        <f>AND(ISNUMBER(SnapshotTable[[#This Row],[SC Exp Date]]), ISNUMBER(SnapshotTable[[#This Row],[SC Strike Price]]), ISNUMBER(SnapshotTable[[#This Row],[SC Qty]]), ISNUMBER(SnapshotTable[[#This Row],[SC Book Date]]), ISNUMBER(SnapshotTable[[#This Row],[SC Book Price]]))</f>
        <v>0</v>
      </c>
      <c r="ER162" s="419" t="b">
        <f>AND(SnapshotTable[[#This Row],[SC Is Booked]], NOT(ISBLANK(SnapshotTable[[#This Row],[SC Fill Date]])))</f>
        <v>0</v>
      </c>
      <c r="ES162" s="370"/>
      <c r="ET162" s="34" t="str">
        <f>IF(AND(ISNUMBER(SnapshotTable[[#This Row],[SC Exp Date]]), ISNUMBER(SnapshotTable[[#This Row],[SC Book Date]])), SnapshotTable[[#This Row],[SC Exp Date]] - MAX(SnapshotTable[[#This Row],[SC Book Date]], SnapshotTable[[#This Row],[SC Fill Date]]) + 1, "")</f>
        <v/>
      </c>
      <c r="EU162" s="34" t="str">
        <f>IF(ISNUMBER(SnapshotTable[[#This Row],[SC Term]]), SnapshotTable[[#This Row],[SC Exp Date]]- MockToday, "")</f>
        <v/>
      </c>
      <c r="EV162" s="31">
        <f>IF(SnapshotTable[[#This Row],[SC Is Booked]], SnapshotTable[[#This Row],[SC Qty]] * SnapshotTable[[#This Row],[SC Book Price]] * 100, 0)</f>
        <v>0</v>
      </c>
      <c r="EW162" s="4" t="str">
        <f>IF(AND(ISNUMBER(SnapshotTable[[#This Row],[Last Price]]), ISNUMBER( SnapshotTable[[#This Row],[SC Book Price]])), SnapshotTable[[#This Row],[Last Price]] - SnapshotTable[[#This Row],[SC Book Price]],"")</f>
        <v/>
      </c>
      <c r="EX162" s="234" t="str">
        <f>IF(SnapshotTable[[#This Row],[SC Is Booked]],IF(SnapshotTable[[#This Row],[SC Intrinsic Value]] &gt; 0, SnapshotTable[[#This Row],[SC Strike Price]], SnapshotTable[[#This Row],[Last Price]]), "")</f>
        <v/>
      </c>
      <c r="EY162" s="4">
        <f>IF(SnapshotTable[[#This Row],[SC Is Booked]], (MinimumPremiumRequired * SnapshotTable[[#This Row],[SC Basis]] * SnapshotTable[[#This Row],[SC Term]]), 0)</f>
        <v>0</v>
      </c>
      <c r="EZ162" s="283"/>
      <c r="FA162" s="218"/>
      <c r="FB162" s="370"/>
      <c r="FC162" s="4">
        <f>IF(SnapshotTable[[#This Row],[SC Is Filled]], btc_max_buyback_amount(SnapshotTable[[#This Row],[SC Fill Date]],SnapshotTable[[#This Row],[SC Exp Date]], SnapshotTable[[#This Row],[SC Book Price]]),0)</f>
        <v>0</v>
      </c>
      <c r="FD162" s="5"/>
      <c r="FE162" s="144" t="str">
        <f>IF(SnapshotTable[[#This Row],[SC Is Filled]], btc_next_cutoff_date(SnapshotTable[[#This Row],[SC Fill Date]],SnapshotTable[[#This Row],[SC Exp Date]]),"")</f>
        <v/>
      </c>
      <c r="FF162" s="4" t="str" cm="1">
        <f t="array" ref="FF162">IF(SnapshotTable[[#This Row],[SC Is Filled]], btc_should_buy_back(SnapshotTable[[#This Row],[SC Fill Date]], SnapshotTable[[#This Row],[SC Exp Date]], SnapshotTable[[#This Row],[SC Book Price]], SnapshotTable[[#This Row],[SC Current Ask]], MockToday, SnapshotTable[[#This Row],[SC Buyback Override]]),"")</f>
        <v/>
      </c>
      <c r="FG162" s="4">
        <f>IF(SnapshotTable[[#This Row],[SC Is Filled]], MAX(0,SnapshotTable[[#This Row],[Last Price]]  - SnapshotTable[[#This Row],[SC Strike Price]]), 0)</f>
        <v>0</v>
      </c>
      <c r="FH162" s="382">
        <f>IF(SnapshotTable[[#This Row],[SC Is Filled]], IF(ISNUMBER(SnapshotTable[[#This Row],[SC Current Ask]]), SnapshotTable[[#This Row],[SC Current Ask]], SnapshotTable[[#This Row],[SC Book Price]]) - SnapshotTable[[#This Row],[SC Intrinsic Value]], 0)</f>
        <v>0</v>
      </c>
      <c r="FI162" s="143"/>
      <c r="FJ162" s="32" t="str">
        <f>IF(SnapshotTable[[#This Row],[SC Is Filled]],100 * SnapshotTable[[#This Row],[SC Qty]] * IF(ISNUMBER(SnapshotTable[[#This Row],[SC Buyback Override]]), SnapshotTable[[#This Row],[SC Buyback Override]], SnapshotTable[[#This Row],[SC Current Ask]]), "")</f>
        <v/>
      </c>
      <c r="FK162" s="250" t="str">
        <f>IF(SnapshotTable[[#This Row],[SC Time Val]]&gt;0, SnapshotTable[[#This Row],[SC Time Val]] / SnapshotTable[[#This Row],[Last Price]],"")</f>
        <v/>
      </c>
      <c r="FL162" s="302" t="str">
        <f>IF(SnapshotTable[[#This Row],[SC Is Booked]], ((SnapshotTable[[#This Row],[Last Price]] -SnapshotTable[[#This Row],[SC Strike Price]]) / SnapshotTable[[#This Row],[Last Price]]) * -1, "")</f>
        <v/>
      </c>
      <c r="FM162" s="157" t="str">
        <f>IF(SnapshotTable[[#This Row],[SC Is Booked]],  (SnapshotTable[[#This Row],[SC Qty]] * 100 * SnapshotTable[[#This Row],[SC Strike Price]]) - SnapshotTable[[#This Row],[SC Current Ask]], "")</f>
        <v/>
      </c>
      <c r="FN16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2" s="31" t="str">
        <f>IF(AND(ISNUMBER(SnapshotTable[[#This Row],[SC Exercise Gross]]), ISNUMBER(SnapshotTable[[#This Row],[Equity Basis Per Share]] )), SnapshotTable[[#This Row],[SC Exercise Gross]] - SnapshotTable[[#This Row],[Equity Basis Total]] +  SnapshotTable[[#This Row],[SC Premium]], "")</f>
        <v/>
      </c>
      <c r="FP162" s="5" t="str">
        <f>IF(ISNUMBER(SnapshotTable[[#This Row],[SC Exercise Gross]]), (SnapshotTable[[#This Row],[SC Exercise Gross]]) / (SnapshotTable[[#This Row],[SC Qty]] * 100), "")</f>
        <v/>
      </c>
      <c r="FQ162" s="27" t="str">
        <f>IF(SnapshotTable[[#This Row],[SC Is Booked]],SnapshotTable[[#This Row],[SC Time Val]] /SnapshotTable[[#This Row],[SC Basis]], "")</f>
        <v/>
      </c>
      <c r="FR162" s="27" t="str" cm="1">
        <f t="array" ref="FR162">IF(AND(ISNUMBER(SnapshotTable[[#This Row],[SC Term]]),ISNUMBER(SnapshotTable[[#This Row],[SC Simple ROO]])), EllmanAnnualize(SnapshotTable[[#This Row],[SC DTE]], SnapshotTable[[#This Row],[SC Simple ROO]] ),"")</f>
        <v/>
      </c>
      <c r="FS162" s="4" t="e">
        <f>IF(SnapshotTable[[#This Row],[SC Strike Price]] &gt; SnapshotTable[[#This Row],[Last Price]], SnapshotTable[[#This Row],[SC Strike Price]] - SnapshotTable[[#This Row],[Last Price]],0)</f>
        <v>#VALUE!</v>
      </c>
      <c r="FT162" s="27" t="e">
        <f>IF(AND(ISNUMBER(SnapshotTable[[#This Row],[SC Upside Potential]]), SnapshotTable[[#This Row],[SC Upside Potential]] &gt; 0),(SnapshotTable[[#This Row],[SC Upside Potential]]/ SnapshotTable[[#This Row],[ACB]]),"")</f>
        <v>#VALUE!</v>
      </c>
      <c r="FU162" s="333" t="str">
        <f>IF(SnapshotTable[[#This Row],[SC Intrinsic Value]] &gt; 0,SnapshotTable[[#This Row],[SC Intrinsic Value]],"")</f>
        <v/>
      </c>
      <c r="FV162" s="27" t="str">
        <f>IF(AND( ISNUMBER( SnapshotTable[[#This Row],[ACB]]),ISNUMBER(SnapshotTable[[#This Row],[SC Downside Protect]])),SnapshotTable[[#This Row],[SC Downside Protect]] / SnapshotTable[[#This Row],[ACB]],"")</f>
        <v/>
      </c>
      <c r="FW162" s="236" t="str">
        <f>IF(AND(ISNUMBER(SnapshotTable[[#This Row],[SC Simple ROO]]),SnapshotTable[[#This Row],[SC Simple ROO]] &gt; 0), SnapshotTable[[#This Row],[SC Premium]] + (SnapshotTable[[#This Row],[SC Qty]] * SnapshotTable[[#This Row],[SC Upside Potential]]), "")</f>
        <v/>
      </c>
      <c r="FX162" s="302" t="str" cm="1">
        <f t="array" ref="FX162">IF(ISNUMBER(SnapshotTable[[#This Row],[SC Max Dollars]]), annualize(SnapshotTable[[#This Row],[SC Term]],(SnapshotTable[[#This Row],[SC Max Dollars]]/SnapshotTable[[#This Row],[SC Basis]])),"")</f>
        <v/>
      </c>
      <c r="FY162" s="236" t="str">
        <f>IF(AND(SnapshotTable[[#This Row],[SC Qty]]&gt;0,SnapshotTable[[#This Row],[SC Current Ask]]&gt;0), SnapshotTable[[#This Row],[SC Qty]] * SnapshotTable[[#This Row],[SC Current Ask]] * -100, "")</f>
        <v/>
      </c>
      <c r="FZ162" s="31" t="str">
        <f>IF(ISNUMBER((SnapshotTable[[#This Row],[SC Current Value]])), SnapshotTable[[#This Row],[SC Premium]] + SnapshotTable[[#This Row],[SC Current Value]], "")</f>
        <v/>
      </c>
      <c r="GA162" s="294" t="str">
        <f>IFERROR( IF(ISNUMBER((SnapshotTable[[#This Row],[SC Current Value]])), SnapshotTable[[#This Row],[SC Gain Loss]] / SnapshotTable[[#This Row],[SC Premium]], ""), "")</f>
        <v/>
      </c>
      <c r="GB162" s="42">
        <f>SnapshotTable[[#This Row],[Equity Shares]] * SaleSharesToConsiderPercentage</f>
        <v>0</v>
      </c>
      <c r="GC162" s="40">
        <f>SnapshotTable[[#This Row],[Long Term Target]] * SellingPriceToConsiderBasedOnTargetPercentage</f>
        <v>0</v>
      </c>
      <c r="GD162" s="40">
        <f>SnapshotTable[[#This Row],[Last Price]] * (1+ SellingPriceToConsiderBasedOnTargetPercentage)</f>
        <v>61.405499999999996</v>
      </c>
      <c r="GE162" s="41"/>
      <c r="GF162" s="40"/>
      <c r="GG162" s="31">
        <f>SnapshotTable[[#This Row],[Booked Sale Shares]] * SnapshotTable[[#This Row],[Booked Sale Price]]</f>
        <v>0</v>
      </c>
      <c r="GH162" s="31" t="str">
        <f>IF(SnapshotTable[[#This Row],[Equity Basis Total]] &gt; 0, SnapshotTable[[#This Row],[Equity Basis Per Share]] * SnapshotTable[[#This Row],[Booked Sale Shares]], "")</f>
        <v/>
      </c>
      <c r="GI162" s="31">
        <f>IF(SnapshotTable[[#This Row],[Sale Proceeds]]&gt;0, SnapshotTable[[#This Row],[Sale Proceeds]] - SnapshotTable[[#This Row],[Sale Basis]], 0)</f>
        <v>0</v>
      </c>
      <c r="GJ162" s="27" t="str">
        <f>IF(SnapshotTable[[#This Row],[Sale G/L]]&gt;0, SnapshotTable[[#This Row],[Sale G/L]] / SnapshotTable[[#This Row],[Sale Basis]], IF(ISNUMBER(SnapshotTable[[#This Row],[SC Exercise P&amp;L (TAX)]]), SnapshotTable[[#This Row],[SC Exercise P&amp;L (TAX)]] / SnapshotTable[[#This Row],[SC Basis]], ""))</f>
        <v/>
      </c>
      <c r="GK162" s="27"/>
      <c r="GL162" s="43" t="str">
        <f>IF(AND(SnapshotTable[[#This Row],[LP Exp Date]]&gt;0,SnapshotTable[[#This Row],[LP Strike Price]]&gt;0), [1]!ToOptionSymbol(SnapshotTable[[#This Row],[Symbol]], SnapshotTable[[#This Row],[LP Strike Price]],SnapshotTable[[#This Row],[LP Exp Date]],1), "")</f>
        <v/>
      </c>
      <c r="GM162" s="30" t="str">
        <f>IF(LEN(SnapshotTable[[#This Row],[LP Symbol]])&gt;0, 1, "")</f>
        <v/>
      </c>
      <c r="GN162" s="43" t="str">
        <f>IF(AND(SnapshotTable[[#This Row],[SP Exp Date]]&gt;0,SnapshotTable[[#This Row],[SP Strike Price]]&gt;0), [1]!ToOptionSymbol(SnapshotTable[[#This Row],[Symbol]], SnapshotTable[[#This Row],[SP Strike Price]],SnapshotTable[[#This Row],[SP Exp Date]],1), "")</f>
        <v/>
      </c>
      <c r="GO162" s="30" t="str">
        <f>IF(LEN(SnapshotTable[[#This Row],[SP Symbol]])&gt;0, 1, "")</f>
        <v/>
      </c>
      <c r="GP162" s="43" t="str">
        <f>IF(AND(SnapshotTable[[#This Row],[LC Exp Date]]&gt;0,SnapshotTable[[#This Row],[LC Strike Price]]&gt;0), [1]!ToOptionSymbol(SnapshotTable[[#This Row],[Symbol]], SnapshotTable[[#This Row],[LC Strike Price]],SnapshotTable[[#This Row],[LC Exp Date]],0), "")</f>
        <v/>
      </c>
      <c r="GQ162" s="30" t="str">
        <f>IF(LEN(SnapshotTable[[#This Row],[LC Symbol]])&gt;0, 1, "")</f>
        <v/>
      </c>
      <c r="GR162" s="43" t="str">
        <f>IF(AND(SnapshotTable[[#This Row],[SC Exp Date]]&gt;0,SnapshotTable[[#This Row],[SC Strike Price]]&gt;0), [1]!ToOptionSymbol(SnapshotTable[[#This Row],[Symbol]], SnapshotTable[[#This Row],[SC Strike Price]],SnapshotTable[[#This Row],[SC Exp Date]],0), "")</f>
        <v/>
      </c>
      <c r="GS162" s="30" t="str">
        <f>IF(LEN(SnapshotTable[[#This Row],[SC Symbol]])&gt;0, 1, "")</f>
        <v/>
      </c>
      <c r="GT162" s="29" t="str">
        <f>IF(COUNT(SnapshotTable[[#This Row],[LP Symbol Count]],SnapshotTable[[#This Row],[SP Symbol Count]],SnapshotTable[[#This Row],[LC Symbol Count]],SnapshotTable[[#This Row],[SC Symbol Count]])&gt;0, "Y", "")</f>
        <v/>
      </c>
      <c r="GU16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2" s="231" t="e">
        <f>MAX(SnapshotTable[[#This Row],[Equity Basis Total]],SnapshotTable[[#This Row],[Equity Value]]) + (SnapshotTable[[#This Row],[SP Potential Spend]]- SnapshotTable[[#This Row],[SP Premium]] + SnapshotTable[[#This Row],[LP Premium]])+ (SnapshotTable[[#This Row],[LC Premium]] - SnapshotTable[[#This Row],[SC Premium]])</f>
        <v>#VALUE!</v>
      </c>
      <c r="GW162" s="139" t="e">
        <f>IF(AND(SnapshotTable[[#This Row],[Exposure]] &lt;&gt; 0),SnapshotTable[[#This Row],[Exposure]] / SnapshotTable[[#Totals],[Exposure]], "")</f>
        <v>#VALUE!</v>
      </c>
      <c r="HE162" s="268"/>
      <c r="HF162" s="268"/>
      <c r="HK162" s="1"/>
      <c r="HL162" s="1"/>
      <c r="HM162" s="1"/>
      <c r="HN162" s="1"/>
      <c r="HO162" s="1"/>
      <c r="HP162" s="1"/>
    </row>
    <row r="163" spans="2:224" ht="12.75" hidden="1" customHeight="1" x14ac:dyDescent="0.25">
      <c r="B163" s="12" t="s">
        <v>1268</v>
      </c>
      <c r="C163" s="422">
        <v>10.17</v>
      </c>
      <c r="D163" s="208"/>
      <c r="E163" s="39">
        <f>SnapshotTable[[#This Row],[Last Price]]*(1 -CrashDiscount)</f>
        <v>8.644499999999999</v>
      </c>
      <c r="F163" s="325" t="s">
        <v>917</v>
      </c>
      <c r="G163" s="325" t="s">
        <v>872</v>
      </c>
      <c r="H163" s="149"/>
      <c r="I163" s="194"/>
      <c r="J163" s="195"/>
      <c r="K163" s="196"/>
      <c r="L163" s="326"/>
      <c r="M163" s="140"/>
      <c r="N163" s="140"/>
      <c r="O163" s="140"/>
      <c r="P163" s="22"/>
      <c r="Q163" s="25"/>
      <c r="R163" s="4" t="str">
        <f>IF(SnapshotTable[[#This Row],[Equity Basis Total]] &gt; 0, SnapshotTable[[#This Row],[Equity Basis Total]] / SnapshotTable[[#This Row],[Equity Shares]], "")</f>
        <v/>
      </c>
      <c r="S163" s="269">
        <f>SnapshotTable[[#This Row],[Last Price]] * SnapshotTable[[#This Row],[Equity Shares]]</f>
        <v>0</v>
      </c>
      <c r="T163" s="269">
        <f>SnapshotTable[[#This Row],[Equity Value]] - SnapshotTable[[#This Row],[Equity Basis Total]]</f>
        <v>0</v>
      </c>
      <c r="U163" s="270" t="str">
        <f>IF(SnapshotTable[[#This Row],[Equity Basis Total]] &gt; 0, SnapshotTable[[#This Row],[Equity G/L]] / SnapshotTable[[#This Row],[Equity Basis Total]], "")</f>
        <v/>
      </c>
      <c r="V163" s="268">
        <v>24.5</v>
      </c>
      <c r="W163" s="268">
        <v>18.95</v>
      </c>
      <c r="X163" s="4" t="str">
        <f>IF(AND(ISNUMBER(SnapshotTable[[#This Row],[Equity Basis Per Share]]),ISNUMBER(SnapshotTable[[#This Row],[Equity Target]])),SnapshotTable[[#This Row],[Equity Target]]-SnapshotTable[[#This Row],[Equity Basis Per Share]],"")</f>
        <v/>
      </c>
      <c r="Y163" s="4" t="str">
        <f>IF(AND(ISNUMBER(SnapshotTable[[#This Row],[Equity Basis Per Share]]),ISNUMBER(SnapshotTable[[#This Row],[Equity Stop Loss]])),SnapshotTable[[#This Row],[Equity Stop Loss]]-SnapshotTable[[#This Row],[Equity Basis Per Share]],"")</f>
        <v/>
      </c>
      <c r="Z163" s="275" t="str">
        <f>IFERROR( TEXT(SnapshotTable[[#This Row],[Equity Max Gain Per Share]] /ABS( SnapshotTable[[#This Row],[Equity Max Loss Per Share]]),"0.0 " ) &amp; " : 1", "")</f>
        <v/>
      </c>
      <c r="AA163" s="31" t="str">
        <f>IF(ISNUMBER(SnapshotTable[[#This Row],[Equity Max Gain Per Share]]),SnapshotTable[[#This Row],[Equity Max Gain Per Share]] * SnapshotTable[[#This Row],[Equity Shares]],"")</f>
        <v/>
      </c>
      <c r="AB163" s="31" t="str">
        <f>IF(ISNUMBER(SnapshotTable[[#This Row],[Equity Max Loss Per Share]]),SnapshotTable[[#This Row],[Equity Max Loss Per Share]] * SnapshotTable[[#This Row],[Equity Shares]],"")</f>
        <v/>
      </c>
      <c r="AC163" s="150"/>
      <c r="AD163" s="151"/>
      <c r="AE163" s="31">
        <f>(SnapshotTable[[#This Row],[Annual Dividend Per Share]] / 4) * SnapshotTable[[#This Row],[Equity Shares]]</f>
        <v>0</v>
      </c>
      <c r="AF163" s="31">
        <f>SnapshotTable[[#This Row],[Quarterly Div $]] * 4</f>
        <v>0</v>
      </c>
      <c r="AG163" s="7">
        <f>IF(SnapshotTable[[#This Row],[Annual Dividend Per Share]]&gt;0, SnapshotTable[[#This Row],[Annual Dividend Per Share]]  / SnapshotTable[[#This Row],[Last Price]], 0)</f>
        <v>0</v>
      </c>
      <c r="AH163" s="151"/>
      <c r="AI163" s="5"/>
      <c r="AJ163" s="138"/>
      <c r="AK163" s="152" t="str">
        <f>IF(ISNUMBER( SnapshotTable[[#This Row],[EBF Target]]),(SnapshotTable[[#This Row],[EBF Target]] - SnapshotTable[[#This Row],[Last Price]]) / SnapshotTable[[#This Row],[Last Price]], "")</f>
        <v/>
      </c>
      <c r="AL163" s="152" t="str">
        <f>IF(AND(SnapshotTable[[#This Row],[Equity Basis Total]] &gt; 0,ISNUMBER( SnapshotTable[[#This Row],[Long Term Target]])), SnapshotTable[[#This Row],[From Basis $]] / SnapshotTable[[#This Row],[Equity Basis Total]], "")</f>
        <v/>
      </c>
      <c r="AM163" s="9">
        <f>IF( AND(SnapshotTable[[#This Row],[Equity Shares]] &gt;0,ISNUMBER( SnapshotTable[[#This Row],[Long Term Target]])),(SnapshotTable[[#This Row],[Equity Shares]] * SnapshotTable[[#This Row],[Long Term Target]]) - SnapshotTable[[#This Row],[Equity Basis Total]],0)</f>
        <v>0</v>
      </c>
      <c r="AN163" s="9">
        <f>IF( AND(SnapshotTable[[#This Row],[Equity Shares]] &gt;0,ISNUMBER( SnapshotTable[[#This Row],[Long Term Target]])),(SnapshotTable[[#This Row],[Equity Shares]]*SnapshotTable[[#This Row],[Long Term Target]]) - SnapshotTable[[#This Row],[Equity Value]],0)</f>
        <v>0</v>
      </c>
      <c r="AO163" s="152" t="str">
        <f>IF(AND(ISNUMBER( SnapshotTable[[#This Row],[Long Term Target]]), ISNUMBER(SnapshotTable[[#This Row],[Last Price]])),(SnapshotTable[[#This Row],[Long Term Target]] - SnapshotTable[[#This Row],[Last Price]]) / SnapshotTable[[#This Row],[Last Price]], "")</f>
        <v/>
      </c>
      <c r="AP163" s="5"/>
      <c r="AQ163" s="38"/>
      <c r="AR163" s="5"/>
      <c r="AS163" s="38"/>
      <c r="AT163" s="146"/>
      <c r="AU163" s="187" t="str">
        <f>IF(OR(SnapshotTable[[#This Row],[LP No Fill]]="Y",SnapshotTable[[#This Row],[SP Is Filled]],SnapshotTable[[#This Row],[LC Not Filled]]="Y",SnapshotTable[[#This Row],[SC Is Filled]]),"Y","")</f>
        <v/>
      </c>
      <c r="AV163" s="219"/>
      <c r="AW163" s="225"/>
      <c r="AX163" s="220"/>
      <c r="AY163" s="219" t="str">
        <f>IF(SnapshotTable[[#This Row],[Implied Move]]&gt;0, SnapshotTable[[#This Row],[Last Price]]-SnapshotTable[[#This Row],[Implied Move]],"")</f>
        <v/>
      </c>
      <c r="AZ163" s="219" t="str">
        <f>IF(SnapshotTable[[#This Row],[Implied Move]]&gt;0, SnapshotTable[[#This Row],[Last Price]] + SnapshotTable[[#This Row],[Implied Move]],"")</f>
        <v/>
      </c>
      <c r="BA163" s="331">
        <v>20.85</v>
      </c>
      <c r="BB163" s="404"/>
      <c r="BC16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3" s="351"/>
      <c r="BE163" s="5"/>
      <c r="BF163" s="14"/>
      <c r="BG163" s="13"/>
      <c r="BH163" s="13"/>
      <c r="BI163" s="5"/>
      <c r="BJ163" s="136">
        <f>IF(SnapshotTable[[#This Row],[LP Qty]] &gt; 0, SnapshotTable[[#This Row],[LP Qty]] * SnapshotTable[[#This Row],[LP Book Price]] * 100,0)</f>
        <v>0</v>
      </c>
      <c r="BK163" s="136">
        <f>IF(SnapshotTable[[#This Row],[LP Premium]] &gt; 0, SnapshotTable[[#This Row],[LP Qty]] * SnapshotTable[[#This Row],[LP Strike Price]] * 100,0)</f>
        <v>0</v>
      </c>
      <c r="BL163" s="154"/>
      <c r="BM163" s="385" t="str">
        <f>IF(SnapshotTable[[#This Row],[LP Premium]] &gt; 0,SnapshotTable[[#This Row],[LP Exp Date]]-MAX(SnapshotTable[[#This Row],[LP Book Date]], SnapshotTable[[#This Row],[LP Fill Date]]),"")</f>
        <v/>
      </c>
      <c r="BN163" s="385" t="str">
        <f>IF(ISNUMBER( SnapshotTable[[#This Row],[LP Term]]), SnapshotTable[[#This Row],[LP Exp Date]] - MockToday,"")</f>
        <v/>
      </c>
      <c r="BO163" s="163" t="str">
        <f>IF(AND(SnapshotTable[[#This Row],[LP Exp Date]]&gt;0, SnapshotTable[[#This Row],[LP Strike Price]]&gt;0,SnapshotTable[[#This Row],[LP Qty]]&gt;0,SnapshotTable[[#This Row],[LP Book Date]]&gt;0,SnapshotTable[[#This Row],[LP Book Price]]&gt;0,SnapshotTable[[#This Row],[LP Fill Date]]=0),"Y","")</f>
        <v/>
      </c>
      <c r="BP163" s="31" t="str">
        <f>IF(AND(SnapshotTable[[#This Row],[LP No Fill]]&lt;&gt;"Y",SnapshotTable[[#This Row],[LP Contract Value]]&gt;0, SnapshotTable[[#This Row],[LP Qty]]&gt;0), SnapshotTable[[#This Row],[LP Contract Value]]*SnapshotTable[[#This Row],[LP Qty]]*100,"")</f>
        <v/>
      </c>
      <c r="BQ163" s="13"/>
      <c r="BR163" s="5" t="str">
        <f>IF(SnapshotTable[[#This Row],[SP Exp Date]]&lt;&gt;"",TRUNC(SnapshotTable[[#This Row],[Last Price]]),"")</f>
        <v/>
      </c>
      <c r="BS163" s="36"/>
      <c r="BT163" s="147"/>
      <c r="BU163" s="13"/>
      <c r="BV163" s="5"/>
      <c r="BW163" s="419" t="b">
        <f>AND(ISNUMBER(SnapshotTable[[#This Row],[SP Exp Date]]), ISNUMBER(SnapshotTable[[#This Row],[SP Strike Price]]), ISNUMBER(SnapshotTable[[#This Row],[SP Qty]]), ISNUMBER(SnapshotTable[[#This Row],[SP Book Date]]), ISNUMBER(SnapshotTable[[#This Row],[SP Book Price]]))</f>
        <v>0</v>
      </c>
      <c r="BX163" s="419" t="b">
        <f>AND(SnapshotTable[[#This Row],[SP Is Booked]], NOT(ISBLANK(SnapshotTable[[#This Row],[SP Fill Date]])))</f>
        <v>0</v>
      </c>
      <c r="BY163" s="33">
        <f>IF(SnapshotTable[[#This Row],[SP Is Booked]], SnapshotTable[[#This Row],[SP Qty]] * SnapshotTable[[#This Row],[SP Book Price]] * 100, 0)</f>
        <v>0</v>
      </c>
      <c r="BZ163" s="369"/>
      <c r="CA163" s="368">
        <f>SnapshotTable[[#This Row],[LP Qty]]</f>
        <v>0</v>
      </c>
      <c r="CB163" s="4" t="str">
        <f>IF(SnapshotTable[[#This Row],[SP Is Booked]], SnapshotTable[[#This Row],[SP Strike Price]] - SnapshotTable[[#This Row],[SP Book Price]], "")</f>
        <v/>
      </c>
      <c r="CC163" s="19" t="str">
        <f>IF(SnapshotTable[[#This Row],[SP Is Booked]],SnapshotTable[[#This Row],[SP Exp Date]]-MAX(SnapshotTable[[#This Row],[SP Book Date]], SnapshotTable[[#This Row],[SP Fill Date]]),"")</f>
        <v/>
      </c>
      <c r="CD163" s="7" t="str">
        <f>IF(SnapshotTable[[#This Row],[SP Is Booked]], SnapshotTable[[#This Row],[SP Book Price]]/SnapshotTable[[#This Row],[SP Strike Price]], "")</f>
        <v/>
      </c>
      <c r="CE163" s="7" t="str">
        <f>IF(ISNUMBER(SnapshotTable[[#This Row],[SP ROO Term]]),SnapshotTable[[#This Row],[SP ROO Term]]*(365/SnapshotTable[[#This Row],[SP Term]]),"")</f>
        <v/>
      </c>
      <c r="CF163" s="236">
        <f>SnapshotTable[[#This Row],[LP Strike Price]] * SnapshotTable[[#This Row],[LP Qty]] * 100</f>
        <v>0</v>
      </c>
      <c r="CG163" s="31" t="e">
        <f>IF(ISNUMBER(SnapshotTable[[#This Row],[SP Premium]]), (SnapshotTable[[#This Row],[SP Qty]] * SnapshotTable[[#This Row],[SP Strike Price]]* 100) - SnapshotTable[[#This Row],[LP Protection]], 0)</f>
        <v>#VALUE!</v>
      </c>
      <c r="CH163" s="7" t="str">
        <f>IF(ISNUMBER(SnapshotTable[[#This Row],[SP Break Even]]),-1 * (SnapshotTable[[#This Row],[SP Break Even]] - SnapshotTable[[#This Row],[Last Price]]) / SnapshotTable[[#This Row],[Last Price]], "")</f>
        <v/>
      </c>
      <c r="CI163" s="31">
        <f>IF(AND(ISNUMBER((SnapshotTable[[#This Row],[SP Potential Spend]])), SnapshotTable[[#This Row],[SP Strike Price]] &gt; SnapshotTable[[#This Row],[Last Price]], SnapshotTable[[#This Row],[SP Is Filled]]), SnapshotTable[[#This Row],[SP Potential Spend]] -  SnapshotTable[[#This Row],[LP Max Value]], 0)</f>
        <v>0</v>
      </c>
      <c r="CJ163" s="244"/>
      <c r="CK163" s="31" t="str">
        <f>IF(ISNUMBER(SnapshotTable[[#This Row],[SP Potential Spend]]),IF(ISNUMBER(SnapshotTable[[#This Row],[SP POW]]), SnapshotTable[[#This Row],[SP POW]] * SnapshotTable[[#This Row],[SP Potential Spend]], SnapshotTable[[#This Row],[SP Potential Spend]]), "")</f>
        <v/>
      </c>
      <c r="CL163" s="164" t="e">
        <f>IF(NOT(SnapshotTable[[#This Row],[SP Is Filled]]),(SnapshotTable[[#This Row],[SP Qty]] * SnapshotTable[[#This Row],[SP Strike Price]] * 100) - SnapshotTable[[#This Row],[LP Max Value]],"")</f>
        <v>#VALUE!</v>
      </c>
      <c r="CM163" s="31" t="str">
        <f>IF(SnapshotTable[[#This Row],[SP Actual Spend]]&lt;&gt;0, ((SnapshotTable[[#This Row],[SP Strike Price]]-SnapshotTable[[#This Row],[Last Price]]) *(SnapshotTable[[#This Row],[SP Qty]]*100) - SnapshotTable[[#This Row],[SP Premium]]) * - 1, "")</f>
        <v/>
      </c>
      <c r="CN163" s="78"/>
      <c r="CO163" s="369"/>
      <c r="CP163" s="4" t="str">
        <f>IF(SnapshotTable[[#This Row],[SP Is Filled]], btc_max_buyback_amount(SnapshotTable[[#This Row],[SP Fill Date]],SnapshotTable[[#This Row],[SP Exp Date]], SnapshotTable[[#This Row],[SP Book Price]]),"")</f>
        <v/>
      </c>
      <c r="CQ163" s="78"/>
      <c r="CR16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3" s="155" t="str">
        <f>IF(SnapshotTable[[#This Row],[SP Is Filled]], btc_next_cutoff_date(SnapshotTable[[#This Row],[SP Fill Date]],SnapshotTable[[#This Row],[SP Exp Date]]),"")</f>
        <v/>
      </c>
      <c r="CT163" s="235" t="str" cm="1">
        <f t="array" ref="CT163">IF(SnapshotTable[[#This Row],[SP Is Filled]], btc_should_buy_back(SnapshotTable[[#This Row],[SP Fill Date]], SnapshotTable[[#This Row],[SP Exp Date]], SnapshotTable[[#This Row],[SP Book Price]], SnapshotTable[[#This Row],[SP Current Ask]], MockToday, SnapshotTable[[#This Row],[SP Buyback Override]]),"")</f>
        <v/>
      </c>
      <c r="CU163" s="143"/>
      <c r="CV163" s="235"/>
      <c r="CW163" s="378" t="str">
        <f>IF(ISNUMBER( SnapshotTable[[#This Row],[SP Term]]), SnapshotTable[[#This Row],[SP Exp Date]] - MockToday,"")</f>
        <v/>
      </c>
      <c r="CX163" s="31" t="str">
        <f>IF(SnapshotTable[[#This Row],[SP Is Filled]],SnapshotTable[[#This Row],[SP Buyback Price to Use]] * 100 * SnapshotTable[[#This Row],[SP Qty]], "")</f>
        <v/>
      </c>
      <c r="CY163" s="4" t="str">
        <f>IF(ISNUMBER(SnapshotTable[[#This Row],[SP Strike Price]]), SnapshotTable[[#This Row],[SP Strike Price]] * (1 - SP_MaxLoss_StrikePct), "")</f>
        <v/>
      </c>
      <c r="CZ163" s="31" t="str">
        <f>IF(ISNUMBER(SnapshotTable[[#This Row],[SP Strike  Stop Per Share]]),SnapshotTable[[#This Row],[SP Premium]] - ((SnapshotTable[[#This Row],[SP Strike Price]]-SnapshotTable[[#This Row],[SP Strike  Stop Per Share]]) *(SnapshotTable[[#This Row],[SP Qty]] * 100)),"")</f>
        <v/>
      </c>
      <c r="DA163" s="4" t="str">
        <f>IF(AND(ISNUMBER(SnapshotTable[[#This Row],[SP Premium]]),SnapshotTable[[#This Row],[SP Premium]]&gt;0), SnapshotTable[[#This Row],[SP Book Price]] * (1 + SP_MaxLoss_OptionPct), "")</f>
        <v/>
      </c>
      <c r="DB163" s="31" t="str">
        <f>IF(ISNUMBER(SnapshotTable[[#This Row],[SP Option  Stop Contract]]),(SnapshotTable[[#This Row],[SP Option  Stop Contract]] *(SnapshotTable[[#This Row],[SP Qty]] * 100) - SnapshotTable[[#This Row],[SP Premium]]),"")</f>
        <v/>
      </c>
      <c r="DC163" s="4"/>
      <c r="DD163" s="4"/>
      <c r="DE163" s="4" t="str">
        <f>IF(AND(SnapshotTable[[#This Row],[SP Qty]]&gt;0, SnapshotTable[[#This Row],[SP Stop To Use]]&gt;0),SnapshotTable[[#This Row],[SP Premium]] - ( SnapshotTable[[#This Row],[SP Qty]] * SnapshotTable[[#This Row],[SP Stop To Use]] * 100), "")</f>
        <v/>
      </c>
      <c r="DF163" s="31" t="str">
        <f>IF(AND(SnapshotTable[[#This Row],[SP Qty]]&gt;0,SnapshotTable[[#This Row],[SP Current Ask]]&gt;0), SnapshotTable[[#This Row],[SP Qty]] * SnapshotTable[[#This Row],[SP Current Ask]] * -100, "")</f>
        <v/>
      </c>
      <c r="DG163" s="31" t="str">
        <f>IF(ISNUMBER((SnapshotTable[[#This Row],[SP Total Value]])), SnapshotTable[[#This Row],[SP Premium]] + SnapshotTable[[#This Row],[SP Total Value]], "")</f>
        <v/>
      </c>
      <c r="DH163" s="294" t="str">
        <f>IF(ISNUMBER((SnapshotTable[[#This Row],[SP Total Value]])), SnapshotTable[[#This Row],[SP Gain Loss]] / SnapshotTable[[#This Row],[SP Premium]], "")</f>
        <v/>
      </c>
      <c r="DI163" s="406"/>
      <c r="DJ163" s="138"/>
      <c r="DK163" s="148"/>
      <c r="DL163" s="13"/>
      <c r="DM163" s="13"/>
      <c r="DO163" s="31">
        <f>IF(SnapshotTable[[#This Row],[LC Symbol Count]]=1, SnapshotTable[[#This Row],[LC Qty]] * SnapshotTable[[#This Row],[LC Book Price]] * 100, 0)</f>
        <v>0</v>
      </c>
      <c r="DP163" s="163" t="str">
        <f>IF(AND(SnapshotTable[[#This Row],[LC Exp Date]]&gt;0, SnapshotTable[[#This Row],[LC Strike Price]]&gt;0,SnapshotTable[[#This Row],[LC Qty]]&gt;0,SnapshotTable[[#This Row],[LC Book Date]]&gt;0,SnapshotTable[[#This Row],[LC Book Price]]&gt;0,SnapshotTable[[#This Row],[LC Fill Date]]=0),"Y","")</f>
        <v/>
      </c>
      <c r="DQ163" s="386" t="str">
        <f>IF(SnapshotTable[[#This Row],[LC Premium]] &gt; 0,SnapshotTable[[#This Row],[LC Exp Date]]-MAX(SnapshotTable[[#This Row],[LC Book Date]], SnapshotTable[[#This Row],[LC Fill Date]]),"")</f>
        <v/>
      </c>
      <c r="DR163" s="386" t="str">
        <f>IF(ISNUMBER(SnapshotTable[[#This Row],[LC Term]]), SnapshotTable[[#This Row],[LC Exp Date]] - MockToday, "")</f>
        <v/>
      </c>
      <c r="DS163" s="234" t="str">
        <f>IF(SnapshotTable[[#This Row],[LC Premium]]&gt;0,SnapshotTable[[#This Row],[LC Strike Price]] + SnapshotTable[[#This Row],[LC Book Price]],"")</f>
        <v/>
      </c>
      <c r="DU163" s="9" t="str">
        <f>IF(AND(SnapshotTable[[#This Row],[LC Symbol Count]]&gt;0, SnapshotTable[[#This Row],[LC Contract Value]]&gt;0), SnapshotTable[[#This Row],[LC Contract Value]] * SnapshotTable[[#This Row],[LC Qty]] * 100, "")</f>
        <v/>
      </c>
      <c r="DV163" s="9" t="str">
        <f>IF(AND(ISNUMBER(SnapshotTable[[#This Row],[LC Total Value]]), SnapshotTable[[#This Row],[LC Not Filled]]&lt;&gt;"Y"), SnapshotTable[[#This Row],[LC Total Value]]-SnapshotTable[[#This Row],[LC Premium]],"")</f>
        <v/>
      </c>
      <c r="DW163" s="240" t="str">
        <f>IF(ISNUMBER(SnapshotTable[[#This Row],[LC Actual Gain Loss]]), SnapshotTable[[#This Row],[LC Actual Gain Loss]] / SnapshotTable[[#This Row],[LC Premium]],"")</f>
        <v/>
      </c>
      <c r="DX163" s="284" t="str">
        <f>IF(ISNUMBER(SnapshotTable[[#This Row],[LC Book Price]]),SnapshotTable[[#This Row],[LC Book Price]] * 1.5,"")</f>
        <v/>
      </c>
      <c r="DY163" s="265" t="str">
        <f>IF(SnapshotTable[[#This Row],[LC Premium]]&gt;0, SnapshotTable[[#This Row],[LC Next Target]] * SnapshotTable[[#This Row],[LC Qty]] * 100,"")</f>
        <v/>
      </c>
      <c r="DZ163" s="265" t="str">
        <f>IF(ISNUMBER(SnapshotTable[[#This Row],[LC Target Gross]]), SnapshotTable[[#This Row],[LC Target Gross]] - SnapshotTable[[#This Row],[LC Premium]], "")</f>
        <v/>
      </c>
      <c r="EA163" s="305" t="str">
        <f>IF(ISNUMBER(SnapshotTable[[#This Row],[LC Target Gain Loss]]), SnapshotTable[[#This Row],[LC Target Gain Loss]]/SnapshotTable[[#This Row],[LC Premium]], "")</f>
        <v/>
      </c>
      <c r="EB163" s="262"/>
      <c r="EC163" s="283" t="str">
        <f>IF(SnapshotTable[[#This Row],[LC Premium]]&gt;0, SnapshotTable[[#This Row],[LC Book Price]] * (1 - LC_StopLoss_Pct),"")</f>
        <v/>
      </c>
      <c r="ED163" s="284"/>
      <c r="EE163" s="283" t="str">
        <f>IF(ISNUMBER(SnapshotTable[[#This Row],[LC Contract Value]]),IF(ISNUMBER(SnapshotTable[[#This Row],[LC Stop Loss Override]]), SnapshotTable[[#This Row],[LC Stop Loss Override]],SnapshotTable[[#This Row],[LC Stop Loss Calc Target]]),"")</f>
        <v/>
      </c>
      <c r="EF163" s="31" t="str">
        <f>IF(ISNUMBER(SnapshotTable[[#This Row],[LC Stop  To Use]]), (SnapshotTable[[#This Row],[LC Stop  To Use]] * SnapshotTable[[#This Row],[LC Qty]] * 100),"")</f>
        <v/>
      </c>
      <c r="EG163" s="9" t="str">
        <f>IF(ISNUMBER(SnapshotTable[[#This Row],[LC Total Value]]),SnapshotTable[[#This Row],[LC Stop Loss Amount]] - SnapshotTable[[#This Row],[LC Premium]],"")</f>
        <v/>
      </c>
      <c r="EH163" s="9">
        <f>IF(ISNUMBER(SnapshotTable[[#This Row],[LC Premium]]), SnapshotTable[[#This Row],[LC Qty]] * 100 * SnapshotTable[[#This Row],[LC Strike Price]], "")</f>
        <v>0</v>
      </c>
      <c r="EI163" s="240" t="str">
        <f>IF(AND(ISNUMBER(SnapshotTable[[#This Row],[LC Total Value]]),SnapshotTable[[#This Row],[LC Total Value]]&gt;0),SnapshotTable[[#This Row],[LC Stop Gain Loss]]  / SnapshotTable[[#This Row],[LC Premium]],"")</f>
        <v/>
      </c>
      <c r="EJ163" s="35">
        <f>IF(ISNUMBER(SnapshotTable[[#This Row],[Equity Shares]]),TRUNC(SnapshotTable[[#This Row],[Equity Shares]] / 100),0) + SnapshotTable[[#This Row],[LC Qty]]</f>
        <v>0</v>
      </c>
      <c r="EK163" s="147"/>
      <c r="EL163" s="138" t="str">
        <f>IF(SnapshotTable[[#This Row],[SC Exp Date]]&lt;&gt;"",TRUNC(SnapshotTable[[#This Row],[Last Price]]),"")</f>
        <v/>
      </c>
      <c r="EM163" s="148"/>
      <c r="EN163" s="147"/>
      <c r="EO163" s="147"/>
      <c r="EP163" s="138"/>
      <c r="EQ163" s="419" t="b">
        <f>AND(ISNUMBER(SnapshotTable[[#This Row],[SC Exp Date]]), ISNUMBER(SnapshotTable[[#This Row],[SC Strike Price]]), ISNUMBER(SnapshotTable[[#This Row],[SC Qty]]), ISNUMBER(SnapshotTable[[#This Row],[SC Book Date]]), ISNUMBER(SnapshotTable[[#This Row],[SC Book Price]]))</f>
        <v>0</v>
      </c>
      <c r="ER163" s="419" t="b">
        <f>AND(SnapshotTable[[#This Row],[SC Is Booked]], NOT(ISBLANK(SnapshotTable[[#This Row],[SC Fill Date]])))</f>
        <v>0</v>
      </c>
      <c r="ES163" s="370"/>
      <c r="ET163" s="34" t="str">
        <f>IF(AND(ISNUMBER(SnapshotTable[[#This Row],[SC Exp Date]]), ISNUMBER(SnapshotTable[[#This Row],[SC Book Date]])), SnapshotTable[[#This Row],[SC Exp Date]] - MAX(SnapshotTable[[#This Row],[SC Book Date]], SnapshotTable[[#This Row],[SC Fill Date]]) + 1, "")</f>
        <v/>
      </c>
      <c r="EU163" s="34" t="str">
        <f>IF(ISNUMBER(SnapshotTable[[#This Row],[SC Term]]), SnapshotTable[[#This Row],[SC Exp Date]]- MockToday, "")</f>
        <v/>
      </c>
      <c r="EV163" s="31">
        <f>IF(SnapshotTable[[#This Row],[SC Is Booked]], SnapshotTable[[#This Row],[SC Qty]] * SnapshotTable[[#This Row],[SC Book Price]] * 100, 0)</f>
        <v>0</v>
      </c>
      <c r="EW163" s="4" t="str">
        <f>IF(AND(ISNUMBER(SnapshotTable[[#This Row],[Last Price]]), ISNUMBER( SnapshotTable[[#This Row],[SC Book Price]])), SnapshotTable[[#This Row],[Last Price]] - SnapshotTable[[#This Row],[SC Book Price]],"")</f>
        <v/>
      </c>
      <c r="EX163" s="234" t="str">
        <f>IF(SnapshotTable[[#This Row],[SC Is Booked]],IF(SnapshotTable[[#This Row],[SC Intrinsic Value]] &gt; 0, SnapshotTable[[#This Row],[SC Strike Price]], SnapshotTable[[#This Row],[Last Price]]), "")</f>
        <v/>
      </c>
      <c r="EY163" s="4">
        <f>IF(SnapshotTable[[#This Row],[SC Is Booked]], (MinimumPremiumRequired * SnapshotTable[[#This Row],[SC Basis]] * SnapshotTable[[#This Row],[SC Term]]), 0)</f>
        <v>0</v>
      </c>
      <c r="EZ163" s="283"/>
      <c r="FA163" s="218"/>
      <c r="FB163" s="370"/>
      <c r="FC163" s="4">
        <f>IF(SnapshotTable[[#This Row],[SC Is Filled]], btc_max_buyback_amount(SnapshotTable[[#This Row],[SC Fill Date]],SnapshotTable[[#This Row],[SC Exp Date]], SnapshotTable[[#This Row],[SC Book Price]]),0)</f>
        <v>0</v>
      </c>
      <c r="FD163" s="5"/>
      <c r="FE163" s="144" t="str">
        <f>IF(SnapshotTable[[#This Row],[SC Is Filled]], btc_next_cutoff_date(SnapshotTable[[#This Row],[SC Fill Date]],SnapshotTable[[#This Row],[SC Exp Date]]),"")</f>
        <v/>
      </c>
      <c r="FF163" s="4" t="str" cm="1">
        <f t="array" ref="FF163">IF(SnapshotTable[[#This Row],[SC Is Filled]], btc_should_buy_back(SnapshotTable[[#This Row],[SC Fill Date]], SnapshotTable[[#This Row],[SC Exp Date]], SnapshotTable[[#This Row],[SC Book Price]], SnapshotTable[[#This Row],[SC Current Ask]], MockToday, SnapshotTable[[#This Row],[SC Buyback Override]]),"")</f>
        <v/>
      </c>
      <c r="FG163" s="4">
        <f>IF(SnapshotTable[[#This Row],[SC Is Filled]], MAX(0,SnapshotTable[[#This Row],[Last Price]]  - SnapshotTable[[#This Row],[SC Strike Price]]), 0)</f>
        <v>0</v>
      </c>
      <c r="FH163" s="382">
        <f>IF(SnapshotTable[[#This Row],[SC Is Filled]], IF(ISNUMBER(SnapshotTable[[#This Row],[SC Current Ask]]), SnapshotTable[[#This Row],[SC Current Ask]], SnapshotTable[[#This Row],[SC Book Price]]) - SnapshotTable[[#This Row],[SC Intrinsic Value]], 0)</f>
        <v>0</v>
      </c>
      <c r="FI163" s="143"/>
      <c r="FJ163" s="32" t="str">
        <f>IF(SnapshotTable[[#This Row],[SC Is Filled]],100 * SnapshotTable[[#This Row],[SC Qty]] * IF(ISNUMBER(SnapshotTable[[#This Row],[SC Buyback Override]]), SnapshotTable[[#This Row],[SC Buyback Override]], SnapshotTable[[#This Row],[SC Current Ask]]), "")</f>
        <v/>
      </c>
      <c r="FK163" s="250" t="str">
        <f>IF(SnapshotTable[[#This Row],[SC Time Val]]&gt;0, SnapshotTable[[#This Row],[SC Time Val]] / SnapshotTable[[#This Row],[Last Price]],"")</f>
        <v/>
      </c>
      <c r="FL163" s="302" t="str">
        <f>IF(SnapshotTable[[#This Row],[SC Is Booked]], ((SnapshotTable[[#This Row],[Last Price]] -SnapshotTable[[#This Row],[SC Strike Price]]) / SnapshotTable[[#This Row],[Last Price]]) * -1, "")</f>
        <v/>
      </c>
      <c r="FM163" s="157" t="str">
        <f>IF(SnapshotTable[[#This Row],[SC Is Booked]],  (SnapshotTable[[#This Row],[SC Qty]] * 100 * SnapshotTable[[#This Row],[SC Strike Price]]) - SnapshotTable[[#This Row],[SC Current Ask]], "")</f>
        <v/>
      </c>
      <c r="FN16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3" s="31" t="str">
        <f>IF(AND(ISNUMBER(SnapshotTable[[#This Row],[SC Exercise Gross]]), ISNUMBER(SnapshotTable[[#This Row],[Equity Basis Per Share]] )), SnapshotTable[[#This Row],[SC Exercise Gross]] - SnapshotTable[[#This Row],[Equity Basis Total]] +  SnapshotTable[[#This Row],[SC Premium]], "")</f>
        <v/>
      </c>
      <c r="FP163" s="5" t="str">
        <f>IF(ISNUMBER(SnapshotTable[[#This Row],[SC Exercise Gross]]), (SnapshotTable[[#This Row],[SC Exercise Gross]]) / (SnapshotTable[[#This Row],[SC Qty]] * 100), "")</f>
        <v/>
      </c>
      <c r="FQ163" s="27" t="str">
        <f>IF(SnapshotTable[[#This Row],[SC Is Booked]],SnapshotTable[[#This Row],[SC Time Val]] /SnapshotTable[[#This Row],[SC Basis]], "")</f>
        <v/>
      </c>
      <c r="FR163" s="27" t="str" cm="1">
        <f t="array" ref="FR163">IF(AND(ISNUMBER(SnapshotTable[[#This Row],[SC Term]]),ISNUMBER(SnapshotTable[[#This Row],[SC Simple ROO]])), EllmanAnnualize(SnapshotTable[[#This Row],[SC DTE]], SnapshotTable[[#This Row],[SC Simple ROO]] ),"")</f>
        <v/>
      </c>
      <c r="FS163" s="4" t="e">
        <f>IF(SnapshotTable[[#This Row],[SC Strike Price]] &gt; SnapshotTable[[#This Row],[Last Price]], SnapshotTable[[#This Row],[SC Strike Price]] - SnapshotTable[[#This Row],[Last Price]],0)</f>
        <v>#VALUE!</v>
      </c>
      <c r="FT163" s="27" t="e">
        <f>IF(AND(ISNUMBER(SnapshotTable[[#This Row],[SC Upside Potential]]), SnapshotTable[[#This Row],[SC Upside Potential]] &gt; 0),(SnapshotTable[[#This Row],[SC Upside Potential]]/ SnapshotTable[[#This Row],[ACB]]),"")</f>
        <v>#VALUE!</v>
      </c>
      <c r="FU163" s="333" t="str">
        <f>IF(SnapshotTable[[#This Row],[SC Intrinsic Value]] &gt; 0,SnapshotTable[[#This Row],[SC Intrinsic Value]],"")</f>
        <v/>
      </c>
      <c r="FV163" s="27" t="str">
        <f>IF(AND( ISNUMBER( SnapshotTable[[#This Row],[ACB]]),ISNUMBER(SnapshotTable[[#This Row],[SC Downside Protect]])),SnapshotTable[[#This Row],[SC Downside Protect]] / SnapshotTable[[#This Row],[ACB]],"")</f>
        <v/>
      </c>
      <c r="FW163" s="236" t="str">
        <f>IF(AND(ISNUMBER(SnapshotTable[[#This Row],[SC Simple ROO]]),SnapshotTable[[#This Row],[SC Simple ROO]] &gt; 0), SnapshotTable[[#This Row],[SC Premium]] + (SnapshotTable[[#This Row],[SC Qty]] * SnapshotTable[[#This Row],[SC Upside Potential]]), "")</f>
        <v/>
      </c>
      <c r="FX163" s="302" t="str" cm="1">
        <f t="array" ref="FX163">IF(ISNUMBER(SnapshotTable[[#This Row],[SC Max Dollars]]), annualize(SnapshotTable[[#This Row],[SC Term]],(SnapshotTable[[#This Row],[SC Max Dollars]]/SnapshotTable[[#This Row],[SC Basis]])),"")</f>
        <v/>
      </c>
      <c r="FY163" s="236" t="str">
        <f>IF(AND(SnapshotTable[[#This Row],[SC Qty]]&gt;0,SnapshotTable[[#This Row],[SC Current Ask]]&gt;0), SnapshotTable[[#This Row],[SC Qty]] * SnapshotTable[[#This Row],[SC Current Ask]] * -100, "")</f>
        <v/>
      </c>
      <c r="FZ163" s="31" t="str">
        <f>IF(ISNUMBER((SnapshotTable[[#This Row],[SC Current Value]])), SnapshotTable[[#This Row],[SC Premium]] + SnapshotTable[[#This Row],[SC Current Value]], "")</f>
        <v/>
      </c>
      <c r="GA163" s="294" t="str">
        <f>IFERROR( IF(ISNUMBER((SnapshotTable[[#This Row],[SC Current Value]])), SnapshotTable[[#This Row],[SC Gain Loss]] / SnapshotTable[[#This Row],[SC Premium]], ""), "")</f>
        <v/>
      </c>
      <c r="GB163" s="42">
        <f>SnapshotTable[[#This Row],[Equity Shares]] * SaleSharesToConsiderPercentage</f>
        <v>0</v>
      </c>
      <c r="GC163" s="40">
        <f>SnapshotTable[[#This Row],[Long Term Target]] * SellingPriceToConsiderBasedOnTargetPercentage</f>
        <v>0</v>
      </c>
      <c r="GD163" s="40">
        <f>SnapshotTable[[#This Row],[Last Price]] * (1+ SellingPriceToConsiderBasedOnTargetPercentage)</f>
        <v>19.831499999999998</v>
      </c>
      <c r="GE163" s="41"/>
      <c r="GF163" s="40"/>
      <c r="GG163" s="31">
        <f>SnapshotTable[[#This Row],[Booked Sale Shares]] * SnapshotTable[[#This Row],[Booked Sale Price]]</f>
        <v>0</v>
      </c>
      <c r="GH163" s="31" t="str">
        <f>IF(SnapshotTable[[#This Row],[Equity Basis Total]] &gt; 0, SnapshotTable[[#This Row],[Equity Basis Per Share]] * SnapshotTable[[#This Row],[Booked Sale Shares]], "")</f>
        <v/>
      </c>
      <c r="GI163" s="31">
        <f>IF(SnapshotTable[[#This Row],[Sale Proceeds]]&gt;0, SnapshotTable[[#This Row],[Sale Proceeds]] - SnapshotTable[[#This Row],[Sale Basis]], 0)</f>
        <v>0</v>
      </c>
      <c r="GJ163" s="27" t="str">
        <f>IF(SnapshotTable[[#This Row],[Sale G/L]]&gt;0, SnapshotTable[[#This Row],[Sale G/L]] / SnapshotTable[[#This Row],[Sale Basis]], IF(ISNUMBER(SnapshotTable[[#This Row],[SC Exercise P&amp;L (TAX)]]), SnapshotTable[[#This Row],[SC Exercise P&amp;L (TAX)]] / SnapshotTable[[#This Row],[SC Basis]], ""))</f>
        <v/>
      </c>
      <c r="GK163" s="27"/>
      <c r="GL163" s="43" t="str">
        <f>IF(AND(SnapshotTable[[#This Row],[LP Exp Date]]&gt;0,SnapshotTable[[#This Row],[LP Strike Price]]&gt;0), [1]!ToOptionSymbol(SnapshotTable[[#This Row],[Symbol]], SnapshotTable[[#This Row],[LP Strike Price]],SnapshotTable[[#This Row],[LP Exp Date]],1), "")</f>
        <v/>
      </c>
      <c r="GM163" s="30" t="str">
        <f>IF(LEN(SnapshotTable[[#This Row],[LP Symbol]])&gt;0, 1, "")</f>
        <v/>
      </c>
      <c r="GN163" s="43" t="str">
        <f>IF(AND(SnapshotTable[[#This Row],[SP Exp Date]]&gt;0,SnapshotTable[[#This Row],[SP Strike Price]]&gt;0), [1]!ToOptionSymbol(SnapshotTable[[#This Row],[Symbol]], SnapshotTable[[#This Row],[SP Strike Price]],SnapshotTable[[#This Row],[SP Exp Date]],1), "")</f>
        <v/>
      </c>
      <c r="GO163" s="30" t="str">
        <f>IF(LEN(SnapshotTable[[#This Row],[SP Symbol]])&gt;0, 1, "")</f>
        <v/>
      </c>
      <c r="GP163" s="43" t="str">
        <f>IF(AND(SnapshotTable[[#This Row],[LC Exp Date]]&gt;0,SnapshotTable[[#This Row],[LC Strike Price]]&gt;0), [1]!ToOptionSymbol(SnapshotTable[[#This Row],[Symbol]], SnapshotTable[[#This Row],[LC Strike Price]],SnapshotTable[[#This Row],[LC Exp Date]],0), "")</f>
        <v/>
      </c>
      <c r="GQ163" s="30" t="str">
        <f>IF(LEN(SnapshotTable[[#This Row],[LC Symbol]])&gt;0, 1, "")</f>
        <v/>
      </c>
      <c r="GR163" s="43" t="str">
        <f>IF(AND(SnapshotTable[[#This Row],[SC Exp Date]]&gt;0,SnapshotTable[[#This Row],[SC Strike Price]]&gt;0), [1]!ToOptionSymbol(SnapshotTable[[#This Row],[Symbol]], SnapshotTable[[#This Row],[SC Strike Price]],SnapshotTable[[#This Row],[SC Exp Date]],0), "")</f>
        <v/>
      </c>
      <c r="GS163" s="30" t="str">
        <f>IF(LEN(SnapshotTable[[#This Row],[SC Symbol]])&gt;0, 1, "")</f>
        <v/>
      </c>
      <c r="GT163" s="29" t="str">
        <f>IF(COUNT(SnapshotTable[[#This Row],[LP Symbol Count]],SnapshotTable[[#This Row],[SP Symbol Count]],SnapshotTable[[#This Row],[LC Symbol Count]],SnapshotTable[[#This Row],[SC Symbol Count]])&gt;0, "Y", "")</f>
        <v/>
      </c>
      <c r="GU16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3" s="231" t="e">
        <f>MAX(SnapshotTable[[#This Row],[Equity Basis Total]],SnapshotTable[[#This Row],[Equity Value]]) + (SnapshotTable[[#This Row],[SP Potential Spend]]- SnapshotTable[[#This Row],[SP Premium]] + SnapshotTable[[#This Row],[LP Premium]])+ (SnapshotTable[[#This Row],[LC Premium]] - SnapshotTable[[#This Row],[SC Premium]])</f>
        <v>#VALUE!</v>
      </c>
      <c r="GW163" s="139" t="e">
        <f>IF(AND(SnapshotTable[[#This Row],[Exposure]] &lt;&gt; 0),SnapshotTable[[#This Row],[Exposure]] / SnapshotTable[[#Totals],[Exposure]], "")</f>
        <v>#VALUE!</v>
      </c>
      <c r="HE163" s="268"/>
      <c r="HF163" s="268"/>
      <c r="HK163" s="1"/>
      <c r="HL163" s="1"/>
      <c r="HM163" s="1"/>
      <c r="HN163" s="1"/>
      <c r="HO163" s="1"/>
      <c r="HP163" s="1"/>
    </row>
    <row r="164" spans="2:224" ht="12.75" customHeight="1" x14ac:dyDescent="0.25">
      <c r="B164" s="12" t="s">
        <v>1273</v>
      </c>
      <c r="C164" s="422">
        <v>113.37</v>
      </c>
      <c r="D164" s="208" t="s">
        <v>578</v>
      </c>
      <c r="E164" s="39">
        <f>SnapshotTable[[#This Row],[Last Price]]*(1 -CrashDiscount)</f>
        <v>96.364500000000007</v>
      </c>
      <c r="F164" s="26" t="s">
        <v>34</v>
      </c>
      <c r="G164" s="26" t="s">
        <v>17</v>
      </c>
      <c r="H164" s="149"/>
      <c r="I164" s="194">
        <v>44805.670138888891</v>
      </c>
      <c r="J164" s="195">
        <v>44805.670138888891</v>
      </c>
      <c r="K164" s="196"/>
      <c r="L164" s="326"/>
      <c r="M164" s="140"/>
      <c r="N164" s="140"/>
      <c r="O164" s="140"/>
      <c r="P164" s="22"/>
      <c r="Q164" s="25"/>
      <c r="R164" s="4" t="str">
        <f>IF(SnapshotTable[[#This Row],[Equity Basis Total]] &gt; 0, SnapshotTable[[#This Row],[Equity Basis Total]] / SnapshotTable[[#This Row],[Equity Shares]], "")</f>
        <v/>
      </c>
      <c r="S164" s="269">
        <f>SnapshotTable[[#This Row],[Last Price]] * SnapshotTable[[#This Row],[Equity Shares]]</f>
        <v>0</v>
      </c>
      <c r="T164" s="269">
        <f>SnapshotTable[[#This Row],[Equity Value]] - SnapshotTable[[#This Row],[Equity Basis Total]]</f>
        <v>0</v>
      </c>
      <c r="U164" s="270" t="str">
        <f>IF(SnapshotTable[[#This Row],[Equity Basis Total]] &gt; 0, SnapshotTable[[#This Row],[Equity G/L]] / SnapshotTable[[#This Row],[Equity Basis Total]], "")</f>
        <v/>
      </c>
      <c r="V164" s="268">
        <v>350</v>
      </c>
      <c r="W164" s="268">
        <v>299.88</v>
      </c>
      <c r="X164" s="4" t="str">
        <f>IF(AND(ISNUMBER(SnapshotTable[[#This Row],[Equity Basis Per Share]]),ISNUMBER(SnapshotTable[[#This Row],[Equity Target]])),SnapshotTable[[#This Row],[Equity Target]]-SnapshotTable[[#This Row],[Equity Basis Per Share]],"")</f>
        <v/>
      </c>
      <c r="Y164" s="4" t="str">
        <f>IF(AND(ISNUMBER(SnapshotTable[[#This Row],[Equity Basis Per Share]]),ISNUMBER(SnapshotTable[[#This Row],[Equity Stop Loss]])),SnapshotTable[[#This Row],[Equity Stop Loss]]-SnapshotTable[[#This Row],[Equity Basis Per Share]],"")</f>
        <v/>
      </c>
      <c r="Z164" s="275" t="str">
        <f>IFERROR( TEXT(SnapshotTable[[#This Row],[Equity Max Gain Per Share]] /ABS( SnapshotTable[[#This Row],[Equity Max Loss Per Share]]),"0.0 " ) &amp; " : 1", "")</f>
        <v/>
      </c>
      <c r="AA164" s="31" t="str">
        <f>IF(ISNUMBER(SnapshotTable[[#This Row],[Equity Max Gain Per Share]]),SnapshotTable[[#This Row],[Equity Max Gain Per Share]] * SnapshotTable[[#This Row],[Equity Shares]],"")</f>
        <v/>
      </c>
      <c r="AB164" s="31" t="str">
        <f>IF(ISNUMBER(SnapshotTable[[#This Row],[Equity Max Loss Per Share]]),SnapshotTable[[#This Row],[Equity Max Loss Per Share]] * SnapshotTable[[#This Row],[Equity Shares]],"")</f>
        <v/>
      </c>
      <c r="AC164" s="150"/>
      <c r="AD164" s="151"/>
      <c r="AE164" s="31">
        <f>(SnapshotTable[[#This Row],[Annual Dividend Per Share]] / 4) * SnapshotTable[[#This Row],[Equity Shares]]</f>
        <v>0</v>
      </c>
      <c r="AF164" s="31">
        <f>SnapshotTable[[#This Row],[Quarterly Div $]] * 4</f>
        <v>0</v>
      </c>
      <c r="AG164" s="7">
        <f>IF(SnapshotTable[[#This Row],[Annual Dividend Per Share]]&gt;0, SnapshotTable[[#This Row],[Annual Dividend Per Share]]  / SnapshotTable[[#This Row],[Last Price]], 0)</f>
        <v>0</v>
      </c>
      <c r="AH164" s="151" t="s">
        <v>2</v>
      </c>
      <c r="AI164" s="5"/>
      <c r="AJ164" s="138">
        <v>320.74</v>
      </c>
      <c r="AK164" s="152" t="str">
        <f>IF(ISNUMBER( SnapshotTable[[#This Row],[EBF Target]]),(SnapshotTable[[#This Row],[EBF Target]] - SnapshotTable[[#This Row],[Last Price]]) / SnapshotTable[[#This Row],[Last Price]], "")</f>
        <v/>
      </c>
      <c r="AL164" s="152" t="str">
        <f>IF(AND(SnapshotTable[[#This Row],[Equity Basis Total]] &gt; 0,ISNUMBER( SnapshotTable[[#This Row],[Long Term Target]])), SnapshotTable[[#This Row],[From Basis $]] / SnapshotTable[[#This Row],[Equity Basis Total]], "")</f>
        <v/>
      </c>
      <c r="AM164" s="9">
        <f>IF( AND(SnapshotTable[[#This Row],[Equity Shares]] &gt;0,ISNUMBER( SnapshotTable[[#This Row],[Long Term Target]])),(SnapshotTable[[#This Row],[Equity Shares]] * SnapshotTable[[#This Row],[Long Term Target]]) - SnapshotTable[[#This Row],[Equity Basis Total]],0)</f>
        <v>0</v>
      </c>
      <c r="AN164" s="9">
        <f>IF( AND(SnapshotTable[[#This Row],[Equity Shares]] &gt;0,ISNUMBER( SnapshotTable[[#This Row],[Long Term Target]])),(SnapshotTable[[#This Row],[Equity Shares]]*SnapshotTable[[#This Row],[Long Term Target]]) - SnapshotTable[[#This Row],[Equity Value]],0)</f>
        <v>0</v>
      </c>
      <c r="AO164" s="152">
        <f>IF(AND(ISNUMBER( SnapshotTable[[#This Row],[Long Term Target]]), ISNUMBER(SnapshotTable[[#This Row],[Last Price]])),(SnapshotTable[[#This Row],[Long Term Target]] - SnapshotTable[[#This Row],[Last Price]]) / SnapshotTable[[#This Row],[Last Price]], "")</f>
        <v>1.8291435123930493</v>
      </c>
      <c r="AP164" s="5">
        <v>350</v>
      </c>
      <c r="AQ164" s="38" t="s">
        <v>27</v>
      </c>
      <c r="AR164" s="5">
        <v>350</v>
      </c>
      <c r="AS164" s="38" t="s">
        <v>38</v>
      </c>
      <c r="AT164" s="146" t="s">
        <v>542</v>
      </c>
      <c r="AU164" s="187" t="str">
        <f>IF(OR(SnapshotTable[[#This Row],[LP No Fill]]="Y",SnapshotTable[[#This Row],[SP Is Filled]],SnapshotTable[[#This Row],[LC Not Filled]]="Y",SnapshotTable[[#This Row],[SC Is Filled]]),"Y","")</f>
        <v/>
      </c>
      <c r="AV164" s="219"/>
      <c r="AW164" s="225"/>
      <c r="AX164" s="220"/>
      <c r="AY164" s="219" t="str">
        <f>IF(SnapshotTable[[#This Row],[Implied Move]]&gt;0, SnapshotTable[[#This Row],[Last Price]]-SnapshotTable[[#This Row],[Implied Move]],"")</f>
        <v/>
      </c>
      <c r="AZ164" s="219" t="str">
        <f>IF(SnapshotTable[[#This Row],[Implied Move]]&gt;0, SnapshotTable[[#This Row],[Last Price]] + SnapshotTable[[#This Row],[Implied Move]],"")</f>
        <v/>
      </c>
      <c r="BA164" s="331">
        <v>159.34</v>
      </c>
      <c r="BB164" s="347"/>
      <c r="BC164"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46773</v>
      </c>
      <c r="BD164" s="351">
        <v>46773</v>
      </c>
      <c r="BE164" s="5">
        <v>100</v>
      </c>
      <c r="BF164" s="14">
        <v>1</v>
      </c>
      <c r="BG164" s="13">
        <v>46235</v>
      </c>
      <c r="BH164" s="13">
        <v>46235</v>
      </c>
      <c r="BI164" s="5">
        <v>15</v>
      </c>
      <c r="BJ164" s="136">
        <f>IF(SnapshotTable[[#This Row],[LP Qty]] &gt; 0, SnapshotTable[[#This Row],[LP Qty]] * SnapshotTable[[#This Row],[LP Book Price]] * 100,0)</f>
        <v>1500</v>
      </c>
      <c r="BK164" s="136">
        <f>IF(SnapshotTable[[#This Row],[LP Premium]] &gt; 0, SnapshotTable[[#This Row],[LP Qty]] * SnapshotTable[[#This Row],[LP Strike Price]] * 100,0)</f>
        <v>10000</v>
      </c>
      <c r="BL164" s="154"/>
      <c r="BM164" s="385">
        <f>IF(SnapshotTable[[#This Row],[LP Premium]] &gt; 0,SnapshotTable[[#This Row],[LP Exp Date]]-MAX(SnapshotTable[[#This Row],[LP Book Date]], SnapshotTable[[#This Row],[LP Fill Date]]),"")</f>
        <v>538</v>
      </c>
      <c r="BN164" s="385">
        <f ca="1">IF(ISNUMBER( SnapshotTable[[#This Row],[LP Term]]), SnapshotTable[[#This Row],[LP Exp Date]] - MockToday,"")</f>
        <v>538</v>
      </c>
      <c r="BO164" s="163" t="str">
        <f>IF(AND(SnapshotTable[[#This Row],[LP Exp Date]]&gt;0, SnapshotTable[[#This Row],[LP Strike Price]]&gt;0,SnapshotTable[[#This Row],[LP Qty]]&gt;0,SnapshotTable[[#This Row],[LP Book Date]]&gt;0,SnapshotTable[[#This Row],[LP Book Price]]&gt;0,SnapshotTable[[#This Row],[LP Fill Date]]=0),"Y","")</f>
        <v/>
      </c>
      <c r="BP164" s="31" t="str">
        <f>IF(AND(SnapshotTable[[#This Row],[LP No Fill]]&lt;&gt;"Y",SnapshotTable[[#This Row],[LP Contract Value]]&gt;0, SnapshotTable[[#This Row],[LP Qty]]&gt;0), SnapshotTable[[#This Row],[LP Contract Value]]*SnapshotTable[[#This Row],[LP Qty]]*100,"")</f>
        <v/>
      </c>
      <c r="BQ164" s="13"/>
      <c r="BR164" s="5" t="str">
        <f>IF(SnapshotTable[[#This Row],[SP Exp Date]]&lt;&gt;"",TRUNC(SnapshotTable[[#This Row],[Last Price]]),"")</f>
        <v/>
      </c>
      <c r="BS164" s="36"/>
      <c r="BT164" s="147"/>
      <c r="BU164" s="13"/>
      <c r="BV164" s="5"/>
      <c r="BW164" s="419" t="b">
        <f>AND(ISNUMBER(SnapshotTable[[#This Row],[SP Exp Date]]), ISNUMBER(SnapshotTable[[#This Row],[SP Strike Price]]), ISNUMBER(SnapshotTable[[#This Row],[SP Qty]]), ISNUMBER(SnapshotTable[[#This Row],[SP Book Date]]), ISNUMBER(SnapshotTable[[#This Row],[SP Book Price]]))</f>
        <v>0</v>
      </c>
      <c r="BX164" s="419" t="b">
        <f>AND(SnapshotTable[[#This Row],[SP Is Booked]], NOT(ISBLANK(SnapshotTable[[#This Row],[SP Fill Date]])))</f>
        <v>0</v>
      </c>
      <c r="BY164" s="33">
        <f>IF(SnapshotTable[[#This Row],[SP Is Booked]], SnapshotTable[[#This Row],[SP Qty]] * SnapshotTable[[#This Row],[SP Book Price]] * 100, 0)</f>
        <v>0</v>
      </c>
      <c r="BZ164" s="369"/>
      <c r="CA164" s="368">
        <f>SnapshotTable[[#This Row],[LP Qty]]</f>
        <v>1</v>
      </c>
      <c r="CB164" s="4" t="str">
        <f>IF(SnapshotTable[[#This Row],[SP Is Booked]], SnapshotTable[[#This Row],[SP Strike Price]] - SnapshotTable[[#This Row],[SP Book Price]], "")</f>
        <v/>
      </c>
      <c r="CC164" s="19" t="str">
        <f>IF(SnapshotTable[[#This Row],[SP Is Booked]],SnapshotTable[[#This Row],[SP Exp Date]]-MAX(SnapshotTable[[#This Row],[SP Book Date]], SnapshotTable[[#This Row],[SP Fill Date]]),"")</f>
        <v/>
      </c>
      <c r="CD164" s="7" t="str">
        <f>IF(SnapshotTable[[#This Row],[SP Is Booked]], SnapshotTable[[#This Row],[SP Book Price]]/SnapshotTable[[#This Row],[SP Strike Price]], "")</f>
        <v/>
      </c>
      <c r="CE164" s="7" t="str">
        <f>IF(ISNUMBER(SnapshotTable[[#This Row],[SP ROO Term]]),SnapshotTable[[#This Row],[SP ROO Term]]*(365/SnapshotTable[[#This Row],[SP Term]]),"")</f>
        <v/>
      </c>
      <c r="CF164" s="236">
        <f>SnapshotTable[[#This Row],[LP Strike Price]] * SnapshotTable[[#This Row],[LP Qty]] * 100</f>
        <v>10000</v>
      </c>
      <c r="CG164" s="31" t="e">
        <f>IF(ISNUMBER(SnapshotTable[[#This Row],[SP Premium]]), (SnapshotTable[[#This Row],[SP Qty]] * SnapshotTable[[#This Row],[SP Strike Price]]* 100) - SnapshotTable[[#This Row],[LP Protection]], 0)</f>
        <v>#VALUE!</v>
      </c>
      <c r="CH164" s="7" t="str">
        <f>IF(ISNUMBER(SnapshotTable[[#This Row],[SP Break Even]]),-1 * (SnapshotTable[[#This Row],[SP Break Even]] - SnapshotTable[[#This Row],[Last Price]]) / SnapshotTable[[#This Row],[Last Price]], "")</f>
        <v/>
      </c>
      <c r="CI164" s="31">
        <f>IF(AND(ISNUMBER((SnapshotTable[[#This Row],[SP Potential Spend]])), SnapshotTable[[#This Row],[SP Strike Price]] &gt; SnapshotTable[[#This Row],[Last Price]], SnapshotTable[[#This Row],[SP Is Filled]]), SnapshotTable[[#This Row],[SP Potential Spend]] -  SnapshotTable[[#This Row],[LP Max Value]], 0)</f>
        <v>0</v>
      </c>
      <c r="CJ164" s="244"/>
      <c r="CK164" s="31" t="str">
        <f>IF(ISNUMBER(SnapshotTable[[#This Row],[SP Potential Spend]]),IF(ISNUMBER(SnapshotTable[[#This Row],[SP POW]]), SnapshotTable[[#This Row],[SP POW]] * SnapshotTable[[#This Row],[SP Potential Spend]], SnapshotTable[[#This Row],[SP Potential Spend]]), "")</f>
        <v/>
      </c>
      <c r="CL164" s="164" t="e">
        <f>IF(NOT(SnapshotTable[[#This Row],[SP Is Filled]]),(SnapshotTable[[#This Row],[SP Qty]] * SnapshotTable[[#This Row],[SP Strike Price]] * 100) - SnapshotTable[[#This Row],[LP Max Value]],"")</f>
        <v>#VALUE!</v>
      </c>
      <c r="CM164" s="31" t="str">
        <f>IF(SnapshotTable[[#This Row],[SP Actual Spend]]&lt;&gt;0, ((SnapshotTable[[#This Row],[SP Strike Price]]-SnapshotTable[[#This Row],[Last Price]]) *(SnapshotTable[[#This Row],[SP Qty]]*100) - SnapshotTable[[#This Row],[SP Premium]]) * - 1, "")</f>
        <v/>
      </c>
      <c r="CN164" s="78"/>
      <c r="CO164" s="369"/>
      <c r="CP164" s="4" t="str">
        <f>IF(SnapshotTable[[#This Row],[SP Is Filled]], btc_max_buyback_amount(SnapshotTable[[#This Row],[SP Fill Date]],SnapshotTable[[#This Row],[SP Exp Date]], SnapshotTable[[#This Row],[SP Book Price]]),"")</f>
        <v/>
      </c>
      <c r="CQ164" s="78"/>
      <c r="CR16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4" s="155" t="str">
        <f>IF(SnapshotTable[[#This Row],[SP Is Filled]], btc_next_cutoff_date(SnapshotTable[[#This Row],[SP Fill Date]],SnapshotTable[[#This Row],[SP Exp Date]]),"")</f>
        <v/>
      </c>
      <c r="CT164" s="235" t="str" cm="1">
        <f t="array" ref="CT164">IF(SnapshotTable[[#This Row],[SP Is Filled]], btc_should_buy_back(SnapshotTable[[#This Row],[SP Fill Date]], SnapshotTable[[#This Row],[SP Exp Date]], SnapshotTable[[#This Row],[SP Book Price]], SnapshotTable[[#This Row],[SP Current Ask]], MockToday, SnapshotTable[[#This Row],[SP Buyback Override]]),"")</f>
        <v/>
      </c>
      <c r="CU164" s="143"/>
      <c r="CV164" s="235"/>
      <c r="CW164" s="378" t="str">
        <f>IF(ISNUMBER( SnapshotTable[[#This Row],[SP Term]]), SnapshotTable[[#This Row],[SP Exp Date]] - MockToday,"")</f>
        <v/>
      </c>
      <c r="CX164" s="31" t="str">
        <f>IF(SnapshotTable[[#This Row],[SP Is Filled]],SnapshotTable[[#This Row],[SP Buyback Price to Use]] * 100 * SnapshotTable[[#This Row],[SP Qty]], "")</f>
        <v/>
      </c>
      <c r="CY164" s="4" t="str">
        <f>IF(ISNUMBER(SnapshotTable[[#This Row],[SP Strike Price]]), SnapshotTable[[#This Row],[SP Strike Price]] * (1 - SP_MaxLoss_StrikePct), "")</f>
        <v/>
      </c>
      <c r="CZ164" s="31" t="str">
        <f>IF(ISNUMBER(SnapshotTable[[#This Row],[SP Strike  Stop Per Share]]),SnapshotTable[[#This Row],[SP Premium]] - ((SnapshotTable[[#This Row],[SP Strike Price]]-SnapshotTable[[#This Row],[SP Strike  Stop Per Share]]) *(SnapshotTable[[#This Row],[SP Qty]] * 100)),"")</f>
        <v/>
      </c>
      <c r="DA164" s="4" t="str">
        <f>IF(AND(ISNUMBER(SnapshotTable[[#This Row],[SP Premium]]),SnapshotTable[[#This Row],[SP Premium]]&gt;0), SnapshotTable[[#This Row],[SP Book Price]] * (1 + SP_MaxLoss_OptionPct), "")</f>
        <v/>
      </c>
      <c r="DB164" s="31" t="str">
        <f>IF(ISNUMBER(SnapshotTable[[#This Row],[SP Option  Stop Contract]]),(SnapshotTable[[#This Row],[SP Option  Stop Contract]] *(SnapshotTable[[#This Row],[SP Qty]] * 100) - SnapshotTable[[#This Row],[SP Premium]]),"")</f>
        <v/>
      </c>
      <c r="DC164" s="4"/>
      <c r="DD164" s="4"/>
      <c r="DE164" s="4" t="str">
        <f>IF(AND(SnapshotTable[[#This Row],[SP Qty]]&gt;0, SnapshotTable[[#This Row],[SP Stop To Use]]&gt;0),SnapshotTable[[#This Row],[SP Premium]] - ( SnapshotTable[[#This Row],[SP Qty]] * SnapshotTable[[#This Row],[SP Stop To Use]] * 100), "")</f>
        <v/>
      </c>
      <c r="DF164" s="31" t="str">
        <f>IF(AND(SnapshotTable[[#This Row],[SP Qty]]&gt;0,SnapshotTable[[#This Row],[SP Current Ask]]&gt;0), SnapshotTable[[#This Row],[SP Qty]] * SnapshotTable[[#This Row],[SP Current Ask]] * -100, "")</f>
        <v/>
      </c>
      <c r="DG164" s="31" t="str">
        <f>IF(ISNUMBER((SnapshotTable[[#This Row],[SP Total Value]])), SnapshotTable[[#This Row],[SP Premium]] + SnapshotTable[[#This Row],[SP Total Value]], "")</f>
        <v/>
      </c>
      <c r="DH164" s="294" t="str">
        <f>IF(ISNUMBER((SnapshotTable[[#This Row],[SP Total Value]])), SnapshotTable[[#This Row],[SP Gain Loss]] / SnapshotTable[[#This Row],[SP Premium]], "")</f>
        <v/>
      </c>
      <c r="DI164" s="406"/>
      <c r="DJ164" s="138"/>
      <c r="DK164" s="148"/>
      <c r="DL164" s="13"/>
      <c r="DM164" s="13"/>
      <c r="DO164" s="31">
        <f>IF(SnapshotTable[[#This Row],[LC Symbol Count]]=1, SnapshotTable[[#This Row],[LC Qty]] * SnapshotTable[[#This Row],[LC Book Price]] * 100, 0)</f>
        <v>0</v>
      </c>
      <c r="DP164" s="163" t="str">
        <f>IF(AND(SnapshotTable[[#This Row],[LC Exp Date]]&gt;0, SnapshotTable[[#This Row],[LC Strike Price]]&gt;0,SnapshotTable[[#This Row],[LC Qty]]&gt;0,SnapshotTable[[#This Row],[LC Book Date]]&gt;0,SnapshotTable[[#This Row],[LC Book Price]]&gt;0,SnapshotTable[[#This Row],[LC Fill Date]]=0),"Y","")</f>
        <v/>
      </c>
      <c r="DQ164" s="386" t="str">
        <f>IF(SnapshotTable[[#This Row],[LC Premium]] &gt; 0,SnapshotTable[[#This Row],[LC Exp Date]]-MAX(SnapshotTable[[#This Row],[LC Book Date]], SnapshotTable[[#This Row],[LC Fill Date]]),"")</f>
        <v/>
      </c>
      <c r="DR164" s="386" t="str">
        <f>IF(ISNUMBER(SnapshotTable[[#This Row],[LC Term]]), SnapshotTable[[#This Row],[LC Exp Date]] - MockToday, "")</f>
        <v/>
      </c>
      <c r="DS164" s="234" t="str">
        <f>IF(SnapshotTable[[#This Row],[LC Premium]]&gt;0,SnapshotTable[[#This Row],[LC Strike Price]] + SnapshotTable[[#This Row],[LC Book Price]],"")</f>
        <v/>
      </c>
      <c r="DU164" s="9" t="str">
        <f>IF(AND(SnapshotTable[[#This Row],[LC Symbol Count]]&gt;0, SnapshotTable[[#This Row],[LC Contract Value]]&gt;0), SnapshotTable[[#This Row],[LC Contract Value]] * SnapshotTable[[#This Row],[LC Qty]] * 100, "")</f>
        <v/>
      </c>
      <c r="DV164" s="9" t="str">
        <f>IF(AND(ISNUMBER(SnapshotTable[[#This Row],[LC Total Value]]), SnapshotTable[[#This Row],[LC Not Filled]]&lt;&gt;"Y"), SnapshotTable[[#This Row],[LC Total Value]]-SnapshotTable[[#This Row],[LC Premium]],"")</f>
        <v/>
      </c>
      <c r="DW164" s="240" t="str">
        <f>IF(ISNUMBER(SnapshotTable[[#This Row],[LC Actual Gain Loss]]), SnapshotTable[[#This Row],[LC Actual Gain Loss]] / SnapshotTable[[#This Row],[LC Premium]],"")</f>
        <v/>
      </c>
      <c r="DX164" s="284" t="str">
        <f>IF(ISNUMBER(SnapshotTable[[#This Row],[LC Book Price]]),SnapshotTable[[#This Row],[LC Book Price]] * 1.5,"")</f>
        <v/>
      </c>
      <c r="DY164" s="265" t="str">
        <f>IF(SnapshotTable[[#This Row],[LC Premium]]&gt;0, SnapshotTable[[#This Row],[LC Next Target]] * SnapshotTable[[#This Row],[LC Qty]] * 100,"")</f>
        <v/>
      </c>
      <c r="DZ164" s="265" t="str">
        <f>IF(ISNUMBER(SnapshotTable[[#This Row],[LC Target Gross]]), SnapshotTable[[#This Row],[LC Target Gross]] - SnapshotTable[[#This Row],[LC Premium]], "")</f>
        <v/>
      </c>
      <c r="EA164" s="305" t="str">
        <f>IF(ISNUMBER(SnapshotTable[[#This Row],[LC Target Gain Loss]]), SnapshotTable[[#This Row],[LC Target Gain Loss]]/SnapshotTable[[#This Row],[LC Premium]], "")</f>
        <v/>
      </c>
      <c r="EB164" s="262"/>
      <c r="EC164" s="283" t="str">
        <f>IF(SnapshotTable[[#This Row],[LC Premium]]&gt;0, SnapshotTable[[#This Row],[LC Book Price]] * (1 - LC_StopLoss_Pct),"")</f>
        <v/>
      </c>
      <c r="ED164" s="284"/>
      <c r="EE164" s="283" t="str">
        <f>IF(ISNUMBER(SnapshotTable[[#This Row],[LC Contract Value]]),IF(ISNUMBER(SnapshotTable[[#This Row],[LC Stop Loss Override]]), SnapshotTable[[#This Row],[LC Stop Loss Override]],SnapshotTable[[#This Row],[LC Stop Loss Calc Target]]),"")</f>
        <v/>
      </c>
      <c r="EF164" s="31" t="str">
        <f>IF(ISNUMBER(SnapshotTable[[#This Row],[LC Stop  To Use]]), (SnapshotTable[[#This Row],[LC Stop  To Use]] * SnapshotTable[[#This Row],[LC Qty]] * 100),"")</f>
        <v/>
      </c>
      <c r="EG164" s="9" t="str">
        <f>IF(ISNUMBER(SnapshotTable[[#This Row],[LC Total Value]]),SnapshotTable[[#This Row],[LC Stop Loss Amount]] - SnapshotTable[[#This Row],[LC Premium]],"")</f>
        <v/>
      </c>
      <c r="EH164" s="9">
        <f>IF(ISNUMBER(SnapshotTable[[#This Row],[LC Premium]]), SnapshotTable[[#This Row],[LC Qty]] * 100 * SnapshotTable[[#This Row],[LC Strike Price]], "")</f>
        <v>0</v>
      </c>
      <c r="EI164" s="240" t="str">
        <f>IF(AND(ISNUMBER(SnapshotTable[[#This Row],[LC Total Value]]),SnapshotTable[[#This Row],[LC Total Value]]&gt;0),SnapshotTable[[#This Row],[LC Stop Gain Loss]]  / SnapshotTable[[#This Row],[LC Premium]],"")</f>
        <v/>
      </c>
      <c r="EJ164" s="35">
        <f>IF(ISNUMBER(SnapshotTable[[#This Row],[Equity Shares]]),TRUNC(SnapshotTable[[#This Row],[Equity Shares]] / 100),0) + SnapshotTable[[#This Row],[LC Qty]]</f>
        <v>0</v>
      </c>
      <c r="EK164" s="147"/>
      <c r="EL164" s="138" t="str">
        <f>IF(SnapshotTable[[#This Row],[SC Exp Date]]&lt;&gt;"",TRUNC(SnapshotTable[[#This Row],[Last Price]]),"")</f>
        <v/>
      </c>
      <c r="EM164" s="148"/>
      <c r="EN164" s="147"/>
      <c r="EO164" s="147"/>
      <c r="EP164" s="138"/>
      <c r="EQ164" s="419" t="b">
        <f>AND(ISNUMBER(SnapshotTable[[#This Row],[SC Exp Date]]), ISNUMBER(SnapshotTable[[#This Row],[SC Strike Price]]), ISNUMBER(SnapshotTable[[#This Row],[SC Qty]]), ISNUMBER(SnapshotTable[[#This Row],[SC Book Date]]), ISNUMBER(SnapshotTable[[#This Row],[SC Book Price]]))</f>
        <v>0</v>
      </c>
      <c r="ER164" s="419" t="b">
        <f>AND(SnapshotTable[[#This Row],[SC Is Booked]], NOT(ISBLANK(SnapshotTable[[#This Row],[SC Fill Date]])))</f>
        <v>0</v>
      </c>
      <c r="ES164" s="370"/>
      <c r="ET164" s="34" t="str">
        <f>IF(AND(ISNUMBER(SnapshotTable[[#This Row],[SC Exp Date]]), ISNUMBER(SnapshotTable[[#This Row],[SC Book Date]])), SnapshotTable[[#This Row],[SC Exp Date]] - MAX(SnapshotTable[[#This Row],[SC Book Date]], SnapshotTable[[#This Row],[SC Fill Date]]) + 1, "")</f>
        <v/>
      </c>
      <c r="EU164" s="34" t="str">
        <f>IF(ISNUMBER(SnapshotTable[[#This Row],[SC Term]]), SnapshotTable[[#This Row],[SC Exp Date]]- MockToday, "")</f>
        <v/>
      </c>
      <c r="EV164" s="31">
        <f>IF(SnapshotTable[[#This Row],[SC Is Booked]], SnapshotTable[[#This Row],[SC Qty]] * SnapshotTable[[#This Row],[SC Book Price]] * 100, 0)</f>
        <v>0</v>
      </c>
      <c r="EW164" s="4" t="str">
        <f>IF(AND(ISNUMBER(SnapshotTable[[#This Row],[Last Price]]), ISNUMBER( SnapshotTable[[#This Row],[SC Book Price]])), SnapshotTable[[#This Row],[Last Price]] - SnapshotTable[[#This Row],[SC Book Price]],"")</f>
        <v/>
      </c>
      <c r="EX164" s="234" t="str">
        <f>IF(SnapshotTable[[#This Row],[SC Is Booked]],IF(SnapshotTable[[#This Row],[SC Intrinsic Value]] &gt; 0, SnapshotTable[[#This Row],[SC Strike Price]], SnapshotTable[[#This Row],[Last Price]]), "")</f>
        <v/>
      </c>
      <c r="EY164" s="4">
        <f>IF(SnapshotTable[[#This Row],[SC Is Booked]], (MinimumPremiumRequired * SnapshotTable[[#This Row],[SC Basis]] * SnapshotTable[[#This Row],[SC Term]]), 0)</f>
        <v>0</v>
      </c>
      <c r="EZ164" s="283"/>
      <c r="FA164" s="218"/>
      <c r="FB164" s="370"/>
      <c r="FC164" s="4">
        <f>IF(SnapshotTable[[#This Row],[SC Is Filled]], btc_max_buyback_amount(SnapshotTable[[#This Row],[SC Fill Date]],SnapshotTable[[#This Row],[SC Exp Date]], SnapshotTable[[#This Row],[SC Book Price]]),0)</f>
        <v>0</v>
      </c>
      <c r="FD164" s="5"/>
      <c r="FE164" s="144" t="str">
        <f>IF(SnapshotTable[[#This Row],[SC Is Filled]], btc_next_cutoff_date(SnapshotTable[[#This Row],[SC Fill Date]],SnapshotTable[[#This Row],[SC Exp Date]]),"")</f>
        <v/>
      </c>
      <c r="FF164" s="4" t="str" cm="1">
        <f t="array" ref="FF164">IF(SnapshotTable[[#This Row],[SC Is Filled]], btc_should_buy_back(SnapshotTable[[#This Row],[SC Fill Date]], SnapshotTable[[#This Row],[SC Exp Date]], SnapshotTable[[#This Row],[SC Book Price]], SnapshotTable[[#This Row],[SC Current Ask]], MockToday, SnapshotTable[[#This Row],[SC Buyback Override]]),"")</f>
        <v/>
      </c>
      <c r="FG164" s="4">
        <f>IF(SnapshotTable[[#This Row],[SC Is Filled]], MAX(0,SnapshotTable[[#This Row],[Last Price]]  - SnapshotTable[[#This Row],[SC Strike Price]]), 0)</f>
        <v>0</v>
      </c>
      <c r="FH164" s="382">
        <f>IF(SnapshotTable[[#This Row],[SC Is Filled]], IF(ISNUMBER(SnapshotTable[[#This Row],[SC Current Ask]]), SnapshotTable[[#This Row],[SC Current Ask]], SnapshotTable[[#This Row],[SC Book Price]]) - SnapshotTable[[#This Row],[SC Intrinsic Value]], 0)</f>
        <v>0</v>
      </c>
      <c r="FI164" s="143"/>
      <c r="FJ164" s="32" t="str">
        <f>IF(SnapshotTable[[#This Row],[SC Is Filled]],100 * SnapshotTable[[#This Row],[SC Qty]] * IF(ISNUMBER(SnapshotTable[[#This Row],[SC Buyback Override]]), SnapshotTable[[#This Row],[SC Buyback Override]], SnapshotTable[[#This Row],[SC Current Ask]]), "")</f>
        <v/>
      </c>
      <c r="FK164" s="250" t="str">
        <f>IF(SnapshotTable[[#This Row],[SC Time Val]]&gt;0, SnapshotTable[[#This Row],[SC Time Val]] / SnapshotTable[[#This Row],[Last Price]],"")</f>
        <v/>
      </c>
      <c r="FL164" s="302" t="str">
        <f>IF(SnapshotTable[[#This Row],[SC Is Booked]], ((SnapshotTable[[#This Row],[Last Price]] -SnapshotTable[[#This Row],[SC Strike Price]]) / SnapshotTable[[#This Row],[Last Price]]) * -1, "")</f>
        <v/>
      </c>
      <c r="FM164" s="157" t="str">
        <f>IF(SnapshotTable[[#This Row],[SC Is Booked]],  (SnapshotTable[[#This Row],[SC Qty]] * 100 * SnapshotTable[[#This Row],[SC Strike Price]]) - SnapshotTable[[#This Row],[SC Current Ask]], "")</f>
        <v/>
      </c>
      <c r="FN16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4" s="31" t="str">
        <f>IF(AND(ISNUMBER(SnapshotTable[[#This Row],[SC Exercise Gross]]), ISNUMBER(SnapshotTable[[#This Row],[Equity Basis Per Share]] )), SnapshotTable[[#This Row],[SC Exercise Gross]] - SnapshotTable[[#This Row],[Equity Basis Total]] +  SnapshotTable[[#This Row],[SC Premium]], "")</f>
        <v/>
      </c>
      <c r="FP164" s="5" t="str">
        <f>IF(ISNUMBER(SnapshotTable[[#This Row],[SC Exercise Gross]]), (SnapshotTable[[#This Row],[SC Exercise Gross]]) / (SnapshotTable[[#This Row],[SC Qty]] * 100), "")</f>
        <v/>
      </c>
      <c r="FQ164" s="27" t="str">
        <f>IF(SnapshotTable[[#This Row],[SC Is Booked]],SnapshotTable[[#This Row],[SC Time Val]] /SnapshotTable[[#This Row],[SC Basis]], "")</f>
        <v/>
      </c>
      <c r="FR164" s="27" t="str" cm="1">
        <f t="array" ref="FR164">IF(AND(ISNUMBER(SnapshotTable[[#This Row],[SC Term]]),ISNUMBER(SnapshotTable[[#This Row],[SC Simple ROO]])), EllmanAnnualize(SnapshotTable[[#This Row],[SC DTE]], SnapshotTable[[#This Row],[SC Simple ROO]] ),"")</f>
        <v/>
      </c>
      <c r="FS164" s="4" t="e">
        <f>IF(SnapshotTable[[#This Row],[SC Strike Price]] &gt; SnapshotTable[[#This Row],[Last Price]], SnapshotTable[[#This Row],[SC Strike Price]] - SnapshotTable[[#This Row],[Last Price]],0)</f>
        <v>#VALUE!</v>
      </c>
      <c r="FT164" s="27" t="e">
        <f>IF(AND(ISNUMBER(SnapshotTable[[#This Row],[SC Upside Potential]]), SnapshotTable[[#This Row],[SC Upside Potential]] &gt; 0),(SnapshotTable[[#This Row],[SC Upside Potential]]/ SnapshotTable[[#This Row],[ACB]]),"")</f>
        <v>#VALUE!</v>
      </c>
      <c r="FU164" s="333" t="str">
        <f>IF(SnapshotTable[[#This Row],[SC Intrinsic Value]] &gt; 0,SnapshotTable[[#This Row],[SC Intrinsic Value]],"")</f>
        <v/>
      </c>
      <c r="FV164" s="27" t="str">
        <f>IF(AND( ISNUMBER( SnapshotTable[[#This Row],[ACB]]),ISNUMBER(SnapshotTable[[#This Row],[SC Downside Protect]])),SnapshotTable[[#This Row],[SC Downside Protect]] / SnapshotTable[[#This Row],[ACB]],"")</f>
        <v/>
      </c>
      <c r="FW164" s="236" t="str">
        <f>IF(AND(ISNUMBER(SnapshotTable[[#This Row],[SC Simple ROO]]),SnapshotTable[[#This Row],[SC Simple ROO]] &gt; 0), SnapshotTable[[#This Row],[SC Premium]] + (SnapshotTable[[#This Row],[SC Qty]] * SnapshotTable[[#This Row],[SC Upside Potential]]), "")</f>
        <v/>
      </c>
      <c r="FX164" s="302" t="str" cm="1">
        <f t="array" ref="FX164">IF(ISNUMBER(SnapshotTable[[#This Row],[SC Max Dollars]]), annualize(SnapshotTable[[#This Row],[SC Term]],(SnapshotTable[[#This Row],[SC Max Dollars]]/SnapshotTable[[#This Row],[SC Basis]])),"")</f>
        <v/>
      </c>
      <c r="FY164" s="236" t="str">
        <f>IF(AND(SnapshotTable[[#This Row],[SC Qty]]&gt;0,SnapshotTable[[#This Row],[SC Current Ask]]&gt;0), SnapshotTable[[#This Row],[SC Qty]] * SnapshotTable[[#This Row],[SC Current Ask]] * -100, "")</f>
        <v/>
      </c>
      <c r="FZ164" s="31" t="str">
        <f>IF(ISNUMBER((SnapshotTable[[#This Row],[SC Current Value]])), SnapshotTable[[#This Row],[SC Premium]] + SnapshotTable[[#This Row],[SC Current Value]], "")</f>
        <v/>
      </c>
      <c r="GA164" s="294" t="str">
        <f>IFERROR( IF(ISNUMBER((SnapshotTable[[#This Row],[SC Current Value]])), SnapshotTable[[#This Row],[SC Gain Loss]] / SnapshotTable[[#This Row],[SC Premium]], ""), "")</f>
        <v/>
      </c>
      <c r="GB164" s="42">
        <f>SnapshotTable[[#This Row],[Equity Shares]] * SaleSharesToConsiderPercentage</f>
        <v>0</v>
      </c>
      <c r="GC164" s="40">
        <f>SnapshotTable[[#This Row],[Long Term Target]] * SellingPriceToConsiderBasedOnTargetPercentage</f>
        <v>304.70299999999997</v>
      </c>
      <c r="GD164" s="40">
        <f>SnapshotTable[[#This Row],[Last Price]] * (1+ SellingPriceToConsiderBasedOnTargetPercentage)</f>
        <v>221.07150000000001</v>
      </c>
      <c r="GE164" s="41"/>
      <c r="GF164" s="40"/>
      <c r="GG164" s="31">
        <f>SnapshotTable[[#This Row],[Booked Sale Shares]] * SnapshotTable[[#This Row],[Booked Sale Price]]</f>
        <v>0</v>
      </c>
      <c r="GH164" s="31" t="str">
        <f>IF(SnapshotTable[[#This Row],[Equity Basis Total]] &gt; 0, SnapshotTable[[#This Row],[Equity Basis Per Share]] * SnapshotTable[[#This Row],[Booked Sale Shares]], "")</f>
        <v/>
      </c>
      <c r="GI164" s="31">
        <f>IF(SnapshotTable[[#This Row],[Sale Proceeds]]&gt;0, SnapshotTable[[#This Row],[Sale Proceeds]] - SnapshotTable[[#This Row],[Sale Basis]], 0)</f>
        <v>0</v>
      </c>
      <c r="GJ164" s="27" t="str">
        <f>IF(SnapshotTable[[#This Row],[Sale G/L]]&gt;0, SnapshotTable[[#This Row],[Sale G/L]] / SnapshotTable[[#This Row],[Sale Basis]], IF(ISNUMBER(SnapshotTable[[#This Row],[SC Exercise P&amp;L (TAX)]]), SnapshotTable[[#This Row],[SC Exercise P&amp;L (TAX)]] / SnapshotTable[[#This Row],[SC Basis]], ""))</f>
        <v/>
      </c>
      <c r="GK164" s="27" t="s">
        <v>749</v>
      </c>
      <c r="GL164" s="43" t="str">
        <f>IF(AND(SnapshotTable[[#This Row],[LP Exp Date]]&gt;0,SnapshotTable[[#This Row],[LP Strike Price]]&gt;0), [1]!ToOptionSymbol(SnapshotTable[[#This Row],[Symbol]], SnapshotTable[[#This Row],[LP Strike Price]],SnapshotTable[[#This Row],[LP Exp Date]],1), "")</f>
        <v>LULU280121P00100000</v>
      </c>
      <c r="GM164" s="30">
        <f>IF(LEN(SnapshotTable[[#This Row],[LP Symbol]])&gt;0, 1, "")</f>
        <v>1</v>
      </c>
      <c r="GN164" s="43" t="str">
        <f>IF(AND(SnapshotTable[[#This Row],[SP Exp Date]]&gt;0,SnapshotTable[[#This Row],[SP Strike Price]]&gt;0), [1]!ToOptionSymbol(SnapshotTable[[#This Row],[Symbol]], SnapshotTable[[#This Row],[SP Strike Price]],SnapshotTable[[#This Row],[SP Exp Date]],1), "")</f>
        <v/>
      </c>
      <c r="GO164" s="30" t="str">
        <f>IF(LEN(SnapshotTable[[#This Row],[SP Symbol]])&gt;0, 1, "")</f>
        <v/>
      </c>
      <c r="GP164" s="43" t="str">
        <f>IF(AND(SnapshotTable[[#This Row],[LC Exp Date]]&gt;0,SnapshotTable[[#This Row],[LC Strike Price]]&gt;0), [1]!ToOptionSymbol(SnapshotTable[[#This Row],[Symbol]], SnapshotTable[[#This Row],[LC Strike Price]],SnapshotTable[[#This Row],[LC Exp Date]],0), "")</f>
        <v/>
      </c>
      <c r="GQ164" s="30" t="str">
        <f>IF(LEN(SnapshotTable[[#This Row],[LC Symbol]])&gt;0, 1, "")</f>
        <v/>
      </c>
      <c r="GR164" s="43" t="str">
        <f>IF(AND(SnapshotTable[[#This Row],[SC Exp Date]]&gt;0,SnapshotTable[[#This Row],[SC Strike Price]]&gt;0), [1]!ToOptionSymbol(SnapshotTable[[#This Row],[Symbol]], SnapshotTable[[#This Row],[SC Strike Price]],SnapshotTable[[#This Row],[SC Exp Date]],0), "")</f>
        <v/>
      </c>
      <c r="GS164" s="30" t="str">
        <f>IF(LEN(SnapshotTable[[#This Row],[SC Symbol]])&gt;0, 1, "")</f>
        <v/>
      </c>
      <c r="GT164" s="29" t="str">
        <f>IF(COUNT(SnapshotTable[[#This Row],[LP Symbol Count]],SnapshotTable[[#This Row],[SP Symbol Count]],SnapshotTable[[#This Row],[LC Symbol Count]],SnapshotTable[[#This Row],[SC Symbol Count]])&gt;0, "Y", "")</f>
        <v>Y</v>
      </c>
      <c r="GU16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LP </v>
      </c>
      <c r="GV164" s="231" t="e">
        <f>MAX(SnapshotTable[[#This Row],[Equity Basis Total]],SnapshotTable[[#This Row],[Equity Value]]) + (SnapshotTable[[#This Row],[SP Potential Spend]]- SnapshotTable[[#This Row],[SP Premium]] + SnapshotTable[[#This Row],[LP Premium]])+ (SnapshotTable[[#This Row],[LC Premium]] - SnapshotTable[[#This Row],[SC Premium]])</f>
        <v>#VALUE!</v>
      </c>
      <c r="GW164" s="139" t="e">
        <f>IF(AND(SnapshotTable[[#This Row],[Exposure]] &lt;&gt; 0),SnapshotTable[[#This Row],[Exposure]] / SnapshotTable[[#Totals],[Exposure]], "")</f>
        <v>#VALUE!</v>
      </c>
      <c r="HE164" s="268"/>
      <c r="HF164" s="268"/>
      <c r="HK164" s="1"/>
      <c r="HL164" s="1"/>
      <c r="HM164" s="1"/>
      <c r="HN164" s="1"/>
      <c r="HO164" s="1"/>
      <c r="HP164" s="1"/>
    </row>
    <row r="165" spans="2:224" ht="12.75" hidden="1" customHeight="1" x14ac:dyDescent="0.25">
      <c r="B165" s="12" t="s">
        <v>1274</v>
      </c>
      <c r="C165" s="422">
        <v>421.21</v>
      </c>
      <c r="D165" s="208"/>
      <c r="E165" s="39">
        <f>SnapshotTable[[#This Row],[Last Price]]*(1 -CrashDiscount)</f>
        <v>358.02849999999995</v>
      </c>
      <c r="F165" s="408"/>
      <c r="G165" s="325"/>
      <c r="H165" s="149"/>
      <c r="I165" s="372"/>
      <c r="J165" s="352"/>
      <c r="K165" s="353"/>
      <c r="L165" s="327"/>
      <c r="M165" s="140"/>
      <c r="N165" s="140"/>
      <c r="O165" s="140"/>
      <c r="P165" s="328"/>
      <c r="Q165" s="354"/>
      <c r="R165" s="4" t="str">
        <f>IF(SnapshotTable[[#This Row],[Equity Basis Total]] &gt; 0, SnapshotTable[[#This Row],[Equity Basis Total]] / SnapshotTable[[#This Row],[Equity Shares]], "")</f>
        <v/>
      </c>
      <c r="S165" s="329">
        <f>SnapshotTable[[#This Row],[Last Price]] * SnapshotTable[[#This Row],[Equity Shares]]</f>
        <v>0</v>
      </c>
      <c r="T165" s="269">
        <f>SnapshotTable[[#This Row],[Equity Value]] - SnapshotTable[[#This Row],[Equity Basis Total]]</f>
        <v>0</v>
      </c>
      <c r="U165" s="270" t="str">
        <f>IF(SnapshotTable[[#This Row],[Equity Basis Total]] &gt; 0, SnapshotTable[[#This Row],[Equity G/L]] / SnapshotTable[[#This Row],[Equity Basis Total]], "")</f>
        <v/>
      </c>
      <c r="V165" s="268"/>
      <c r="W165" s="268"/>
      <c r="X165" s="4" t="str">
        <f>IF(AND(ISNUMBER(SnapshotTable[[#This Row],[Equity Basis Per Share]]),ISNUMBER(SnapshotTable[[#This Row],[Equity Target]])),SnapshotTable[[#This Row],[Equity Target]]-SnapshotTable[[#This Row],[Equity Basis Per Share]],"")</f>
        <v/>
      </c>
      <c r="Y165" s="4" t="str">
        <f>IF(AND(ISNUMBER(SnapshotTable[[#This Row],[Equity Basis Per Share]]),ISNUMBER(SnapshotTable[[#This Row],[Equity Stop Loss]])),SnapshotTable[[#This Row],[Equity Stop Loss]]-SnapshotTable[[#This Row],[Equity Basis Per Share]],"")</f>
        <v/>
      </c>
      <c r="Z165" s="275" t="str">
        <f>IFERROR( TEXT(SnapshotTable[[#This Row],[Equity Max Gain Per Share]] /ABS( SnapshotTable[[#This Row],[Equity Max Loss Per Share]]),"0.0 " ) &amp; " : 1", "")</f>
        <v/>
      </c>
      <c r="AA165" s="31" t="str">
        <f>IF(ISNUMBER(SnapshotTable[[#This Row],[Equity Max Gain Per Share]]),SnapshotTable[[#This Row],[Equity Max Gain Per Share]] * SnapshotTable[[#This Row],[Equity Shares]],"")</f>
        <v/>
      </c>
      <c r="AB165" s="31" t="str">
        <f>IF(ISNUMBER(SnapshotTable[[#This Row],[Equity Max Loss Per Share]]),SnapshotTable[[#This Row],[Equity Max Loss Per Share]] * SnapshotTable[[#This Row],[Equity Shares]],"")</f>
        <v/>
      </c>
      <c r="AC165" s="150"/>
      <c r="AD165" s="350"/>
      <c r="AE165" s="31">
        <f>(SnapshotTable[[#This Row],[Annual Dividend Per Share]] / 4) * SnapshotTable[[#This Row],[Equity Shares]]</f>
        <v>0</v>
      </c>
      <c r="AF165" s="31">
        <f>SnapshotTable[[#This Row],[Quarterly Div $]] * 4</f>
        <v>0</v>
      </c>
      <c r="AG165" s="7">
        <f>IF(SnapshotTable[[#This Row],[Annual Dividend Per Share]]&gt;0, SnapshotTable[[#This Row],[Annual Dividend Per Share]]  / SnapshotTable[[#This Row],[Last Price]], 0)</f>
        <v>0</v>
      </c>
      <c r="AH165" s="350"/>
      <c r="AI165" s="330"/>
      <c r="AJ165" s="138"/>
      <c r="AK165" s="152" t="str">
        <f>IF(ISNUMBER( SnapshotTable[[#This Row],[EBF Target]]),(SnapshotTable[[#This Row],[EBF Target]] - SnapshotTable[[#This Row],[Last Price]]) / SnapshotTable[[#This Row],[Last Price]], "")</f>
        <v/>
      </c>
      <c r="AL165" s="152" t="str">
        <f>IF(AND(SnapshotTable[[#This Row],[Equity Basis Total]] &gt; 0,ISNUMBER( SnapshotTable[[#This Row],[Long Term Target]])), SnapshotTable[[#This Row],[From Basis $]] / SnapshotTable[[#This Row],[Equity Basis Total]], "")</f>
        <v/>
      </c>
      <c r="AM165" s="9">
        <f>IF( AND(SnapshotTable[[#This Row],[Equity Shares]] &gt;0,ISNUMBER( SnapshotTable[[#This Row],[Long Term Target]])),(SnapshotTable[[#This Row],[Equity Shares]] * SnapshotTable[[#This Row],[Long Term Target]]) - SnapshotTable[[#This Row],[Equity Basis Total]],0)</f>
        <v>0</v>
      </c>
      <c r="AN165" s="9">
        <f>IF( AND(SnapshotTable[[#This Row],[Equity Shares]] &gt;0,ISNUMBER( SnapshotTable[[#This Row],[Long Term Target]])),(SnapshotTable[[#This Row],[Equity Shares]]*SnapshotTable[[#This Row],[Long Term Target]]) - SnapshotTable[[#This Row],[Equity Value]],0)</f>
        <v>0</v>
      </c>
      <c r="AO165" s="152" t="str">
        <f>IF(AND(ISNUMBER( SnapshotTable[[#This Row],[Long Term Target]]), ISNUMBER(SnapshotTable[[#This Row],[Last Price]])),(SnapshotTable[[#This Row],[Long Term Target]] - SnapshotTable[[#This Row],[Last Price]]) / SnapshotTable[[#This Row],[Last Price]], "")</f>
        <v/>
      </c>
      <c r="AP165" s="330"/>
      <c r="AQ165" s="388"/>
      <c r="AR165" s="330"/>
      <c r="AS165" s="388"/>
      <c r="AT165" s="389"/>
      <c r="AU165" s="187" t="str">
        <f>IF(OR(SnapshotTable[[#This Row],[LP No Fill]]="Y",SnapshotTable[[#This Row],[SP Is Filled]],SnapshotTable[[#This Row],[LC Not Filled]]="Y",SnapshotTable[[#This Row],[SC Is Filled]]),"Y","")</f>
        <v/>
      </c>
      <c r="AV165" s="338"/>
      <c r="AW165" s="339"/>
      <c r="AX165" s="220"/>
      <c r="AY165" s="219" t="str">
        <f>IF(SnapshotTable[[#This Row],[Implied Move]]&gt;0, SnapshotTable[[#This Row],[Last Price]]-SnapshotTable[[#This Row],[Implied Move]],"")</f>
        <v/>
      </c>
      <c r="AZ165" s="219" t="str">
        <f>IF(SnapshotTable[[#This Row],[Implied Move]]&gt;0, SnapshotTable[[#This Row],[Last Price]] + SnapshotTable[[#This Row],[Implied Move]],"")</f>
        <v/>
      </c>
      <c r="BA165" s="331">
        <v>323.20999999999998</v>
      </c>
      <c r="BB165" s="347"/>
      <c r="BC16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5" s="351"/>
      <c r="BE165" s="409"/>
      <c r="BF165" s="410"/>
      <c r="BG165" s="411"/>
      <c r="BH165" s="411"/>
      <c r="BI165" s="412"/>
      <c r="BJ165" s="153">
        <f>IF(SnapshotTable[[#This Row],[LP Qty]] &gt; 0, SnapshotTable[[#This Row],[LP Qty]] * SnapshotTable[[#This Row],[LP Book Price]] * 100,0)</f>
        <v>0</v>
      </c>
      <c r="BK165" s="136">
        <f>IF(SnapshotTable[[#This Row],[LP Premium]] &gt; 0, SnapshotTable[[#This Row],[LP Qty]] * SnapshotTable[[#This Row],[LP Strike Price]] * 100,0)</f>
        <v>0</v>
      </c>
      <c r="BL165" s="154"/>
      <c r="BM165" s="385" t="str">
        <f>IF(SnapshotTable[[#This Row],[LP Premium]] &gt; 0,SnapshotTable[[#This Row],[LP Exp Date]]-MAX(SnapshotTable[[#This Row],[LP Book Date]], SnapshotTable[[#This Row],[LP Fill Date]]),"")</f>
        <v/>
      </c>
      <c r="BN165" s="385" t="str">
        <f>IF(ISNUMBER( SnapshotTable[[#This Row],[LP Term]]), SnapshotTable[[#This Row],[LP Exp Date]] - MockToday,"")</f>
        <v/>
      </c>
      <c r="BO165" s="163" t="str">
        <f>IF(AND(SnapshotTable[[#This Row],[LP Exp Date]]&gt;0, SnapshotTable[[#This Row],[LP Strike Price]]&gt;0,SnapshotTable[[#This Row],[LP Qty]]&gt;0,SnapshotTable[[#This Row],[LP Book Date]]&gt;0,SnapshotTable[[#This Row],[LP Book Price]]&gt;0,SnapshotTable[[#This Row],[LP Fill Date]]=0),"Y","")</f>
        <v/>
      </c>
      <c r="BP165" s="31" t="str">
        <f>IF(AND(SnapshotTable[[#This Row],[LP No Fill]]&lt;&gt;"Y",SnapshotTable[[#This Row],[LP Contract Value]]&gt;0, SnapshotTable[[#This Row],[LP Qty]]&gt;0), SnapshotTable[[#This Row],[LP Contract Value]]*SnapshotTable[[#This Row],[LP Qty]]*100,"")</f>
        <v/>
      </c>
      <c r="BQ165" s="147"/>
      <c r="BR165" s="138" t="str">
        <f>IF(SnapshotTable[[#This Row],[SP Exp Date]]&lt;&gt;"",TRUNC(SnapshotTable[[#This Row],[Last Price]]),"")</f>
        <v/>
      </c>
      <c r="BS165" s="413"/>
      <c r="BT165" s="147"/>
      <c r="BU165" s="147"/>
      <c r="BV165" s="138"/>
      <c r="BW165" s="419" t="b">
        <f>AND(ISNUMBER(SnapshotTable[[#This Row],[SP Exp Date]]), ISNUMBER(SnapshotTable[[#This Row],[SP Strike Price]]), ISNUMBER(SnapshotTable[[#This Row],[SP Qty]]), ISNUMBER(SnapshotTable[[#This Row],[SP Book Date]]), ISNUMBER(SnapshotTable[[#This Row],[SP Book Price]]))</f>
        <v>0</v>
      </c>
      <c r="BX165" s="419" t="b">
        <f>AND(SnapshotTable[[#This Row],[SP Is Booked]], NOT(ISBLANK(SnapshotTable[[#This Row],[SP Fill Date]])))</f>
        <v>0</v>
      </c>
      <c r="BY165" s="33">
        <f>IF(SnapshotTable[[#This Row],[SP Is Booked]], SnapshotTable[[#This Row],[SP Qty]] * SnapshotTable[[#This Row],[SP Book Price]] * 100, 0)</f>
        <v>0</v>
      </c>
      <c r="BZ165" s="369"/>
      <c r="CA165" s="368">
        <f>SnapshotTable[[#This Row],[LP Qty]]</f>
        <v>0</v>
      </c>
      <c r="CB165" s="4" t="str">
        <f>IF(SnapshotTable[[#This Row],[SP Is Booked]], SnapshotTable[[#This Row],[SP Strike Price]] - SnapshotTable[[#This Row],[SP Book Price]], "")</f>
        <v/>
      </c>
      <c r="CC165" s="19" t="str">
        <f>IF(SnapshotTable[[#This Row],[SP Is Booked]],SnapshotTable[[#This Row],[SP Exp Date]]-MAX(SnapshotTable[[#This Row],[SP Book Date]], SnapshotTable[[#This Row],[SP Fill Date]]),"")</f>
        <v/>
      </c>
      <c r="CD165" s="7" t="str">
        <f>IF(SnapshotTable[[#This Row],[SP Is Booked]], SnapshotTable[[#This Row],[SP Book Price]]/SnapshotTable[[#This Row],[SP Strike Price]], "")</f>
        <v/>
      </c>
      <c r="CE165" s="7" t="str">
        <f>IF(ISNUMBER(SnapshotTable[[#This Row],[SP ROO Term]]),SnapshotTable[[#This Row],[SP ROO Term]]*(365/SnapshotTable[[#This Row],[SP Term]]),"")</f>
        <v/>
      </c>
      <c r="CF165" s="236">
        <f>SnapshotTable[[#This Row],[LP Strike Price]] * SnapshotTable[[#This Row],[LP Qty]] * 100</f>
        <v>0</v>
      </c>
      <c r="CG165" s="31" t="e">
        <f>IF(ISNUMBER(SnapshotTable[[#This Row],[SP Premium]]), (SnapshotTable[[#This Row],[SP Qty]] * SnapshotTable[[#This Row],[SP Strike Price]]* 100) - SnapshotTable[[#This Row],[LP Protection]], 0)</f>
        <v>#VALUE!</v>
      </c>
      <c r="CH165" s="7" t="str">
        <f>IF(ISNUMBER(SnapshotTable[[#This Row],[SP Break Even]]),-1 * (SnapshotTable[[#This Row],[SP Break Even]] - SnapshotTable[[#This Row],[Last Price]]) / SnapshotTable[[#This Row],[Last Price]], "")</f>
        <v/>
      </c>
      <c r="CI165" s="31">
        <f>IF(AND(ISNUMBER((SnapshotTable[[#This Row],[SP Potential Spend]])), SnapshotTable[[#This Row],[SP Strike Price]] &gt; SnapshotTable[[#This Row],[Last Price]], SnapshotTable[[#This Row],[SP Is Filled]]), SnapshotTable[[#This Row],[SP Potential Spend]] -  SnapshotTable[[#This Row],[LP Max Value]], 0)</f>
        <v>0</v>
      </c>
      <c r="CJ165" s="244"/>
      <c r="CK165" s="31" t="str">
        <f>IF(ISNUMBER(SnapshotTable[[#This Row],[SP Potential Spend]]),IF(ISNUMBER(SnapshotTable[[#This Row],[SP POW]]), SnapshotTable[[#This Row],[SP POW]] * SnapshotTable[[#This Row],[SP Potential Spend]], SnapshotTable[[#This Row],[SP Potential Spend]]), "")</f>
        <v/>
      </c>
      <c r="CL165" s="164" t="e">
        <f>IF(NOT(SnapshotTable[[#This Row],[SP Is Filled]]),(SnapshotTable[[#This Row],[SP Qty]] * SnapshotTable[[#This Row],[SP Strike Price]] * 100) - SnapshotTable[[#This Row],[LP Max Value]],"")</f>
        <v>#VALUE!</v>
      </c>
      <c r="CM165" s="31" t="str">
        <f>IF(SnapshotTable[[#This Row],[SP Actual Spend]]&lt;&gt;0, ((SnapshotTable[[#This Row],[SP Strike Price]]-SnapshotTable[[#This Row],[Last Price]]) *(SnapshotTable[[#This Row],[SP Qty]]*100) - SnapshotTable[[#This Row],[SP Premium]]) * - 1, "")</f>
        <v/>
      </c>
      <c r="CN165" s="154"/>
      <c r="CO165" s="369"/>
      <c r="CP165" s="320" t="str">
        <f>IF(SnapshotTable[[#This Row],[SP Is Filled]], btc_max_buyback_amount(SnapshotTable[[#This Row],[SP Fill Date]],SnapshotTable[[#This Row],[SP Exp Date]], SnapshotTable[[#This Row],[SP Book Price]]),"")</f>
        <v/>
      </c>
      <c r="CQ165" s="78"/>
      <c r="CR165" s="76"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5" s="155" t="str">
        <f>IF(SnapshotTable[[#This Row],[SP Is Filled]], btc_next_cutoff_date(SnapshotTable[[#This Row],[SP Fill Date]],SnapshotTable[[#This Row],[SP Exp Date]]),"")</f>
        <v/>
      </c>
      <c r="CT165" s="235" t="str" cm="1">
        <f t="array" ref="CT165">IF(SnapshotTable[[#This Row],[SP Is Filled]], btc_should_buy_back(SnapshotTable[[#This Row],[SP Fill Date]], SnapshotTable[[#This Row],[SP Exp Date]], SnapshotTable[[#This Row],[SP Book Price]], SnapshotTable[[#This Row],[SP Current Ask]], MockToday, SnapshotTable[[#This Row],[SP Buyback Override]]),"")</f>
        <v/>
      </c>
      <c r="CU165" s="156"/>
      <c r="CV165" s="394"/>
      <c r="CW165" s="378" t="str">
        <f>IF(ISNUMBER( SnapshotTable[[#This Row],[SP Term]]), SnapshotTable[[#This Row],[SP Exp Date]] - MockToday,"")</f>
        <v/>
      </c>
      <c r="CX165" s="31" t="str">
        <f>IF(SnapshotTable[[#This Row],[SP Is Filled]],SnapshotTable[[#This Row],[SP Buyback Price to Use]] * 100 * SnapshotTable[[#This Row],[SP Qty]], "")</f>
        <v/>
      </c>
      <c r="CY165" s="4" t="str">
        <f>IF(ISNUMBER(SnapshotTable[[#This Row],[SP Strike Price]]), SnapshotTable[[#This Row],[SP Strike Price]] * (1 - SP_MaxLoss_StrikePct), "")</f>
        <v/>
      </c>
      <c r="CZ165" s="31" t="str">
        <f>IF(ISNUMBER(SnapshotTable[[#This Row],[SP Strike  Stop Per Share]]),SnapshotTable[[#This Row],[SP Premium]] - ((SnapshotTable[[#This Row],[SP Strike Price]]-SnapshotTable[[#This Row],[SP Strike  Stop Per Share]]) *(SnapshotTable[[#This Row],[SP Qty]] * 100)),"")</f>
        <v/>
      </c>
      <c r="DA165" s="4" t="str">
        <f>IF(AND(ISNUMBER(SnapshotTable[[#This Row],[SP Premium]]),SnapshotTable[[#This Row],[SP Premium]]&gt;0), SnapshotTable[[#This Row],[SP Book Price]] * (1 + SP_MaxLoss_OptionPct), "")</f>
        <v/>
      </c>
      <c r="DB165" s="31" t="str">
        <f>IF(ISNUMBER(SnapshotTable[[#This Row],[SP Option  Stop Contract]]),(SnapshotTable[[#This Row],[SP Option  Stop Contract]] *(SnapshotTable[[#This Row],[SP Qty]] * 100) - SnapshotTable[[#This Row],[SP Premium]]),"")</f>
        <v/>
      </c>
      <c r="DC165" s="4"/>
      <c r="DD165" s="4"/>
      <c r="DE165" s="4" t="str">
        <f>IF(AND(SnapshotTable[[#This Row],[SP Qty]]&gt;0, SnapshotTable[[#This Row],[SP Stop To Use]]&gt;0),SnapshotTable[[#This Row],[SP Premium]] - ( SnapshotTable[[#This Row],[SP Qty]] * SnapshotTable[[#This Row],[SP Stop To Use]] * 100), "")</f>
        <v/>
      </c>
      <c r="DF165" s="31" t="str">
        <f>IF(AND(SnapshotTable[[#This Row],[SP Qty]]&gt;0,SnapshotTable[[#This Row],[SP Current Ask]]&gt;0), SnapshotTable[[#This Row],[SP Qty]] * SnapshotTable[[#This Row],[SP Current Ask]] * -100, "")</f>
        <v/>
      </c>
      <c r="DG165" s="31" t="str">
        <f>IF(ISNUMBER((SnapshotTable[[#This Row],[SP Total Value]])), SnapshotTable[[#This Row],[SP Premium]] + SnapshotTable[[#This Row],[SP Total Value]], "")</f>
        <v/>
      </c>
      <c r="DH165" s="294" t="str">
        <f>IF(ISNUMBER((SnapshotTable[[#This Row],[SP Total Value]])), SnapshotTable[[#This Row],[SP Gain Loss]] / SnapshotTable[[#This Row],[SP Premium]], "")</f>
        <v/>
      </c>
      <c r="DI165" s="406"/>
      <c r="DJ165" s="147"/>
      <c r="DK165" s="148"/>
      <c r="DL165" s="147"/>
      <c r="DM165" s="147"/>
      <c r="DN165" s="147"/>
      <c r="DO165" s="31">
        <f>IF(SnapshotTable[[#This Row],[LC Symbol Count]]=1, SnapshotTable[[#This Row],[LC Qty]] * SnapshotTable[[#This Row],[LC Book Price]] * 100, 0)</f>
        <v>0</v>
      </c>
      <c r="DP165" s="289" t="str">
        <f>IF(AND(SnapshotTable[[#This Row],[LC Exp Date]]&gt;0, SnapshotTable[[#This Row],[LC Strike Price]]&gt;0,SnapshotTable[[#This Row],[LC Qty]]&gt;0,SnapshotTable[[#This Row],[LC Book Date]]&gt;0,SnapshotTable[[#This Row],[LC Book Price]]&gt;0,SnapshotTable[[#This Row],[LC Fill Date]]=0),"Y","")</f>
        <v/>
      </c>
      <c r="DQ165" s="386" t="str">
        <f>IF(SnapshotTable[[#This Row],[LC Premium]] &gt; 0,SnapshotTable[[#This Row],[LC Exp Date]]-MAX(SnapshotTable[[#This Row],[LC Book Date]], SnapshotTable[[#This Row],[LC Fill Date]]),"")</f>
        <v/>
      </c>
      <c r="DR165" s="386" t="str">
        <f>IF(ISNUMBER(SnapshotTable[[#This Row],[LC Term]]), SnapshotTable[[#This Row],[LC Exp Date]] - MockToday, "")</f>
        <v/>
      </c>
      <c r="DS165" s="355" t="str">
        <f>IF(SnapshotTable[[#This Row],[LC Premium]]&gt;0,SnapshotTable[[#This Row],[LC Strike Price]] + SnapshotTable[[#This Row],[LC Book Price]],"")</f>
        <v/>
      </c>
      <c r="DT165" s="163"/>
      <c r="DU165" s="9" t="str">
        <f>IF(AND(SnapshotTable[[#This Row],[LC Symbol Count]]&gt;0, SnapshotTable[[#This Row],[LC Contract Value]]&gt;0), SnapshotTable[[#This Row],[LC Contract Value]] * SnapshotTable[[#This Row],[LC Qty]] * 100, "")</f>
        <v/>
      </c>
      <c r="DV165" s="9" t="str">
        <f>IF(AND(ISNUMBER(SnapshotTable[[#This Row],[LC Total Value]]), SnapshotTable[[#This Row],[LC Not Filled]]&lt;&gt;"Y"), SnapshotTable[[#This Row],[LC Total Value]]-SnapshotTable[[#This Row],[LC Premium]],"")</f>
        <v/>
      </c>
      <c r="DW165" s="240" t="str">
        <f>IF(ISNUMBER(SnapshotTable[[#This Row],[LC Actual Gain Loss]]), SnapshotTable[[#This Row],[LC Actual Gain Loss]] / SnapshotTable[[#This Row],[LC Premium]],"")</f>
        <v/>
      </c>
      <c r="DX165" s="284" t="str">
        <f>IF(ISNUMBER(SnapshotTable[[#This Row],[LC Book Price]]),SnapshotTable[[#This Row],[LC Book Price]] * 1.5,"")</f>
        <v/>
      </c>
      <c r="DY165" s="265" t="str">
        <f>IF(SnapshotTable[[#This Row],[LC Premium]]&gt;0, SnapshotTable[[#This Row],[LC Next Target]] * SnapshotTable[[#This Row],[LC Qty]] * 100,"")</f>
        <v/>
      </c>
      <c r="DZ165" s="265" t="str">
        <f>IF(ISNUMBER(SnapshotTable[[#This Row],[LC Target Gross]]), SnapshotTable[[#This Row],[LC Target Gross]] - SnapshotTable[[#This Row],[LC Premium]], "")</f>
        <v/>
      </c>
      <c r="EA165" s="305" t="str">
        <f>IF(ISNUMBER(SnapshotTable[[#This Row],[LC Target Gain Loss]]), SnapshotTable[[#This Row],[LC Target Gain Loss]]/SnapshotTable[[#This Row],[LC Premium]], "")</f>
        <v/>
      </c>
      <c r="EB165" s="262"/>
      <c r="EC165" s="290" t="str">
        <f>IF(SnapshotTable[[#This Row],[LC Premium]]&gt;0, SnapshotTable[[#This Row],[LC Book Price]] * (1 - LC_StopLoss_Pct),"")</f>
        <v/>
      </c>
      <c r="ED165" s="284"/>
      <c r="EE165" s="290" t="str">
        <f>IF(ISNUMBER(SnapshotTable[[#This Row],[LC Contract Value]]),IF(ISNUMBER(SnapshotTable[[#This Row],[LC Stop Loss Override]]), SnapshotTable[[#This Row],[LC Stop Loss Override]],SnapshotTable[[#This Row],[LC Stop Loss Calc Target]]),"")</f>
        <v/>
      </c>
      <c r="EF165" s="321" t="str">
        <f>IF(ISNUMBER(SnapshotTable[[#This Row],[LC Stop  To Use]]), (SnapshotTable[[#This Row],[LC Stop  To Use]] * SnapshotTable[[#This Row],[LC Qty]] * 100),"")</f>
        <v/>
      </c>
      <c r="EG165" s="9" t="str">
        <f>IF(ISNUMBER(SnapshotTable[[#This Row],[LC Total Value]]),SnapshotTable[[#This Row],[LC Stop Loss Amount]] - SnapshotTable[[#This Row],[LC Premium]],"")</f>
        <v/>
      </c>
      <c r="EH165" s="9">
        <f>IF(ISNUMBER(SnapshotTable[[#This Row],[LC Premium]]), SnapshotTable[[#This Row],[LC Qty]] * 100 * SnapshotTable[[#This Row],[LC Strike Price]], "")</f>
        <v>0</v>
      </c>
      <c r="EI165" s="240" t="str">
        <f>IF(AND(ISNUMBER(SnapshotTable[[#This Row],[LC Total Value]]),SnapshotTable[[#This Row],[LC Total Value]]&gt;0),SnapshotTable[[#This Row],[LC Stop Gain Loss]]  / SnapshotTable[[#This Row],[LC Premium]],"")</f>
        <v/>
      </c>
      <c r="EJ165" s="35">
        <f>IF(ISNUMBER(SnapshotTable[[#This Row],[Equity Shares]]),TRUNC(SnapshotTable[[#This Row],[Equity Shares]] / 100),0) + SnapshotTable[[#This Row],[LC Qty]]</f>
        <v>0</v>
      </c>
      <c r="EK165" s="147"/>
      <c r="EL165" s="138" t="str">
        <f>IF(SnapshotTable[[#This Row],[SC Exp Date]]&lt;&gt;"",TRUNC(SnapshotTable[[#This Row],[Last Price]]),"")</f>
        <v/>
      </c>
      <c r="EM165" s="148"/>
      <c r="EN165" s="147"/>
      <c r="EO165" s="147"/>
      <c r="EP165" s="138"/>
      <c r="EQ165" s="419" t="b">
        <f>AND(ISNUMBER(SnapshotTable[[#This Row],[SC Exp Date]]), ISNUMBER(SnapshotTable[[#This Row],[SC Strike Price]]), ISNUMBER(SnapshotTable[[#This Row],[SC Qty]]), ISNUMBER(SnapshotTable[[#This Row],[SC Book Date]]), ISNUMBER(SnapshotTable[[#This Row],[SC Book Price]]))</f>
        <v>0</v>
      </c>
      <c r="ER165" s="419" t="b">
        <f>AND(SnapshotTable[[#This Row],[SC Is Booked]], NOT(ISBLANK(SnapshotTable[[#This Row],[SC Fill Date]])))</f>
        <v>0</v>
      </c>
      <c r="ES165" s="370"/>
      <c r="ET165" s="34" t="str">
        <f>IF(AND(ISNUMBER(SnapshotTable[[#This Row],[SC Exp Date]]), ISNUMBER(SnapshotTable[[#This Row],[SC Book Date]])), SnapshotTable[[#This Row],[SC Exp Date]] - MAX(SnapshotTable[[#This Row],[SC Book Date]], SnapshotTable[[#This Row],[SC Fill Date]]) + 1, "")</f>
        <v/>
      </c>
      <c r="EU165" s="34" t="str">
        <f>IF(ISNUMBER(SnapshotTable[[#This Row],[SC Term]]), SnapshotTable[[#This Row],[SC Exp Date]]- MockToday, "")</f>
        <v/>
      </c>
      <c r="EV165" s="31">
        <f>IF(SnapshotTable[[#This Row],[SC Is Booked]], SnapshotTable[[#This Row],[SC Qty]] * SnapshotTable[[#This Row],[SC Book Price]] * 100, 0)</f>
        <v>0</v>
      </c>
      <c r="EW165" s="4" t="str">
        <f>IF(AND(ISNUMBER(SnapshotTable[[#This Row],[Last Price]]), ISNUMBER( SnapshotTable[[#This Row],[SC Book Price]])), SnapshotTable[[#This Row],[Last Price]] - SnapshotTable[[#This Row],[SC Book Price]],"")</f>
        <v/>
      </c>
      <c r="EX165" s="374" t="str">
        <f>IF(SnapshotTable[[#This Row],[SC Is Booked]],IF(SnapshotTable[[#This Row],[SC Intrinsic Value]] &gt; 0, SnapshotTable[[#This Row],[SC Strike Price]], SnapshotTable[[#This Row],[Last Price]]), "")</f>
        <v/>
      </c>
      <c r="EY165" s="4">
        <f>IF(SnapshotTable[[#This Row],[SC Is Booked]], (MinimumPremiumRequired * SnapshotTable[[#This Row],[SC Basis]] * SnapshotTable[[#This Row],[SC Term]]), 0)</f>
        <v>0</v>
      </c>
      <c r="EZ165" s="414"/>
      <c r="FA165" s="395"/>
      <c r="FB165" s="396"/>
      <c r="FC165" s="4">
        <f>IF(SnapshotTable[[#This Row],[SC Is Filled]], btc_max_buyback_amount(SnapshotTable[[#This Row],[SC Fill Date]],SnapshotTable[[#This Row],[SC Exp Date]], SnapshotTable[[#This Row],[SC Book Price]]),0)</f>
        <v>0</v>
      </c>
      <c r="FD165" s="5"/>
      <c r="FE165" s="144" t="str">
        <f>IF(SnapshotTable[[#This Row],[SC Is Filled]], btc_next_cutoff_date(SnapshotTable[[#This Row],[SC Fill Date]],SnapshotTable[[#This Row],[SC Exp Date]]),"")</f>
        <v/>
      </c>
      <c r="FF165" s="4" t="str" cm="1">
        <f t="array" ref="FF165">IF(SnapshotTable[[#This Row],[SC Is Filled]], btc_should_buy_back(SnapshotTable[[#This Row],[SC Fill Date]], SnapshotTable[[#This Row],[SC Exp Date]], SnapshotTable[[#This Row],[SC Book Price]], SnapshotTable[[#This Row],[SC Current Ask]], MockToday, SnapshotTable[[#This Row],[SC Buyback Override]]),"")</f>
        <v/>
      </c>
      <c r="FG165" s="4">
        <f>IF(SnapshotTable[[#This Row],[SC Is Filled]], MAX(0,SnapshotTable[[#This Row],[Last Price]]  - SnapshotTable[[#This Row],[SC Strike Price]]), 0)</f>
        <v>0</v>
      </c>
      <c r="FH165" s="382">
        <f>IF(SnapshotTable[[#This Row],[SC Is Filled]], IF(ISNUMBER(SnapshotTable[[#This Row],[SC Current Ask]]), SnapshotTable[[#This Row],[SC Current Ask]], SnapshotTable[[#This Row],[SC Book Price]]) - SnapshotTable[[#This Row],[SC Intrinsic Value]], 0)</f>
        <v>0</v>
      </c>
      <c r="FI165" s="156"/>
      <c r="FJ165" s="32" t="str">
        <f>IF(SnapshotTable[[#This Row],[SC Is Filled]],100 * SnapshotTable[[#This Row],[SC Qty]] * IF(ISNUMBER(SnapshotTable[[#This Row],[SC Buyback Override]]), SnapshotTable[[#This Row],[SC Buyback Override]], SnapshotTable[[#This Row],[SC Current Ask]]), "")</f>
        <v/>
      </c>
      <c r="FK165" s="250" t="str">
        <f>IF(SnapshotTable[[#This Row],[SC Time Val]]&gt;0, SnapshotTable[[#This Row],[SC Time Val]] / SnapshotTable[[#This Row],[Last Price]],"")</f>
        <v/>
      </c>
      <c r="FL165" s="302" t="str">
        <f>IF(SnapshotTable[[#This Row],[SC Is Booked]], ((SnapshotTable[[#This Row],[Last Price]] -SnapshotTable[[#This Row],[SC Strike Price]]) / SnapshotTable[[#This Row],[Last Price]]) * -1, "")</f>
        <v/>
      </c>
      <c r="FM165" s="157" t="str">
        <f>IF(SnapshotTable[[#This Row],[SC Is Booked]],  (SnapshotTable[[#This Row],[SC Qty]] * 100 * SnapshotTable[[#This Row],[SC Strike Price]]) - SnapshotTable[[#This Row],[SC Current Ask]], "")</f>
        <v/>
      </c>
      <c r="FN165"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5" s="157" t="str">
        <f>IF(AND(ISNUMBER(SnapshotTable[[#This Row],[SC Exercise Gross]]), ISNUMBER(SnapshotTable[[#This Row],[Equity Basis Per Share]] )), SnapshotTable[[#This Row],[SC Exercise Gross]] - SnapshotTable[[#This Row],[Equity Basis Total]] +  SnapshotTable[[#This Row],[SC Premium]], "")</f>
        <v/>
      </c>
      <c r="FP165" s="5" t="str">
        <f>IF(ISNUMBER(SnapshotTable[[#This Row],[SC Exercise Gross]]), (SnapshotTable[[#This Row],[SC Exercise Gross]]) / (SnapshotTable[[#This Row],[SC Qty]] * 100), "")</f>
        <v/>
      </c>
      <c r="FQ165" s="27" t="str">
        <f>IF(SnapshotTable[[#This Row],[SC Is Booked]],SnapshotTable[[#This Row],[SC Time Val]] /SnapshotTable[[#This Row],[SC Basis]], "")</f>
        <v/>
      </c>
      <c r="FR165" s="27" t="str" cm="1">
        <f t="array" ref="FR165">IF(AND(ISNUMBER(SnapshotTable[[#This Row],[SC Term]]),ISNUMBER(SnapshotTable[[#This Row],[SC Simple ROO]])), EllmanAnnualize(SnapshotTable[[#This Row],[SC DTE]], SnapshotTable[[#This Row],[SC Simple ROO]] ),"")</f>
        <v/>
      </c>
      <c r="FS165" s="4" t="e">
        <f>IF(SnapshotTable[[#This Row],[SC Strike Price]] &gt; SnapshotTable[[#This Row],[Last Price]], SnapshotTable[[#This Row],[SC Strike Price]] - SnapshotTable[[#This Row],[Last Price]],0)</f>
        <v>#VALUE!</v>
      </c>
      <c r="FT165" s="27" t="e">
        <f>IF(AND(ISNUMBER(SnapshotTable[[#This Row],[SC Upside Potential]]), SnapshotTable[[#This Row],[SC Upside Potential]] &gt; 0),(SnapshotTable[[#This Row],[SC Upside Potential]]/ SnapshotTable[[#This Row],[ACB]]),"")</f>
        <v>#VALUE!</v>
      </c>
      <c r="FU165" s="333" t="str">
        <f>IF(SnapshotTable[[#This Row],[SC Intrinsic Value]] &gt; 0,SnapshotTable[[#This Row],[SC Intrinsic Value]],"")</f>
        <v/>
      </c>
      <c r="FV165" s="27" t="str">
        <f>IF(AND( ISNUMBER( SnapshotTable[[#This Row],[ACB]]),ISNUMBER(SnapshotTable[[#This Row],[SC Downside Protect]])),SnapshotTable[[#This Row],[SC Downside Protect]] / SnapshotTable[[#This Row],[ACB]],"")</f>
        <v/>
      </c>
      <c r="FW165" s="236" t="str">
        <f>IF(AND(ISNUMBER(SnapshotTable[[#This Row],[SC Simple ROO]]),SnapshotTable[[#This Row],[SC Simple ROO]] &gt; 0), SnapshotTable[[#This Row],[SC Premium]] + (SnapshotTable[[#This Row],[SC Qty]] * SnapshotTable[[#This Row],[SC Upside Potential]]), "")</f>
        <v/>
      </c>
      <c r="FX165" s="302" t="str" cm="1">
        <f t="array" ref="FX165">IF(ISNUMBER(SnapshotTable[[#This Row],[SC Max Dollars]]), annualize(SnapshotTable[[#This Row],[SC Term]],(SnapshotTable[[#This Row],[SC Max Dollars]]/SnapshotTable[[#This Row],[SC Basis]])),"")</f>
        <v/>
      </c>
      <c r="FY165" s="236" t="str">
        <f>IF(AND(SnapshotTable[[#This Row],[SC Qty]]&gt;0,SnapshotTable[[#This Row],[SC Current Ask]]&gt;0), SnapshotTable[[#This Row],[SC Qty]] * SnapshotTable[[#This Row],[SC Current Ask]] * -100, "")</f>
        <v/>
      </c>
      <c r="FZ165" s="235" t="str">
        <f>IF(ISNUMBER((SnapshotTable[[#This Row],[SC Current Value]])), SnapshotTable[[#This Row],[SC Premium]] + SnapshotTable[[#This Row],[SC Current Value]], "")</f>
        <v/>
      </c>
      <c r="GA165" s="294" t="str">
        <f>IFERROR( IF(ISNUMBER((SnapshotTable[[#This Row],[SC Current Value]])), SnapshotTable[[#This Row],[SC Gain Loss]] / SnapshotTable[[#This Row],[SC Premium]], ""), "")</f>
        <v/>
      </c>
      <c r="GB165" s="415">
        <f>SnapshotTable[[#This Row],[Equity Shares]] * SaleSharesToConsiderPercentage</f>
        <v>0</v>
      </c>
      <c r="GC165" s="416">
        <f>SnapshotTable[[#This Row],[Long Term Target]] * SellingPriceToConsiderBasedOnTargetPercentage</f>
        <v>0</v>
      </c>
      <c r="GD165" s="416">
        <f>SnapshotTable[[#This Row],[Last Price]] * (1+ SellingPriceToConsiderBasedOnTargetPercentage)</f>
        <v>821.35949999999991</v>
      </c>
      <c r="GE165" s="417"/>
      <c r="GF165" s="416"/>
      <c r="GG165" s="31">
        <f>SnapshotTable[[#This Row],[Booked Sale Shares]] * SnapshotTable[[#This Row],[Booked Sale Price]]</f>
        <v>0</v>
      </c>
      <c r="GH165" s="31" t="str">
        <f>IF(SnapshotTable[[#This Row],[Equity Basis Total]] &gt; 0, SnapshotTable[[#This Row],[Equity Basis Per Share]] * SnapshotTable[[#This Row],[Booked Sale Shares]], "")</f>
        <v/>
      </c>
      <c r="GI165" s="31">
        <f>IF(SnapshotTable[[#This Row],[Sale Proceeds]]&gt;0, SnapshotTable[[#This Row],[Sale Proceeds]] - SnapshotTable[[#This Row],[Sale Basis]], 0)</f>
        <v>0</v>
      </c>
      <c r="GJ165" s="158" t="str">
        <f>IF(SnapshotTable[[#This Row],[Sale G/L]]&gt;0, SnapshotTable[[#This Row],[Sale G/L]] / SnapshotTable[[#This Row],[Sale Basis]], IF(ISNUMBER(SnapshotTable[[#This Row],[SC Exercise P&amp;L (TAX)]]), SnapshotTable[[#This Row],[SC Exercise P&amp;L (TAX)]] / SnapshotTable[[#This Row],[SC Basis]], ""))</f>
        <v/>
      </c>
      <c r="GK165" s="27"/>
      <c r="GL165" s="159" t="str">
        <f>IF(AND(SnapshotTable[[#This Row],[LP Exp Date]]&gt;0,SnapshotTable[[#This Row],[LP Strike Price]]&gt;0), [1]!ToOptionSymbol(SnapshotTable[[#This Row],[Symbol]], SnapshotTable[[#This Row],[LP Strike Price]],SnapshotTable[[#This Row],[LP Exp Date]],1), "")</f>
        <v/>
      </c>
      <c r="GM165" s="30" t="str">
        <f>IF(LEN(SnapshotTable[[#This Row],[LP Symbol]])&gt;0, 1, "")</f>
        <v/>
      </c>
      <c r="GN165" s="43" t="str">
        <f>IF(AND(SnapshotTable[[#This Row],[SP Exp Date]]&gt;0,SnapshotTable[[#This Row],[SP Strike Price]]&gt;0), [1]!ToOptionSymbol(SnapshotTable[[#This Row],[Symbol]], SnapshotTable[[#This Row],[SP Strike Price]],SnapshotTable[[#This Row],[SP Exp Date]],1), "")</f>
        <v/>
      </c>
      <c r="GO165" s="30" t="str">
        <f>IF(LEN(SnapshotTable[[#This Row],[SP Symbol]])&gt;0, 1, "")</f>
        <v/>
      </c>
      <c r="GP165" s="159" t="str">
        <f>IF(AND(SnapshotTable[[#This Row],[LC Exp Date]]&gt;0,SnapshotTable[[#This Row],[LC Strike Price]]&gt;0), [1]!ToOptionSymbol(SnapshotTable[[#This Row],[Symbol]], SnapshotTable[[#This Row],[LC Strike Price]],SnapshotTable[[#This Row],[LC Exp Date]],0), "")</f>
        <v/>
      </c>
      <c r="GQ165" s="160" t="str">
        <f>IF(LEN(SnapshotTable[[#This Row],[LC Symbol]])&gt;0, 1, "")</f>
        <v/>
      </c>
      <c r="GR165" s="159" t="str">
        <f>IF(AND(SnapshotTable[[#This Row],[SC Exp Date]]&gt;0,SnapshotTable[[#This Row],[SC Strike Price]]&gt;0), [1]!ToOptionSymbol(SnapshotTable[[#This Row],[Symbol]], SnapshotTable[[#This Row],[SC Strike Price]],SnapshotTable[[#This Row],[SC Exp Date]],0), "")</f>
        <v/>
      </c>
      <c r="GS165" s="160" t="str">
        <f>IF(LEN(SnapshotTable[[#This Row],[SC Symbol]])&gt;0, 1, "")</f>
        <v/>
      </c>
      <c r="GT165" s="161" t="str">
        <f>IF(COUNT(SnapshotTable[[#This Row],[LP Symbol Count]],SnapshotTable[[#This Row],[SP Symbol Count]],SnapshotTable[[#This Row],[LC Symbol Count]],SnapshotTable[[#This Row],[SC Symbol Count]])&gt;0, "Y", "")</f>
        <v/>
      </c>
      <c r="GU16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5" s="231" t="e">
        <f>MAX(SnapshotTable[[#This Row],[Equity Basis Total]],SnapshotTable[[#This Row],[Equity Value]]) + (SnapshotTable[[#This Row],[SP Potential Spend]]- SnapshotTable[[#This Row],[SP Premium]] + SnapshotTable[[#This Row],[LP Premium]])+ (SnapshotTable[[#This Row],[LC Premium]] - SnapshotTable[[#This Row],[SC Premium]])</f>
        <v>#VALUE!</v>
      </c>
      <c r="GW165" s="139" t="e">
        <f>IF(AND(SnapshotTable[[#This Row],[Exposure]] &lt;&gt; 0),SnapshotTable[[#This Row],[Exposure]] / SnapshotTable[[#Totals],[Exposure]], "")</f>
        <v>#VALUE!</v>
      </c>
      <c r="HE165" s="268"/>
      <c r="HF165" s="268"/>
      <c r="HK165" s="1"/>
      <c r="HL165" s="1"/>
      <c r="HM165" s="1"/>
      <c r="HN165" s="1"/>
      <c r="HO165" s="1"/>
      <c r="HP165" s="1"/>
    </row>
    <row r="166" spans="2:224" ht="12.75" hidden="1" customHeight="1" x14ac:dyDescent="0.25">
      <c r="B166" s="12" t="s">
        <v>838</v>
      </c>
      <c r="C166" s="422">
        <v>91.63</v>
      </c>
      <c r="D166" s="208"/>
      <c r="E166" s="39">
        <f>SnapshotTable[[#This Row],[Last Price]]*(1 -CrashDiscount)</f>
        <v>77.885499999999993</v>
      </c>
      <c r="F166" s="26" t="s">
        <v>839</v>
      </c>
      <c r="G166" s="26" t="s">
        <v>821</v>
      </c>
      <c r="H166" s="149"/>
      <c r="I166" s="194">
        <v>44762.288194444445</v>
      </c>
      <c r="J166" s="195">
        <v>44762.288194444445</v>
      </c>
      <c r="K166" s="196" t="s">
        <v>3</v>
      </c>
      <c r="L166" s="326"/>
      <c r="M166" s="140">
        <v>1</v>
      </c>
      <c r="N166" s="140"/>
      <c r="O166" s="140"/>
      <c r="P166" s="22"/>
      <c r="Q166" s="25"/>
      <c r="R166" s="4" t="str">
        <f>IF(SnapshotTable[[#This Row],[Equity Basis Total]] &gt; 0, SnapshotTable[[#This Row],[Equity Basis Total]] / SnapshotTable[[#This Row],[Equity Shares]], "")</f>
        <v/>
      </c>
      <c r="S166" s="269">
        <f>SnapshotTable[[#This Row],[Last Price]] * SnapshotTable[[#This Row],[Equity Shares]]</f>
        <v>0</v>
      </c>
      <c r="T166" s="269">
        <f>SnapshotTable[[#This Row],[Equity Value]] - SnapshotTable[[#This Row],[Equity Basis Total]]</f>
        <v>0</v>
      </c>
      <c r="U166" s="270" t="str">
        <f>IF(SnapshotTable[[#This Row],[Equity Basis Total]] &gt; 0, SnapshotTable[[#This Row],[Equity G/L]] / SnapshotTable[[#This Row],[Equity Basis Total]], "")</f>
        <v/>
      </c>
      <c r="V166" s="268"/>
      <c r="W166" s="268"/>
      <c r="X166" s="4" t="str">
        <f>IF(AND(ISNUMBER(SnapshotTable[[#This Row],[Equity Basis Per Share]]),ISNUMBER(SnapshotTable[[#This Row],[Equity Target]])),SnapshotTable[[#This Row],[Equity Target]]-SnapshotTable[[#This Row],[Equity Basis Per Share]],"")</f>
        <v/>
      </c>
      <c r="Y166" s="4" t="str">
        <f>IF(AND(ISNUMBER(SnapshotTable[[#This Row],[Equity Basis Per Share]]),ISNUMBER(SnapshotTable[[#This Row],[Equity Stop Loss]])),SnapshotTable[[#This Row],[Equity Stop Loss]]-SnapshotTable[[#This Row],[Equity Basis Per Share]],"")</f>
        <v/>
      </c>
      <c r="Z166" s="275" t="str">
        <f>IFERROR( TEXT(SnapshotTable[[#This Row],[Equity Max Gain Per Share]] /ABS( SnapshotTable[[#This Row],[Equity Max Loss Per Share]]),"0.0 " ) &amp; " : 1", "")</f>
        <v/>
      </c>
      <c r="AA166" s="31" t="str">
        <f>IF(ISNUMBER(SnapshotTable[[#This Row],[Equity Max Gain Per Share]]),SnapshotTable[[#This Row],[Equity Max Gain Per Share]] * SnapshotTable[[#This Row],[Equity Shares]],"")</f>
        <v/>
      </c>
      <c r="AB166" s="31" t="str">
        <f>IF(ISNUMBER(SnapshotTable[[#This Row],[Equity Max Loss Per Share]]),SnapshotTable[[#This Row],[Equity Max Loss Per Share]] * SnapshotTable[[#This Row],[Equity Shares]],"")</f>
        <v/>
      </c>
      <c r="AC166" s="150"/>
      <c r="AD166" s="151"/>
      <c r="AE166" s="31">
        <f>(SnapshotTable[[#This Row],[Annual Dividend Per Share]] / 4) * SnapshotTable[[#This Row],[Equity Shares]]</f>
        <v>0</v>
      </c>
      <c r="AF166" s="31">
        <f>SnapshotTable[[#This Row],[Quarterly Div $]] * 4</f>
        <v>0</v>
      </c>
      <c r="AG166" s="7">
        <f>IF(SnapshotTable[[#This Row],[Annual Dividend Per Share]]&gt;0, SnapshotTable[[#This Row],[Annual Dividend Per Share]]  / SnapshotTable[[#This Row],[Last Price]], 0)</f>
        <v>0</v>
      </c>
      <c r="AH166" s="151"/>
      <c r="AI166" s="5">
        <v>77</v>
      </c>
      <c r="AJ166" s="138">
        <v>75.69</v>
      </c>
      <c r="AK166" s="152">
        <f>IF(ISNUMBER( SnapshotTable[[#This Row],[EBF Target]]),(SnapshotTable[[#This Row],[EBF Target]] - SnapshotTable[[#This Row],[Last Price]]) / SnapshotTable[[#This Row],[Last Price]], "")</f>
        <v>-0.15966386554621845</v>
      </c>
      <c r="AL166" s="152" t="str">
        <f>IF(AND(SnapshotTable[[#This Row],[Equity Basis Total]] &gt; 0,ISNUMBER( SnapshotTable[[#This Row],[Long Term Target]])), SnapshotTable[[#This Row],[From Basis $]] / SnapshotTable[[#This Row],[Equity Basis Total]], "")</f>
        <v/>
      </c>
      <c r="AM166" s="9">
        <f>IF( AND(SnapshotTable[[#This Row],[Equity Shares]] &gt;0,ISNUMBER( SnapshotTable[[#This Row],[Long Term Target]])),(SnapshotTable[[#This Row],[Equity Shares]] * SnapshotTable[[#This Row],[Long Term Target]]) - SnapshotTable[[#This Row],[Equity Basis Total]],0)</f>
        <v>0</v>
      </c>
      <c r="AN166" s="9">
        <f>IF( AND(SnapshotTable[[#This Row],[Equity Shares]] &gt;0,ISNUMBER( SnapshotTable[[#This Row],[Long Term Target]])),(SnapshotTable[[#This Row],[Equity Shares]]*SnapshotTable[[#This Row],[Long Term Target]]) - SnapshotTable[[#This Row],[Equity Value]],0)</f>
        <v>0</v>
      </c>
      <c r="AO166" s="152">
        <f>IF(AND(ISNUMBER( SnapshotTable[[#This Row],[Long Term Target]]), ISNUMBER(SnapshotTable[[#This Row],[Last Price]])),(SnapshotTable[[#This Row],[Long Term Target]] - SnapshotTable[[#This Row],[Last Price]]) / SnapshotTable[[#This Row],[Last Price]], "")</f>
        <v>-0.17396049328822435</v>
      </c>
      <c r="AP166" s="5"/>
      <c r="AQ166" s="38"/>
      <c r="AR166" s="5"/>
      <c r="AS166" s="38"/>
      <c r="AT166" s="146"/>
      <c r="AU166" s="187" t="str">
        <f>IF(OR(SnapshotTable[[#This Row],[LP No Fill]]="Y",SnapshotTable[[#This Row],[SP Is Filled]],SnapshotTable[[#This Row],[LC Not Filled]]="Y",SnapshotTable[[#This Row],[SC Is Filled]]),"Y","")</f>
        <v/>
      </c>
      <c r="AV166" s="219"/>
      <c r="AW166" s="225"/>
      <c r="AX166" s="220"/>
      <c r="AY166" s="219" t="str">
        <f>IF(SnapshotTable[[#This Row],[Implied Move]]&gt;0, SnapshotTable[[#This Row],[Last Price]]-SnapshotTable[[#This Row],[Implied Move]],"")</f>
        <v/>
      </c>
      <c r="AZ166" s="219" t="str">
        <f>IF(SnapshotTable[[#This Row],[Implied Move]]&gt;0, SnapshotTable[[#This Row],[Last Price]] + SnapshotTable[[#This Row],[Implied Move]],"")</f>
        <v/>
      </c>
      <c r="BA166" s="331"/>
      <c r="BB166" s="347"/>
      <c r="BC16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6" s="351"/>
      <c r="BE166" s="138"/>
      <c r="BF166" s="166"/>
      <c r="BG166" s="167"/>
      <c r="BH166" s="167"/>
      <c r="BI166" s="221"/>
      <c r="BJ166" s="153">
        <f>IF(SnapshotTable[[#This Row],[LP Qty]] &gt; 0, SnapshotTable[[#This Row],[LP Qty]] * SnapshotTable[[#This Row],[LP Book Price]] * 100,0)</f>
        <v>0</v>
      </c>
      <c r="BK166" s="136">
        <f>IF(SnapshotTable[[#This Row],[LP Premium]] &gt; 0, SnapshotTable[[#This Row],[LP Qty]] * SnapshotTable[[#This Row],[LP Strike Price]] * 100,0)</f>
        <v>0</v>
      </c>
      <c r="BL166" s="154"/>
      <c r="BM166" s="385" t="str">
        <f>IF(SnapshotTable[[#This Row],[LP Premium]] &gt; 0,SnapshotTable[[#This Row],[LP Exp Date]]-MAX(SnapshotTable[[#This Row],[LP Book Date]], SnapshotTable[[#This Row],[LP Fill Date]]),"")</f>
        <v/>
      </c>
      <c r="BN166" s="385" t="str">
        <f>IF(ISNUMBER( SnapshotTable[[#This Row],[LP Term]]), SnapshotTable[[#This Row],[LP Exp Date]] - MockToday,"")</f>
        <v/>
      </c>
      <c r="BO166" s="163" t="str">
        <f>IF(AND(SnapshotTable[[#This Row],[LP Exp Date]]&gt;0, SnapshotTable[[#This Row],[LP Strike Price]]&gt;0,SnapshotTable[[#This Row],[LP Qty]]&gt;0,SnapshotTable[[#This Row],[LP Book Date]]&gt;0,SnapshotTable[[#This Row],[LP Book Price]]&gt;0,SnapshotTable[[#This Row],[LP Fill Date]]=0),"Y","")</f>
        <v/>
      </c>
      <c r="BP166" s="31" t="str">
        <f>IF(AND(SnapshotTable[[#This Row],[LP No Fill]]&lt;&gt;"Y",SnapshotTable[[#This Row],[LP Contract Value]]&gt;0, SnapshotTable[[#This Row],[LP Qty]]&gt;0), SnapshotTable[[#This Row],[LP Contract Value]]*SnapshotTable[[#This Row],[LP Qty]]*100,"")</f>
        <v/>
      </c>
      <c r="BQ166" s="13"/>
      <c r="BR166" s="5" t="str">
        <f>IF(SnapshotTable[[#This Row],[SP Exp Date]]&lt;&gt;"",TRUNC(SnapshotTable[[#This Row],[Last Price]]),"")</f>
        <v/>
      </c>
      <c r="BS166" s="36"/>
      <c r="BT166" s="147"/>
      <c r="BU166" s="13"/>
      <c r="BV166" s="5"/>
      <c r="BW166" s="419" t="b">
        <f>AND(ISNUMBER(SnapshotTable[[#This Row],[SP Exp Date]]), ISNUMBER(SnapshotTable[[#This Row],[SP Strike Price]]), ISNUMBER(SnapshotTable[[#This Row],[SP Qty]]), ISNUMBER(SnapshotTable[[#This Row],[SP Book Date]]), ISNUMBER(SnapshotTable[[#This Row],[SP Book Price]]))</f>
        <v>0</v>
      </c>
      <c r="BX166" s="419" t="b">
        <f>AND(SnapshotTable[[#This Row],[SP Is Booked]], NOT(ISBLANK(SnapshotTable[[#This Row],[SP Fill Date]])))</f>
        <v>0</v>
      </c>
      <c r="BY166" s="33">
        <f>IF(SnapshotTable[[#This Row],[SP Is Booked]], SnapshotTable[[#This Row],[SP Qty]] * SnapshotTable[[#This Row],[SP Book Price]] * 100, 0)</f>
        <v>0</v>
      </c>
      <c r="BZ166" s="369"/>
      <c r="CA166" s="368">
        <f>SnapshotTable[[#This Row],[LP Qty]]</f>
        <v>0</v>
      </c>
      <c r="CB166" s="4" t="str">
        <f>IF(SnapshotTable[[#This Row],[SP Is Booked]], SnapshotTable[[#This Row],[SP Strike Price]] - SnapshotTable[[#This Row],[SP Book Price]], "")</f>
        <v/>
      </c>
      <c r="CC166" s="19" t="str">
        <f>IF(SnapshotTable[[#This Row],[SP Is Booked]],SnapshotTable[[#This Row],[SP Exp Date]]-MAX(SnapshotTable[[#This Row],[SP Book Date]], SnapshotTable[[#This Row],[SP Fill Date]]),"")</f>
        <v/>
      </c>
      <c r="CD166" s="7" t="str">
        <f>IF(SnapshotTable[[#This Row],[SP Is Booked]], SnapshotTable[[#This Row],[SP Book Price]]/SnapshotTable[[#This Row],[SP Strike Price]], "")</f>
        <v/>
      </c>
      <c r="CE166" s="7" t="str">
        <f>IF(ISNUMBER(SnapshotTable[[#This Row],[SP ROO Term]]),SnapshotTable[[#This Row],[SP ROO Term]]*(365/SnapshotTable[[#This Row],[SP Term]]),"")</f>
        <v/>
      </c>
      <c r="CF166" s="236">
        <f>SnapshotTable[[#This Row],[LP Strike Price]] * SnapshotTable[[#This Row],[LP Qty]] * 100</f>
        <v>0</v>
      </c>
      <c r="CG166" s="31" t="e">
        <f>IF(ISNUMBER(SnapshotTable[[#This Row],[SP Premium]]), (SnapshotTable[[#This Row],[SP Qty]] * SnapshotTable[[#This Row],[SP Strike Price]]* 100) - SnapshotTable[[#This Row],[LP Protection]], 0)</f>
        <v>#VALUE!</v>
      </c>
      <c r="CH166" s="7" t="str">
        <f>IF(ISNUMBER(SnapshotTable[[#This Row],[SP Break Even]]),-1 * (SnapshotTable[[#This Row],[SP Break Even]] - SnapshotTable[[#This Row],[Last Price]]) / SnapshotTable[[#This Row],[Last Price]], "")</f>
        <v/>
      </c>
      <c r="CI166" s="31">
        <f>IF(AND(ISNUMBER((SnapshotTable[[#This Row],[SP Potential Spend]])), SnapshotTable[[#This Row],[SP Strike Price]] &gt; SnapshotTable[[#This Row],[Last Price]], SnapshotTable[[#This Row],[SP Is Filled]]), SnapshotTable[[#This Row],[SP Potential Spend]] -  SnapshotTable[[#This Row],[LP Max Value]], 0)</f>
        <v>0</v>
      </c>
      <c r="CJ166" s="244"/>
      <c r="CK166" s="31" t="str">
        <f>IF(ISNUMBER(SnapshotTable[[#This Row],[SP Potential Spend]]),IF(ISNUMBER(SnapshotTable[[#This Row],[SP POW]]), SnapshotTable[[#This Row],[SP POW]] * SnapshotTable[[#This Row],[SP Potential Spend]], SnapshotTable[[#This Row],[SP Potential Spend]]), "")</f>
        <v/>
      </c>
      <c r="CL166" s="164" t="e">
        <f>IF(NOT(SnapshotTable[[#This Row],[SP Is Filled]]),(SnapshotTable[[#This Row],[SP Qty]] * SnapshotTable[[#This Row],[SP Strike Price]] * 100) - SnapshotTable[[#This Row],[LP Max Value]],"")</f>
        <v>#VALUE!</v>
      </c>
      <c r="CM166" s="31" t="str">
        <f>IF(SnapshotTable[[#This Row],[SP Actual Spend]]&lt;&gt;0, ((SnapshotTable[[#This Row],[SP Strike Price]]-SnapshotTable[[#This Row],[Last Price]]) *(SnapshotTable[[#This Row],[SP Qty]]*100) - SnapshotTable[[#This Row],[SP Premium]]) * - 1, "")</f>
        <v/>
      </c>
      <c r="CN166" s="154"/>
      <c r="CO166" s="369"/>
      <c r="CP166" s="4" t="str">
        <f>IF(SnapshotTable[[#This Row],[SP Is Filled]], btc_max_buyback_amount(SnapshotTable[[#This Row],[SP Fill Date]],SnapshotTable[[#This Row],[SP Exp Date]], SnapshotTable[[#This Row],[SP Book Price]]),"")</f>
        <v/>
      </c>
      <c r="CQ166" s="78"/>
      <c r="CR16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6" s="155" t="str">
        <f>IF(SnapshotTable[[#This Row],[SP Is Filled]], btc_next_cutoff_date(SnapshotTable[[#This Row],[SP Fill Date]],SnapshotTable[[#This Row],[SP Exp Date]]),"")</f>
        <v/>
      </c>
      <c r="CT166" s="235" t="str" cm="1">
        <f t="array" ref="CT166">IF(SnapshotTable[[#This Row],[SP Is Filled]], btc_should_buy_back(SnapshotTable[[#This Row],[SP Fill Date]], SnapshotTable[[#This Row],[SP Exp Date]], SnapshotTable[[#This Row],[SP Book Price]], SnapshotTable[[#This Row],[SP Current Ask]], MockToday, SnapshotTable[[#This Row],[SP Buyback Override]]),"")</f>
        <v/>
      </c>
      <c r="CU166" s="156"/>
      <c r="CV166" s="235"/>
      <c r="CW166" s="378" t="str">
        <f>IF(ISNUMBER( SnapshotTable[[#This Row],[SP Term]]), SnapshotTable[[#This Row],[SP Exp Date]] - MockToday,"")</f>
        <v/>
      </c>
      <c r="CX166" s="31" t="str">
        <f>IF(SnapshotTable[[#This Row],[SP Is Filled]],SnapshotTable[[#This Row],[SP Buyback Price to Use]] * 100 * SnapshotTable[[#This Row],[SP Qty]], "")</f>
        <v/>
      </c>
      <c r="CY166" s="4" t="str">
        <f>IF(ISNUMBER(SnapshotTable[[#This Row],[SP Strike Price]]), SnapshotTable[[#This Row],[SP Strike Price]] * (1 - SP_MaxLoss_StrikePct), "")</f>
        <v/>
      </c>
      <c r="CZ166" s="31" t="str">
        <f>IF(ISNUMBER(SnapshotTable[[#This Row],[SP Strike  Stop Per Share]]),SnapshotTable[[#This Row],[SP Premium]] - ((SnapshotTable[[#This Row],[SP Strike Price]]-SnapshotTable[[#This Row],[SP Strike  Stop Per Share]]) *(SnapshotTable[[#This Row],[SP Qty]] * 100)),"")</f>
        <v/>
      </c>
      <c r="DA166" s="4" t="str">
        <f>IF(AND(ISNUMBER(SnapshotTable[[#This Row],[SP Premium]]),SnapshotTable[[#This Row],[SP Premium]]&gt;0), SnapshotTable[[#This Row],[SP Book Price]] * (1 + SP_MaxLoss_OptionPct), "")</f>
        <v/>
      </c>
      <c r="DB166" s="31" t="str">
        <f>IF(ISNUMBER(SnapshotTable[[#This Row],[SP Option  Stop Contract]]),(SnapshotTable[[#This Row],[SP Option  Stop Contract]] *(SnapshotTable[[#This Row],[SP Qty]] * 100) - SnapshotTable[[#This Row],[SP Premium]]),"")</f>
        <v/>
      </c>
      <c r="DC166" s="4"/>
      <c r="DD166" s="4"/>
      <c r="DE166" s="4" t="str">
        <f>IF(AND(SnapshotTable[[#This Row],[SP Qty]]&gt;0, SnapshotTable[[#This Row],[SP Stop To Use]]&gt;0),SnapshotTable[[#This Row],[SP Premium]] - ( SnapshotTable[[#This Row],[SP Qty]] * SnapshotTable[[#This Row],[SP Stop To Use]] * 100), "")</f>
        <v/>
      </c>
      <c r="DF166" s="31" t="str">
        <f>IF(AND(SnapshotTable[[#This Row],[SP Qty]]&gt;0,SnapshotTable[[#This Row],[SP Current Ask]]&gt;0), SnapshotTable[[#This Row],[SP Qty]] * SnapshotTable[[#This Row],[SP Current Ask]] * -100, "")</f>
        <v/>
      </c>
      <c r="DG166" s="31" t="str">
        <f>IF(ISNUMBER((SnapshotTable[[#This Row],[SP Total Value]])), SnapshotTable[[#This Row],[SP Premium]] + SnapshotTable[[#This Row],[SP Total Value]], "")</f>
        <v/>
      </c>
      <c r="DH166" s="294" t="str">
        <f>IF(ISNUMBER((SnapshotTable[[#This Row],[SP Total Value]])), SnapshotTable[[#This Row],[SP Gain Loss]] / SnapshotTable[[#This Row],[SP Premium]], "")</f>
        <v/>
      </c>
      <c r="DI166" s="406"/>
      <c r="DJ166" s="138"/>
      <c r="DK166" s="148"/>
      <c r="DL166" s="147"/>
      <c r="DM166" s="147"/>
      <c r="DO166" s="31">
        <f>IF(SnapshotTable[[#This Row],[LC Symbol Count]]=1, SnapshotTable[[#This Row],[LC Qty]] * SnapshotTable[[#This Row],[LC Book Price]] * 100, 0)</f>
        <v>0</v>
      </c>
      <c r="DP166" s="163" t="str">
        <f>IF(AND(SnapshotTable[[#This Row],[LC Exp Date]]&gt;0, SnapshotTable[[#This Row],[LC Strike Price]]&gt;0,SnapshotTable[[#This Row],[LC Qty]]&gt;0,SnapshotTable[[#This Row],[LC Book Date]]&gt;0,SnapshotTable[[#This Row],[LC Book Price]]&gt;0,SnapshotTable[[#This Row],[LC Fill Date]]=0),"Y","")</f>
        <v/>
      </c>
      <c r="DQ166" s="386" t="str">
        <f>IF(SnapshotTable[[#This Row],[LC Premium]] &gt; 0,SnapshotTable[[#This Row],[LC Exp Date]]-MAX(SnapshotTable[[#This Row],[LC Book Date]], SnapshotTable[[#This Row],[LC Fill Date]]),"")</f>
        <v/>
      </c>
      <c r="DR166" s="386" t="str">
        <f>IF(ISNUMBER(SnapshotTable[[#This Row],[LC Term]]), SnapshotTable[[#This Row],[LC Exp Date]] - MockToday, "")</f>
        <v/>
      </c>
      <c r="DS166" s="234" t="str">
        <f>IF(SnapshotTable[[#This Row],[LC Premium]]&gt;0,SnapshotTable[[#This Row],[LC Strike Price]] + SnapshotTable[[#This Row],[LC Book Price]],"")</f>
        <v/>
      </c>
      <c r="DU166" s="9" t="str">
        <f>IF(AND(SnapshotTable[[#This Row],[LC Symbol Count]]&gt;0, SnapshotTable[[#This Row],[LC Contract Value]]&gt;0), SnapshotTable[[#This Row],[LC Contract Value]] * SnapshotTable[[#This Row],[LC Qty]] * 100, "")</f>
        <v/>
      </c>
      <c r="DV166" s="9" t="str">
        <f>IF(AND(ISNUMBER(SnapshotTable[[#This Row],[LC Total Value]]), SnapshotTable[[#This Row],[LC Not Filled]]&lt;&gt;"Y"), SnapshotTable[[#This Row],[LC Total Value]]-SnapshotTable[[#This Row],[LC Premium]],"")</f>
        <v/>
      </c>
      <c r="DW166" s="240" t="str">
        <f>IF(ISNUMBER(SnapshotTable[[#This Row],[LC Actual Gain Loss]]), SnapshotTable[[#This Row],[LC Actual Gain Loss]] / SnapshotTable[[#This Row],[LC Premium]],"")</f>
        <v/>
      </c>
      <c r="DX166" s="284" t="str">
        <f>IF(ISNUMBER(SnapshotTable[[#This Row],[LC Book Price]]),SnapshotTable[[#This Row],[LC Book Price]] * 1.5,"")</f>
        <v/>
      </c>
      <c r="DY166" s="265" t="str">
        <f>IF(SnapshotTable[[#This Row],[LC Premium]]&gt;0, SnapshotTable[[#This Row],[LC Next Target]] * SnapshotTable[[#This Row],[LC Qty]] * 100,"")</f>
        <v/>
      </c>
      <c r="DZ166" s="265" t="str">
        <f>IF(ISNUMBER(SnapshotTable[[#This Row],[LC Target Gross]]), SnapshotTable[[#This Row],[LC Target Gross]] - SnapshotTable[[#This Row],[LC Premium]], "")</f>
        <v/>
      </c>
      <c r="EA166" s="305" t="str">
        <f>IF(ISNUMBER(SnapshotTable[[#This Row],[LC Target Gain Loss]]), SnapshotTable[[#This Row],[LC Target Gain Loss]]/SnapshotTable[[#This Row],[LC Premium]], "")</f>
        <v/>
      </c>
      <c r="EB166" s="262"/>
      <c r="EC166" s="283" t="str">
        <f>IF(SnapshotTable[[#This Row],[LC Premium]]&gt;0, SnapshotTable[[#This Row],[LC Book Price]] * (1 - LC_StopLoss_Pct),"")</f>
        <v/>
      </c>
      <c r="ED166" s="284"/>
      <c r="EE166" s="283" t="str">
        <f>IF(ISNUMBER(SnapshotTable[[#This Row],[LC Contract Value]]),IF(ISNUMBER(SnapshotTable[[#This Row],[LC Stop Loss Override]]), SnapshotTable[[#This Row],[LC Stop Loss Override]],SnapshotTable[[#This Row],[LC Stop Loss Calc Target]]),"")</f>
        <v/>
      </c>
      <c r="EF166" s="31" t="str">
        <f>IF(ISNUMBER(SnapshotTable[[#This Row],[LC Stop  To Use]]), (SnapshotTable[[#This Row],[LC Stop  To Use]] * SnapshotTable[[#This Row],[LC Qty]] * 100),"")</f>
        <v/>
      </c>
      <c r="EG166" s="9" t="str">
        <f>IF(ISNUMBER(SnapshotTable[[#This Row],[LC Total Value]]),SnapshotTable[[#This Row],[LC Stop Loss Amount]] - SnapshotTable[[#This Row],[LC Premium]],"")</f>
        <v/>
      </c>
      <c r="EH166" s="9">
        <f>IF(ISNUMBER(SnapshotTable[[#This Row],[LC Premium]]), SnapshotTable[[#This Row],[LC Qty]] * 100 * SnapshotTable[[#This Row],[LC Strike Price]], "")</f>
        <v>0</v>
      </c>
      <c r="EI166" s="240" t="str">
        <f>IF(AND(ISNUMBER(SnapshotTable[[#This Row],[LC Total Value]]),SnapshotTable[[#This Row],[LC Total Value]]&gt;0),SnapshotTable[[#This Row],[LC Stop Gain Loss]]  / SnapshotTable[[#This Row],[LC Premium]],"")</f>
        <v/>
      </c>
      <c r="EJ166" s="35">
        <f>IF(ISNUMBER(SnapshotTable[[#This Row],[Equity Shares]]),TRUNC(SnapshotTable[[#This Row],[Equity Shares]] / 100),0) + SnapshotTable[[#This Row],[LC Qty]]</f>
        <v>0</v>
      </c>
      <c r="EK166" s="147"/>
      <c r="EL166" s="138" t="str">
        <f>IF(SnapshotTable[[#This Row],[SC Exp Date]]&lt;&gt;"",TRUNC(SnapshotTable[[#This Row],[Last Price]]),"")</f>
        <v/>
      </c>
      <c r="EM166" s="148"/>
      <c r="EN166" s="147"/>
      <c r="EO166" s="147"/>
      <c r="EP166" s="138"/>
      <c r="EQ166" s="419" t="b">
        <f>AND(ISNUMBER(SnapshotTable[[#This Row],[SC Exp Date]]), ISNUMBER(SnapshotTable[[#This Row],[SC Strike Price]]), ISNUMBER(SnapshotTable[[#This Row],[SC Qty]]), ISNUMBER(SnapshotTable[[#This Row],[SC Book Date]]), ISNUMBER(SnapshotTable[[#This Row],[SC Book Price]]))</f>
        <v>0</v>
      </c>
      <c r="ER166" s="419" t="b">
        <f>AND(SnapshotTable[[#This Row],[SC Is Booked]], NOT(ISBLANK(SnapshotTable[[#This Row],[SC Fill Date]])))</f>
        <v>0</v>
      </c>
      <c r="ES166" s="370"/>
      <c r="ET166" s="34" t="str">
        <f>IF(AND(ISNUMBER(SnapshotTable[[#This Row],[SC Exp Date]]), ISNUMBER(SnapshotTable[[#This Row],[SC Book Date]])), SnapshotTable[[#This Row],[SC Exp Date]] - MAX(SnapshotTable[[#This Row],[SC Book Date]], SnapshotTable[[#This Row],[SC Fill Date]]) + 1, "")</f>
        <v/>
      </c>
      <c r="EU166" s="34" t="str">
        <f>IF(ISNUMBER(SnapshotTable[[#This Row],[SC Term]]), SnapshotTable[[#This Row],[SC Exp Date]]- MockToday, "")</f>
        <v/>
      </c>
      <c r="EV166" s="31">
        <f>IF(SnapshotTable[[#This Row],[SC Is Booked]], SnapshotTable[[#This Row],[SC Qty]] * SnapshotTable[[#This Row],[SC Book Price]] * 100, 0)</f>
        <v>0</v>
      </c>
      <c r="EW166" s="4" t="str">
        <f>IF(AND(ISNUMBER(SnapshotTable[[#This Row],[Last Price]]), ISNUMBER( SnapshotTable[[#This Row],[SC Book Price]])), SnapshotTable[[#This Row],[Last Price]] - SnapshotTable[[#This Row],[SC Book Price]],"")</f>
        <v/>
      </c>
      <c r="EX166" s="234" t="str">
        <f>IF(SnapshotTable[[#This Row],[SC Is Booked]],IF(SnapshotTable[[#This Row],[SC Intrinsic Value]] &gt; 0, SnapshotTable[[#This Row],[SC Strike Price]], SnapshotTable[[#This Row],[Last Price]]), "")</f>
        <v/>
      </c>
      <c r="EY166" s="4">
        <f>IF(SnapshotTable[[#This Row],[SC Is Booked]], (MinimumPremiumRequired * SnapshotTable[[#This Row],[SC Basis]] * SnapshotTable[[#This Row],[SC Term]]), 0)</f>
        <v>0</v>
      </c>
      <c r="EZ166" s="283"/>
      <c r="FA166" s="218"/>
      <c r="FB166" s="370"/>
      <c r="FC166" s="4">
        <f>IF(SnapshotTable[[#This Row],[SC Is Filled]], btc_max_buyback_amount(SnapshotTable[[#This Row],[SC Fill Date]],SnapshotTable[[#This Row],[SC Exp Date]], SnapshotTable[[#This Row],[SC Book Price]]),0)</f>
        <v>0</v>
      </c>
      <c r="FD166" s="5"/>
      <c r="FE166" s="144" t="str">
        <f>IF(SnapshotTable[[#This Row],[SC Is Filled]], btc_next_cutoff_date(SnapshotTable[[#This Row],[SC Fill Date]],SnapshotTable[[#This Row],[SC Exp Date]]),"")</f>
        <v/>
      </c>
      <c r="FF166" s="4" t="str" cm="1">
        <f t="array" ref="FF166">IF(SnapshotTable[[#This Row],[SC Is Filled]], btc_should_buy_back(SnapshotTable[[#This Row],[SC Fill Date]], SnapshotTable[[#This Row],[SC Exp Date]], SnapshotTable[[#This Row],[SC Book Price]], SnapshotTable[[#This Row],[SC Current Ask]], MockToday, SnapshotTable[[#This Row],[SC Buyback Override]]),"")</f>
        <v/>
      </c>
      <c r="FG166" s="4">
        <f>IF(SnapshotTable[[#This Row],[SC Is Filled]], MAX(0,SnapshotTable[[#This Row],[Last Price]]  - SnapshotTable[[#This Row],[SC Strike Price]]), 0)</f>
        <v>0</v>
      </c>
      <c r="FH166" s="382">
        <f>IF(SnapshotTable[[#This Row],[SC Is Filled]], IF(ISNUMBER(SnapshotTable[[#This Row],[SC Current Ask]]), SnapshotTable[[#This Row],[SC Current Ask]], SnapshotTable[[#This Row],[SC Book Price]]) - SnapshotTable[[#This Row],[SC Intrinsic Value]], 0)</f>
        <v>0</v>
      </c>
      <c r="FI166" s="143"/>
      <c r="FJ166" s="32" t="str">
        <f>IF(SnapshotTable[[#This Row],[SC Is Filled]],100 * SnapshotTable[[#This Row],[SC Qty]] * IF(ISNUMBER(SnapshotTable[[#This Row],[SC Buyback Override]]), SnapshotTable[[#This Row],[SC Buyback Override]], SnapshotTable[[#This Row],[SC Current Ask]]), "")</f>
        <v/>
      </c>
      <c r="FK166" s="250" t="str">
        <f>IF(SnapshotTable[[#This Row],[SC Time Val]]&gt;0, SnapshotTable[[#This Row],[SC Time Val]] / SnapshotTable[[#This Row],[Last Price]],"")</f>
        <v/>
      </c>
      <c r="FL166" s="302" t="str">
        <f>IF(SnapshotTable[[#This Row],[SC Is Booked]], ((SnapshotTable[[#This Row],[Last Price]] -SnapshotTable[[#This Row],[SC Strike Price]]) / SnapshotTable[[#This Row],[Last Price]]) * -1, "")</f>
        <v/>
      </c>
      <c r="FM166" s="157" t="str">
        <f>IF(SnapshotTable[[#This Row],[SC Is Booked]],  (SnapshotTable[[#This Row],[SC Qty]] * 100 * SnapshotTable[[#This Row],[SC Strike Price]]) - SnapshotTable[[#This Row],[SC Current Ask]], "")</f>
        <v/>
      </c>
      <c r="FN166"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6" s="157" t="str">
        <f>IF(AND(ISNUMBER(SnapshotTable[[#This Row],[SC Exercise Gross]]), ISNUMBER(SnapshotTable[[#This Row],[Equity Basis Per Share]] )), SnapshotTable[[#This Row],[SC Exercise Gross]] - SnapshotTable[[#This Row],[Equity Basis Total]] +  SnapshotTable[[#This Row],[SC Premium]], "")</f>
        <v/>
      </c>
      <c r="FP166" s="5" t="str">
        <f>IF(ISNUMBER(SnapshotTable[[#This Row],[SC Exercise Gross]]), (SnapshotTable[[#This Row],[SC Exercise Gross]]) / (SnapshotTable[[#This Row],[SC Qty]] * 100), "")</f>
        <v/>
      </c>
      <c r="FQ166" s="27" t="str">
        <f>IF(SnapshotTable[[#This Row],[SC Is Booked]],SnapshotTable[[#This Row],[SC Time Val]] /SnapshotTable[[#This Row],[SC Basis]], "")</f>
        <v/>
      </c>
      <c r="FR166" s="27" t="str" cm="1">
        <f t="array" ref="FR166">IF(AND(ISNUMBER(SnapshotTable[[#This Row],[SC Term]]),ISNUMBER(SnapshotTable[[#This Row],[SC Simple ROO]])), EllmanAnnualize(SnapshotTable[[#This Row],[SC DTE]], SnapshotTable[[#This Row],[SC Simple ROO]] ),"")</f>
        <v/>
      </c>
      <c r="FS166" s="4" t="e">
        <f>IF(SnapshotTable[[#This Row],[SC Strike Price]] &gt; SnapshotTable[[#This Row],[Last Price]], SnapshotTable[[#This Row],[SC Strike Price]] - SnapshotTable[[#This Row],[Last Price]],0)</f>
        <v>#VALUE!</v>
      </c>
      <c r="FT166" s="27" t="e">
        <f>IF(AND(ISNUMBER(SnapshotTable[[#This Row],[SC Upside Potential]]), SnapshotTable[[#This Row],[SC Upside Potential]] &gt; 0),(SnapshotTable[[#This Row],[SC Upside Potential]]/ SnapshotTable[[#This Row],[ACB]]),"")</f>
        <v>#VALUE!</v>
      </c>
      <c r="FU166" s="333" t="str">
        <f>IF(SnapshotTable[[#This Row],[SC Intrinsic Value]] &gt; 0,SnapshotTable[[#This Row],[SC Intrinsic Value]],"")</f>
        <v/>
      </c>
      <c r="FV166" s="27" t="str">
        <f>IF(AND( ISNUMBER( SnapshotTable[[#This Row],[ACB]]),ISNUMBER(SnapshotTable[[#This Row],[SC Downside Protect]])),SnapshotTable[[#This Row],[SC Downside Protect]] / SnapshotTable[[#This Row],[ACB]],"")</f>
        <v/>
      </c>
      <c r="FW166" s="236" t="str">
        <f>IF(AND(ISNUMBER(SnapshotTable[[#This Row],[SC Simple ROO]]),SnapshotTable[[#This Row],[SC Simple ROO]] &gt; 0), SnapshotTable[[#This Row],[SC Premium]] + (SnapshotTable[[#This Row],[SC Qty]] * SnapshotTable[[#This Row],[SC Upside Potential]]), "")</f>
        <v/>
      </c>
      <c r="FX166" s="302" t="str" cm="1">
        <f t="array" ref="FX166">IF(ISNUMBER(SnapshotTable[[#This Row],[SC Max Dollars]]), annualize(SnapshotTable[[#This Row],[SC Term]],(SnapshotTable[[#This Row],[SC Max Dollars]]/SnapshotTable[[#This Row],[SC Basis]])),"")</f>
        <v/>
      </c>
      <c r="FY166" s="236" t="str">
        <f>IF(AND(SnapshotTable[[#This Row],[SC Qty]]&gt;0,SnapshotTable[[#This Row],[SC Current Ask]]&gt;0), SnapshotTable[[#This Row],[SC Qty]] * SnapshotTable[[#This Row],[SC Current Ask]] * -100, "")</f>
        <v/>
      </c>
      <c r="FZ166" s="31" t="str">
        <f>IF(ISNUMBER((SnapshotTable[[#This Row],[SC Current Value]])), SnapshotTable[[#This Row],[SC Premium]] + SnapshotTable[[#This Row],[SC Current Value]], "")</f>
        <v/>
      </c>
      <c r="GA166" s="294" t="str">
        <f>IFERROR( IF(ISNUMBER((SnapshotTable[[#This Row],[SC Current Value]])), SnapshotTable[[#This Row],[SC Gain Loss]] / SnapshotTable[[#This Row],[SC Premium]], ""), "")</f>
        <v/>
      </c>
      <c r="GB166" s="42">
        <f>SnapshotTable[[#This Row],[Equity Shares]] * SaleSharesToConsiderPercentage</f>
        <v>0</v>
      </c>
      <c r="GC166" s="40">
        <f>SnapshotTable[[#This Row],[Long Term Target]] * SellingPriceToConsiderBasedOnTargetPercentage</f>
        <v>71.905499999999989</v>
      </c>
      <c r="GD166" s="40">
        <f>SnapshotTable[[#This Row],[Last Price]] * (1+ SellingPriceToConsiderBasedOnTargetPercentage)</f>
        <v>178.67849999999999</v>
      </c>
      <c r="GE166" s="41"/>
      <c r="GF166" s="40"/>
      <c r="GG166" s="31">
        <f>SnapshotTable[[#This Row],[Booked Sale Shares]] * SnapshotTable[[#This Row],[Booked Sale Price]]</f>
        <v>0</v>
      </c>
      <c r="GH166" s="31" t="str">
        <f>IF(SnapshotTable[[#This Row],[Equity Basis Total]] &gt; 0, SnapshotTable[[#This Row],[Equity Basis Per Share]] * SnapshotTable[[#This Row],[Booked Sale Shares]], "")</f>
        <v/>
      </c>
      <c r="GI166" s="31">
        <f>IF(SnapshotTable[[#This Row],[Sale Proceeds]]&gt;0, SnapshotTable[[#This Row],[Sale Proceeds]] - SnapshotTable[[#This Row],[Sale Basis]], 0)</f>
        <v>0</v>
      </c>
      <c r="GJ166" s="158" t="str">
        <f>IF(SnapshotTable[[#This Row],[Sale G/L]]&gt;0, SnapshotTable[[#This Row],[Sale G/L]] / SnapshotTable[[#This Row],[Sale Basis]], IF(ISNUMBER(SnapshotTable[[#This Row],[SC Exercise P&amp;L (TAX)]]), SnapshotTable[[#This Row],[SC Exercise P&amp;L (TAX)]] / SnapshotTable[[#This Row],[SC Basis]], ""))</f>
        <v/>
      </c>
      <c r="GK166" s="27"/>
      <c r="GL166" s="159" t="str">
        <f>IF(AND(SnapshotTable[[#This Row],[LP Exp Date]]&gt;0,SnapshotTable[[#This Row],[LP Strike Price]]&gt;0), [1]!ToOptionSymbol(SnapshotTable[[#This Row],[Symbol]], SnapshotTable[[#This Row],[LP Strike Price]],SnapshotTable[[#This Row],[LP Exp Date]],1), "")</f>
        <v/>
      </c>
      <c r="GM166" s="30" t="str">
        <f>IF(LEN(SnapshotTable[[#This Row],[LP Symbol]])&gt;0, 1, "")</f>
        <v/>
      </c>
      <c r="GN166" s="43" t="str">
        <f>IF(AND(SnapshotTable[[#This Row],[SP Exp Date]]&gt;0,SnapshotTable[[#This Row],[SP Strike Price]]&gt;0), [1]!ToOptionSymbol(SnapshotTable[[#This Row],[Symbol]], SnapshotTable[[#This Row],[SP Strike Price]],SnapshotTable[[#This Row],[SP Exp Date]],1), "")</f>
        <v/>
      </c>
      <c r="GO166" s="30" t="str">
        <f>IF(LEN(SnapshotTable[[#This Row],[SP Symbol]])&gt;0, 1, "")</f>
        <v/>
      </c>
      <c r="GP166" s="159" t="str">
        <f>IF(AND(SnapshotTable[[#This Row],[LC Exp Date]]&gt;0,SnapshotTable[[#This Row],[LC Strike Price]]&gt;0), [1]!ToOptionSymbol(SnapshotTable[[#This Row],[Symbol]], SnapshotTable[[#This Row],[LC Strike Price]],SnapshotTable[[#This Row],[LC Exp Date]],0), "")</f>
        <v/>
      </c>
      <c r="GQ166" s="160" t="str">
        <f>IF(LEN(SnapshotTable[[#This Row],[LC Symbol]])&gt;0, 1, "")</f>
        <v/>
      </c>
      <c r="GR166" s="159" t="str">
        <f>IF(AND(SnapshotTable[[#This Row],[SC Exp Date]]&gt;0,SnapshotTable[[#This Row],[SC Strike Price]]&gt;0), [1]!ToOptionSymbol(SnapshotTable[[#This Row],[Symbol]], SnapshotTable[[#This Row],[SC Strike Price]],SnapshotTable[[#This Row],[SC Exp Date]],0), "")</f>
        <v/>
      </c>
      <c r="GS166" s="160" t="str">
        <f>IF(LEN(SnapshotTable[[#This Row],[SC Symbol]])&gt;0, 1, "")</f>
        <v/>
      </c>
      <c r="GT166" s="161" t="str">
        <f>IF(COUNT(SnapshotTable[[#This Row],[LP Symbol Count]],SnapshotTable[[#This Row],[SP Symbol Count]],SnapshotTable[[#This Row],[LC Symbol Count]],SnapshotTable[[#This Row],[SC Symbol Count]])&gt;0, "Y", "")</f>
        <v/>
      </c>
      <c r="GU16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6" s="231" t="e">
        <f>MAX(SnapshotTable[[#This Row],[Equity Basis Total]],SnapshotTable[[#This Row],[Equity Value]]) + (SnapshotTable[[#This Row],[SP Potential Spend]]- SnapshotTable[[#This Row],[SP Premium]] + SnapshotTable[[#This Row],[LP Premium]])+ (SnapshotTable[[#This Row],[LC Premium]] - SnapshotTable[[#This Row],[SC Premium]])</f>
        <v>#VALUE!</v>
      </c>
      <c r="GW166" s="139" t="e">
        <f>IF(AND(SnapshotTable[[#This Row],[Exposure]] &lt;&gt; 0),SnapshotTable[[#This Row],[Exposure]] / SnapshotTable[[#Totals],[Exposure]], "")</f>
        <v>#VALUE!</v>
      </c>
      <c r="HE166" s="268"/>
      <c r="HF166" s="268"/>
      <c r="HK166" s="1"/>
      <c r="HL166" s="1"/>
      <c r="HM166" s="1"/>
      <c r="HN166" s="1"/>
      <c r="HO166" s="1"/>
      <c r="HP166" s="1"/>
    </row>
    <row r="167" spans="2:224" ht="12.75" hidden="1" customHeight="1" x14ac:dyDescent="0.25">
      <c r="B167" s="12" t="s">
        <v>1267</v>
      </c>
      <c r="C167" s="422">
        <v>8.09</v>
      </c>
      <c r="D167" s="208"/>
      <c r="E167" s="39">
        <f>SnapshotTable[[#This Row],[Last Price]]*(1 -CrashDiscount)</f>
        <v>6.8765000000000001</v>
      </c>
      <c r="F167" s="325" t="s">
        <v>1217</v>
      </c>
      <c r="G167" s="325" t="s">
        <v>872</v>
      </c>
      <c r="H167" s="149"/>
      <c r="I167" s="194"/>
      <c r="J167" s="195"/>
      <c r="K167" s="196"/>
      <c r="L167" s="326"/>
      <c r="M167" s="140"/>
      <c r="N167" s="140"/>
      <c r="O167" s="140"/>
      <c r="P167" s="22">
        <v>800</v>
      </c>
      <c r="Q167" s="25">
        <v>13600</v>
      </c>
      <c r="R167" s="4">
        <f>IF(SnapshotTable[[#This Row],[Equity Basis Total]] &gt; 0, SnapshotTable[[#This Row],[Equity Basis Total]] / SnapshotTable[[#This Row],[Equity Shares]], "")</f>
        <v>17</v>
      </c>
      <c r="S167" s="269">
        <f>SnapshotTable[[#This Row],[Last Price]] * SnapshotTable[[#This Row],[Equity Shares]]</f>
        <v>6472</v>
      </c>
      <c r="T167" s="269">
        <f>SnapshotTable[[#This Row],[Equity Value]] - SnapshotTable[[#This Row],[Equity Basis Total]]</f>
        <v>-7128</v>
      </c>
      <c r="U167" s="270">
        <f>IF(SnapshotTable[[#This Row],[Equity Basis Total]] &gt; 0, SnapshotTable[[#This Row],[Equity G/L]] / SnapshotTable[[#This Row],[Equity Basis Total]], "")</f>
        <v>-0.52411764705882358</v>
      </c>
      <c r="V167" s="268">
        <v>25</v>
      </c>
      <c r="W167" s="268">
        <v>17.66</v>
      </c>
      <c r="X167" s="4">
        <f>IF(AND(ISNUMBER(SnapshotTable[[#This Row],[Equity Basis Per Share]]),ISNUMBER(SnapshotTable[[#This Row],[Equity Target]])),SnapshotTable[[#This Row],[Equity Target]]-SnapshotTable[[#This Row],[Equity Basis Per Share]],"")</f>
        <v>8</v>
      </c>
      <c r="Y167" s="4">
        <f>IF(AND(ISNUMBER(SnapshotTable[[#This Row],[Equity Basis Per Share]]),ISNUMBER(SnapshotTable[[#This Row],[Equity Stop Loss]])),SnapshotTable[[#This Row],[Equity Stop Loss]]-SnapshotTable[[#This Row],[Equity Basis Per Share]],"")</f>
        <v>0.66000000000000014</v>
      </c>
      <c r="Z167" s="275" t="str">
        <f>IFERROR( TEXT(SnapshotTable[[#This Row],[Equity Max Gain Per Share]] /ABS( SnapshotTable[[#This Row],[Equity Max Loss Per Share]]),"0.0 " ) &amp; " : 1", "")</f>
        <v>12.1  : 1</v>
      </c>
      <c r="AA167" s="31">
        <f>IF(ISNUMBER(SnapshotTable[[#This Row],[Equity Max Gain Per Share]]),SnapshotTable[[#This Row],[Equity Max Gain Per Share]] * SnapshotTable[[#This Row],[Equity Shares]],"")</f>
        <v>6400</v>
      </c>
      <c r="AB167" s="31">
        <f>IF(ISNUMBER(SnapshotTable[[#This Row],[Equity Max Loss Per Share]]),SnapshotTable[[#This Row],[Equity Max Loss Per Share]] * SnapshotTable[[#This Row],[Equity Shares]],"")</f>
        <v>528.00000000000011</v>
      </c>
      <c r="AC167" s="150"/>
      <c r="AD167" s="151"/>
      <c r="AE167" s="31">
        <f>(SnapshotTable[[#This Row],[Annual Dividend Per Share]] / 4) * SnapshotTable[[#This Row],[Equity Shares]]</f>
        <v>0</v>
      </c>
      <c r="AF167" s="31">
        <f>SnapshotTable[[#This Row],[Quarterly Div $]] * 4</f>
        <v>0</v>
      </c>
      <c r="AG167" s="7">
        <f>IF(SnapshotTable[[#This Row],[Annual Dividend Per Share]]&gt;0, SnapshotTable[[#This Row],[Annual Dividend Per Share]]  / SnapshotTable[[#This Row],[Last Price]], 0)</f>
        <v>0</v>
      </c>
      <c r="AH167" s="151"/>
      <c r="AI167" s="5"/>
      <c r="AJ167" s="138"/>
      <c r="AK167" s="152" t="str">
        <f>IF(ISNUMBER( SnapshotTable[[#This Row],[EBF Target]]),(SnapshotTable[[#This Row],[EBF Target]] - SnapshotTable[[#This Row],[Last Price]]) / SnapshotTable[[#This Row],[Last Price]], "")</f>
        <v/>
      </c>
      <c r="AL167" s="152" t="str">
        <f>IF(AND(SnapshotTable[[#This Row],[Equity Basis Total]] &gt; 0,ISNUMBER( SnapshotTable[[#This Row],[Long Term Target]])), SnapshotTable[[#This Row],[From Basis $]] / SnapshotTable[[#This Row],[Equity Basis Total]], "")</f>
        <v/>
      </c>
      <c r="AM167" s="9">
        <f>IF( AND(SnapshotTable[[#This Row],[Equity Shares]] &gt;0,ISNUMBER( SnapshotTable[[#This Row],[Long Term Target]])),(SnapshotTable[[#This Row],[Equity Shares]] * SnapshotTable[[#This Row],[Long Term Target]]) - SnapshotTable[[#This Row],[Equity Basis Total]],0)</f>
        <v>0</v>
      </c>
      <c r="AN167" s="9">
        <f>IF( AND(SnapshotTable[[#This Row],[Equity Shares]] &gt;0,ISNUMBER( SnapshotTable[[#This Row],[Long Term Target]])),(SnapshotTable[[#This Row],[Equity Shares]]*SnapshotTable[[#This Row],[Long Term Target]]) - SnapshotTable[[#This Row],[Equity Value]],0)</f>
        <v>0</v>
      </c>
      <c r="AO167" s="152" t="str">
        <f>IF(AND(ISNUMBER( SnapshotTable[[#This Row],[Long Term Target]]), ISNUMBER(SnapshotTable[[#This Row],[Last Price]])),(SnapshotTable[[#This Row],[Long Term Target]] - SnapshotTable[[#This Row],[Last Price]]) / SnapshotTable[[#This Row],[Last Price]], "")</f>
        <v/>
      </c>
      <c r="AP167" s="5"/>
      <c r="AQ167" s="38"/>
      <c r="AR167" s="5"/>
      <c r="AS167" s="38"/>
      <c r="AT167" s="146"/>
      <c r="AU167" s="187" t="str">
        <f ca="1">IF(OR(SnapshotTable[[#This Row],[LP No Fill]]="Y",SnapshotTable[[#This Row],[SP Is Filled]],SnapshotTable[[#This Row],[LC Not Filled]]="Y",SnapshotTable[[#This Row],[SC Is Filled]]),"Y","")</f>
        <v>Y</v>
      </c>
      <c r="AV167" s="219"/>
      <c r="AW167" s="225"/>
      <c r="AX167" s="220"/>
      <c r="AY167" s="219" t="str">
        <f>IF(SnapshotTable[[#This Row],[Implied Move]]&gt;0, SnapshotTable[[#This Row],[Last Price]]-SnapshotTable[[#This Row],[Implied Move]],"")</f>
        <v/>
      </c>
      <c r="AZ167" s="219" t="str">
        <f>IF(SnapshotTable[[#This Row],[Implied Move]]&gt;0, SnapshotTable[[#This Row],[Last Price]] + SnapshotTable[[#This Row],[Implied Move]],"")</f>
        <v/>
      </c>
      <c r="BA167" s="331">
        <v>13.36</v>
      </c>
      <c r="BB167" s="347"/>
      <c r="BC167"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46241</v>
      </c>
      <c r="BD167" s="351"/>
      <c r="BE167" s="5"/>
      <c r="BF167" s="14"/>
      <c r="BG167" s="13"/>
      <c r="BH167" s="13"/>
      <c r="BI167" s="5"/>
      <c r="BJ167" s="136">
        <f>IF(SnapshotTable[[#This Row],[LP Qty]] &gt; 0, SnapshotTable[[#This Row],[LP Qty]] * SnapshotTable[[#This Row],[LP Book Price]] * 100,0)</f>
        <v>0</v>
      </c>
      <c r="BK167" s="136">
        <f>IF(SnapshotTable[[#This Row],[LP Premium]] &gt; 0, SnapshotTable[[#This Row],[LP Qty]] * SnapshotTable[[#This Row],[LP Strike Price]] * 100,0)</f>
        <v>0</v>
      </c>
      <c r="BL167" s="154"/>
      <c r="BM167" s="385" t="str">
        <f>IF(SnapshotTable[[#This Row],[LP Premium]] &gt; 0,SnapshotTable[[#This Row],[LP Exp Date]]-MAX(SnapshotTable[[#This Row],[LP Book Date]], SnapshotTable[[#This Row],[LP Fill Date]]),"")</f>
        <v/>
      </c>
      <c r="BN167" s="385" t="str">
        <f>IF(ISNUMBER( SnapshotTable[[#This Row],[LP Term]]), SnapshotTable[[#This Row],[LP Exp Date]] - MockToday,"")</f>
        <v/>
      </c>
      <c r="BO167" s="163" t="str">
        <f>IF(AND(SnapshotTable[[#This Row],[LP Exp Date]]&gt;0, SnapshotTable[[#This Row],[LP Strike Price]]&gt;0,SnapshotTable[[#This Row],[LP Qty]]&gt;0,SnapshotTable[[#This Row],[LP Book Date]]&gt;0,SnapshotTable[[#This Row],[LP Book Price]]&gt;0,SnapshotTable[[#This Row],[LP Fill Date]]=0),"Y","")</f>
        <v/>
      </c>
      <c r="BP167" s="31" t="str">
        <f>IF(AND(SnapshotTable[[#This Row],[LP No Fill]]&lt;&gt;"Y",SnapshotTable[[#This Row],[LP Contract Value]]&gt;0, SnapshotTable[[#This Row],[LP Qty]]&gt;0), SnapshotTable[[#This Row],[LP Contract Value]]*SnapshotTable[[#This Row],[LP Qty]]*100,"")</f>
        <v/>
      </c>
      <c r="BQ167" s="13">
        <f ca="1">NextFridayOpex</f>
        <v>46241</v>
      </c>
      <c r="BR167" s="5">
        <f ca="1">IF(SnapshotTable[[#This Row],[SP Exp Date]]&lt;&gt;"",TRUNC(SnapshotTable[[#This Row],[Last Price]]),"")</f>
        <v>8</v>
      </c>
      <c r="BS167" s="36">
        <v>8</v>
      </c>
      <c r="BT167" s="147">
        <f ca="1">WORKDAY(MockToday, 0)</f>
        <v>46235</v>
      </c>
      <c r="BU167" s="13">
        <f ca="1">WORKDAY(MockToday, 0)</f>
        <v>46235</v>
      </c>
      <c r="BV167" s="5">
        <v>0.5</v>
      </c>
      <c r="BW167" s="419" t="b">
        <f ca="1">AND(ISNUMBER(SnapshotTable[[#This Row],[SP Exp Date]]), ISNUMBER(SnapshotTable[[#This Row],[SP Strike Price]]), ISNUMBER(SnapshotTable[[#This Row],[SP Qty]]), ISNUMBER(SnapshotTable[[#This Row],[SP Book Date]]), ISNUMBER(SnapshotTable[[#This Row],[SP Book Price]]))</f>
        <v>1</v>
      </c>
      <c r="BX167" s="419" t="b">
        <f ca="1">AND(SnapshotTable[[#This Row],[SP Is Booked]], NOT(ISBLANK(SnapshotTable[[#This Row],[SP Fill Date]])))</f>
        <v>1</v>
      </c>
      <c r="BY167" s="33">
        <f ca="1">IF(SnapshotTable[[#This Row],[SP Is Booked]], SnapshotTable[[#This Row],[SP Qty]] * SnapshotTable[[#This Row],[SP Book Price]] * 100, 0)</f>
        <v>400</v>
      </c>
      <c r="BZ167" s="369">
        <v>0.55000000000000004</v>
      </c>
      <c r="CA167" s="368">
        <f>SnapshotTable[[#This Row],[LP Qty]]</f>
        <v>0</v>
      </c>
      <c r="CB167" s="4">
        <f ca="1">IF(SnapshotTable[[#This Row],[SP Is Booked]], SnapshotTable[[#This Row],[SP Strike Price]] - SnapshotTable[[#This Row],[SP Book Price]], "")</f>
        <v>7.5</v>
      </c>
      <c r="CC167" s="19">
        <f ca="1">IF(SnapshotTable[[#This Row],[SP Is Booked]],SnapshotTable[[#This Row],[SP Exp Date]]-MAX(SnapshotTable[[#This Row],[SP Book Date]], SnapshotTable[[#This Row],[SP Fill Date]]),"")</f>
        <v>6</v>
      </c>
      <c r="CD167" s="7">
        <f ca="1">IF(SnapshotTable[[#This Row],[SP Is Booked]], SnapshotTable[[#This Row],[SP Book Price]]/SnapshotTable[[#This Row],[SP Strike Price]], "")</f>
        <v>6.25E-2</v>
      </c>
      <c r="CE167" s="7">
        <f ca="1">IF(ISNUMBER(SnapshotTable[[#This Row],[SP ROO Term]]),SnapshotTable[[#This Row],[SP ROO Term]]*(365/SnapshotTable[[#This Row],[SP Term]]),"")</f>
        <v>3.8020833333333335</v>
      </c>
      <c r="CF167" s="236">
        <f>SnapshotTable[[#This Row],[LP Strike Price]] * SnapshotTable[[#This Row],[LP Qty]] * 100</f>
        <v>0</v>
      </c>
      <c r="CG167" s="31">
        <f ca="1">IF(ISNUMBER(SnapshotTable[[#This Row],[SP Premium]]), (SnapshotTable[[#This Row],[SP Qty]] * SnapshotTable[[#This Row],[SP Strike Price]]* 100) - SnapshotTable[[#This Row],[LP Protection]], 0)</f>
        <v>6400</v>
      </c>
      <c r="CH167" s="7">
        <f ca="1">IF(ISNUMBER(SnapshotTable[[#This Row],[SP Break Even]]),-1 * (SnapshotTable[[#This Row],[SP Break Even]] - SnapshotTable[[#This Row],[Last Price]]) / SnapshotTable[[#This Row],[Last Price]], "")</f>
        <v>7.2929542645241027E-2</v>
      </c>
      <c r="CI167" s="31">
        <f ca="1">IF(AND(ISNUMBER((SnapshotTable[[#This Row],[SP Potential Spend]])), SnapshotTable[[#This Row],[SP Strike Price]] &gt; SnapshotTable[[#This Row],[Last Price]], SnapshotTable[[#This Row],[SP Is Filled]]), SnapshotTable[[#This Row],[SP Potential Spend]] -  SnapshotTable[[#This Row],[LP Max Value]], 0)</f>
        <v>0</v>
      </c>
      <c r="CJ167" s="244"/>
      <c r="CK167" s="31">
        <f ca="1">IF(ISNUMBER(SnapshotTable[[#This Row],[SP Potential Spend]]),IF(ISNUMBER(SnapshotTable[[#This Row],[SP POW]]), SnapshotTable[[#This Row],[SP POW]] * SnapshotTable[[#This Row],[SP Potential Spend]], SnapshotTable[[#This Row],[SP Potential Spend]]), "")</f>
        <v>6400</v>
      </c>
      <c r="CL167" s="164" t="str">
        <f ca="1">IF(NOT(SnapshotTable[[#This Row],[SP Is Filled]]),(SnapshotTable[[#This Row],[SP Qty]] * SnapshotTable[[#This Row],[SP Strike Price]] * 100) - SnapshotTable[[#This Row],[LP Max Value]],"")</f>
        <v/>
      </c>
      <c r="CM167" s="31" t="str">
        <f ca="1">IF(SnapshotTable[[#This Row],[SP Actual Spend]]&lt;&gt;0, ((SnapshotTable[[#This Row],[SP Strike Price]]-SnapshotTable[[#This Row],[Last Price]]) *(SnapshotTable[[#This Row],[SP Qty]]*100) - SnapshotTable[[#This Row],[SP Premium]]) * - 1, "")</f>
        <v/>
      </c>
      <c r="CN167" s="78">
        <v>1.03</v>
      </c>
      <c r="CO167" s="369">
        <v>0.55000000000000004</v>
      </c>
      <c r="CP167" s="4" t="e">
        <f ca="1">IF(SnapshotTable[[#This Row],[SP Is Filled]], btc_max_buyback_amount(SnapshotTable[[#This Row],[SP Fill Date]],SnapshotTable[[#This Row],[SP Exp Date]], SnapshotTable[[#This Row],[SP Book Price]]),"")</f>
        <v>#NAME?</v>
      </c>
      <c r="CQ167" s="78"/>
      <c r="CR167"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167" s="155" t="e">
        <f ca="1">IF(SnapshotTable[[#This Row],[SP Is Filled]], btc_next_cutoff_date(SnapshotTable[[#This Row],[SP Fill Date]],SnapshotTable[[#This Row],[SP Exp Date]]),"")</f>
        <v>#NAME?</v>
      </c>
      <c r="CT167" s="235" t="e" cm="1">
        <f t="array" aca="1" ref="CT167" ca="1">IF(SnapshotTable[[#This Row],[SP Is Filled]], btc_should_buy_back(SnapshotTable[[#This Row],[SP Fill Date]], SnapshotTable[[#This Row],[SP Exp Date]], SnapshotTable[[#This Row],[SP Book Price]], SnapshotTable[[#This Row],[SP Current Ask]], MockToday, SnapshotTable[[#This Row],[SP Buyback Override]]),"")</f>
        <v>#NAME?</v>
      </c>
      <c r="CU167" s="143">
        <v>46213</v>
      </c>
      <c r="CV167" s="235"/>
      <c r="CW167" s="378">
        <f ca="1">IF(ISNUMBER( SnapshotTable[[#This Row],[SP Term]]), SnapshotTable[[#This Row],[SP Exp Date]] - MockToday,"")</f>
        <v>6</v>
      </c>
      <c r="CX167" s="31" t="e">
        <f ca="1">IF(SnapshotTable[[#This Row],[SP Is Filled]],SnapshotTable[[#This Row],[SP Buyback Price to Use]] * 100 * SnapshotTable[[#This Row],[SP Qty]], "")</f>
        <v>#NAME?</v>
      </c>
      <c r="CY167" s="4">
        <f ca="1">IF(ISNUMBER(SnapshotTable[[#This Row],[SP Strike Price]]), SnapshotTable[[#This Row],[SP Strike Price]] * (1 - SP_MaxLoss_StrikePct), "")</f>
        <v>7.76</v>
      </c>
      <c r="CZ167" s="31">
        <f ca="1">IF(ISNUMBER(SnapshotTable[[#This Row],[SP Strike  Stop Per Share]]),SnapshotTable[[#This Row],[SP Premium]] - ((SnapshotTable[[#This Row],[SP Strike Price]]-SnapshotTable[[#This Row],[SP Strike  Stop Per Share]]) *(SnapshotTable[[#This Row],[SP Qty]] * 100)),"")</f>
        <v>207.99999999999983</v>
      </c>
      <c r="DA167" s="4">
        <f ca="1">IF(AND(ISNUMBER(SnapshotTable[[#This Row],[SP Premium]]),SnapshotTable[[#This Row],[SP Premium]]&gt;0), SnapshotTable[[#This Row],[SP Book Price]] * (1 + SP_MaxLoss_OptionPct), "")</f>
        <v>0.75</v>
      </c>
      <c r="DB167" s="31">
        <f ca="1">IF(ISNUMBER(SnapshotTable[[#This Row],[SP Option  Stop Contract]]),(SnapshotTable[[#This Row],[SP Option  Stop Contract]] *(SnapshotTable[[#This Row],[SP Qty]] * 100) - SnapshotTable[[#This Row],[SP Premium]]),"")</f>
        <v>200</v>
      </c>
      <c r="DC167" s="4"/>
      <c r="DD167" s="4"/>
      <c r="DE167" s="4" t="str">
        <f>IF(AND(SnapshotTable[[#This Row],[SP Qty]]&gt;0, SnapshotTable[[#This Row],[SP Stop To Use]]&gt;0),SnapshotTable[[#This Row],[SP Premium]] - ( SnapshotTable[[#This Row],[SP Qty]] * SnapshotTable[[#This Row],[SP Stop To Use]] * 100), "")</f>
        <v/>
      </c>
      <c r="DF167" s="31">
        <f>IF(AND(SnapshotTable[[#This Row],[SP Qty]]&gt;0,SnapshotTable[[#This Row],[SP Current Ask]]&gt;0), SnapshotTable[[#This Row],[SP Qty]] * SnapshotTable[[#This Row],[SP Current Ask]] * -100, "")</f>
        <v>-824</v>
      </c>
      <c r="DG167" s="31">
        <f ca="1">IF(ISNUMBER((SnapshotTable[[#This Row],[SP Total Value]])), SnapshotTable[[#This Row],[SP Premium]] + SnapshotTable[[#This Row],[SP Total Value]], "")</f>
        <v>-424</v>
      </c>
      <c r="DH167" s="294">
        <f ca="1">IF(ISNUMBER((SnapshotTable[[#This Row],[SP Total Value]])), SnapshotTable[[#This Row],[SP Gain Loss]] / SnapshotTable[[#This Row],[SP Premium]], "")</f>
        <v>-1.06</v>
      </c>
      <c r="DI167" s="406"/>
      <c r="DJ167" s="138"/>
      <c r="DK167" s="148"/>
      <c r="DL167" s="13"/>
      <c r="DM167" s="13"/>
      <c r="DO167" s="31">
        <f>IF(SnapshotTable[[#This Row],[LC Symbol Count]]=1, SnapshotTable[[#This Row],[LC Qty]] * SnapshotTable[[#This Row],[LC Book Price]] * 100, 0)</f>
        <v>0</v>
      </c>
      <c r="DP167" s="163" t="str">
        <f>IF(AND(SnapshotTable[[#This Row],[LC Exp Date]]&gt;0, SnapshotTable[[#This Row],[LC Strike Price]]&gt;0,SnapshotTable[[#This Row],[LC Qty]]&gt;0,SnapshotTable[[#This Row],[LC Book Date]]&gt;0,SnapshotTable[[#This Row],[LC Book Price]]&gt;0,SnapshotTable[[#This Row],[LC Fill Date]]=0),"Y","")</f>
        <v/>
      </c>
      <c r="DQ167" s="386" t="str">
        <f>IF(SnapshotTable[[#This Row],[LC Premium]] &gt; 0,SnapshotTable[[#This Row],[LC Exp Date]]-MAX(SnapshotTable[[#This Row],[LC Book Date]], SnapshotTable[[#This Row],[LC Fill Date]]),"")</f>
        <v/>
      </c>
      <c r="DR167" s="386" t="str">
        <f>IF(ISNUMBER(SnapshotTable[[#This Row],[LC Term]]), SnapshotTable[[#This Row],[LC Exp Date]] - MockToday, "")</f>
        <v/>
      </c>
      <c r="DS167" s="234" t="str">
        <f>IF(SnapshotTable[[#This Row],[LC Premium]]&gt;0,SnapshotTable[[#This Row],[LC Strike Price]] + SnapshotTable[[#This Row],[LC Book Price]],"")</f>
        <v/>
      </c>
      <c r="DU167" s="9" t="str">
        <f>IF(AND(SnapshotTable[[#This Row],[LC Symbol Count]]&gt;0, SnapshotTable[[#This Row],[LC Contract Value]]&gt;0), SnapshotTable[[#This Row],[LC Contract Value]] * SnapshotTable[[#This Row],[LC Qty]] * 100, "")</f>
        <v/>
      </c>
      <c r="DV167" s="9" t="str">
        <f>IF(AND(ISNUMBER(SnapshotTable[[#This Row],[LC Total Value]]), SnapshotTable[[#This Row],[LC Not Filled]]&lt;&gt;"Y"), SnapshotTable[[#This Row],[LC Total Value]]-SnapshotTable[[#This Row],[LC Premium]],"")</f>
        <v/>
      </c>
      <c r="DW167" s="240" t="str">
        <f>IF(ISNUMBER(SnapshotTable[[#This Row],[LC Actual Gain Loss]]), SnapshotTable[[#This Row],[LC Actual Gain Loss]] / SnapshotTable[[#This Row],[LC Premium]],"")</f>
        <v/>
      </c>
      <c r="DX167" s="284" t="str">
        <f>IF(ISNUMBER(SnapshotTable[[#This Row],[LC Book Price]]),SnapshotTable[[#This Row],[LC Book Price]] * 1.5,"")</f>
        <v/>
      </c>
      <c r="DY167" s="265" t="str">
        <f>IF(SnapshotTable[[#This Row],[LC Premium]]&gt;0, SnapshotTable[[#This Row],[LC Next Target]] * SnapshotTable[[#This Row],[LC Qty]] * 100,"")</f>
        <v/>
      </c>
      <c r="DZ167" s="265" t="str">
        <f>IF(ISNUMBER(SnapshotTable[[#This Row],[LC Target Gross]]), SnapshotTable[[#This Row],[LC Target Gross]] - SnapshotTable[[#This Row],[LC Premium]], "")</f>
        <v/>
      </c>
      <c r="EA167" s="305" t="str">
        <f>IF(ISNUMBER(SnapshotTable[[#This Row],[LC Target Gain Loss]]), SnapshotTable[[#This Row],[LC Target Gain Loss]]/SnapshotTable[[#This Row],[LC Premium]], "")</f>
        <v/>
      </c>
      <c r="EB167" s="262"/>
      <c r="EC167" s="283" t="str">
        <f>IF(SnapshotTable[[#This Row],[LC Premium]]&gt;0, SnapshotTable[[#This Row],[LC Book Price]] * (1 - LC_StopLoss_Pct),"")</f>
        <v/>
      </c>
      <c r="ED167" s="284"/>
      <c r="EE167" s="283" t="str">
        <f>IF(ISNUMBER(SnapshotTable[[#This Row],[LC Contract Value]]),IF(ISNUMBER(SnapshotTable[[#This Row],[LC Stop Loss Override]]), SnapshotTable[[#This Row],[LC Stop Loss Override]],SnapshotTable[[#This Row],[LC Stop Loss Calc Target]]),"")</f>
        <v/>
      </c>
      <c r="EF167" s="31" t="str">
        <f>IF(ISNUMBER(SnapshotTable[[#This Row],[LC Stop  To Use]]), (SnapshotTable[[#This Row],[LC Stop  To Use]] * SnapshotTable[[#This Row],[LC Qty]] * 100),"")</f>
        <v/>
      </c>
      <c r="EG167" s="9" t="str">
        <f>IF(ISNUMBER(SnapshotTable[[#This Row],[LC Total Value]]),SnapshotTable[[#This Row],[LC Stop Loss Amount]] - SnapshotTable[[#This Row],[LC Premium]],"")</f>
        <v/>
      </c>
      <c r="EH167" s="9">
        <f>IF(ISNUMBER(SnapshotTable[[#This Row],[LC Premium]]), SnapshotTable[[#This Row],[LC Qty]] * 100 * SnapshotTable[[#This Row],[LC Strike Price]], "")</f>
        <v>0</v>
      </c>
      <c r="EI167" s="240" t="str">
        <f>IF(AND(ISNUMBER(SnapshotTable[[#This Row],[LC Total Value]]),SnapshotTable[[#This Row],[LC Total Value]]&gt;0),SnapshotTable[[#This Row],[LC Stop Gain Loss]]  / SnapshotTable[[#This Row],[LC Premium]],"")</f>
        <v/>
      </c>
      <c r="EJ167" s="35">
        <f>IF(ISNUMBER(SnapshotTable[[#This Row],[Equity Shares]]),TRUNC(SnapshotTable[[#This Row],[Equity Shares]] / 100),0) + SnapshotTable[[#This Row],[LC Qty]]</f>
        <v>8</v>
      </c>
      <c r="EK167" s="147"/>
      <c r="EL167" s="138" t="str">
        <f>IF(SnapshotTable[[#This Row],[SC Exp Date]]&lt;&gt;"",TRUNC(SnapshotTable[[#This Row],[Last Price]]),"")</f>
        <v/>
      </c>
      <c r="EM167" s="148"/>
      <c r="EN167" s="147"/>
      <c r="EO167" s="147"/>
      <c r="EP167" s="138"/>
      <c r="EQ167" s="419" t="b">
        <f>AND(ISNUMBER(SnapshotTable[[#This Row],[SC Exp Date]]), ISNUMBER(SnapshotTable[[#This Row],[SC Strike Price]]), ISNUMBER(SnapshotTable[[#This Row],[SC Qty]]), ISNUMBER(SnapshotTable[[#This Row],[SC Book Date]]), ISNUMBER(SnapshotTable[[#This Row],[SC Book Price]]))</f>
        <v>0</v>
      </c>
      <c r="ER167" s="419" t="b">
        <f>AND(SnapshotTable[[#This Row],[SC Is Booked]], NOT(ISBLANK(SnapshotTable[[#This Row],[SC Fill Date]])))</f>
        <v>0</v>
      </c>
      <c r="ES167" s="370"/>
      <c r="ET167" s="34" t="str">
        <f>IF(AND(ISNUMBER(SnapshotTable[[#This Row],[SC Exp Date]]), ISNUMBER(SnapshotTable[[#This Row],[SC Book Date]])), SnapshotTable[[#This Row],[SC Exp Date]] - MAX(SnapshotTable[[#This Row],[SC Book Date]], SnapshotTable[[#This Row],[SC Fill Date]]) + 1, "")</f>
        <v/>
      </c>
      <c r="EU167" s="34" t="str">
        <f>IF(ISNUMBER(SnapshotTable[[#This Row],[SC Term]]), SnapshotTable[[#This Row],[SC Exp Date]]- MockToday, "")</f>
        <v/>
      </c>
      <c r="EV167" s="31">
        <f>IF(SnapshotTable[[#This Row],[SC Is Booked]], SnapshotTable[[#This Row],[SC Qty]] * SnapshotTable[[#This Row],[SC Book Price]] * 100, 0)</f>
        <v>0</v>
      </c>
      <c r="EW167" s="4" t="str">
        <f>IF(AND(ISNUMBER(SnapshotTable[[#This Row],[Last Price]]), ISNUMBER( SnapshotTable[[#This Row],[SC Book Price]])), SnapshotTable[[#This Row],[Last Price]] - SnapshotTable[[#This Row],[SC Book Price]],"")</f>
        <v/>
      </c>
      <c r="EX167" s="234" t="str">
        <f>IF(SnapshotTable[[#This Row],[SC Is Booked]],IF(SnapshotTable[[#This Row],[SC Intrinsic Value]] &gt; 0, SnapshotTable[[#This Row],[SC Strike Price]], SnapshotTable[[#This Row],[Last Price]]), "")</f>
        <v/>
      </c>
      <c r="EY167" s="4">
        <f>IF(SnapshotTable[[#This Row],[SC Is Booked]], (MinimumPremiumRequired * SnapshotTable[[#This Row],[SC Basis]] * SnapshotTable[[#This Row],[SC Term]]), 0)</f>
        <v>0</v>
      </c>
      <c r="EZ167" s="283"/>
      <c r="FA167" s="218"/>
      <c r="FB167" s="370"/>
      <c r="FC167" s="4">
        <f>IF(SnapshotTable[[#This Row],[SC Is Filled]], btc_max_buyback_amount(SnapshotTable[[#This Row],[SC Fill Date]],SnapshotTable[[#This Row],[SC Exp Date]], SnapshotTable[[#This Row],[SC Book Price]]),0)</f>
        <v>0</v>
      </c>
      <c r="FD167" s="5"/>
      <c r="FE167" s="144" t="str">
        <f>IF(SnapshotTable[[#This Row],[SC Is Filled]], btc_next_cutoff_date(SnapshotTable[[#This Row],[SC Fill Date]],SnapshotTable[[#This Row],[SC Exp Date]]),"")</f>
        <v/>
      </c>
      <c r="FF167" s="4" t="str" cm="1">
        <f t="array" ref="FF167">IF(SnapshotTable[[#This Row],[SC Is Filled]], btc_should_buy_back(SnapshotTable[[#This Row],[SC Fill Date]], SnapshotTable[[#This Row],[SC Exp Date]], SnapshotTable[[#This Row],[SC Book Price]], SnapshotTable[[#This Row],[SC Current Ask]], MockToday, SnapshotTable[[#This Row],[SC Buyback Override]]),"")</f>
        <v/>
      </c>
      <c r="FG167" s="4">
        <f>IF(SnapshotTable[[#This Row],[SC Is Filled]], MAX(0,SnapshotTable[[#This Row],[Last Price]]  - SnapshotTable[[#This Row],[SC Strike Price]]), 0)</f>
        <v>0</v>
      </c>
      <c r="FH167" s="382">
        <f>IF(SnapshotTable[[#This Row],[SC Is Filled]], IF(ISNUMBER(SnapshotTable[[#This Row],[SC Current Ask]]), SnapshotTable[[#This Row],[SC Current Ask]], SnapshotTable[[#This Row],[SC Book Price]]) - SnapshotTable[[#This Row],[SC Intrinsic Value]], 0)</f>
        <v>0</v>
      </c>
      <c r="FI167" s="143"/>
      <c r="FJ167" s="32" t="str">
        <f>IF(SnapshotTable[[#This Row],[SC Is Filled]],100 * SnapshotTable[[#This Row],[SC Qty]] * IF(ISNUMBER(SnapshotTable[[#This Row],[SC Buyback Override]]), SnapshotTable[[#This Row],[SC Buyback Override]], SnapshotTable[[#This Row],[SC Current Ask]]), "")</f>
        <v/>
      </c>
      <c r="FK167" s="250" t="str">
        <f>IF(SnapshotTable[[#This Row],[SC Time Val]]&gt;0, SnapshotTable[[#This Row],[SC Time Val]] / SnapshotTable[[#This Row],[Last Price]],"")</f>
        <v/>
      </c>
      <c r="FL167" s="302" t="str">
        <f>IF(SnapshotTable[[#This Row],[SC Is Booked]], ((SnapshotTable[[#This Row],[Last Price]] -SnapshotTable[[#This Row],[SC Strike Price]]) / SnapshotTable[[#This Row],[Last Price]]) * -1, "")</f>
        <v/>
      </c>
      <c r="FM167" s="157" t="str">
        <f>IF(SnapshotTable[[#This Row],[SC Is Booked]],  (SnapshotTable[[#This Row],[SC Qty]] * 100 * SnapshotTable[[#This Row],[SC Strike Price]]) - SnapshotTable[[#This Row],[SC Current Ask]], "")</f>
        <v/>
      </c>
      <c r="FN16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7" s="31" t="str">
        <f>IF(AND(ISNUMBER(SnapshotTable[[#This Row],[SC Exercise Gross]]), ISNUMBER(SnapshotTable[[#This Row],[Equity Basis Per Share]] )), SnapshotTable[[#This Row],[SC Exercise Gross]] - SnapshotTable[[#This Row],[Equity Basis Total]] +  SnapshotTable[[#This Row],[SC Premium]], "")</f>
        <v/>
      </c>
      <c r="FP167" s="5" t="str">
        <f>IF(ISNUMBER(SnapshotTable[[#This Row],[SC Exercise Gross]]), (SnapshotTable[[#This Row],[SC Exercise Gross]]) / (SnapshotTable[[#This Row],[SC Qty]] * 100), "")</f>
        <v/>
      </c>
      <c r="FQ167" s="27" t="str">
        <f>IF(SnapshotTable[[#This Row],[SC Is Booked]],SnapshotTable[[#This Row],[SC Time Val]] /SnapshotTable[[#This Row],[SC Basis]], "")</f>
        <v/>
      </c>
      <c r="FR167" s="27" t="str" cm="1">
        <f t="array" ref="FR167">IF(AND(ISNUMBER(SnapshotTable[[#This Row],[SC Term]]),ISNUMBER(SnapshotTable[[#This Row],[SC Simple ROO]])), EllmanAnnualize(SnapshotTable[[#This Row],[SC DTE]], SnapshotTable[[#This Row],[SC Simple ROO]] ),"")</f>
        <v/>
      </c>
      <c r="FS167" s="4" t="e">
        <f>IF(SnapshotTable[[#This Row],[SC Strike Price]] &gt; SnapshotTable[[#This Row],[Last Price]], SnapshotTable[[#This Row],[SC Strike Price]] - SnapshotTable[[#This Row],[Last Price]],0)</f>
        <v>#VALUE!</v>
      </c>
      <c r="FT167" s="27" t="e">
        <f>IF(AND(ISNUMBER(SnapshotTable[[#This Row],[SC Upside Potential]]), SnapshotTable[[#This Row],[SC Upside Potential]] &gt; 0),(SnapshotTable[[#This Row],[SC Upside Potential]]/ SnapshotTable[[#This Row],[ACB]]),"")</f>
        <v>#VALUE!</v>
      </c>
      <c r="FU167" s="333" t="str">
        <f>IF(SnapshotTable[[#This Row],[SC Intrinsic Value]] &gt; 0,SnapshotTable[[#This Row],[SC Intrinsic Value]],"")</f>
        <v/>
      </c>
      <c r="FV167" s="27" t="str">
        <f>IF(AND( ISNUMBER( SnapshotTable[[#This Row],[ACB]]),ISNUMBER(SnapshotTable[[#This Row],[SC Downside Protect]])),SnapshotTable[[#This Row],[SC Downside Protect]] / SnapshotTable[[#This Row],[ACB]],"")</f>
        <v/>
      </c>
      <c r="FW167" s="236" t="str">
        <f>IF(AND(ISNUMBER(SnapshotTable[[#This Row],[SC Simple ROO]]),SnapshotTable[[#This Row],[SC Simple ROO]] &gt; 0), SnapshotTable[[#This Row],[SC Premium]] + (SnapshotTable[[#This Row],[SC Qty]] * SnapshotTable[[#This Row],[SC Upside Potential]]), "")</f>
        <v/>
      </c>
      <c r="FX167" s="302" t="str" cm="1">
        <f t="array" ref="FX167">IF(ISNUMBER(SnapshotTable[[#This Row],[SC Max Dollars]]), annualize(SnapshotTable[[#This Row],[SC Term]],(SnapshotTable[[#This Row],[SC Max Dollars]]/SnapshotTable[[#This Row],[SC Basis]])),"")</f>
        <v/>
      </c>
      <c r="FY167" s="236" t="str">
        <f>IF(AND(SnapshotTable[[#This Row],[SC Qty]]&gt;0,SnapshotTable[[#This Row],[SC Current Ask]]&gt;0), SnapshotTable[[#This Row],[SC Qty]] * SnapshotTable[[#This Row],[SC Current Ask]] * -100, "")</f>
        <v/>
      </c>
      <c r="FZ167" s="31" t="str">
        <f>IF(ISNUMBER((SnapshotTable[[#This Row],[SC Current Value]])), SnapshotTable[[#This Row],[SC Premium]] + SnapshotTable[[#This Row],[SC Current Value]], "")</f>
        <v/>
      </c>
      <c r="GA167" s="294" t="str">
        <f>IFERROR( IF(ISNUMBER((SnapshotTable[[#This Row],[SC Current Value]])), SnapshotTable[[#This Row],[SC Gain Loss]] / SnapshotTable[[#This Row],[SC Premium]], ""), "")</f>
        <v/>
      </c>
      <c r="GB167" s="42">
        <f>SnapshotTable[[#This Row],[Equity Shares]] * SaleSharesToConsiderPercentage</f>
        <v>160</v>
      </c>
      <c r="GC167" s="40">
        <f>SnapshotTable[[#This Row],[Long Term Target]] * SellingPriceToConsiderBasedOnTargetPercentage</f>
        <v>0</v>
      </c>
      <c r="GD167" s="40">
        <f>SnapshotTable[[#This Row],[Last Price]] * (1+ SellingPriceToConsiderBasedOnTargetPercentage)</f>
        <v>15.775499999999999</v>
      </c>
      <c r="GE167" s="41"/>
      <c r="GF167" s="40"/>
      <c r="GG167" s="31">
        <f>SnapshotTable[[#This Row],[Booked Sale Shares]] * SnapshotTable[[#This Row],[Booked Sale Price]]</f>
        <v>0</v>
      </c>
      <c r="GH167" s="31">
        <f>IF(SnapshotTable[[#This Row],[Equity Basis Total]] &gt; 0, SnapshotTable[[#This Row],[Equity Basis Per Share]] * SnapshotTable[[#This Row],[Booked Sale Shares]], "")</f>
        <v>0</v>
      </c>
      <c r="GI167" s="31">
        <f>IF(SnapshotTable[[#This Row],[Sale Proceeds]]&gt;0, SnapshotTable[[#This Row],[Sale Proceeds]] - SnapshotTable[[#This Row],[Sale Basis]], 0)</f>
        <v>0</v>
      </c>
      <c r="GJ167" s="27" t="str">
        <f>IF(SnapshotTable[[#This Row],[Sale G/L]]&gt;0, SnapshotTable[[#This Row],[Sale G/L]] / SnapshotTable[[#This Row],[Sale Basis]], IF(ISNUMBER(SnapshotTable[[#This Row],[SC Exercise P&amp;L (TAX)]]), SnapshotTable[[#This Row],[SC Exercise P&amp;L (TAX)]] / SnapshotTable[[#This Row],[SC Basis]], ""))</f>
        <v/>
      </c>
      <c r="GK167" s="27"/>
      <c r="GL167" s="43" t="str">
        <f>IF(AND(SnapshotTable[[#This Row],[LP Exp Date]]&gt;0,SnapshotTable[[#This Row],[LP Strike Price]]&gt;0), [1]!ToOptionSymbol(SnapshotTable[[#This Row],[Symbol]], SnapshotTable[[#This Row],[LP Strike Price]],SnapshotTable[[#This Row],[LP Exp Date]],1), "")</f>
        <v/>
      </c>
      <c r="GM167" s="30" t="str">
        <f>IF(LEN(SnapshotTable[[#This Row],[LP Symbol]])&gt;0, 1, "")</f>
        <v/>
      </c>
      <c r="GN167" s="43" t="str">
        <f ca="1">IF(AND(SnapshotTable[[#This Row],[SP Exp Date]]&gt;0,SnapshotTable[[#This Row],[SP Strike Price]]&gt;0), [1]!ToOptionSymbol(SnapshotTable[[#This Row],[Symbol]], SnapshotTable[[#This Row],[SP Strike Price]],SnapshotTable[[#This Row],[SP Exp Date]],1), "")</f>
        <v>SMR260807P00008000</v>
      </c>
      <c r="GO167" s="30">
        <f ca="1">IF(LEN(SnapshotTable[[#This Row],[SP Symbol]])&gt;0, 1, "")</f>
        <v>1</v>
      </c>
      <c r="GP167" s="43" t="str">
        <f>IF(AND(SnapshotTable[[#This Row],[LC Exp Date]]&gt;0,SnapshotTable[[#This Row],[LC Strike Price]]&gt;0), [1]!ToOptionSymbol(SnapshotTable[[#This Row],[Symbol]], SnapshotTable[[#This Row],[LC Strike Price]],SnapshotTable[[#This Row],[LC Exp Date]],0), "")</f>
        <v/>
      </c>
      <c r="GQ167" s="30" t="str">
        <f>IF(LEN(SnapshotTable[[#This Row],[LC Symbol]])&gt;0, 1, "")</f>
        <v/>
      </c>
      <c r="GR167" s="43" t="str">
        <f>IF(AND(SnapshotTable[[#This Row],[SC Exp Date]]&gt;0,SnapshotTable[[#This Row],[SC Strike Price]]&gt;0), [1]!ToOptionSymbol(SnapshotTable[[#This Row],[Symbol]], SnapshotTable[[#This Row],[SC Strike Price]],SnapshotTable[[#This Row],[SC Exp Date]],0), "")</f>
        <v/>
      </c>
      <c r="GS167" s="30" t="str">
        <f>IF(LEN(SnapshotTable[[#This Row],[SC Symbol]])&gt;0, 1, "")</f>
        <v/>
      </c>
      <c r="GT167" s="29" t="str">
        <f ca="1">IF(COUNT(SnapshotTable[[#This Row],[LP Symbol Count]],SnapshotTable[[#This Row],[SP Symbol Count]],SnapshotTable[[#This Row],[LC Symbol Count]],SnapshotTable[[#This Row],[SC Symbol Count]])&gt;0, "Y", "")</f>
        <v>Y</v>
      </c>
      <c r="GU167"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v>
      </c>
      <c r="GV167" s="231">
        <f ca="1">MAX(SnapshotTable[[#This Row],[Equity Basis Total]],SnapshotTable[[#This Row],[Equity Value]]) + (SnapshotTable[[#This Row],[SP Potential Spend]]- SnapshotTable[[#This Row],[SP Premium]] + SnapshotTable[[#This Row],[LP Premium]])+ (SnapshotTable[[#This Row],[LC Premium]] - SnapshotTable[[#This Row],[SC Premium]])</f>
        <v>19600</v>
      </c>
      <c r="GW167" s="139" t="e">
        <f ca="1">IF(AND(SnapshotTable[[#This Row],[Exposure]] &lt;&gt; 0),SnapshotTable[[#This Row],[Exposure]] / SnapshotTable[[#Totals],[Exposure]], "")</f>
        <v>#VALUE!</v>
      </c>
      <c r="HE167" s="268"/>
      <c r="HF167" s="268"/>
      <c r="HK167" s="1"/>
      <c r="HL167" s="1"/>
      <c r="HM167" s="1"/>
      <c r="HN167" s="1"/>
      <c r="HO167" s="1"/>
      <c r="HP167" s="1"/>
    </row>
    <row r="168" spans="2:224" ht="12.75" hidden="1" customHeight="1" x14ac:dyDescent="0.25">
      <c r="B168" s="12" t="s">
        <v>222</v>
      </c>
      <c r="C168" s="422">
        <v>31.69</v>
      </c>
      <c r="D168" s="208"/>
      <c r="E168" s="39">
        <f>SnapshotTable[[#This Row],[Last Price]]*(1 -CrashDiscount)</f>
        <v>26.936499999999999</v>
      </c>
      <c r="F168" s="26" t="s">
        <v>221</v>
      </c>
      <c r="G168" s="26" t="s">
        <v>14</v>
      </c>
      <c r="H168" s="149"/>
      <c r="I168" s="194">
        <v>44763.322916666664</v>
      </c>
      <c r="J168" s="195">
        <v>44763.322916666664</v>
      </c>
      <c r="K168" s="196"/>
      <c r="L168" s="326"/>
      <c r="M168" s="140"/>
      <c r="N168" s="140"/>
      <c r="O168" s="140"/>
      <c r="P168" s="22"/>
      <c r="Q168" s="25"/>
      <c r="R168" s="4" t="str">
        <f>IF(SnapshotTable[[#This Row],[Equity Basis Total]] &gt; 0, SnapshotTable[[#This Row],[Equity Basis Total]] / SnapshotTable[[#This Row],[Equity Shares]], "")</f>
        <v/>
      </c>
      <c r="S168" s="269">
        <f>SnapshotTable[[#This Row],[Last Price]] * SnapshotTable[[#This Row],[Equity Shares]]</f>
        <v>0</v>
      </c>
      <c r="T168" s="269">
        <f>SnapshotTable[[#This Row],[Equity Value]] - SnapshotTable[[#This Row],[Equity Basis Total]]</f>
        <v>0</v>
      </c>
      <c r="U168" s="270" t="str">
        <f>IF(SnapshotTable[[#This Row],[Equity Basis Total]] &gt; 0, SnapshotTable[[#This Row],[Equity G/L]] / SnapshotTable[[#This Row],[Equity Basis Total]], "")</f>
        <v/>
      </c>
      <c r="V168" s="268"/>
      <c r="W168" s="268"/>
      <c r="X168" s="4" t="str">
        <f>IF(AND(ISNUMBER(SnapshotTable[[#This Row],[Equity Basis Per Share]]),ISNUMBER(SnapshotTable[[#This Row],[Equity Target]])),SnapshotTable[[#This Row],[Equity Target]]-SnapshotTable[[#This Row],[Equity Basis Per Share]],"")</f>
        <v/>
      </c>
      <c r="Y168" s="4" t="str">
        <f>IF(AND(ISNUMBER(SnapshotTable[[#This Row],[Equity Basis Per Share]]),ISNUMBER(SnapshotTable[[#This Row],[Equity Stop Loss]])),SnapshotTable[[#This Row],[Equity Stop Loss]]-SnapshotTable[[#This Row],[Equity Basis Per Share]],"")</f>
        <v/>
      </c>
      <c r="Z168" s="275" t="str">
        <f>IFERROR( TEXT(SnapshotTable[[#This Row],[Equity Max Gain Per Share]] /ABS( SnapshotTable[[#This Row],[Equity Max Loss Per Share]]),"0.0 " ) &amp; " : 1", "")</f>
        <v/>
      </c>
      <c r="AA168" s="31" t="str">
        <f>IF(ISNUMBER(SnapshotTable[[#This Row],[Equity Max Gain Per Share]]),SnapshotTable[[#This Row],[Equity Max Gain Per Share]] * SnapshotTable[[#This Row],[Equity Shares]],"")</f>
        <v/>
      </c>
      <c r="AB168" s="31" t="str">
        <f>IF(ISNUMBER(SnapshotTable[[#This Row],[Equity Max Loss Per Share]]),SnapshotTable[[#This Row],[Equity Max Loss Per Share]] * SnapshotTable[[#This Row],[Equity Shares]],"")</f>
        <v/>
      </c>
      <c r="AC168" s="150"/>
      <c r="AD168" s="151"/>
      <c r="AE168" s="31">
        <f>(SnapshotTable[[#This Row],[Annual Dividend Per Share]] / 4) * SnapshotTable[[#This Row],[Equity Shares]]</f>
        <v>0</v>
      </c>
      <c r="AF168" s="31">
        <f>SnapshotTable[[#This Row],[Quarterly Div $]] * 4</f>
        <v>0</v>
      </c>
      <c r="AG168" s="7">
        <f>IF(SnapshotTable[[#This Row],[Annual Dividend Per Share]]&gt;0, SnapshotTable[[#This Row],[Annual Dividend Per Share]]  / SnapshotTable[[#This Row],[Last Price]], 0)</f>
        <v>0</v>
      </c>
      <c r="AH168" s="151"/>
      <c r="AI168" s="5">
        <v>21</v>
      </c>
      <c r="AJ168" s="138">
        <v>21.22</v>
      </c>
      <c r="AK168" s="152">
        <f>IF(ISNUMBER( SnapshotTable[[#This Row],[EBF Target]]),(SnapshotTable[[#This Row],[EBF Target]] - SnapshotTable[[#This Row],[Last Price]]) / SnapshotTable[[#This Row],[Last Price]], "")</f>
        <v>-0.33733038813505839</v>
      </c>
      <c r="AL168" s="152" t="str">
        <f>IF(AND(SnapshotTable[[#This Row],[Equity Basis Total]] &gt; 0,ISNUMBER( SnapshotTable[[#This Row],[Long Term Target]])), SnapshotTable[[#This Row],[From Basis $]] / SnapshotTable[[#This Row],[Equity Basis Total]], "")</f>
        <v/>
      </c>
      <c r="AM168" s="9">
        <f>IF( AND(SnapshotTable[[#This Row],[Equity Shares]] &gt;0,ISNUMBER( SnapshotTable[[#This Row],[Long Term Target]])),(SnapshotTable[[#This Row],[Equity Shares]] * SnapshotTable[[#This Row],[Long Term Target]]) - SnapshotTable[[#This Row],[Equity Basis Total]],0)</f>
        <v>0</v>
      </c>
      <c r="AN168" s="9">
        <f>IF( AND(SnapshotTable[[#This Row],[Equity Shares]] &gt;0,ISNUMBER( SnapshotTable[[#This Row],[Long Term Target]])),(SnapshotTable[[#This Row],[Equity Shares]]*SnapshotTable[[#This Row],[Long Term Target]]) - SnapshotTable[[#This Row],[Equity Value]],0)</f>
        <v>0</v>
      </c>
      <c r="AO168" s="152">
        <f>IF(AND(ISNUMBER( SnapshotTable[[#This Row],[Long Term Target]]), ISNUMBER(SnapshotTable[[#This Row],[Last Price]])),(SnapshotTable[[#This Row],[Long Term Target]] - SnapshotTable[[#This Row],[Last Price]]) / SnapshotTable[[#This Row],[Last Price]], "")</f>
        <v>-0.33038813505837811</v>
      </c>
      <c r="AP168" s="5"/>
      <c r="AQ168" s="38"/>
      <c r="AR168" s="5"/>
      <c r="AS168" s="38"/>
      <c r="AT168" s="146"/>
      <c r="AU168" s="187" t="str">
        <f>IF(OR(SnapshotTable[[#This Row],[LP No Fill]]="Y",SnapshotTable[[#This Row],[SP Is Filled]],SnapshotTable[[#This Row],[LC Not Filled]]="Y",SnapshotTable[[#This Row],[SC Is Filled]]),"Y","")</f>
        <v/>
      </c>
      <c r="AV168" s="219"/>
      <c r="AW168" s="225"/>
      <c r="AX168" s="220"/>
      <c r="AY168" s="219" t="str">
        <f>IF(SnapshotTable[[#This Row],[Implied Move]]&gt;0, SnapshotTable[[#This Row],[Last Price]]-SnapshotTable[[#This Row],[Implied Move]],"")</f>
        <v/>
      </c>
      <c r="AZ168" s="219" t="str">
        <f>IF(SnapshotTable[[#This Row],[Implied Move]]&gt;0, SnapshotTable[[#This Row],[Last Price]] + SnapshotTable[[#This Row],[Implied Move]],"")</f>
        <v/>
      </c>
      <c r="BA168" s="331"/>
      <c r="BB168" s="347"/>
      <c r="BC16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8" s="351"/>
      <c r="BE168" s="5"/>
      <c r="BF168" s="14"/>
      <c r="BG168" s="13"/>
      <c r="BH168" s="13"/>
      <c r="BI168" s="5"/>
      <c r="BJ168" s="136">
        <f>IF(SnapshotTable[[#This Row],[LP Qty]] &gt; 0, SnapshotTable[[#This Row],[LP Qty]] * SnapshotTable[[#This Row],[LP Book Price]] * 100,0)</f>
        <v>0</v>
      </c>
      <c r="BK168" s="136">
        <f>IF(SnapshotTable[[#This Row],[LP Premium]] &gt; 0, SnapshotTable[[#This Row],[LP Qty]] * SnapshotTable[[#This Row],[LP Strike Price]] * 100,0)</f>
        <v>0</v>
      </c>
      <c r="BL168" s="154"/>
      <c r="BM168" s="385" t="str">
        <f>IF(SnapshotTable[[#This Row],[LP Premium]] &gt; 0,SnapshotTable[[#This Row],[LP Exp Date]]-MAX(SnapshotTable[[#This Row],[LP Book Date]], SnapshotTable[[#This Row],[LP Fill Date]]),"")</f>
        <v/>
      </c>
      <c r="BN168" s="385" t="str">
        <f>IF(ISNUMBER( SnapshotTable[[#This Row],[LP Term]]), SnapshotTable[[#This Row],[LP Exp Date]] - MockToday,"")</f>
        <v/>
      </c>
      <c r="BO168" s="163" t="str">
        <f>IF(AND(SnapshotTable[[#This Row],[LP Exp Date]]&gt;0, SnapshotTable[[#This Row],[LP Strike Price]]&gt;0,SnapshotTable[[#This Row],[LP Qty]]&gt;0,SnapshotTable[[#This Row],[LP Book Date]]&gt;0,SnapshotTable[[#This Row],[LP Book Price]]&gt;0,SnapshotTable[[#This Row],[LP Fill Date]]=0),"Y","")</f>
        <v/>
      </c>
      <c r="BP168" s="31" t="str">
        <f>IF(AND(SnapshotTable[[#This Row],[LP No Fill]]&lt;&gt;"Y",SnapshotTable[[#This Row],[LP Contract Value]]&gt;0, SnapshotTable[[#This Row],[LP Qty]]&gt;0), SnapshotTable[[#This Row],[LP Contract Value]]*SnapshotTable[[#This Row],[LP Qty]]*100,"")</f>
        <v/>
      </c>
      <c r="BQ168" s="13"/>
      <c r="BR168" s="5" t="str">
        <f>IF(SnapshotTable[[#This Row],[SP Exp Date]]&lt;&gt;"",TRUNC(SnapshotTable[[#This Row],[Last Price]]),"")</f>
        <v/>
      </c>
      <c r="BS168" s="36"/>
      <c r="BT168" s="147"/>
      <c r="BU168" s="13"/>
      <c r="BV168" s="5"/>
      <c r="BW168" s="419" t="b">
        <f>AND(ISNUMBER(SnapshotTable[[#This Row],[SP Exp Date]]), ISNUMBER(SnapshotTable[[#This Row],[SP Strike Price]]), ISNUMBER(SnapshotTable[[#This Row],[SP Qty]]), ISNUMBER(SnapshotTable[[#This Row],[SP Book Date]]), ISNUMBER(SnapshotTable[[#This Row],[SP Book Price]]))</f>
        <v>0</v>
      </c>
      <c r="BX168" s="419" t="b">
        <f>AND(SnapshotTable[[#This Row],[SP Is Booked]], NOT(ISBLANK(SnapshotTable[[#This Row],[SP Fill Date]])))</f>
        <v>0</v>
      </c>
      <c r="BY168" s="33">
        <f>IF(SnapshotTable[[#This Row],[SP Is Booked]], SnapshotTable[[#This Row],[SP Qty]] * SnapshotTable[[#This Row],[SP Book Price]] * 100, 0)</f>
        <v>0</v>
      </c>
      <c r="BZ168" s="369"/>
      <c r="CA168" s="368">
        <f>SnapshotTable[[#This Row],[LP Qty]]</f>
        <v>0</v>
      </c>
      <c r="CB168" s="4" t="str">
        <f>IF(SnapshotTable[[#This Row],[SP Is Booked]], SnapshotTable[[#This Row],[SP Strike Price]] - SnapshotTable[[#This Row],[SP Book Price]], "")</f>
        <v/>
      </c>
      <c r="CC168" s="19" t="str">
        <f>IF(SnapshotTable[[#This Row],[SP Is Booked]],SnapshotTable[[#This Row],[SP Exp Date]]-MAX(SnapshotTable[[#This Row],[SP Book Date]], SnapshotTable[[#This Row],[SP Fill Date]]),"")</f>
        <v/>
      </c>
      <c r="CD168" s="7" t="str">
        <f>IF(SnapshotTable[[#This Row],[SP Is Booked]], SnapshotTable[[#This Row],[SP Book Price]]/SnapshotTable[[#This Row],[SP Strike Price]], "")</f>
        <v/>
      </c>
      <c r="CE168" s="7" t="str">
        <f>IF(ISNUMBER(SnapshotTable[[#This Row],[SP ROO Term]]),SnapshotTable[[#This Row],[SP ROO Term]]*(365/SnapshotTable[[#This Row],[SP Term]]),"")</f>
        <v/>
      </c>
      <c r="CF168" s="236">
        <f>SnapshotTable[[#This Row],[LP Strike Price]] * SnapshotTable[[#This Row],[LP Qty]] * 100</f>
        <v>0</v>
      </c>
      <c r="CG168" s="31" t="e">
        <f>IF(ISNUMBER(SnapshotTable[[#This Row],[SP Premium]]), (SnapshotTable[[#This Row],[SP Qty]] * SnapshotTable[[#This Row],[SP Strike Price]]* 100) - SnapshotTable[[#This Row],[LP Protection]], 0)</f>
        <v>#VALUE!</v>
      </c>
      <c r="CH168" s="7" t="str">
        <f>IF(ISNUMBER(SnapshotTable[[#This Row],[SP Break Even]]),-1 * (SnapshotTable[[#This Row],[SP Break Even]] - SnapshotTable[[#This Row],[Last Price]]) / SnapshotTable[[#This Row],[Last Price]], "")</f>
        <v/>
      </c>
      <c r="CI168" s="31">
        <f>IF(AND(ISNUMBER((SnapshotTable[[#This Row],[SP Potential Spend]])), SnapshotTable[[#This Row],[SP Strike Price]] &gt; SnapshotTable[[#This Row],[Last Price]], SnapshotTable[[#This Row],[SP Is Filled]]), SnapshotTable[[#This Row],[SP Potential Spend]] -  SnapshotTable[[#This Row],[LP Max Value]], 0)</f>
        <v>0</v>
      </c>
      <c r="CJ168" s="244"/>
      <c r="CK168" s="31" t="str">
        <f>IF(ISNUMBER(SnapshotTable[[#This Row],[SP Potential Spend]]),IF(ISNUMBER(SnapshotTable[[#This Row],[SP POW]]), SnapshotTable[[#This Row],[SP POW]] * SnapshotTable[[#This Row],[SP Potential Spend]], SnapshotTable[[#This Row],[SP Potential Spend]]), "")</f>
        <v/>
      </c>
      <c r="CL168" s="164" t="e">
        <f>IF(NOT(SnapshotTable[[#This Row],[SP Is Filled]]),(SnapshotTable[[#This Row],[SP Qty]] * SnapshotTable[[#This Row],[SP Strike Price]] * 100) - SnapshotTable[[#This Row],[LP Max Value]],"")</f>
        <v>#VALUE!</v>
      </c>
      <c r="CM168" s="31" t="str">
        <f>IF(SnapshotTable[[#This Row],[SP Actual Spend]]&lt;&gt;0, ((SnapshotTable[[#This Row],[SP Strike Price]]-SnapshotTable[[#This Row],[Last Price]]) *(SnapshotTable[[#This Row],[SP Qty]]*100) - SnapshotTable[[#This Row],[SP Premium]]) * - 1, "")</f>
        <v/>
      </c>
      <c r="CN168" s="78"/>
      <c r="CO168" s="369"/>
      <c r="CP168" s="4" t="str">
        <f>IF(SnapshotTable[[#This Row],[SP Is Filled]], btc_max_buyback_amount(SnapshotTable[[#This Row],[SP Fill Date]],SnapshotTable[[#This Row],[SP Exp Date]], SnapshotTable[[#This Row],[SP Book Price]]),"")</f>
        <v/>
      </c>
      <c r="CQ168" s="78"/>
      <c r="CR16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8" s="155" t="str">
        <f>IF(SnapshotTable[[#This Row],[SP Is Filled]], btc_next_cutoff_date(SnapshotTable[[#This Row],[SP Fill Date]],SnapshotTable[[#This Row],[SP Exp Date]]),"")</f>
        <v/>
      </c>
      <c r="CT168" s="235" t="str" cm="1">
        <f t="array" ref="CT168">IF(SnapshotTable[[#This Row],[SP Is Filled]], btc_should_buy_back(SnapshotTable[[#This Row],[SP Fill Date]], SnapshotTable[[#This Row],[SP Exp Date]], SnapshotTable[[#This Row],[SP Book Price]], SnapshotTable[[#This Row],[SP Current Ask]], MockToday, SnapshotTable[[#This Row],[SP Buyback Override]]),"")</f>
        <v/>
      </c>
      <c r="CU168" s="143"/>
      <c r="CV168" s="235"/>
      <c r="CW168" s="378" t="str">
        <f>IF(ISNUMBER( SnapshotTable[[#This Row],[SP Term]]), SnapshotTable[[#This Row],[SP Exp Date]] - MockToday,"")</f>
        <v/>
      </c>
      <c r="CX168" s="31" t="str">
        <f>IF(SnapshotTable[[#This Row],[SP Is Filled]],SnapshotTable[[#This Row],[SP Buyback Price to Use]] * 100 * SnapshotTable[[#This Row],[SP Qty]], "")</f>
        <v/>
      </c>
      <c r="CY168" s="4" t="str">
        <f>IF(ISNUMBER(SnapshotTable[[#This Row],[SP Strike Price]]), SnapshotTable[[#This Row],[SP Strike Price]] * (1 - SP_MaxLoss_StrikePct), "")</f>
        <v/>
      </c>
      <c r="CZ168" s="31" t="str">
        <f>IF(ISNUMBER(SnapshotTable[[#This Row],[SP Strike  Stop Per Share]]),SnapshotTable[[#This Row],[SP Premium]] - ((SnapshotTable[[#This Row],[SP Strike Price]]-SnapshotTable[[#This Row],[SP Strike  Stop Per Share]]) *(SnapshotTable[[#This Row],[SP Qty]] * 100)),"")</f>
        <v/>
      </c>
      <c r="DA168" s="4" t="str">
        <f>IF(AND(ISNUMBER(SnapshotTable[[#This Row],[SP Premium]]),SnapshotTable[[#This Row],[SP Premium]]&gt;0), SnapshotTable[[#This Row],[SP Book Price]] * (1 + SP_MaxLoss_OptionPct), "")</f>
        <v/>
      </c>
      <c r="DB168" s="31" t="str">
        <f>IF(ISNUMBER(SnapshotTable[[#This Row],[SP Option  Stop Contract]]),(SnapshotTable[[#This Row],[SP Option  Stop Contract]] *(SnapshotTable[[#This Row],[SP Qty]] * 100) - SnapshotTable[[#This Row],[SP Premium]]),"")</f>
        <v/>
      </c>
      <c r="DC168" s="4"/>
      <c r="DD168" s="4"/>
      <c r="DE168" s="4" t="str">
        <f>IF(AND(SnapshotTable[[#This Row],[SP Qty]]&gt;0, SnapshotTable[[#This Row],[SP Stop To Use]]&gt;0),SnapshotTable[[#This Row],[SP Premium]] - ( SnapshotTable[[#This Row],[SP Qty]] * SnapshotTable[[#This Row],[SP Stop To Use]] * 100), "")</f>
        <v/>
      </c>
      <c r="DF168" s="31" t="str">
        <f>IF(AND(SnapshotTable[[#This Row],[SP Qty]]&gt;0,SnapshotTable[[#This Row],[SP Current Ask]]&gt;0), SnapshotTable[[#This Row],[SP Qty]] * SnapshotTable[[#This Row],[SP Current Ask]] * -100, "")</f>
        <v/>
      </c>
      <c r="DG168" s="31" t="str">
        <f>IF(ISNUMBER((SnapshotTable[[#This Row],[SP Total Value]])), SnapshotTable[[#This Row],[SP Premium]] + SnapshotTable[[#This Row],[SP Total Value]], "")</f>
        <v/>
      </c>
      <c r="DH168" s="294" t="str">
        <f>IF(ISNUMBER((SnapshotTable[[#This Row],[SP Total Value]])), SnapshotTable[[#This Row],[SP Gain Loss]] / SnapshotTable[[#This Row],[SP Premium]], "")</f>
        <v/>
      </c>
      <c r="DI168" s="406"/>
      <c r="DJ168" s="138"/>
      <c r="DK168" s="148"/>
      <c r="DL168" s="13"/>
      <c r="DM168" s="13"/>
      <c r="DO168" s="31">
        <f>IF(SnapshotTable[[#This Row],[LC Symbol Count]]=1, SnapshotTable[[#This Row],[LC Qty]] * SnapshotTable[[#This Row],[LC Book Price]] * 100, 0)</f>
        <v>0</v>
      </c>
      <c r="DP168" s="163" t="str">
        <f>IF(AND(SnapshotTable[[#This Row],[LC Exp Date]]&gt;0, SnapshotTable[[#This Row],[LC Strike Price]]&gt;0,SnapshotTable[[#This Row],[LC Qty]]&gt;0,SnapshotTable[[#This Row],[LC Book Date]]&gt;0,SnapshotTable[[#This Row],[LC Book Price]]&gt;0,SnapshotTable[[#This Row],[LC Fill Date]]=0),"Y","")</f>
        <v/>
      </c>
      <c r="DQ168" s="386" t="str">
        <f>IF(SnapshotTable[[#This Row],[LC Premium]] &gt; 0,SnapshotTable[[#This Row],[LC Exp Date]]-MAX(SnapshotTable[[#This Row],[LC Book Date]], SnapshotTable[[#This Row],[LC Fill Date]]),"")</f>
        <v/>
      </c>
      <c r="DR168" s="386" t="str">
        <f>IF(ISNUMBER(SnapshotTable[[#This Row],[LC Term]]), SnapshotTable[[#This Row],[LC Exp Date]] - MockToday, "")</f>
        <v/>
      </c>
      <c r="DS168" s="234" t="str">
        <f>IF(SnapshotTable[[#This Row],[LC Premium]]&gt;0,SnapshotTable[[#This Row],[LC Strike Price]] + SnapshotTable[[#This Row],[LC Book Price]],"")</f>
        <v/>
      </c>
      <c r="DU168" s="9" t="str">
        <f>IF(AND(SnapshotTable[[#This Row],[LC Symbol Count]]&gt;0, SnapshotTable[[#This Row],[LC Contract Value]]&gt;0), SnapshotTable[[#This Row],[LC Contract Value]] * SnapshotTable[[#This Row],[LC Qty]] * 100, "")</f>
        <v/>
      </c>
      <c r="DV168" s="9" t="str">
        <f>IF(AND(ISNUMBER(SnapshotTable[[#This Row],[LC Total Value]]), SnapshotTable[[#This Row],[LC Not Filled]]&lt;&gt;"Y"), SnapshotTable[[#This Row],[LC Total Value]]-SnapshotTable[[#This Row],[LC Premium]],"")</f>
        <v/>
      </c>
      <c r="DW168" s="240" t="str">
        <f>IF(ISNUMBER(SnapshotTable[[#This Row],[LC Actual Gain Loss]]), SnapshotTable[[#This Row],[LC Actual Gain Loss]] / SnapshotTable[[#This Row],[LC Premium]],"")</f>
        <v/>
      </c>
      <c r="DX168" s="284" t="str">
        <f>IF(ISNUMBER(SnapshotTable[[#This Row],[LC Book Price]]),SnapshotTable[[#This Row],[LC Book Price]] * 1.5,"")</f>
        <v/>
      </c>
      <c r="DY168" s="265" t="str">
        <f>IF(SnapshotTable[[#This Row],[LC Premium]]&gt;0, SnapshotTable[[#This Row],[LC Next Target]] * SnapshotTable[[#This Row],[LC Qty]] * 100,"")</f>
        <v/>
      </c>
      <c r="DZ168" s="265" t="str">
        <f>IF(ISNUMBER(SnapshotTable[[#This Row],[LC Target Gross]]), SnapshotTable[[#This Row],[LC Target Gross]] - SnapshotTable[[#This Row],[LC Premium]], "")</f>
        <v/>
      </c>
      <c r="EA168" s="305" t="str">
        <f>IF(ISNUMBER(SnapshotTable[[#This Row],[LC Target Gain Loss]]), SnapshotTable[[#This Row],[LC Target Gain Loss]]/SnapshotTable[[#This Row],[LC Premium]], "")</f>
        <v/>
      </c>
      <c r="EB168" s="262"/>
      <c r="EC168" s="283" t="str">
        <f>IF(SnapshotTable[[#This Row],[LC Premium]]&gt;0, SnapshotTable[[#This Row],[LC Book Price]] * (1 - LC_StopLoss_Pct),"")</f>
        <v/>
      </c>
      <c r="ED168" s="284"/>
      <c r="EE168" s="283" t="str">
        <f>IF(ISNUMBER(SnapshotTable[[#This Row],[LC Contract Value]]),IF(ISNUMBER(SnapshotTable[[#This Row],[LC Stop Loss Override]]), SnapshotTable[[#This Row],[LC Stop Loss Override]],SnapshotTable[[#This Row],[LC Stop Loss Calc Target]]),"")</f>
        <v/>
      </c>
      <c r="EF168" s="31" t="str">
        <f>IF(ISNUMBER(SnapshotTable[[#This Row],[LC Stop  To Use]]), (SnapshotTable[[#This Row],[LC Stop  To Use]] * SnapshotTable[[#This Row],[LC Qty]] * 100),"")</f>
        <v/>
      </c>
      <c r="EG168" s="9" t="str">
        <f>IF(ISNUMBER(SnapshotTable[[#This Row],[LC Total Value]]),SnapshotTable[[#This Row],[LC Stop Loss Amount]] - SnapshotTable[[#This Row],[LC Premium]],"")</f>
        <v/>
      </c>
      <c r="EH168" s="9">
        <f>IF(ISNUMBER(SnapshotTable[[#This Row],[LC Premium]]), SnapshotTable[[#This Row],[LC Qty]] * 100 * SnapshotTable[[#This Row],[LC Strike Price]], "")</f>
        <v>0</v>
      </c>
      <c r="EI168" s="240" t="str">
        <f>IF(AND(ISNUMBER(SnapshotTable[[#This Row],[LC Total Value]]),SnapshotTable[[#This Row],[LC Total Value]]&gt;0),SnapshotTable[[#This Row],[LC Stop Gain Loss]]  / SnapshotTable[[#This Row],[LC Premium]],"")</f>
        <v/>
      </c>
      <c r="EJ168" s="35">
        <f>IF(ISNUMBER(SnapshotTable[[#This Row],[Equity Shares]]),TRUNC(SnapshotTable[[#This Row],[Equity Shares]] / 100),0) + SnapshotTable[[#This Row],[LC Qty]]</f>
        <v>0</v>
      </c>
      <c r="EK168" s="147"/>
      <c r="EL168" s="138" t="str">
        <f>IF(SnapshotTable[[#This Row],[SC Exp Date]]&lt;&gt;"",TRUNC(SnapshotTable[[#This Row],[Last Price]]),"")</f>
        <v/>
      </c>
      <c r="EM168" s="148"/>
      <c r="EN168" s="147"/>
      <c r="EO168" s="147"/>
      <c r="EP168" s="138"/>
      <c r="EQ168" s="419" t="b">
        <f>AND(ISNUMBER(SnapshotTable[[#This Row],[SC Exp Date]]), ISNUMBER(SnapshotTable[[#This Row],[SC Strike Price]]), ISNUMBER(SnapshotTable[[#This Row],[SC Qty]]), ISNUMBER(SnapshotTable[[#This Row],[SC Book Date]]), ISNUMBER(SnapshotTable[[#This Row],[SC Book Price]]))</f>
        <v>0</v>
      </c>
      <c r="ER168" s="419" t="b">
        <f>AND(SnapshotTable[[#This Row],[SC Is Booked]], NOT(ISBLANK(SnapshotTable[[#This Row],[SC Fill Date]])))</f>
        <v>0</v>
      </c>
      <c r="ES168" s="370"/>
      <c r="ET168" s="34" t="str">
        <f>IF(AND(ISNUMBER(SnapshotTable[[#This Row],[SC Exp Date]]), ISNUMBER(SnapshotTable[[#This Row],[SC Book Date]])), SnapshotTable[[#This Row],[SC Exp Date]] - MAX(SnapshotTable[[#This Row],[SC Book Date]], SnapshotTable[[#This Row],[SC Fill Date]]) + 1, "")</f>
        <v/>
      </c>
      <c r="EU168" s="34" t="str">
        <f>IF(ISNUMBER(SnapshotTable[[#This Row],[SC Term]]), SnapshotTable[[#This Row],[SC Exp Date]]- MockToday, "")</f>
        <v/>
      </c>
      <c r="EV168" s="31">
        <f>IF(SnapshotTable[[#This Row],[SC Is Booked]], SnapshotTable[[#This Row],[SC Qty]] * SnapshotTable[[#This Row],[SC Book Price]] * 100, 0)</f>
        <v>0</v>
      </c>
      <c r="EW168" s="4" t="str">
        <f>IF(AND(ISNUMBER(SnapshotTable[[#This Row],[Last Price]]), ISNUMBER( SnapshotTable[[#This Row],[SC Book Price]])), SnapshotTable[[#This Row],[Last Price]] - SnapshotTable[[#This Row],[SC Book Price]],"")</f>
        <v/>
      </c>
      <c r="EX168" s="234" t="str">
        <f>IF(SnapshotTable[[#This Row],[SC Is Booked]],IF(SnapshotTable[[#This Row],[SC Intrinsic Value]] &gt; 0, SnapshotTable[[#This Row],[SC Strike Price]], SnapshotTable[[#This Row],[Last Price]]), "")</f>
        <v/>
      </c>
      <c r="EY168" s="4">
        <f>IF(SnapshotTable[[#This Row],[SC Is Booked]], (MinimumPremiumRequired * SnapshotTable[[#This Row],[SC Basis]] * SnapshotTable[[#This Row],[SC Term]]), 0)</f>
        <v>0</v>
      </c>
      <c r="EZ168" s="283"/>
      <c r="FA168" s="218"/>
      <c r="FB168" s="370"/>
      <c r="FC168" s="4">
        <f>IF(SnapshotTable[[#This Row],[SC Is Filled]], btc_max_buyback_amount(SnapshotTable[[#This Row],[SC Fill Date]],SnapshotTable[[#This Row],[SC Exp Date]], SnapshotTable[[#This Row],[SC Book Price]]),0)</f>
        <v>0</v>
      </c>
      <c r="FD168" s="5"/>
      <c r="FE168" s="144" t="str">
        <f>IF(SnapshotTable[[#This Row],[SC Is Filled]], btc_next_cutoff_date(SnapshotTable[[#This Row],[SC Fill Date]],SnapshotTable[[#This Row],[SC Exp Date]]),"")</f>
        <v/>
      </c>
      <c r="FF168" s="4" t="str" cm="1">
        <f t="array" ref="FF168">IF(SnapshotTable[[#This Row],[SC Is Filled]], btc_should_buy_back(SnapshotTable[[#This Row],[SC Fill Date]], SnapshotTable[[#This Row],[SC Exp Date]], SnapshotTable[[#This Row],[SC Book Price]], SnapshotTable[[#This Row],[SC Current Ask]], MockToday, SnapshotTable[[#This Row],[SC Buyback Override]]),"")</f>
        <v/>
      </c>
      <c r="FG168" s="4">
        <f>IF(SnapshotTable[[#This Row],[SC Is Filled]], MAX(0,SnapshotTable[[#This Row],[Last Price]]  - SnapshotTable[[#This Row],[SC Strike Price]]), 0)</f>
        <v>0</v>
      </c>
      <c r="FH168" s="382">
        <f>IF(SnapshotTable[[#This Row],[SC Is Filled]], IF(ISNUMBER(SnapshotTable[[#This Row],[SC Current Ask]]), SnapshotTable[[#This Row],[SC Current Ask]], SnapshotTable[[#This Row],[SC Book Price]]) - SnapshotTable[[#This Row],[SC Intrinsic Value]], 0)</f>
        <v>0</v>
      </c>
      <c r="FI168" s="143"/>
      <c r="FJ168" s="32" t="str">
        <f>IF(SnapshotTable[[#This Row],[SC Is Filled]],100 * SnapshotTable[[#This Row],[SC Qty]] * IF(ISNUMBER(SnapshotTable[[#This Row],[SC Buyback Override]]), SnapshotTable[[#This Row],[SC Buyback Override]], SnapshotTable[[#This Row],[SC Current Ask]]), "")</f>
        <v/>
      </c>
      <c r="FK168" s="250" t="str">
        <f>IF(SnapshotTable[[#This Row],[SC Time Val]]&gt;0, SnapshotTable[[#This Row],[SC Time Val]] / SnapshotTable[[#This Row],[Last Price]],"")</f>
        <v/>
      </c>
      <c r="FL168" s="302" t="str">
        <f>IF(SnapshotTable[[#This Row],[SC Is Booked]], ((SnapshotTable[[#This Row],[Last Price]] -SnapshotTable[[#This Row],[SC Strike Price]]) / SnapshotTable[[#This Row],[Last Price]]) * -1, "")</f>
        <v/>
      </c>
      <c r="FM168" s="157" t="str">
        <f>IF(SnapshotTable[[#This Row],[SC Is Booked]],  (SnapshotTable[[#This Row],[SC Qty]] * 100 * SnapshotTable[[#This Row],[SC Strike Price]]) - SnapshotTable[[#This Row],[SC Current Ask]], "")</f>
        <v/>
      </c>
      <c r="FN16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8" s="31" t="str">
        <f>IF(AND(ISNUMBER(SnapshotTable[[#This Row],[SC Exercise Gross]]), ISNUMBER(SnapshotTable[[#This Row],[Equity Basis Per Share]] )), SnapshotTable[[#This Row],[SC Exercise Gross]] - SnapshotTable[[#This Row],[Equity Basis Total]] +  SnapshotTable[[#This Row],[SC Premium]], "")</f>
        <v/>
      </c>
      <c r="FP168" s="5" t="str">
        <f>IF(ISNUMBER(SnapshotTable[[#This Row],[SC Exercise Gross]]), (SnapshotTable[[#This Row],[SC Exercise Gross]]) / (SnapshotTable[[#This Row],[SC Qty]] * 100), "")</f>
        <v/>
      </c>
      <c r="FQ168" s="27" t="str">
        <f>IF(SnapshotTable[[#This Row],[SC Is Booked]],SnapshotTable[[#This Row],[SC Time Val]] /SnapshotTable[[#This Row],[SC Basis]], "")</f>
        <v/>
      </c>
      <c r="FR168" s="27" t="str" cm="1">
        <f t="array" ref="FR168">IF(AND(ISNUMBER(SnapshotTable[[#This Row],[SC Term]]),ISNUMBER(SnapshotTable[[#This Row],[SC Simple ROO]])), EllmanAnnualize(SnapshotTable[[#This Row],[SC DTE]], SnapshotTable[[#This Row],[SC Simple ROO]] ),"")</f>
        <v/>
      </c>
      <c r="FS168" s="4" t="e">
        <f>IF(SnapshotTable[[#This Row],[SC Strike Price]] &gt; SnapshotTable[[#This Row],[Last Price]], SnapshotTable[[#This Row],[SC Strike Price]] - SnapshotTable[[#This Row],[Last Price]],0)</f>
        <v>#VALUE!</v>
      </c>
      <c r="FT168" s="27" t="e">
        <f>IF(AND(ISNUMBER(SnapshotTable[[#This Row],[SC Upside Potential]]), SnapshotTable[[#This Row],[SC Upside Potential]] &gt; 0),(SnapshotTable[[#This Row],[SC Upside Potential]]/ SnapshotTable[[#This Row],[ACB]]),"")</f>
        <v>#VALUE!</v>
      </c>
      <c r="FU168" s="333" t="str">
        <f>IF(SnapshotTable[[#This Row],[SC Intrinsic Value]] &gt; 0,SnapshotTable[[#This Row],[SC Intrinsic Value]],"")</f>
        <v/>
      </c>
      <c r="FV168" s="27" t="str">
        <f>IF(AND( ISNUMBER( SnapshotTable[[#This Row],[ACB]]),ISNUMBER(SnapshotTable[[#This Row],[SC Downside Protect]])),SnapshotTable[[#This Row],[SC Downside Protect]] / SnapshotTable[[#This Row],[ACB]],"")</f>
        <v/>
      </c>
      <c r="FW168" s="236" t="str">
        <f>IF(AND(ISNUMBER(SnapshotTable[[#This Row],[SC Simple ROO]]),SnapshotTable[[#This Row],[SC Simple ROO]] &gt; 0), SnapshotTable[[#This Row],[SC Premium]] + (SnapshotTable[[#This Row],[SC Qty]] * SnapshotTable[[#This Row],[SC Upside Potential]]), "")</f>
        <v/>
      </c>
      <c r="FX168" s="302" t="str" cm="1">
        <f t="array" ref="FX168">IF(ISNUMBER(SnapshotTable[[#This Row],[SC Max Dollars]]), annualize(SnapshotTable[[#This Row],[SC Term]],(SnapshotTable[[#This Row],[SC Max Dollars]]/SnapshotTable[[#This Row],[SC Basis]])),"")</f>
        <v/>
      </c>
      <c r="FY168" s="236" t="str">
        <f>IF(AND(SnapshotTable[[#This Row],[SC Qty]]&gt;0,SnapshotTable[[#This Row],[SC Current Ask]]&gt;0), SnapshotTable[[#This Row],[SC Qty]] * SnapshotTable[[#This Row],[SC Current Ask]] * -100, "")</f>
        <v/>
      </c>
      <c r="FZ168" s="31" t="str">
        <f>IF(ISNUMBER((SnapshotTable[[#This Row],[SC Current Value]])), SnapshotTable[[#This Row],[SC Premium]] + SnapshotTable[[#This Row],[SC Current Value]], "")</f>
        <v/>
      </c>
      <c r="GA168" s="294" t="str">
        <f>IFERROR( IF(ISNUMBER((SnapshotTable[[#This Row],[SC Current Value]])), SnapshotTable[[#This Row],[SC Gain Loss]] / SnapshotTable[[#This Row],[SC Premium]], ""), "")</f>
        <v/>
      </c>
      <c r="GB168" s="42">
        <f>SnapshotTable[[#This Row],[Equity Shares]] * SaleSharesToConsiderPercentage</f>
        <v>0</v>
      </c>
      <c r="GC168" s="40">
        <f>SnapshotTable[[#This Row],[Long Term Target]] * SellingPriceToConsiderBasedOnTargetPercentage</f>
        <v>20.158999999999999</v>
      </c>
      <c r="GD168" s="40">
        <f>SnapshotTable[[#This Row],[Last Price]] * (1+ SellingPriceToConsiderBasedOnTargetPercentage)</f>
        <v>61.795500000000004</v>
      </c>
      <c r="GE168" s="41"/>
      <c r="GF168" s="40"/>
      <c r="GG168" s="31">
        <f>SnapshotTable[[#This Row],[Booked Sale Shares]] * SnapshotTable[[#This Row],[Booked Sale Price]]</f>
        <v>0</v>
      </c>
      <c r="GH168" s="31" t="str">
        <f>IF(SnapshotTable[[#This Row],[Equity Basis Total]] &gt; 0, SnapshotTable[[#This Row],[Equity Basis Per Share]] * SnapshotTable[[#This Row],[Booked Sale Shares]], "")</f>
        <v/>
      </c>
      <c r="GI168" s="31">
        <f>IF(SnapshotTable[[#This Row],[Sale Proceeds]]&gt;0, SnapshotTable[[#This Row],[Sale Proceeds]] - SnapshotTable[[#This Row],[Sale Basis]], 0)</f>
        <v>0</v>
      </c>
      <c r="GJ168" s="27" t="str">
        <f>IF(SnapshotTable[[#This Row],[Sale G/L]]&gt;0, SnapshotTable[[#This Row],[Sale G/L]] / SnapshotTable[[#This Row],[Sale Basis]], IF(ISNUMBER(SnapshotTable[[#This Row],[SC Exercise P&amp;L (TAX)]]), SnapshotTable[[#This Row],[SC Exercise P&amp;L (TAX)]] / SnapshotTable[[#This Row],[SC Basis]], ""))</f>
        <v/>
      </c>
      <c r="GK168" s="27" t="s">
        <v>702</v>
      </c>
      <c r="GL168" s="43" t="str">
        <f>IF(AND(SnapshotTable[[#This Row],[LP Exp Date]]&gt;0,SnapshotTable[[#This Row],[LP Strike Price]]&gt;0), [1]!ToOptionSymbol(SnapshotTable[[#This Row],[Symbol]], SnapshotTable[[#This Row],[LP Strike Price]],SnapshotTable[[#This Row],[LP Exp Date]],1), "")</f>
        <v/>
      </c>
      <c r="GM168" s="30" t="str">
        <f>IF(LEN(SnapshotTable[[#This Row],[LP Symbol]])&gt;0, 1, "")</f>
        <v/>
      </c>
      <c r="GN168" s="43" t="str">
        <f>IF(AND(SnapshotTable[[#This Row],[SP Exp Date]]&gt;0,SnapshotTable[[#This Row],[SP Strike Price]]&gt;0), [1]!ToOptionSymbol(SnapshotTable[[#This Row],[Symbol]], SnapshotTable[[#This Row],[SP Strike Price]],SnapshotTable[[#This Row],[SP Exp Date]],1), "")</f>
        <v/>
      </c>
      <c r="GO168" s="30" t="str">
        <f>IF(LEN(SnapshotTable[[#This Row],[SP Symbol]])&gt;0, 1, "")</f>
        <v/>
      </c>
      <c r="GP168" s="43" t="str">
        <f>IF(AND(SnapshotTable[[#This Row],[LC Exp Date]]&gt;0,SnapshotTable[[#This Row],[LC Strike Price]]&gt;0), [1]!ToOptionSymbol(SnapshotTable[[#This Row],[Symbol]], SnapshotTable[[#This Row],[LC Strike Price]],SnapshotTable[[#This Row],[LC Exp Date]],0), "")</f>
        <v/>
      </c>
      <c r="GQ168" s="30" t="str">
        <f>IF(LEN(SnapshotTable[[#This Row],[LC Symbol]])&gt;0, 1, "")</f>
        <v/>
      </c>
      <c r="GR168" s="43" t="str">
        <f>IF(AND(SnapshotTable[[#This Row],[SC Exp Date]]&gt;0,SnapshotTable[[#This Row],[SC Strike Price]]&gt;0), [1]!ToOptionSymbol(SnapshotTable[[#This Row],[Symbol]], SnapshotTable[[#This Row],[SC Strike Price]],SnapshotTable[[#This Row],[SC Exp Date]],0), "")</f>
        <v/>
      </c>
      <c r="GS168" s="30" t="str">
        <f>IF(LEN(SnapshotTable[[#This Row],[SC Symbol]])&gt;0, 1, "")</f>
        <v/>
      </c>
      <c r="GT168" s="29" t="str">
        <f>IF(COUNT(SnapshotTable[[#This Row],[LP Symbol Count]],SnapshotTable[[#This Row],[SP Symbol Count]],SnapshotTable[[#This Row],[LC Symbol Count]],SnapshotTable[[#This Row],[SC Symbol Count]])&gt;0, "Y", "")</f>
        <v/>
      </c>
      <c r="GU16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8" s="231" t="e">
        <f>MAX(SnapshotTable[[#This Row],[Equity Basis Total]],SnapshotTable[[#This Row],[Equity Value]]) + (SnapshotTable[[#This Row],[SP Potential Spend]]- SnapshotTable[[#This Row],[SP Premium]] + SnapshotTable[[#This Row],[LP Premium]])+ (SnapshotTable[[#This Row],[LC Premium]] - SnapshotTable[[#This Row],[SC Premium]])</f>
        <v>#VALUE!</v>
      </c>
      <c r="GW168" s="139" t="e">
        <f>IF(AND(SnapshotTable[[#This Row],[Exposure]] &lt;&gt; 0),SnapshotTable[[#This Row],[Exposure]] / SnapshotTable[[#Totals],[Exposure]], "")</f>
        <v>#VALUE!</v>
      </c>
      <c r="HE168" s="268"/>
      <c r="HF168" s="268"/>
      <c r="HK168" s="1"/>
      <c r="HL168" s="1"/>
      <c r="HM168" s="1"/>
      <c r="HN168" s="1"/>
      <c r="HO168" s="1"/>
      <c r="HP168" s="1"/>
    </row>
    <row r="169" spans="2:224" ht="12.75" hidden="1" customHeight="1" x14ac:dyDescent="0.25">
      <c r="B169" s="12" t="s">
        <v>250</v>
      </c>
      <c r="C169" s="422">
        <v>321.02</v>
      </c>
      <c r="D169" s="208" t="s">
        <v>578</v>
      </c>
      <c r="E169" s="39">
        <f>SnapshotTable[[#This Row],[Last Price]]*(1 -CrashDiscount)</f>
        <v>272.86699999999996</v>
      </c>
      <c r="F169" s="26" t="s">
        <v>15</v>
      </c>
      <c r="G169" s="26" t="s">
        <v>14</v>
      </c>
      <c r="H169" s="149"/>
      <c r="I169" s="194">
        <v>44735.666666666664</v>
      </c>
      <c r="J169" s="195">
        <v>44735.666666666664</v>
      </c>
      <c r="K169" s="196" t="s">
        <v>3</v>
      </c>
      <c r="L169" s="326"/>
      <c r="M169" s="140"/>
      <c r="N169" s="140"/>
      <c r="O169" s="140"/>
      <c r="P169" s="22"/>
      <c r="Q169" s="25"/>
      <c r="R169" s="4" t="str">
        <f>IF(SnapshotTable[[#This Row],[Equity Basis Total]] &gt; 0, SnapshotTable[[#This Row],[Equity Basis Total]] / SnapshotTable[[#This Row],[Equity Shares]], "")</f>
        <v/>
      </c>
      <c r="S169" s="269">
        <f>SnapshotTable[[#This Row],[Last Price]] * SnapshotTable[[#This Row],[Equity Shares]]</f>
        <v>0</v>
      </c>
      <c r="T169" s="269">
        <f>SnapshotTable[[#This Row],[Equity Value]] - SnapshotTable[[#This Row],[Equity Basis Total]]</f>
        <v>0</v>
      </c>
      <c r="U169" s="270" t="str">
        <f>IF(SnapshotTable[[#This Row],[Equity Basis Total]] &gt; 0, SnapshotTable[[#This Row],[Equity G/L]] / SnapshotTable[[#This Row],[Equity Basis Total]], "")</f>
        <v/>
      </c>
      <c r="V169" s="268"/>
      <c r="W169" s="268"/>
      <c r="X169" s="4" t="str">
        <f>IF(AND(ISNUMBER(SnapshotTable[[#This Row],[Equity Basis Per Share]]),ISNUMBER(SnapshotTable[[#This Row],[Equity Target]])),SnapshotTable[[#This Row],[Equity Target]]-SnapshotTable[[#This Row],[Equity Basis Per Share]],"")</f>
        <v/>
      </c>
      <c r="Y169" s="4" t="str">
        <f>IF(AND(ISNUMBER(SnapshotTable[[#This Row],[Equity Basis Per Share]]),ISNUMBER(SnapshotTable[[#This Row],[Equity Stop Loss]])),SnapshotTable[[#This Row],[Equity Stop Loss]]-SnapshotTable[[#This Row],[Equity Basis Per Share]],"")</f>
        <v/>
      </c>
      <c r="Z169" s="275" t="str">
        <f>IFERROR( TEXT(SnapshotTable[[#This Row],[Equity Max Gain Per Share]] /ABS( SnapshotTable[[#This Row],[Equity Max Loss Per Share]]),"0.0 " ) &amp; " : 1", "")</f>
        <v/>
      </c>
      <c r="AA169" s="31" t="str">
        <f>IF(ISNUMBER(SnapshotTable[[#This Row],[Equity Max Gain Per Share]]),SnapshotTable[[#This Row],[Equity Max Gain Per Share]] * SnapshotTable[[#This Row],[Equity Shares]],"")</f>
        <v/>
      </c>
      <c r="AB169" s="31" t="str">
        <f>IF(ISNUMBER(SnapshotTable[[#This Row],[Equity Max Loss Per Share]]),SnapshotTable[[#This Row],[Equity Max Loss Per Share]] * SnapshotTable[[#This Row],[Equity Shares]],"")</f>
        <v/>
      </c>
      <c r="AC169" s="150"/>
      <c r="AD169" s="151"/>
      <c r="AE169" s="31">
        <f>(SnapshotTable[[#This Row],[Annual Dividend Per Share]] / 4) * SnapshotTable[[#This Row],[Equity Shares]]</f>
        <v>0</v>
      </c>
      <c r="AF169" s="31">
        <f>SnapshotTable[[#This Row],[Quarterly Div $]] * 4</f>
        <v>0</v>
      </c>
      <c r="AG169" s="7">
        <f>IF(SnapshotTable[[#This Row],[Annual Dividend Per Share]]&gt;0, SnapshotTable[[#This Row],[Annual Dividend Per Share]]  / SnapshotTable[[#This Row],[Last Price]], 0)</f>
        <v>0</v>
      </c>
      <c r="AH169" s="151"/>
      <c r="AI169" s="5"/>
      <c r="AJ169" s="138">
        <v>336.19</v>
      </c>
      <c r="AK169" s="152" t="str">
        <f>IF(ISNUMBER( SnapshotTable[[#This Row],[EBF Target]]),(SnapshotTable[[#This Row],[EBF Target]] - SnapshotTable[[#This Row],[Last Price]]) / SnapshotTable[[#This Row],[Last Price]], "")</f>
        <v/>
      </c>
      <c r="AL169" s="152" t="str">
        <f>IF(AND(SnapshotTable[[#This Row],[Equity Basis Total]] &gt; 0,ISNUMBER( SnapshotTable[[#This Row],[Long Term Target]])), SnapshotTable[[#This Row],[From Basis $]] / SnapshotTable[[#This Row],[Equity Basis Total]], "")</f>
        <v/>
      </c>
      <c r="AM169" s="9">
        <f>IF( AND(SnapshotTable[[#This Row],[Equity Shares]] &gt;0,ISNUMBER( SnapshotTable[[#This Row],[Long Term Target]])),(SnapshotTable[[#This Row],[Equity Shares]] * SnapshotTable[[#This Row],[Long Term Target]]) - SnapshotTable[[#This Row],[Equity Basis Total]],0)</f>
        <v>0</v>
      </c>
      <c r="AN169" s="9">
        <f>IF( AND(SnapshotTable[[#This Row],[Equity Shares]] &gt;0,ISNUMBER( SnapshotTable[[#This Row],[Long Term Target]])),(SnapshotTable[[#This Row],[Equity Shares]]*SnapshotTable[[#This Row],[Long Term Target]]) - SnapshotTable[[#This Row],[Equity Value]],0)</f>
        <v>0</v>
      </c>
      <c r="AO169" s="152">
        <f>IF(AND(ISNUMBER( SnapshotTable[[#This Row],[Long Term Target]]), ISNUMBER(SnapshotTable[[#This Row],[Last Price]])),(SnapshotTable[[#This Row],[Long Term Target]] - SnapshotTable[[#This Row],[Last Price]]) / SnapshotTable[[#This Row],[Last Price]], "")</f>
        <v>4.7255622702635405E-2</v>
      </c>
      <c r="AP169" s="5">
        <v>320</v>
      </c>
      <c r="AQ169" s="38" t="s">
        <v>27</v>
      </c>
      <c r="AR169" s="5">
        <v>300</v>
      </c>
      <c r="AS169" s="38" t="s">
        <v>45</v>
      </c>
      <c r="AT169" s="146" t="s">
        <v>826</v>
      </c>
      <c r="AU169" s="187" t="str">
        <f>IF(OR(SnapshotTable[[#This Row],[LP No Fill]]="Y",SnapshotTable[[#This Row],[SP Is Filled]],SnapshotTable[[#This Row],[LC Not Filled]]="Y",SnapshotTable[[#This Row],[SC Is Filled]]),"Y","")</f>
        <v/>
      </c>
      <c r="AV169" s="219" t="s">
        <v>990</v>
      </c>
      <c r="AW169" s="225"/>
      <c r="AX169" s="220"/>
      <c r="AY169" s="219" t="str">
        <f>IF(SnapshotTable[[#This Row],[Implied Move]]&gt;0, SnapshotTable[[#This Row],[Last Price]]-SnapshotTable[[#This Row],[Implied Move]],"")</f>
        <v/>
      </c>
      <c r="AZ169" s="219" t="str">
        <f>IF(SnapshotTable[[#This Row],[Implied Move]]&gt;0, SnapshotTable[[#This Row],[Last Price]] + SnapshotTable[[#This Row],[Implied Move]],"")</f>
        <v/>
      </c>
      <c r="BA169" s="331">
        <v>11.67</v>
      </c>
      <c r="BB169" s="347"/>
      <c r="BC16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9" s="351"/>
      <c r="BE169" s="5"/>
      <c r="BF169" s="14"/>
      <c r="BG169" s="13"/>
      <c r="BH169" s="13"/>
      <c r="BI169" s="5"/>
      <c r="BJ169" s="136">
        <f>IF(SnapshotTable[[#This Row],[LP Qty]] &gt; 0, SnapshotTable[[#This Row],[LP Qty]] * SnapshotTable[[#This Row],[LP Book Price]] * 100,0)</f>
        <v>0</v>
      </c>
      <c r="BK169" s="136">
        <f>IF(SnapshotTable[[#This Row],[LP Premium]] &gt; 0, SnapshotTable[[#This Row],[LP Qty]] * SnapshotTable[[#This Row],[LP Strike Price]] * 100,0)</f>
        <v>0</v>
      </c>
      <c r="BL169" s="154"/>
      <c r="BM169" s="385" t="str">
        <f>IF(SnapshotTable[[#This Row],[LP Premium]] &gt; 0,SnapshotTable[[#This Row],[LP Exp Date]]-MAX(SnapshotTable[[#This Row],[LP Book Date]], SnapshotTable[[#This Row],[LP Fill Date]]),"")</f>
        <v/>
      </c>
      <c r="BN169" s="385" t="str">
        <f>IF(ISNUMBER( SnapshotTable[[#This Row],[LP Term]]), SnapshotTable[[#This Row],[LP Exp Date]] - MockToday,"")</f>
        <v/>
      </c>
      <c r="BO169" s="163" t="str">
        <f>IF(AND(SnapshotTable[[#This Row],[LP Exp Date]]&gt;0, SnapshotTable[[#This Row],[LP Strike Price]]&gt;0,SnapshotTable[[#This Row],[LP Qty]]&gt;0,SnapshotTable[[#This Row],[LP Book Date]]&gt;0,SnapshotTable[[#This Row],[LP Book Price]]&gt;0,SnapshotTable[[#This Row],[LP Fill Date]]=0),"Y","")</f>
        <v/>
      </c>
      <c r="BP169" s="31" t="str">
        <f>IF(AND(SnapshotTable[[#This Row],[LP No Fill]]&lt;&gt;"Y",SnapshotTable[[#This Row],[LP Contract Value]]&gt;0, SnapshotTable[[#This Row],[LP Qty]]&gt;0), SnapshotTable[[#This Row],[LP Contract Value]]*SnapshotTable[[#This Row],[LP Qty]]*100,"")</f>
        <v/>
      </c>
      <c r="BQ169" s="13"/>
      <c r="BR169" s="5" t="str">
        <f>IF(SnapshotTable[[#This Row],[SP Exp Date]]&lt;&gt;"",TRUNC(SnapshotTable[[#This Row],[Last Price]]),"")</f>
        <v/>
      </c>
      <c r="BS169" s="36"/>
      <c r="BT169" s="147"/>
      <c r="BU169" s="13"/>
      <c r="BV169" s="5"/>
      <c r="BW169" s="419" t="b">
        <f>AND(ISNUMBER(SnapshotTable[[#This Row],[SP Exp Date]]), ISNUMBER(SnapshotTable[[#This Row],[SP Strike Price]]), ISNUMBER(SnapshotTable[[#This Row],[SP Qty]]), ISNUMBER(SnapshotTable[[#This Row],[SP Book Date]]), ISNUMBER(SnapshotTable[[#This Row],[SP Book Price]]))</f>
        <v>0</v>
      </c>
      <c r="BX169" s="419" t="b">
        <f>AND(SnapshotTable[[#This Row],[SP Is Booked]], NOT(ISBLANK(SnapshotTable[[#This Row],[SP Fill Date]])))</f>
        <v>0</v>
      </c>
      <c r="BY169" s="33">
        <f>IF(SnapshotTable[[#This Row],[SP Is Booked]], SnapshotTable[[#This Row],[SP Qty]] * SnapshotTable[[#This Row],[SP Book Price]] * 100, 0)</f>
        <v>0</v>
      </c>
      <c r="BZ169" s="369"/>
      <c r="CA169" s="368">
        <f>SnapshotTable[[#This Row],[LP Qty]]</f>
        <v>0</v>
      </c>
      <c r="CB169" s="4" t="str">
        <f>IF(SnapshotTable[[#This Row],[SP Is Booked]], SnapshotTable[[#This Row],[SP Strike Price]] - SnapshotTable[[#This Row],[SP Book Price]], "")</f>
        <v/>
      </c>
      <c r="CC169" s="19" t="str">
        <f>IF(SnapshotTable[[#This Row],[SP Is Booked]],SnapshotTable[[#This Row],[SP Exp Date]]-MAX(SnapshotTable[[#This Row],[SP Book Date]], SnapshotTable[[#This Row],[SP Fill Date]]),"")</f>
        <v/>
      </c>
      <c r="CD169" s="7" t="str">
        <f>IF(SnapshotTable[[#This Row],[SP Is Booked]], SnapshotTable[[#This Row],[SP Book Price]]/SnapshotTable[[#This Row],[SP Strike Price]], "")</f>
        <v/>
      </c>
      <c r="CE169" s="7" t="str">
        <f>IF(ISNUMBER(SnapshotTable[[#This Row],[SP ROO Term]]),SnapshotTable[[#This Row],[SP ROO Term]]*(365/SnapshotTable[[#This Row],[SP Term]]),"")</f>
        <v/>
      </c>
      <c r="CF169" s="236">
        <f>SnapshotTable[[#This Row],[LP Strike Price]] * SnapshotTable[[#This Row],[LP Qty]] * 100</f>
        <v>0</v>
      </c>
      <c r="CG169" s="31" t="e">
        <f>IF(ISNUMBER(SnapshotTable[[#This Row],[SP Premium]]), (SnapshotTable[[#This Row],[SP Qty]] * SnapshotTable[[#This Row],[SP Strike Price]]* 100) - SnapshotTable[[#This Row],[LP Protection]], 0)</f>
        <v>#VALUE!</v>
      </c>
      <c r="CH169" s="7" t="str">
        <f>IF(ISNUMBER(SnapshotTable[[#This Row],[SP Break Even]]),-1 * (SnapshotTable[[#This Row],[SP Break Even]] - SnapshotTable[[#This Row],[Last Price]]) / SnapshotTable[[#This Row],[Last Price]], "")</f>
        <v/>
      </c>
      <c r="CI169" s="31">
        <f>IF(AND(ISNUMBER((SnapshotTable[[#This Row],[SP Potential Spend]])), SnapshotTable[[#This Row],[SP Strike Price]] &gt; SnapshotTable[[#This Row],[Last Price]], SnapshotTable[[#This Row],[SP Is Filled]]), SnapshotTable[[#This Row],[SP Potential Spend]] -  SnapshotTable[[#This Row],[LP Max Value]], 0)</f>
        <v>0</v>
      </c>
      <c r="CJ169" s="244"/>
      <c r="CK169" s="31" t="str">
        <f>IF(ISNUMBER(SnapshotTable[[#This Row],[SP Potential Spend]]),IF(ISNUMBER(SnapshotTable[[#This Row],[SP POW]]), SnapshotTable[[#This Row],[SP POW]] * SnapshotTable[[#This Row],[SP Potential Spend]], SnapshotTable[[#This Row],[SP Potential Spend]]), "")</f>
        <v/>
      </c>
      <c r="CL169" s="164" t="e">
        <f>IF(NOT(SnapshotTable[[#This Row],[SP Is Filled]]),(SnapshotTable[[#This Row],[SP Qty]] * SnapshotTable[[#This Row],[SP Strike Price]] * 100) - SnapshotTable[[#This Row],[LP Max Value]],"")</f>
        <v>#VALUE!</v>
      </c>
      <c r="CM169" s="31" t="str">
        <f>IF(SnapshotTable[[#This Row],[SP Actual Spend]]&lt;&gt;0, ((SnapshotTable[[#This Row],[SP Strike Price]]-SnapshotTable[[#This Row],[Last Price]]) *(SnapshotTable[[#This Row],[SP Qty]]*100) - SnapshotTable[[#This Row],[SP Premium]]) * - 1, "")</f>
        <v/>
      </c>
      <c r="CN169" s="78"/>
      <c r="CO169" s="369"/>
      <c r="CP169" s="4" t="str">
        <f>IF(SnapshotTable[[#This Row],[SP Is Filled]], btc_max_buyback_amount(SnapshotTable[[#This Row],[SP Fill Date]],SnapshotTable[[#This Row],[SP Exp Date]], SnapshotTable[[#This Row],[SP Book Price]]),"")</f>
        <v/>
      </c>
      <c r="CQ169" s="78"/>
      <c r="CR16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9" s="155" t="str">
        <f>IF(SnapshotTable[[#This Row],[SP Is Filled]], btc_next_cutoff_date(SnapshotTable[[#This Row],[SP Fill Date]],SnapshotTable[[#This Row],[SP Exp Date]]),"")</f>
        <v/>
      </c>
      <c r="CT169" s="235" t="str" cm="1">
        <f t="array" ref="CT169">IF(SnapshotTable[[#This Row],[SP Is Filled]], btc_should_buy_back(SnapshotTable[[#This Row],[SP Fill Date]], SnapshotTable[[#This Row],[SP Exp Date]], SnapshotTable[[#This Row],[SP Book Price]], SnapshotTable[[#This Row],[SP Current Ask]], MockToday, SnapshotTable[[#This Row],[SP Buyback Override]]),"")</f>
        <v/>
      </c>
      <c r="CU169" s="143"/>
      <c r="CV169" s="235"/>
      <c r="CW169" s="378" t="str">
        <f>IF(ISNUMBER( SnapshotTable[[#This Row],[SP Term]]), SnapshotTable[[#This Row],[SP Exp Date]] - MockToday,"")</f>
        <v/>
      </c>
      <c r="CX169" s="31" t="str">
        <f>IF(SnapshotTable[[#This Row],[SP Is Filled]],SnapshotTable[[#This Row],[SP Buyback Price to Use]] * 100 * SnapshotTable[[#This Row],[SP Qty]], "")</f>
        <v/>
      </c>
      <c r="CY169" s="4" t="str">
        <f>IF(ISNUMBER(SnapshotTable[[#This Row],[SP Strike Price]]), SnapshotTable[[#This Row],[SP Strike Price]] * (1 - SP_MaxLoss_StrikePct), "")</f>
        <v/>
      </c>
      <c r="CZ169" s="31" t="str">
        <f>IF(ISNUMBER(SnapshotTable[[#This Row],[SP Strike  Stop Per Share]]),SnapshotTable[[#This Row],[SP Premium]] - ((SnapshotTable[[#This Row],[SP Strike Price]]-SnapshotTable[[#This Row],[SP Strike  Stop Per Share]]) *(SnapshotTable[[#This Row],[SP Qty]] * 100)),"")</f>
        <v/>
      </c>
      <c r="DA169" s="4" t="str">
        <f>IF(AND(ISNUMBER(SnapshotTable[[#This Row],[SP Premium]]),SnapshotTable[[#This Row],[SP Premium]]&gt;0), SnapshotTable[[#This Row],[SP Book Price]] * (1 + SP_MaxLoss_OptionPct), "")</f>
        <v/>
      </c>
      <c r="DB169" s="31" t="str">
        <f>IF(ISNUMBER(SnapshotTable[[#This Row],[SP Option  Stop Contract]]),(SnapshotTable[[#This Row],[SP Option  Stop Contract]] *(SnapshotTable[[#This Row],[SP Qty]] * 100) - SnapshotTable[[#This Row],[SP Premium]]),"")</f>
        <v/>
      </c>
      <c r="DC169" s="4"/>
      <c r="DD169" s="4"/>
      <c r="DE169" s="4" t="str">
        <f>IF(AND(SnapshotTable[[#This Row],[SP Qty]]&gt;0, SnapshotTable[[#This Row],[SP Stop To Use]]&gt;0),SnapshotTable[[#This Row],[SP Premium]] - ( SnapshotTable[[#This Row],[SP Qty]] * SnapshotTable[[#This Row],[SP Stop To Use]] * 100), "")</f>
        <v/>
      </c>
      <c r="DF169" s="31" t="str">
        <f>IF(AND(SnapshotTable[[#This Row],[SP Qty]]&gt;0,SnapshotTable[[#This Row],[SP Current Ask]]&gt;0), SnapshotTable[[#This Row],[SP Qty]] * SnapshotTable[[#This Row],[SP Current Ask]] * -100, "")</f>
        <v/>
      </c>
      <c r="DG169" s="31" t="str">
        <f>IF(ISNUMBER((SnapshotTable[[#This Row],[SP Total Value]])), SnapshotTable[[#This Row],[SP Premium]] + SnapshotTable[[#This Row],[SP Total Value]], "")</f>
        <v/>
      </c>
      <c r="DH169" s="294" t="str">
        <f>IF(ISNUMBER((SnapshotTable[[#This Row],[SP Total Value]])), SnapshotTable[[#This Row],[SP Gain Loss]] / SnapshotTable[[#This Row],[SP Premium]], "")</f>
        <v/>
      </c>
      <c r="DI169" s="406"/>
      <c r="DJ169" s="138"/>
      <c r="DK169" s="148"/>
      <c r="DL169" s="13"/>
      <c r="DM169" s="13"/>
      <c r="DO169" s="31">
        <f>IF(SnapshotTable[[#This Row],[LC Symbol Count]]=1, SnapshotTable[[#This Row],[LC Qty]] * SnapshotTable[[#This Row],[LC Book Price]] * 100, 0)</f>
        <v>0</v>
      </c>
      <c r="DP169" s="163" t="str">
        <f>IF(AND(SnapshotTable[[#This Row],[LC Exp Date]]&gt;0, SnapshotTable[[#This Row],[LC Strike Price]]&gt;0,SnapshotTable[[#This Row],[LC Qty]]&gt;0,SnapshotTable[[#This Row],[LC Book Date]]&gt;0,SnapshotTable[[#This Row],[LC Book Price]]&gt;0,SnapshotTable[[#This Row],[LC Fill Date]]=0),"Y","")</f>
        <v/>
      </c>
      <c r="DQ169" s="386" t="str">
        <f>IF(SnapshotTable[[#This Row],[LC Premium]] &gt; 0,SnapshotTable[[#This Row],[LC Exp Date]]-MAX(SnapshotTable[[#This Row],[LC Book Date]], SnapshotTable[[#This Row],[LC Fill Date]]),"")</f>
        <v/>
      </c>
      <c r="DR169" s="386" t="str">
        <f>IF(ISNUMBER(SnapshotTable[[#This Row],[LC Term]]), SnapshotTable[[#This Row],[LC Exp Date]] - MockToday, "")</f>
        <v/>
      </c>
      <c r="DS169" s="234" t="str">
        <f>IF(SnapshotTable[[#This Row],[LC Premium]]&gt;0,SnapshotTable[[#This Row],[LC Strike Price]] + SnapshotTable[[#This Row],[LC Book Price]],"")</f>
        <v/>
      </c>
      <c r="DU169" s="9" t="str">
        <f>IF(AND(SnapshotTable[[#This Row],[LC Symbol Count]]&gt;0, SnapshotTable[[#This Row],[LC Contract Value]]&gt;0), SnapshotTable[[#This Row],[LC Contract Value]] * SnapshotTable[[#This Row],[LC Qty]] * 100, "")</f>
        <v/>
      </c>
      <c r="DV169" s="9" t="str">
        <f>IF(AND(ISNUMBER(SnapshotTable[[#This Row],[LC Total Value]]), SnapshotTable[[#This Row],[LC Not Filled]]&lt;&gt;"Y"), SnapshotTable[[#This Row],[LC Total Value]]-SnapshotTable[[#This Row],[LC Premium]],"")</f>
        <v/>
      </c>
      <c r="DW169" s="240" t="str">
        <f>IF(ISNUMBER(SnapshotTable[[#This Row],[LC Actual Gain Loss]]), SnapshotTable[[#This Row],[LC Actual Gain Loss]] / SnapshotTable[[#This Row],[LC Premium]],"")</f>
        <v/>
      </c>
      <c r="DX169" s="284" t="str">
        <f>IF(ISNUMBER(SnapshotTable[[#This Row],[LC Book Price]]),SnapshotTable[[#This Row],[LC Book Price]] * 1.5,"")</f>
        <v/>
      </c>
      <c r="DY169" s="265" t="str">
        <f>IF(SnapshotTable[[#This Row],[LC Premium]]&gt;0, SnapshotTable[[#This Row],[LC Next Target]] * SnapshotTable[[#This Row],[LC Qty]] * 100,"")</f>
        <v/>
      </c>
      <c r="DZ169" s="265" t="str">
        <f>IF(ISNUMBER(SnapshotTable[[#This Row],[LC Target Gross]]), SnapshotTable[[#This Row],[LC Target Gross]] - SnapshotTable[[#This Row],[LC Premium]], "")</f>
        <v/>
      </c>
      <c r="EA169" s="305" t="str">
        <f>IF(ISNUMBER(SnapshotTable[[#This Row],[LC Target Gain Loss]]), SnapshotTable[[#This Row],[LC Target Gain Loss]]/SnapshotTable[[#This Row],[LC Premium]], "")</f>
        <v/>
      </c>
      <c r="EB169" s="262"/>
      <c r="EC169" s="283" t="str">
        <f>IF(SnapshotTable[[#This Row],[LC Premium]]&gt;0, SnapshotTable[[#This Row],[LC Book Price]] * (1 - LC_StopLoss_Pct),"")</f>
        <v/>
      </c>
      <c r="ED169" s="284"/>
      <c r="EE169" s="283" t="str">
        <f>IF(ISNUMBER(SnapshotTable[[#This Row],[LC Contract Value]]),IF(ISNUMBER(SnapshotTable[[#This Row],[LC Stop Loss Override]]), SnapshotTable[[#This Row],[LC Stop Loss Override]],SnapshotTable[[#This Row],[LC Stop Loss Calc Target]]),"")</f>
        <v/>
      </c>
      <c r="EF169" s="31" t="str">
        <f>IF(ISNUMBER(SnapshotTable[[#This Row],[LC Stop  To Use]]), (SnapshotTable[[#This Row],[LC Stop  To Use]] * SnapshotTable[[#This Row],[LC Qty]] * 100),"")</f>
        <v/>
      </c>
      <c r="EG169" s="9" t="str">
        <f>IF(ISNUMBER(SnapshotTable[[#This Row],[LC Total Value]]),SnapshotTable[[#This Row],[LC Stop Loss Amount]] - SnapshotTable[[#This Row],[LC Premium]],"")</f>
        <v/>
      </c>
      <c r="EH169" s="9">
        <f>IF(ISNUMBER(SnapshotTable[[#This Row],[LC Premium]]), SnapshotTable[[#This Row],[LC Qty]] * 100 * SnapshotTable[[#This Row],[LC Strike Price]], "")</f>
        <v>0</v>
      </c>
      <c r="EI169" s="240" t="str">
        <f>IF(AND(ISNUMBER(SnapshotTable[[#This Row],[LC Total Value]]),SnapshotTable[[#This Row],[LC Total Value]]&gt;0),SnapshotTable[[#This Row],[LC Stop Gain Loss]]  / SnapshotTable[[#This Row],[LC Premium]],"")</f>
        <v/>
      </c>
      <c r="EJ169" s="35">
        <f>IF(ISNUMBER(SnapshotTable[[#This Row],[Equity Shares]]),TRUNC(SnapshotTable[[#This Row],[Equity Shares]] / 100),0) + SnapshotTable[[#This Row],[LC Qty]]</f>
        <v>0</v>
      </c>
      <c r="EK169" s="147"/>
      <c r="EL169" s="138" t="str">
        <f>IF(SnapshotTable[[#This Row],[SC Exp Date]]&lt;&gt;"",TRUNC(SnapshotTable[[#This Row],[Last Price]]),"")</f>
        <v/>
      </c>
      <c r="EM169" s="148"/>
      <c r="EN169" s="147"/>
      <c r="EO169" s="147"/>
      <c r="EP169" s="138"/>
      <c r="EQ169" s="419" t="b">
        <f>AND(ISNUMBER(SnapshotTable[[#This Row],[SC Exp Date]]), ISNUMBER(SnapshotTable[[#This Row],[SC Strike Price]]), ISNUMBER(SnapshotTable[[#This Row],[SC Qty]]), ISNUMBER(SnapshotTable[[#This Row],[SC Book Date]]), ISNUMBER(SnapshotTable[[#This Row],[SC Book Price]]))</f>
        <v>0</v>
      </c>
      <c r="ER169" s="419" t="b">
        <f>AND(SnapshotTable[[#This Row],[SC Is Booked]], NOT(ISBLANK(SnapshotTable[[#This Row],[SC Fill Date]])))</f>
        <v>0</v>
      </c>
      <c r="ES169" s="370"/>
      <c r="ET169" s="34" t="str">
        <f>IF(AND(ISNUMBER(SnapshotTable[[#This Row],[SC Exp Date]]), ISNUMBER(SnapshotTable[[#This Row],[SC Book Date]])), SnapshotTable[[#This Row],[SC Exp Date]] - MAX(SnapshotTable[[#This Row],[SC Book Date]], SnapshotTable[[#This Row],[SC Fill Date]]) + 1, "")</f>
        <v/>
      </c>
      <c r="EU169" s="34" t="str">
        <f>IF(ISNUMBER(SnapshotTable[[#This Row],[SC Term]]), SnapshotTable[[#This Row],[SC Exp Date]]- MockToday, "")</f>
        <v/>
      </c>
      <c r="EV169" s="31">
        <f>IF(SnapshotTable[[#This Row],[SC Is Booked]], SnapshotTable[[#This Row],[SC Qty]] * SnapshotTable[[#This Row],[SC Book Price]] * 100, 0)</f>
        <v>0</v>
      </c>
      <c r="EW169" s="4" t="str">
        <f>IF(AND(ISNUMBER(SnapshotTable[[#This Row],[Last Price]]), ISNUMBER( SnapshotTable[[#This Row],[SC Book Price]])), SnapshotTable[[#This Row],[Last Price]] - SnapshotTable[[#This Row],[SC Book Price]],"")</f>
        <v/>
      </c>
      <c r="EX169" s="234" t="str">
        <f>IF(SnapshotTable[[#This Row],[SC Is Booked]],IF(SnapshotTable[[#This Row],[SC Intrinsic Value]] &gt; 0, SnapshotTable[[#This Row],[SC Strike Price]], SnapshotTable[[#This Row],[Last Price]]), "")</f>
        <v/>
      </c>
      <c r="EY169" s="4">
        <f>IF(SnapshotTable[[#This Row],[SC Is Booked]], (MinimumPremiumRequired * SnapshotTable[[#This Row],[SC Basis]] * SnapshotTable[[#This Row],[SC Term]]), 0)</f>
        <v>0</v>
      </c>
      <c r="EZ169" s="283"/>
      <c r="FA169" s="218"/>
      <c r="FB169" s="370"/>
      <c r="FC169" s="4">
        <f>IF(SnapshotTable[[#This Row],[SC Is Filled]], btc_max_buyback_amount(SnapshotTable[[#This Row],[SC Fill Date]],SnapshotTable[[#This Row],[SC Exp Date]], SnapshotTable[[#This Row],[SC Book Price]]),0)</f>
        <v>0</v>
      </c>
      <c r="FD169" s="5"/>
      <c r="FE169" s="144" t="str">
        <f>IF(SnapshotTable[[#This Row],[SC Is Filled]], btc_next_cutoff_date(SnapshotTable[[#This Row],[SC Fill Date]],SnapshotTable[[#This Row],[SC Exp Date]]),"")</f>
        <v/>
      </c>
      <c r="FF169" s="4" t="str" cm="1">
        <f t="array" ref="FF169">IF(SnapshotTable[[#This Row],[SC Is Filled]], btc_should_buy_back(SnapshotTable[[#This Row],[SC Fill Date]], SnapshotTable[[#This Row],[SC Exp Date]], SnapshotTable[[#This Row],[SC Book Price]], SnapshotTable[[#This Row],[SC Current Ask]], MockToday, SnapshotTable[[#This Row],[SC Buyback Override]]),"")</f>
        <v/>
      </c>
      <c r="FG169" s="4">
        <f>IF(SnapshotTable[[#This Row],[SC Is Filled]], MAX(0,SnapshotTable[[#This Row],[Last Price]]  - SnapshotTable[[#This Row],[SC Strike Price]]), 0)</f>
        <v>0</v>
      </c>
      <c r="FH169" s="382">
        <f>IF(SnapshotTable[[#This Row],[SC Is Filled]], IF(ISNUMBER(SnapshotTable[[#This Row],[SC Current Ask]]), SnapshotTable[[#This Row],[SC Current Ask]], SnapshotTable[[#This Row],[SC Book Price]]) - SnapshotTable[[#This Row],[SC Intrinsic Value]], 0)</f>
        <v>0</v>
      </c>
      <c r="FI169" s="143"/>
      <c r="FJ169" s="32" t="str">
        <f>IF(SnapshotTable[[#This Row],[SC Is Filled]],100 * SnapshotTable[[#This Row],[SC Qty]] * IF(ISNUMBER(SnapshotTable[[#This Row],[SC Buyback Override]]), SnapshotTable[[#This Row],[SC Buyback Override]], SnapshotTable[[#This Row],[SC Current Ask]]), "")</f>
        <v/>
      </c>
      <c r="FK169" s="250" t="str">
        <f>IF(SnapshotTable[[#This Row],[SC Time Val]]&gt;0, SnapshotTable[[#This Row],[SC Time Val]] / SnapshotTable[[#This Row],[Last Price]],"")</f>
        <v/>
      </c>
      <c r="FL169" s="302" t="str">
        <f>IF(SnapshotTable[[#This Row],[SC Is Booked]], ((SnapshotTable[[#This Row],[Last Price]] -SnapshotTable[[#This Row],[SC Strike Price]]) / SnapshotTable[[#This Row],[Last Price]]) * -1, "")</f>
        <v/>
      </c>
      <c r="FM169" s="157" t="str">
        <f>IF(SnapshotTable[[#This Row],[SC Is Booked]],  (SnapshotTable[[#This Row],[SC Qty]] * 100 * SnapshotTable[[#This Row],[SC Strike Price]]) - SnapshotTable[[#This Row],[SC Current Ask]], "")</f>
        <v/>
      </c>
      <c r="FN16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9" s="31" t="str">
        <f>IF(AND(ISNUMBER(SnapshotTable[[#This Row],[SC Exercise Gross]]), ISNUMBER(SnapshotTable[[#This Row],[Equity Basis Per Share]] )), SnapshotTable[[#This Row],[SC Exercise Gross]] - SnapshotTable[[#This Row],[Equity Basis Total]] +  SnapshotTable[[#This Row],[SC Premium]], "")</f>
        <v/>
      </c>
      <c r="FP169" s="5" t="str">
        <f>IF(ISNUMBER(SnapshotTable[[#This Row],[SC Exercise Gross]]), (SnapshotTable[[#This Row],[SC Exercise Gross]]) / (SnapshotTable[[#This Row],[SC Qty]] * 100), "")</f>
        <v/>
      </c>
      <c r="FQ169" s="27" t="str">
        <f>IF(SnapshotTable[[#This Row],[SC Is Booked]],SnapshotTable[[#This Row],[SC Time Val]] /SnapshotTable[[#This Row],[SC Basis]], "")</f>
        <v/>
      </c>
      <c r="FR169" s="27" t="str" cm="1">
        <f t="array" ref="FR169">IF(AND(ISNUMBER(SnapshotTable[[#This Row],[SC Term]]),ISNUMBER(SnapshotTable[[#This Row],[SC Simple ROO]])), EllmanAnnualize(SnapshotTable[[#This Row],[SC DTE]], SnapshotTable[[#This Row],[SC Simple ROO]] ),"")</f>
        <v/>
      </c>
      <c r="FS169" s="4" t="e">
        <f>IF(SnapshotTable[[#This Row],[SC Strike Price]] &gt; SnapshotTable[[#This Row],[Last Price]], SnapshotTable[[#This Row],[SC Strike Price]] - SnapshotTable[[#This Row],[Last Price]],0)</f>
        <v>#VALUE!</v>
      </c>
      <c r="FT169" s="27" t="e">
        <f>IF(AND(ISNUMBER(SnapshotTable[[#This Row],[SC Upside Potential]]), SnapshotTable[[#This Row],[SC Upside Potential]] &gt; 0),(SnapshotTable[[#This Row],[SC Upside Potential]]/ SnapshotTable[[#This Row],[ACB]]),"")</f>
        <v>#VALUE!</v>
      </c>
      <c r="FU169" s="333" t="str">
        <f>IF(SnapshotTable[[#This Row],[SC Intrinsic Value]] &gt; 0,SnapshotTable[[#This Row],[SC Intrinsic Value]],"")</f>
        <v/>
      </c>
      <c r="FV169" s="27" t="str">
        <f>IF(AND( ISNUMBER( SnapshotTable[[#This Row],[ACB]]),ISNUMBER(SnapshotTable[[#This Row],[SC Downside Protect]])),SnapshotTable[[#This Row],[SC Downside Protect]] / SnapshotTable[[#This Row],[ACB]],"")</f>
        <v/>
      </c>
      <c r="FW169" s="236" t="str">
        <f>IF(AND(ISNUMBER(SnapshotTable[[#This Row],[SC Simple ROO]]),SnapshotTable[[#This Row],[SC Simple ROO]] &gt; 0), SnapshotTable[[#This Row],[SC Premium]] + (SnapshotTable[[#This Row],[SC Qty]] * SnapshotTable[[#This Row],[SC Upside Potential]]), "")</f>
        <v/>
      </c>
      <c r="FX169" s="302" t="str" cm="1">
        <f t="array" ref="FX169">IF(ISNUMBER(SnapshotTable[[#This Row],[SC Max Dollars]]), annualize(SnapshotTable[[#This Row],[SC Term]],(SnapshotTable[[#This Row],[SC Max Dollars]]/SnapshotTable[[#This Row],[SC Basis]])),"")</f>
        <v/>
      </c>
      <c r="FY169" s="236" t="str">
        <f>IF(AND(SnapshotTable[[#This Row],[SC Qty]]&gt;0,SnapshotTable[[#This Row],[SC Current Ask]]&gt;0), SnapshotTable[[#This Row],[SC Qty]] * SnapshotTable[[#This Row],[SC Current Ask]] * -100, "")</f>
        <v/>
      </c>
      <c r="FZ169" s="31" t="str">
        <f>IF(ISNUMBER((SnapshotTable[[#This Row],[SC Current Value]])), SnapshotTable[[#This Row],[SC Premium]] + SnapshotTable[[#This Row],[SC Current Value]], "")</f>
        <v/>
      </c>
      <c r="GA169" s="294" t="str">
        <f>IFERROR( IF(ISNUMBER((SnapshotTable[[#This Row],[SC Current Value]])), SnapshotTable[[#This Row],[SC Gain Loss]] / SnapshotTable[[#This Row],[SC Premium]], ""), "")</f>
        <v/>
      </c>
      <c r="GB169" s="42">
        <f>SnapshotTable[[#This Row],[Equity Shares]] * SaleSharesToConsiderPercentage</f>
        <v>0</v>
      </c>
      <c r="GC169" s="40">
        <f>SnapshotTable[[#This Row],[Long Term Target]] * SellingPriceToConsiderBasedOnTargetPercentage</f>
        <v>319.38049999999998</v>
      </c>
      <c r="GD169" s="40">
        <f>SnapshotTable[[#This Row],[Last Price]] * (1+ SellingPriceToConsiderBasedOnTargetPercentage)</f>
        <v>625.98899999999992</v>
      </c>
      <c r="GE169" s="41"/>
      <c r="GF169" s="40"/>
      <c r="GG169" s="31">
        <f>SnapshotTable[[#This Row],[Booked Sale Shares]] * SnapshotTable[[#This Row],[Booked Sale Price]]</f>
        <v>0</v>
      </c>
      <c r="GH169" s="31" t="str">
        <f>IF(SnapshotTable[[#This Row],[Equity Basis Total]] &gt; 0, SnapshotTable[[#This Row],[Equity Basis Per Share]] * SnapshotTable[[#This Row],[Booked Sale Shares]], "")</f>
        <v/>
      </c>
      <c r="GI169" s="31">
        <f>IF(SnapshotTable[[#This Row],[Sale Proceeds]]&gt;0, SnapshotTable[[#This Row],[Sale Proceeds]] - SnapshotTable[[#This Row],[Sale Basis]], 0)</f>
        <v>0</v>
      </c>
      <c r="GJ169" s="27" t="str">
        <f>IF(SnapshotTable[[#This Row],[Sale G/L]]&gt;0, SnapshotTable[[#This Row],[Sale G/L]] / SnapshotTable[[#This Row],[Sale Basis]], IF(ISNUMBER(SnapshotTable[[#This Row],[SC Exercise P&amp;L (TAX)]]), SnapshotTable[[#This Row],[SC Exercise P&amp;L (TAX)]] / SnapshotTable[[#This Row],[SC Basis]], ""))</f>
        <v/>
      </c>
      <c r="GK169" s="27" t="s">
        <v>703</v>
      </c>
      <c r="GL169" s="43" t="str">
        <f>IF(AND(SnapshotTable[[#This Row],[LP Exp Date]]&gt;0,SnapshotTable[[#This Row],[LP Strike Price]]&gt;0), [1]!ToOptionSymbol(SnapshotTable[[#This Row],[Symbol]], SnapshotTable[[#This Row],[LP Strike Price]],SnapshotTable[[#This Row],[LP Exp Date]],1), "")</f>
        <v/>
      </c>
      <c r="GM169" s="30" t="str">
        <f>IF(LEN(SnapshotTable[[#This Row],[LP Symbol]])&gt;0, 1, "")</f>
        <v/>
      </c>
      <c r="GN169" s="43" t="str">
        <f>IF(AND(SnapshotTable[[#This Row],[SP Exp Date]]&gt;0,SnapshotTable[[#This Row],[SP Strike Price]]&gt;0), [1]!ToOptionSymbol(SnapshotTable[[#This Row],[Symbol]], SnapshotTable[[#This Row],[SP Strike Price]],SnapshotTable[[#This Row],[SP Exp Date]],1), "")</f>
        <v/>
      </c>
      <c r="GO169" s="30" t="str">
        <f>IF(LEN(SnapshotTable[[#This Row],[SP Symbol]])&gt;0, 1, "")</f>
        <v/>
      </c>
      <c r="GP169" s="43" t="str">
        <f>IF(AND(SnapshotTable[[#This Row],[LC Exp Date]]&gt;0,SnapshotTable[[#This Row],[LC Strike Price]]&gt;0), [1]!ToOptionSymbol(SnapshotTable[[#This Row],[Symbol]], SnapshotTable[[#This Row],[LC Strike Price]],SnapshotTable[[#This Row],[LC Exp Date]],0), "")</f>
        <v/>
      </c>
      <c r="GQ169" s="30" t="str">
        <f>IF(LEN(SnapshotTable[[#This Row],[LC Symbol]])&gt;0, 1, "")</f>
        <v/>
      </c>
      <c r="GR169" s="43" t="str">
        <f>IF(AND(SnapshotTable[[#This Row],[SC Exp Date]]&gt;0,SnapshotTable[[#This Row],[SC Strike Price]]&gt;0), [1]!ToOptionSymbol(SnapshotTable[[#This Row],[Symbol]], SnapshotTable[[#This Row],[SC Strike Price]],SnapshotTable[[#This Row],[SC Exp Date]],0), "")</f>
        <v/>
      </c>
      <c r="GS169" s="30" t="str">
        <f>IF(LEN(SnapshotTable[[#This Row],[SC Symbol]])&gt;0, 1, "")</f>
        <v/>
      </c>
      <c r="GT169" s="29" t="str">
        <f>IF(COUNT(SnapshotTable[[#This Row],[LP Symbol Count]],SnapshotTable[[#This Row],[SP Symbol Count]],SnapshotTable[[#This Row],[LC Symbol Count]],SnapshotTable[[#This Row],[SC Symbol Count]])&gt;0, "Y", "")</f>
        <v/>
      </c>
      <c r="GU16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9" s="231" t="e">
        <f>MAX(SnapshotTable[[#This Row],[Equity Basis Total]],SnapshotTable[[#This Row],[Equity Value]]) + (SnapshotTable[[#This Row],[SP Potential Spend]]- SnapshotTable[[#This Row],[SP Premium]] + SnapshotTable[[#This Row],[LP Premium]])+ (SnapshotTable[[#This Row],[LC Premium]] - SnapshotTable[[#This Row],[SC Premium]])</f>
        <v>#VALUE!</v>
      </c>
      <c r="GW169" s="139" t="e">
        <f>IF(AND(SnapshotTable[[#This Row],[Exposure]] &lt;&gt; 0),SnapshotTable[[#This Row],[Exposure]] / SnapshotTable[[#Totals],[Exposure]], "")</f>
        <v>#VALUE!</v>
      </c>
      <c r="HE169" s="268"/>
      <c r="HF169" s="268"/>
      <c r="HK169" s="1"/>
      <c r="HL169" s="1"/>
      <c r="HM169" s="1"/>
      <c r="HN169" s="1"/>
      <c r="HO169" s="1"/>
      <c r="HP169" s="1"/>
    </row>
    <row r="170" spans="2:224" ht="12.75" hidden="1" customHeight="1" x14ac:dyDescent="0.25">
      <c r="B170" s="12" t="s">
        <v>220</v>
      </c>
      <c r="C170" s="422">
        <v>400.61</v>
      </c>
      <c r="D170" s="208"/>
      <c r="E170" s="39">
        <f>SnapshotTable[[#This Row],[Last Price]]*(1 -CrashDiscount)</f>
        <v>340.51850000000002</v>
      </c>
      <c r="F170" s="26" t="s">
        <v>55</v>
      </c>
      <c r="G170" s="26" t="s">
        <v>9</v>
      </c>
      <c r="H170" s="149"/>
      <c r="I170" s="194">
        <v>44768.670138888891</v>
      </c>
      <c r="J170" s="195">
        <v>44768.670138888891</v>
      </c>
      <c r="K170" s="196"/>
      <c r="L170" s="326" t="s">
        <v>152</v>
      </c>
      <c r="M170" s="140"/>
      <c r="N170" s="140"/>
      <c r="O170" s="140"/>
      <c r="P170" s="22"/>
      <c r="Q170" s="25"/>
      <c r="R170" s="4" t="str">
        <f>IF(SnapshotTable[[#This Row],[Equity Basis Total]] &gt; 0, SnapshotTable[[#This Row],[Equity Basis Total]] / SnapshotTable[[#This Row],[Equity Shares]], "")</f>
        <v/>
      </c>
      <c r="S170" s="269">
        <f>SnapshotTable[[#This Row],[Last Price]] * SnapshotTable[[#This Row],[Equity Shares]]</f>
        <v>0</v>
      </c>
      <c r="T170" s="269">
        <f>SnapshotTable[[#This Row],[Equity Value]] - SnapshotTable[[#This Row],[Equity Basis Total]]</f>
        <v>0</v>
      </c>
      <c r="U170" s="270" t="str">
        <f>IF(SnapshotTable[[#This Row],[Equity Basis Total]] &gt; 0, SnapshotTable[[#This Row],[Equity G/L]] / SnapshotTable[[#This Row],[Equity Basis Total]], "")</f>
        <v/>
      </c>
      <c r="V170" s="268"/>
      <c r="W170" s="268"/>
      <c r="X170" s="4" t="str">
        <f>IF(AND(ISNUMBER(SnapshotTable[[#This Row],[Equity Basis Per Share]]),ISNUMBER(SnapshotTable[[#This Row],[Equity Target]])),SnapshotTable[[#This Row],[Equity Target]]-SnapshotTable[[#This Row],[Equity Basis Per Share]],"")</f>
        <v/>
      </c>
      <c r="Y170" s="4" t="str">
        <f>IF(AND(ISNUMBER(SnapshotTable[[#This Row],[Equity Basis Per Share]]),ISNUMBER(SnapshotTable[[#This Row],[Equity Stop Loss]])),SnapshotTable[[#This Row],[Equity Stop Loss]]-SnapshotTable[[#This Row],[Equity Basis Per Share]],"")</f>
        <v/>
      </c>
      <c r="Z170" s="275" t="str">
        <f>IFERROR( TEXT(SnapshotTable[[#This Row],[Equity Max Gain Per Share]] /ABS( SnapshotTable[[#This Row],[Equity Max Loss Per Share]]),"0.0 " ) &amp; " : 1", "")</f>
        <v/>
      </c>
      <c r="AA170" s="31" t="str">
        <f>IF(ISNUMBER(SnapshotTable[[#This Row],[Equity Max Gain Per Share]]),SnapshotTable[[#This Row],[Equity Max Gain Per Share]] * SnapshotTable[[#This Row],[Equity Shares]],"")</f>
        <v/>
      </c>
      <c r="AB170" s="31" t="str">
        <f>IF(ISNUMBER(SnapshotTable[[#This Row],[Equity Max Loss Per Share]]),SnapshotTable[[#This Row],[Equity Max Loss Per Share]] * SnapshotTable[[#This Row],[Equity Shares]],"")</f>
        <v/>
      </c>
      <c r="AC170" s="150">
        <v>0</v>
      </c>
      <c r="AD170" s="151" t="s">
        <v>2</v>
      </c>
      <c r="AE170" s="31">
        <f>(SnapshotTable[[#This Row],[Annual Dividend Per Share]] / 4) * SnapshotTable[[#This Row],[Equity Shares]]</f>
        <v>0</v>
      </c>
      <c r="AF170" s="31">
        <f>SnapshotTable[[#This Row],[Quarterly Div $]] * 4</f>
        <v>0</v>
      </c>
      <c r="AG170" s="7">
        <f>IF(SnapshotTable[[#This Row],[Annual Dividend Per Share]]&gt;0, SnapshotTable[[#This Row],[Annual Dividend Per Share]]  / SnapshotTable[[#This Row],[Last Price]], 0)</f>
        <v>0</v>
      </c>
      <c r="AH170" s="151" t="s">
        <v>2</v>
      </c>
      <c r="AI170" s="5">
        <v>125</v>
      </c>
      <c r="AJ170" s="138">
        <v>134.13999999999999</v>
      </c>
      <c r="AK170" s="152">
        <f>IF(ISNUMBER( SnapshotTable[[#This Row],[EBF Target]]),(SnapshotTable[[#This Row],[EBF Target]] - SnapshotTable[[#This Row],[Last Price]]) / SnapshotTable[[#This Row],[Last Price]], "")</f>
        <v>-0.68797583684880559</v>
      </c>
      <c r="AL170" s="152" t="str">
        <f>IF(AND(SnapshotTable[[#This Row],[Equity Basis Total]] &gt; 0,ISNUMBER( SnapshotTable[[#This Row],[Long Term Target]])), SnapshotTable[[#This Row],[From Basis $]] / SnapshotTable[[#This Row],[Equity Basis Total]], "")</f>
        <v/>
      </c>
      <c r="AM170" s="9">
        <f>IF( AND(SnapshotTable[[#This Row],[Equity Shares]] &gt;0,ISNUMBER( SnapshotTable[[#This Row],[Long Term Target]])),(SnapshotTable[[#This Row],[Equity Shares]] * SnapshotTable[[#This Row],[Long Term Target]]) - SnapshotTable[[#This Row],[Equity Basis Total]],0)</f>
        <v>0</v>
      </c>
      <c r="AN170" s="9">
        <f>IF( AND(SnapshotTable[[#This Row],[Equity Shares]] &gt;0,ISNUMBER( SnapshotTable[[#This Row],[Long Term Target]])),(SnapshotTable[[#This Row],[Equity Shares]]*SnapshotTable[[#This Row],[Long Term Target]]) - SnapshotTable[[#This Row],[Equity Value]],0)</f>
        <v>0</v>
      </c>
      <c r="AO170" s="152">
        <f>IF(AND(ISNUMBER( SnapshotTable[[#This Row],[Long Term Target]]), ISNUMBER(SnapshotTable[[#This Row],[Last Price]])),(SnapshotTable[[#This Row],[Long Term Target]] - SnapshotTable[[#This Row],[Last Price]]) / SnapshotTable[[#This Row],[Last Price]], "")</f>
        <v>-0.66516063003919024</v>
      </c>
      <c r="AP170" s="5"/>
      <c r="AQ170" s="38"/>
      <c r="AR170" s="5"/>
      <c r="AS170" s="38"/>
      <c r="AT170" s="146"/>
      <c r="AU170" s="187" t="str">
        <f>IF(OR(SnapshotTable[[#This Row],[LP No Fill]]="Y",SnapshotTable[[#This Row],[SP Is Filled]],SnapshotTable[[#This Row],[LC Not Filled]]="Y",SnapshotTable[[#This Row],[SC Is Filled]]),"Y","")</f>
        <v/>
      </c>
      <c r="AV170" s="219"/>
      <c r="AW170" s="225"/>
      <c r="AX170" s="220"/>
      <c r="AY170" s="219" t="str">
        <f>IF(SnapshotTable[[#This Row],[Implied Move]]&gt;0, SnapshotTable[[#This Row],[Last Price]]-SnapshotTable[[#This Row],[Implied Move]],"")</f>
        <v/>
      </c>
      <c r="AZ170" s="219" t="str">
        <f>IF(SnapshotTable[[#This Row],[Implied Move]]&gt;0, SnapshotTable[[#This Row],[Last Price]] + SnapshotTable[[#This Row],[Implied Move]],"")</f>
        <v/>
      </c>
      <c r="BA170" s="331"/>
      <c r="BB170" s="347"/>
      <c r="BC17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0" s="351"/>
      <c r="BE170" s="5"/>
      <c r="BF170" s="14"/>
      <c r="BG170" s="13"/>
      <c r="BH170" s="13"/>
      <c r="BI170" s="5"/>
      <c r="BJ170" s="136">
        <f>IF(SnapshotTable[[#This Row],[LP Qty]] &gt; 0, SnapshotTable[[#This Row],[LP Qty]] * SnapshotTable[[#This Row],[LP Book Price]] * 100,0)</f>
        <v>0</v>
      </c>
      <c r="BK170" s="136">
        <f>IF(SnapshotTable[[#This Row],[LP Premium]] &gt; 0, SnapshotTable[[#This Row],[LP Qty]] * SnapshotTable[[#This Row],[LP Strike Price]] * 100,0)</f>
        <v>0</v>
      </c>
      <c r="BL170" s="154"/>
      <c r="BM170" s="385" t="str">
        <f>IF(SnapshotTable[[#This Row],[LP Premium]] &gt; 0,SnapshotTable[[#This Row],[LP Exp Date]]-MAX(SnapshotTable[[#This Row],[LP Book Date]], SnapshotTable[[#This Row],[LP Fill Date]]),"")</f>
        <v/>
      </c>
      <c r="BN170" s="385" t="str">
        <f>IF(ISNUMBER( SnapshotTable[[#This Row],[LP Term]]), SnapshotTable[[#This Row],[LP Exp Date]] - MockToday,"")</f>
        <v/>
      </c>
      <c r="BO170" s="163" t="str">
        <f>IF(AND(SnapshotTable[[#This Row],[LP Exp Date]]&gt;0, SnapshotTable[[#This Row],[LP Strike Price]]&gt;0,SnapshotTable[[#This Row],[LP Qty]]&gt;0,SnapshotTable[[#This Row],[LP Book Date]]&gt;0,SnapshotTable[[#This Row],[LP Book Price]]&gt;0,SnapshotTable[[#This Row],[LP Fill Date]]=0),"Y","")</f>
        <v/>
      </c>
      <c r="BP170" s="31" t="str">
        <f>IF(AND(SnapshotTable[[#This Row],[LP No Fill]]&lt;&gt;"Y",SnapshotTable[[#This Row],[LP Contract Value]]&gt;0, SnapshotTable[[#This Row],[LP Qty]]&gt;0), SnapshotTable[[#This Row],[LP Contract Value]]*SnapshotTable[[#This Row],[LP Qty]]*100,"")</f>
        <v/>
      </c>
      <c r="BQ170" s="13"/>
      <c r="BR170" s="5" t="str">
        <f>IF(SnapshotTable[[#This Row],[SP Exp Date]]&lt;&gt;"",TRUNC(SnapshotTable[[#This Row],[Last Price]]),"")</f>
        <v/>
      </c>
      <c r="BS170" s="36"/>
      <c r="BT170" s="147"/>
      <c r="BU170" s="13"/>
      <c r="BV170" s="5"/>
      <c r="BW170" s="419" t="b">
        <f>AND(ISNUMBER(SnapshotTable[[#This Row],[SP Exp Date]]), ISNUMBER(SnapshotTable[[#This Row],[SP Strike Price]]), ISNUMBER(SnapshotTable[[#This Row],[SP Qty]]), ISNUMBER(SnapshotTable[[#This Row],[SP Book Date]]), ISNUMBER(SnapshotTable[[#This Row],[SP Book Price]]))</f>
        <v>0</v>
      </c>
      <c r="BX170" s="419" t="b">
        <f>AND(SnapshotTable[[#This Row],[SP Is Booked]], NOT(ISBLANK(SnapshotTable[[#This Row],[SP Fill Date]])))</f>
        <v>0</v>
      </c>
      <c r="BY170" s="33">
        <f>IF(SnapshotTable[[#This Row],[SP Is Booked]], SnapshotTable[[#This Row],[SP Qty]] * SnapshotTable[[#This Row],[SP Book Price]] * 100, 0)</f>
        <v>0</v>
      </c>
      <c r="BZ170" s="369"/>
      <c r="CA170" s="368">
        <f>SnapshotTable[[#This Row],[LP Qty]]</f>
        <v>0</v>
      </c>
      <c r="CB170" s="4" t="str">
        <f>IF(SnapshotTable[[#This Row],[SP Is Booked]], SnapshotTable[[#This Row],[SP Strike Price]] - SnapshotTable[[#This Row],[SP Book Price]], "")</f>
        <v/>
      </c>
      <c r="CC170" s="19" t="str">
        <f>IF(SnapshotTable[[#This Row],[SP Is Booked]],SnapshotTable[[#This Row],[SP Exp Date]]-MAX(SnapshotTable[[#This Row],[SP Book Date]], SnapshotTable[[#This Row],[SP Fill Date]]),"")</f>
        <v/>
      </c>
      <c r="CD170" s="7" t="str">
        <f>IF(SnapshotTable[[#This Row],[SP Is Booked]], SnapshotTable[[#This Row],[SP Book Price]]/SnapshotTable[[#This Row],[SP Strike Price]], "")</f>
        <v/>
      </c>
      <c r="CE170" s="7" t="str">
        <f>IF(ISNUMBER(SnapshotTable[[#This Row],[SP ROO Term]]),SnapshotTable[[#This Row],[SP ROO Term]]*(365/SnapshotTable[[#This Row],[SP Term]]),"")</f>
        <v/>
      </c>
      <c r="CF170" s="236">
        <f>SnapshotTable[[#This Row],[LP Strike Price]] * SnapshotTable[[#This Row],[LP Qty]] * 100</f>
        <v>0</v>
      </c>
      <c r="CG170" s="31" t="e">
        <f>IF(ISNUMBER(SnapshotTable[[#This Row],[SP Premium]]), (SnapshotTable[[#This Row],[SP Qty]] * SnapshotTable[[#This Row],[SP Strike Price]]* 100) - SnapshotTable[[#This Row],[LP Protection]], 0)</f>
        <v>#VALUE!</v>
      </c>
      <c r="CH170" s="7" t="str">
        <f>IF(ISNUMBER(SnapshotTable[[#This Row],[SP Break Even]]),-1 * (SnapshotTable[[#This Row],[SP Break Even]] - SnapshotTable[[#This Row],[Last Price]]) / SnapshotTable[[#This Row],[Last Price]], "")</f>
        <v/>
      </c>
      <c r="CI170" s="31">
        <f>IF(AND(ISNUMBER((SnapshotTable[[#This Row],[SP Potential Spend]])), SnapshotTable[[#This Row],[SP Strike Price]] &gt; SnapshotTable[[#This Row],[Last Price]], SnapshotTable[[#This Row],[SP Is Filled]]), SnapshotTable[[#This Row],[SP Potential Spend]] -  SnapshotTable[[#This Row],[LP Max Value]], 0)</f>
        <v>0</v>
      </c>
      <c r="CJ170" s="244"/>
      <c r="CK170" s="31" t="str">
        <f>IF(ISNUMBER(SnapshotTable[[#This Row],[SP Potential Spend]]),IF(ISNUMBER(SnapshotTable[[#This Row],[SP POW]]), SnapshotTable[[#This Row],[SP POW]] * SnapshotTable[[#This Row],[SP Potential Spend]], SnapshotTable[[#This Row],[SP Potential Spend]]), "")</f>
        <v/>
      </c>
      <c r="CL170" s="164" t="e">
        <f>IF(NOT(SnapshotTable[[#This Row],[SP Is Filled]]),(SnapshotTable[[#This Row],[SP Qty]] * SnapshotTable[[#This Row],[SP Strike Price]] * 100) - SnapshotTable[[#This Row],[LP Max Value]],"")</f>
        <v>#VALUE!</v>
      </c>
      <c r="CM170" s="31" t="str">
        <f>IF(SnapshotTable[[#This Row],[SP Actual Spend]]&lt;&gt;0, ((SnapshotTable[[#This Row],[SP Strike Price]]-SnapshotTable[[#This Row],[Last Price]]) *(SnapshotTable[[#This Row],[SP Qty]]*100) - SnapshotTable[[#This Row],[SP Premium]]) * - 1, "")</f>
        <v/>
      </c>
      <c r="CN170" s="78"/>
      <c r="CO170" s="369"/>
      <c r="CP170" s="4" t="str">
        <f>IF(SnapshotTable[[#This Row],[SP Is Filled]], btc_max_buyback_amount(SnapshotTable[[#This Row],[SP Fill Date]],SnapshotTable[[#This Row],[SP Exp Date]], SnapshotTable[[#This Row],[SP Book Price]]),"")</f>
        <v/>
      </c>
      <c r="CQ170" s="78"/>
      <c r="CR17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0" s="155" t="str">
        <f>IF(SnapshotTable[[#This Row],[SP Is Filled]], btc_next_cutoff_date(SnapshotTable[[#This Row],[SP Fill Date]],SnapshotTable[[#This Row],[SP Exp Date]]),"")</f>
        <v/>
      </c>
      <c r="CT170" s="235" t="str" cm="1">
        <f t="array" ref="CT170">IF(SnapshotTable[[#This Row],[SP Is Filled]], btc_should_buy_back(SnapshotTable[[#This Row],[SP Fill Date]], SnapshotTable[[#This Row],[SP Exp Date]], SnapshotTable[[#This Row],[SP Book Price]], SnapshotTable[[#This Row],[SP Current Ask]], MockToday, SnapshotTable[[#This Row],[SP Buyback Override]]),"")</f>
        <v/>
      </c>
      <c r="CU170" s="143"/>
      <c r="CV170" s="235"/>
      <c r="CW170" s="378" t="str">
        <f>IF(ISNUMBER( SnapshotTable[[#This Row],[SP Term]]), SnapshotTable[[#This Row],[SP Exp Date]] - MockToday,"")</f>
        <v/>
      </c>
      <c r="CX170" s="31" t="str">
        <f>IF(SnapshotTable[[#This Row],[SP Is Filled]],SnapshotTable[[#This Row],[SP Buyback Price to Use]] * 100 * SnapshotTable[[#This Row],[SP Qty]], "")</f>
        <v/>
      </c>
      <c r="CY170" s="4" t="str">
        <f>IF(ISNUMBER(SnapshotTable[[#This Row],[SP Strike Price]]), SnapshotTable[[#This Row],[SP Strike Price]] * (1 - SP_MaxLoss_StrikePct), "")</f>
        <v/>
      </c>
      <c r="CZ170" s="31" t="str">
        <f>IF(ISNUMBER(SnapshotTable[[#This Row],[SP Strike  Stop Per Share]]),SnapshotTable[[#This Row],[SP Premium]] - ((SnapshotTable[[#This Row],[SP Strike Price]]-SnapshotTable[[#This Row],[SP Strike  Stop Per Share]]) *(SnapshotTable[[#This Row],[SP Qty]] * 100)),"")</f>
        <v/>
      </c>
      <c r="DA170" s="4" t="str">
        <f>IF(AND(ISNUMBER(SnapshotTable[[#This Row],[SP Premium]]),SnapshotTable[[#This Row],[SP Premium]]&gt;0), SnapshotTable[[#This Row],[SP Book Price]] * (1 + SP_MaxLoss_OptionPct), "")</f>
        <v/>
      </c>
      <c r="DB170" s="31" t="str">
        <f>IF(ISNUMBER(SnapshotTable[[#This Row],[SP Option  Stop Contract]]),(SnapshotTable[[#This Row],[SP Option  Stop Contract]] *(SnapshotTable[[#This Row],[SP Qty]] * 100) - SnapshotTable[[#This Row],[SP Premium]]),"")</f>
        <v/>
      </c>
      <c r="DC170" s="4"/>
      <c r="DD170" s="4"/>
      <c r="DE170" s="4" t="str">
        <f>IF(AND(SnapshotTable[[#This Row],[SP Qty]]&gt;0, SnapshotTable[[#This Row],[SP Stop To Use]]&gt;0),SnapshotTable[[#This Row],[SP Premium]] - ( SnapshotTable[[#This Row],[SP Qty]] * SnapshotTable[[#This Row],[SP Stop To Use]] * 100), "")</f>
        <v/>
      </c>
      <c r="DF170" s="31" t="str">
        <f>IF(AND(SnapshotTable[[#This Row],[SP Qty]]&gt;0,SnapshotTable[[#This Row],[SP Current Ask]]&gt;0), SnapshotTable[[#This Row],[SP Qty]] * SnapshotTable[[#This Row],[SP Current Ask]] * -100, "")</f>
        <v/>
      </c>
      <c r="DG170" s="31" t="str">
        <f>IF(ISNUMBER((SnapshotTable[[#This Row],[SP Total Value]])), SnapshotTable[[#This Row],[SP Premium]] + SnapshotTable[[#This Row],[SP Total Value]], "")</f>
        <v/>
      </c>
      <c r="DH170" s="294" t="str">
        <f>IF(ISNUMBER((SnapshotTable[[#This Row],[SP Total Value]])), SnapshotTable[[#This Row],[SP Gain Loss]] / SnapshotTable[[#This Row],[SP Premium]], "")</f>
        <v/>
      </c>
      <c r="DI170" s="406"/>
      <c r="DJ170" s="138"/>
      <c r="DK170" s="148"/>
      <c r="DL170" s="13"/>
      <c r="DM170" s="13"/>
      <c r="DO170" s="31">
        <f>IF(SnapshotTable[[#This Row],[LC Symbol Count]]=1, SnapshotTable[[#This Row],[LC Qty]] * SnapshotTable[[#This Row],[LC Book Price]] * 100, 0)</f>
        <v>0</v>
      </c>
      <c r="DP170" s="163" t="str">
        <f>IF(AND(SnapshotTable[[#This Row],[LC Exp Date]]&gt;0, SnapshotTable[[#This Row],[LC Strike Price]]&gt;0,SnapshotTable[[#This Row],[LC Qty]]&gt;0,SnapshotTable[[#This Row],[LC Book Date]]&gt;0,SnapshotTable[[#This Row],[LC Book Price]]&gt;0,SnapshotTable[[#This Row],[LC Fill Date]]=0),"Y","")</f>
        <v/>
      </c>
      <c r="DQ170" s="386" t="str">
        <f>IF(SnapshotTable[[#This Row],[LC Premium]] &gt; 0,SnapshotTable[[#This Row],[LC Exp Date]]-MAX(SnapshotTable[[#This Row],[LC Book Date]], SnapshotTable[[#This Row],[LC Fill Date]]),"")</f>
        <v/>
      </c>
      <c r="DR170" s="386" t="str">
        <f>IF(ISNUMBER(SnapshotTable[[#This Row],[LC Term]]), SnapshotTable[[#This Row],[LC Exp Date]] - MockToday, "")</f>
        <v/>
      </c>
      <c r="DS170" s="234" t="str">
        <f>IF(SnapshotTable[[#This Row],[LC Premium]]&gt;0,SnapshotTable[[#This Row],[LC Strike Price]] + SnapshotTable[[#This Row],[LC Book Price]],"")</f>
        <v/>
      </c>
      <c r="DU170" s="9" t="str">
        <f>IF(AND(SnapshotTable[[#This Row],[LC Symbol Count]]&gt;0, SnapshotTable[[#This Row],[LC Contract Value]]&gt;0), SnapshotTable[[#This Row],[LC Contract Value]] * SnapshotTable[[#This Row],[LC Qty]] * 100, "")</f>
        <v/>
      </c>
      <c r="DV170" s="9" t="str">
        <f>IF(AND(ISNUMBER(SnapshotTable[[#This Row],[LC Total Value]]), SnapshotTable[[#This Row],[LC Not Filled]]&lt;&gt;"Y"), SnapshotTable[[#This Row],[LC Total Value]]-SnapshotTable[[#This Row],[LC Premium]],"")</f>
        <v/>
      </c>
      <c r="DW170" s="240" t="str">
        <f>IF(ISNUMBER(SnapshotTable[[#This Row],[LC Actual Gain Loss]]), SnapshotTable[[#This Row],[LC Actual Gain Loss]] / SnapshotTable[[#This Row],[LC Premium]],"")</f>
        <v/>
      </c>
      <c r="DX170" s="284" t="str">
        <f>IF(ISNUMBER(SnapshotTable[[#This Row],[LC Book Price]]),SnapshotTable[[#This Row],[LC Book Price]] * 1.5,"")</f>
        <v/>
      </c>
      <c r="DY170" s="265" t="str">
        <f>IF(SnapshotTable[[#This Row],[LC Premium]]&gt;0, SnapshotTable[[#This Row],[LC Next Target]] * SnapshotTable[[#This Row],[LC Qty]] * 100,"")</f>
        <v/>
      </c>
      <c r="DZ170" s="265" t="str">
        <f>IF(ISNUMBER(SnapshotTable[[#This Row],[LC Target Gross]]), SnapshotTable[[#This Row],[LC Target Gross]] - SnapshotTable[[#This Row],[LC Premium]], "")</f>
        <v/>
      </c>
      <c r="EA170" s="305" t="str">
        <f>IF(ISNUMBER(SnapshotTable[[#This Row],[LC Target Gain Loss]]), SnapshotTable[[#This Row],[LC Target Gain Loss]]/SnapshotTable[[#This Row],[LC Premium]], "")</f>
        <v/>
      </c>
      <c r="EB170" s="262"/>
      <c r="EC170" s="283" t="str">
        <f>IF(SnapshotTable[[#This Row],[LC Premium]]&gt;0, SnapshotTable[[#This Row],[LC Book Price]] * (1 - LC_StopLoss_Pct),"")</f>
        <v/>
      </c>
      <c r="ED170" s="284"/>
      <c r="EE170" s="283" t="str">
        <f>IF(ISNUMBER(SnapshotTable[[#This Row],[LC Contract Value]]),IF(ISNUMBER(SnapshotTable[[#This Row],[LC Stop Loss Override]]), SnapshotTable[[#This Row],[LC Stop Loss Override]],SnapshotTable[[#This Row],[LC Stop Loss Calc Target]]),"")</f>
        <v/>
      </c>
      <c r="EF170" s="31" t="str">
        <f>IF(ISNUMBER(SnapshotTable[[#This Row],[LC Stop  To Use]]), (SnapshotTable[[#This Row],[LC Stop  To Use]] * SnapshotTable[[#This Row],[LC Qty]] * 100),"")</f>
        <v/>
      </c>
      <c r="EG170" s="9" t="str">
        <f>IF(ISNUMBER(SnapshotTable[[#This Row],[LC Total Value]]),SnapshotTable[[#This Row],[LC Stop Loss Amount]] - SnapshotTable[[#This Row],[LC Premium]],"")</f>
        <v/>
      </c>
      <c r="EH170" s="9">
        <f>IF(ISNUMBER(SnapshotTable[[#This Row],[LC Premium]]), SnapshotTable[[#This Row],[LC Qty]] * 100 * SnapshotTable[[#This Row],[LC Strike Price]], "")</f>
        <v>0</v>
      </c>
      <c r="EI170" s="240" t="str">
        <f>IF(AND(ISNUMBER(SnapshotTable[[#This Row],[LC Total Value]]),SnapshotTable[[#This Row],[LC Total Value]]&gt;0),SnapshotTable[[#This Row],[LC Stop Gain Loss]]  / SnapshotTable[[#This Row],[LC Premium]],"")</f>
        <v/>
      </c>
      <c r="EJ170" s="35">
        <f>IF(ISNUMBER(SnapshotTable[[#This Row],[Equity Shares]]),TRUNC(SnapshotTable[[#This Row],[Equity Shares]] / 100),0) + SnapshotTable[[#This Row],[LC Qty]]</f>
        <v>0</v>
      </c>
      <c r="EK170" s="147"/>
      <c r="EL170" s="138" t="str">
        <f>IF(SnapshotTable[[#This Row],[SC Exp Date]]&lt;&gt;"",TRUNC(SnapshotTable[[#This Row],[Last Price]]),"")</f>
        <v/>
      </c>
      <c r="EM170" s="148"/>
      <c r="EN170" s="147"/>
      <c r="EO170" s="147"/>
      <c r="EP170" s="138"/>
      <c r="EQ170" s="419" t="b">
        <f>AND(ISNUMBER(SnapshotTable[[#This Row],[SC Exp Date]]), ISNUMBER(SnapshotTable[[#This Row],[SC Strike Price]]), ISNUMBER(SnapshotTable[[#This Row],[SC Qty]]), ISNUMBER(SnapshotTable[[#This Row],[SC Book Date]]), ISNUMBER(SnapshotTable[[#This Row],[SC Book Price]]))</f>
        <v>0</v>
      </c>
      <c r="ER170" s="419" t="b">
        <f>AND(SnapshotTable[[#This Row],[SC Is Booked]], NOT(ISBLANK(SnapshotTable[[#This Row],[SC Fill Date]])))</f>
        <v>0</v>
      </c>
      <c r="ES170" s="370"/>
      <c r="ET170" s="34" t="str">
        <f>IF(AND(ISNUMBER(SnapshotTable[[#This Row],[SC Exp Date]]), ISNUMBER(SnapshotTable[[#This Row],[SC Book Date]])), SnapshotTable[[#This Row],[SC Exp Date]] - MAX(SnapshotTable[[#This Row],[SC Book Date]], SnapshotTable[[#This Row],[SC Fill Date]]) + 1, "")</f>
        <v/>
      </c>
      <c r="EU170" s="34" t="str">
        <f>IF(ISNUMBER(SnapshotTable[[#This Row],[SC Term]]), SnapshotTable[[#This Row],[SC Exp Date]]- MockToday, "")</f>
        <v/>
      </c>
      <c r="EV170" s="31">
        <f>IF(SnapshotTable[[#This Row],[SC Is Booked]], SnapshotTable[[#This Row],[SC Qty]] * SnapshotTable[[#This Row],[SC Book Price]] * 100, 0)</f>
        <v>0</v>
      </c>
      <c r="EW170" s="4" t="str">
        <f>IF(AND(ISNUMBER(SnapshotTable[[#This Row],[Last Price]]), ISNUMBER( SnapshotTable[[#This Row],[SC Book Price]])), SnapshotTable[[#This Row],[Last Price]] - SnapshotTable[[#This Row],[SC Book Price]],"")</f>
        <v/>
      </c>
      <c r="EX170" s="234" t="str">
        <f>IF(SnapshotTable[[#This Row],[SC Is Booked]],IF(SnapshotTable[[#This Row],[SC Intrinsic Value]] &gt; 0, SnapshotTable[[#This Row],[SC Strike Price]], SnapshotTable[[#This Row],[Last Price]]), "")</f>
        <v/>
      </c>
      <c r="EY170" s="4">
        <f>IF(SnapshotTable[[#This Row],[SC Is Booked]], (MinimumPremiumRequired * SnapshotTable[[#This Row],[SC Basis]] * SnapshotTable[[#This Row],[SC Term]]), 0)</f>
        <v>0</v>
      </c>
      <c r="EZ170" s="283"/>
      <c r="FA170" s="218"/>
      <c r="FB170" s="370"/>
      <c r="FC170" s="4">
        <f>IF(SnapshotTable[[#This Row],[SC Is Filled]], btc_max_buyback_amount(SnapshotTable[[#This Row],[SC Fill Date]],SnapshotTable[[#This Row],[SC Exp Date]], SnapshotTable[[#This Row],[SC Book Price]]),0)</f>
        <v>0</v>
      </c>
      <c r="FD170" s="5"/>
      <c r="FE170" s="144" t="str">
        <f>IF(SnapshotTable[[#This Row],[SC Is Filled]], btc_next_cutoff_date(SnapshotTable[[#This Row],[SC Fill Date]],SnapshotTable[[#This Row],[SC Exp Date]]),"")</f>
        <v/>
      </c>
      <c r="FF170" s="4" t="str" cm="1">
        <f t="array" ref="FF170">IF(SnapshotTable[[#This Row],[SC Is Filled]], btc_should_buy_back(SnapshotTable[[#This Row],[SC Fill Date]], SnapshotTable[[#This Row],[SC Exp Date]], SnapshotTable[[#This Row],[SC Book Price]], SnapshotTable[[#This Row],[SC Current Ask]], MockToday, SnapshotTable[[#This Row],[SC Buyback Override]]),"")</f>
        <v/>
      </c>
      <c r="FG170" s="4">
        <f>IF(SnapshotTable[[#This Row],[SC Is Filled]], MAX(0,SnapshotTable[[#This Row],[Last Price]]  - SnapshotTable[[#This Row],[SC Strike Price]]), 0)</f>
        <v>0</v>
      </c>
      <c r="FH170" s="382">
        <f>IF(SnapshotTable[[#This Row],[SC Is Filled]], IF(ISNUMBER(SnapshotTable[[#This Row],[SC Current Ask]]), SnapshotTable[[#This Row],[SC Current Ask]], SnapshotTable[[#This Row],[SC Book Price]]) - SnapshotTable[[#This Row],[SC Intrinsic Value]], 0)</f>
        <v>0</v>
      </c>
      <c r="FI170" s="143"/>
      <c r="FJ170" s="32" t="str">
        <f>IF(SnapshotTable[[#This Row],[SC Is Filled]],100 * SnapshotTable[[#This Row],[SC Qty]] * IF(ISNUMBER(SnapshotTable[[#This Row],[SC Buyback Override]]), SnapshotTable[[#This Row],[SC Buyback Override]], SnapshotTable[[#This Row],[SC Current Ask]]), "")</f>
        <v/>
      </c>
      <c r="FK170" s="250" t="str">
        <f>IF(SnapshotTable[[#This Row],[SC Time Val]]&gt;0, SnapshotTable[[#This Row],[SC Time Val]] / SnapshotTable[[#This Row],[Last Price]],"")</f>
        <v/>
      </c>
      <c r="FL170" s="302" t="str">
        <f>IF(SnapshotTable[[#This Row],[SC Is Booked]], ((SnapshotTable[[#This Row],[Last Price]] -SnapshotTable[[#This Row],[SC Strike Price]]) / SnapshotTable[[#This Row],[Last Price]]) * -1, "")</f>
        <v/>
      </c>
      <c r="FM170" s="157" t="str">
        <f>IF(SnapshotTable[[#This Row],[SC Is Booked]],  (SnapshotTable[[#This Row],[SC Qty]] * 100 * SnapshotTable[[#This Row],[SC Strike Price]]) - SnapshotTable[[#This Row],[SC Current Ask]], "")</f>
        <v/>
      </c>
      <c r="FN17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0" s="31" t="str">
        <f>IF(AND(ISNUMBER(SnapshotTable[[#This Row],[SC Exercise Gross]]), ISNUMBER(SnapshotTable[[#This Row],[Equity Basis Per Share]] )), SnapshotTable[[#This Row],[SC Exercise Gross]] - SnapshotTable[[#This Row],[Equity Basis Total]] +  SnapshotTable[[#This Row],[SC Premium]], "")</f>
        <v/>
      </c>
      <c r="FP170" s="5" t="str">
        <f>IF(ISNUMBER(SnapshotTable[[#This Row],[SC Exercise Gross]]), (SnapshotTable[[#This Row],[SC Exercise Gross]]) / (SnapshotTable[[#This Row],[SC Qty]] * 100), "")</f>
        <v/>
      </c>
      <c r="FQ170" s="27" t="str">
        <f>IF(SnapshotTable[[#This Row],[SC Is Booked]],SnapshotTable[[#This Row],[SC Time Val]] /SnapshotTable[[#This Row],[SC Basis]], "")</f>
        <v/>
      </c>
      <c r="FR170" s="27" t="str" cm="1">
        <f t="array" ref="FR170">IF(AND(ISNUMBER(SnapshotTable[[#This Row],[SC Term]]),ISNUMBER(SnapshotTable[[#This Row],[SC Simple ROO]])), EllmanAnnualize(SnapshotTable[[#This Row],[SC DTE]], SnapshotTable[[#This Row],[SC Simple ROO]] ),"")</f>
        <v/>
      </c>
      <c r="FS170" s="4" t="e">
        <f>IF(SnapshotTable[[#This Row],[SC Strike Price]] &gt; SnapshotTable[[#This Row],[Last Price]], SnapshotTable[[#This Row],[SC Strike Price]] - SnapshotTable[[#This Row],[Last Price]],0)</f>
        <v>#VALUE!</v>
      </c>
      <c r="FT170" s="27" t="e">
        <f>IF(AND(ISNUMBER(SnapshotTable[[#This Row],[SC Upside Potential]]), SnapshotTable[[#This Row],[SC Upside Potential]] &gt; 0),(SnapshotTable[[#This Row],[SC Upside Potential]]/ SnapshotTable[[#This Row],[ACB]]),"")</f>
        <v>#VALUE!</v>
      </c>
      <c r="FU170" s="333" t="str">
        <f>IF(SnapshotTable[[#This Row],[SC Intrinsic Value]] &gt; 0,SnapshotTable[[#This Row],[SC Intrinsic Value]],"")</f>
        <v/>
      </c>
      <c r="FV170" s="27" t="str">
        <f>IF(AND( ISNUMBER( SnapshotTable[[#This Row],[ACB]]),ISNUMBER(SnapshotTable[[#This Row],[SC Downside Protect]])),SnapshotTable[[#This Row],[SC Downside Protect]] / SnapshotTable[[#This Row],[ACB]],"")</f>
        <v/>
      </c>
      <c r="FW170" s="236" t="str">
        <f>IF(AND(ISNUMBER(SnapshotTable[[#This Row],[SC Simple ROO]]),SnapshotTable[[#This Row],[SC Simple ROO]] &gt; 0), SnapshotTable[[#This Row],[SC Premium]] + (SnapshotTable[[#This Row],[SC Qty]] * SnapshotTable[[#This Row],[SC Upside Potential]]), "")</f>
        <v/>
      </c>
      <c r="FX170" s="302" t="str" cm="1">
        <f t="array" ref="FX170">IF(ISNUMBER(SnapshotTable[[#This Row],[SC Max Dollars]]), annualize(SnapshotTable[[#This Row],[SC Term]],(SnapshotTable[[#This Row],[SC Max Dollars]]/SnapshotTable[[#This Row],[SC Basis]])),"")</f>
        <v/>
      </c>
      <c r="FY170" s="236" t="str">
        <f>IF(AND(SnapshotTable[[#This Row],[SC Qty]]&gt;0,SnapshotTable[[#This Row],[SC Current Ask]]&gt;0), SnapshotTable[[#This Row],[SC Qty]] * SnapshotTable[[#This Row],[SC Current Ask]] * -100, "")</f>
        <v/>
      </c>
      <c r="FZ170" s="31" t="str">
        <f>IF(ISNUMBER((SnapshotTable[[#This Row],[SC Current Value]])), SnapshotTable[[#This Row],[SC Premium]] + SnapshotTable[[#This Row],[SC Current Value]], "")</f>
        <v/>
      </c>
      <c r="GA170" s="294" t="str">
        <f>IFERROR( IF(ISNUMBER((SnapshotTable[[#This Row],[SC Current Value]])), SnapshotTable[[#This Row],[SC Gain Loss]] / SnapshotTable[[#This Row],[SC Premium]], ""), "")</f>
        <v/>
      </c>
      <c r="GB170" s="42">
        <f>SnapshotTable[[#This Row],[Equity Shares]] * SaleSharesToConsiderPercentage</f>
        <v>0</v>
      </c>
      <c r="GC170" s="40">
        <f>SnapshotTable[[#This Row],[Long Term Target]] * SellingPriceToConsiderBasedOnTargetPercentage</f>
        <v>127.43299999999998</v>
      </c>
      <c r="GD170" s="40">
        <f>SnapshotTable[[#This Row],[Last Price]] * (1+ SellingPriceToConsiderBasedOnTargetPercentage)</f>
        <v>781.18949999999995</v>
      </c>
      <c r="GE170" s="41"/>
      <c r="GF170" s="40">
        <v>121.18</v>
      </c>
      <c r="GG170" s="31">
        <f>SnapshotTable[[#This Row],[Booked Sale Shares]] * SnapshotTable[[#This Row],[Booked Sale Price]]</f>
        <v>0</v>
      </c>
      <c r="GH170" s="31" t="str">
        <f>IF(SnapshotTable[[#This Row],[Equity Basis Total]] &gt; 0, SnapshotTable[[#This Row],[Equity Basis Per Share]] * SnapshotTable[[#This Row],[Booked Sale Shares]], "")</f>
        <v/>
      </c>
      <c r="GI170" s="31">
        <f>IF(SnapshotTable[[#This Row],[Sale Proceeds]]&gt;0, SnapshotTable[[#This Row],[Sale Proceeds]] - SnapshotTable[[#This Row],[Sale Basis]], 0)</f>
        <v>0</v>
      </c>
      <c r="GJ170" s="27" t="str">
        <f>IF(SnapshotTable[[#This Row],[Sale G/L]]&gt;0, SnapshotTable[[#This Row],[Sale G/L]] / SnapshotTable[[#This Row],[Sale Basis]], IF(ISNUMBER(SnapshotTable[[#This Row],[SC Exercise P&amp;L (TAX)]]), SnapshotTable[[#This Row],[SC Exercise P&amp;L (TAX)]] / SnapshotTable[[#This Row],[SC Basis]], ""))</f>
        <v/>
      </c>
      <c r="GK170" s="27" t="s">
        <v>704</v>
      </c>
      <c r="GL170" s="43" t="str">
        <f>IF(AND(SnapshotTable[[#This Row],[LP Exp Date]]&gt;0,SnapshotTable[[#This Row],[LP Strike Price]]&gt;0), [1]!ToOptionSymbol(SnapshotTable[[#This Row],[Symbol]], SnapshotTable[[#This Row],[LP Strike Price]],SnapshotTable[[#This Row],[LP Exp Date]],1), "")</f>
        <v/>
      </c>
      <c r="GM170" s="30" t="str">
        <f>IF(LEN(SnapshotTable[[#This Row],[LP Symbol]])&gt;0, 1, "")</f>
        <v/>
      </c>
      <c r="GN170" s="43" t="str">
        <f>IF(AND(SnapshotTable[[#This Row],[SP Exp Date]]&gt;0,SnapshotTable[[#This Row],[SP Strike Price]]&gt;0), [1]!ToOptionSymbol(SnapshotTable[[#This Row],[Symbol]], SnapshotTable[[#This Row],[SP Strike Price]],SnapshotTable[[#This Row],[SP Exp Date]],1), "")</f>
        <v/>
      </c>
      <c r="GO170" s="30" t="str">
        <f>IF(LEN(SnapshotTable[[#This Row],[SP Symbol]])&gt;0, 1, "")</f>
        <v/>
      </c>
      <c r="GP170" s="43" t="str">
        <f>IF(AND(SnapshotTable[[#This Row],[LC Exp Date]]&gt;0,SnapshotTable[[#This Row],[LC Strike Price]]&gt;0), [1]!ToOptionSymbol(SnapshotTable[[#This Row],[Symbol]], SnapshotTable[[#This Row],[LC Strike Price]],SnapshotTable[[#This Row],[LC Exp Date]],0), "")</f>
        <v/>
      </c>
      <c r="GQ170" s="30" t="str">
        <f>IF(LEN(SnapshotTable[[#This Row],[LC Symbol]])&gt;0, 1, "")</f>
        <v/>
      </c>
      <c r="GR170" s="43" t="str">
        <f>IF(AND(SnapshotTable[[#This Row],[SC Exp Date]]&gt;0,SnapshotTable[[#This Row],[SC Strike Price]]&gt;0), [1]!ToOptionSymbol(SnapshotTable[[#This Row],[Symbol]], SnapshotTable[[#This Row],[SC Strike Price]],SnapshotTable[[#This Row],[SC Exp Date]],0), "")</f>
        <v/>
      </c>
      <c r="GS170" s="30" t="str">
        <f>IF(LEN(SnapshotTable[[#This Row],[SC Symbol]])&gt;0, 1, "")</f>
        <v/>
      </c>
      <c r="GT170" s="29" t="str">
        <f>IF(COUNT(SnapshotTable[[#This Row],[LP Symbol Count]],SnapshotTable[[#This Row],[SP Symbol Count]],SnapshotTable[[#This Row],[LC Symbol Count]],SnapshotTable[[#This Row],[SC Symbol Count]])&gt;0, "Y", "")</f>
        <v/>
      </c>
      <c r="GU17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0" s="231" t="e">
        <f>MAX(SnapshotTable[[#This Row],[Equity Basis Total]],SnapshotTable[[#This Row],[Equity Value]]) + (SnapshotTable[[#This Row],[SP Potential Spend]]- SnapshotTable[[#This Row],[SP Premium]] + SnapshotTable[[#This Row],[LP Premium]])+ (SnapshotTable[[#This Row],[LC Premium]] - SnapshotTable[[#This Row],[SC Premium]])</f>
        <v>#VALUE!</v>
      </c>
      <c r="GW170" s="139" t="e">
        <f>IF(AND(SnapshotTable[[#This Row],[Exposure]] &lt;&gt; 0),SnapshotTable[[#This Row],[Exposure]] / SnapshotTable[[#Totals],[Exposure]], "")</f>
        <v>#VALUE!</v>
      </c>
      <c r="HE170" s="268"/>
      <c r="HF170" s="268"/>
      <c r="HK170" s="1"/>
      <c r="HL170" s="1"/>
      <c r="HM170" s="1"/>
      <c r="HN170" s="1"/>
      <c r="HO170" s="1"/>
      <c r="HP170" s="1"/>
    </row>
    <row r="171" spans="2:224" ht="12.75" hidden="1" customHeight="1" x14ac:dyDescent="0.25">
      <c r="B171" s="12" t="s">
        <v>229</v>
      </c>
      <c r="C171" s="422">
        <v>204.87</v>
      </c>
      <c r="D171" s="208"/>
      <c r="E171" s="39">
        <f>SnapshotTable[[#This Row],[Last Price]]*(1 -CrashDiscount)</f>
        <v>174.1395</v>
      </c>
      <c r="F171" s="26" t="s">
        <v>47</v>
      </c>
      <c r="G171" s="26" t="s">
        <v>14</v>
      </c>
      <c r="H171" s="149"/>
      <c r="I171" s="194">
        <v>44720.666666666664</v>
      </c>
      <c r="J171" s="195">
        <v>44720.666666666664</v>
      </c>
      <c r="K171" s="196" t="s">
        <v>3</v>
      </c>
      <c r="L171" s="326"/>
      <c r="M171" s="140"/>
      <c r="N171" s="140"/>
      <c r="O171" s="140"/>
      <c r="P171" s="22"/>
      <c r="Q171" s="25"/>
      <c r="R171" s="4" t="str">
        <f>IF(SnapshotTable[[#This Row],[Equity Basis Total]] &gt; 0, SnapshotTable[[#This Row],[Equity Basis Total]] / SnapshotTable[[#This Row],[Equity Shares]], "")</f>
        <v/>
      </c>
      <c r="S171" s="269">
        <f>SnapshotTable[[#This Row],[Last Price]] * SnapshotTable[[#This Row],[Equity Shares]]</f>
        <v>0</v>
      </c>
      <c r="T171" s="269">
        <f>SnapshotTable[[#This Row],[Equity Value]] - SnapshotTable[[#This Row],[Equity Basis Total]]</f>
        <v>0</v>
      </c>
      <c r="U171" s="270" t="str">
        <f>IF(SnapshotTable[[#This Row],[Equity Basis Total]] &gt; 0, SnapshotTable[[#This Row],[Equity G/L]] / SnapshotTable[[#This Row],[Equity Basis Total]], "")</f>
        <v/>
      </c>
      <c r="V171" s="268"/>
      <c r="W171" s="268"/>
      <c r="X171" s="4" t="str">
        <f>IF(AND(ISNUMBER(SnapshotTable[[#This Row],[Equity Basis Per Share]]),ISNUMBER(SnapshotTable[[#This Row],[Equity Target]])),SnapshotTable[[#This Row],[Equity Target]]-SnapshotTable[[#This Row],[Equity Basis Per Share]],"")</f>
        <v/>
      </c>
      <c r="Y171" s="4" t="str">
        <f>IF(AND(ISNUMBER(SnapshotTable[[#This Row],[Equity Basis Per Share]]),ISNUMBER(SnapshotTable[[#This Row],[Equity Stop Loss]])),SnapshotTable[[#This Row],[Equity Stop Loss]]-SnapshotTable[[#This Row],[Equity Basis Per Share]],"")</f>
        <v/>
      </c>
      <c r="Z171" s="275" t="str">
        <f>IFERROR( TEXT(SnapshotTable[[#This Row],[Equity Max Gain Per Share]] /ABS( SnapshotTable[[#This Row],[Equity Max Loss Per Share]]),"0.0 " ) &amp; " : 1", "")</f>
        <v/>
      </c>
      <c r="AA171" s="31" t="str">
        <f>IF(ISNUMBER(SnapshotTable[[#This Row],[Equity Max Gain Per Share]]),SnapshotTable[[#This Row],[Equity Max Gain Per Share]] * SnapshotTable[[#This Row],[Equity Shares]],"")</f>
        <v/>
      </c>
      <c r="AB171" s="31" t="str">
        <f>IF(ISNUMBER(SnapshotTable[[#This Row],[Equity Max Loss Per Share]]),SnapshotTable[[#This Row],[Equity Max Loss Per Share]] * SnapshotTable[[#This Row],[Equity Shares]],"")</f>
        <v/>
      </c>
      <c r="AC171" s="150"/>
      <c r="AD171" s="151"/>
      <c r="AE171" s="31">
        <f>(SnapshotTable[[#This Row],[Annual Dividend Per Share]] / 4) * SnapshotTable[[#This Row],[Equity Shares]]</f>
        <v>0</v>
      </c>
      <c r="AF171" s="31">
        <f>SnapshotTable[[#This Row],[Quarterly Div $]] * 4</f>
        <v>0</v>
      </c>
      <c r="AG171" s="7">
        <f>IF(SnapshotTable[[#This Row],[Annual Dividend Per Share]]&gt;0, SnapshotTable[[#This Row],[Annual Dividend Per Share]]  / SnapshotTable[[#This Row],[Last Price]], 0)</f>
        <v>0</v>
      </c>
      <c r="AH171" s="151"/>
      <c r="AI171" s="5"/>
      <c r="AJ171" s="138">
        <v>85.19</v>
      </c>
      <c r="AK171" s="152" t="str">
        <f>IF(ISNUMBER( SnapshotTable[[#This Row],[EBF Target]]),(SnapshotTable[[#This Row],[EBF Target]] - SnapshotTable[[#This Row],[Last Price]]) / SnapshotTable[[#This Row],[Last Price]], "")</f>
        <v/>
      </c>
      <c r="AL171" s="152" t="str">
        <f>IF(AND(SnapshotTable[[#This Row],[Equity Basis Total]] &gt; 0,ISNUMBER( SnapshotTable[[#This Row],[Long Term Target]])), SnapshotTable[[#This Row],[From Basis $]] / SnapshotTable[[#This Row],[Equity Basis Total]], "")</f>
        <v/>
      </c>
      <c r="AM171" s="9">
        <f>IF( AND(SnapshotTable[[#This Row],[Equity Shares]] &gt;0,ISNUMBER( SnapshotTable[[#This Row],[Long Term Target]])),(SnapshotTable[[#This Row],[Equity Shares]] * SnapshotTable[[#This Row],[Long Term Target]]) - SnapshotTable[[#This Row],[Equity Basis Total]],0)</f>
        <v>0</v>
      </c>
      <c r="AN171" s="9">
        <f>IF( AND(SnapshotTable[[#This Row],[Equity Shares]] &gt;0,ISNUMBER( SnapshotTable[[#This Row],[Long Term Target]])),(SnapshotTable[[#This Row],[Equity Shares]]*SnapshotTable[[#This Row],[Long Term Target]]) - SnapshotTable[[#This Row],[Equity Value]],0)</f>
        <v>0</v>
      </c>
      <c r="AO171" s="152">
        <f>IF(AND(ISNUMBER( SnapshotTable[[#This Row],[Long Term Target]]), ISNUMBER(SnapshotTable[[#This Row],[Last Price]])),(SnapshotTable[[#This Row],[Long Term Target]] - SnapshotTable[[#This Row],[Last Price]]) / SnapshotTable[[#This Row],[Last Price]], "")</f>
        <v>-0.58417533069751548</v>
      </c>
      <c r="AP171" s="5">
        <v>120</v>
      </c>
      <c r="AQ171" s="38" t="s">
        <v>46</v>
      </c>
      <c r="AR171" s="5">
        <v>115</v>
      </c>
      <c r="AS171" s="38" t="s">
        <v>26</v>
      </c>
      <c r="AT171" s="146"/>
      <c r="AU171" s="187" t="str">
        <f>IF(OR(SnapshotTable[[#This Row],[LP No Fill]]="Y",SnapshotTable[[#This Row],[SP Is Filled]],SnapshotTable[[#This Row],[LC Not Filled]]="Y",SnapshotTable[[#This Row],[SC Is Filled]]),"Y","")</f>
        <v/>
      </c>
      <c r="AV171" s="219"/>
      <c r="AW171" s="225"/>
      <c r="AX171" s="220"/>
      <c r="AY171" s="219" t="str">
        <f>IF(SnapshotTable[[#This Row],[Implied Move]]&gt;0, SnapshotTable[[#This Row],[Last Price]]-SnapshotTable[[#This Row],[Implied Move]],"")</f>
        <v/>
      </c>
      <c r="AZ171" s="219" t="str">
        <f>IF(SnapshotTable[[#This Row],[Implied Move]]&gt;0, SnapshotTable[[#This Row],[Last Price]] + SnapshotTable[[#This Row],[Implied Move]],"")</f>
        <v/>
      </c>
      <c r="BA171" s="331"/>
      <c r="BB171" s="347"/>
      <c r="BC17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1" s="351"/>
      <c r="BE171" s="5"/>
      <c r="BF171" s="14"/>
      <c r="BG171" s="13"/>
      <c r="BH171" s="13"/>
      <c r="BI171" s="5"/>
      <c r="BJ171" s="136">
        <f>IF(SnapshotTable[[#This Row],[LP Qty]] &gt; 0, SnapshotTable[[#This Row],[LP Qty]] * SnapshotTable[[#This Row],[LP Book Price]] * 100,0)</f>
        <v>0</v>
      </c>
      <c r="BK171" s="136">
        <f>IF(SnapshotTable[[#This Row],[LP Premium]] &gt; 0, SnapshotTable[[#This Row],[LP Qty]] * SnapshotTable[[#This Row],[LP Strike Price]] * 100,0)</f>
        <v>0</v>
      </c>
      <c r="BL171" s="154"/>
      <c r="BM171" s="385" t="str">
        <f>IF(SnapshotTable[[#This Row],[LP Premium]] &gt; 0,SnapshotTable[[#This Row],[LP Exp Date]]-MAX(SnapshotTable[[#This Row],[LP Book Date]], SnapshotTable[[#This Row],[LP Fill Date]]),"")</f>
        <v/>
      </c>
      <c r="BN171" s="385" t="str">
        <f>IF(ISNUMBER( SnapshotTable[[#This Row],[LP Term]]), SnapshotTable[[#This Row],[LP Exp Date]] - MockToday,"")</f>
        <v/>
      </c>
      <c r="BO171" s="163" t="str">
        <f>IF(AND(SnapshotTable[[#This Row],[LP Exp Date]]&gt;0, SnapshotTable[[#This Row],[LP Strike Price]]&gt;0,SnapshotTable[[#This Row],[LP Qty]]&gt;0,SnapshotTable[[#This Row],[LP Book Date]]&gt;0,SnapshotTable[[#This Row],[LP Book Price]]&gt;0,SnapshotTable[[#This Row],[LP Fill Date]]=0),"Y","")</f>
        <v/>
      </c>
      <c r="BP171" s="31" t="str">
        <f>IF(AND(SnapshotTable[[#This Row],[LP No Fill]]&lt;&gt;"Y",SnapshotTable[[#This Row],[LP Contract Value]]&gt;0, SnapshotTable[[#This Row],[LP Qty]]&gt;0), SnapshotTable[[#This Row],[LP Contract Value]]*SnapshotTable[[#This Row],[LP Qty]]*100,"")</f>
        <v/>
      </c>
      <c r="BQ171" s="13"/>
      <c r="BR171" s="5" t="str">
        <f>IF(SnapshotTable[[#This Row],[SP Exp Date]]&lt;&gt;"",TRUNC(SnapshotTable[[#This Row],[Last Price]]),"")</f>
        <v/>
      </c>
      <c r="BS171" s="36"/>
      <c r="BT171" s="147"/>
      <c r="BU171" s="13"/>
      <c r="BV171" s="5"/>
      <c r="BW171" s="419" t="b">
        <f>AND(ISNUMBER(SnapshotTable[[#This Row],[SP Exp Date]]), ISNUMBER(SnapshotTable[[#This Row],[SP Strike Price]]), ISNUMBER(SnapshotTable[[#This Row],[SP Qty]]), ISNUMBER(SnapshotTable[[#This Row],[SP Book Date]]), ISNUMBER(SnapshotTable[[#This Row],[SP Book Price]]))</f>
        <v>0</v>
      </c>
      <c r="BX171" s="419" t="b">
        <f>AND(SnapshotTable[[#This Row],[SP Is Booked]], NOT(ISBLANK(SnapshotTable[[#This Row],[SP Fill Date]])))</f>
        <v>0</v>
      </c>
      <c r="BY171" s="33">
        <f>IF(SnapshotTable[[#This Row],[SP Is Booked]], SnapshotTable[[#This Row],[SP Qty]] * SnapshotTable[[#This Row],[SP Book Price]] * 100, 0)</f>
        <v>0</v>
      </c>
      <c r="BZ171" s="369"/>
      <c r="CA171" s="368">
        <f>SnapshotTable[[#This Row],[LP Qty]]</f>
        <v>0</v>
      </c>
      <c r="CB171" s="4" t="str">
        <f>IF(SnapshotTable[[#This Row],[SP Is Booked]], SnapshotTable[[#This Row],[SP Strike Price]] - SnapshotTable[[#This Row],[SP Book Price]], "")</f>
        <v/>
      </c>
      <c r="CC171" s="19" t="str">
        <f>IF(SnapshotTable[[#This Row],[SP Is Booked]],SnapshotTable[[#This Row],[SP Exp Date]]-MAX(SnapshotTable[[#This Row],[SP Book Date]], SnapshotTable[[#This Row],[SP Fill Date]]),"")</f>
        <v/>
      </c>
      <c r="CD171" s="7" t="str">
        <f>IF(SnapshotTable[[#This Row],[SP Is Booked]], SnapshotTable[[#This Row],[SP Book Price]]/SnapshotTable[[#This Row],[SP Strike Price]], "")</f>
        <v/>
      </c>
      <c r="CE171" s="7" t="str">
        <f>IF(ISNUMBER(SnapshotTable[[#This Row],[SP ROO Term]]),SnapshotTable[[#This Row],[SP ROO Term]]*(365/SnapshotTable[[#This Row],[SP Term]]),"")</f>
        <v/>
      </c>
      <c r="CF171" s="236">
        <f>SnapshotTable[[#This Row],[LP Strike Price]] * SnapshotTable[[#This Row],[LP Qty]] * 100</f>
        <v>0</v>
      </c>
      <c r="CG171" s="31" t="e">
        <f>IF(ISNUMBER(SnapshotTable[[#This Row],[SP Premium]]), (SnapshotTable[[#This Row],[SP Qty]] * SnapshotTable[[#This Row],[SP Strike Price]]* 100) - SnapshotTable[[#This Row],[LP Protection]], 0)</f>
        <v>#VALUE!</v>
      </c>
      <c r="CH171" s="7" t="str">
        <f>IF(ISNUMBER(SnapshotTable[[#This Row],[SP Break Even]]),-1 * (SnapshotTable[[#This Row],[SP Break Even]] - SnapshotTable[[#This Row],[Last Price]]) / SnapshotTable[[#This Row],[Last Price]], "")</f>
        <v/>
      </c>
      <c r="CI171" s="31">
        <f>IF(AND(ISNUMBER((SnapshotTable[[#This Row],[SP Potential Spend]])), SnapshotTable[[#This Row],[SP Strike Price]] &gt; SnapshotTable[[#This Row],[Last Price]], SnapshotTable[[#This Row],[SP Is Filled]]), SnapshotTable[[#This Row],[SP Potential Spend]] -  SnapshotTable[[#This Row],[LP Max Value]], 0)</f>
        <v>0</v>
      </c>
      <c r="CJ171" s="244"/>
      <c r="CK171" s="31" t="str">
        <f>IF(ISNUMBER(SnapshotTable[[#This Row],[SP Potential Spend]]),IF(ISNUMBER(SnapshotTable[[#This Row],[SP POW]]), SnapshotTable[[#This Row],[SP POW]] * SnapshotTable[[#This Row],[SP Potential Spend]], SnapshotTable[[#This Row],[SP Potential Spend]]), "")</f>
        <v/>
      </c>
      <c r="CL171" s="164" t="e">
        <f>IF(NOT(SnapshotTable[[#This Row],[SP Is Filled]]),(SnapshotTable[[#This Row],[SP Qty]] * SnapshotTable[[#This Row],[SP Strike Price]] * 100) - SnapshotTable[[#This Row],[LP Max Value]],"")</f>
        <v>#VALUE!</v>
      </c>
      <c r="CM171" s="31" t="str">
        <f>IF(SnapshotTable[[#This Row],[SP Actual Spend]]&lt;&gt;0, ((SnapshotTable[[#This Row],[SP Strike Price]]-SnapshotTable[[#This Row],[Last Price]]) *(SnapshotTable[[#This Row],[SP Qty]]*100) - SnapshotTable[[#This Row],[SP Premium]]) * - 1, "")</f>
        <v/>
      </c>
      <c r="CN171" s="78"/>
      <c r="CO171" s="369"/>
      <c r="CP171" s="4" t="str">
        <f>IF(SnapshotTable[[#This Row],[SP Is Filled]], btc_max_buyback_amount(SnapshotTable[[#This Row],[SP Fill Date]],SnapshotTable[[#This Row],[SP Exp Date]], SnapshotTable[[#This Row],[SP Book Price]]),"")</f>
        <v/>
      </c>
      <c r="CQ171" s="78"/>
      <c r="CR17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1" s="155" t="str">
        <f>IF(SnapshotTable[[#This Row],[SP Is Filled]], btc_next_cutoff_date(SnapshotTable[[#This Row],[SP Fill Date]],SnapshotTable[[#This Row],[SP Exp Date]]),"")</f>
        <v/>
      </c>
      <c r="CT171" s="235" t="str" cm="1">
        <f t="array" ref="CT171">IF(SnapshotTable[[#This Row],[SP Is Filled]], btc_should_buy_back(SnapshotTable[[#This Row],[SP Fill Date]], SnapshotTable[[#This Row],[SP Exp Date]], SnapshotTable[[#This Row],[SP Book Price]], SnapshotTable[[#This Row],[SP Current Ask]], MockToday, SnapshotTable[[#This Row],[SP Buyback Override]]),"")</f>
        <v/>
      </c>
      <c r="CU171" s="143"/>
      <c r="CV171" s="235"/>
      <c r="CW171" s="378" t="str">
        <f>IF(ISNUMBER( SnapshotTable[[#This Row],[SP Term]]), SnapshotTable[[#This Row],[SP Exp Date]] - MockToday,"")</f>
        <v/>
      </c>
      <c r="CX171" s="31" t="str">
        <f>IF(SnapshotTable[[#This Row],[SP Is Filled]],SnapshotTable[[#This Row],[SP Buyback Price to Use]] * 100 * SnapshotTable[[#This Row],[SP Qty]], "")</f>
        <v/>
      </c>
      <c r="CY171" s="4" t="str">
        <f>IF(ISNUMBER(SnapshotTable[[#This Row],[SP Strike Price]]), SnapshotTable[[#This Row],[SP Strike Price]] * (1 - SP_MaxLoss_StrikePct), "")</f>
        <v/>
      </c>
      <c r="CZ171" s="31" t="str">
        <f>IF(ISNUMBER(SnapshotTable[[#This Row],[SP Strike  Stop Per Share]]),SnapshotTable[[#This Row],[SP Premium]] - ((SnapshotTable[[#This Row],[SP Strike Price]]-SnapshotTable[[#This Row],[SP Strike  Stop Per Share]]) *(SnapshotTable[[#This Row],[SP Qty]] * 100)),"")</f>
        <v/>
      </c>
      <c r="DA171" s="4" t="str">
        <f>IF(AND(ISNUMBER(SnapshotTable[[#This Row],[SP Premium]]),SnapshotTable[[#This Row],[SP Premium]]&gt;0), SnapshotTable[[#This Row],[SP Book Price]] * (1 + SP_MaxLoss_OptionPct), "")</f>
        <v/>
      </c>
      <c r="DB171" s="31" t="str">
        <f>IF(ISNUMBER(SnapshotTable[[#This Row],[SP Option  Stop Contract]]),(SnapshotTable[[#This Row],[SP Option  Stop Contract]] *(SnapshotTable[[#This Row],[SP Qty]] * 100) - SnapshotTable[[#This Row],[SP Premium]]),"")</f>
        <v/>
      </c>
      <c r="DC171" s="4"/>
      <c r="DD171" s="4"/>
      <c r="DE171" s="4" t="str">
        <f>IF(AND(SnapshotTable[[#This Row],[SP Qty]]&gt;0, SnapshotTable[[#This Row],[SP Stop To Use]]&gt;0),SnapshotTable[[#This Row],[SP Premium]] - ( SnapshotTable[[#This Row],[SP Qty]] * SnapshotTable[[#This Row],[SP Stop To Use]] * 100), "")</f>
        <v/>
      </c>
      <c r="DF171" s="31" t="str">
        <f>IF(AND(SnapshotTable[[#This Row],[SP Qty]]&gt;0,SnapshotTable[[#This Row],[SP Current Ask]]&gt;0), SnapshotTable[[#This Row],[SP Qty]] * SnapshotTable[[#This Row],[SP Current Ask]] * -100, "")</f>
        <v/>
      </c>
      <c r="DG171" s="31" t="str">
        <f>IF(ISNUMBER((SnapshotTable[[#This Row],[SP Total Value]])), SnapshotTable[[#This Row],[SP Premium]] + SnapshotTable[[#This Row],[SP Total Value]], "")</f>
        <v/>
      </c>
      <c r="DH171" s="294" t="str">
        <f>IF(ISNUMBER((SnapshotTable[[#This Row],[SP Total Value]])), SnapshotTable[[#This Row],[SP Gain Loss]] / SnapshotTable[[#This Row],[SP Premium]], "")</f>
        <v/>
      </c>
      <c r="DI171" s="406"/>
      <c r="DJ171" s="138"/>
      <c r="DK171" s="148"/>
      <c r="DL171" s="13"/>
      <c r="DM171" s="13"/>
      <c r="DO171" s="31">
        <f>IF(SnapshotTable[[#This Row],[LC Symbol Count]]=1, SnapshotTable[[#This Row],[LC Qty]] * SnapshotTable[[#This Row],[LC Book Price]] * 100, 0)</f>
        <v>0</v>
      </c>
      <c r="DP171" s="163" t="str">
        <f>IF(AND(SnapshotTable[[#This Row],[LC Exp Date]]&gt;0, SnapshotTable[[#This Row],[LC Strike Price]]&gt;0,SnapshotTable[[#This Row],[LC Qty]]&gt;0,SnapshotTable[[#This Row],[LC Book Date]]&gt;0,SnapshotTable[[#This Row],[LC Book Price]]&gt;0,SnapshotTable[[#This Row],[LC Fill Date]]=0),"Y","")</f>
        <v/>
      </c>
      <c r="DQ171" s="386" t="str">
        <f>IF(SnapshotTable[[#This Row],[LC Premium]] &gt; 0,SnapshotTable[[#This Row],[LC Exp Date]]-MAX(SnapshotTable[[#This Row],[LC Book Date]], SnapshotTable[[#This Row],[LC Fill Date]]),"")</f>
        <v/>
      </c>
      <c r="DR171" s="386" t="str">
        <f>IF(ISNUMBER(SnapshotTable[[#This Row],[LC Term]]), SnapshotTable[[#This Row],[LC Exp Date]] - MockToday, "")</f>
        <v/>
      </c>
      <c r="DS171" s="234" t="str">
        <f>IF(SnapshotTable[[#This Row],[LC Premium]]&gt;0,SnapshotTable[[#This Row],[LC Strike Price]] + SnapshotTable[[#This Row],[LC Book Price]],"")</f>
        <v/>
      </c>
      <c r="DU171" s="9" t="str">
        <f>IF(AND(SnapshotTable[[#This Row],[LC Symbol Count]]&gt;0, SnapshotTable[[#This Row],[LC Contract Value]]&gt;0), SnapshotTable[[#This Row],[LC Contract Value]] * SnapshotTable[[#This Row],[LC Qty]] * 100, "")</f>
        <v/>
      </c>
      <c r="DV171" s="9" t="str">
        <f>IF(AND(ISNUMBER(SnapshotTable[[#This Row],[LC Total Value]]), SnapshotTable[[#This Row],[LC Not Filled]]&lt;&gt;"Y"), SnapshotTable[[#This Row],[LC Total Value]]-SnapshotTable[[#This Row],[LC Premium]],"")</f>
        <v/>
      </c>
      <c r="DW171" s="240" t="str">
        <f>IF(ISNUMBER(SnapshotTable[[#This Row],[LC Actual Gain Loss]]), SnapshotTable[[#This Row],[LC Actual Gain Loss]] / SnapshotTable[[#This Row],[LC Premium]],"")</f>
        <v/>
      </c>
      <c r="DX171" s="284" t="str">
        <f>IF(ISNUMBER(SnapshotTable[[#This Row],[LC Book Price]]),SnapshotTable[[#This Row],[LC Book Price]] * 1.5,"")</f>
        <v/>
      </c>
      <c r="DY171" s="265" t="str">
        <f>IF(SnapshotTable[[#This Row],[LC Premium]]&gt;0, SnapshotTable[[#This Row],[LC Next Target]] * SnapshotTable[[#This Row],[LC Qty]] * 100,"")</f>
        <v/>
      </c>
      <c r="DZ171" s="265" t="str">
        <f>IF(ISNUMBER(SnapshotTable[[#This Row],[LC Target Gross]]), SnapshotTable[[#This Row],[LC Target Gross]] - SnapshotTable[[#This Row],[LC Premium]], "")</f>
        <v/>
      </c>
      <c r="EA171" s="305" t="str">
        <f>IF(ISNUMBER(SnapshotTable[[#This Row],[LC Target Gain Loss]]), SnapshotTable[[#This Row],[LC Target Gain Loss]]/SnapshotTable[[#This Row],[LC Premium]], "")</f>
        <v/>
      </c>
      <c r="EB171" s="262"/>
      <c r="EC171" s="283" t="str">
        <f>IF(SnapshotTable[[#This Row],[LC Premium]]&gt;0, SnapshotTable[[#This Row],[LC Book Price]] * (1 - LC_StopLoss_Pct),"")</f>
        <v/>
      </c>
      <c r="ED171" s="284"/>
      <c r="EE171" s="283" t="str">
        <f>IF(ISNUMBER(SnapshotTable[[#This Row],[LC Contract Value]]),IF(ISNUMBER(SnapshotTable[[#This Row],[LC Stop Loss Override]]), SnapshotTable[[#This Row],[LC Stop Loss Override]],SnapshotTable[[#This Row],[LC Stop Loss Calc Target]]),"")</f>
        <v/>
      </c>
      <c r="EF171" s="31" t="str">
        <f>IF(ISNUMBER(SnapshotTable[[#This Row],[LC Stop  To Use]]), (SnapshotTable[[#This Row],[LC Stop  To Use]] * SnapshotTable[[#This Row],[LC Qty]] * 100),"")</f>
        <v/>
      </c>
      <c r="EG171" s="9" t="str">
        <f>IF(ISNUMBER(SnapshotTable[[#This Row],[LC Total Value]]),SnapshotTable[[#This Row],[LC Stop Loss Amount]] - SnapshotTable[[#This Row],[LC Premium]],"")</f>
        <v/>
      </c>
      <c r="EH171" s="9">
        <f>IF(ISNUMBER(SnapshotTable[[#This Row],[LC Premium]]), SnapshotTable[[#This Row],[LC Qty]] * 100 * SnapshotTable[[#This Row],[LC Strike Price]], "")</f>
        <v>0</v>
      </c>
      <c r="EI171" s="240" t="str">
        <f>IF(AND(ISNUMBER(SnapshotTable[[#This Row],[LC Total Value]]),SnapshotTable[[#This Row],[LC Total Value]]&gt;0),SnapshotTable[[#This Row],[LC Stop Gain Loss]]  / SnapshotTable[[#This Row],[LC Premium]],"")</f>
        <v/>
      </c>
      <c r="EJ171" s="35">
        <f>IF(ISNUMBER(SnapshotTable[[#This Row],[Equity Shares]]),TRUNC(SnapshotTable[[#This Row],[Equity Shares]] / 100),0) + SnapshotTable[[#This Row],[LC Qty]]</f>
        <v>0</v>
      </c>
      <c r="EK171" s="147"/>
      <c r="EL171" s="138" t="str">
        <f>IF(SnapshotTable[[#This Row],[SC Exp Date]]&lt;&gt;"",TRUNC(SnapshotTable[[#This Row],[Last Price]]),"")</f>
        <v/>
      </c>
      <c r="EM171" s="148"/>
      <c r="EN171" s="147"/>
      <c r="EO171" s="147"/>
      <c r="EP171" s="138"/>
      <c r="EQ171" s="419" t="b">
        <f>AND(ISNUMBER(SnapshotTable[[#This Row],[SC Exp Date]]), ISNUMBER(SnapshotTable[[#This Row],[SC Strike Price]]), ISNUMBER(SnapshotTable[[#This Row],[SC Qty]]), ISNUMBER(SnapshotTable[[#This Row],[SC Book Date]]), ISNUMBER(SnapshotTable[[#This Row],[SC Book Price]]))</f>
        <v>0</v>
      </c>
      <c r="ER171" s="419" t="b">
        <f>AND(SnapshotTable[[#This Row],[SC Is Booked]], NOT(ISBLANK(SnapshotTable[[#This Row],[SC Fill Date]])))</f>
        <v>0</v>
      </c>
      <c r="ES171" s="370"/>
      <c r="ET171" s="34" t="str">
        <f>IF(AND(ISNUMBER(SnapshotTable[[#This Row],[SC Exp Date]]), ISNUMBER(SnapshotTable[[#This Row],[SC Book Date]])), SnapshotTable[[#This Row],[SC Exp Date]] - MAX(SnapshotTable[[#This Row],[SC Book Date]], SnapshotTable[[#This Row],[SC Fill Date]]) + 1, "")</f>
        <v/>
      </c>
      <c r="EU171" s="34" t="str">
        <f>IF(ISNUMBER(SnapshotTable[[#This Row],[SC Term]]), SnapshotTable[[#This Row],[SC Exp Date]]- MockToday, "")</f>
        <v/>
      </c>
      <c r="EV171" s="31">
        <f>IF(SnapshotTable[[#This Row],[SC Is Booked]], SnapshotTable[[#This Row],[SC Qty]] * SnapshotTable[[#This Row],[SC Book Price]] * 100, 0)</f>
        <v>0</v>
      </c>
      <c r="EW171" s="4" t="str">
        <f>IF(AND(ISNUMBER(SnapshotTable[[#This Row],[Last Price]]), ISNUMBER( SnapshotTable[[#This Row],[SC Book Price]])), SnapshotTable[[#This Row],[Last Price]] - SnapshotTable[[#This Row],[SC Book Price]],"")</f>
        <v/>
      </c>
      <c r="EX171" s="234" t="str">
        <f>IF(SnapshotTable[[#This Row],[SC Is Booked]],IF(SnapshotTable[[#This Row],[SC Intrinsic Value]] &gt; 0, SnapshotTable[[#This Row],[SC Strike Price]], SnapshotTable[[#This Row],[Last Price]]), "")</f>
        <v/>
      </c>
      <c r="EY171" s="4">
        <f>IF(SnapshotTable[[#This Row],[SC Is Booked]], (MinimumPremiumRequired * SnapshotTable[[#This Row],[SC Basis]] * SnapshotTable[[#This Row],[SC Term]]), 0)</f>
        <v>0</v>
      </c>
      <c r="EZ171" s="283"/>
      <c r="FA171" s="218"/>
      <c r="FB171" s="370"/>
      <c r="FC171" s="4">
        <f>IF(SnapshotTable[[#This Row],[SC Is Filled]], btc_max_buyback_amount(SnapshotTable[[#This Row],[SC Fill Date]],SnapshotTable[[#This Row],[SC Exp Date]], SnapshotTable[[#This Row],[SC Book Price]]),0)</f>
        <v>0</v>
      </c>
      <c r="FD171" s="5"/>
      <c r="FE171" s="144" t="str">
        <f>IF(SnapshotTable[[#This Row],[SC Is Filled]], btc_next_cutoff_date(SnapshotTable[[#This Row],[SC Fill Date]],SnapshotTable[[#This Row],[SC Exp Date]]),"")</f>
        <v/>
      </c>
      <c r="FF171" s="4" t="str" cm="1">
        <f t="array" ref="FF171">IF(SnapshotTable[[#This Row],[SC Is Filled]], btc_should_buy_back(SnapshotTable[[#This Row],[SC Fill Date]], SnapshotTable[[#This Row],[SC Exp Date]], SnapshotTable[[#This Row],[SC Book Price]], SnapshotTable[[#This Row],[SC Current Ask]], MockToday, SnapshotTable[[#This Row],[SC Buyback Override]]),"")</f>
        <v/>
      </c>
      <c r="FG171" s="4">
        <f>IF(SnapshotTable[[#This Row],[SC Is Filled]], MAX(0,SnapshotTable[[#This Row],[Last Price]]  - SnapshotTable[[#This Row],[SC Strike Price]]), 0)</f>
        <v>0</v>
      </c>
      <c r="FH171" s="382">
        <f>IF(SnapshotTable[[#This Row],[SC Is Filled]], IF(ISNUMBER(SnapshotTable[[#This Row],[SC Current Ask]]), SnapshotTable[[#This Row],[SC Current Ask]], SnapshotTable[[#This Row],[SC Book Price]]) - SnapshotTable[[#This Row],[SC Intrinsic Value]], 0)</f>
        <v>0</v>
      </c>
      <c r="FI171" s="143"/>
      <c r="FJ171" s="32" t="str">
        <f>IF(SnapshotTable[[#This Row],[SC Is Filled]],100 * SnapshotTable[[#This Row],[SC Qty]] * IF(ISNUMBER(SnapshotTable[[#This Row],[SC Buyback Override]]), SnapshotTable[[#This Row],[SC Buyback Override]], SnapshotTable[[#This Row],[SC Current Ask]]), "")</f>
        <v/>
      </c>
      <c r="FK171" s="250" t="str">
        <f>IF(SnapshotTable[[#This Row],[SC Time Val]]&gt;0, SnapshotTable[[#This Row],[SC Time Val]] / SnapshotTable[[#This Row],[Last Price]],"")</f>
        <v/>
      </c>
      <c r="FL171" s="302" t="str">
        <f>IF(SnapshotTable[[#This Row],[SC Is Booked]], ((SnapshotTable[[#This Row],[Last Price]] -SnapshotTable[[#This Row],[SC Strike Price]]) / SnapshotTable[[#This Row],[Last Price]]) * -1, "")</f>
        <v/>
      </c>
      <c r="FM171" s="157" t="str">
        <f>IF(SnapshotTable[[#This Row],[SC Is Booked]],  (SnapshotTable[[#This Row],[SC Qty]] * 100 * SnapshotTable[[#This Row],[SC Strike Price]]) - SnapshotTable[[#This Row],[SC Current Ask]], "")</f>
        <v/>
      </c>
      <c r="FN17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1" s="31" t="str">
        <f>IF(AND(ISNUMBER(SnapshotTable[[#This Row],[SC Exercise Gross]]), ISNUMBER(SnapshotTable[[#This Row],[Equity Basis Per Share]] )), SnapshotTable[[#This Row],[SC Exercise Gross]] - SnapshotTable[[#This Row],[Equity Basis Total]] +  SnapshotTable[[#This Row],[SC Premium]], "")</f>
        <v/>
      </c>
      <c r="FP171" s="5" t="str">
        <f>IF(ISNUMBER(SnapshotTable[[#This Row],[SC Exercise Gross]]), (SnapshotTable[[#This Row],[SC Exercise Gross]]) / (SnapshotTable[[#This Row],[SC Qty]] * 100), "")</f>
        <v/>
      </c>
      <c r="FQ171" s="27" t="str">
        <f>IF(SnapshotTable[[#This Row],[SC Is Booked]],SnapshotTable[[#This Row],[SC Time Val]] /SnapshotTable[[#This Row],[SC Basis]], "")</f>
        <v/>
      </c>
      <c r="FR171" s="27" t="str" cm="1">
        <f t="array" ref="FR171">IF(AND(ISNUMBER(SnapshotTable[[#This Row],[SC Term]]),ISNUMBER(SnapshotTable[[#This Row],[SC Simple ROO]])), EllmanAnnualize(SnapshotTable[[#This Row],[SC DTE]], SnapshotTable[[#This Row],[SC Simple ROO]] ),"")</f>
        <v/>
      </c>
      <c r="FS171" s="4" t="e">
        <f>IF(SnapshotTable[[#This Row],[SC Strike Price]] &gt; SnapshotTable[[#This Row],[Last Price]], SnapshotTable[[#This Row],[SC Strike Price]] - SnapshotTable[[#This Row],[Last Price]],0)</f>
        <v>#VALUE!</v>
      </c>
      <c r="FT171" s="27" t="e">
        <f>IF(AND(ISNUMBER(SnapshotTable[[#This Row],[SC Upside Potential]]), SnapshotTable[[#This Row],[SC Upside Potential]] &gt; 0),(SnapshotTable[[#This Row],[SC Upside Potential]]/ SnapshotTable[[#This Row],[ACB]]),"")</f>
        <v>#VALUE!</v>
      </c>
      <c r="FU171" s="333" t="str">
        <f>IF(SnapshotTable[[#This Row],[SC Intrinsic Value]] &gt; 0,SnapshotTable[[#This Row],[SC Intrinsic Value]],"")</f>
        <v/>
      </c>
      <c r="FV171" s="27" t="str">
        <f>IF(AND( ISNUMBER( SnapshotTable[[#This Row],[ACB]]),ISNUMBER(SnapshotTable[[#This Row],[SC Downside Protect]])),SnapshotTable[[#This Row],[SC Downside Protect]] / SnapshotTable[[#This Row],[ACB]],"")</f>
        <v/>
      </c>
      <c r="FW171" s="236" t="str">
        <f>IF(AND(ISNUMBER(SnapshotTable[[#This Row],[SC Simple ROO]]),SnapshotTable[[#This Row],[SC Simple ROO]] &gt; 0), SnapshotTable[[#This Row],[SC Premium]] + (SnapshotTable[[#This Row],[SC Qty]] * SnapshotTable[[#This Row],[SC Upside Potential]]), "")</f>
        <v/>
      </c>
      <c r="FX171" s="302" t="str" cm="1">
        <f t="array" ref="FX171">IF(ISNUMBER(SnapshotTable[[#This Row],[SC Max Dollars]]), annualize(SnapshotTable[[#This Row],[SC Term]],(SnapshotTable[[#This Row],[SC Max Dollars]]/SnapshotTable[[#This Row],[SC Basis]])),"")</f>
        <v/>
      </c>
      <c r="FY171" s="236" t="str">
        <f>IF(AND(SnapshotTable[[#This Row],[SC Qty]]&gt;0,SnapshotTable[[#This Row],[SC Current Ask]]&gt;0), SnapshotTable[[#This Row],[SC Qty]] * SnapshotTable[[#This Row],[SC Current Ask]] * -100, "")</f>
        <v/>
      </c>
      <c r="FZ171" s="31" t="str">
        <f>IF(ISNUMBER((SnapshotTable[[#This Row],[SC Current Value]])), SnapshotTable[[#This Row],[SC Premium]] + SnapshotTable[[#This Row],[SC Current Value]], "")</f>
        <v/>
      </c>
      <c r="GA171" s="294" t="str">
        <f>IFERROR( IF(ISNUMBER((SnapshotTable[[#This Row],[SC Current Value]])), SnapshotTable[[#This Row],[SC Gain Loss]] / SnapshotTable[[#This Row],[SC Premium]], ""), "")</f>
        <v/>
      </c>
      <c r="GB171" s="42">
        <f>SnapshotTable[[#This Row],[Equity Shares]] * SaleSharesToConsiderPercentage</f>
        <v>0</v>
      </c>
      <c r="GC171" s="40">
        <f>SnapshotTable[[#This Row],[Long Term Target]] * SellingPriceToConsiderBasedOnTargetPercentage</f>
        <v>80.930499999999995</v>
      </c>
      <c r="GD171" s="40">
        <f>SnapshotTable[[#This Row],[Last Price]] * (1+ SellingPriceToConsiderBasedOnTargetPercentage)</f>
        <v>399.49650000000003</v>
      </c>
      <c r="GE171" s="41"/>
      <c r="GF171" s="40"/>
      <c r="GG171" s="31">
        <f>SnapshotTable[[#This Row],[Booked Sale Shares]] * SnapshotTable[[#This Row],[Booked Sale Price]]</f>
        <v>0</v>
      </c>
      <c r="GH171" s="31" t="str">
        <f>IF(SnapshotTable[[#This Row],[Equity Basis Total]] &gt; 0, SnapshotTable[[#This Row],[Equity Basis Per Share]] * SnapshotTable[[#This Row],[Booked Sale Shares]], "")</f>
        <v/>
      </c>
      <c r="GI171" s="31">
        <f>IF(SnapshotTable[[#This Row],[Sale Proceeds]]&gt;0, SnapshotTable[[#This Row],[Sale Proceeds]] - SnapshotTable[[#This Row],[Sale Basis]], 0)</f>
        <v>0</v>
      </c>
      <c r="GJ171" s="27" t="str">
        <f>IF(SnapshotTable[[#This Row],[Sale G/L]]&gt;0, SnapshotTable[[#This Row],[Sale G/L]] / SnapshotTable[[#This Row],[Sale Basis]], IF(ISNUMBER(SnapshotTable[[#This Row],[SC Exercise P&amp;L (TAX)]]), SnapshotTable[[#This Row],[SC Exercise P&amp;L (TAX)]] / SnapshotTable[[#This Row],[SC Basis]], ""))</f>
        <v/>
      </c>
      <c r="GK171" s="27" t="s">
        <v>705</v>
      </c>
      <c r="GL171" s="43" t="str">
        <f>IF(AND(SnapshotTable[[#This Row],[LP Exp Date]]&gt;0,SnapshotTable[[#This Row],[LP Strike Price]]&gt;0), [1]!ToOptionSymbol(SnapshotTable[[#This Row],[Symbol]], SnapshotTable[[#This Row],[LP Strike Price]],SnapshotTable[[#This Row],[LP Exp Date]],1), "")</f>
        <v/>
      </c>
      <c r="GM171" s="30" t="str">
        <f>IF(LEN(SnapshotTable[[#This Row],[LP Symbol]])&gt;0, 1, "")</f>
        <v/>
      </c>
      <c r="GN171" s="43" t="str">
        <f>IF(AND(SnapshotTable[[#This Row],[SP Exp Date]]&gt;0,SnapshotTable[[#This Row],[SP Strike Price]]&gt;0), [1]!ToOptionSymbol(SnapshotTable[[#This Row],[Symbol]], SnapshotTable[[#This Row],[SP Strike Price]],SnapshotTable[[#This Row],[SP Exp Date]],1), "")</f>
        <v/>
      </c>
      <c r="GO171" s="30" t="str">
        <f>IF(LEN(SnapshotTable[[#This Row],[SP Symbol]])&gt;0, 1, "")</f>
        <v/>
      </c>
      <c r="GP171" s="43" t="str">
        <f>IF(AND(SnapshotTable[[#This Row],[LC Exp Date]]&gt;0,SnapshotTable[[#This Row],[LC Strike Price]]&gt;0), [1]!ToOptionSymbol(SnapshotTable[[#This Row],[Symbol]], SnapshotTable[[#This Row],[LC Strike Price]],SnapshotTable[[#This Row],[LC Exp Date]],0), "")</f>
        <v/>
      </c>
      <c r="GQ171" s="30" t="str">
        <f>IF(LEN(SnapshotTable[[#This Row],[LC Symbol]])&gt;0, 1, "")</f>
        <v/>
      </c>
      <c r="GR171" s="43" t="str">
        <f>IF(AND(SnapshotTable[[#This Row],[SC Exp Date]]&gt;0,SnapshotTable[[#This Row],[SC Strike Price]]&gt;0), [1]!ToOptionSymbol(SnapshotTable[[#This Row],[Symbol]], SnapshotTable[[#This Row],[SC Strike Price]],SnapshotTable[[#This Row],[SC Exp Date]],0), "")</f>
        <v/>
      </c>
      <c r="GS171" s="30" t="str">
        <f>IF(LEN(SnapshotTable[[#This Row],[SC Symbol]])&gt;0, 1, "")</f>
        <v/>
      </c>
      <c r="GT171" s="29" t="str">
        <f>IF(COUNT(SnapshotTable[[#This Row],[LP Symbol Count]],SnapshotTable[[#This Row],[SP Symbol Count]],SnapshotTable[[#This Row],[LC Symbol Count]],SnapshotTable[[#This Row],[SC Symbol Count]])&gt;0, "Y", "")</f>
        <v/>
      </c>
      <c r="GU17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1" s="231" t="e">
        <f>MAX(SnapshotTable[[#This Row],[Equity Basis Total]],SnapshotTable[[#This Row],[Equity Value]]) + (SnapshotTable[[#This Row],[SP Potential Spend]]- SnapshotTable[[#This Row],[SP Premium]] + SnapshotTable[[#This Row],[LP Premium]])+ (SnapshotTable[[#This Row],[LC Premium]] - SnapshotTable[[#This Row],[SC Premium]])</f>
        <v>#VALUE!</v>
      </c>
      <c r="GW171" s="139" t="e">
        <f>IF(AND(SnapshotTable[[#This Row],[Exposure]] &lt;&gt; 0),SnapshotTable[[#This Row],[Exposure]] / SnapshotTable[[#Totals],[Exposure]], "")</f>
        <v>#VALUE!</v>
      </c>
      <c r="HE171" s="268"/>
      <c r="HF171" s="268"/>
      <c r="HK171" s="1"/>
      <c r="HL171" s="1"/>
      <c r="HM171" s="1"/>
      <c r="HN171" s="1"/>
      <c r="HO171" s="1"/>
      <c r="HP171" s="1"/>
    </row>
    <row r="172" spans="2:224" ht="12.75" hidden="1" customHeight="1" x14ac:dyDescent="0.25">
      <c r="B172" s="12" t="s">
        <v>33</v>
      </c>
      <c r="C172" s="422">
        <v>40.92</v>
      </c>
      <c r="D172" s="208"/>
      <c r="E172" s="39">
        <f>SnapshotTable[[#This Row],[Last Price]]*(1 -CrashDiscount)</f>
        <v>34.782000000000004</v>
      </c>
      <c r="F172" s="26" t="s">
        <v>31</v>
      </c>
      <c r="G172" s="26" t="s">
        <v>17</v>
      </c>
      <c r="H172" s="149"/>
      <c r="I172" s="194">
        <v>44792.28125</v>
      </c>
      <c r="J172" s="195">
        <v>44792.28125</v>
      </c>
      <c r="K172" s="196"/>
      <c r="L172" s="326"/>
      <c r="M172" s="140"/>
      <c r="N172" s="140"/>
      <c r="O172" s="140">
        <v>2</v>
      </c>
      <c r="P172" s="22"/>
      <c r="Q172" s="25"/>
      <c r="R172" s="4" t="str">
        <f>IF(SnapshotTable[[#This Row],[Equity Basis Total]] &gt; 0, SnapshotTable[[#This Row],[Equity Basis Total]] / SnapshotTable[[#This Row],[Equity Shares]], "")</f>
        <v/>
      </c>
      <c r="S172" s="269">
        <f>SnapshotTable[[#This Row],[Last Price]] * SnapshotTable[[#This Row],[Equity Shares]]</f>
        <v>0</v>
      </c>
      <c r="T172" s="269">
        <f>SnapshotTable[[#This Row],[Equity Value]] - SnapshotTable[[#This Row],[Equity Basis Total]]</f>
        <v>0</v>
      </c>
      <c r="U172" s="270" t="str">
        <f>IF(SnapshotTable[[#This Row],[Equity Basis Total]] &gt; 0, SnapshotTable[[#This Row],[Equity G/L]] / SnapshotTable[[#This Row],[Equity Basis Total]], "")</f>
        <v/>
      </c>
      <c r="V172" s="268"/>
      <c r="W172" s="268"/>
      <c r="X172" s="4" t="str">
        <f>IF(AND(ISNUMBER(SnapshotTable[[#This Row],[Equity Basis Per Share]]),ISNUMBER(SnapshotTable[[#This Row],[Equity Target]])),SnapshotTable[[#This Row],[Equity Target]]-SnapshotTable[[#This Row],[Equity Basis Per Share]],"")</f>
        <v/>
      </c>
      <c r="Y172" s="4" t="str">
        <f>IF(AND(ISNUMBER(SnapshotTable[[#This Row],[Equity Basis Per Share]]),ISNUMBER(SnapshotTable[[#This Row],[Equity Stop Loss]])),SnapshotTable[[#This Row],[Equity Stop Loss]]-SnapshotTable[[#This Row],[Equity Basis Per Share]],"")</f>
        <v/>
      </c>
      <c r="Z172" s="275" t="str">
        <f>IFERROR( TEXT(SnapshotTable[[#This Row],[Equity Max Gain Per Share]] /ABS( SnapshotTable[[#This Row],[Equity Max Loss Per Share]]),"0.0 " ) &amp; " : 1", "")</f>
        <v/>
      </c>
      <c r="AA172" s="31" t="str">
        <f>IF(ISNUMBER(SnapshotTable[[#This Row],[Equity Max Gain Per Share]]),SnapshotTable[[#This Row],[Equity Max Gain Per Share]] * SnapshotTable[[#This Row],[Equity Shares]],"")</f>
        <v/>
      </c>
      <c r="AB172" s="31" t="str">
        <f>IF(ISNUMBER(SnapshotTable[[#This Row],[Equity Max Loss Per Share]]),SnapshotTable[[#This Row],[Equity Max Loss Per Share]] * SnapshotTable[[#This Row],[Equity Shares]],"")</f>
        <v/>
      </c>
      <c r="AC172" s="150">
        <v>1.24</v>
      </c>
      <c r="AD172" s="151">
        <v>42853</v>
      </c>
      <c r="AE172" s="31">
        <f>(SnapshotTable[[#This Row],[Annual Dividend Per Share]] / 4) * SnapshotTable[[#This Row],[Equity Shares]]</f>
        <v>0</v>
      </c>
      <c r="AF172" s="31">
        <f>SnapshotTable[[#This Row],[Quarterly Div $]] * 4</f>
        <v>0</v>
      </c>
      <c r="AG172" s="7">
        <f>IF(SnapshotTable[[#This Row],[Annual Dividend Per Share]]&gt;0, SnapshotTable[[#This Row],[Annual Dividend Per Share]]  / SnapshotTable[[#This Row],[Last Price]], 0)</f>
        <v>3.03030303030303E-2</v>
      </c>
      <c r="AH172" s="151">
        <v>43663</v>
      </c>
      <c r="AI172" s="5"/>
      <c r="AJ172" s="138">
        <v>33.520000000000003</v>
      </c>
      <c r="AK172" s="152" t="str">
        <f>IF(ISNUMBER( SnapshotTable[[#This Row],[EBF Target]]),(SnapshotTable[[#This Row],[EBF Target]] - SnapshotTable[[#This Row],[Last Price]]) / SnapshotTable[[#This Row],[Last Price]], "")</f>
        <v/>
      </c>
      <c r="AL172" s="152" t="str">
        <f>IF(AND(SnapshotTable[[#This Row],[Equity Basis Total]] &gt; 0,ISNUMBER( SnapshotTable[[#This Row],[Long Term Target]])), SnapshotTable[[#This Row],[From Basis $]] / SnapshotTable[[#This Row],[Equity Basis Total]], "")</f>
        <v/>
      </c>
      <c r="AM172" s="9">
        <f>IF( AND(SnapshotTable[[#This Row],[Equity Shares]] &gt;0,ISNUMBER( SnapshotTable[[#This Row],[Long Term Target]])),(SnapshotTable[[#This Row],[Equity Shares]] * SnapshotTable[[#This Row],[Long Term Target]]) - SnapshotTable[[#This Row],[Equity Basis Total]],0)</f>
        <v>0</v>
      </c>
      <c r="AN172" s="9">
        <f>IF( AND(SnapshotTable[[#This Row],[Equity Shares]] &gt;0,ISNUMBER( SnapshotTable[[#This Row],[Long Term Target]])),(SnapshotTable[[#This Row],[Equity Shares]]*SnapshotTable[[#This Row],[Long Term Target]]) - SnapshotTable[[#This Row],[Equity Value]],0)</f>
        <v>0</v>
      </c>
      <c r="AO172" s="152">
        <f>IF(AND(ISNUMBER( SnapshotTable[[#This Row],[Long Term Target]]), ISNUMBER(SnapshotTable[[#This Row],[Last Price]])),(SnapshotTable[[#This Row],[Long Term Target]] - SnapshotTable[[#This Row],[Last Price]]) / SnapshotTable[[#This Row],[Last Price]], "")</f>
        <v>-0.1808406647116324</v>
      </c>
      <c r="AP172" s="5">
        <v>25</v>
      </c>
      <c r="AQ172" s="38" t="s">
        <v>109</v>
      </c>
      <c r="AR172" s="5">
        <v>20</v>
      </c>
      <c r="AS172" s="38" t="s">
        <v>110</v>
      </c>
      <c r="AT172" s="146" t="s">
        <v>1155</v>
      </c>
      <c r="AU172" s="187" t="str">
        <f>IF(OR(SnapshotTable[[#This Row],[LP No Fill]]="Y",SnapshotTable[[#This Row],[SP Is Filled]],SnapshotTable[[#This Row],[LC Not Filled]]="Y",SnapshotTable[[#This Row],[SC Is Filled]]),"Y","")</f>
        <v/>
      </c>
      <c r="AV172" s="219"/>
      <c r="AW172" s="225"/>
      <c r="AX172" s="220"/>
      <c r="AY172" s="219" t="str">
        <f>IF(SnapshotTable[[#This Row],[Implied Move]]&gt;0, SnapshotTable[[#This Row],[Last Price]]-SnapshotTable[[#This Row],[Implied Move]],"")</f>
        <v/>
      </c>
      <c r="AZ172" s="219" t="str">
        <f>IF(SnapshotTable[[#This Row],[Implied Move]]&gt;0, SnapshotTable[[#This Row],[Last Price]] + SnapshotTable[[#This Row],[Implied Move]],"")</f>
        <v/>
      </c>
      <c r="BA172" s="331">
        <v>1.6</v>
      </c>
      <c r="BB172" s="347"/>
      <c r="BC17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2" s="351"/>
      <c r="BE172" s="5"/>
      <c r="BF172" s="14"/>
      <c r="BG172" s="13"/>
      <c r="BH172" s="13"/>
      <c r="BI172" s="5"/>
      <c r="BJ172" s="136">
        <f>IF(SnapshotTable[[#This Row],[LP Qty]] &gt; 0, SnapshotTable[[#This Row],[LP Qty]] * SnapshotTable[[#This Row],[LP Book Price]] * 100,0)</f>
        <v>0</v>
      </c>
      <c r="BK172" s="136">
        <f>IF(SnapshotTable[[#This Row],[LP Premium]] &gt; 0, SnapshotTable[[#This Row],[LP Qty]] * SnapshotTable[[#This Row],[LP Strike Price]] * 100,0)</f>
        <v>0</v>
      </c>
      <c r="BL172" s="154"/>
      <c r="BM172" s="385" t="str">
        <f>IF(SnapshotTable[[#This Row],[LP Premium]] &gt; 0,SnapshotTable[[#This Row],[LP Exp Date]]-MAX(SnapshotTable[[#This Row],[LP Book Date]], SnapshotTable[[#This Row],[LP Fill Date]]),"")</f>
        <v/>
      </c>
      <c r="BN172" s="385" t="str">
        <f>IF(ISNUMBER( SnapshotTable[[#This Row],[LP Term]]), SnapshotTable[[#This Row],[LP Exp Date]] - MockToday,"")</f>
        <v/>
      </c>
      <c r="BO172" s="163" t="str">
        <f>IF(AND(SnapshotTable[[#This Row],[LP Exp Date]]&gt;0, SnapshotTable[[#This Row],[LP Strike Price]]&gt;0,SnapshotTable[[#This Row],[LP Qty]]&gt;0,SnapshotTable[[#This Row],[LP Book Date]]&gt;0,SnapshotTable[[#This Row],[LP Book Price]]&gt;0,SnapshotTable[[#This Row],[LP Fill Date]]=0),"Y","")</f>
        <v/>
      </c>
      <c r="BP172" s="31" t="str">
        <f>IF(AND(SnapshotTable[[#This Row],[LP No Fill]]&lt;&gt;"Y",SnapshotTable[[#This Row],[LP Contract Value]]&gt;0, SnapshotTable[[#This Row],[LP Qty]]&gt;0), SnapshotTable[[#This Row],[LP Contract Value]]*SnapshotTable[[#This Row],[LP Qty]]*100,"")</f>
        <v/>
      </c>
      <c r="BQ172" s="13"/>
      <c r="BR172" s="5" t="str">
        <f>IF(SnapshotTable[[#This Row],[SP Exp Date]]&lt;&gt;"",TRUNC(SnapshotTable[[#This Row],[Last Price]]),"")</f>
        <v/>
      </c>
      <c r="BS172" s="36"/>
      <c r="BT172" s="147"/>
      <c r="BU172" s="13"/>
      <c r="BV172" s="5"/>
      <c r="BW172" s="419" t="b">
        <f>AND(ISNUMBER(SnapshotTable[[#This Row],[SP Exp Date]]), ISNUMBER(SnapshotTable[[#This Row],[SP Strike Price]]), ISNUMBER(SnapshotTable[[#This Row],[SP Qty]]), ISNUMBER(SnapshotTable[[#This Row],[SP Book Date]]), ISNUMBER(SnapshotTable[[#This Row],[SP Book Price]]))</f>
        <v>0</v>
      </c>
      <c r="BX172" s="419" t="b">
        <f>AND(SnapshotTable[[#This Row],[SP Is Booked]], NOT(ISBLANK(SnapshotTable[[#This Row],[SP Fill Date]])))</f>
        <v>0</v>
      </c>
      <c r="BY172" s="33">
        <f>IF(SnapshotTable[[#This Row],[SP Is Booked]], SnapshotTable[[#This Row],[SP Qty]] * SnapshotTable[[#This Row],[SP Book Price]] * 100, 0)</f>
        <v>0</v>
      </c>
      <c r="BZ172" s="369"/>
      <c r="CA172" s="368">
        <f>SnapshotTable[[#This Row],[LP Qty]]</f>
        <v>0</v>
      </c>
      <c r="CB172" s="4" t="str">
        <f>IF(SnapshotTable[[#This Row],[SP Is Booked]], SnapshotTable[[#This Row],[SP Strike Price]] - SnapshotTable[[#This Row],[SP Book Price]], "")</f>
        <v/>
      </c>
      <c r="CC172" s="19" t="str">
        <f>IF(SnapshotTable[[#This Row],[SP Is Booked]],SnapshotTable[[#This Row],[SP Exp Date]]-MAX(SnapshotTable[[#This Row],[SP Book Date]], SnapshotTable[[#This Row],[SP Fill Date]]),"")</f>
        <v/>
      </c>
      <c r="CD172" s="7" t="str">
        <f>IF(SnapshotTable[[#This Row],[SP Is Booked]], SnapshotTable[[#This Row],[SP Book Price]]/SnapshotTable[[#This Row],[SP Strike Price]], "")</f>
        <v/>
      </c>
      <c r="CE172" s="7" t="str">
        <f>IF(ISNUMBER(SnapshotTable[[#This Row],[SP ROO Term]]),SnapshotTable[[#This Row],[SP ROO Term]]*(365/SnapshotTable[[#This Row],[SP Term]]),"")</f>
        <v/>
      </c>
      <c r="CF172" s="236">
        <f>SnapshotTable[[#This Row],[LP Strike Price]] * SnapshotTable[[#This Row],[LP Qty]] * 100</f>
        <v>0</v>
      </c>
      <c r="CG172" s="31" t="e">
        <f>IF(ISNUMBER(SnapshotTable[[#This Row],[SP Premium]]), (SnapshotTable[[#This Row],[SP Qty]] * SnapshotTable[[#This Row],[SP Strike Price]]* 100) - SnapshotTable[[#This Row],[LP Protection]], 0)</f>
        <v>#VALUE!</v>
      </c>
      <c r="CH172" s="7" t="str">
        <f>IF(ISNUMBER(SnapshotTable[[#This Row],[SP Break Even]]),-1 * (SnapshotTable[[#This Row],[SP Break Even]] - SnapshotTable[[#This Row],[Last Price]]) / SnapshotTable[[#This Row],[Last Price]], "")</f>
        <v/>
      </c>
      <c r="CI172" s="31">
        <f>IF(AND(ISNUMBER((SnapshotTable[[#This Row],[SP Potential Spend]])), SnapshotTable[[#This Row],[SP Strike Price]] &gt; SnapshotTable[[#This Row],[Last Price]], SnapshotTable[[#This Row],[SP Is Filled]]), SnapshotTable[[#This Row],[SP Potential Spend]] -  SnapshotTable[[#This Row],[LP Max Value]], 0)</f>
        <v>0</v>
      </c>
      <c r="CJ172" s="244"/>
      <c r="CK172" s="31" t="str">
        <f>IF(ISNUMBER(SnapshotTable[[#This Row],[SP Potential Spend]]),IF(ISNUMBER(SnapshotTable[[#This Row],[SP POW]]), SnapshotTable[[#This Row],[SP POW]] * SnapshotTable[[#This Row],[SP Potential Spend]], SnapshotTable[[#This Row],[SP Potential Spend]]), "")</f>
        <v/>
      </c>
      <c r="CL172" s="164" t="e">
        <f>IF(NOT(SnapshotTable[[#This Row],[SP Is Filled]]),(SnapshotTable[[#This Row],[SP Qty]] * SnapshotTable[[#This Row],[SP Strike Price]] * 100) - SnapshotTable[[#This Row],[LP Max Value]],"")</f>
        <v>#VALUE!</v>
      </c>
      <c r="CM172" s="31" t="str">
        <f>IF(SnapshotTable[[#This Row],[SP Actual Spend]]&lt;&gt;0, ((SnapshotTable[[#This Row],[SP Strike Price]]-SnapshotTable[[#This Row],[Last Price]]) *(SnapshotTable[[#This Row],[SP Qty]]*100) - SnapshotTable[[#This Row],[SP Premium]]) * - 1, "")</f>
        <v/>
      </c>
      <c r="CN172" s="78"/>
      <c r="CO172" s="369"/>
      <c r="CP172" s="4" t="str">
        <f>IF(SnapshotTable[[#This Row],[SP Is Filled]], btc_max_buyback_amount(SnapshotTable[[#This Row],[SP Fill Date]],SnapshotTable[[#This Row],[SP Exp Date]], SnapshotTable[[#This Row],[SP Book Price]]),"")</f>
        <v/>
      </c>
      <c r="CQ172" s="78"/>
      <c r="CR17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2" s="155" t="str">
        <f>IF(SnapshotTable[[#This Row],[SP Is Filled]], btc_next_cutoff_date(SnapshotTable[[#This Row],[SP Fill Date]],SnapshotTable[[#This Row],[SP Exp Date]]),"")</f>
        <v/>
      </c>
      <c r="CT172" s="235" t="str" cm="1">
        <f t="array" ref="CT172">IF(SnapshotTable[[#This Row],[SP Is Filled]], btc_should_buy_back(SnapshotTable[[#This Row],[SP Fill Date]], SnapshotTable[[#This Row],[SP Exp Date]], SnapshotTable[[#This Row],[SP Book Price]], SnapshotTable[[#This Row],[SP Current Ask]], MockToday, SnapshotTable[[#This Row],[SP Buyback Override]]),"")</f>
        <v/>
      </c>
      <c r="CU172" s="143"/>
      <c r="CV172" s="235"/>
      <c r="CW172" s="378" t="str">
        <f>IF(ISNUMBER( SnapshotTable[[#This Row],[SP Term]]), SnapshotTable[[#This Row],[SP Exp Date]] - MockToday,"")</f>
        <v/>
      </c>
      <c r="CX172" s="31" t="str">
        <f>IF(SnapshotTable[[#This Row],[SP Is Filled]],SnapshotTable[[#This Row],[SP Buyback Price to Use]] * 100 * SnapshotTable[[#This Row],[SP Qty]], "")</f>
        <v/>
      </c>
      <c r="CY172" s="4" t="str">
        <f>IF(ISNUMBER(SnapshotTable[[#This Row],[SP Strike Price]]), SnapshotTable[[#This Row],[SP Strike Price]] * (1 - SP_MaxLoss_StrikePct), "")</f>
        <v/>
      </c>
      <c r="CZ172" s="31" t="str">
        <f>IF(ISNUMBER(SnapshotTable[[#This Row],[SP Strike  Stop Per Share]]),SnapshotTable[[#This Row],[SP Premium]] - ((SnapshotTable[[#This Row],[SP Strike Price]]-SnapshotTable[[#This Row],[SP Strike  Stop Per Share]]) *(SnapshotTable[[#This Row],[SP Qty]] * 100)),"")</f>
        <v/>
      </c>
      <c r="DA172" s="4" t="str">
        <f>IF(AND(ISNUMBER(SnapshotTable[[#This Row],[SP Premium]]),SnapshotTable[[#This Row],[SP Premium]]&gt;0), SnapshotTable[[#This Row],[SP Book Price]] * (1 + SP_MaxLoss_OptionPct), "")</f>
        <v/>
      </c>
      <c r="DB172" s="31" t="str">
        <f>IF(ISNUMBER(SnapshotTable[[#This Row],[SP Option  Stop Contract]]),(SnapshotTable[[#This Row],[SP Option  Stop Contract]] *(SnapshotTable[[#This Row],[SP Qty]] * 100) - SnapshotTable[[#This Row],[SP Premium]]),"")</f>
        <v/>
      </c>
      <c r="DC172" s="4"/>
      <c r="DD172" s="4"/>
      <c r="DE172" s="4" t="str">
        <f>IF(AND(SnapshotTable[[#This Row],[SP Qty]]&gt;0, SnapshotTable[[#This Row],[SP Stop To Use]]&gt;0),SnapshotTable[[#This Row],[SP Premium]] - ( SnapshotTable[[#This Row],[SP Qty]] * SnapshotTable[[#This Row],[SP Stop To Use]] * 100), "")</f>
        <v/>
      </c>
      <c r="DF172" s="31" t="str">
        <f>IF(AND(SnapshotTable[[#This Row],[SP Qty]]&gt;0,SnapshotTable[[#This Row],[SP Current Ask]]&gt;0), SnapshotTable[[#This Row],[SP Qty]] * SnapshotTable[[#This Row],[SP Current Ask]] * -100, "")</f>
        <v/>
      </c>
      <c r="DG172" s="31" t="str">
        <f>IF(ISNUMBER((SnapshotTable[[#This Row],[SP Total Value]])), SnapshotTable[[#This Row],[SP Premium]] + SnapshotTable[[#This Row],[SP Total Value]], "")</f>
        <v/>
      </c>
      <c r="DH172" s="294" t="str">
        <f>IF(ISNUMBER((SnapshotTable[[#This Row],[SP Total Value]])), SnapshotTable[[#This Row],[SP Gain Loss]] / SnapshotTable[[#This Row],[SP Premium]], "")</f>
        <v/>
      </c>
      <c r="DI172" s="406"/>
      <c r="DJ172" s="138"/>
      <c r="DK172" s="148"/>
      <c r="DL172" s="13"/>
      <c r="DM172" s="13"/>
      <c r="DO172" s="31">
        <f>IF(SnapshotTable[[#This Row],[LC Symbol Count]]=1, SnapshotTable[[#This Row],[LC Qty]] * SnapshotTable[[#This Row],[LC Book Price]] * 100, 0)</f>
        <v>0</v>
      </c>
      <c r="DP172" s="163" t="str">
        <f>IF(AND(SnapshotTable[[#This Row],[LC Exp Date]]&gt;0, SnapshotTable[[#This Row],[LC Strike Price]]&gt;0,SnapshotTable[[#This Row],[LC Qty]]&gt;0,SnapshotTable[[#This Row],[LC Book Date]]&gt;0,SnapshotTable[[#This Row],[LC Book Price]]&gt;0,SnapshotTable[[#This Row],[LC Fill Date]]=0),"Y","")</f>
        <v/>
      </c>
      <c r="DQ172" s="386" t="str">
        <f>IF(SnapshotTable[[#This Row],[LC Premium]] &gt; 0,SnapshotTable[[#This Row],[LC Exp Date]]-MAX(SnapshotTable[[#This Row],[LC Book Date]], SnapshotTable[[#This Row],[LC Fill Date]]),"")</f>
        <v/>
      </c>
      <c r="DR172" s="386" t="str">
        <f>IF(ISNUMBER(SnapshotTable[[#This Row],[LC Term]]), SnapshotTable[[#This Row],[LC Exp Date]] - MockToday, "")</f>
        <v/>
      </c>
      <c r="DS172" s="234" t="str">
        <f>IF(SnapshotTable[[#This Row],[LC Premium]]&gt;0,SnapshotTable[[#This Row],[LC Strike Price]] + SnapshotTable[[#This Row],[LC Book Price]],"")</f>
        <v/>
      </c>
      <c r="DU172" s="9" t="str">
        <f>IF(AND(SnapshotTable[[#This Row],[LC Symbol Count]]&gt;0, SnapshotTable[[#This Row],[LC Contract Value]]&gt;0), SnapshotTable[[#This Row],[LC Contract Value]] * SnapshotTable[[#This Row],[LC Qty]] * 100, "")</f>
        <v/>
      </c>
      <c r="DV172" s="9" t="str">
        <f>IF(AND(ISNUMBER(SnapshotTable[[#This Row],[LC Total Value]]), SnapshotTable[[#This Row],[LC Not Filled]]&lt;&gt;"Y"), SnapshotTable[[#This Row],[LC Total Value]]-SnapshotTable[[#This Row],[LC Premium]],"")</f>
        <v/>
      </c>
      <c r="DW172" s="240" t="str">
        <f>IF(ISNUMBER(SnapshotTable[[#This Row],[LC Actual Gain Loss]]), SnapshotTable[[#This Row],[LC Actual Gain Loss]] / SnapshotTable[[#This Row],[LC Premium]],"")</f>
        <v/>
      </c>
      <c r="DX172" s="284" t="str">
        <f>IF(ISNUMBER(SnapshotTable[[#This Row],[LC Book Price]]),SnapshotTable[[#This Row],[LC Book Price]] * 1.5,"")</f>
        <v/>
      </c>
      <c r="DY172" s="265" t="str">
        <f>IF(SnapshotTable[[#This Row],[LC Premium]]&gt;0, SnapshotTable[[#This Row],[LC Next Target]] * SnapshotTable[[#This Row],[LC Qty]] * 100,"")</f>
        <v/>
      </c>
      <c r="DZ172" s="265" t="str">
        <f>IF(ISNUMBER(SnapshotTable[[#This Row],[LC Target Gross]]), SnapshotTable[[#This Row],[LC Target Gross]] - SnapshotTable[[#This Row],[LC Premium]], "")</f>
        <v/>
      </c>
      <c r="EA172" s="305" t="str">
        <f>IF(ISNUMBER(SnapshotTable[[#This Row],[LC Target Gain Loss]]), SnapshotTable[[#This Row],[LC Target Gain Loss]]/SnapshotTable[[#This Row],[LC Premium]], "")</f>
        <v/>
      </c>
      <c r="EB172" s="262"/>
      <c r="EC172" s="283" t="str">
        <f>IF(SnapshotTable[[#This Row],[LC Premium]]&gt;0, SnapshotTable[[#This Row],[LC Book Price]] * (1 - LC_StopLoss_Pct),"")</f>
        <v/>
      </c>
      <c r="ED172" s="284"/>
      <c r="EE172" s="283" t="str">
        <f>IF(ISNUMBER(SnapshotTable[[#This Row],[LC Contract Value]]),IF(ISNUMBER(SnapshotTable[[#This Row],[LC Stop Loss Override]]), SnapshotTable[[#This Row],[LC Stop Loss Override]],SnapshotTable[[#This Row],[LC Stop Loss Calc Target]]),"")</f>
        <v/>
      </c>
      <c r="EF172" s="31" t="str">
        <f>IF(ISNUMBER(SnapshotTable[[#This Row],[LC Stop  To Use]]), (SnapshotTable[[#This Row],[LC Stop  To Use]] * SnapshotTable[[#This Row],[LC Qty]] * 100),"")</f>
        <v/>
      </c>
      <c r="EG172" s="9" t="str">
        <f>IF(ISNUMBER(SnapshotTable[[#This Row],[LC Total Value]]),SnapshotTable[[#This Row],[LC Stop Loss Amount]] - SnapshotTable[[#This Row],[LC Premium]],"")</f>
        <v/>
      </c>
      <c r="EH172" s="9">
        <f>IF(ISNUMBER(SnapshotTable[[#This Row],[LC Premium]]), SnapshotTable[[#This Row],[LC Qty]] * 100 * SnapshotTable[[#This Row],[LC Strike Price]], "")</f>
        <v>0</v>
      </c>
      <c r="EI172" s="240" t="str">
        <f>IF(AND(ISNUMBER(SnapshotTable[[#This Row],[LC Total Value]]),SnapshotTable[[#This Row],[LC Total Value]]&gt;0),SnapshotTable[[#This Row],[LC Stop Gain Loss]]  / SnapshotTable[[#This Row],[LC Premium]],"")</f>
        <v/>
      </c>
      <c r="EJ172" s="35">
        <f>IF(ISNUMBER(SnapshotTable[[#This Row],[Equity Shares]]),TRUNC(SnapshotTable[[#This Row],[Equity Shares]] / 100),0) + SnapshotTable[[#This Row],[LC Qty]]</f>
        <v>0</v>
      </c>
      <c r="EK172" s="147"/>
      <c r="EL172" s="138" t="str">
        <f>IF(SnapshotTable[[#This Row],[SC Exp Date]]&lt;&gt;"",TRUNC(SnapshotTable[[#This Row],[Last Price]]),"")</f>
        <v/>
      </c>
      <c r="EM172" s="148"/>
      <c r="EN172" s="147"/>
      <c r="EO172" s="147"/>
      <c r="EP172" s="138"/>
      <c r="EQ172" s="419" t="b">
        <f>AND(ISNUMBER(SnapshotTable[[#This Row],[SC Exp Date]]), ISNUMBER(SnapshotTable[[#This Row],[SC Strike Price]]), ISNUMBER(SnapshotTable[[#This Row],[SC Qty]]), ISNUMBER(SnapshotTable[[#This Row],[SC Book Date]]), ISNUMBER(SnapshotTable[[#This Row],[SC Book Price]]))</f>
        <v>0</v>
      </c>
      <c r="ER172" s="419" t="b">
        <f>AND(SnapshotTable[[#This Row],[SC Is Booked]], NOT(ISBLANK(SnapshotTable[[#This Row],[SC Fill Date]])))</f>
        <v>0</v>
      </c>
      <c r="ES172" s="370"/>
      <c r="ET172" s="34" t="str">
        <f>IF(AND(ISNUMBER(SnapshotTable[[#This Row],[SC Exp Date]]), ISNUMBER(SnapshotTable[[#This Row],[SC Book Date]])), SnapshotTable[[#This Row],[SC Exp Date]] - MAX(SnapshotTable[[#This Row],[SC Book Date]], SnapshotTable[[#This Row],[SC Fill Date]]) + 1, "")</f>
        <v/>
      </c>
      <c r="EU172" s="34" t="str">
        <f>IF(ISNUMBER(SnapshotTable[[#This Row],[SC Term]]), SnapshotTable[[#This Row],[SC Exp Date]]- MockToday, "")</f>
        <v/>
      </c>
      <c r="EV172" s="31">
        <f>IF(SnapshotTable[[#This Row],[SC Is Booked]], SnapshotTable[[#This Row],[SC Qty]] * SnapshotTable[[#This Row],[SC Book Price]] * 100, 0)</f>
        <v>0</v>
      </c>
      <c r="EW172" s="4" t="str">
        <f>IF(AND(ISNUMBER(SnapshotTable[[#This Row],[Last Price]]), ISNUMBER( SnapshotTable[[#This Row],[SC Book Price]])), SnapshotTable[[#This Row],[Last Price]] - SnapshotTable[[#This Row],[SC Book Price]],"")</f>
        <v/>
      </c>
      <c r="EX172" s="234" t="str">
        <f>IF(SnapshotTable[[#This Row],[SC Is Booked]],IF(SnapshotTable[[#This Row],[SC Intrinsic Value]] &gt; 0, SnapshotTable[[#This Row],[SC Strike Price]], SnapshotTable[[#This Row],[Last Price]]), "")</f>
        <v/>
      </c>
      <c r="EY172" s="4">
        <f>IF(SnapshotTable[[#This Row],[SC Is Booked]], (MinimumPremiumRequired * SnapshotTable[[#This Row],[SC Basis]] * SnapshotTable[[#This Row],[SC Term]]), 0)</f>
        <v>0</v>
      </c>
      <c r="EZ172" s="283"/>
      <c r="FA172" s="218"/>
      <c r="FB172" s="370"/>
      <c r="FC172" s="4">
        <f>IF(SnapshotTable[[#This Row],[SC Is Filled]], btc_max_buyback_amount(SnapshotTable[[#This Row],[SC Fill Date]],SnapshotTable[[#This Row],[SC Exp Date]], SnapshotTable[[#This Row],[SC Book Price]]),0)</f>
        <v>0</v>
      </c>
      <c r="FD172" s="5"/>
      <c r="FE172" s="144" t="str">
        <f>IF(SnapshotTable[[#This Row],[SC Is Filled]], btc_next_cutoff_date(SnapshotTable[[#This Row],[SC Fill Date]],SnapshotTable[[#This Row],[SC Exp Date]]),"")</f>
        <v/>
      </c>
      <c r="FF172" s="4" t="str" cm="1">
        <f t="array" ref="FF172">IF(SnapshotTable[[#This Row],[SC Is Filled]], btc_should_buy_back(SnapshotTable[[#This Row],[SC Fill Date]], SnapshotTable[[#This Row],[SC Exp Date]], SnapshotTable[[#This Row],[SC Book Price]], SnapshotTable[[#This Row],[SC Current Ask]], MockToday, SnapshotTable[[#This Row],[SC Buyback Override]]),"")</f>
        <v/>
      </c>
      <c r="FG172" s="4">
        <f>IF(SnapshotTable[[#This Row],[SC Is Filled]], MAX(0,SnapshotTable[[#This Row],[Last Price]]  - SnapshotTable[[#This Row],[SC Strike Price]]), 0)</f>
        <v>0</v>
      </c>
      <c r="FH172" s="382">
        <f>IF(SnapshotTable[[#This Row],[SC Is Filled]], IF(ISNUMBER(SnapshotTable[[#This Row],[SC Current Ask]]), SnapshotTable[[#This Row],[SC Current Ask]], SnapshotTable[[#This Row],[SC Book Price]]) - SnapshotTable[[#This Row],[SC Intrinsic Value]], 0)</f>
        <v>0</v>
      </c>
      <c r="FI172" s="143"/>
      <c r="FJ172" s="32" t="str">
        <f>IF(SnapshotTable[[#This Row],[SC Is Filled]],100 * SnapshotTable[[#This Row],[SC Qty]] * IF(ISNUMBER(SnapshotTable[[#This Row],[SC Buyback Override]]), SnapshotTable[[#This Row],[SC Buyback Override]], SnapshotTable[[#This Row],[SC Current Ask]]), "")</f>
        <v/>
      </c>
      <c r="FK172" s="250" t="str">
        <f>IF(SnapshotTable[[#This Row],[SC Time Val]]&gt;0, SnapshotTable[[#This Row],[SC Time Val]] / SnapshotTable[[#This Row],[Last Price]],"")</f>
        <v/>
      </c>
      <c r="FL172" s="302" t="str">
        <f>IF(SnapshotTable[[#This Row],[SC Is Booked]], ((SnapshotTable[[#This Row],[Last Price]] -SnapshotTable[[#This Row],[SC Strike Price]]) / SnapshotTable[[#This Row],[Last Price]]) * -1, "")</f>
        <v/>
      </c>
      <c r="FM172" s="157" t="str">
        <f>IF(SnapshotTable[[#This Row],[SC Is Booked]],  (SnapshotTable[[#This Row],[SC Qty]] * 100 * SnapshotTable[[#This Row],[SC Strike Price]]) - SnapshotTable[[#This Row],[SC Current Ask]], "")</f>
        <v/>
      </c>
      <c r="FN17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2" s="31" t="str">
        <f>IF(AND(ISNUMBER(SnapshotTable[[#This Row],[SC Exercise Gross]]), ISNUMBER(SnapshotTable[[#This Row],[Equity Basis Per Share]] )), SnapshotTable[[#This Row],[SC Exercise Gross]] - SnapshotTable[[#This Row],[Equity Basis Total]] +  SnapshotTable[[#This Row],[SC Premium]], "")</f>
        <v/>
      </c>
      <c r="FP172" s="5" t="str">
        <f>IF(ISNUMBER(SnapshotTable[[#This Row],[SC Exercise Gross]]), (SnapshotTable[[#This Row],[SC Exercise Gross]]) / (SnapshotTable[[#This Row],[SC Qty]] * 100), "")</f>
        <v/>
      </c>
      <c r="FQ172" s="27" t="str">
        <f>IF(SnapshotTable[[#This Row],[SC Is Booked]],SnapshotTable[[#This Row],[SC Time Val]] /SnapshotTable[[#This Row],[SC Basis]], "")</f>
        <v/>
      </c>
      <c r="FR172" s="27" t="str" cm="1">
        <f t="array" ref="FR172">IF(AND(ISNUMBER(SnapshotTable[[#This Row],[SC Term]]),ISNUMBER(SnapshotTable[[#This Row],[SC Simple ROO]])), EllmanAnnualize(SnapshotTable[[#This Row],[SC DTE]], SnapshotTable[[#This Row],[SC Simple ROO]] ),"")</f>
        <v/>
      </c>
      <c r="FS172" s="4" t="e">
        <f>IF(SnapshotTable[[#This Row],[SC Strike Price]] &gt; SnapshotTable[[#This Row],[Last Price]], SnapshotTable[[#This Row],[SC Strike Price]] - SnapshotTable[[#This Row],[Last Price]],0)</f>
        <v>#VALUE!</v>
      </c>
      <c r="FT172" s="27" t="e">
        <f>IF(AND(ISNUMBER(SnapshotTable[[#This Row],[SC Upside Potential]]), SnapshotTable[[#This Row],[SC Upside Potential]] &gt; 0),(SnapshotTable[[#This Row],[SC Upside Potential]]/ SnapshotTable[[#This Row],[ACB]]),"")</f>
        <v>#VALUE!</v>
      </c>
      <c r="FU172" s="333" t="str">
        <f>IF(SnapshotTable[[#This Row],[SC Intrinsic Value]] &gt; 0,SnapshotTable[[#This Row],[SC Intrinsic Value]],"")</f>
        <v/>
      </c>
      <c r="FV172" s="27" t="str">
        <f>IF(AND( ISNUMBER( SnapshotTable[[#This Row],[ACB]]),ISNUMBER(SnapshotTable[[#This Row],[SC Downside Protect]])),SnapshotTable[[#This Row],[SC Downside Protect]] / SnapshotTable[[#This Row],[ACB]],"")</f>
        <v/>
      </c>
      <c r="FW172" s="236" t="str">
        <f>IF(AND(ISNUMBER(SnapshotTable[[#This Row],[SC Simple ROO]]),SnapshotTable[[#This Row],[SC Simple ROO]] &gt; 0), SnapshotTable[[#This Row],[SC Premium]] + (SnapshotTable[[#This Row],[SC Qty]] * SnapshotTable[[#This Row],[SC Upside Potential]]), "")</f>
        <v/>
      </c>
      <c r="FX172" s="302" t="str" cm="1">
        <f t="array" ref="FX172">IF(ISNUMBER(SnapshotTable[[#This Row],[SC Max Dollars]]), annualize(SnapshotTable[[#This Row],[SC Term]],(SnapshotTable[[#This Row],[SC Max Dollars]]/SnapshotTable[[#This Row],[SC Basis]])),"")</f>
        <v/>
      </c>
      <c r="FY172" s="236" t="str">
        <f>IF(AND(SnapshotTable[[#This Row],[SC Qty]]&gt;0,SnapshotTable[[#This Row],[SC Current Ask]]&gt;0), SnapshotTable[[#This Row],[SC Qty]] * SnapshotTable[[#This Row],[SC Current Ask]] * -100, "")</f>
        <v/>
      </c>
      <c r="FZ172" s="31" t="str">
        <f>IF(ISNUMBER((SnapshotTable[[#This Row],[SC Current Value]])), SnapshotTable[[#This Row],[SC Premium]] + SnapshotTable[[#This Row],[SC Current Value]], "")</f>
        <v/>
      </c>
      <c r="GA172" s="294" t="str">
        <f>IFERROR( IF(ISNUMBER((SnapshotTable[[#This Row],[SC Current Value]])), SnapshotTable[[#This Row],[SC Gain Loss]] / SnapshotTable[[#This Row],[SC Premium]], ""), "")</f>
        <v/>
      </c>
      <c r="GB172" s="42">
        <f>SnapshotTable[[#This Row],[Equity Shares]] * SaleSharesToConsiderPercentage</f>
        <v>0</v>
      </c>
      <c r="GC172" s="40">
        <f>SnapshotTable[[#This Row],[Long Term Target]] * SellingPriceToConsiderBasedOnTargetPercentage</f>
        <v>31.844000000000001</v>
      </c>
      <c r="GD172" s="40">
        <f>SnapshotTable[[#This Row],[Last Price]] * (1+ SellingPriceToConsiderBasedOnTargetPercentage)</f>
        <v>79.793999999999997</v>
      </c>
      <c r="GE172" s="41"/>
      <c r="GF172" s="40"/>
      <c r="GG172" s="31">
        <f>SnapshotTable[[#This Row],[Booked Sale Shares]] * SnapshotTable[[#This Row],[Booked Sale Price]]</f>
        <v>0</v>
      </c>
      <c r="GH172" s="31" t="str">
        <f>IF(SnapshotTable[[#This Row],[Equity Basis Total]] &gt; 0, SnapshotTable[[#This Row],[Equity Basis Per Share]] * SnapshotTable[[#This Row],[Booked Sale Shares]], "")</f>
        <v/>
      </c>
      <c r="GI172" s="31">
        <f>IF(SnapshotTable[[#This Row],[Sale Proceeds]]&gt;0, SnapshotTable[[#This Row],[Sale Proceeds]] - SnapshotTable[[#This Row],[Sale Basis]], 0)</f>
        <v>0</v>
      </c>
      <c r="GJ172" s="27" t="str">
        <f>IF(SnapshotTable[[#This Row],[Sale G/L]]&gt;0, SnapshotTable[[#This Row],[Sale G/L]] / SnapshotTable[[#This Row],[Sale Basis]], IF(ISNUMBER(SnapshotTable[[#This Row],[SC Exercise P&amp;L (TAX)]]), SnapshotTable[[#This Row],[SC Exercise P&amp;L (TAX)]] / SnapshotTable[[#This Row],[SC Basis]], ""))</f>
        <v/>
      </c>
      <c r="GK172" s="27" t="s">
        <v>706</v>
      </c>
      <c r="GL172" s="43" t="str">
        <f>IF(AND(SnapshotTable[[#This Row],[LP Exp Date]]&gt;0,SnapshotTable[[#This Row],[LP Strike Price]]&gt;0), [1]!ToOptionSymbol(SnapshotTable[[#This Row],[Symbol]], SnapshotTable[[#This Row],[LP Strike Price]],SnapshotTable[[#This Row],[LP Exp Date]],1), "")</f>
        <v/>
      </c>
      <c r="GM172" s="30" t="str">
        <f>IF(LEN(SnapshotTable[[#This Row],[LP Symbol]])&gt;0, 1, "")</f>
        <v/>
      </c>
      <c r="GN172" s="43" t="str">
        <f>IF(AND(SnapshotTable[[#This Row],[SP Exp Date]]&gt;0,SnapshotTable[[#This Row],[SP Strike Price]]&gt;0), [1]!ToOptionSymbol(SnapshotTable[[#This Row],[Symbol]], SnapshotTable[[#This Row],[SP Strike Price]],SnapshotTable[[#This Row],[SP Exp Date]],1), "")</f>
        <v/>
      </c>
      <c r="GO172" s="30" t="str">
        <f>IF(LEN(SnapshotTable[[#This Row],[SP Symbol]])&gt;0, 1, "")</f>
        <v/>
      </c>
      <c r="GP172" s="43" t="str">
        <f>IF(AND(SnapshotTable[[#This Row],[LC Exp Date]]&gt;0,SnapshotTable[[#This Row],[LC Strike Price]]&gt;0), [1]!ToOptionSymbol(SnapshotTable[[#This Row],[Symbol]], SnapshotTable[[#This Row],[LC Strike Price]],SnapshotTable[[#This Row],[LC Exp Date]],0), "")</f>
        <v/>
      </c>
      <c r="GQ172" s="30" t="str">
        <f>IF(LEN(SnapshotTable[[#This Row],[LC Symbol]])&gt;0, 1, "")</f>
        <v/>
      </c>
      <c r="GR172" s="43" t="str">
        <f>IF(AND(SnapshotTable[[#This Row],[SC Exp Date]]&gt;0,SnapshotTable[[#This Row],[SC Strike Price]]&gt;0), [1]!ToOptionSymbol(SnapshotTable[[#This Row],[Symbol]], SnapshotTable[[#This Row],[SC Strike Price]],SnapshotTable[[#This Row],[SC Exp Date]],0), "")</f>
        <v/>
      </c>
      <c r="GS172" s="30" t="str">
        <f>IF(LEN(SnapshotTable[[#This Row],[SC Symbol]])&gt;0, 1, "")</f>
        <v/>
      </c>
      <c r="GT172" s="29" t="str">
        <f>IF(COUNT(SnapshotTable[[#This Row],[LP Symbol Count]],SnapshotTable[[#This Row],[SP Symbol Count]],SnapshotTable[[#This Row],[LC Symbol Count]],SnapshotTable[[#This Row],[SC Symbol Count]])&gt;0, "Y", "")</f>
        <v/>
      </c>
      <c r="GU17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2" s="231" t="e">
        <f>MAX(SnapshotTable[[#This Row],[Equity Basis Total]],SnapshotTable[[#This Row],[Equity Value]]) + (SnapshotTable[[#This Row],[SP Potential Spend]]- SnapshotTable[[#This Row],[SP Premium]] + SnapshotTable[[#This Row],[LP Premium]])+ (SnapshotTable[[#This Row],[LC Premium]] - SnapshotTable[[#This Row],[SC Premium]])</f>
        <v>#VALUE!</v>
      </c>
      <c r="GW172" s="139" t="e">
        <f>IF(AND(SnapshotTable[[#This Row],[Exposure]] &lt;&gt; 0),SnapshotTable[[#This Row],[Exposure]] / SnapshotTable[[#Totals],[Exposure]], "")</f>
        <v>#VALUE!</v>
      </c>
      <c r="HE172" s="268"/>
      <c r="HF172" s="268"/>
      <c r="HK172" s="1"/>
      <c r="HL172" s="1"/>
      <c r="HM172" s="1"/>
      <c r="HN172" s="1"/>
      <c r="HO172" s="1"/>
      <c r="HP172" s="1"/>
    </row>
    <row r="173" spans="2:224" ht="12.75" hidden="1" customHeight="1" x14ac:dyDescent="0.25">
      <c r="B173" s="12" t="s">
        <v>81</v>
      </c>
      <c r="C173" s="422">
        <v>127</v>
      </c>
      <c r="D173" s="208"/>
      <c r="E173" s="39">
        <f>SnapshotTable[[#This Row],[Last Price]]*(1 -CrashDiscount)</f>
        <v>107.95</v>
      </c>
      <c r="F173" s="26" t="s">
        <v>80</v>
      </c>
      <c r="G173" s="26" t="s">
        <v>9</v>
      </c>
      <c r="H173" s="149"/>
      <c r="I173" s="194">
        <v>44776.666666666664</v>
      </c>
      <c r="J173" s="195">
        <v>44776.666666666664</v>
      </c>
      <c r="K173" s="196"/>
      <c r="L173" s="326"/>
      <c r="M173" s="140"/>
      <c r="N173" s="140"/>
      <c r="O173" s="140"/>
      <c r="P173" s="22"/>
      <c r="Q173" s="25"/>
      <c r="R173" s="4" t="str">
        <f>IF(SnapshotTable[[#This Row],[Equity Basis Total]] &gt; 0, SnapshotTable[[#This Row],[Equity Basis Total]] / SnapshotTable[[#This Row],[Equity Shares]], "")</f>
        <v/>
      </c>
      <c r="S173" s="269">
        <f>SnapshotTable[[#This Row],[Last Price]] * SnapshotTable[[#This Row],[Equity Shares]]</f>
        <v>0</v>
      </c>
      <c r="T173" s="269">
        <f>SnapshotTable[[#This Row],[Equity Value]] - SnapshotTable[[#This Row],[Equity Basis Total]]</f>
        <v>0</v>
      </c>
      <c r="U173" s="270" t="str">
        <f>IF(SnapshotTable[[#This Row],[Equity Basis Total]] &gt; 0, SnapshotTable[[#This Row],[Equity G/L]] / SnapshotTable[[#This Row],[Equity Basis Total]], "")</f>
        <v/>
      </c>
      <c r="V173" s="268"/>
      <c r="W173" s="268"/>
      <c r="X173" s="4" t="str">
        <f>IF(AND(ISNUMBER(SnapshotTable[[#This Row],[Equity Basis Per Share]]),ISNUMBER(SnapshotTable[[#This Row],[Equity Target]])),SnapshotTable[[#This Row],[Equity Target]]-SnapshotTable[[#This Row],[Equity Basis Per Share]],"")</f>
        <v/>
      </c>
      <c r="Y173" s="4" t="str">
        <f>IF(AND(ISNUMBER(SnapshotTable[[#This Row],[Equity Basis Per Share]]),ISNUMBER(SnapshotTable[[#This Row],[Equity Stop Loss]])),SnapshotTable[[#This Row],[Equity Stop Loss]]-SnapshotTable[[#This Row],[Equity Basis Per Share]],"")</f>
        <v/>
      </c>
      <c r="Z173" s="275" t="str">
        <f>IFERROR( TEXT(SnapshotTable[[#This Row],[Equity Max Gain Per Share]] /ABS( SnapshotTable[[#This Row],[Equity Max Loss Per Share]]),"0.0 " ) &amp; " : 1", "")</f>
        <v/>
      </c>
      <c r="AA173" s="31" t="str">
        <f>IF(ISNUMBER(SnapshotTable[[#This Row],[Equity Max Gain Per Share]]),SnapshotTable[[#This Row],[Equity Max Gain Per Share]] * SnapshotTable[[#This Row],[Equity Shares]],"")</f>
        <v/>
      </c>
      <c r="AB173" s="31" t="str">
        <f>IF(ISNUMBER(SnapshotTable[[#This Row],[Equity Max Loss Per Share]]),SnapshotTable[[#This Row],[Equity Max Loss Per Share]] * SnapshotTable[[#This Row],[Equity Shares]],"")</f>
        <v/>
      </c>
      <c r="AC173" s="150"/>
      <c r="AD173" s="151"/>
      <c r="AE173" s="31">
        <f>(SnapshotTable[[#This Row],[Annual Dividend Per Share]] / 4) * SnapshotTable[[#This Row],[Equity Shares]]</f>
        <v>0</v>
      </c>
      <c r="AF173" s="31">
        <f>SnapshotTable[[#This Row],[Quarterly Div $]] * 4</f>
        <v>0</v>
      </c>
      <c r="AG173" s="7">
        <f>IF(SnapshotTable[[#This Row],[Annual Dividend Per Share]]&gt;0, SnapshotTable[[#This Row],[Annual Dividend Per Share]]  / SnapshotTable[[#This Row],[Last Price]], 0)</f>
        <v>0</v>
      </c>
      <c r="AH173" s="151"/>
      <c r="AI173" s="5"/>
      <c r="AJ173" s="138">
        <v>13.6</v>
      </c>
      <c r="AK173" s="152" t="str">
        <f>IF(ISNUMBER( SnapshotTable[[#This Row],[EBF Target]]),(SnapshotTable[[#This Row],[EBF Target]] - SnapshotTable[[#This Row],[Last Price]]) / SnapshotTable[[#This Row],[Last Price]], "")</f>
        <v/>
      </c>
      <c r="AL173" s="152" t="str">
        <f>IF(AND(SnapshotTable[[#This Row],[Equity Basis Total]] &gt; 0,ISNUMBER( SnapshotTable[[#This Row],[Long Term Target]])), SnapshotTable[[#This Row],[From Basis $]] / SnapshotTable[[#This Row],[Equity Basis Total]], "")</f>
        <v/>
      </c>
      <c r="AM173" s="9">
        <f>IF( AND(SnapshotTable[[#This Row],[Equity Shares]] &gt;0,ISNUMBER( SnapshotTable[[#This Row],[Long Term Target]])),(SnapshotTable[[#This Row],[Equity Shares]] * SnapshotTable[[#This Row],[Long Term Target]]) - SnapshotTable[[#This Row],[Equity Basis Total]],0)</f>
        <v>0</v>
      </c>
      <c r="AN173" s="9">
        <f>IF( AND(SnapshotTable[[#This Row],[Equity Shares]] &gt;0,ISNUMBER( SnapshotTable[[#This Row],[Long Term Target]])),(SnapshotTable[[#This Row],[Equity Shares]]*SnapshotTable[[#This Row],[Long Term Target]]) - SnapshotTable[[#This Row],[Equity Value]],0)</f>
        <v>0</v>
      </c>
      <c r="AO173" s="152">
        <f>IF(AND(ISNUMBER( SnapshotTable[[#This Row],[Long Term Target]]), ISNUMBER(SnapshotTable[[#This Row],[Last Price]])),(SnapshotTable[[#This Row],[Long Term Target]] - SnapshotTable[[#This Row],[Last Price]]) / SnapshotTable[[#This Row],[Last Price]], "")</f>
        <v>-0.89291338582677171</v>
      </c>
      <c r="AP173" s="5"/>
      <c r="AQ173" s="38"/>
      <c r="AR173" s="5"/>
      <c r="AS173" s="38"/>
      <c r="AT173" s="146"/>
      <c r="AU173" s="187" t="str">
        <f>IF(OR(SnapshotTable[[#This Row],[LP No Fill]]="Y",SnapshotTable[[#This Row],[SP Is Filled]],SnapshotTable[[#This Row],[LC Not Filled]]="Y",SnapshotTable[[#This Row],[SC Is Filled]]),"Y","")</f>
        <v/>
      </c>
      <c r="AV173" s="219"/>
      <c r="AW173" s="225"/>
      <c r="AX173" s="220"/>
      <c r="AY173" s="219" t="str">
        <f>IF(SnapshotTable[[#This Row],[Implied Move]]&gt;0, SnapshotTable[[#This Row],[Last Price]]-SnapshotTable[[#This Row],[Implied Move]],"")</f>
        <v/>
      </c>
      <c r="AZ173" s="219" t="str">
        <f>IF(SnapshotTable[[#This Row],[Implied Move]]&gt;0, SnapshotTable[[#This Row],[Last Price]] + SnapshotTable[[#This Row],[Implied Move]],"")</f>
        <v/>
      </c>
      <c r="BA173" s="331">
        <v>12.7</v>
      </c>
      <c r="BB173" s="347"/>
      <c r="BC17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3" s="351"/>
      <c r="BE173" s="5"/>
      <c r="BF173" s="14"/>
      <c r="BG173" s="13"/>
      <c r="BH173" s="13"/>
      <c r="BI173" s="5"/>
      <c r="BJ173" s="136">
        <f>IF(SnapshotTable[[#This Row],[LP Qty]] &gt; 0, SnapshotTable[[#This Row],[LP Qty]] * SnapshotTable[[#This Row],[LP Book Price]] * 100,0)</f>
        <v>0</v>
      </c>
      <c r="BK173" s="136">
        <f>IF(SnapshotTable[[#This Row],[LP Premium]] &gt; 0, SnapshotTable[[#This Row],[LP Qty]] * SnapshotTable[[#This Row],[LP Strike Price]] * 100,0)</f>
        <v>0</v>
      </c>
      <c r="BL173" s="154"/>
      <c r="BM173" s="385" t="str">
        <f>IF(SnapshotTable[[#This Row],[LP Premium]] &gt; 0,SnapshotTable[[#This Row],[LP Exp Date]]-MAX(SnapshotTable[[#This Row],[LP Book Date]], SnapshotTable[[#This Row],[LP Fill Date]]),"")</f>
        <v/>
      </c>
      <c r="BN173" s="385" t="str">
        <f>IF(ISNUMBER( SnapshotTable[[#This Row],[LP Term]]), SnapshotTable[[#This Row],[LP Exp Date]] - MockToday,"")</f>
        <v/>
      </c>
      <c r="BO173" s="163" t="str">
        <f>IF(AND(SnapshotTable[[#This Row],[LP Exp Date]]&gt;0, SnapshotTable[[#This Row],[LP Strike Price]]&gt;0,SnapshotTable[[#This Row],[LP Qty]]&gt;0,SnapshotTable[[#This Row],[LP Book Date]]&gt;0,SnapshotTable[[#This Row],[LP Book Price]]&gt;0,SnapshotTable[[#This Row],[LP Fill Date]]=0),"Y","")</f>
        <v/>
      </c>
      <c r="BP173" s="31" t="str">
        <f>IF(AND(SnapshotTable[[#This Row],[LP No Fill]]&lt;&gt;"Y",SnapshotTable[[#This Row],[LP Contract Value]]&gt;0, SnapshotTable[[#This Row],[LP Qty]]&gt;0), SnapshotTable[[#This Row],[LP Contract Value]]*SnapshotTable[[#This Row],[LP Qty]]*100,"")</f>
        <v/>
      </c>
      <c r="BQ173" s="13"/>
      <c r="BR173" s="5" t="str">
        <f>IF(SnapshotTable[[#This Row],[SP Exp Date]]&lt;&gt;"",TRUNC(SnapshotTable[[#This Row],[Last Price]]),"")</f>
        <v/>
      </c>
      <c r="BS173" s="36"/>
      <c r="BT173" s="147"/>
      <c r="BU173" s="13"/>
      <c r="BV173" s="5"/>
      <c r="BW173" s="419" t="b">
        <f>AND(ISNUMBER(SnapshotTable[[#This Row],[SP Exp Date]]), ISNUMBER(SnapshotTable[[#This Row],[SP Strike Price]]), ISNUMBER(SnapshotTable[[#This Row],[SP Qty]]), ISNUMBER(SnapshotTable[[#This Row],[SP Book Date]]), ISNUMBER(SnapshotTable[[#This Row],[SP Book Price]]))</f>
        <v>0</v>
      </c>
      <c r="BX173" s="419" t="b">
        <f>AND(SnapshotTable[[#This Row],[SP Is Booked]], NOT(ISBLANK(SnapshotTable[[#This Row],[SP Fill Date]])))</f>
        <v>0</v>
      </c>
      <c r="BY173" s="33">
        <f>IF(SnapshotTable[[#This Row],[SP Is Booked]], SnapshotTable[[#This Row],[SP Qty]] * SnapshotTable[[#This Row],[SP Book Price]] * 100, 0)</f>
        <v>0</v>
      </c>
      <c r="BZ173" s="369"/>
      <c r="CA173" s="368">
        <f>SnapshotTable[[#This Row],[LP Qty]]</f>
        <v>0</v>
      </c>
      <c r="CB173" s="4" t="str">
        <f>IF(SnapshotTable[[#This Row],[SP Is Booked]], SnapshotTable[[#This Row],[SP Strike Price]] - SnapshotTable[[#This Row],[SP Book Price]], "")</f>
        <v/>
      </c>
      <c r="CC173" s="19" t="str">
        <f>IF(SnapshotTable[[#This Row],[SP Is Booked]],SnapshotTable[[#This Row],[SP Exp Date]]-MAX(SnapshotTable[[#This Row],[SP Book Date]], SnapshotTable[[#This Row],[SP Fill Date]]),"")</f>
        <v/>
      </c>
      <c r="CD173" s="7" t="str">
        <f>IF(SnapshotTable[[#This Row],[SP Is Booked]], SnapshotTable[[#This Row],[SP Book Price]]/SnapshotTable[[#This Row],[SP Strike Price]], "")</f>
        <v/>
      </c>
      <c r="CE173" s="7" t="str">
        <f>IF(ISNUMBER(SnapshotTable[[#This Row],[SP ROO Term]]),SnapshotTable[[#This Row],[SP ROO Term]]*(365/SnapshotTable[[#This Row],[SP Term]]),"")</f>
        <v/>
      </c>
      <c r="CF173" s="236">
        <f>SnapshotTable[[#This Row],[LP Strike Price]] * SnapshotTable[[#This Row],[LP Qty]] * 100</f>
        <v>0</v>
      </c>
      <c r="CG173" s="31" t="e">
        <f>IF(ISNUMBER(SnapshotTable[[#This Row],[SP Premium]]), (SnapshotTable[[#This Row],[SP Qty]] * SnapshotTable[[#This Row],[SP Strike Price]]* 100) - SnapshotTable[[#This Row],[LP Protection]], 0)</f>
        <v>#VALUE!</v>
      </c>
      <c r="CH173" s="7" t="str">
        <f>IF(ISNUMBER(SnapshotTable[[#This Row],[SP Break Even]]),-1 * (SnapshotTable[[#This Row],[SP Break Even]] - SnapshotTable[[#This Row],[Last Price]]) / SnapshotTable[[#This Row],[Last Price]], "")</f>
        <v/>
      </c>
      <c r="CI173" s="31">
        <f>IF(AND(ISNUMBER((SnapshotTable[[#This Row],[SP Potential Spend]])), SnapshotTable[[#This Row],[SP Strike Price]] &gt; SnapshotTable[[#This Row],[Last Price]], SnapshotTable[[#This Row],[SP Is Filled]]), SnapshotTable[[#This Row],[SP Potential Spend]] -  SnapshotTable[[#This Row],[LP Max Value]], 0)</f>
        <v>0</v>
      </c>
      <c r="CJ173" s="244"/>
      <c r="CK173" s="31" t="str">
        <f>IF(ISNUMBER(SnapshotTable[[#This Row],[SP Potential Spend]]),IF(ISNUMBER(SnapshotTable[[#This Row],[SP POW]]), SnapshotTable[[#This Row],[SP POW]] * SnapshotTable[[#This Row],[SP Potential Spend]], SnapshotTable[[#This Row],[SP Potential Spend]]), "")</f>
        <v/>
      </c>
      <c r="CL173" s="164" t="e">
        <f>IF(NOT(SnapshotTable[[#This Row],[SP Is Filled]]),(SnapshotTable[[#This Row],[SP Qty]] * SnapshotTable[[#This Row],[SP Strike Price]] * 100) - SnapshotTable[[#This Row],[LP Max Value]],"")</f>
        <v>#VALUE!</v>
      </c>
      <c r="CM173" s="31" t="str">
        <f>IF(SnapshotTable[[#This Row],[SP Actual Spend]]&lt;&gt;0, ((SnapshotTable[[#This Row],[SP Strike Price]]-SnapshotTable[[#This Row],[Last Price]]) *(SnapshotTable[[#This Row],[SP Qty]]*100) - SnapshotTable[[#This Row],[SP Premium]]) * - 1, "")</f>
        <v/>
      </c>
      <c r="CN173" s="78"/>
      <c r="CO173" s="369"/>
      <c r="CP173" s="4" t="str">
        <f>IF(SnapshotTable[[#This Row],[SP Is Filled]], btc_max_buyback_amount(SnapshotTable[[#This Row],[SP Fill Date]],SnapshotTable[[#This Row],[SP Exp Date]], SnapshotTable[[#This Row],[SP Book Price]]),"")</f>
        <v/>
      </c>
      <c r="CQ173" s="78"/>
      <c r="CR17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3" s="155" t="str">
        <f>IF(SnapshotTable[[#This Row],[SP Is Filled]], btc_next_cutoff_date(SnapshotTable[[#This Row],[SP Fill Date]],SnapshotTable[[#This Row],[SP Exp Date]]),"")</f>
        <v/>
      </c>
      <c r="CT173" s="235" t="str" cm="1">
        <f t="array" ref="CT173">IF(SnapshotTable[[#This Row],[SP Is Filled]], btc_should_buy_back(SnapshotTable[[#This Row],[SP Fill Date]], SnapshotTable[[#This Row],[SP Exp Date]], SnapshotTable[[#This Row],[SP Book Price]], SnapshotTable[[#This Row],[SP Current Ask]], MockToday, SnapshotTable[[#This Row],[SP Buyback Override]]),"")</f>
        <v/>
      </c>
      <c r="CU173" s="143"/>
      <c r="CV173" s="235"/>
      <c r="CW173" s="378" t="str">
        <f>IF(ISNUMBER( SnapshotTable[[#This Row],[SP Term]]), SnapshotTable[[#This Row],[SP Exp Date]] - MockToday,"")</f>
        <v/>
      </c>
      <c r="CX173" s="31" t="str">
        <f>IF(SnapshotTable[[#This Row],[SP Is Filled]],SnapshotTable[[#This Row],[SP Buyback Price to Use]] * 100 * SnapshotTable[[#This Row],[SP Qty]], "")</f>
        <v/>
      </c>
      <c r="CY173" s="4" t="str">
        <f>IF(ISNUMBER(SnapshotTable[[#This Row],[SP Strike Price]]), SnapshotTable[[#This Row],[SP Strike Price]] * (1 - SP_MaxLoss_StrikePct), "")</f>
        <v/>
      </c>
      <c r="CZ173" s="31" t="str">
        <f>IF(ISNUMBER(SnapshotTable[[#This Row],[SP Strike  Stop Per Share]]),SnapshotTable[[#This Row],[SP Premium]] - ((SnapshotTable[[#This Row],[SP Strike Price]]-SnapshotTable[[#This Row],[SP Strike  Stop Per Share]]) *(SnapshotTable[[#This Row],[SP Qty]] * 100)),"")</f>
        <v/>
      </c>
      <c r="DA173" s="4" t="str">
        <f>IF(AND(ISNUMBER(SnapshotTable[[#This Row],[SP Premium]]),SnapshotTable[[#This Row],[SP Premium]]&gt;0), SnapshotTable[[#This Row],[SP Book Price]] * (1 + SP_MaxLoss_OptionPct), "")</f>
        <v/>
      </c>
      <c r="DB173" s="31" t="str">
        <f>IF(ISNUMBER(SnapshotTable[[#This Row],[SP Option  Stop Contract]]),(SnapshotTable[[#This Row],[SP Option  Stop Contract]] *(SnapshotTable[[#This Row],[SP Qty]] * 100) - SnapshotTable[[#This Row],[SP Premium]]),"")</f>
        <v/>
      </c>
      <c r="DC173" s="4"/>
      <c r="DD173" s="4"/>
      <c r="DE173" s="4" t="str">
        <f>IF(AND(SnapshotTable[[#This Row],[SP Qty]]&gt;0, SnapshotTable[[#This Row],[SP Stop To Use]]&gt;0),SnapshotTable[[#This Row],[SP Premium]] - ( SnapshotTable[[#This Row],[SP Qty]] * SnapshotTable[[#This Row],[SP Stop To Use]] * 100), "")</f>
        <v/>
      </c>
      <c r="DF173" s="31" t="str">
        <f>IF(AND(SnapshotTable[[#This Row],[SP Qty]]&gt;0,SnapshotTable[[#This Row],[SP Current Ask]]&gt;0), SnapshotTable[[#This Row],[SP Qty]] * SnapshotTable[[#This Row],[SP Current Ask]] * -100, "")</f>
        <v/>
      </c>
      <c r="DG173" s="31" t="str">
        <f>IF(ISNUMBER((SnapshotTable[[#This Row],[SP Total Value]])), SnapshotTable[[#This Row],[SP Premium]] + SnapshotTable[[#This Row],[SP Total Value]], "")</f>
        <v/>
      </c>
      <c r="DH173" s="294" t="str">
        <f>IF(ISNUMBER((SnapshotTable[[#This Row],[SP Total Value]])), SnapshotTable[[#This Row],[SP Gain Loss]] / SnapshotTable[[#This Row],[SP Premium]], "")</f>
        <v/>
      </c>
      <c r="DI173" s="406"/>
      <c r="DJ173" s="138"/>
      <c r="DK173" s="148"/>
      <c r="DL173" s="13"/>
      <c r="DM173" s="13"/>
      <c r="DO173" s="31">
        <f>IF(SnapshotTable[[#This Row],[LC Symbol Count]]=1, SnapshotTable[[#This Row],[LC Qty]] * SnapshotTable[[#This Row],[LC Book Price]] * 100, 0)</f>
        <v>0</v>
      </c>
      <c r="DP173" s="163" t="str">
        <f>IF(AND(SnapshotTable[[#This Row],[LC Exp Date]]&gt;0, SnapshotTable[[#This Row],[LC Strike Price]]&gt;0,SnapshotTable[[#This Row],[LC Qty]]&gt;0,SnapshotTable[[#This Row],[LC Book Date]]&gt;0,SnapshotTable[[#This Row],[LC Book Price]]&gt;0,SnapshotTable[[#This Row],[LC Fill Date]]=0),"Y","")</f>
        <v/>
      </c>
      <c r="DQ173" s="386" t="str">
        <f>IF(SnapshotTable[[#This Row],[LC Premium]] &gt; 0,SnapshotTable[[#This Row],[LC Exp Date]]-MAX(SnapshotTable[[#This Row],[LC Book Date]], SnapshotTable[[#This Row],[LC Fill Date]]),"")</f>
        <v/>
      </c>
      <c r="DR173" s="386" t="str">
        <f>IF(ISNUMBER(SnapshotTable[[#This Row],[LC Term]]), SnapshotTable[[#This Row],[LC Exp Date]] - MockToday, "")</f>
        <v/>
      </c>
      <c r="DS173" s="234" t="str">
        <f>IF(SnapshotTable[[#This Row],[LC Premium]]&gt;0,SnapshotTable[[#This Row],[LC Strike Price]] + SnapshotTable[[#This Row],[LC Book Price]],"")</f>
        <v/>
      </c>
      <c r="DU173" s="9" t="str">
        <f>IF(AND(SnapshotTable[[#This Row],[LC Symbol Count]]&gt;0, SnapshotTable[[#This Row],[LC Contract Value]]&gt;0), SnapshotTable[[#This Row],[LC Contract Value]] * SnapshotTable[[#This Row],[LC Qty]] * 100, "")</f>
        <v/>
      </c>
      <c r="DV173" s="9" t="str">
        <f>IF(AND(ISNUMBER(SnapshotTable[[#This Row],[LC Total Value]]), SnapshotTable[[#This Row],[LC Not Filled]]&lt;&gt;"Y"), SnapshotTable[[#This Row],[LC Total Value]]-SnapshotTable[[#This Row],[LC Premium]],"")</f>
        <v/>
      </c>
      <c r="DW173" s="240" t="str">
        <f>IF(ISNUMBER(SnapshotTable[[#This Row],[LC Actual Gain Loss]]), SnapshotTable[[#This Row],[LC Actual Gain Loss]] / SnapshotTable[[#This Row],[LC Premium]],"")</f>
        <v/>
      </c>
      <c r="DX173" s="284" t="str">
        <f>IF(ISNUMBER(SnapshotTable[[#This Row],[LC Book Price]]),SnapshotTable[[#This Row],[LC Book Price]] * 1.5,"")</f>
        <v/>
      </c>
      <c r="DY173" s="265" t="str">
        <f>IF(SnapshotTable[[#This Row],[LC Premium]]&gt;0, SnapshotTable[[#This Row],[LC Next Target]] * SnapshotTable[[#This Row],[LC Qty]] * 100,"")</f>
        <v/>
      </c>
      <c r="DZ173" s="265" t="str">
        <f>IF(ISNUMBER(SnapshotTable[[#This Row],[LC Target Gross]]), SnapshotTable[[#This Row],[LC Target Gross]] - SnapshotTable[[#This Row],[LC Premium]], "")</f>
        <v/>
      </c>
      <c r="EA173" s="305" t="str">
        <f>IF(ISNUMBER(SnapshotTable[[#This Row],[LC Target Gain Loss]]), SnapshotTable[[#This Row],[LC Target Gain Loss]]/SnapshotTable[[#This Row],[LC Premium]], "")</f>
        <v/>
      </c>
      <c r="EB173" s="262"/>
      <c r="EC173" s="283" t="str">
        <f>IF(SnapshotTable[[#This Row],[LC Premium]]&gt;0, SnapshotTable[[#This Row],[LC Book Price]] * (1 - LC_StopLoss_Pct),"")</f>
        <v/>
      </c>
      <c r="ED173" s="284"/>
      <c r="EE173" s="283" t="str">
        <f>IF(ISNUMBER(SnapshotTable[[#This Row],[LC Contract Value]]),IF(ISNUMBER(SnapshotTable[[#This Row],[LC Stop Loss Override]]), SnapshotTable[[#This Row],[LC Stop Loss Override]],SnapshotTable[[#This Row],[LC Stop Loss Calc Target]]),"")</f>
        <v/>
      </c>
      <c r="EF173" s="31" t="str">
        <f>IF(ISNUMBER(SnapshotTable[[#This Row],[LC Stop  To Use]]), (SnapshotTable[[#This Row],[LC Stop  To Use]] * SnapshotTable[[#This Row],[LC Qty]] * 100),"")</f>
        <v/>
      </c>
      <c r="EG173" s="9" t="str">
        <f>IF(ISNUMBER(SnapshotTable[[#This Row],[LC Total Value]]),SnapshotTable[[#This Row],[LC Stop Loss Amount]] - SnapshotTable[[#This Row],[LC Premium]],"")</f>
        <v/>
      </c>
      <c r="EH173" s="9">
        <f>IF(ISNUMBER(SnapshotTable[[#This Row],[LC Premium]]), SnapshotTable[[#This Row],[LC Qty]] * 100 * SnapshotTable[[#This Row],[LC Strike Price]], "")</f>
        <v>0</v>
      </c>
      <c r="EI173" s="240" t="str">
        <f>IF(AND(ISNUMBER(SnapshotTable[[#This Row],[LC Total Value]]),SnapshotTable[[#This Row],[LC Total Value]]&gt;0),SnapshotTable[[#This Row],[LC Stop Gain Loss]]  / SnapshotTable[[#This Row],[LC Premium]],"")</f>
        <v/>
      </c>
      <c r="EJ173" s="35">
        <f>IF(ISNUMBER(SnapshotTable[[#This Row],[Equity Shares]]),TRUNC(SnapshotTable[[#This Row],[Equity Shares]] / 100),0) + SnapshotTable[[#This Row],[LC Qty]]</f>
        <v>0</v>
      </c>
      <c r="EK173" s="147"/>
      <c r="EL173" s="138" t="str">
        <f>IF(SnapshotTable[[#This Row],[SC Exp Date]]&lt;&gt;"",TRUNC(SnapshotTable[[#This Row],[Last Price]]),"")</f>
        <v/>
      </c>
      <c r="EM173" s="148"/>
      <c r="EN173" s="147"/>
      <c r="EO173" s="147"/>
      <c r="EP173" s="138"/>
      <c r="EQ173" s="419" t="b">
        <f>AND(ISNUMBER(SnapshotTable[[#This Row],[SC Exp Date]]), ISNUMBER(SnapshotTable[[#This Row],[SC Strike Price]]), ISNUMBER(SnapshotTable[[#This Row],[SC Qty]]), ISNUMBER(SnapshotTable[[#This Row],[SC Book Date]]), ISNUMBER(SnapshotTable[[#This Row],[SC Book Price]]))</f>
        <v>0</v>
      </c>
      <c r="ER173" s="419" t="b">
        <f>AND(SnapshotTable[[#This Row],[SC Is Booked]], NOT(ISBLANK(SnapshotTable[[#This Row],[SC Fill Date]])))</f>
        <v>0</v>
      </c>
      <c r="ES173" s="370"/>
      <c r="ET173" s="34" t="str">
        <f>IF(AND(ISNUMBER(SnapshotTable[[#This Row],[SC Exp Date]]), ISNUMBER(SnapshotTable[[#This Row],[SC Book Date]])), SnapshotTable[[#This Row],[SC Exp Date]] - MAX(SnapshotTable[[#This Row],[SC Book Date]], SnapshotTable[[#This Row],[SC Fill Date]]) + 1, "")</f>
        <v/>
      </c>
      <c r="EU173" s="34" t="str">
        <f>IF(ISNUMBER(SnapshotTable[[#This Row],[SC Term]]), SnapshotTable[[#This Row],[SC Exp Date]]- MockToday, "")</f>
        <v/>
      </c>
      <c r="EV173" s="31">
        <f>IF(SnapshotTable[[#This Row],[SC Is Booked]], SnapshotTable[[#This Row],[SC Qty]] * SnapshotTable[[#This Row],[SC Book Price]] * 100, 0)</f>
        <v>0</v>
      </c>
      <c r="EW173" s="4" t="str">
        <f>IF(AND(ISNUMBER(SnapshotTable[[#This Row],[Last Price]]), ISNUMBER( SnapshotTable[[#This Row],[SC Book Price]])), SnapshotTable[[#This Row],[Last Price]] - SnapshotTable[[#This Row],[SC Book Price]],"")</f>
        <v/>
      </c>
      <c r="EX173" s="234" t="str">
        <f>IF(SnapshotTable[[#This Row],[SC Is Booked]],IF(SnapshotTable[[#This Row],[SC Intrinsic Value]] &gt; 0, SnapshotTable[[#This Row],[SC Strike Price]], SnapshotTable[[#This Row],[Last Price]]), "")</f>
        <v/>
      </c>
      <c r="EY173" s="4">
        <f>IF(SnapshotTable[[#This Row],[SC Is Booked]], (MinimumPremiumRequired * SnapshotTable[[#This Row],[SC Basis]] * SnapshotTable[[#This Row],[SC Term]]), 0)</f>
        <v>0</v>
      </c>
      <c r="EZ173" s="283"/>
      <c r="FA173" s="218"/>
      <c r="FB173" s="370"/>
      <c r="FC173" s="4">
        <f>IF(SnapshotTable[[#This Row],[SC Is Filled]], btc_max_buyback_amount(SnapshotTable[[#This Row],[SC Fill Date]],SnapshotTable[[#This Row],[SC Exp Date]], SnapshotTable[[#This Row],[SC Book Price]]),0)</f>
        <v>0</v>
      </c>
      <c r="FD173" s="5"/>
      <c r="FE173" s="144" t="str">
        <f>IF(SnapshotTable[[#This Row],[SC Is Filled]], btc_next_cutoff_date(SnapshotTable[[#This Row],[SC Fill Date]],SnapshotTable[[#This Row],[SC Exp Date]]),"")</f>
        <v/>
      </c>
      <c r="FF173" s="4" t="str" cm="1">
        <f t="array" ref="FF173">IF(SnapshotTable[[#This Row],[SC Is Filled]], btc_should_buy_back(SnapshotTable[[#This Row],[SC Fill Date]], SnapshotTable[[#This Row],[SC Exp Date]], SnapshotTable[[#This Row],[SC Book Price]], SnapshotTable[[#This Row],[SC Current Ask]], MockToday, SnapshotTable[[#This Row],[SC Buyback Override]]),"")</f>
        <v/>
      </c>
      <c r="FG173" s="4">
        <f>IF(SnapshotTable[[#This Row],[SC Is Filled]], MAX(0,SnapshotTable[[#This Row],[Last Price]]  - SnapshotTable[[#This Row],[SC Strike Price]]), 0)</f>
        <v>0</v>
      </c>
      <c r="FH173" s="382">
        <f>IF(SnapshotTable[[#This Row],[SC Is Filled]], IF(ISNUMBER(SnapshotTable[[#This Row],[SC Current Ask]]), SnapshotTable[[#This Row],[SC Current Ask]], SnapshotTable[[#This Row],[SC Book Price]]) - SnapshotTable[[#This Row],[SC Intrinsic Value]], 0)</f>
        <v>0</v>
      </c>
      <c r="FI173" s="143"/>
      <c r="FJ173" s="32" t="str">
        <f>IF(SnapshotTable[[#This Row],[SC Is Filled]],100 * SnapshotTable[[#This Row],[SC Qty]] * IF(ISNUMBER(SnapshotTable[[#This Row],[SC Buyback Override]]), SnapshotTable[[#This Row],[SC Buyback Override]], SnapshotTable[[#This Row],[SC Current Ask]]), "")</f>
        <v/>
      </c>
      <c r="FK173" s="250" t="str">
        <f>IF(SnapshotTable[[#This Row],[SC Time Val]]&gt;0, SnapshotTable[[#This Row],[SC Time Val]] / SnapshotTable[[#This Row],[Last Price]],"")</f>
        <v/>
      </c>
      <c r="FL173" s="302" t="str">
        <f>IF(SnapshotTable[[#This Row],[SC Is Booked]], ((SnapshotTable[[#This Row],[Last Price]] -SnapshotTable[[#This Row],[SC Strike Price]]) / SnapshotTable[[#This Row],[Last Price]]) * -1, "")</f>
        <v/>
      </c>
      <c r="FM173" s="157" t="str">
        <f>IF(SnapshotTable[[#This Row],[SC Is Booked]],  (SnapshotTable[[#This Row],[SC Qty]] * 100 * SnapshotTable[[#This Row],[SC Strike Price]]) - SnapshotTable[[#This Row],[SC Current Ask]], "")</f>
        <v/>
      </c>
      <c r="FN17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3" s="31" t="str">
        <f>IF(AND(ISNUMBER(SnapshotTable[[#This Row],[SC Exercise Gross]]), ISNUMBER(SnapshotTable[[#This Row],[Equity Basis Per Share]] )), SnapshotTable[[#This Row],[SC Exercise Gross]] - SnapshotTable[[#This Row],[Equity Basis Total]] +  SnapshotTable[[#This Row],[SC Premium]], "")</f>
        <v/>
      </c>
      <c r="FP173" s="5" t="str">
        <f>IF(ISNUMBER(SnapshotTable[[#This Row],[SC Exercise Gross]]), (SnapshotTable[[#This Row],[SC Exercise Gross]]) / (SnapshotTable[[#This Row],[SC Qty]] * 100), "")</f>
        <v/>
      </c>
      <c r="FQ173" s="27" t="str">
        <f>IF(SnapshotTable[[#This Row],[SC Is Booked]],SnapshotTable[[#This Row],[SC Time Val]] /SnapshotTable[[#This Row],[SC Basis]], "")</f>
        <v/>
      </c>
      <c r="FR173" s="27" t="str" cm="1">
        <f t="array" ref="FR173">IF(AND(ISNUMBER(SnapshotTable[[#This Row],[SC Term]]),ISNUMBER(SnapshotTable[[#This Row],[SC Simple ROO]])), EllmanAnnualize(SnapshotTable[[#This Row],[SC DTE]], SnapshotTable[[#This Row],[SC Simple ROO]] ),"")</f>
        <v/>
      </c>
      <c r="FS173" s="4" t="e">
        <f>IF(SnapshotTable[[#This Row],[SC Strike Price]] &gt; SnapshotTable[[#This Row],[Last Price]], SnapshotTable[[#This Row],[SC Strike Price]] - SnapshotTable[[#This Row],[Last Price]],0)</f>
        <v>#VALUE!</v>
      </c>
      <c r="FT173" s="27" t="e">
        <f>IF(AND(ISNUMBER(SnapshotTable[[#This Row],[SC Upside Potential]]), SnapshotTable[[#This Row],[SC Upside Potential]] &gt; 0),(SnapshotTable[[#This Row],[SC Upside Potential]]/ SnapshotTable[[#This Row],[ACB]]),"")</f>
        <v>#VALUE!</v>
      </c>
      <c r="FU173" s="333" t="str">
        <f>IF(SnapshotTable[[#This Row],[SC Intrinsic Value]] &gt; 0,SnapshotTable[[#This Row],[SC Intrinsic Value]],"")</f>
        <v/>
      </c>
      <c r="FV173" s="27" t="str">
        <f>IF(AND( ISNUMBER( SnapshotTable[[#This Row],[ACB]]),ISNUMBER(SnapshotTable[[#This Row],[SC Downside Protect]])),SnapshotTable[[#This Row],[SC Downside Protect]] / SnapshotTable[[#This Row],[ACB]],"")</f>
        <v/>
      </c>
      <c r="FW173" s="236" t="str">
        <f>IF(AND(ISNUMBER(SnapshotTable[[#This Row],[SC Simple ROO]]),SnapshotTable[[#This Row],[SC Simple ROO]] &gt; 0), SnapshotTable[[#This Row],[SC Premium]] + (SnapshotTable[[#This Row],[SC Qty]] * SnapshotTable[[#This Row],[SC Upside Potential]]), "")</f>
        <v/>
      </c>
      <c r="FX173" s="302" t="str" cm="1">
        <f t="array" ref="FX173">IF(ISNUMBER(SnapshotTable[[#This Row],[SC Max Dollars]]), annualize(SnapshotTable[[#This Row],[SC Term]],(SnapshotTable[[#This Row],[SC Max Dollars]]/SnapshotTable[[#This Row],[SC Basis]])),"")</f>
        <v/>
      </c>
      <c r="FY173" s="236" t="str">
        <f>IF(AND(SnapshotTable[[#This Row],[SC Qty]]&gt;0,SnapshotTable[[#This Row],[SC Current Ask]]&gt;0), SnapshotTable[[#This Row],[SC Qty]] * SnapshotTable[[#This Row],[SC Current Ask]] * -100, "")</f>
        <v/>
      </c>
      <c r="FZ173" s="31" t="str">
        <f>IF(ISNUMBER((SnapshotTable[[#This Row],[SC Current Value]])), SnapshotTable[[#This Row],[SC Premium]] + SnapshotTable[[#This Row],[SC Current Value]], "")</f>
        <v/>
      </c>
      <c r="GA173" s="294" t="str">
        <f>IFERROR( IF(ISNUMBER((SnapshotTable[[#This Row],[SC Current Value]])), SnapshotTable[[#This Row],[SC Gain Loss]] / SnapshotTable[[#This Row],[SC Premium]], ""), "")</f>
        <v/>
      </c>
      <c r="GB173" s="42">
        <f>SnapshotTable[[#This Row],[Equity Shares]] * SaleSharesToConsiderPercentage</f>
        <v>0</v>
      </c>
      <c r="GC173" s="40">
        <f>SnapshotTable[[#This Row],[Long Term Target]] * SellingPriceToConsiderBasedOnTargetPercentage</f>
        <v>12.92</v>
      </c>
      <c r="GD173" s="40">
        <f>SnapshotTable[[#This Row],[Last Price]] * (1+ SellingPriceToConsiderBasedOnTargetPercentage)</f>
        <v>247.65</v>
      </c>
      <c r="GE173" s="41"/>
      <c r="GF173" s="40"/>
      <c r="GG173" s="31">
        <f>SnapshotTable[[#This Row],[Booked Sale Shares]] * SnapshotTable[[#This Row],[Booked Sale Price]]</f>
        <v>0</v>
      </c>
      <c r="GH173" s="31" t="str">
        <f>IF(SnapshotTable[[#This Row],[Equity Basis Total]] &gt; 0, SnapshotTable[[#This Row],[Equity Basis Per Share]] * SnapshotTable[[#This Row],[Booked Sale Shares]], "")</f>
        <v/>
      </c>
      <c r="GI173" s="31">
        <f>IF(SnapshotTable[[#This Row],[Sale Proceeds]]&gt;0, SnapshotTable[[#This Row],[Sale Proceeds]] - SnapshotTable[[#This Row],[Sale Basis]], 0)</f>
        <v>0</v>
      </c>
      <c r="GJ173" s="27" t="str">
        <f>IF(SnapshotTable[[#This Row],[Sale G/L]]&gt;0, SnapshotTable[[#This Row],[Sale G/L]] / SnapshotTable[[#This Row],[Sale Basis]], IF(ISNUMBER(SnapshotTable[[#This Row],[SC Exercise P&amp;L (TAX)]]), SnapshotTable[[#This Row],[SC Exercise P&amp;L (TAX)]] / SnapshotTable[[#This Row],[SC Basis]], ""))</f>
        <v/>
      </c>
      <c r="GK173" s="27" t="s">
        <v>707</v>
      </c>
      <c r="GL173" s="43" t="str">
        <f>IF(AND(SnapshotTable[[#This Row],[LP Exp Date]]&gt;0,SnapshotTable[[#This Row],[LP Strike Price]]&gt;0), [1]!ToOptionSymbol(SnapshotTable[[#This Row],[Symbol]], SnapshotTable[[#This Row],[LP Strike Price]],SnapshotTable[[#This Row],[LP Exp Date]],1), "")</f>
        <v/>
      </c>
      <c r="GM173" s="30" t="str">
        <f>IF(LEN(SnapshotTable[[#This Row],[LP Symbol]])&gt;0, 1, "")</f>
        <v/>
      </c>
      <c r="GN173" s="43" t="str">
        <f>IF(AND(SnapshotTable[[#This Row],[SP Exp Date]]&gt;0,SnapshotTable[[#This Row],[SP Strike Price]]&gt;0), [1]!ToOptionSymbol(SnapshotTable[[#This Row],[Symbol]], SnapshotTable[[#This Row],[SP Strike Price]],SnapshotTable[[#This Row],[SP Exp Date]],1), "")</f>
        <v/>
      </c>
      <c r="GO173" s="30" t="str">
        <f>IF(LEN(SnapshotTable[[#This Row],[SP Symbol]])&gt;0, 1, "")</f>
        <v/>
      </c>
      <c r="GP173" s="43" t="str">
        <f>IF(AND(SnapshotTable[[#This Row],[LC Exp Date]]&gt;0,SnapshotTable[[#This Row],[LC Strike Price]]&gt;0), [1]!ToOptionSymbol(SnapshotTable[[#This Row],[Symbol]], SnapshotTable[[#This Row],[LC Strike Price]],SnapshotTable[[#This Row],[LC Exp Date]],0), "")</f>
        <v/>
      </c>
      <c r="GQ173" s="30" t="str">
        <f>IF(LEN(SnapshotTable[[#This Row],[LC Symbol]])&gt;0, 1, "")</f>
        <v/>
      </c>
      <c r="GR173" s="43" t="str">
        <f>IF(AND(SnapshotTable[[#This Row],[SC Exp Date]]&gt;0,SnapshotTable[[#This Row],[SC Strike Price]]&gt;0), [1]!ToOptionSymbol(SnapshotTable[[#This Row],[Symbol]], SnapshotTable[[#This Row],[SC Strike Price]],SnapshotTable[[#This Row],[SC Exp Date]],0), "")</f>
        <v/>
      </c>
      <c r="GS173" s="30" t="str">
        <f>IF(LEN(SnapshotTable[[#This Row],[SC Symbol]])&gt;0, 1, "")</f>
        <v/>
      </c>
      <c r="GT173" s="29" t="str">
        <f>IF(COUNT(SnapshotTable[[#This Row],[LP Symbol Count]],SnapshotTable[[#This Row],[SP Symbol Count]],SnapshotTable[[#This Row],[LC Symbol Count]],SnapshotTable[[#This Row],[SC Symbol Count]])&gt;0, "Y", "")</f>
        <v/>
      </c>
      <c r="GU17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3" s="231" t="e">
        <f>MAX(SnapshotTable[[#This Row],[Equity Basis Total]],SnapshotTable[[#This Row],[Equity Value]]) + (SnapshotTable[[#This Row],[SP Potential Spend]]- SnapshotTable[[#This Row],[SP Premium]] + SnapshotTable[[#This Row],[LP Premium]])+ (SnapshotTable[[#This Row],[LC Premium]] - SnapshotTable[[#This Row],[SC Premium]])</f>
        <v>#VALUE!</v>
      </c>
      <c r="GW173" s="139" t="e">
        <f>IF(AND(SnapshotTable[[#This Row],[Exposure]] &lt;&gt; 0),SnapshotTable[[#This Row],[Exposure]] / SnapshotTable[[#Totals],[Exposure]], "")</f>
        <v>#VALUE!</v>
      </c>
      <c r="HE173" s="268"/>
      <c r="HF173" s="268"/>
      <c r="HK173" s="1"/>
      <c r="HL173" s="1"/>
      <c r="HM173" s="1"/>
      <c r="HN173" s="1"/>
      <c r="HO173" s="1"/>
      <c r="HP173" s="1"/>
    </row>
    <row r="174" spans="2:224" ht="12.75" hidden="1" customHeight="1" x14ac:dyDescent="0.25">
      <c r="B174" s="12" t="s">
        <v>572</v>
      </c>
      <c r="C174" s="422">
        <v>303.79000000000002</v>
      </c>
      <c r="D174" s="208"/>
      <c r="E174" s="39">
        <f>SnapshotTable[[#This Row],[Last Price]]*(1 -CrashDiscount)</f>
        <v>258.22149999999999</v>
      </c>
      <c r="F174" s="26" t="s">
        <v>221</v>
      </c>
      <c r="G174" s="26" t="s">
        <v>14</v>
      </c>
      <c r="H174" s="149"/>
      <c r="I174" s="194">
        <v>44777.670138888891</v>
      </c>
      <c r="J174" s="195">
        <v>44777.670138888891</v>
      </c>
      <c r="K174" s="196"/>
      <c r="L174" s="326"/>
      <c r="M174" s="140"/>
      <c r="N174" s="140"/>
      <c r="O174" s="140"/>
      <c r="P174" s="22"/>
      <c r="Q174" s="25"/>
      <c r="R174" s="4" t="str">
        <f>IF(SnapshotTable[[#This Row],[Equity Basis Total]] &gt; 0, SnapshotTable[[#This Row],[Equity Basis Total]] / SnapshotTable[[#This Row],[Equity Shares]], "")</f>
        <v/>
      </c>
      <c r="S174" s="269">
        <f>SnapshotTable[[#This Row],[Last Price]] * SnapshotTable[[#This Row],[Equity Shares]]</f>
        <v>0</v>
      </c>
      <c r="T174" s="269">
        <f>SnapshotTable[[#This Row],[Equity Value]] - SnapshotTable[[#This Row],[Equity Basis Total]]</f>
        <v>0</v>
      </c>
      <c r="U174" s="270" t="str">
        <f>IF(SnapshotTable[[#This Row],[Equity Basis Total]] &gt; 0, SnapshotTable[[#This Row],[Equity G/L]] / SnapshotTable[[#This Row],[Equity Basis Total]], "")</f>
        <v/>
      </c>
      <c r="V174" s="268"/>
      <c r="W174" s="268"/>
      <c r="X174" s="4" t="str">
        <f>IF(AND(ISNUMBER(SnapshotTable[[#This Row],[Equity Basis Per Share]]),ISNUMBER(SnapshotTable[[#This Row],[Equity Target]])),SnapshotTable[[#This Row],[Equity Target]]-SnapshotTable[[#This Row],[Equity Basis Per Share]],"")</f>
        <v/>
      </c>
      <c r="Y174" s="4" t="str">
        <f>IF(AND(ISNUMBER(SnapshotTable[[#This Row],[Equity Basis Per Share]]),ISNUMBER(SnapshotTable[[#This Row],[Equity Stop Loss]])),SnapshotTable[[#This Row],[Equity Stop Loss]]-SnapshotTable[[#This Row],[Equity Basis Per Share]],"")</f>
        <v/>
      </c>
      <c r="Z174" s="275" t="str">
        <f>IFERROR( TEXT(SnapshotTable[[#This Row],[Equity Max Gain Per Share]] /ABS( SnapshotTable[[#This Row],[Equity Max Loss Per Share]]),"0.0 " ) &amp; " : 1", "")</f>
        <v/>
      </c>
      <c r="AA174" s="31" t="str">
        <f>IF(ISNUMBER(SnapshotTable[[#This Row],[Equity Max Gain Per Share]]),SnapshotTable[[#This Row],[Equity Max Gain Per Share]] * SnapshotTable[[#This Row],[Equity Shares]],"")</f>
        <v/>
      </c>
      <c r="AB174" s="31" t="str">
        <f>IF(ISNUMBER(SnapshotTable[[#This Row],[Equity Max Loss Per Share]]),SnapshotTable[[#This Row],[Equity Max Loss Per Share]] * SnapshotTable[[#This Row],[Equity Shares]],"")</f>
        <v/>
      </c>
      <c r="AC174" s="150"/>
      <c r="AD174" s="151"/>
      <c r="AE174" s="31">
        <f>(SnapshotTable[[#This Row],[Annual Dividend Per Share]] / 4) * SnapshotTable[[#This Row],[Equity Shares]]</f>
        <v>0</v>
      </c>
      <c r="AF174" s="31">
        <f>SnapshotTable[[#This Row],[Quarterly Div $]] * 4</f>
        <v>0</v>
      </c>
      <c r="AG174" s="7">
        <f>IF(SnapshotTable[[#This Row],[Annual Dividend Per Share]]&gt;0, SnapshotTable[[#This Row],[Annual Dividend Per Share]]  / SnapshotTable[[#This Row],[Last Price]], 0)</f>
        <v>0</v>
      </c>
      <c r="AH174" s="151"/>
      <c r="AI174" s="5"/>
      <c r="AJ174" s="138">
        <v>267.76</v>
      </c>
      <c r="AK174" s="152" t="str">
        <f>IF(ISNUMBER( SnapshotTable[[#This Row],[EBF Target]]),(SnapshotTable[[#This Row],[EBF Target]] - SnapshotTable[[#This Row],[Last Price]]) / SnapshotTable[[#This Row],[Last Price]], "")</f>
        <v/>
      </c>
      <c r="AL174" s="152" t="str">
        <f>IF(AND(SnapshotTable[[#This Row],[Equity Basis Total]] &gt; 0,ISNUMBER( SnapshotTable[[#This Row],[Long Term Target]])), SnapshotTable[[#This Row],[From Basis $]] / SnapshotTable[[#This Row],[Equity Basis Total]], "")</f>
        <v/>
      </c>
      <c r="AM174" s="9">
        <f>IF( AND(SnapshotTable[[#This Row],[Equity Shares]] &gt;0,ISNUMBER( SnapshotTable[[#This Row],[Long Term Target]])),(SnapshotTable[[#This Row],[Equity Shares]] * SnapshotTable[[#This Row],[Long Term Target]]) - SnapshotTable[[#This Row],[Equity Basis Total]],0)</f>
        <v>0</v>
      </c>
      <c r="AN174" s="9">
        <f>IF( AND(SnapshotTable[[#This Row],[Equity Shares]] &gt;0,ISNUMBER( SnapshotTable[[#This Row],[Long Term Target]])),(SnapshotTable[[#This Row],[Equity Shares]]*SnapshotTable[[#This Row],[Long Term Target]]) - SnapshotTable[[#This Row],[Equity Value]],0)</f>
        <v>0</v>
      </c>
      <c r="AO174" s="152">
        <f>IF(AND(ISNUMBER( SnapshotTable[[#This Row],[Long Term Target]]), ISNUMBER(SnapshotTable[[#This Row],[Last Price]])),(SnapshotTable[[#This Row],[Long Term Target]] - SnapshotTable[[#This Row],[Last Price]]) / SnapshotTable[[#This Row],[Last Price]], "")</f>
        <v>-0.11860166562428003</v>
      </c>
      <c r="AP174" s="5"/>
      <c r="AQ174" s="38"/>
      <c r="AR174" s="5"/>
      <c r="AS174" s="38"/>
      <c r="AT174" s="146"/>
      <c r="AU174" s="187" t="str">
        <f>IF(OR(SnapshotTable[[#This Row],[LP No Fill]]="Y",SnapshotTable[[#This Row],[SP Is Filled]],SnapshotTable[[#This Row],[LC Not Filled]]="Y",SnapshotTable[[#This Row],[SC Is Filled]]),"Y","")</f>
        <v/>
      </c>
      <c r="AV174" s="219"/>
      <c r="AW174" s="225"/>
      <c r="AX174" s="220"/>
      <c r="AY174" s="219" t="str">
        <f>IF(SnapshotTable[[#This Row],[Implied Move]]&gt;0, SnapshotTable[[#This Row],[Last Price]]-SnapshotTable[[#This Row],[Implied Move]],"")</f>
        <v/>
      </c>
      <c r="AZ174" s="219" t="str">
        <f>IF(SnapshotTable[[#This Row],[Implied Move]]&gt;0, SnapshotTable[[#This Row],[Last Price]] + SnapshotTable[[#This Row],[Implied Move]],"")</f>
        <v/>
      </c>
      <c r="BA174" s="331"/>
      <c r="BB174" s="347"/>
      <c r="BC17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4" s="351"/>
      <c r="BE174" s="5"/>
      <c r="BF174" s="14"/>
      <c r="BG174" s="13"/>
      <c r="BH174" s="13"/>
      <c r="BI174" s="5"/>
      <c r="BJ174" s="136">
        <f>IF(SnapshotTable[[#This Row],[LP Qty]] &gt; 0, SnapshotTable[[#This Row],[LP Qty]] * SnapshotTable[[#This Row],[LP Book Price]] * 100,0)</f>
        <v>0</v>
      </c>
      <c r="BK174" s="136">
        <f>IF(SnapshotTable[[#This Row],[LP Premium]] &gt; 0, SnapshotTable[[#This Row],[LP Qty]] * SnapshotTable[[#This Row],[LP Strike Price]] * 100,0)</f>
        <v>0</v>
      </c>
      <c r="BL174" s="154"/>
      <c r="BM174" s="385" t="str">
        <f>IF(SnapshotTable[[#This Row],[LP Premium]] &gt; 0,SnapshotTable[[#This Row],[LP Exp Date]]-MAX(SnapshotTable[[#This Row],[LP Book Date]], SnapshotTable[[#This Row],[LP Fill Date]]),"")</f>
        <v/>
      </c>
      <c r="BN174" s="385" t="str">
        <f>IF(ISNUMBER( SnapshotTable[[#This Row],[LP Term]]), SnapshotTable[[#This Row],[LP Exp Date]] - MockToday,"")</f>
        <v/>
      </c>
      <c r="BO174" s="163" t="str">
        <f>IF(AND(SnapshotTable[[#This Row],[LP Exp Date]]&gt;0, SnapshotTable[[#This Row],[LP Strike Price]]&gt;0,SnapshotTable[[#This Row],[LP Qty]]&gt;0,SnapshotTable[[#This Row],[LP Book Date]]&gt;0,SnapshotTable[[#This Row],[LP Book Price]]&gt;0,SnapshotTable[[#This Row],[LP Fill Date]]=0),"Y","")</f>
        <v/>
      </c>
      <c r="BP174" s="31" t="str">
        <f>IF(AND(SnapshotTable[[#This Row],[LP No Fill]]&lt;&gt;"Y",SnapshotTable[[#This Row],[LP Contract Value]]&gt;0, SnapshotTable[[#This Row],[LP Qty]]&gt;0), SnapshotTable[[#This Row],[LP Contract Value]]*SnapshotTable[[#This Row],[LP Qty]]*100,"")</f>
        <v/>
      </c>
      <c r="BQ174" s="13"/>
      <c r="BR174" s="5" t="str">
        <f>IF(SnapshotTable[[#This Row],[SP Exp Date]]&lt;&gt;"",TRUNC(SnapshotTable[[#This Row],[Last Price]]),"")</f>
        <v/>
      </c>
      <c r="BS174" s="36"/>
      <c r="BT174" s="147"/>
      <c r="BU174" s="13"/>
      <c r="BV174" s="5"/>
      <c r="BW174" s="419" t="b">
        <f>AND(ISNUMBER(SnapshotTable[[#This Row],[SP Exp Date]]), ISNUMBER(SnapshotTable[[#This Row],[SP Strike Price]]), ISNUMBER(SnapshotTable[[#This Row],[SP Qty]]), ISNUMBER(SnapshotTable[[#This Row],[SP Book Date]]), ISNUMBER(SnapshotTable[[#This Row],[SP Book Price]]))</f>
        <v>0</v>
      </c>
      <c r="BX174" s="419" t="b">
        <f>AND(SnapshotTable[[#This Row],[SP Is Booked]], NOT(ISBLANK(SnapshotTable[[#This Row],[SP Fill Date]])))</f>
        <v>0</v>
      </c>
      <c r="BY174" s="33">
        <f>IF(SnapshotTable[[#This Row],[SP Is Booked]], SnapshotTable[[#This Row],[SP Qty]] * SnapshotTable[[#This Row],[SP Book Price]] * 100, 0)</f>
        <v>0</v>
      </c>
      <c r="BZ174" s="369"/>
      <c r="CA174" s="368">
        <f>SnapshotTable[[#This Row],[LP Qty]]</f>
        <v>0</v>
      </c>
      <c r="CB174" s="4" t="str">
        <f>IF(SnapshotTable[[#This Row],[SP Is Booked]], SnapshotTable[[#This Row],[SP Strike Price]] - SnapshotTable[[#This Row],[SP Book Price]], "")</f>
        <v/>
      </c>
      <c r="CC174" s="19" t="str">
        <f>IF(SnapshotTable[[#This Row],[SP Is Booked]],SnapshotTable[[#This Row],[SP Exp Date]]-MAX(SnapshotTable[[#This Row],[SP Book Date]], SnapshotTable[[#This Row],[SP Fill Date]]),"")</f>
        <v/>
      </c>
      <c r="CD174" s="7" t="str">
        <f>IF(SnapshotTable[[#This Row],[SP Is Booked]], SnapshotTable[[#This Row],[SP Book Price]]/SnapshotTable[[#This Row],[SP Strike Price]], "")</f>
        <v/>
      </c>
      <c r="CE174" s="7" t="str">
        <f>IF(ISNUMBER(SnapshotTable[[#This Row],[SP ROO Term]]),SnapshotTable[[#This Row],[SP ROO Term]]*(365/SnapshotTable[[#This Row],[SP Term]]),"")</f>
        <v/>
      </c>
      <c r="CF174" s="236">
        <f>SnapshotTable[[#This Row],[LP Strike Price]] * SnapshotTable[[#This Row],[LP Qty]] * 100</f>
        <v>0</v>
      </c>
      <c r="CG174" s="31" t="e">
        <f>IF(ISNUMBER(SnapshotTable[[#This Row],[SP Premium]]), (SnapshotTable[[#This Row],[SP Qty]] * SnapshotTable[[#This Row],[SP Strike Price]]* 100) - SnapshotTable[[#This Row],[LP Protection]], 0)</f>
        <v>#VALUE!</v>
      </c>
      <c r="CH174" s="7" t="str">
        <f>IF(ISNUMBER(SnapshotTable[[#This Row],[SP Break Even]]),-1 * (SnapshotTable[[#This Row],[SP Break Even]] - SnapshotTable[[#This Row],[Last Price]]) / SnapshotTable[[#This Row],[Last Price]], "")</f>
        <v/>
      </c>
      <c r="CI174" s="31">
        <f>IF(AND(ISNUMBER((SnapshotTable[[#This Row],[SP Potential Spend]])), SnapshotTable[[#This Row],[SP Strike Price]] &gt; SnapshotTable[[#This Row],[Last Price]], SnapshotTable[[#This Row],[SP Is Filled]]), SnapshotTable[[#This Row],[SP Potential Spend]] -  SnapshotTable[[#This Row],[LP Max Value]], 0)</f>
        <v>0</v>
      </c>
      <c r="CJ174" s="244"/>
      <c r="CK174" s="31" t="str">
        <f>IF(ISNUMBER(SnapshotTable[[#This Row],[SP Potential Spend]]),IF(ISNUMBER(SnapshotTable[[#This Row],[SP POW]]), SnapshotTable[[#This Row],[SP POW]] * SnapshotTable[[#This Row],[SP Potential Spend]], SnapshotTable[[#This Row],[SP Potential Spend]]), "")</f>
        <v/>
      </c>
      <c r="CL174" s="164" t="e">
        <f>IF(NOT(SnapshotTable[[#This Row],[SP Is Filled]]),(SnapshotTable[[#This Row],[SP Qty]] * SnapshotTable[[#This Row],[SP Strike Price]] * 100) - SnapshotTable[[#This Row],[LP Max Value]],"")</f>
        <v>#VALUE!</v>
      </c>
      <c r="CM174" s="31" t="str">
        <f>IF(SnapshotTable[[#This Row],[SP Actual Spend]]&lt;&gt;0, ((SnapshotTable[[#This Row],[SP Strike Price]]-SnapshotTable[[#This Row],[Last Price]]) *(SnapshotTable[[#This Row],[SP Qty]]*100) - SnapshotTable[[#This Row],[SP Premium]]) * - 1, "")</f>
        <v/>
      </c>
      <c r="CN174" s="78"/>
      <c r="CO174" s="369"/>
      <c r="CP174" s="4" t="str">
        <f>IF(SnapshotTable[[#This Row],[SP Is Filled]], btc_max_buyback_amount(SnapshotTable[[#This Row],[SP Fill Date]],SnapshotTable[[#This Row],[SP Exp Date]], SnapshotTable[[#This Row],[SP Book Price]]),"")</f>
        <v/>
      </c>
      <c r="CQ174" s="78"/>
      <c r="CR17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4" s="155" t="str">
        <f>IF(SnapshotTable[[#This Row],[SP Is Filled]], btc_next_cutoff_date(SnapshotTable[[#This Row],[SP Fill Date]],SnapshotTable[[#This Row],[SP Exp Date]]),"")</f>
        <v/>
      </c>
      <c r="CT174" s="235" t="str" cm="1">
        <f t="array" ref="CT174">IF(SnapshotTable[[#This Row],[SP Is Filled]], btc_should_buy_back(SnapshotTable[[#This Row],[SP Fill Date]], SnapshotTable[[#This Row],[SP Exp Date]], SnapshotTable[[#This Row],[SP Book Price]], SnapshotTable[[#This Row],[SP Current Ask]], MockToday, SnapshotTable[[#This Row],[SP Buyback Override]]),"")</f>
        <v/>
      </c>
      <c r="CU174" s="143"/>
      <c r="CV174" s="235"/>
      <c r="CW174" s="378" t="str">
        <f>IF(ISNUMBER( SnapshotTable[[#This Row],[SP Term]]), SnapshotTable[[#This Row],[SP Exp Date]] - MockToday,"")</f>
        <v/>
      </c>
      <c r="CX174" s="31" t="str">
        <f>IF(SnapshotTable[[#This Row],[SP Is Filled]],SnapshotTable[[#This Row],[SP Buyback Price to Use]] * 100 * SnapshotTable[[#This Row],[SP Qty]], "")</f>
        <v/>
      </c>
      <c r="CY174" s="4" t="str">
        <f>IF(ISNUMBER(SnapshotTable[[#This Row],[SP Strike Price]]), SnapshotTable[[#This Row],[SP Strike Price]] * (1 - SP_MaxLoss_StrikePct), "")</f>
        <v/>
      </c>
      <c r="CZ174" s="31" t="str">
        <f>IF(ISNUMBER(SnapshotTable[[#This Row],[SP Strike  Stop Per Share]]),SnapshotTable[[#This Row],[SP Premium]] - ((SnapshotTable[[#This Row],[SP Strike Price]]-SnapshotTable[[#This Row],[SP Strike  Stop Per Share]]) *(SnapshotTable[[#This Row],[SP Qty]] * 100)),"")</f>
        <v/>
      </c>
      <c r="DA174" s="4" t="str">
        <f>IF(AND(ISNUMBER(SnapshotTable[[#This Row],[SP Premium]]),SnapshotTable[[#This Row],[SP Premium]]&gt;0), SnapshotTable[[#This Row],[SP Book Price]] * (1 + SP_MaxLoss_OptionPct), "")</f>
        <v/>
      </c>
      <c r="DB174" s="31" t="str">
        <f>IF(ISNUMBER(SnapshotTable[[#This Row],[SP Option  Stop Contract]]),(SnapshotTable[[#This Row],[SP Option  Stop Contract]] *(SnapshotTable[[#This Row],[SP Qty]] * 100) - SnapshotTable[[#This Row],[SP Premium]]),"")</f>
        <v/>
      </c>
      <c r="DC174" s="4"/>
      <c r="DD174" s="4"/>
      <c r="DE174" s="4" t="str">
        <f>IF(AND(SnapshotTable[[#This Row],[SP Qty]]&gt;0, SnapshotTable[[#This Row],[SP Stop To Use]]&gt;0),SnapshotTable[[#This Row],[SP Premium]] - ( SnapshotTable[[#This Row],[SP Qty]] * SnapshotTable[[#This Row],[SP Stop To Use]] * 100), "")</f>
        <v/>
      </c>
      <c r="DF174" s="31" t="str">
        <f>IF(AND(SnapshotTable[[#This Row],[SP Qty]]&gt;0,SnapshotTable[[#This Row],[SP Current Ask]]&gt;0), SnapshotTable[[#This Row],[SP Qty]] * SnapshotTable[[#This Row],[SP Current Ask]] * -100, "")</f>
        <v/>
      </c>
      <c r="DG174" s="31" t="str">
        <f>IF(ISNUMBER((SnapshotTable[[#This Row],[SP Total Value]])), SnapshotTable[[#This Row],[SP Premium]] + SnapshotTable[[#This Row],[SP Total Value]], "")</f>
        <v/>
      </c>
      <c r="DH174" s="294" t="str">
        <f>IF(ISNUMBER((SnapshotTable[[#This Row],[SP Total Value]])), SnapshotTable[[#This Row],[SP Gain Loss]] / SnapshotTable[[#This Row],[SP Premium]], "")</f>
        <v/>
      </c>
      <c r="DI174" s="406"/>
      <c r="DJ174" s="138"/>
      <c r="DK174" s="148"/>
      <c r="DL174" s="13"/>
      <c r="DM174" s="13"/>
      <c r="DO174" s="31">
        <f>IF(SnapshotTable[[#This Row],[LC Symbol Count]]=1, SnapshotTable[[#This Row],[LC Qty]] * SnapshotTable[[#This Row],[LC Book Price]] * 100, 0)</f>
        <v>0</v>
      </c>
      <c r="DP174" s="163" t="str">
        <f>IF(AND(SnapshotTable[[#This Row],[LC Exp Date]]&gt;0, SnapshotTable[[#This Row],[LC Strike Price]]&gt;0,SnapshotTable[[#This Row],[LC Qty]]&gt;0,SnapshotTable[[#This Row],[LC Book Date]]&gt;0,SnapshotTable[[#This Row],[LC Book Price]]&gt;0,SnapshotTable[[#This Row],[LC Fill Date]]=0),"Y","")</f>
        <v/>
      </c>
      <c r="DQ174" s="386" t="str">
        <f>IF(SnapshotTable[[#This Row],[LC Premium]] &gt; 0,SnapshotTable[[#This Row],[LC Exp Date]]-MAX(SnapshotTable[[#This Row],[LC Book Date]], SnapshotTable[[#This Row],[LC Fill Date]]),"")</f>
        <v/>
      </c>
      <c r="DR174" s="386" t="str">
        <f>IF(ISNUMBER(SnapshotTable[[#This Row],[LC Term]]), SnapshotTable[[#This Row],[LC Exp Date]] - MockToday, "")</f>
        <v/>
      </c>
      <c r="DS174" s="234" t="str">
        <f>IF(SnapshotTable[[#This Row],[LC Premium]]&gt;0,SnapshotTable[[#This Row],[LC Strike Price]] + SnapshotTable[[#This Row],[LC Book Price]],"")</f>
        <v/>
      </c>
      <c r="DU174" s="9" t="str">
        <f>IF(AND(SnapshotTable[[#This Row],[LC Symbol Count]]&gt;0, SnapshotTable[[#This Row],[LC Contract Value]]&gt;0), SnapshotTable[[#This Row],[LC Contract Value]] * SnapshotTable[[#This Row],[LC Qty]] * 100, "")</f>
        <v/>
      </c>
      <c r="DV174" s="9" t="str">
        <f>IF(AND(ISNUMBER(SnapshotTable[[#This Row],[LC Total Value]]), SnapshotTable[[#This Row],[LC Not Filled]]&lt;&gt;"Y"), SnapshotTable[[#This Row],[LC Total Value]]-SnapshotTable[[#This Row],[LC Premium]],"")</f>
        <v/>
      </c>
      <c r="DW174" s="240" t="str">
        <f>IF(ISNUMBER(SnapshotTable[[#This Row],[LC Actual Gain Loss]]), SnapshotTable[[#This Row],[LC Actual Gain Loss]] / SnapshotTable[[#This Row],[LC Premium]],"")</f>
        <v/>
      </c>
      <c r="DX174" s="284" t="str">
        <f>IF(ISNUMBER(SnapshotTable[[#This Row],[LC Book Price]]),SnapshotTable[[#This Row],[LC Book Price]] * 1.5,"")</f>
        <v/>
      </c>
      <c r="DY174" s="265" t="str">
        <f>IF(SnapshotTable[[#This Row],[LC Premium]]&gt;0, SnapshotTable[[#This Row],[LC Next Target]] * SnapshotTable[[#This Row],[LC Qty]] * 100,"")</f>
        <v/>
      </c>
      <c r="DZ174" s="265" t="str">
        <f>IF(ISNUMBER(SnapshotTable[[#This Row],[LC Target Gross]]), SnapshotTable[[#This Row],[LC Target Gross]] - SnapshotTable[[#This Row],[LC Premium]], "")</f>
        <v/>
      </c>
      <c r="EA174" s="305" t="str">
        <f>IF(ISNUMBER(SnapshotTable[[#This Row],[LC Target Gain Loss]]), SnapshotTable[[#This Row],[LC Target Gain Loss]]/SnapshotTable[[#This Row],[LC Premium]], "")</f>
        <v/>
      </c>
      <c r="EB174" s="262"/>
      <c r="EC174" s="283" t="str">
        <f>IF(SnapshotTable[[#This Row],[LC Premium]]&gt;0, SnapshotTable[[#This Row],[LC Book Price]] * (1 - LC_StopLoss_Pct),"")</f>
        <v/>
      </c>
      <c r="ED174" s="284"/>
      <c r="EE174" s="283" t="str">
        <f>IF(ISNUMBER(SnapshotTable[[#This Row],[LC Contract Value]]),IF(ISNUMBER(SnapshotTable[[#This Row],[LC Stop Loss Override]]), SnapshotTable[[#This Row],[LC Stop Loss Override]],SnapshotTable[[#This Row],[LC Stop Loss Calc Target]]),"")</f>
        <v/>
      </c>
      <c r="EF174" s="31" t="str">
        <f>IF(ISNUMBER(SnapshotTable[[#This Row],[LC Stop  To Use]]), (SnapshotTable[[#This Row],[LC Stop  To Use]] * SnapshotTable[[#This Row],[LC Qty]] * 100),"")</f>
        <v/>
      </c>
      <c r="EG174" s="9" t="str">
        <f>IF(ISNUMBER(SnapshotTable[[#This Row],[LC Total Value]]),SnapshotTable[[#This Row],[LC Stop Loss Amount]] - SnapshotTable[[#This Row],[LC Premium]],"")</f>
        <v/>
      </c>
      <c r="EH174" s="9">
        <f>IF(ISNUMBER(SnapshotTable[[#This Row],[LC Premium]]), SnapshotTable[[#This Row],[LC Qty]] * 100 * SnapshotTable[[#This Row],[LC Strike Price]], "")</f>
        <v>0</v>
      </c>
      <c r="EI174" s="240" t="str">
        <f>IF(AND(ISNUMBER(SnapshotTable[[#This Row],[LC Total Value]]),SnapshotTable[[#This Row],[LC Total Value]]&gt;0),SnapshotTable[[#This Row],[LC Stop Gain Loss]]  / SnapshotTable[[#This Row],[LC Premium]],"")</f>
        <v/>
      </c>
      <c r="EJ174" s="35">
        <f>IF(ISNUMBER(SnapshotTable[[#This Row],[Equity Shares]]),TRUNC(SnapshotTable[[#This Row],[Equity Shares]] / 100),0) + SnapshotTable[[#This Row],[LC Qty]]</f>
        <v>0</v>
      </c>
      <c r="EK174" s="147"/>
      <c r="EL174" s="138" t="str">
        <f>IF(SnapshotTable[[#This Row],[SC Exp Date]]&lt;&gt;"",TRUNC(SnapshotTable[[#This Row],[Last Price]]),"")</f>
        <v/>
      </c>
      <c r="EM174" s="148"/>
      <c r="EN174" s="147"/>
      <c r="EO174" s="147"/>
      <c r="EP174" s="138"/>
      <c r="EQ174" s="419" t="b">
        <f>AND(ISNUMBER(SnapshotTable[[#This Row],[SC Exp Date]]), ISNUMBER(SnapshotTable[[#This Row],[SC Strike Price]]), ISNUMBER(SnapshotTable[[#This Row],[SC Qty]]), ISNUMBER(SnapshotTable[[#This Row],[SC Book Date]]), ISNUMBER(SnapshotTable[[#This Row],[SC Book Price]]))</f>
        <v>0</v>
      </c>
      <c r="ER174" s="419" t="b">
        <f>AND(SnapshotTable[[#This Row],[SC Is Booked]], NOT(ISBLANK(SnapshotTable[[#This Row],[SC Fill Date]])))</f>
        <v>0</v>
      </c>
      <c r="ES174" s="370"/>
      <c r="ET174" s="34" t="str">
        <f>IF(AND(ISNUMBER(SnapshotTable[[#This Row],[SC Exp Date]]), ISNUMBER(SnapshotTable[[#This Row],[SC Book Date]])), SnapshotTable[[#This Row],[SC Exp Date]] - MAX(SnapshotTable[[#This Row],[SC Book Date]], SnapshotTable[[#This Row],[SC Fill Date]]) + 1, "")</f>
        <v/>
      </c>
      <c r="EU174" s="34" t="str">
        <f>IF(ISNUMBER(SnapshotTable[[#This Row],[SC Term]]), SnapshotTable[[#This Row],[SC Exp Date]]- MockToday, "")</f>
        <v/>
      </c>
      <c r="EV174" s="31">
        <f>IF(SnapshotTable[[#This Row],[SC Is Booked]], SnapshotTable[[#This Row],[SC Qty]] * SnapshotTable[[#This Row],[SC Book Price]] * 100, 0)</f>
        <v>0</v>
      </c>
      <c r="EW174" s="4" t="str">
        <f>IF(AND(ISNUMBER(SnapshotTable[[#This Row],[Last Price]]), ISNUMBER( SnapshotTable[[#This Row],[SC Book Price]])), SnapshotTable[[#This Row],[Last Price]] - SnapshotTable[[#This Row],[SC Book Price]],"")</f>
        <v/>
      </c>
      <c r="EX174" s="234" t="str">
        <f>IF(SnapshotTable[[#This Row],[SC Is Booked]],IF(SnapshotTable[[#This Row],[SC Intrinsic Value]] &gt; 0, SnapshotTable[[#This Row],[SC Strike Price]], SnapshotTable[[#This Row],[Last Price]]), "")</f>
        <v/>
      </c>
      <c r="EY174" s="4">
        <f>IF(SnapshotTable[[#This Row],[SC Is Booked]], (MinimumPremiumRequired * SnapshotTable[[#This Row],[SC Basis]] * SnapshotTable[[#This Row],[SC Term]]), 0)</f>
        <v>0</v>
      </c>
      <c r="EZ174" s="283"/>
      <c r="FA174" s="218"/>
      <c r="FB174" s="370"/>
      <c r="FC174" s="4">
        <f>IF(SnapshotTable[[#This Row],[SC Is Filled]], btc_max_buyback_amount(SnapshotTable[[#This Row],[SC Fill Date]],SnapshotTable[[#This Row],[SC Exp Date]], SnapshotTable[[#This Row],[SC Book Price]]),0)</f>
        <v>0</v>
      </c>
      <c r="FD174" s="5"/>
      <c r="FE174" s="144" t="str">
        <f>IF(SnapshotTable[[#This Row],[SC Is Filled]], btc_next_cutoff_date(SnapshotTable[[#This Row],[SC Fill Date]],SnapshotTable[[#This Row],[SC Exp Date]]),"")</f>
        <v/>
      </c>
      <c r="FF174" s="4" t="str" cm="1">
        <f t="array" ref="FF174">IF(SnapshotTable[[#This Row],[SC Is Filled]], btc_should_buy_back(SnapshotTable[[#This Row],[SC Fill Date]], SnapshotTable[[#This Row],[SC Exp Date]], SnapshotTable[[#This Row],[SC Book Price]], SnapshotTable[[#This Row],[SC Current Ask]], MockToday, SnapshotTable[[#This Row],[SC Buyback Override]]),"")</f>
        <v/>
      </c>
      <c r="FG174" s="4">
        <f>IF(SnapshotTable[[#This Row],[SC Is Filled]], MAX(0,SnapshotTable[[#This Row],[Last Price]]  - SnapshotTable[[#This Row],[SC Strike Price]]), 0)</f>
        <v>0</v>
      </c>
      <c r="FH174" s="382">
        <f>IF(SnapshotTable[[#This Row],[SC Is Filled]], IF(ISNUMBER(SnapshotTable[[#This Row],[SC Current Ask]]), SnapshotTable[[#This Row],[SC Current Ask]], SnapshotTable[[#This Row],[SC Book Price]]) - SnapshotTable[[#This Row],[SC Intrinsic Value]], 0)</f>
        <v>0</v>
      </c>
      <c r="FI174" s="143"/>
      <c r="FJ174" s="32" t="str">
        <f>IF(SnapshotTable[[#This Row],[SC Is Filled]],100 * SnapshotTable[[#This Row],[SC Qty]] * IF(ISNUMBER(SnapshotTable[[#This Row],[SC Buyback Override]]), SnapshotTable[[#This Row],[SC Buyback Override]], SnapshotTable[[#This Row],[SC Current Ask]]), "")</f>
        <v/>
      </c>
      <c r="FK174" s="250" t="str">
        <f>IF(SnapshotTable[[#This Row],[SC Time Val]]&gt;0, SnapshotTable[[#This Row],[SC Time Val]] / SnapshotTable[[#This Row],[Last Price]],"")</f>
        <v/>
      </c>
      <c r="FL174" s="302" t="str">
        <f>IF(SnapshotTable[[#This Row],[SC Is Booked]], ((SnapshotTable[[#This Row],[Last Price]] -SnapshotTable[[#This Row],[SC Strike Price]]) / SnapshotTable[[#This Row],[Last Price]]) * -1, "")</f>
        <v/>
      </c>
      <c r="FM174" s="157" t="str">
        <f>IF(SnapshotTable[[#This Row],[SC Is Booked]],  (SnapshotTable[[#This Row],[SC Qty]] * 100 * SnapshotTable[[#This Row],[SC Strike Price]]) - SnapshotTable[[#This Row],[SC Current Ask]], "")</f>
        <v/>
      </c>
      <c r="FN17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4" s="31" t="str">
        <f>IF(AND(ISNUMBER(SnapshotTable[[#This Row],[SC Exercise Gross]]), ISNUMBER(SnapshotTable[[#This Row],[Equity Basis Per Share]] )), SnapshotTable[[#This Row],[SC Exercise Gross]] - SnapshotTable[[#This Row],[Equity Basis Total]] +  SnapshotTable[[#This Row],[SC Premium]], "")</f>
        <v/>
      </c>
      <c r="FP174" s="5" t="str">
        <f>IF(ISNUMBER(SnapshotTable[[#This Row],[SC Exercise Gross]]), (SnapshotTable[[#This Row],[SC Exercise Gross]]) / (SnapshotTable[[#This Row],[SC Qty]] * 100), "")</f>
        <v/>
      </c>
      <c r="FQ174" s="27" t="str">
        <f>IF(SnapshotTable[[#This Row],[SC Is Booked]],SnapshotTable[[#This Row],[SC Time Val]] /SnapshotTable[[#This Row],[SC Basis]], "")</f>
        <v/>
      </c>
      <c r="FR174" s="27" t="str" cm="1">
        <f t="array" ref="FR174">IF(AND(ISNUMBER(SnapshotTable[[#This Row],[SC Term]]),ISNUMBER(SnapshotTable[[#This Row],[SC Simple ROO]])), EllmanAnnualize(SnapshotTable[[#This Row],[SC DTE]], SnapshotTable[[#This Row],[SC Simple ROO]] ),"")</f>
        <v/>
      </c>
      <c r="FS174" s="4" t="e">
        <f>IF(SnapshotTable[[#This Row],[SC Strike Price]] &gt; SnapshotTable[[#This Row],[Last Price]], SnapshotTable[[#This Row],[SC Strike Price]] - SnapshotTable[[#This Row],[Last Price]],0)</f>
        <v>#VALUE!</v>
      </c>
      <c r="FT174" s="27" t="e">
        <f>IF(AND(ISNUMBER(SnapshotTable[[#This Row],[SC Upside Potential]]), SnapshotTable[[#This Row],[SC Upside Potential]] &gt; 0),(SnapshotTable[[#This Row],[SC Upside Potential]]/ SnapshotTable[[#This Row],[ACB]]),"")</f>
        <v>#VALUE!</v>
      </c>
      <c r="FU174" s="333" t="str">
        <f>IF(SnapshotTable[[#This Row],[SC Intrinsic Value]] &gt; 0,SnapshotTable[[#This Row],[SC Intrinsic Value]],"")</f>
        <v/>
      </c>
      <c r="FV174" s="27" t="str">
        <f>IF(AND( ISNUMBER( SnapshotTable[[#This Row],[ACB]]),ISNUMBER(SnapshotTable[[#This Row],[SC Downside Protect]])),SnapshotTable[[#This Row],[SC Downside Protect]] / SnapshotTable[[#This Row],[ACB]],"")</f>
        <v/>
      </c>
      <c r="FW174" s="236" t="str">
        <f>IF(AND(ISNUMBER(SnapshotTable[[#This Row],[SC Simple ROO]]),SnapshotTable[[#This Row],[SC Simple ROO]] &gt; 0), SnapshotTable[[#This Row],[SC Premium]] + (SnapshotTable[[#This Row],[SC Qty]] * SnapshotTable[[#This Row],[SC Upside Potential]]), "")</f>
        <v/>
      </c>
      <c r="FX174" s="302" t="str" cm="1">
        <f t="array" ref="FX174">IF(ISNUMBER(SnapshotTable[[#This Row],[SC Max Dollars]]), annualize(SnapshotTable[[#This Row],[SC Term]],(SnapshotTable[[#This Row],[SC Max Dollars]]/SnapshotTable[[#This Row],[SC Basis]])),"")</f>
        <v/>
      </c>
      <c r="FY174" s="236" t="str">
        <f>IF(AND(SnapshotTable[[#This Row],[SC Qty]]&gt;0,SnapshotTable[[#This Row],[SC Current Ask]]&gt;0), SnapshotTable[[#This Row],[SC Qty]] * SnapshotTable[[#This Row],[SC Current Ask]] * -100, "")</f>
        <v/>
      </c>
      <c r="FZ174" s="31" t="str">
        <f>IF(ISNUMBER((SnapshotTable[[#This Row],[SC Current Value]])), SnapshotTable[[#This Row],[SC Premium]] + SnapshotTable[[#This Row],[SC Current Value]], "")</f>
        <v/>
      </c>
      <c r="GA174" s="294" t="str">
        <f>IFERROR( IF(ISNUMBER((SnapshotTable[[#This Row],[SC Current Value]])), SnapshotTable[[#This Row],[SC Gain Loss]] / SnapshotTable[[#This Row],[SC Premium]], ""), "")</f>
        <v/>
      </c>
      <c r="GB174" s="42">
        <f>SnapshotTable[[#This Row],[Equity Shares]] * SaleSharesToConsiderPercentage</f>
        <v>0</v>
      </c>
      <c r="GC174" s="40">
        <f>SnapshotTable[[#This Row],[Long Term Target]] * SellingPriceToConsiderBasedOnTargetPercentage</f>
        <v>254.37199999999999</v>
      </c>
      <c r="GD174" s="40">
        <f>SnapshotTable[[#This Row],[Last Price]] * (1+ SellingPriceToConsiderBasedOnTargetPercentage)</f>
        <v>592.39049999999997</v>
      </c>
      <c r="GE174" s="41"/>
      <c r="GF174" s="40"/>
      <c r="GG174" s="31">
        <f>SnapshotTable[[#This Row],[Booked Sale Shares]] * SnapshotTable[[#This Row],[Booked Sale Price]]</f>
        <v>0</v>
      </c>
      <c r="GH174" s="31" t="str">
        <f>IF(SnapshotTable[[#This Row],[Equity Basis Total]] &gt; 0, SnapshotTable[[#This Row],[Equity Basis Per Share]] * SnapshotTable[[#This Row],[Booked Sale Shares]], "")</f>
        <v/>
      </c>
      <c r="GI174" s="31">
        <f>IF(SnapshotTable[[#This Row],[Sale Proceeds]]&gt;0, SnapshotTable[[#This Row],[Sale Proceeds]] - SnapshotTable[[#This Row],[Sale Basis]], 0)</f>
        <v>0</v>
      </c>
      <c r="GJ174" s="27" t="str">
        <f>IF(SnapshotTable[[#This Row],[Sale G/L]]&gt;0, SnapshotTable[[#This Row],[Sale G/L]] / SnapshotTable[[#This Row],[Sale Basis]], IF(ISNUMBER(SnapshotTable[[#This Row],[SC Exercise P&amp;L (TAX)]]), SnapshotTable[[#This Row],[SC Exercise P&amp;L (TAX)]] / SnapshotTable[[#This Row],[SC Basis]], ""))</f>
        <v/>
      </c>
      <c r="GK174" s="27" t="s">
        <v>708</v>
      </c>
      <c r="GL174" s="43" t="str">
        <f>IF(AND(SnapshotTable[[#This Row],[LP Exp Date]]&gt;0,SnapshotTable[[#This Row],[LP Strike Price]]&gt;0), [1]!ToOptionSymbol(SnapshotTable[[#This Row],[Symbol]], SnapshotTable[[#This Row],[LP Strike Price]],SnapshotTable[[#This Row],[LP Exp Date]],1), "")</f>
        <v/>
      </c>
      <c r="GM174" s="30" t="str">
        <f>IF(LEN(SnapshotTable[[#This Row],[LP Symbol]])&gt;0, 1, "")</f>
        <v/>
      </c>
      <c r="GN174" s="43" t="str">
        <f>IF(AND(SnapshotTable[[#This Row],[SP Exp Date]]&gt;0,SnapshotTable[[#This Row],[SP Strike Price]]&gt;0), [1]!ToOptionSymbol(SnapshotTable[[#This Row],[Symbol]], SnapshotTable[[#This Row],[SP Strike Price]],SnapshotTable[[#This Row],[SP Exp Date]],1), "")</f>
        <v/>
      </c>
      <c r="GO174" s="30" t="str">
        <f>IF(LEN(SnapshotTable[[#This Row],[SP Symbol]])&gt;0, 1, "")</f>
        <v/>
      </c>
      <c r="GP174" s="43" t="str">
        <f>IF(AND(SnapshotTable[[#This Row],[LC Exp Date]]&gt;0,SnapshotTable[[#This Row],[LC Strike Price]]&gt;0), [1]!ToOptionSymbol(SnapshotTable[[#This Row],[Symbol]], SnapshotTable[[#This Row],[LC Strike Price]],SnapshotTable[[#This Row],[LC Exp Date]],0), "")</f>
        <v/>
      </c>
      <c r="GQ174" s="30" t="str">
        <f>IF(LEN(SnapshotTable[[#This Row],[LC Symbol]])&gt;0, 1, "")</f>
        <v/>
      </c>
      <c r="GR174" s="43" t="str">
        <f>IF(AND(SnapshotTable[[#This Row],[SC Exp Date]]&gt;0,SnapshotTable[[#This Row],[SC Strike Price]]&gt;0), [1]!ToOptionSymbol(SnapshotTable[[#This Row],[Symbol]], SnapshotTable[[#This Row],[SC Strike Price]],SnapshotTable[[#This Row],[SC Exp Date]],0), "")</f>
        <v/>
      </c>
      <c r="GS174" s="30" t="str">
        <f>IF(LEN(SnapshotTable[[#This Row],[SC Symbol]])&gt;0, 1, "")</f>
        <v/>
      </c>
      <c r="GT174" s="29" t="str">
        <f>IF(COUNT(SnapshotTable[[#This Row],[LP Symbol Count]],SnapshotTable[[#This Row],[SP Symbol Count]],SnapshotTable[[#This Row],[LC Symbol Count]],SnapshotTable[[#This Row],[SC Symbol Count]])&gt;0, "Y", "")</f>
        <v/>
      </c>
      <c r="GU17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4" s="231" t="e">
        <f>MAX(SnapshotTable[[#This Row],[Equity Basis Total]],SnapshotTable[[#This Row],[Equity Value]]) + (SnapshotTable[[#This Row],[SP Potential Spend]]- SnapshotTable[[#This Row],[SP Premium]] + SnapshotTable[[#This Row],[LP Premium]])+ (SnapshotTable[[#This Row],[LC Premium]] - SnapshotTable[[#This Row],[SC Premium]])</f>
        <v>#VALUE!</v>
      </c>
      <c r="GW174" s="139" t="e">
        <f>IF(AND(SnapshotTable[[#This Row],[Exposure]] &lt;&gt; 0),SnapshotTable[[#This Row],[Exposure]] / SnapshotTable[[#Totals],[Exposure]], "")</f>
        <v>#VALUE!</v>
      </c>
      <c r="HE174" s="268"/>
      <c r="HF174" s="268"/>
      <c r="HK174" s="1"/>
      <c r="HL174" s="1"/>
      <c r="HM174" s="1"/>
      <c r="HN174" s="1"/>
      <c r="HO174" s="1"/>
      <c r="HP174" s="1"/>
    </row>
    <row r="175" spans="2:224" ht="12.75" hidden="1" customHeight="1" x14ac:dyDescent="0.25">
      <c r="B175" s="12" t="s">
        <v>1282</v>
      </c>
      <c r="C175" s="387">
        <v>51.5</v>
      </c>
      <c r="D175" s="208"/>
      <c r="E175" s="39">
        <f>SnapshotTable[[#This Row],[Last Price]]*(1 -CrashDiscount)</f>
        <v>43.774999999999999</v>
      </c>
      <c r="F175" s="325" t="s">
        <v>5</v>
      </c>
      <c r="G175" s="325" t="s">
        <v>4</v>
      </c>
      <c r="H175" s="149"/>
      <c r="I175" s="194"/>
      <c r="J175" s="195"/>
      <c r="K175" s="196"/>
      <c r="L175" s="326"/>
      <c r="M175" s="140"/>
      <c r="N175" s="140"/>
      <c r="O175" s="140"/>
      <c r="P175" s="22">
        <v>1000</v>
      </c>
      <c r="Q175" s="25">
        <v>70701</v>
      </c>
      <c r="R175" s="4">
        <f>IF(SnapshotTable[[#This Row],[Equity Basis Total]] &gt; 0, SnapshotTable[[#This Row],[Equity Basis Total]] / SnapshotTable[[#This Row],[Equity Shares]], "")</f>
        <v>70.700999999999993</v>
      </c>
      <c r="S175" s="269">
        <f>SnapshotTable[[#This Row],[Last Price]] * SnapshotTable[[#This Row],[Equity Shares]]</f>
        <v>51500</v>
      </c>
      <c r="T175" s="269">
        <f>SnapshotTable[[#This Row],[Equity Value]] - SnapshotTable[[#This Row],[Equity Basis Total]]</f>
        <v>-19201</v>
      </c>
      <c r="U175" s="270">
        <f>IF(SnapshotTable[[#This Row],[Equity Basis Total]] &gt; 0, SnapshotTable[[#This Row],[Equity G/L]] / SnapshotTable[[#This Row],[Equity Basis Total]], "")</f>
        <v>-0.27158031711008329</v>
      </c>
      <c r="V175" s="268"/>
      <c r="W175" s="268"/>
      <c r="X175" s="4" t="str">
        <f>IF(AND(ISNUMBER(SnapshotTable[[#This Row],[Equity Basis Per Share]]),ISNUMBER(SnapshotTable[[#This Row],[Equity Target]])),SnapshotTable[[#This Row],[Equity Target]]-SnapshotTable[[#This Row],[Equity Basis Per Share]],"")</f>
        <v/>
      </c>
      <c r="Y175" s="4" t="str">
        <f>IF(AND(ISNUMBER(SnapshotTable[[#This Row],[Equity Basis Per Share]]),ISNUMBER(SnapshotTable[[#This Row],[Equity Stop Loss]])),SnapshotTable[[#This Row],[Equity Stop Loss]]-SnapshotTable[[#This Row],[Equity Basis Per Share]],"")</f>
        <v/>
      </c>
      <c r="Z175" s="275" t="str">
        <f>IFERROR( TEXT(SnapshotTable[[#This Row],[Equity Max Gain Per Share]] /ABS( SnapshotTable[[#This Row],[Equity Max Loss Per Share]]),"0.0 " ) &amp; " : 1", "")</f>
        <v/>
      </c>
      <c r="AA175" s="31" t="str">
        <f>IF(ISNUMBER(SnapshotTable[[#This Row],[Equity Max Gain Per Share]]),SnapshotTable[[#This Row],[Equity Max Gain Per Share]] * SnapshotTable[[#This Row],[Equity Shares]],"")</f>
        <v/>
      </c>
      <c r="AB175" s="31" t="str">
        <f>IF(ISNUMBER(SnapshotTable[[#This Row],[Equity Max Loss Per Share]]),SnapshotTable[[#This Row],[Equity Max Loss Per Share]] * SnapshotTable[[#This Row],[Equity Shares]],"")</f>
        <v/>
      </c>
      <c r="AC175" s="150"/>
      <c r="AD175" s="151"/>
      <c r="AE175" s="31">
        <f>(SnapshotTable[[#This Row],[Annual Dividend Per Share]] / 4) * SnapshotTable[[#This Row],[Equity Shares]]</f>
        <v>0</v>
      </c>
      <c r="AF175" s="31">
        <f>SnapshotTable[[#This Row],[Quarterly Div $]] * 4</f>
        <v>0</v>
      </c>
      <c r="AG175" s="7">
        <f>IF(SnapshotTable[[#This Row],[Annual Dividend Per Share]]&gt;0, SnapshotTable[[#This Row],[Annual Dividend Per Share]]  / SnapshotTable[[#This Row],[Last Price]], 0)</f>
        <v>0</v>
      </c>
      <c r="AH175" s="151"/>
      <c r="AI175" s="5"/>
      <c r="AJ175" s="138"/>
      <c r="AK175" s="152" t="str">
        <f>IF(ISNUMBER( SnapshotTable[[#This Row],[EBF Target]]),(SnapshotTable[[#This Row],[EBF Target]] - SnapshotTable[[#This Row],[Last Price]]) / SnapshotTable[[#This Row],[Last Price]], "")</f>
        <v/>
      </c>
      <c r="AL175" s="152" t="str">
        <f>IF(AND(SnapshotTable[[#This Row],[Equity Basis Total]] &gt; 0,ISNUMBER( SnapshotTable[[#This Row],[Long Term Target]])), SnapshotTable[[#This Row],[From Basis $]] / SnapshotTable[[#This Row],[Equity Basis Total]], "")</f>
        <v/>
      </c>
      <c r="AM175" s="9">
        <f>IF( AND(SnapshotTable[[#This Row],[Equity Shares]] &gt;0,ISNUMBER( SnapshotTable[[#This Row],[Long Term Target]])),(SnapshotTable[[#This Row],[Equity Shares]] * SnapshotTable[[#This Row],[Long Term Target]]) - SnapshotTable[[#This Row],[Equity Basis Total]],0)</f>
        <v>0</v>
      </c>
      <c r="AN175" s="9">
        <f>IF( AND(SnapshotTable[[#This Row],[Equity Shares]] &gt;0,ISNUMBER( SnapshotTable[[#This Row],[Long Term Target]])),(SnapshotTable[[#This Row],[Equity Shares]]*SnapshotTable[[#This Row],[Long Term Target]]) - SnapshotTable[[#This Row],[Equity Value]],0)</f>
        <v>0</v>
      </c>
      <c r="AO175" s="152" t="str">
        <f>IF(AND(ISNUMBER( SnapshotTable[[#This Row],[Long Term Target]]), ISNUMBER(SnapshotTable[[#This Row],[Last Price]])),(SnapshotTable[[#This Row],[Long Term Target]] - SnapshotTable[[#This Row],[Last Price]]) / SnapshotTable[[#This Row],[Last Price]], "")</f>
        <v/>
      </c>
      <c r="AP175" s="5"/>
      <c r="AQ175" s="38"/>
      <c r="AR175" s="5"/>
      <c r="AS175" s="38"/>
      <c r="AT175" s="146"/>
      <c r="AU175" s="187" t="str">
        <f ca="1">IF(OR(SnapshotTable[[#This Row],[LP No Fill]]="Y",SnapshotTable[[#This Row],[SP Is Filled]],SnapshotTable[[#This Row],[LC Not Filled]]="Y",SnapshotTable[[#This Row],[SC Is Filled]]),"Y","")</f>
        <v>Y</v>
      </c>
      <c r="AV175" s="219"/>
      <c r="AW175" s="225"/>
      <c r="AX175" s="220"/>
      <c r="AY175" s="219" t="str">
        <f>IF(SnapshotTable[[#This Row],[Implied Move]]&gt;0, SnapshotTable[[#This Row],[Last Price]]-SnapshotTable[[#This Row],[Implied Move]],"")</f>
        <v/>
      </c>
      <c r="AZ175" s="219" t="str">
        <f>IF(SnapshotTable[[#This Row],[Implied Move]]&gt;0, SnapshotTable[[#This Row],[Last Price]] + SnapshotTable[[#This Row],[Implied Move]],"")</f>
        <v/>
      </c>
      <c r="BA175" s="331">
        <v>67.13</v>
      </c>
      <c r="BB175" s="347"/>
      <c r="BC175"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46241</v>
      </c>
      <c r="BD175" s="351"/>
      <c r="BE175" s="5"/>
      <c r="BF175" s="14"/>
      <c r="BG175" s="13"/>
      <c r="BH175" s="13"/>
      <c r="BI175" s="5"/>
      <c r="BJ175" s="136">
        <f>IF(SnapshotTable[[#This Row],[LP Qty]] &gt; 0, SnapshotTable[[#This Row],[LP Qty]] * SnapshotTable[[#This Row],[LP Book Price]] * 100,0)</f>
        <v>0</v>
      </c>
      <c r="BK175" s="136">
        <f>IF(SnapshotTable[[#This Row],[LP Premium]] &gt; 0, SnapshotTable[[#This Row],[LP Qty]] * SnapshotTable[[#This Row],[LP Strike Price]] * 100,0)</f>
        <v>0</v>
      </c>
      <c r="BL175" s="154"/>
      <c r="BM175" s="385" t="str">
        <f>IF(SnapshotTable[[#This Row],[LP Premium]] &gt; 0,SnapshotTable[[#This Row],[LP Exp Date]]-MAX(SnapshotTable[[#This Row],[LP Book Date]], SnapshotTable[[#This Row],[LP Fill Date]]),"")</f>
        <v/>
      </c>
      <c r="BN175" s="385" t="str">
        <f>IF(ISNUMBER( SnapshotTable[[#This Row],[LP Term]]), SnapshotTable[[#This Row],[LP Exp Date]] - MockToday,"")</f>
        <v/>
      </c>
      <c r="BO175" s="163" t="str">
        <f>IF(AND(SnapshotTable[[#This Row],[LP Exp Date]]&gt;0, SnapshotTable[[#This Row],[LP Strike Price]]&gt;0,SnapshotTable[[#This Row],[LP Qty]]&gt;0,SnapshotTable[[#This Row],[LP Book Date]]&gt;0,SnapshotTable[[#This Row],[LP Book Price]]&gt;0,SnapshotTable[[#This Row],[LP Fill Date]]=0),"Y","")</f>
        <v/>
      </c>
      <c r="BP175" s="31" t="str">
        <f>IF(AND(SnapshotTable[[#This Row],[LP No Fill]]&lt;&gt;"Y",SnapshotTable[[#This Row],[LP Contract Value]]&gt;0, SnapshotTable[[#This Row],[LP Qty]]&gt;0), SnapshotTable[[#This Row],[LP Contract Value]]*SnapshotTable[[#This Row],[LP Qty]]*100,"")</f>
        <v/>
      </c>
      <c r="BQ175" s="13">
        <f ca="1">NextFridayOpex</f>
        <v>46241</v>
      </c>
      <c r="BR175" s="5">
        <f ca="1">IF(SnapshotTable[[#This Row],[SP Exp Date]]&lt;&gt;"",TRUNC(SnapshotTable[[#This Row],[Last Price]]),"")</f>
        <v>51</v>
      </c>
      <c r="BS175" s="36">
        <v>10</v>
      </c>
      <c r="BT175" s="147">
        <f ca="1">WORKDAY(MockToday, 0)</f>
        <v>46235</v>
      </c>
      <c r="BU175" s="13">
        <f ca="1">WORKDAY(MockToday, 0)</f>
        <v>46235</v>
      </c>
      <c r="BV175" s="5">
        <v>1.1000000000000001</v>
      </c>
      <c r="BW175" s="419" t="b">
        <f ca="1">AND(ISNUMBER(SnapshotTable[[#This Row],[SP Exp Date]]), ISNUMBER(SnapshotTable[[#This Row],[SP Strike Price]]), ISNUMBER(SnapshotTable[[#This Row],[SP Qty]]), ISNUMBER(SnapshotTable[[#This Row],[SP Book Date]]), ISNUMBER(SnapshotTable[[#This Row],[SP Book Price]]))</f>
        <v>1</v>
      </c>
      <c r="BX175" s="419" t="b">
        <f ca="1">AND(SnapshotTable[[#This Row],[SP Is Booked]], NOT(ISBLANK(SnapshotTable[[#This Row],[SP Fill Date]])))</f>
        <v>1</v>
      </c>
      <c r="BY175" s="33">
        <f ca="1">IF(SnapshotTable[[#This Row],[SP Is Booked]], SnapshotTable[[#This Row],[SP Qty]] * SnapshotTable[[#This Row],[SP Book Price]] * 100, 0)</f>
        <v>1100</v>
      </c>
      <c r="BZ175" s="369">
        <v>0.25</v>
      </c>
      <c r="CA175" s="368">
        <f>SnapshotTable[[#This Row],[LP Qty]]</f>
        <v>0</v>
      </c>
      <c r="CB175" s="4">
        <f ca="1">IF(SnapshotTable[[#This Row],[SP Is Booked]], SnapshotTable[[#This Row],[SP Strike Price]] - SnapshotTable[[#This Row],[SP Book Price]], "")</f>
        <v>49.9</v>
      </c>
      <c r="CC175" s="19">
        <f ca="1">IF(SnapshotTable[[#This Row],[SP Is Booked]],SnapshotTable[[#This Row],[SP Exp Date]]-MAX(SnapshotTable[[#This Row],[SP Book Date]], SnapshotTable[[#This Row],[SP Fill Date]]),"")</f>
        <v>6</v>
      </c>
      <c r="CD175" s="7">
        <f ca="1">IF(SnapshotTable[[#This Row],[SP Is Booked]], SnapshotTable[[#This Row],[SP Book Price]]/SnapshotTable[[#This Row],[SP Strike Price]], "")</f>
        <v>2.1568627450980395E-2</v>
      </c>
      <c r="CE175" s="7">
        <f ca="1">IF(ISNUMBER(SnapshotTable[[#This Row],[SP ROO Term]]),SnapshotTable[[#This Row],[SP ROO Term]]*(365/SnapshotTable[[#This Row],[SP Term]]),"")</f>
        <v>1.3120915032679741</v>
      </c>
      <c r="CF175" s="236">
        <f>SnapshotTable[[#This Row],[LP Strike Price]] * SnapshotTable[[#This Row],[LP Qty]] * 100</f>
        <v>0</v>
      </c>
      <c r="CG175" s="31">
        <f ca="1">IF(ISNUMBER(SnapshotTable[[#This Row],[SP Premium]]), (SnapshotTable[[#This Row],[SP Qty]] * SnapshotTable[[#This Row],[SP Strike Price]]* 100) - SnapshotTable[[#This Row],[LP Protection]], 0)</f>
        <v>51000</v>
      </c>
      <c r="CH175" s="7">
        <f ca="1">IF(ISNUMBER(SnapshotTable[[#This Row],[SP Break Even]]),-1 * (SnapshotTable[[#This Row],[SP Break Even]] - SnapshotTable[[#This Row],[Last Price]]) / SnapshotTable[[#This Row],[Last Price]], "")</f>
        <v>3.106796116504857E-2</v>
      </c>
      <c r="CI175" s="31">
        <f ca="1">IF(AND(ISNUMBER((SnapshotTable[[#This Row],[SP Potential Spend]])), SnapshotTable[[#This Row],[SP Strike Price]] &gt; SnapshotTable[[#This Row],[Last Price]], SnapshotTable[[#This Row],[SP Is Filled]]), SnapshotTable[[#This Row],[SP Potential Spend]] -  SnapshotTable[[#This Row],[LP Max Value]], 0)</f>
        <v>0</v>
      </c>
      <c r="CJ175" s="244"/>
      <c r="CK175" s="31">
        <f ca="1">IF(ISNUMBER(SnapshotTable[[#This Row],[SP Potential Spend]]),IF(ISNUMBER(SnapshotTable[[#This Row],[SP POW]]), SnapshotTable[[#This Row],[SP POW]] * SnapshotTable[[#This Row],[SP Potential Spend]], SnapshotTable[[#This Row],[SP Potential Spend]]), "")</f>
        <v>51000</v>
      </c>
      <c r="CL175" s="164" t="str">
        <f ca="1">IF(NOT(SnapshotTable[[#This Row],[SP Is Filled]]),(SnapshotTable[[#This Row],[SP Qty]] * SnapshotTable[[#This Row],[SP Strike Price]] * 100) - SnapshotTable[[#This Row],[LP Max Value]],"")</f>
        <v/>
      </c>
      <c r="CM175" s="31" t="str">
        <f ca="1">IF(SnapshotTable[[#This Row],[SP Actual Spend]]&lt;&gt;0, ((SnapshotTable[[#This Row],[SP Strike Price]]-SnapshotTable[[#This Row],[Last Price]]) *(SnapshotTable[[#This Row],[SP Qty]]*100) - SnapshotTable[[#This Row],[SP Premium]]) * - 1, "")</f>
        <v/>
      </c>
      <c r="CN175" s="78">
        <v>1.47</v>
      </c>
      <c r="CO175" s="369">
        <v>0.28999999999999998</v>
      </c>
      <c r="CP175" s="4" t="e">
        <f ca="1">IF(SnapshotTable[[#This Row],[SP Is Filled]], btc_max_buyback_amount(SnapshotTable[[#This Row],[SP Fill Date]],SnapshotTable[[#This Row],[SP Exp Date]], SnapshotTable[[#This Row],[SP Book Price]]),"")</f>
        <v>#NAME?</v>
      </c>
      <c r="CQ175" s="78"/>
      <c r="CR175"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175" s="155" t="e">
        <f ca="1">IF(SnapshotTable[[#This Row],[SP Is Filled]], btc_next_cutoff_date(SnapshotTable[[#This Row],[SP Fill Date]],SnapshotTable[[#This Row],[SP Exp Date]]),"")</f>
        <v>#NAME?</v>
      </c>
      <c r="CT175" s="235" t="e" cm="1">
        <f t="array" aca="1" ref="CT175" ca="1">IF(SnapshotTable[[#This Row],[SP Is Filled]], btc_should_buy_back(SnapshotTable[[#This Row],[SP Fill Date]], SnapshotTable[[#This Row],[SP Exp Date]], SnapshotTable[[#This Row],[SP Book Price]], SnapshotTable[[#This Row],[SP Current Ask]], MockToday, SnapshotTable[[#This Row],[SP Buyback Override]]),"")</f>
        <v>#NAME?</v>
      </c>
      <c r="CU175" s="143">
        <v>46212</v>
      </c>
      <c r="CV175" s="235"/>
      <c r="CW175" s="378">
        <f ca="1">IF(ISNUMBER( SnapshotTable[[#This Row],[SP Term]]), SnapshotTable[[#This Row],[SP Exp Date]] - MockToday,"")</f>
        <v>6</v>
      </c>
      <c r="CX175" s="31" t="e">
        <f ca="1">IF(SnapshotTable[[#This Row],[SP Is Filled]],SnapshotTable[[#This Row],[SP Buyback Price to Use]] * 100 * SnapshotTable[[#This Row],[SP Qty]], "")</f>
        <v>#NAME?</v>
      </c>
      <c r="CY175" s="4">
        <f ca="1">IF(ISNUMBER(SnapshotTable[[#This Row],[SP Strike Price]]), SnapshotTable[[#This Row],[SP Strike Price]] * (1 - SP_MaxLoss_StrikePct), "")</f>
        <v>49.47</v>
      </c>
      <c r="CZ175" s="31">
        <f ca="1">IF(ISNUMBER(SnapshotTable[[#This Row],[SP Strike  Stop Per Share]]),SnapshotTable[[#This Row],[SP Premium]] - ((SnapshotTable[[#This Row],[SP Strike Price]]-SnapshotTable[[#This Row],[SP Strike  Stop Per Share]]) *(SnapshotTable[[#This Row],[SP Qty]] * 100)),"")</f>
        <v>-430.00000000000114</v>
      </c>
      <c r="DA175" s="4">
        <f ca="1">IF(AND(ISNUMBER(SnapshotTable[[#This Row],[SP Premium]]),SnapshotTable[[#This Row],[SP Premium]]&gt;0), SnapshotTable[[#This Row],[SP Book Price]] * (1 + SP_MaxLoss_OptionPct), "")</f>
        <v>1.6500000000000001</v>
      </c>
      <c r="DB175" s="31">
        <f ca="1">IF(ISNUMBER(SnapshotTable[[#This Row],[SP Option  Stop Contract]]),(SnapshotTable[[#This Row],[SP Option  Stop Contract]] *(SnapshotTable[[#This Row],[SP Qty]] * 100) - SnapshotTable[[#This Row],[SP Premium]]),"")</f>
        <v>550.00000000000023</v>
      </c>
      <c r="DC175" s="4"/>
      <c r="DD175" s="4"/>
      <c r="DE175" s="4" t="str">
        <f>IF(AND(SnapshotTable[[#This Row],[SP Qty]]&gt;0, SnapshotTable[[#This Row],[SP Stop To Use]]&gt;0),SnapshotTable[[#This Row],[SP Premium]] - ( SnapshotTable[[#This Row],[SP Qty]] * SnapshotTable[[#This Row],[SP Stop To Use]] * 100), "")</f>
        <v/>
      </c>
      <c r="DF175" s="31">
        <f>IF(AND(SnapshotTable[[#This Row],[SP Qty]]&gt;0,SnapshotTable[[#This Row],[SP Current Ask]]&gt;0), SnapshotTable[[#This Row],[SP Qty]] * SnapshotTable[[#This Row],[SP Current Ask]] * -100, "")</f>
        <v>-1470</v>
      </c>
      <c r="DG175" s="31">
        <f ca="1">IF(ISNUMBER((SnapshotTable[[#This Row],[SP Total Value]])), SnapshotTable[[#This Row],[SP Premium]] + SnapshotTable[[#This Row],[SP Total Value]], "")</f>
        <v>-370</v>
      </c>
      <c r="DH175" s="294">
        <f ca="1">IF(ISNUMBER((SnapshotTable[[#This Row],[SP Total Value]])), SnapshotTable[[#This Row],[SP Gain Loss]] / SnapshotTable[[#This Row],[SP Premium]], "")</f>
        <v>-0.33636363636363636</v>
      </c>
      <c r="DI175" s="406"/>
      <c r="DJ175" s="138"/>
      <c r="DK175" s="148"/>
      <c r="DL175" s="13"/>
      <c r="DM175" s="13"/>
      <c r="DO175" s="31">
        <f>IF(SnapshotTable[[#This Row],[LC Symbol Count]]=1, SnapshotTable[[#This Row],[LC Qty]] * SnapshotTable[[#This Row],[LC Book Price]] * 100, 0)</f>
        <v>0</v>
      </c>
      <c r="DP175" s="163" t="str">
        <f>IF(AND(SnapshotTable[[#This Row],[LC Exp Date]]&gt;0, SnapshotTable[[#This Row],[LC Strike Price]]&gt;0,SnapshotTable[[#This Row],[LC Qty]]&gt;0,SnapshotTable[[#This Row],[LC Book Date]]&gt;0,SnapshotTable[[#This Row],[LC Book Price]]&gt;0,SnapshotTable[[#This Row],[LC Fill Date]]=0),"Y","")</f>
        <v/>
      </c>
      <c r="DQ175" s="386" t="str">
        <f>IF(SnapshotTable[[#This Row],[LC Premium]] &gt; 0,SnapshotTable[[#This Row],[LC Exp Date]]-MAX(SnapshotTable[[#This Row],[LC Book Date]], SnapshotTable[[#This Row],[LC Fill Date]]),"")</f>
        <v/>
      </c>
      <c r="DR175" s="386" t="str">
        <f>IF(ISNUMBER(SnapshotTable[[#This Row],[LC Term]]), SnapshotTable[[#This Row],[LC Exp Date]] - MockToday, "")</f>
        <v/>
      </c>
      <c r="DS175" s="234" t="str">
        <f>IF(SnapshotTable[[#This Row],[LC Premium]]&gt;0,SnapshotTable[[#This Row],[LC Strike Price]] + SnapshotTable[[#This Row],[LC Book Price]],"")</f>
        <v/>
      </c>
      <c r="DU175" s="9" t="str">
        <f>IF(AND(SnapshotTable[[#This Row],[LC Symbol Count]]&gt;0, SnapshotTable[[#This Row],[LC Contract Value]]&gt;0), SnapshotTable[[#This Row],[LC Contract Value]] * SnapshotTable[[#This Row],[LC Qty]] * 100, "")</f>
        <v/>
      </c>
      <c r="DV175" s="9" t="str">
        <f>IF(AND(ISNUMBER(SnapshotTable[[#This Row],[LC Total Value]]), SnapshotTable[[#This Row],[LC Not Filled]]&lt;&gt;"Y"), SnapshotTable[[#This Row],[LC Total Value]]-SnapshotTable[[#This Row],[LC Premium]],"")</f>
        <v/>
      </c>
      <c r="DW175" s="240" t="str">
        <f>IF(ISNUMBER(SnapshotTable[[#This Row],[LC Actual Gain Loss]]), SnapshotTable[[#This Row],[LC Actual Gain Loss]] / SnapshotTable[[#This Row],[LC Premium]],"")</f>
        <v/>
      </c>
      <c r="DX175" s="284" t="str">
        <f>IF(ISNUMBER(SnapshotTable[[#This Row],[LC Book Price]]),SnapshotTable[[#This Row],[LC Book Price]] * 1.5,"")</f>
        <v/>
      </c>
      <c r="DY175" s="265" t="str">
        <f>IF(SnapshotTable[[#This Row],[LC Premium]]&gt;0, SnapshotTable[[#This Row],[LC Next Target]] * SnapshotTable[[#This Row],[LC Qty]] * 100,"")</f>
        <v/>
      </c>
      <c r="DZ175" s="265" t="str">
        <f>IF(ISNUMBER(SnapshotTable[[#This Row],[LC Target Gross]]), SnapshotTable[[#This Row],[LC Target Gross]] - SnapshotTable[[#This Row],[LC Premium]], "")</f>
        <v/>
      </c>
      <c r="EA175" s="305" t="str">
        <f>IF(ISNUMBER(SnapshotTable[[#This Row],[LC Target Gain Loss]]), SnapshotTable[[#This Row],[LC Target Gain Loss]]/SnapshotTable[[#This Row],[LC Premium]], "")</f>
        <v/>
      </c>
      <c r="EB175" s="262"/>
      <c r="EC175" s="283" t="str">
        <f>IF(SnapshotTable[[#This Row],[LC Premium]]&gt;0, SnapshotTable[[#This Row],[LC Book Price]] * (1 - LC_StopLoss_Pct),"")</f>
        <v/>
      </c>
      <c r="ED175" s="284"/>
      <c r="EE175" s="283" t="str">
        <f>IF(ISNUMBER(SnapshotTable[[#This Row],[LC Contract Value]]),IF(ISNUMBER(SnapshotTable[[#This Row],[LC Stop Loss Override]]), SnapshotTable[[#This Row],[LC Stop Loss Override]],SnapshotTable[[#This Row],[LC Stop Loss Calc Target]]),"")</f>
        <v/>
      </c>
      <c r="EF175" s="31" t="str">
        <f>IF(ISNUMBER(SnapshotTable[[#This Row],[LC Stop  To Use]]), (SnapshotTable[[#This Row],[LC Stop  To Use]] * SnapshotTable[[#This Row],[LC Qty]] * 100),"")</f>
        <v/>
      </c>
      <c r="EG175" s="9" t="str">
        <f>IF(ISNUMBER(SnapshotTable[[#This Row],[LC Total Value]]),SnapshotTable[[#This Row],[LC Stop Loss Amount]] - SnapshotTable[[#This Row],[LC Premium]],"")</f>
        <v/>
      </c>
      <c r="EH175" s="9">
        <f>IF(ISNUMBER(SnapshotTable[[#This Row],[LC Premium]]), SnapshotTable[[#This Row],[LC Qty]] * 100 * SnapshotTable[[#This Row],[LC Strike Price]], "")</f>
        <v>0</v>
      </c>
      <c r="EI175" s="240" t="str">
        <f>IF(AND(ISNUMBER(SnapshotTable[[#This Row],[LC Total Value]]),SnapshotTable[[#This Row],[LC Total Value]]&gt;0),SnapshotTable[[#This Row],[LC Stop Gain Loss]]  / SnapshotTable[[#This Row],[LC Premium]],"")</f>
        <v/>
      </c>
      <c r="EJ175" s="35">
        <f>IF(ISNUMBER(SnapshotTable[[#This Row],[Equity Shares]]),TRUNC(SnapshotTable[[#This Row],[Equity Shares]] / 100),0) + SnapshotTable[[#This Row],[LC Qty]]</f>
        <v>10</v>
      </c>
      <c r="EK175" s="147">
        <f ca="1">NextFridayOpex</f>
        <v>46241</v>
      </c>
      <c r="EL175" s="138">
        <f ca="1">IF(SnapshotTable[[#This Row],[SC Exp Date]]&lt;&gt;"",TRUNC(SnapshotTable[[#This Row],[Last Price]]),"")</f>
        <v>51</v>
      </c>
      <c r="EM175" s="148">
        <v>10</v>
      </c>
      <c r="EN175" s="147">
        <f ca="1">WORKDAY(MockToday, 0)</f>
        <v>46235</v>
      </c>
      <c r="EO175" s="147">
        <f ca="1">SnapshotTable[[#This Row],[SC Book Date]]</f>
        <v>46235</v>
      </c>
      <c r="EP175" s="138">
        <v>1.4</v>
      </c>
      <c r="EQ175" s="419" t="b">
        <f ca="1">AND(ISNUMBER(SnapshotTable[[#This Row],[SC Exp Date]]), ISNUMBER(SnapshotTable[[#This Row],[SC Strike Price]]), ISNUMBER(SnapshotTable[[#This Row],[SC Qty]]), ISNUMBER(SnapshotTable[[#This Row],[SC Book Date]]), ISNUMBER(SnapshotTable[[#This Row],[SC Book Price]]))</f>
        <v>1</v>
      </c>
      <c r="ER175" s="419" t="b">
        <f ca="1">AND(SnapshotTable[[#This Row],[SC Is Booked]], NOT(ISBLANK(SnapshotTable[[#This Row],[SC Fill Date]])))</f>
        <v>1</v>
      </c>
      <c r="ES175" s="370">
        <v>0.3</v>
      </c>
      <c r="ET175" s="34">
        <f ca="1">IF(AND(ISNUMBER(SnapshotTable[[#This Row],[SC Exp Date]]), ISNUMBER(SnapshotTable[[#This Row],[SC Book Date]])), SnapshotTable[[#This Row],[SC Exp Date]] - MAX(SnapshotTable[[#This Row],[SC Book Date]], SnapshotTable[[#This Row],[SC Fill Date]]) + 1, "")</f>
        <v>7</v>
      </c>
      <c r="EU175" s="34">
        <f ca="1">IF(ISNUMBER(SnapshotTable[[#This Row],[SC Term]]), SnapshotTable[[#This Row],[SC Exp Date]]- MockToday, "")</f>
        <v>6</v>
      </c>
      <c r="EV175" s="31">
        <f ca="1">IF(SnapshotTable[[#This Row],[SC Is Booked]], SnapshotTable[[#This Row],[SC Qty]] * SnapshotTable[[#This Row],[SC Book Price]] * 100, 0)</f>
        <v>1400</v>
      </c>
      <c r="EW175" s="4">
        <f>IF(AND(ISNUMBER(SnapshotTable[[#This Row],[Last Price]]), ISNUMBER( SnapshotTable[[#This Row],[SC Book Price]])), SnapshotTable[[#This Row],[Last Price]] - SnapshotTable[[#This Row],[SC Book Price]],"")</f>
        <v>50.1</v>
      </c>
      <c r="EX175" s="234">
        <f ca="1">IF(SnapshotTable[[#This Row],[SC Is Booked]],IF(SnapshotTable[[#This Row],[SC Intrinsic Value]] &gt; 0, SnapshotTable[[#This Row],[SC Strike Price]], SnapshotTable[[#This Row],[Last Price]]), "")</f>
        <v>51</v>
      </c>
      <c r="EY175" s="4">
        <f ca="1">IF(SnapshotTable[[#This Row],[SC Is Booked]], (MinimumPremiumRequired * SnapshotTable[[#This Row],[SC Basis]] * SnapshotTable[[#This Row],[SC Term]]), 0)</f>
        <v>0.35700000000000004</v>
      </c>
      <c r="EZ175" s="283"/>
      <c r="FA175" s="218">
        <v>0.95</v>
      </c>
      <c r="FB175" s="370">
        <v>6.6000000000000003E-2</v>
      </c>
      <c r="FC175" s="4" t="e">
        <f ca="1">IF(SnapshotTable[[#This Row],[SC Is Filled]], btc_max_buyback_amount(SnapshotTable[[#This Row],[SC Fill Date]],SnapshotTable[[#This Row],[SC Exp Date]], SnapshotTable[[#This Row],[SC Book Price]]),0)</f>
        <v>#NAME?</v>
      </c>
      <c r="FD175" s="5"/>
      <c r="FE175" s="144" t="e">
        <f ca="1">IF(SnapshotTable[[#This Row],[SC Is Filled]], btc_next_cutoff_date(SnapshotTable[[#This Row],[SC Fill Date]],SnapshotTable[[#This Row],[SC Exp Date]]),"")</f>
        <v>#NAME?</v>
      </c>
      <c r="FF175" s="4" t="e" cm="1">
        <f t="array" aca="1" ref="FF175" ca="1">IF(SnapshotTable[[#This Row],[SC Is Filled]], btc_should_buy_back(SnapshotTable[[#This Row],[SC Fill Date]], SnapshotTable[[#This Row],[SC Exp Date]], SnapshotTable[[#This Row],[SC Book Price]], SnapshotTable[[#This Row],[SC Current Ask]], MockToday, SnapshotTable[[#This Row],[SC Buyback Override]]),"")</f>
        <v>#NAME?</v>
      </c>
      <c r="FG175" s="4">
        <f ca="1">IF(SnapshotTable[[#This Row],[SC Is Filled]], MAX(0,SnapshotTable[[#This Row],[Last Price]]  - SnapshotTable[[#This Row],[SC Strike Price]]), 0)</f>
        <v>0.5</v>
      </c>
      <c r="FH175" s="382">
        <f ca="1">IF(SnapshotTable[[#This Row],[SC Is Filled]], IF(ISNUMBER(SnapshotTable[[#This Row],[SC Current Ask]]), SnapshotTable[[#This Row],[SC Current Ask]], SnapshotTable[[#This Row],[SC Book Price]]) - SnapshotTable[[#This Row],[SC Intrinsic Value]], 0)</f>
        <v>0.44999999999999996</v>
      </c>
      <c r="FI175" s="143">
        <v>46211</v>
      </c>
      <c r="FJ175" s="32">
        <f ca="1">IF(SnapshotTable[[#This Row],[SC Is Filled]],100 * SnapshotTable[[#This Row],[SC Qty]] * IF(ISNUMBER(SnapshotTable[[#This Row],[SC Buyback Override]]), SnapshotTable[[#This Row],[SC Buyback Override]], SnapshotTable[[#This Row],[SC Current Ask]]), "")</f>
        <v>950</v>
      </c>
      <c r="FK175" s="250">
        <f ca="1">IF(SnapshotTable[[#This Row],[SC Time Val]]&gt;0, SnapshotTable[[#This Row],[SC Time Val]] / SnapshotTable[[#This Row],[Last Price]],"")</f>
        <v>8.7378640776699015E-3</v>
      </c>
      <c r="FL175" s="302">
        <f ca="1">IF(SnapshotTable[[#This Row],[SC Is Booked]], ((SnapshotTable[[#This Row],[Last Price]] -SnapshotTable[[#This Row],[SC Strike Price]]) / SnapshotTable[[#This Row],[Last Price]]) * -1, "")</f>
        <v>-9.7087378640776691E-3</v>
      </c>
      <c r="FM175" s="157">
        <f ca="1">IF(SnapshotTable[[#This Row],[SC Is Booked]],  (SnapshotTable[[#This Row],[SC Qty]] * 100 * SnapshotTable[[#This Row],[SC Strike Price]]) - SnapshotTable[[#This Row],[SC Current Ask]], "")</f>
        <v>50999.05</v>
      </c>
      <c r="FN175" s="31">
        <f ca="1">IF(AND(ISNUMBER(SnapshotTable[[#This Row],[SC Exercise Gross]]), SnapshotTable[[#This Row],[SC Exercise Gross]] &lt; (SnapshotTable[[#This Row],[SC Qty]] * 100 * SnapshotTable[[#This Row],[Last Price]])),  (SnapshotTable[[#This Row],[SC Qty]] * 100 * SnapshotTable[[#This Row],[Last Price]]) - SnapshotTable[[#This Row],[SC Exercise Gross]], "")</f>
        <v>500.94999999999709</v>
      </c>
      <c r="FO175" s="31">
        <f ca="1">IF(AND(ISNUMBER(SnapshotTable[[#This Row],[SC Exercise Gross]]), ISNUMBER(SnapshotTable[[#This Row],[Equity Basis Per Share]] )), SnapshotTable[[#This Row],[SC Exercise Gross]] - SnapshotTable[[#This Row],[Equity Basis Total]] +  SnapshotTable[[#This Row],[SC Premium]], "")</f>
        <v>-18301.949999999997</v>
      </c>
      <c r="FP175" s="5">
        <f ca="1">IF(ISNUMBER(SnapshotTable[[#This Row],[SC Exercise Gross]]), (SnapshotTable[[#This Row],[SC Exercise Gross]]) / (SnapshotTable[[#This Row],[SC Qty]] * 100), "")</f>
        <v>50.999050000000004</v>
      </c>
      <c r="FQ175" s="27">
        <f ca="1">IF(SnapshotTable[[#This Row],[SC Is Booked]],SnapshotTable[[#This Row],[SC Time Val]] /SnapshotTable[[#This Row],[SC Basis]], "")</f>
        <v>8.8235294117647058E-3</v>
      </c>
      <c r="FR175" s="27" t="e" cm="1">
        <f t="array" aca="1" ref="FR175" ca="1">IF(AND(ISNUMBER(SnapshotTable[[#This Row],[SC Term]]),ISNUMBER(SnapshotTable[[#This Row],[SC Simple ROO]])), EllmanAnnualize(SnapshotTable[[#This Row],[SC DTE]], SnapshotTable[[#This Row],[SC Simple ROO]] ),"")</f>
        <v>#NAME?</v>
      </c>
      <c r="FS175" s="4">
        <f ca="1">IF(SnapshotTable[[#This Row],[SC Strike Price]] &gt; SnapshotTable[[#This Row],[Last Price]], SnapshotTable[[#This Row],[SC Strike Price]] - SnapshotTable[[#This Row],[Last Price]],0)</f>
        <v>0</v>
      </c>
      <c r="FT175" s="27" t="str">
        <f ca="1">IF(AND(ISNUMBER(SnapshotTable[[#This Row],[SC Upside Potential]]), SnapshotTable[[#This Row],[SC Upside Potential]] &gt; 0),(SnapshotTable[[#This Row],[SC Upside Potential]]/ SnapshotTable[[#This Row],[ACB]]),"")</f>
        <v/>
      </c>
      <c r="FU175" s="333">
        <f ca="1">IF(SnapshotTable[[#This Row],[SC Intrinsic Value]] &gt; 0,SnapshotTable[[#This Row],[SC Intrinsic Value]],"")</f>
        <v>0.5</v>
      </c>
      <c r="FV175" s="27">
        <f ca="1">IF(AND( ISNUMBER( SnapshotTable[[#This Row],[ACB]]),ISNUMBER(SnapshotTable[[#This Row],[SC Downside Protect]])),SnapshotTable[[#This Row],[SC Downside Protect]] / SnapshotTable[[#This Row],[ACB]],"")</f>
        <v>7.4482347683598989E-3</v>
      </c>
      <c r="FW175" s="236">
        <f ca="1">IF(AND(ISNUMBER(SnapshotTable[[#This Row],[SC Simple ROO]]),SnapshotTable[[#This Row],[SC Simple ROO]] &gt; 0), SnapshotTable[[#This Row],[SC Premium]] + (SnapshotTable[[#This Row],[SC Qty]] * SnapshotTable[[#This Row],[SC Upside Potential]]), "")</f>
        <v>1400</v>
      </c>
      <c r="FX175" s="302" t="e" cm="1">
        <f t="array" aca="1" ref="FX175" ca="1">IF(ISNUMBER(SnapshotTable[[#This Row],[SC Max Dollars]]), annualize(SnapshotTable[[#This Row],[SC Term]],(SnapshotTable[[#This Row],[SC Max Dollars]]/SnapshotTable[[#This Row],[SC Basis]])),"")</f>
        <v>#NAME?</v>
      </c>
      <c r="FY175" s="236">
        <f>IF(AND(SnapshotTable[[#This Row],[SC Qty]]&gt;0,SnapshotTable[[#This Row],[SC Current Ask]]&gt;0), SnapshotTable[[#This Row],[SC Qty]] * SnapshotTable[[#This Row],[SC Current Ask]] * -100, "")</f>
        <v>-950</v>
      </c>
      <c r="FZ175" s="31">
        <f ca="1">IF(ISNUMBER((SnapshotTable[[#This Row],[SC Current Value]])), SnapshotTable[[#This Row],[SC Premium]] + SnapshotTable[[#This Row],[SC Current Value]], "")</f>
        <v>450</v>
      </c>
      <c r="GA175" s="294">
        <f ca="1">IFERROR( IF(ISNUMBER((SnapshotTable[[#This Row],[SC Current Value]])), SnapshotTable[[#This Row],[SC Gain Loss]] / SnapshotTable[[#This Row],[SC Premium]], ""), "")</f>
        <v>0.32142857142857145</v>
      </c>
      <c r="GB175" s="42">
        <f>SnapshotTable[[#This Row],[Equity Shares]] * SaleSharesToConsiderPercentage</f>
        <v>200</v>
      </c>
      <c r="GC175" s="40">
        <f>SnapshotTable[[#This Row],[Long Term Target]] * SellingPriceToConsiderBasedOnTargetPercentage</f>
        <v>0</v>
      </c>
      <c r="GD175" s="40">
        <f>SnapshotTable[[#This Row],[Last Price]] * (1+ SellingPriceToConsiderBasedOnTargetPercentage)</f>
        <v>100.425</v>
      </c>
      <c r="GE175" s="41"/>
      <c r="GF175" s="40"/>
      <c r="GG175" s="31">
        <f>SnapshotTable[[#This Row],[Booked Sale Shares]] * SnapshotTable[[#This Row],[Booked Sale Price]]</f>
        <v>0</v>
      </c>
      <c r="GH175" s="31">
        <f>IF(SnapshotTable[[#This Row],[Equity Basis Total]] &gt; 0, SnapshotTable[[#This Row],[Equity Basis Per Share]] * SnapshotTable[[#This Row],[Booked Sale Shares]], "")</f>
        <v>0</v>
      </c>
      <c r="GI175" s="31">
        <f>IF(SnapshotTable[[#This Row],[Sale Proceeds]]&gt;0, SnapshotTable[[#This Row],[Sale Proceeds]] - SnapshotTable[[#This Row],[Sale Basis]], 0)</f>
        <v>0</v>
      </c>
      <c r="GJ175" s="27">
        <f ca="1">IF(SnapshotTable[[#This Row],[Sale G/L]]&gt;0, SnapshotTable[[#This Row],[Sale G/L]] / SnapshotTable[[#This Row],[Sale Basis]], IF(ISNUMBER(SnapshotTable[[#This Row],[SC Exercise P&amp;L (TAX)]]), SnapshotTable[[#This Row],[SC Exercise P&amp;L (TAX)]] / SnapshotTable[[#This Row],[SC Basis]], ""))</f>
        <v>-358.86176470588231</v>
      </c>
      <c r="GK175" s="27"/>
      <c r="GL175" s="43" t="str">
        <f>IF(AND(SnapshotTable[[#This Row],[LP Exp Date]]&gt;0,SnapshotTable[[#This Row],[LP Strike Price]]&gt;0), [1]!ToOptionSymbol(SnapshotTable[[#This Row],[Symbol]], SnapshotTable[[#This Row],[LP Strike Price]],SnapshotTable[[#This Row],[LP Exp Date]],1), "")</f>
        <v/>
      </c>
      <c r="GM175" s="30" t="str">
        <f>IF(LEN(SnapshotTable[[#This Row],[LP Symbol]])&gt;0, 1, "")</f>
        <v/>
      </c>
      <c r="GN175" s="43" t="str">
        <f ca="1">IF(AND(SnapshotTable[[#This Row],[SP Exp Date]]&gt;0,SnapshotTable[[#This Row],[SP Strike Price]]&gt;0), [1]!ToOptionSymbol(SnapshotTable[[#This Row],[Symbol]], SnapshotTable[[#This Row],[SP Strike Price]],SnapshotTable[[#This Row],[SP Exp Date]],1), "")</f>
        <v>DRAM260807P00051000</v>
      </c>
      <c r="GO175" s="30">
        <f ca="1">IF(LEN(SnapshotTable[[#This Row],[SP Symbol]])&gt;0, 1, "")</f>
        <v>1</v>
      </c>
      <c r="GP175" s="43" t="str">
        <f>IF(AND(SnapshotTable[[#This Row],[LC Exp Date]]&gt;0,SnapshotTable[[#This Row],[LC Strike Price]]&gt;0), [1]!ToOptionSymbol(SnapshotTable[[#This Row],[Symbol]], SnapshotTable[[#This Row],[LC Strike Price]],SnapshotTable[[#This Row],[LC Exp Date]],0), "")</f>
        <v/>
      </c>
      <c r="GQ175" s="30" t="str">
        <f>IF(LEN(SnapshotTable[[#This Row],[LC Symbol]])&gt;0, 1, "")</f>
        <v/>
      </c>
      <c r="GR175" s="43" t="str">
        <f ca="1">IF(AND(SnapshotTable[[#This Row],[SC Exp Date]]&gt;0,SnapshotTable[[#This Row],[SC Strike Price]]&gt;0), [1]!ToOptionSymbol(SnapshotTable[[#This Row],[Symbol]], SnapshotTable[[#This Row],[SC Strike Price]],SnapshotTable[[#This Row],[SC Exp Date]],0), "")</f>
        <v>DRAM260807C00051000</v>
      </c>
      <c r="GS175" s="30">
        <f ca="1">IF(LEN(SnapshotTable[[#This Row],[SC Symbol]])&gt;0, 1, "")</f>
        <v>1</v>
      </c>
      <c r="GT175" s="29" t="str">
        <f ca="1">IF(COUNT(SnapshotTable[[#This Row],[LP Symbol Count]],SnapshotTable[[#This Row],[SP Symbol Count]],SnapshotTable[[#This Row],[LC Symbol Count]],SnapshotTable[[#This Row],[SC Symbol Count]])&gt;0, "Y", "")</f>
        <v>Y</v>
      </c>
      <c r="GU175"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SC </v>
      </c>
      <c r="GV175" s="231">
        <f ca="1">MAX(SnapshotTable[[#This Row],[Equity Basis Total]],SnapshotTable[[#This Row],[Equity Value]]) + (SnapshotTable[[#This Row],[SP Potential Spend]]- SnapshotTable[[#This Row],[SP Premium]] + SnapshotTable[[#This Row],[LP Premium]])+ (SnapshotTable[[#This Row],[LC Premium]] - SnapshotTable[[#This Row],[SC Premium]])</f>
        <v>119201</v>
      </c>
      <c r="GW175" s="139" t="e">
        <f ca="1">IF(AND(SnapshotTable[[#This Row],[Exposure]] &lt;&gt; 0),SnapshotTable[[#This Row],[Exposure]] / SnapshotTable[[#Totals],[Exposure]], "")</f>
        <v>#VALUE!</v>
      </c>
      <c r="HE175" s="268"/>
      <c r="HF175" s="268"/>
      <c r="HK175" s="1"/>
      <c r="HL175" s="1"/>
      <c r="HM175" s="1"/>
      <c r="HN175" s="1"/>
      <c r="HO175" s="1"/>
      <c r="HP175" s="1"/>
    </row>
    <row r="176" spans="2:224" ht="12.75" hidden="1" customHeight="1" x14ac:dyDescent="0.25">
      <c r="B176" s="12" t="s">
        <v>936</v>
      </c>
      <c r="C176" s="422">
        <v>46.17</v>
      </c>
      <c r="D176" s="208"/>
      <c r="E176" s="39">
        <f>SnapshotTable[[#This Row],[Last Price]]*(1 -CrashDiscount)</f>
        <v>39.244500000000002</v>
      </c>
      <c r="F176" s="26" t="s">
        <v>937</v>
      </c>
      <c r="G176" s="26" t="s">
        <v>4</v>
      </c>
      <c r="H176" s="149"/>
      <c r="I176" s="194">
        <v>44777.329861111109</v>
      </c>
      <c r="J176" s="195">
        <v>44777.329861111109</v>
      </c>
      <c r="K176" s="196"/>
      <c r="L176" s="326"/>
      <c r="M176" s="140"/>
      <c r="N176" s="140"/>
      <c r="O176" s="140"/>
      <c r="P176" s="22"/>
      <c r="Q176" s="25"/>
      <c r="R176" s="4" t="str">
        <f>IF(SnapshotTable[[#This Row],[Equity Basis Total]] &gt; 0, SnapshotTable[[#This Row],[Equity Basis Total]] / SnapshotTable[[#This Row],[Equity Shares]], "")</f>
        <v/>
      </c>
      <c r="S176" s="269">
        <f>SnapshotTable[[#This Row],[Last Price]] * SnapshotTable[[#This Row],[Equity Shares]]</f>
        <v>0</v>
      </c>
      <c r="T176" s="269">
        <f>SnapshotTable[[#This Row],[Equity Value]] - SnapshotTable[[#This Row],[Equity Basis Total]]</f>
        <v>0</v>
      </c>
      <c r="U176" s="270" t="str">
        <f>IF(SnapshotTable[[#This Row],[Equity Basis Total]] &gt; 0, SnapshotTable[[#This Row],[Equity G/L]] / SnapshotTable[[#This Row],[Equity Basis Total]], "")</f>
        <v/>
      </c>
      <c r="V176" s="268"/>
      <c r="W176" s="268"/>
      <c r="X176" s="4" t="str">
        <f>IF(AND(ISNUMBER(SnapshotTable[[#This Row],[Equity Basis Per Share]]),ISNUMBER(SnapshotTable[[#This Row],[Equity Target]])),SnapshotTable[[#This Row],[Equity Target]]-SnapshotTable[[#This Row],[Equity Basis Per Share]],"")</f>
        <v/>
      </c>
      <c r="Y176" s="4" t="str">
        <f>IF(AND(ISNUMBER(SnapshotTable[[#This Row],[Equity Basis Per Share]]),ISNUMBER(SnapshotTable[[#This Row],[Equity Stop Loss]])),SnapshotTable[[#This Row],[Equity Stop Loss]]-SnapshotTable[[#This Row],[Equity Basis Per Share]],"")</f>
        <v/>
      </c>
      <c r="Z176" s="275" t="str">
        <f>IFERROR( TEXT(SnapshotTable[[#This Row],[Equity Max Gain Per Share]] /ABS( SnapshotTable[[#This Row],[Equity Max Loss Per Share]]),"0.0 " ) &amp; " : 1", "")</f>
        <v/>
      </c>
      <c r="AA176" s="31" t="str">
        <f>IF(ISNUMBER(SnapshotTable[[#This Row],[Equity Max Gain Per Share]]),SnapshotTable[[#This Row],[Equity Max Gain Per Share]] * SnapshotTable[[#This Row],[Equity Shares]],"")</f>
        <v/>
      </c>
      <c r="AB176" s="31" t="str">
        <f>IF(ISNUMBER(SnapshotTable[[#This Row],[Equity Max Loss Per Share]]),SnapshotTable[[#This Row],[Equity Max Loss Per Share]] * SnapshotTable[[#This Row],[Equity Shares]],"")</f>
        <v/>
      </c>
      <c r="AC176" s="150"/>
      <c r="AD176" s="151"/>
      <c r="AE176" s="31">
        <f>(SnapshotTable[[#This Row],[Annual Dividend Per Share]] / 4) * SnapshotTable[[#This Row],[Equity Shares]]</f>
        <v>0</v>
      </c>
      <c r="AF176" s="31">
        <f>SnapshotTable[[#This Row],[Quarterly Div $]] * 4</f>
        <v>0</v>
      </c>
      <c r="AG176" s="7">
        <f>IF(SnapshotTable[[#This Row],[Annual Dividend Per Share]]&gt;0, SnapshotTable[[#This Row],[Annual Dividend Per Share]]  / SnapshotTable[[#This Row],[Last Price]], 0)</f>
        <v>0</v>
      </c>
      <c r="AH176" s="151"/>
      <c r="AI176" s="5"/>
      <c r="AJ176" s="138">
        <v>46.55</v>
      </c>
      <c r="AK176" s="152" t="str">
        <f>IF(ISNUMBER( SnapshotTable[[#This Row],[EBF Target]]),(SnapshotTable[[#This Row],[EBF Target]] - SnapshotTable[[#This Row],[Last Price]]) / SnapshotTable[[#This Row],[Last Price]], "")</f>
        <v/>
      </c>
      <c r="AL176" s="152" t="str">
        <f>IF(AND(SnapshotTable[[#This Row],[Equity Basis Total]] &gt; 0,ISNUMBER( SnapshotTable[[#This Row],[Long Term Target]])), SnapshotTable[[#This Row],[From Basis $]] / SnapshotTable[[#This Row],[Equity Basis Total]], "")</f>
        <v/>
      </c>
      <c r="AM176" s="9">
        <f>IF( AND(SnapshotTable[[#This Row],[Equity Shares]] &gt;0,ISNUMBER( SnapshotTable[[#This Row],[Long Term Target]])),(SnapshotTable[[#This Row],[Equity Shares]] * SnapshotTable[[#This Row],[Long Term Target]]) - SnapshotTable[[#This Row],[Equity Basis Total]],0)</f>
        <v>0</v>
      </c>
      <c r="AN176" s="9">
        <f>IF( AND(SnapshotTable[[#This Row],[Equity Shares]] &gt;0,ISNUMBER( SnapshotTable[[#This Row],[Long Term Target]])),(SnapshotTable[[#This Row],[Equity Shares]]*SnapshotTable[[#This Row],[Long Term Target]]) - SnapshotTable[[#This Row],[Equity Value]],0)</f>
        <v>0</v>
      </c>
      <c r="AO176" s="152">
        <f>IF(AND(ISNUMBER( SnapshotTable[[#This Row],[Long Term Target]]), ISNUMBER(SnapshotTable[[#This Row],[Last Price]])),(SnapshotTable[[#This Row],[Long Term Target]] - SnapshotTable[[#This Row],[Last Price]]) / SnapshotTable[[#This Row],[Last Price]], "")</f>
        <v>8.2304526748970212E-3</v>
      </c>
      <c r="AP176" s="5"/>
      <c r="AQ176" s="38"/>
      <c r="AR176" s="5">
        <v>39.9</v>
      </c>
      <c r="AS176" s="38" t="s">
        <v>32</v>
      </c>
      <c r="AT176" s="146"/>
      <c r="AU176" s="187" t="str">
        <f>IF(OR(SnapshotTable[[#This Row],[LP No Fill]]="Y",SnapshotTable[[#This Row],[SP Is Filled]],SnapshotTable[[#This Row],[LC Not Filled]]="Y",SnapshotTable[[#This Row],[SC Is Filled]]),"Y","")</f>
        <v/>
      </c>
      <c r="AV176" s="219"/>
      <c r="AW176" s="225"/>
      <c r="AX176" s="220"/>
      <c r="AY176" s="219" t="str">
        <f>IF(SnapshotTable[[#This Row],[Implied Move]]&gt;0, SnapshotTable[[#This Row],[Last Price]]-SnapshotTable[[#This Row],[Implied Move]],"")</f>
        <v/>
      </c>
      <c r="AZ176" s="219" t="str">
        <f>IF(SnapshotTable[[#This Row],[Implied Move]]&gt;0, SnapshotTable[[#This Row],[Last Price]] + SnapshotTable[[#This Row],[Implied Move]],"")</f>
        <v/>
      </c>
      <c r="BA176" s="331"/>
      <c r="BB176" s="347"/>
      <c r="BC17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6" s="351"/>
      <c r="BE176" s="138"/>
      <c r="BF176" s="166"/>
      <c r="BG176" s="167"/>
      <c r="BH176" s="167"/>
      <c r="BI176" s="221"/>
      <c r="BJ176" s="153">
        <f>IF(SnapshotTable[[#This Row],[LP Qty]] &gt; 0, SnapshotTable[[#This Row],[LP Qty]] * SnapshotTable[[#This Row],[LP Book Price]] * 100,0)</f>
        <v>0</v>
      </c>
      <c r="BK176" s="136">
        <f>IF(SnapshotTable[[#This Row],[LP Premium]] &gt; 0, SnapshotTable[[#This Row],[LP Qty]] * SnapshotTable[[#This Row],[LP Strike Price]] * 100,0)</f>
        <v>0</v>
      </c>
      <c r="BL176" s="154"/>
      <c r="BM176" s="385" t="str">
        <f>IF(SnapshotTable[[#This Row],[LP Premium]] &gt; 0,SnapshotTable[[#This Row],[LP Exp Date]]-MAX(SnapshotTable[[#This Row],[LP Book Date]], SnapshotTable[[#This Row],[LP Fill Date]]),"")</f>
        <v/>
      </c>
      <c r="BN176" s="385" t="str">
        <f>IF(ISNUMBER( SnapshotTable[[#This Row],[LP Term]]), SnapshotTable[[#This Row],[LP Exp Date]] - MockToday,"")</f>
        <v/>
      </c>
      <c r="BO176" s="163" t="str">
        <f>IF(AND(SnapshotTable[[#This Row],[LP Exp Date]]&gt;0, SnapshotTable[[#This Row],[LP Strike Price]]&gt;0,SnapshotTable[[#This Row],[LP Qty]]&gt;0,SnapshotTable[[#This Row],[LP Book Date]]&gt;0,SnapshotTable[[#This Row],[LP Book Price]]&gt;0,SnapshotTable[[#This Row],[LP Fill Date]]=0),"Y","")</f>
        <v/>
      </c>
      <c r="BP176" s="31" t="str">
        <f>IF(AND(SnapshotTable[[#This Row],[LP No Fill]]&lt;&gt;"Y",SnapshotTable[[#This Row],[LP Contract Value]]&gt;0, SnapshotTable[[#This Row],[LP Qty]]&gt;0), SnapshotTable[[#This Row],[LP Contract Value]]*SnapshotTable[[#This Row],[LP Qty]]*100,"")</f>
        <v/>
      </c>
      <c r="BQ176" s="13"/>
      <c r="BR176" s="5" t="str">
        <f>IF(SnapshotTable[[#This Row],[SP Exp Date]]&lt;&gt;"",TRUNC(SnapshotTable[[#This Row],[Last Price]]),"")</f>
        <v/>
      </c>
      <c r="BS176" s="36"/>
      <c r="BT176" s="147"/>
      <c r="BU176" s="13"/>
      <c r="BV176" s="5"/>
      <c r="BW176" s="419" t="b">
        <f>AND(ISNUMBER(SnapshotTable[[#This Row],[SP Exp Date]]), ISNUMBER(SnapshotTable[[#This Row],[SP Strike Price]]), ISNUMBER(SnapshotTable[[#This Row],[SP Qty]]), ISNUMBER(SnapshotTable[[#This Row],[SP Book Date]]), ISNUMBER(SnapshotTable[[#This Row],[SP Book Price]]))</f>
        <v>0</v>
      </c>
      <c r="BX176" s="419" t="b">
        <f>AND(SnapshotTable[[#This Row],[SP Is Booked]], NOT(ISBLANK(SnapshotTable[[#This Row],[SP Fill Date]])))</f>
        <v>0</v>
      </c>
      <c r="BY176" s="33">
        <f>IF(SnapshotTable[[#This Row],[SP Is Booked]], SnapshotTable[[#This Row],[SP Qty]] * SnapshotTable[[#This Row],[SP Book Price]] * 100, 0)</f>
        <v>0</v>
      </c>
      <c r="BZ176" s="369"/>
      <c r="CA176" s="368">
        <f>SnapshotTable[[#This Row],[LP Qty]]</f>
        <v>0</v>
      </c>
      <c r="CB176" s="4" t="str">
        <f>IF(SnapshotTable[[#This Row],[SP Is Booked]], SnapshotTable[[#This Row],[SP Strike Price]] - SnapshotTable[[#This Row],[SP Book Price]], "")</f>
        <v/>
      </c>
      <c r="CC176" s="19" t="str">
        <f>IF(SnapshotTable[[#This Row],[SP Is Booked]],SnapshotTable[[#This Row],[SP Exp Date]]-MAX(SnapshotTable[[#This Row],[SP Book Date]], SnapshotTable[[#This Row],[SP Fill Date]]),"")</f>
        <v/>
      </c>
      <c r="CD176" s="7" t="str">
        <f>IF(SnapshotTable[[#This Row],[SP Is Booked]], SnapshotTable[[#This Row],[SP Book Price]]/SnapshotTable[[#This Row],[SP Strike Price]], "")</f>
        <v/>
      </c>
      <c r="CE176" s="7" t="str">
        <f>IF(ISNUMBER(SnapshotTable[[#This Row],[SP ROO Term]]),SnapshotTable[[#This Row],[SP ROO Term]]*(365/SnapshotTable[[#This Row],[SP Term]]),"")</f>
        <v/>
      </c>
      <c r="CF176" s="236">
        <f>SnapshotTable[[#This Row],[LP Strike Price]] * SnapshotTable[[#This Row],[LP Qty]] * 100</f>
        <v>0</v>
      </c>
      <c r="CG176" s="31" t="e">
        <f>IF(ISNUMBER(SnapshotTable[[#This Row],[SP Premium]]), (SnapshotTable[[#This Row],[SP Qty]] * SnapshotTable[[#This Row],[SP Strike Price]]* 100) - SnapshotTable[[#This Row],[LP Protection]], 0)</f>
        <v>#VALUE!</v>
      </c>
      <c r="CH176" s="7" t="str">
        <f>IF(ISNUMBER(SnapshotTable[[#This Row],[SP Break Even]]),-1 * (SnapshotTable[[#This Row],[SP Break Even]] - SnapshotTable[[#This Row],[Last Price]]) / SnapshotTable[[#This Row],[Last Price]], "")</f>
        <v/>
      </c>
      <c r="CI176" s="31">
        <f>IF(AND(ISNUMBER((SnapshotTable[[#This Row],[SP Potential Spend]])), SnapshotTable[[#This Row],[SP Strike Price]] &gt; SnapshotTable[[#This Row],[Last Price]], SnapshotTable[[#This Row],[SP Is Filled]]), SnapshotTable[[#This Row],[SP Potential Spend]] -  SnapshotTable[[#This Row],[LP Max Value]], 0)</f>
        <v>0</v>
      </c>
      <c r="CJ176" s="244"/>
      <c r="CK176" s="31" t="str">
        <f>IF(ISNUMBER(SnapshotTable[[#This Row],[SP Potential Spend]]),IF(ISNUMBER(SnapshotTable[[#This Row],[SP POW]]), SnapshotTable[[#This Row],[SP POW]] * SnapshotTable[[#This Row],[SP Potential Spend]], SnapshotTable[[#This Row],[SP Potential Spend]]), "")</f>
        <v/>
      </c>
      <c r="CL176" s="164" t="e">
        <f>IF(NOT(SnapshotTable[[#This Row],[SP Is Filled]]),(SnapshotTable[[#This Row],[SP Qty]] * SnapshotTable[[#This Row],[SP Strike Price]] * 100) - SnapshotTable[[#This Row],[LP Max Value]],"")</f>
        <v>#VALUE!</v>
      </c>
      <c r="CM176" s="31" t="str">
        <f>IF(SnapshotTable[[#This Row],[SP Actual Spend]]&lt;&gt;0, ((SnapshotTable[[#This Row],[SP Strike Price]]-SnapshotTable[[#This Row],[Last Price]]) *(SnapshotTable[[#This Row],[SP Qty]]*100) - SnapshotTable[[#This Row],[SP Premium]]) * - 1, "")</f>
        <v/>
      </c>
      <c r="CN176" s="154"/>
      <c r="CO176" s="369"/>
      <c r="CP176" s="320" t="str">
        <f>IF(SnapshotTable[[#This Row],[SP Is Filled]], btc_max_buyback_amount(SnapshotTable[[#This Row],[SP Fill Date]],SnapshotTable[[#This Row],[SP Exp Date]], SnapshotTable[[#This Row],[SP Book Price]]),"")</f>
        <v/>
      </c>
      <c r="CQ176" s="78"/>
      <c r="CR176" s="76"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6" s="155" t="str">
        <f>IF(SnapshotTable[[#This Row],[SP Is Filled]], btc_next_cutoff_date(SnapshotTable[[#This Row],[SP Fill Date]],SnapshotTable[[#This Row],[SP Exp Date]]),"")</f>
        <v/>
      </c>
      <c r="CT176" s="235" t="str" cm="1">
        <f t="array" ref="CT176">IF(SnapshotTable[[#This Row],[SP Is Filled]], btc_should_buy_back(SnapshotTable[[#This Row],[SP Fill Date]], SnapshotTable[[#This Row],[SP Exp Date]], SnapshotTable[[#This Row],[SP Book Price]], SnapshotTable[[#This Row],[SP Current Ask]], MockToday, SnapshotTable[[#This Row],[SP Buyback Override]]),"")</f>
        <v/>
      </c>
      <c r="CU176" s="156"/>
      <c r="CV176" s="235"/>
      <c r="CW176" s="378" t="str">
        <f>IF(ISNUMBER( SnapshotTable[[#This Row],[SP Term]]), SnapshotTable[[#This Row],[SP Exp Date]] - MockToday,"")</f>
        <v/>
      </c>
      <c r="CX176" s="31" t="str">
        <f>IF(SnapshotTable[[#This Row],[SP Is Filled]],SnapshotTable[[#This Row],[SP Buyback Price to Use]] * 100 * SnapshotTable[[#This Row],[SP Qty]], "")</f>
        <v/>
      </c>
      <c r="CY176" s="4" t="str">
        <f>IF(ISNUMBER(SnapshotTable[[#This Row],[SP Strike Price]]), SnapshotTable[[#This Row],[SP Strike Price]] * (1 - SP_MaxLoss_StrikePct), "")</f>
        <v/>
      </c>
      <c r="CZ176" s="31" t="str">
        <f>IF(ISNUMBER(SnapshotTable[[#This Row],[SP Strike  Stop Per Share]]),SnapshotTable[[#This Row],[SP Premium]] - ((SnapshotTable[[#This Row],[SP Strike Price]]-SnapshotTable[[#This Row],[SP Strike  Stop Per Share]]) *(SnapshotTable[[#This Row],[SP Qty]] * 100)),"")</f>
        <v/>
      </c>
      <c r="DA176" s="4" t="str">
        <f>IF(AND(ISNUMBER(SnapshotTable[[#This Row],[SP Premium]]),SnapshotTable[[#This Row],[SP Premium]]&gt;0), SnapshotTable[[#This Row],[SP Book Price]] * (1 + SP_MaxLoss_OptionPct), "")</f>
        <v/>
      </c>
      <c r="DB176" s="31" t="str">
        <f>IF(ISNUMBER(SnapshotTable[[#This Row],[SP Option  Stop Contract]]),(SnapshotTable[[#This Row],[SP Option  Stop Contract]] *(SnapshotTable[[#This Row],[SP Qty]] * 100) - SnapshotTable[[#This Row],[SP Premium]]),"")</f>
        <v/>
      </c>
      <c r="DC176" s="4"/>
      <c r="DD176" s="4"/>
      <c r="DE176" s="4" t="str">
        <f>IF(AND(SnapshotTable[[#This Row],[SP Qty]]&gt;0, SnapshotTable[[#This Row],[SP Stop To Use]]&gt;0),SnapshotTable[[#This Row],[SP Premium]] - ( SnapshotTable[[#This Row],[SP Qty]] * SnapshotTable[[#This Row],[SP Stop To Use]] * 100), "")</f>
        <v/>
      </c>
      <c r="DF176" s="31" t="str">
        <f>IF(AND(SnapshotTable[[#This Row],[SP Qty]]&gt;0,SnapshotTable[[#This Row],[SP Current Ask]]&gt;0), SnapshotTable[[#This Row],[SP Qty]] * SnapshotTable[[#This Row],[SP Current Ask]] * -100, "")</f>
        <v/>
      </c>
      <c r="DG176" s="31" t="str">
        <f>IF(ISNUMBER((SnapshotTable[[#This Row],[SP Total Value]])), SnapshotTable[[#This Row],[SP Premium]] + SnapshotTable[[#This Row],[SP Total Value]], "")</f>
        <v/>
      </c>
      <c r="DH176" s="294" t="str">
        <f>IF(ISNUMBER((SnapshotTable[[#This Row],[SP Total Value]])), SnapshotTable[[#This Row],[SP Gain Loss]] / SnapshotTable[[#This Row],[SP Premium]], "")</f>
        <v/>
      </c>
      <c r="DI176" s="406"/>
      <c r="DJ176" s="138"/>
      <c r="DK176" s="148"/>
      <c r="DL176" s="147"/>
      <c r="DM176" s="147"/>
      <c r="DO176" s="31">
        <f>IF(SnapshotTable[[#This Row],[LC Symbol Count]]=1, SnapshotTable[[#This Row],[LC Qty]] * SnapshotTable[[#This Row],[LC Book Price]] * 100, 0)</f>
        <v>0</v>
      </c>
      <c r="DP176" s="289" t="str">
        <f>IF(AND(SnapshotTable[[#This Row],[LC Exp Date]]&gt;0, SnapshotTable[[#This Row],[LC Strike Price]]&gt;0,SnapshotTable[[#This Row],[LC Qty]]&gt;0,SnapshotTable[[#This Row],[LC Book Date]]&gt;0,SnapshotTable[[#This Row],[LC Book Price]]&gt;0,SnapshotTable[[#This Row],[LC Fill Date]]=0),"Y","")</f>
        <v/>
      </c>
      <c r="DQ176" s="386" t="str">
        <f>IF(SnapshotTable[[#This Row],[LC Premium]] &gt; 0,SnapshotTable[[#This Row],[LC Exp Date]]-MAX(SnapshotTable[[#This Row],[LC Book Date]], SnapshotTable[[#This Row],[LC Fill Date]]),"")</f>
        <v/>
      </c>
      <c r="DR176" s="386" t="str">
        <f>IF(ISNUMBER(SnapshotTable[[#This Row],[LC Term]]), SnapshotTable[[#This Row],[LC Exp Date]] - MockToday, "")</f>
        <v/>
      </c>
      <c r="DS176" s="234" t="str">
        <f>IF(SnapshotTable[[#This Row],[LC Premium]]&gt;0,SnapshotTable[[#This Row],[LC Strike Price]] + SnapshotTable[[#This Row],[LC Book Price]],"")</f>
        <v/>
      </c>
      <c r="DU176" s="9" t="str">
        <f>IF(AND(SnapshotTable[[#This Row],[LC Symbol Count]]&gt;0, SnapshotTable[[#This Row],[LC Contract Value]]&gt;0), SnapshotTable[[#This Row],[LC Contract Value]] * SnapshotTable[[#This Row],[LC Qty]] * 100, "")</f>
        <v/>
      </c>
      <c r="DV176" s="9" t="str">
        <f>IF(AND(ISNUMBER(SnapshotTable[[#This Row],[LC Total Value]]), SnapshotTable[[#This Row],[LC Not Filled]]&lt;&gt;"Y"), SnapshotTable[[#This Row],[LC Total Value]]-SnapshotTable[[#This Row],[LC Premium]],"")</f>
        <v/>
      </c>
      <c r="DW176" s="240" t="str">
        <f>IF(ISNUMBER(SnapshotTable[[#This Row],[LC Actual Gain Loss]]), SnapshotTable[[#This Row],[LC Actual Gain Loss]] / SnapshotTable[[#This Row],[LC Premium]],"")</f>
        <v/>
      </c>
      <c r="DX176" s="284" t="str">
        <f>IF(ISNUMBER(SnapshotTable[[#This Row],[LC Book Price]]),SnapshotTable[[#This Row],[LC Book Price]] * 1.5,"")</f>
        <v/>
      </c>
      <c r="DY176" s="265" t="str">
        <f>IF(SnapshotTable[[#This Row],[LC Premium]]&gt;0, SnapshotTable[[#This Row],[LC Next Target]] * SnapshotTable[[#This Row],[LC Qty]] * 100,"")</f>
        <v/>
      </c>
      <c r="DZ176" s="265" t="str">
        <f>IF(ISNUMBER(SnapshotTable[[#This Row],[LC Target Gross]]), SnapshotTable[[#This Row],[LC Target Gross]] - SnapshotTable[[#This Row],[LC Premium]], "")</f>
        <v/>
      </c>
      <c r="EA176" s="305" t="str">
        <f>IF(ISNUMBER(SnapshotTable[[#This Row],[LC Target Gain Loss]]), SnapshotTable[[#This Row],[LC Target Gain Loss]]/SnapshotTable[[#This Row],[LC Premium]], "")</f>
        <v/>
      </c>
      <c r="EB176" s="262"/>
      <c r="EC176" s="290" t="str">
        <f>IF(SnapshotTable[[#This Row],[LC Premium]]&gt;0, SnapshotTable[[#This Row],[LC Book Price]] * (1 - LC_StopLoss_Pct),"")</f>
        <v/>
      </c>
      <c r="ED176" s="284"/>
      <c r="EE176" s="290" t="str">
        <f>IF(ISNUMBER(SnapshotTable[[#This Row],[LC Contract Value]]),IF(ISNUMBER(SnapshotTable[[#This Row],[LC Stop Loss Override]]), SnapshotTable[[#This Row],[LC Stop Loss Override]],SnapshotTable[[#This Row],[LC Stop Loss Calc Target]]),"")</f>
        <v/>
      </c>
      <c r="EF176" s="321" t="str">
        <f>IF(ISNUMBER(SnapshotTable[[#This Row],[LC Stop  To Use]]), (SnapshotTable[[#This Row],[LC Stop  To Use]] * SnapshotTable[[#This Row],[LC Qty]] * 100),"")</f>
        <v/>
      </c>
      <c r="EG176" s="9" t="str">
        <f>IF(ISNUMBER(SnapshotTable[[#This Row],[LC Total Value]]),SnapshotTable[[#This Row],[LC Stop Loss Amount]] - SnapshotTable[[#This Row],[LC Premium]],"")</f>
        <v/>
      </c>
      <c r="EH176" s="9">
        <f>IF(ISNUMBER(SnapshotTable[[#This Row],[LC Premium]]), SnapshotTable[[#This Row],[LC Qty]] * 100 * SnapshotTable[[#This Row],[LC Strike Price]], "")</f>
        <v>0</v>
      </c>
      <c r="EI176" s="240" t="str">
        <f>IF(AND(ISNUMBER(SnapshotTable[[#This Row],[LC Total Value]]),SnapshotTable[[#This Row],[LC Total Value]]&gt;0),SnapshotTable[[#This Row],[LC Stop Gain Loss]]  / SnapshotTable[[#This Row],[LC Premium]],"")</f>
        <v/>
      </c>
      <c r="EJ176" s="35">
        <f>IF(ISNUMBER(SnapshotTable[[#This Row],[Equity Shares]]),TRUNC(SnapshotTable[[#This Row],[Equity Shares]] / 100),0) + SnapshotTable[[#This Row],[LC Qty]]</f>
        <v>0</v>
      </c>
      <c r="EK176" s="147"/>
      <c r="EL176" s="138" t="str">
        <f>IF(SnapshotTable[[#This Row],[SC Exp Date]]&lt;&gt;"",TRUNC(SnapshotTable[[#This Row],[Last Price]]),"")</f>
        <v/>
      </c>
      <c r="EM176" s="148"/>
      <c r="EN176" s="147"/>
      <c r="EO176" s="147"/>
      <c r="EP176" s="138"/>
      <c r="EQ176" s="419" t="b">
        <f>AND(ISNUMBER(SnapshotTable[[#This Row],[SC Exp Date]]), ISNUMBER(SnapshotTable[[#This Row],[SC Strike Price]]), ISNUMBER(SnapshotTable[[#This Row],[SC Qty]]), ISNUMBER(SnapshotTable[[#This Row],[SC Book Date]]), ISNUMBER(SnapshotTable[[#This Row],[SC Book Price]]))</f>
        <v>0</v>
      </c>
      <c r="ER176" s="419" t="b">
        <f>AND(SnapshotTable[[#This Row],[SC Is Booked]], NOT(ISBLANK(SnapshotTable[[#This Row],[SC Fill Date]])))</f>
        <v>0</v>
      </c>
      <c r="ES176" s="370"/>
      <c r="ET176" s="34" t="str">
        <f>IF(AND(ISNUMBER(SnapshotTable[[#This Row],[SC Exp Date]]), ISNUMBER(SnapshotTable[[#This Row],[SC Book Date]])), SnapshotTable[[#This Row],[SC Exp Date]] - MAX(SnapshotTable[[#This Row],[SC Book Date]], SnapshotTable[[#This Row],[SC Fill Date]]) + 1, "")</f>
        <v/>
      </c>
      <c r="EU176" s="34" t="str">
        <f>IF(ISNUMBER(SnapshotTable[[#This Row],[SC Term]]), SnapshotTable[[#This Row],[SC Exp Date]]- MockToday, "")</f>
        <v/>
      </c>
      <c r="EV176" s="31">
        <f>IF(SnapshotTable[[#This Row],[SC Is Booked]], SnapshotTable[[#This Row],[SC Qty]] * SnapshotTable[[#This Row],[SC Book Price]] * 100, 0)</f>
        <v>0</v>
      </c>
      <c r="EW176" s="4" t="str">
        <f>IF(AND(ISNUMBER(SnapshotTable[[#This Row],[Last Price]]), ISNUMBER( SnapshotTable[[#This Row],[SC Book Price]])), SnapshotTable[[#This Row],[Last Price]] - SnapshotTable[[#This Row],[SC Book Price]],"")</f>
        <v/>
      </c>
      <c r="EX176" s="234" t="str">
        <f>IF(SnapshotTable[[#This Row],[SC Is Booked]],IF(SnapshotTable[[#This Row],[SC Intrinsic Value]] &gt; 0, SnapshotTable[[#This Row],[SC Strike Price]], SnapshotTable[[#This Row],[Last Price]]), "")</f>
        <v/>
      </c>
      <c r="EY176" s="4">
        <f>IF(SnapshotTable[[#This Row],[SC Is Booked]], (MinimumPremiumRequired * SnapshotTable[[#This Row],[SC Basis]] * SnapshotTable[[#This Row],[SC Term]]), 0)</f>
        <v>0</v>
      </c>
      <c r="EZ176" s="283"/>
      <c r="FA176" s="218"/>
      <c r="FB176" s="370"/>
      <c r="FC176" s="4">
        <f>IF(SnapshotTable[[#This Row],[SC Is Filled]], btc_max_buyback_amount(SnapshotTable[[#This Row],[SC Fill Date]],SnapshotTable[[#This Row],[SC Exp Date]], SnapshotTable[[#This Row],[SC Book Price]]),0)</f>
        <v>0</v>
      </c>
      <c r="FD176" s="5"/>
      <c r="FE176" s="144" t="str">
        <f>IF(SnapshotTable[[#This Row],[SC Is Filled]], btc_next_cutoff_date(SnapshotTable[[#This Row],[SC Fill Date]],SnapshotTable[[#This Row],[SC Exp Date]]),"")</f>
        <v/>
      </c>
      <c r="FF176" s="4" t="str" cm="1">
        <f t="array" ref="FF176">IF(SnapshotTable[[#This Row],[SC Is Filled]], btc_should_buy_back(SnapshotTable[[#This Row],[SC Fill Date]], SnapshotTable[[#This Row],[SC Exp Date]], SnapshotTable[[#This Row],[SC Book Price]], SnapshotTable[[#This Row],[SC Current Ask]], MockToday, SnapshotTable[[#This Row],[SC Buyback Override]]),"")</f>
        <v/>
      </c>
      <c r="FG176" s="4">
        <f>IF(SnapshotTable[[#This Row],[SC Is Filled]], MAX(0,SnapshotTable[[#This Row],[Last Price]]  - SnapshotTable[[#This Row],[SC Strike Price]]), 0)</f>
        <v>0</v>
      </c>
      <c r="FH176" s="382">
        <f>IF(SnapshotTable[[#This Row],[SC Is Filled]], IF(ISNUMBER(SnapshotTable[[#This Row],[SC Current Ask]]), SnapshotTable[[#This Row],[SC Current Ask]], SnapshotTable[[#This Row],[SC Book Price]]) - SnapshotTable[[#This Row],[SC Intrinsic Value]], 0)</f>
        <v>0</v>
      </c>
      <c r="FI176" s="143"/>
      <c r="FJ176" s="32" t="str">
        <f>IF(SnapshotTable[[#This Row],[SC Is Filled]],100 * SnapshotTable[[#This Row],[SC Qty]] * IF(ISNUMBER(SnapshotTable[[#This Row],[SC Buyback Override]]), SnapshotTable[[#This Row],[SC Buyback Override]], SnapshotTable[[#This Row],[SC Current Ask]]), "")</f>
        <v/>
      </c>
      <c r="FK176" s="250" t="str">
        <f>IF(SnapshotTable[[#This Row],[SC Time Val]]&gt;0, SnapshotTable[[#This Row],[SC Time Val]] / SnapshotTable[[#This Row],[Last Price]],"")</f>
        <v/>
      </c>
      <c r="FL176" s="302" t="str">
        <f>IF(SnapshotTable[[#This Row],[SC Is Booked]], ((SnapshotTable[[#This Row],[Last Price]] -SnapshotTable[[#This Row],[SC Strike Price]]) / SnapshotTable[[#This Row],[Last Price]]) * -1, "")</f>
        <v/>
      </c>
      <c r="FM176" s="157" t="str">
        <f>IF(SnapshotTable[[#This Row],[SC Is Booked]],  (SnapshotTable[[#This Row],[SC Qty]] * 100 * SnapshotTable[[#This Row],[SC Strike Price]]) - SnapshotTable[[#This Row],[SC Current Ask]], "")</f>
        <v/>
      </c>
      <c r="FN176"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6" s="157" t="str">
        <f>IF(AND(ISNUMBER(SnapshotTable[[#This Row],[SC Exercise Gross]]), ISNUMBER(SnapshotTable[[#This Row],[Equity Basis Per Share]] )), SnapshotTable[[#This Row],[SC Exercise Gross]] - SnapshotTable[[#This Row],[Equity Basis Total]] +  SnapshotTable[[#This Row],[SC Premium]], "")</f>
        <v/>
      </c>
      <c r="FP176" s="5" t="str">
        <f>IF(ISNUMBER(SnapshotTable[[#This Row],[SC Exercise Gross]]), (SnapshotTable[[#This Row],[SC Exercise Gross]]) / (SnapshotTable[[#This Row],[SC Qty]] * 100), "")</f>
        <v/>
      </c>
      <c r="FQ176" s="27" t="str">
        <f>IF(SnapshotTable[[#This Row],[SC Is Booked]],SnapshotTable[[#This Row],[SC Time Val]] /SnapshotTable[[#This Row],[SC Basis]], "")</f>
        <v/>
      </c>
      <c r="FR176" s="27" t="str" cm="1">
        <f t="array" ref="FR176">IF(AND(ISNUMBER(SnapshotTable[[#This Row],[SC Term]]),ISNUMBER(SnapshotTable[[#This Row],[SC Simple ROO]])), EllmanAnnualize(SnapshotTable[[#This Row],[SC DTE]], SnapshotTable[[#This Row],[SC Simple ROO]] ),"")</f>
        <v/>
      </c>
      <c r="FS176" s="4" t="e">
        <f>IF(SnapshotTable[[#This Row],[SC Strike Price]] &gt; SnapshotTable[[#This Row],[Last Price]], SnapshotTable[[#This Row],[SC Strike Price]] - SnapshotTable[[#This Row],[Last Price]],0)</f>
        <v>#VALUE!</v>
      </c>
      <c r="FT176" s="27" t="e">
        <f>IF(AND(ISNUMBER(SnapshotTable[[#This Row],[SC Upside Potential]]), SnapshotTable[[#This Row],[SC Upside Potential]] &gt; 0),(SnapshotTable[[#This Row],[SC Upside Potential]]/ SnapshotTable[[#This Row],[ACB]]),"")</f>
        <v>#VALUE!</v>
      </c>
      <c r="FU176" s="333" t="str">
        <f>IF(SnapshotTable[[#This Row],[SC Intrinsic Value]] &gt; 0,SnapshotTable[[#This Row],[SC Intrinsic Value]],"")</f>
        <v/>
      </c>
      <c r="FV176" s="27" t="str">
        <f>IF(AND( ISNUMBER( SnapshotTable[[#This Row],[ACB]]),ISNUMBER(SnapshotTable[[#This Row],[SC Downside Protect]])),SnapshotTable[[#This Row],[SC Downside Protect]] / SnapshotTable[[#This Row],[ACB]],"")</f>
        <v/>
      </c>
      <c r="FW176" s="236" t="str">
        <f>IF(AND(ISNUMBER(SnapshotTable[[#This Row],[SC Simple ROO]]),SnapshotTable[[#This Row],[SC Simple ROO]] &gt; 0), SnapshotTable[[#This Row],[SC Premium]] + (SnapshotTable[[#This Row],[SC Qty]] * SnapshotTable[[#This Row],[SC Upside Potential]]), "")</f>
        <v/>
      </c>
      <c r="FX176" s="302" t="str" cm="1">
        <f t="array" ref="FX176">IF(ISNUMBER(SnapshotTable[[#This Row],[SC Max Dollars]]), annualize(SnapshotTable[[#This Row],[SC Term]],(SnapshotTable[[#This Row],[SC Max Dollars]]/SnapshotTable[[#This Row],[SC Basis]])),"")</f>
        <v/>
      </c>
      <c r="FY176" s="236" t="str">
        <f>IF(AND(SnapshotTable[[#This Row],[SC Qty]]&gt;0,SnapshotTable[[#This Row],[SC Current Ask]]&gt;0), SnapshotTable[[#This Row],[SC Qty]] * SnapshotTable[[#This Row],[SC Current Ask]] * -100, "")</f>
        <v/>
      </c>
      <c r="FZ176" s="235" t="str">
        <f>IF(ISNUMBER((SnapshotTable[[#This Row],[SC Current Value]])), SnapshotTable[[#This Row],[SC Premium]] + SnapshotTable[[#This Row],[SC Current Value]], "")</f>
        <v/>
      </c>
      <c r="GA176" s="294" t="str">
        <f>IFERROR( IF(ISNUMBER((SnapshotTable[[#This Row],[SC Current Value]])), SnapshotTable[[#This Row],[SC Gain Loss]] / SnapshotTable[[#This Row],[SC Premium]], ""), "")</f>
        <v/>
      </c>
      <c r="GB176" s="42">
        <f>SnapshotTable[[#This Row],[Equity Shares]] * SaleSharesToConsiderPercentage</f>
        <v>0</v>
      </c>
      <c r="GC176" s="40">
        <f>SnapshotTable[[#This Row],[Long Term Target]] * SellingPriceToConsiderBasedOnTargetPercentage</f>
        <v>44.222499999999997</v>
      </c>
      <c r="GD176" s="40">
        <f>SnapshotTable[[#This Row],[Last Price]] * (1+ SellingPriceToConsiderBasedOnTargetPercentage)</f>
        <v>90.031500000000008</v>
      </c>
      <c r="GE176" s="41"/>
      <c r="GF176" s="40"/>
      <c r="GG176" s="31">
        <f>SnapshotTable[[#This Row],[Booked Sale Shares]] * SnapshotTable[[#This Row],[Booked Sale Price]]</f>
        <v>0</v>
      </c>
      <c r="GH176" s="31" t="str">
        <f>IF(SnapshotTable[[#This Row],[Equity Basis Total]] &gt; 0, SnapshotTable[[#This Row],[Equity Basis Per Share]] * SnapshotTable[[#This Row],[Booked Sale Shares]], "")</f>
        <v/>
      </c>
      <c r="GI176" s="31">
        <f>IF(SnapshotTable[[#This Row],[Sale Proceeds]]&gt;0, SnapshotTable[[#This Row],[Sale Proceeds]] - SnapshotTable[[#This Row],[Sale Basis]], 0)</f>
        <v>0</v>
      </c>
      <c r="GJ176" s="158" t="str">
        <f>IF(SnapshotTable[[#This Row],[Sale G/L]]&gt;0, SnapshotTable[[#This Row],[Sale G/L]] / SnapshotTable[[#This Row],[Sale Basis]], IF(ISNUMBER(SnapshotTable[[#This Row],[SC Exercise P&amp;L (TAX)]]), SnapshotTable[[#This Row],[SC Exercise P&amp;L (TAX)]] / SnapshotTable[[#This Row],[SC Basis]], ""))</f>
        <v/>
      </c>
      <c r="GK176" s="27"/>
      <c r="GL176" s="159" t="str">
        <f>IF(AND(SnapshotTable[[#This Row],[LP Exp Date]]&gt;0,SnapshotTable[[#This Row],[LP Strike Price]]&gt;0), [1]!ToOptionSymbol(SnapshotTable[[#This Row],[Symbol]], SnapshotTable[[#This Row],[LP Strike Price]],SnapshotTable[[#This Row],[LP Exp Date]],1), "")</f>
        <v/>
      </c>
      <c r="GM176" s="30" t="str">
        <f>IF(LEN(SnapshotTable[[#This Row],[LP Symbol]])&gt;0, 1, "")</f>
        <v/>
      </c>
      <c r="GN176" s="43" t="str">
        <f>IF(AND(SnapshotTable[[#This Row],[SP Exp Date]]&gt;0,SnapshotTable[[#This Row],[SP Strike Price]]&gt;0), [1]!ToOptionSymbol(SnapshotTable[[#This Row],[Symbol]], SnapshotTable[[#This Row],[SP Strike Price]],SnapshotTable[[#This Row],[SP Exp Date]],1), "")</f>
        <v/>
      </c>
      <c r="GO176" s="30" t="str">
        <f>IF(LEN(SnapshotTable[[#This Row],[SP Symbol]])&gt;0, 1, "")</f>
        <v/>
      </c>
      <c r="GP176" s="159" t="str">
        <f>IF(AND(SnapshotTable[[#This Row],[LC Exp Date]]&gt;0,SnapshotTable[[#This Row],[LC Strike Price]]&gt;0), [1]!ToOptionSymbol(SnapshotTable[[#This Row],[Symbol]], SnapshotTable[[#This Row],[LC Strike Price]],SnapshotTable[[#This Row],[LC Exp Date]],0), "")</f>
        <v/>
      </c>
      <c r="GQ176" s="160" t="str">
        <f>IF(LEN(SnapshotTable[[#This Row],[LC Symbol]])&gt;0, 1, "")</f>
        <v/>
      </c>
      <c r="GR176" s="159" t="str">
        <f>IF(AND(SnapshotTable[[#This Row],[SC Exp Date]]&gt;0,SnapshotTable[[#This Row],[SC Strike Price]]&gt;0), [1]!ToOptionSymbol(SnapshotTable[[#This Row],[Symbol]], SnapshotTable[[#This Row],[SC Strike Price]],SnapshotTable[[#This Row],[SC Exp Date]],0), "")</f>
        <v/>
      </c>
      <c r="GS176" s="160" t="str">
        <f>IF(LEN(SnapshotTable[[#This Row],[SC Symbol]])&gt;0, 1, "")</f>
        <v/>
      </c>
      <c r="GT176" s="161" t="str">
        <f>IF(COUNT(SnapshotTable[[#This Row],[LP Symbol Count]],SnapshotTable[[#This Row],[SP Symbol Count]],SnapshotTable[[#This Row],[LC Symbol Count]],SnapshotTable[[#This Row],[SC Symbol Count]])&gt;0, "Y", "")</f>
        <v/>
      </c>
      <c r="GU17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6" s="231" t="e">
        <f>MAX(SnapshotTable[[#This Row],[Equity Basis Total]],SnapshotTable[[#This Row],[Equity Value]]) + (SnapshotTable[[#This Row],[SP Potential Spend]]- SnapshotTable[[#This Row],[SP Premium]] + SnapshotTable[[#This Row],[LP Premium]])+ (SnapshotTable[[#This Row],[LC Premium]] - SnapshotTable[[#This Row],[SC Premium]])</f>
        <v>#VALUE!</v>
      </c>
      <c r="GW176" s="139" t="e">
        <f>IF(AND(SnapshotTable[[#This Row],[Exposure]] &lt;&gt; 0),SnapshotTable[[#This Row],[Exposure]] / SnapshotTable[[#Totals],[Exposure]], "")</f>
        <v>#VALUE!</v>
      </c>
      <c r="HE176" s="268"/>
      <c r="HF176" s="268"/>
      <c r="HK176" s="1"/>
      <c r="HL176" s="1"/>
      <c r="HM176" s="1"/>
      <c r="HN176" s="1"/>
      <c r="HO176" s="1"/>
      <c r="HP176" s="1"/>
    </row>
    <row r="177" spans="2:224" ht="12.75" hidden="1" customHeight="1" x14ac:dyDescent="0.25">
      <c r="B177" s="12" t="s">
        <v>171</v>
      </c>
      <c r="C177" s="422">
        <v>56.45</v>
      </c>
      <c r="D177" s="208"/>
      <c r="E177" s="39">
        <f>SnapshotTable[[#This Row],[Last Price]]*(1 -CrashDiscount)</f>
        <v>47.982500000000002</v>
      </c>
      <c r="F177" s="26" t="s">
        <v>105</v>
      </c>
      <c r="G177" s="26" t="s">
        <v>14</v>
      </c>
      <c r="H177" s="149"/>
      <c r="I177" s="194">
        <v>44782</v>
      </c>
      <c r="J177" s="195">
        <v>44782</v>
      </c>
      <c r="K177" s="196"/>
      <c r="L177" s="326"/>
      <c r="M177" s="140"/>
      <c r="N177" s="140"/>
      <c r="O177" s="140"/>
      <c r="P177" s="22"/>
      <c r="Q177" s="25"/>
      <c r="R177" s="4" t="str">
        <f>IF(SnapshotTable[[#This Row],[Equity Basis Total]] &gt; 0, SnapshotTable[[#This Row],[Equity Basis Total]] / SnapshotTable[[#This Row],[Equity Shares]], "")</f>
        <v/>
      </c>
      <c r="S177" s="269">
        <f>SnapshotTable[[#This Row],[Last Price]] * SnapshotTable[[#This Row],[Equity Shares]]</f>
        <v>0</v>
      </c>
      <c r="T177" s="269">
        <f>SnapshotTable[[#This Row],[Equity Value]] - SnapshotTable[[#This Row],[Equity Basis Total]]</f>
        <v>0</v>
      </c>
      <c r="U177" s="270" t="str">
        <f>IF(SnapshotTable[[#This Row],[Equity Basis Total]] &gt; 0, SnapshotTable[[#This Row],[Equity G/L]] / SnapshotTable[[#This Row],[Equity Basis Total]], "")</f>
        <v/>
      </c>
      <c r="V177" s="268"/>
      <c r="W177" s="268"/>
      <c r="X177" s="4" t="str">
        <f>IF(AND(ISNUMBER(SnapshotTable[[#This Row],[Equity Basis Per Share]]),ISNUMBER(SnapshotTable[[#This Row],[Equity Target]])),SnapshotTable[[#This Row],[Equity Target]]-SnapshotTable[[#This Row],[Equity Basis Per Share]],"")</f>
        <v/>
      </c>
      <c r="Y177" s="4" t="str">
        <f>IF(AND(ISNUMBER(SnapshotTable[[#This Row],[Equity Basis Per Share]]),ISNUMBER(SnapshotTable[[#This Row],[Equity Stop Loss]])),SnapshotTable[[#This Row],[Equity Stop Loss]]-SnapshotTable[[#This Row],[Equity Basis Per Share]],"")</f>
        <v/>
      </c>
      <c r="Z177" s="275" t="str">
        <f>IFERROR( TEXT(SnapshotTable[[#This Row],[Equity Max Gain Per Share]] /ABS( SnapshotTable[[#This Row],[Equity Max Loss Per Share]]),"0.0 " ) &amp; " : 1", "")</f>
        <v/>
      </c>
      <c r="AA177" s="31" t="str">
        <f>IF(ISNUMBER(SnapshotTable[[#This Row],[Equity Max Gain Per Share]]),SnapshotTable[[#This Row],[Equity Max Gain Per Share]] * SnapshotTable[[#This Row],[Equity Shares]],"")</f>
        <v/>
      </c>
      <c r="AB177" s="31" t="str">
        <f>IF(ISNUMBER(SnapshotTable[[#This Row],[Equity Max Loss Per Share]]),SnapshotTable[[#This Row],[Equity Max Loss Per Share]] * SnapshotTable[[#This Row],[Equity Shares]],"")</f>
        <v/>
      </c>
      <c r="AC177" s="150">
        <v>0.3</v>
      </c>
      <c r="AD177" s="151">
        <v>42291</v>
      </c>
      <c r="AE177" s="31">
        <f>(SnapshotTable[[#This Row],[Annual Dividend Per Share]] / 4) * SnapshotTable[[#This Row],[Equity Shares]]</f>
        <v>0</v>
      </c>
      <c r="AF177" s="31">
        <f>SnapshotTable[[#This Row],[Quarterly Div $]] * 4</f>
        <v>0</v>
      </c>
      <c r="AG177" s="7">
        <f>IF(SnapshotTable[[#This Row],[Annual Dividend Per Share]]&gt;0, SnapshotTable[[#This Row],[Annual Dividend Per Share]]  / SnapshotTable[[#This Row],[Last Price]], 0)</f>
        <v>5.3144375553587243E-3</v>
      </c>
      <c r="AH177" s="151">
        <v>42249</v>
      </c>
      <c r="AI177" s="5"/>
      <c r="AJ177" s="138">
        <v>34.270000000000003</v>
      </c>
      <c r="AK177" s="152" t="str">
        <f>IF(ISNUMBER( SnapshotTable[[#This Row],[EBF Target]]),(SnapshotTable[[#This Row],[EBF Target]] - SnapshotTable[[#This Row],[Last Price]]) / SnapshotTable[[#This Row],[Last Price]], "")</f>
        <v/>
      </c>
      <c r="AL177" s="152" t="str">
        <f>IF(AND(SnapshotTable[[#This Row],[Equity Basis Total]] &gt; 0,ISNUMBER( SnapshotTable[[#This Row],[Long Term Target]])), SnapshotTable[[#This Row],[From Basis $]] / SnapshotTable[[#This Row],[Equity Basis Total]], "")</f>
        <v/>
      </c>
      <c r="AM177" s="9">
        <f>IF( AND(SnapshotTable[[#This Row],[Equity Shares]] &gt;0,ISNUMBER( SnapshotTable[[#This Row],[Long Term Target]])),(SnapshotTable[[#This Row],[Equity Shares]] * SnapshotTable[[#This Row],[Long Term Target]]) - SnapshotTable[[#This Row],[Equity Basis Total]],0)</f>
        <v>0</v>
      </c>
      <c r="AN177" s="9">
        <f>IF( AND(SnapshotTable[[#This Row],[Equity Shares]] &gt;0,ISNUMBER( SnapshotTable[[#This Row],[Long Term Target]])),(SnapshotTable[[#This Row],[Equity Shares]]*SnapshotTable[[#This Row],[Long Term Target]]) - SnapshotTable[[#This Row],[Equity Value]],0)</f>
        <v>0</v>
      </c>
      <c r="AO177" s="152">
        <f>IF(AND(ISNUMBER( SnapshotTable[[#This Row],[Long Term Target]]), ISNUMBER(SnapshotTable[[#This Row],[Last Price]])),(SnapshotTable[[#This Row],[Long Term Target]] - SnapshotTable[[#This Row],[Last Price]]) / SnapshotTable[[#This Row],[Last Price]], "")</f>
        <v>-0.39291408325952165</v>
      </c>
      <c r="AP177" s="5"/>
      <c r="AQ177" s="38"/>
      <c r="AR177" s="5"/>
      <c r="AS177" s="38"/>
      <c r="AT177" s="146"/>
      <c r="AU177" s="187" t="str">
        <f>IF(OR(SnapshotTable[[#This Row],[LP No Fill]]="Y",SnapshotTable[[#This Row],[SP Is Filled]],SnapshotTable[[#This Row],[LC Not Filled]]="Y",SnapshotTable[[#This Row],[SC Is Filled]]),"Y","")</f>
        <v/>
      </c>
      <c r="AV177" s="219"/>
      <c r="AW177" s="225"/>
      <c r="AX177" s="220"/>
      <c r="AY177" s="219" t="str">
        <f>IF(SnapshotTable[[#This Row],[Implied Move]]&gt;0, SnapshotTable[[#This Row],[Last Price]]-SnapshotTable[[#This Row],[Implied Move]],"")</f>
        <v/>
      </c>
      <c r="AZ177" s="219" t="str">
        <f>IF(SnapshotTable[[#This Row],[Implied Move]]&gt;0, SnapshotTable[[#This Row],[Last Price]] + SnapshotTable[[#This Row],[Implied Move]],"")</f>
        <v/>
      </c>
      <c r="BA177" s="331"/>
      <c r="BB177" s="347"/>
      <c r="BC17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7" s="351"/>
      <c r="BE177" s="5"/>
      <c r="BF177" s="14"/>
      <c r="BG177" s="13"/>
      <c r="BH177" s="13"/>
      <c r="BI177" s="5"/>
      <c r="BJ177" s="136">
        <f>IF(SnapshotTable[[#This Row],[LP Qty]] &gt; 0, SnapshotTable[[#This Row],[LP Qty]] * SnapshotTable[[#This Row],[LP Book Price]] * 100,0)</f>
        <v>0</v>
      </c>
      <c r="BK177" s="136">
        <f>IF(SnapshotTable[[#This Row],[LP Premium]] &gt; 0, SnapshotTable[[#This Row],[LP Qty]] * SnapshotTable[[#This Row],[LP Strike Price]] * 100,0)</f>
        <v>0</v>
      </c>
      <c r="BL177" s="154"/>
      <c r="BM177" s="385" t="str">
        <f>IF(SnapshotTable[[#This Row],[LP Premium]] &gt; 0,SnapshotTable[[#This Row],[LP Exp Date]]-MAX(SnapshotTable[[#This Row],[LP Book Date]], SnapshotTable[[#This Row],[LP Fill Date]]),"")</f>
        <v/>
      </c>
      <c r="BN177" s="385" t="str">
        <f>IF(ISNUMBER( SnapshotTable[[#This Row],[LP Term]]), SnapshotTable[[#This Row],[LP Exp Date]] - MockToday,"")</f>
        <v/>
      </c>
      <c r="BO177" s="163" t="str">
        <f>IF(AND(SnapshotTable[[#This Row],[LP Exp Date]]&gt;0, SnapshotTable[[#This Row],[LP Strike Price]]&gt;0,SnapshotTable[[#This Row],[LP Qty]]&gt;0,SnapshotTable[[#This Row],[LP Book Date]]&gt;0,SnapshotTable[[#This Row],[LP Book Price]]&gt;0,SnapshotTable[[#This Row],[LP Fill Date]]=0),"Y","")</f>
        <v/>
      </c>
      <c r="BP177" s="31" t="str">
        <f>IF(AND(SnapshotTable[[#This Row],[LP No Fill]]&lt;&gt;"Y",SnapshotTable[[#This Row],[LP Contract Value]]&gt;0, SnapshotTable[[#This Row],[LP Qty]]&gt;0), SnapshotTable[[#This Row],[LP Contract Value]]*SnapshotTable[[#This Row],[LP Qty]]*100,"")</f>
        <v/>
      </c>
      <c r="BQ177" s="13"/>
      <c r="BR177" s="5" t="str">
        <f>IF(SnapshotTable[[#This Row],[SP Exp Date]]&lt;&gt;"",TRUNC(SnapshotTable[[#This Row],[Last Price]]),"")</f>
        <v/>
      </c>
      <c r="BS177" s="36"/>
      <c r="BT177" s="147"/>
      <c r="BU177" s="13"/>
      <c r="BV177" s="5"/>
      <c r="BW177" s="419" t="b">
        <f>AND(ISNUMBER(SnapshotTable[[#This Row],[SP Exp Date]]), ISNUMBER(SnapshotTable[[#This Row],[SP Strike Price]]), ISNUMBER(SnapshotTable[[#This Row],[SP Qty]]), ISNUMBER(SnapshotTable[[#This Row],[SP Book Date]]), ISNUMBER(SnapshotTable[[#This Row],[SP Book Price]]))</f>
        <v>0</v>
      </c>
      <c r="BX177" s="419" t="b">
        <f>AND(SnapshotTable[[#This Row],[SP Is Booked]], NOT(ISBLANK(SnapshotTable[[#This Row],[SP Fill Date]])))</f>
        <v>0</v>
      </c>
      <c r="BY177" s="33">
        <f>IF(SnapshotTable[[#This Row],[SP Is Booked]], SnapshotTable[[#This Row],[SP Qty]] * SnapshotTable[[#This Row],[SP Book Price]] * 100, 0)</f>
        <v>0</v>
      </c>
      <c r="BZ177" s="369"/>
      <c r="CA177" s="368">
        <f>SnapshotTable[[#This Row],[LP Qty]]</f>
        <v>0</v>
      </c>
      <c r="CB177" s="4" t="str">
        <f>IF(SnapshotTable[[#This Row],[SP Is Booked]], SnapshotTable[[#This Row],[SP Strike Price]] - SnapshotTable[[#This Row],[SP Book Price]], "")</f>
        <v/>
      </c>
      <c r="CC177" s="19" t="str">
        <f>IF(SnapshotTable[[#This Row],[SP Is Booked]],SnapshotTable[[#This Row],[SP Exp Date]]-MAX(SnapshotTable[[#This Row],[SP Book Date]], SnapshotTable[[#This Row],[SP Fill Date]]),"")</f>
        <v/>
      </c>
      <c r="CD177" s="7" t="str">
        <f>IF(SnapshotTable[[#This Row],[SP Is Booked]], SnapshotTable[[#This Row],[SP Book Price]]/SnapshotTable[[#This Row],[SP Strike Price]], "")</f>
        <v/>
      </c>
      <c r="CE177" s="7" t="str">
        <f>IF(ISNUMBER(SnapshotTable[[#This Row],[SP ROO Term]]),SnapshotTable[[#This Row],[SP ROO Term]]*(365/SnapshotTable[[#This Row],[SP Term]]),"")</f>
        <v/>
      </c>
      <c r="CF177" s="236">
        <f>SnapshotTable[[#This Row],[LP Strike Price]] * SnapshotTable[[#This Row],[LP Qty]] * 100</f>
        <v>0</v>
      </c>
      <c r="CG177" s="31" t="e">
        <f>IF(ISNUMBER(SnapshotTable[[#This Row],[SP Premium]]), (SnapshotTable[[#This Row],[SP Qty]] * SnapshotTable[[#This Row],[SP Strike Price]]* 100) - SnapshotTable[[#This Row],[LP Protection]], 0)</f>
        <v>#VALUE!</v>
      </c>
      <c r="CH177" s="7" t="str">
        <f>IF(ISNUMBER(SnapshotTable[[#This Row],[SP Break Even]]),-1 * (SnapshotTable[[#This Row],[SP Break Even]] - SnapshotTable[[#This Row],[Last Price]]) / SnapshotTable[[#This Row],[Last Price]], "")</f>
        <v/>
      </c>
      <c r="CI177" s="31">
        <f>IF(AND(ISNUMBER((SnapshotTable[[#This Row],[SP Potential Spend]])), SnapshotTable[[#This Row],[SP Strike Price]] &gt; SnapshotTable[[#This Row],[Last Price]], SnapshotTable[[#This Row],[SP Is Filled]]), SnapshotTable[[#This Row],[SP Potential Spend]] -  SnapshotTable[[#This Row],[LP Max Value]], 0)</f>
        <v>0</v>
      </c>
      <c r="CJ177" s="244"/>
      <c r="CK177" s="31" t="str">
        <f>IF(ISNUMBER(SnapshotTable[[#This Row],[SP Potential Spend]]),IF(ISNUMBER(SnapshotTable[[#This Row],[SP POW]]), SnapshotTable[[#This Row],[SP POW]] * SnapshotTable[[#This Row],[SP Potential Spend]], SnapshotTable[[#This Row],[SP Potential Spend]]), "")</f>
        <v/>
      </c>
      <c r="CL177" s="164" t="e">
        <f>IF(NOT(SnapshotTable[[#This Row],[SP Is Filled]]),(SnapshotTable[[#This Row],[SP Qty]] * SnapshotTable[[#This Row],[SP Strike Price]] * 100) - SnapshotTable[[#This Row],[LP Max Value]],"")</f>
        <v>#VALUE!</v>
      </c>
      <c r="CM177" s="31" t="str">
        <f>IF(SnapshotTable[[#This Row],[SP Actual Spend]]&lt;&gt;0, ((SnapshotTable[[#This Row],[SP Strike Price]]-SnapshotTable[[#This Row],[Last Price]]) *(SnapshotTable[[#This Row],[SP Qty]]*100) - SnapshotTable[[#This Row],[SP Premium]]) * - 1, "")</f>
        <v/>
      </c>
      <c r="CN177" s="78"/>
      <c r="CO177" s="369"/>
      <c r="CP177" s="4" t="str">
        <f>IF(SnapshotTable[[#This Row],[SP Is Filled]], btc_max_buyback_amount(SnapshotTable[[#This Row],[SP Fill Date]],SnapshotTable[[#This Row],[SP Exp Date]], SnapshotTable[[#This Row],[SP Book Price]]),"")</f>
        <v/>
      </c>
      <c r="CQ177" s="78"/>
      <c r="CR17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7" s="155" t="str">
        <f>IF(SnapshotTable[[#This Row],[SP Is Filled]], btc_next_cutoff_date(SnapshotTable[[#This Row],[SP Fill Date]],SnapshotTable[[#This Row],[SP Exp Date]]),"")</f>
        <v/>
      </c>
      <c r="CT177" s="235" t="str" cm="1">
        <f t="array" ref="CT177">IF(SnapshotTable[[#This Row],[SP Is Filled]], btc_should_buy_back(SnapshotTable[[#This Row],[SP Fill Date]], SnapshotTable[[#This Row],[SP Exp Date]], SnapshotTable[[#This Row],[SP Book Price]], SnapshotTable[[#This Row],[SP Current Ask]], MockToday, SnapshotTable[[#This Row],[SP Buyback Override]]),"")</f>
        <v/>
      </c>
      <c r="CU177" s="143"/>
      <c r="CV177" s="235"/>
      <c r="CW177" s="378" t="str">
        <f>IF(ISNUMBER( SnapshotTable[[#This Row],[SP Term]]), SnapshotTable[[#This Row],[SP Exp Date]] - MockToday,"")</f>
        <v/>
      </c>
      <c r="CX177" s="31" t="str">
        <f>IF(SnapshotTable[[#This Row],[SP Is Filled]],SnapshotTable[[#This Row],[SP Buyback Price to Use]] * 100 * SnapshotTable[[#This Row],[SP Qty]], "")</f>
        <v/>
      </c>
      <c r="CY177" s="4" t="str">
        <f>IF(ISNUMBER(SnapshotTable[[#This Row],[SP Strike Price]]), SnapshotTable[[#This Row],[SP Strike Price]] * (1 - SP_MaxLoss_StrikePct), "")</f>
        <v/>
      </c>
      <c r="CZ177" s="31" t="str">
        <f>IF(ISNUMBER(SnapshotTable[[#This Row],[SP Strike  Stop Per Share]]),SnapshotTable[[#This Row],[SP Premium]] - ((SnapshotTable[[#This Row],[SP Strike Price]]-SnapshotTable[[#This Row],[SP Strike  Stop Per Share]]) *(SnapshotTable[[#This Row],[SP Qty]] * 100)),"")</f>
        <v/>
      </c>
      <c r="DA177" s="4" t="str">
        <f>IF(AND(ISNUMBER(SnapshotTable[[#This Row],[SP Premium]]),SnapshotTable[[#This Row],[SP Premium]]&gt;0), SnapshotTable[[#This Row],[SP Book Price]] * (1 + SP_MaxLoss_OptionPct), "")</f>
        <v/>
      </c>
      <c r="DB177" s="31" t="str">
        <f>IF(ISNUMBER(SnapshotTable[[#This Row],[SP Option  Stop Contract]]),(SnapshotTable[[#This Row],[SP Option  Stop Contract]] *(SnapshotTable[[#This Row],[SP Qty]] * 100) - SnapshotTable[[#This Row],[SP Premium]]),"")</f>
        <v/>
      </c>
      <c r="DC177" s="4"/>
      <c r="DD177" s="4"/>
      <c r="DE177" s="4" t="str">
        <f>IF(AND(SnapshotTable[[#This Row],[SP Qty]]&gt;0, SnapshotTable[[#This Row],[SP Stop To Use]]&gt;0),SnapshotTable[[#This Row],[SP Premium]] - ( SnapshotTable[[#This Row],[SP Qty]] * SnapshotTable[[#This Row],[SP Stop To Use]] * 100), "")</f>
        <v/>
      </c>
      <c r="DF177" s="31" t="str">
        <f>IF(AND(SnapshotTable[[#This Row],[SP Qty]]&gt;0,SnapshotTable[[#This Row],[SP Current Ask]]&gt;0), SnapshotTable[[#This Row],[SP Qty]] * SnapshotTable[[#This Row],[SP Current Ask]] * -100, "")</f>
        <v/>
      </c>
      <c r="DG177" s="31" t="str">
        <f>IF(ISNUMBER((SnapshotTable[[#This Row],[SP Total Value]])), SnapshotTable[[#This Row],[SP Premium]] + SnapshotTable[[#This Row],[SP Total Value]], "")</f>
        <v/>
      </c>
      <c r="DH177" s="294" t="str">
        <f>IF(ISNUMBER((SnapshotTable[[#This Row],[SP Total Value]])), SnapshotTable[[#This Row],[SP Gain Loss]] / SnapshotTable[[#This Row],[SP Premium]], "")</f>
        <v/>
      </c>
      <c r="DI177" s="406"/>
      <c r="DJ177" s="138"/>
      <c r="DK177" s="148"/>
      <c r="DL177" s="13"/>
      <c r="DM177" s="13"/>
      <c r="DO177" s="31">
        <f>IF(SnapshotTable[[#This Row],[LC Symbol Count]]=1, SnapshotTable[[#This Row],[LC Qty]] * SnapshotTable[[#This Row],[LC Book Price]] * 100, 0)</f>
        <v>0</v>
      </c>
      <c r="DP177" s="163" t="str">
        <f>IF(AND(SnapshotTable[[#This Row],[LC Exp Date]]&gt;0, SnapshotTable[[#This Row],[LC Strike Price]]&gt;0,SnapshotTable[[#This Row],[LC Qty]]&gt;0,SnapshotTable[[#This Row],[LC Book Date]]&gt;0,SnapshotTable[[#This Row],[LC Book Price]]&gt;0,SnapshotTable[[#This Row],[LC Fill Date]]=0),"Y","")</f>
        <v/>
      </c>
      <c r="DQ177" s="386" t="str">
        <f>IF(SnapshotTable[[#This Row],[LC Premium]] &gt; 0,SnapshotTable[[#This Row],[LC Exp Date]]-MAX(SnapshotTable[[#This Row],[LC Book Date]], SnapshotTable[[#This Row],[LC Fill Date]]),"")</f>
        <v/>
      </c>
      <c r="DR177" s="386" t="str">
        <f>IF(ISNUMBER(SnapshotTable[[#This Row],[LC Term]]), SnapshotTable[[#This Row],[LC Exp Date]] - MockToday, "")</f>
        <v/>
      </c>
      <c r="DS177" s="234" t="str">
        <f>IF(SnapshotTable[[#This Row],[LC Premium]]&gt;0,SnapshotTable[[#This Row],[LC Strike Price]] + SnapshotTable[[#This Row],[LC Book Price]],"")</f>
        <v/>
      </c>
      <c r="DU177" s="9" t="str">
        <f>IF(AND(SnapshotTable[[#This Row],[LC Symbol Count]]&gt;0, SnapshotTable[[#This Row],[LC Contract Value]]&gt;0), SnapshotTable[[#This Row],[LC Contract Value]] * SnapshotTable[[#This Row],[LC Qty]] * 100, "")</f>
        <v/>
      </c>
      <c r="DV177" s="9" t="str">
        <f>IF(AND(ISNUMBER(SnapshotTable[[#This Row],[LC Total Value]]), SnapshotTable[[#This Row],[LC Not Filled]]&lt;&gt;"Y"), SnapshotTable[[#This Row],[LC Total Value]]-SnapshotTable[[#This Row],[LC Premium]],"")</f>
        <v/>
      </c>
      <c r="DW177" s="240" t="str">
        <f>IF(ISNUMBER(SnapshotTable[[#This Row],[LC Actual Gain Loss]]), SnapshotTable[[#This Row],[LC Actual Gain Loss]] / SnapshotTable[[#This Row],[LC Premium]],"")</f>
        <v/>
      </c>
      <c r="DX177" s="284" t="str">
        <f>IF(ISNUMBER(SnapshotTable[[#This Row],[LC Book Price]]),SnapshotTable[[#This Row],[LC Book Price]] * 1.5,"")</f>
        <v/>
      </c>
      <c r="DY177" s="265" t="str">
        <f>IF(SnapshotTable[[#This Row],[LC Premium]]&gt;0, SnapshotTable[[#This Row],[LC Next Target]] * SnapshotTable[[#This Row],[LC Qty]] * 100,"")</f>
        <v/>
      </c>
      <c r="DZ177" s="265" t="str">
        <f>IF(ISNUMBER(SnapshotTable[[#This Row],[LC Target Gross]]), SnapshotTable[[#This Row],[LC Target Gross]] - SnapshotTable[[#This Row],[LC Premium]], "")</f>
        <v/>
      </c>
      <c r="EA177" s="305" t="str">
        <f>IF(ISNUMBER(SnapshotTable[[#This Row],[LC Target Gain Loss]]), SnapshotTable[[#This Row],[LC Target Gain Loss]]/SnapshotTable[[#This Row],[LC Premium]], "")</f>
        <v/>
      </c>
      <c r="EB177" s="262"/>
      <c r="EC177" s="283" t="str">
        <f>IF(SnapshotTable[[#This Row],[LC Premium]]&gt;0, SnapshotTable[[#This Row],[LC Book Price]] * (1 - LC_StopLoss_Pct),"")</f>
        <v/>
      </c>
      <c r="ED177" s="284"/>
      <c r="EE177" s="283" t="str">
        <f>IF(ISNUMBER(SnapshotTable[[#This Row],[LC Contract Value]]),IF(ISNUMBER(SnapshotTable[[#This Row],[LC Stop Loss Override]]), SnapshotTable[[#This Row],[LC Stop Loss Override]],SnapshotTable[[#This Row],[LC Stop Loss Calc Target]]),"")</f>
        <v/>
      </c>
      <c r="EF177" s="31" t="str">
        <f>IF(ISNUMBER(SnapshotTable[[#This Row],[LC Stop  To Use]]), (SnapshotTable[[#This Row],[LC Stop  To Use]] * SnapshotTable[[#This Row],[LC Qty]] * 100),"")</f>
        <v/>
      </c>
      <c r="EG177" s="9" t="str">
        <f>IF(ISNUMBER(SnapshotTable[[#This Row],[LC Total Value]]),SnapshotTable[[#This Row],[LC Stop Loss Amount]] - SnapshotTable[[#This Row],[LC Premium]],"")</f>
        <v/>
      </c>
      <c r="EH177" s="9">
        <f>IF(ISNUMBER(SnapshotTable[[#This Row],[LC Premium]]), SnapshotTable[[#This Row],[LC Qty]] * 100 * SnapshotTable[[#This Row],[LC Strike Price]], "")</f>
        <v>0</v>
      </c>
      <c r="EI177" s="240" t="str">
        <f>IF(AND(ISNUMBER(SnapshotTable[[#This Row],[LC Total Value]]),SnapshotTable[[#This Row],[LC Total Value]]&gt;0),SnapshotTable[[#This Row],[LC Stop Gain Loss]]  / SnapshotTable[[#This Row],[LC Premium]],"")</f>
        <v/>
      </c>
      <c r="EJ177" s="35">
        <f>IF(ISNUMBER(SnapshotTable[[#This Row],[Equity Shares]]),TRUNC(SnapshotTable[[#This Row],[Equity Shares]] / 100),0) + SnapshotTable[[#This Row],[LC Qty]]</f>
        <v>0</v>
      </c>
      <c r="EK177" s="147"/>
      <c r="EL177" s="138" t="str">
        <f>IF(SnapshotTable[[#This Row],[SC Exp Date]]&lt;&gt;"",TRUNC(SnapshotTable[[#This Row],[Last Price]]),"")</f>
        <v/>
      </c>
      <c r="EM177" s="148"/>
      <c r="EN177" s="147"/>
      <c r="EO177" s="147"/>
      <c r="EP177" s="138"/>
      <c r="EQ177" s="419" t="b">
        <f>AND(ISNUMBER(SnapshotTable[[#This Row],[SC Exp Date]]), ISNUMBER(SnapshotTable[[#This Row],[SC Strike Price]]), ISNUMBER(SnapshotTable[[#This Row],[SC Qty]]), ISNUMBER(SnapshotTable[[#This Row],[SC Book Date]]), ISNUMBER(SnapshotTable[[#This Row],[SC Book Price]]))</f>
        <v>0</v>
      </c>
      <c r="ER177" s="419" t="b">
        <f>AND(SnapshotTable[[#This Row],[SC Is Booked]], NOT(ISBLANK(SnapshotTable[[#This Row],[SC Fill Date]])))</f>
        <v>0</v>
      </c>
      <c r="ES177" s="370"/>
      <c r="ET177" s="34" t="str">
        <f>IF(AND(ISNUMBER(SnapshotTable[[#This Row],[SC Exp Date]]), ISNUMBER(SnapshotTable[[#This Row],[SC Book Date]])), SnapshotTable[[#This Row],[SC Exp Date]] - MAX(SnapshotTable[[#This Row],[SC Book Date]], SnapshotTable[[#This Row],[SC Fill Date]]) + 1, "")</f>
        <v/>
      </c>
      <c r="EU177" s="34" t="str">
        <f>IF(ISNUMBER(SnapshotTable[[#This Row],[SC Term]]), SnapshotTable[[#This Row],[SC Exp Date]]- MockToday, "")</f>
        <v/>
      </c>
      <c r="EV177" s="31">
        <f>IF(SnapshotTable[[#This Row],[SC Is Booked]], SnapshotTable[[#This Row],[SC Qty]] * SnapshotTable[[#This Row],[SC Book Price]] * 100, 0)</f>
        <v>0</v>
      </c>
      <c r="EW177" s="4" t="str">
        <f>IF(AND(ISNUMBER(SnapshotTable[[#This Row],[Last Price]]), ISNUMBER( SnapshotTable[[#This Row],[SC Book Price]])), SnapshotTable[[#This Row],[Last Price]] - SnapshotTable[[#This Row],[SC Book Price]],"")</f>
        <v/>
      </c>
      <c r="EX177" s="234" t="str">
        <f>IF(SnapshotTable[[#This Row],[SC Is Booked]],IF(SnapshotTable[[#This Row],[SC Intrinsic Value]] &gt; 0, SnapshotTable[[#This Row],[SC Strike Price]], SnapshotTable[[#This Row],[Last Price]]), "")</f>
        <v/>
      </c>
      <c r="EY177" s="4">
        <f>IF(SnapshotTable[[#This Row],[SC Is Booked]], (MinimumPremiumRequired * SnapshotTable[[#This Row],[SC Basis]] * SnapshotTable[[#This Row],[SC Term]]), 0)</f>
        <v>0</v>
      </c>
      <c r="EZ177" s="283"/>
      <c r="FA177" s="218"/>
      <c r="FB177" s="370"/>
      <c r="FC177" s="4">
        <f>IF(SnapshotTable[[#This Row],[SC Is Filled]], btc_max_buyback_amount(SnapshotTable[[#This Row],[SC Fill Date]],SnapshotTable[[#This Row],[SC Exp Date]], SnapshotTable[[#This Row],[SC Book Price]]),0)</f>
        <v>0</v>
      </c>
      <c r="FD177" s="5"/>
      <c r="FE177" s="144" t="str">
        <f>IF(SnapshotTable[[#This Row],[SC Is Filled]], btc_next_cutoff_date(SnapshotTable[[#This Row],[SC Fill Date]],SnapshotTable[[#This Row],[SC Exp Date]]),"")</f>
        <v/>
      </c>
      <c r="FF177" s="4" t="str" cm="1">
        <f t="array" ref="FF177">IF(SnapshotTable[[#This Row],[SC Is Filled]], btc_should_buy_back(SnapshotTable[[#This Row],[SC Fill Date]], SnapshotTable[[#This Row],[SC Exp Date]], SnapshotTable[[#This Row],[SC Book Price]], SnapshotTable[[#This Row],[SC Current Ask]], MockToday, SnapshotTable[[#This Row],[SC Buyback Override]]),"")</f>
        <v/>
      </c>
      <c r="FG177" s="4">
        <f>IF(SnapshotTable[[#This Row],[SC Is Filled]], MAX(0,SnapshotTable[[#This Row],[Last Price]]  - SnapshotTable[[#This Row],[SC Strike Price]]), 0)</f>
        <v>0</v>
      </c>
      <c r="FH177" s="382">
        <f>IF(SnapshotTable[[#This Row],[SC Is Filled]], IF(ISNUMBER(SnapshotTable[[#This Row],[SC Current Ask]]), SnapshotTable[[#This Row],[SC Current Ask]], SnapshotTable[[#This Row],[SC Book Price]]) - SnapshotTable[[#This Row],[SC Intrinsic Value]], 0)</f>
        <v>0</v>
      </c>
      <c r="FI177" s="143"/>
      <c r="FJ177" s="32" t="str">
        <f>IF(SnapshotTable[[#This Row],[SC Is Filled]],100 * SnapshotTable[[#This Row],[SC Qty]] * IF(ISNUMBER(SnapshotTable[[#This Row],[SC Buyback Override]]), SnapshotTable[[#This Row],[SC Buyback Override]], SnapshotTable[[#This Row],[SC Current Ask]]), "")</f>
        <v/>
      </c>
      <c r="FK177" s="250" t="str">
        <f>IF(SnapshotTable[[#This Row],[SC Time Val]]&gt;0, SnapshotTable[[#This Row],[SC Time Val]] / SnapshotTable[[#This Row],[Last Price]],"")</f>
        <v/>
      </c>
      <c r="FL177" s="302" t="str">
        <f>IF(SnapshotTable[[#This Row],[SC Is Booked]], ((SnapshotTable[[#This Row],[Last Price]] -SnapshotTable[[#This Row],[SC Strike Price]]) / SnapshotTable[[#This Row],[Last Price]]) * -1, "")</f>
        <v/>
      </c>
      <c r="FM177" s="157" t="str">
        <f>IF(SnapshotTable[[#This Row],[SC Is Booked]],  (SnapshotTable[[#This Row],[SC Qty]] * 100 * SnapshotTable[[#This Row],[SC Strike Price]]) - SnapshotTable[[#This Row],[SC Current Ask]], "")</f>
        <v/>
      </c>
      <c r="FN17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7" s="31" t="str">
        <f>IF(AND(ISNUMBER(SnapshotTable[[#This Row],[SC Exercise Gross]]), ISNUMBER(SnapshotTable[[#This Row],[Equity Basis Per Share]] )), SnapshotTable[[#This Row],[SC Exercise Gross]] - SnapshotTable[[#This Row],[Equity Basis Total]] +  SnapshotTable[[#This Row],[SC Premium]], "")</f>
        <v/>
      </c>
      <c r="FP177" s="5" t="str">
        <f>IF(ISNUMBER(SnapshotTable[[#This Row],[SC Exercise Gross]]), (SnapshotTable[[#This Row],[SC Exercise Gross]]) / (SnapshotTable[[#This Row],[SC Qty]] * 100), "")</f>
        <v/>
      </c>
      <c r="FQ177" s="27" t="str">
        <f>IF(SnapshotTable[[#This Row],[SC Is Booked]],SnapshotTable[[#This Row],[SC Time Val]] /SnapshotTable[[#This Row],[SC Basis]], "")</f>
        <v/>
      </c>
      <c r="FR177" s="27" t="str" cm="1">
        <f t="array" ref="FR177">IF(AND(ISNUMBER(SnapshotTable[[#This Row],[SC Term]]),ISNUMBER(SnapshotTable[[#This Row],[SC Simple ROO]])), EllmanAnnualize(SnapshotTable[[#This Row],[SC DTE]], SnapshotTable[[#This Row],[SC Simple ROO]] ),"")</f>
        <v/>
      </c>
      <c r="FS177" s="4" t="e">
        <f>IF(SnapshotTable[[#This Row],[SC Strike Price]] &gt; SnapshotTable[[#This Row],[Last Price]], SnapshotTable[[#This Row],[SC Strike Price]] - SnapshotTable[[#This Row],[Last Price]],0)</f>
        <v>#VALUE!</v>
      </c>
      <c r="FT177" s="27" t="e">
        <f>IF(AND(ISNUMBER(SnapshotTable[[#This Row],[SC Upside Potential]]), SnapshotTable[[#This Row],[SC Upside Potential]] &gt; 0),(SnapshotTable[[#This Row],[SC Upside Potential]]/ SnapshotTable[[#This Row],[ACB]]),"")</f>
        <v>#VALUE!</v>
      </c>
      <c r="FU177" s="333" t="str">
        <f>IF(SnapshotTable[[#This Row],[SC Intrinsic Value]] &gt; 0,SnapshotTable[[#This Row],[SC Intrinsic Value]],"")</f>
        <v/>
      </c>
      <c r="FV177" s="27" t="str">
        <f>IF(AND( ISNUMBER( SnapshotTable[[#This Row],[ACB]]),ISNUMBER(SnapshotTable[[#This Row],[SC Downside Protect]])),SnapshotTable[[#This Row],[SC Downside Protect]] / SnapshotTable[[#This Row],[ACB]],"")</f>
        <v/>
      </c>
      <c r="FW177" s="236" t="str">
        <f>IF(AND(ISNUMBER(SnapshotTable[[#This Row],[SC Simple ROO]]),SnapshotTable[[#This Row],[SC Simple ROO]] &gt; 0), SnapshotTable[[#This Row],[SC Premium]] + (SnapshotTable[[#This Row],[SC Qty]] * SnapshotTable[[#This Row],[SC Upside Potential]]), "")</f>
        <v/>
      </c>
      <c r="FX177" s="302" t="str" cm="1">
        <f t="array" ref="FX177">IF(ISNUMBER(SnapshotTable[[#This Row],[SC Max Dollars]]), annualize(SnapshotTable[[#This Row],[SC Term]],(SnapshotTable[[#This Row],[SC Max Dollars]]/SnapshotTable[[#This Row],[SC Basis]])),"")</f>
        <v/>
      </c>
      <c r="FY177" s="236" t="str">
        <f>IF(AND(SnapshotTable[[#This Row],[SC Qty]]&gt;0,SnapshotTable[[#This Row],[SC Current Ask]]&gt;0), SnapshotTable[[#This Row],[SC Qty]] * SnapshotTable[[#This Row],[SC Current Ask]] * -100, "")</f>
        <v/>
      </c>
      <c r="FZ177" s="31" t="str">
        <f>IF(ISNUMBER((SnapshotTable[[#This Row],[SC Current Value]])), SnapshotTable[[#This Row],[SC Premium]] + SnapshotTable[[#This Row],[SC Current Value]], "")</f>
        <v/>
      </c>
      <c r="GA177" s="294" t="str">
        <f>IFERROR( IF(ISNUMBER((SnapshotTable[[#This Row],[SC Current Value]])), SnapshotTable[[#This Row],[SC Gain Loss]] / SnapshotTable[[#This Row],[SC Premium]], ""), "")</f>
        <v/>
      </c>
      <c r="GB177" s="42">
        <f>SnapshotTable[[#This Row],[Equity Shares]] * SaleSharesToConsiderPercentage</f>
        <v>0</v>
      </c>
      <c r="GC177" s="40">
        <f>SnapshotTable[[#This Row],[Long Term Target]] * SellingPriceToConsiderBasedOnTargetPercentage</f>
        <v>32.5565</v>
      </c>
      <c r="GD177" s="40">
        <f>SnapshotTable[[#This Row],[Last Price]] * (1+ SellingPriceToConsiderBasedOnTargetPercentage)</f>
        <v>110.0775</v>
      </c>
      <c r="GE177" s="41"/>
      <c r="GF177" s="40"/>
      <c r="GG177" s="31">
        <f>SnapshotTable[[#This Row],[Booked Sale Shares]] * SnapshotTable[[#This Row],[Booked Sale Price]]</f>
        <v>0</v>
      </c>
      <c r="GH177" s="31" t="str">
        <f>IF(SnapshotTable[[#This Row],[Equity Basis Total]] &gt; 0, SnapshotTable[[#This Row],[Equity Basis Per Share]] * SnapshotTable[[#This Row],[Booked Sale Shares]], "")</f>
        <v/>
      </c>
      <c r="GI177" s="31">
        <f>IF(SnapshotTable[[#This Row],[Sale Proceeds]]&gt;0, SnapshotTable[[#This Row],[Sale Proceeds]] - SnapshotTable[[#This Row],[Sale Basis]], 0)</f>
        <v>0</v>
      </c>
      <c r="GJ177" s="27" t="str">
        <f>IF(SnapshotTable[[#This Row],[Sale G/L]]&gt;0, SnapshotTable[[#This Row],[Sale G/L]] / SnapshotTable[[#This Row],[Sale Basis]], IF(ISNUMBER(SnapshotTable[[#This Row],[SC Exercise P&amp;L (TAX)]]), SnapshotTable[[#This Row],[SC Exercise P&amp;L (TAX)]] / SnapshotTable[[#This Row],[SC Basis]], ""))</f>
        <v/>
      </c>
      <c r="GK177" s="27" t="s">
        <v>709</v>
      </c>
      <c r="GL177" s="43" t="str">
        <f>IF(AND(SnapshotTable[[#This Row],[LP Exp Date]]&gt;0,SnapshotTable[[#This Row],[LP Strike Price]]&gt;0), [1]!ToOptionSymbol(SnapshotTable[[#This Row],[Symbol]], SnapshotTable[[#This Row],[LP Strike Price]],SnapshotTable[[#This Row],[LP Exp Date]],1), "")</f>
        <v/>
      </c>
      <c r="GM177" s="30" t="str">
        <f>IF(LEN(SnapshotTable[[#This Row],[LP Symbol]])&gt;0, 1, "")</f>
        <v/>
      </c>
      <c r="GN177" s="43" t="str">
        <f>IF(AND(SnapshotTable[[#This Row],[SP Exp Date]]&gt;0,SnapshotTable[[#This Row],[SP Strike Price]]&gt;0), [1]!ToOptionSymbol(SnapshotTable[[#This Row],[Symbol]], SnapshotTable[[#This Row],[SP Strike Price]],SnapshotTable[[#This Row],[SP Exp Date]],1), "")</f>
        <v/>
      </c>
      <c r="GO177" s="30" t="str">
        <f>IF(LEN(SnapshotTable[[#This Row],[SP Symbol]])&gt;0, 1, "")</f>
        <v/>
      </c>
      <c r="GP177" s="43" t="str">
        <f>IF(AND(SnapshotTable[[#This Row],[LC Exp Date]]&gt;0,SnapshotTable[[#This Row],[LC Strike Price]]&gt;0), [1]!ToOptionSymbol(SnapshotTable[[#This Row],[Symbol]], SnapshotTable[[#This Row],[LC Strike Price]],SnapshotTable[[#This Row],[LC Exp Date]],0), "")</f>
        <v/>
      </c>
      <c r="GQ177" s="30" t="str">
        <f>IF(LEN(SnapshotTable[[#This Row],[LC Symbol]])&gt;0, 1, "")</f>
        <v/>
      </c>
      <c r="GR177" s="43" t="str">
        <f>IF(AND(SnapshotTable[[#This Row],[SC Exp Date]]&gt;0,SnapshotTable[[#This Row],[SC Strike Price]]&gt;0), [1]!ToOptionSymbol(SnapshotTable[[#This Row],[Symbol]], SnapshotTable[[#This Row],[SC Strike Price]],SnapshotTable[[#This Row],[SC Exp Date]],0), "")</f>
        <v/>
      </c>
      <c r="GS177" s="30" t="str">
        <f>IF(LEN(SnapshotTable[[#This Row],[SC Symbol]])&gt;0, 1, "")</f>
        <v/>
      </c>
      <c r="GT177" s="29" t="str">
        <f>IF(COUNT(SnapshotTable[[#This Row],[LP Symbol Count]],SnapshotTable[[#This Row],[SP Symbol Count]],SnapshotTable[[#This Row],[LC Symbol Count]],SnapshotTable[[#This Row],[SC Symbol Count]])&gt;0, "Y", "")</f>
        <v/>
      </c>
      <c r="GU17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7" s="231" t="e">
        <f>MAX(SnapshotTable[[#This Row],[Equity Basis Total]],SnapshotTable[[#This Row],[Equity Value]]) + (SnapshotTable[[#This Row],[SP Potential Spend]]- SnapshotTable[[#This Row],[SP Premium]] + SnapshotTable[[#This Row],[LP Premium]])+ (SnapshotTable[[#This Row],[LC Premium]] - SnapshotTable[[#This Row],[SC Premium]])</f>
        <v>#VALUE!</v>
      </c>
      <c r="GW177" s="139" t="e">
        <f>IF(AND(SnapshotTable[[#This Row],[Exposure]] &lt;&gt; 0),SnapshotTable[[#This Row],[Exposure]] / SnapshotTable[[#Totals],[Exposure]], "")</f>
        <v>#VALUE!</v>
      </c>
      <c r="HE177" s="268"/>
      <c r="HF177" s="268"/>
      <c r="HK177" s="1"/>
      <c r="HL177" s="1"/>
      <c r="HM177" s="1"/>
      <c r="HN177" s="1"/>
      <c r="HO177" s="1"/>
      <c r="HP177" s="1"/>
    </row>
    <row r="178" spans="2:224" ht="12.75" hidden="1" customHeight="1" x14ac:dyDescent="0.25">
      <c r="B178" s="12" t="s">
        <v>964</v>
      </c>
      <c r="C178" s="422">
        <v>79.680000000000007</v>
      </c>
      <c r="D178" s="208" t="s">
        <v>578</v>
      </c>
      <c r="E178" s="39">
        <f>SnapshotTable[[#This Row],[Last Price]]*(1 -CrashDiscount)</f>
        <v>67.728000000000009</v>
      </c>
      <c r="F178" s="26" t="s">
        <v>613</v>
      </c>
      <c r="G178" s="26" t="s">
        <v>9</v>
      </c>
      <c r="H178" s="149"/>
      <c r="I178" s="194">
        <v>44781.670138888891</v>
      </c>
      <c r="J178" s="195">
        <v>44781.670138888891</v>
      </c>
      <c r="K178" s="196"/>
      <c r="L178" s="326"/>
      <c r="M178" s="140"/>
      <c r="N178" s="140"/>
      <c r="O178" s="140"/>
      <c r="P178" s="22"/>
      <c r="Q178" s="25"/>
      <c r="R178" s="4" t="str">
        <f>IF(SnapshotTable[[#This Row],[Equity Basis Total]] &gt; 0, SnapshotTable[[#This Row],[Equity Basis Total]] / SnapshotTable[[#This Row],[Equity Shares]], "")</f>
        <v/>
      </c>
      <c r="S178" s="269">
        <f>SnapshotTable[[#This Row],[Last Price]] * SnapshotTable[[#This Row],[Equity Shares]]</f>
        <v>0</v>
      </c>
      <c r="T178" s="269">
        <f>SnapshotTable[[#This Row],[Equity Value]] - SnapshotTable[[#This Row],[Equity Basis Total]]</f>
        <v>0</v>
      </c>
      <c r="U178" s="270" t="str">
        <f>IF(SnapshotTable[[#This Row],[Equity Basis Total]] &gt; 0, SnapshotTable[[#This Row],[Equity G/L]] / SnapshotTable[[#This Row],[Equity Basis Total]], "")</f>
        <v/>
      </c>
      <c r="V178" s="268"/>
      <c r="W178" s="268"/>
      <c r="X178" s="4" t="str">
        <f>IF(AND(ISNUMBER(SnapshotTable[[#This Row],[Equity Basis Per Share]]),ISNUMBER(SnapshotTable[[#This Row],[Equity Target]])),SnapshotTable[[#This Row],[Equity Target]]-SnapshotTable[[#This Row],[Equity Basis Per Share]],"")</f>
        <v/>
      </c>
      <c r="Y178" s="4" t="str">
        <f>IF(AND(ISNUMBER(SnapshotTable[[#This Row],[Equity Basis Per Share]]),ISNUMBER(SnapshotTable[[#This Row],[Equity Stop Loss]])),SnapshotTable[[#This Row],[Equity Stop Loss]]-SnapshotTable[[#This Row],[Equity Basis Per Share]],"")</f>
        <v/>
      </c>
      <c r="Z178" s="275" t="str">
        <f>IFERROR( TEXT(SnapshotTable[[#This Row],[Equity Max Gain Per Share]] /ABS( SnapshotTable[[#This Row],[Equity Max Loss Per Share]]),"0.0 " ) &amp; " : 1", "")</f>
        <v/>
      </c>
      <c r="AA178" s="31" t="str">
        <f>IF(ISNUMBER(SnapshotTable[[#This Row],[Equity Max Gain Per Share]]),SnapshotTable[[#This Row],[Equity Max Gain Per Share]] * SnapshotTable[[#This Row],[Equity Shares]],"")</f>
        <v/>
      </c>
      <c r="AB178" s="31" t="str">
        <f>IF(ISNUMBER(SnapshotTable[[#This Row],[Equity Max Loss Per Share]]),SnapshotTable[[#This Row],[Equity Max Loss Per Share]] * SnapshotTable[[#This Row],[Equity Shares]],"")</f>
        <v/>
      </c>
      <c r="AC178" s="150"/>
      <c r="AD178" s="151"/>
      <c r="AE178" s="31">
        <f>(SnapshotTable[[#This Row],[Annual Dividend Per Share]] / 4) * SnapshotTable[[#This Row],[Equity Shares]]</f>
        <v>0</v>
      </c>
      <c r="AF178" s="31">
        <f>SnapshotTable[[#This Row],[Quarterly Div $]] * 4</f>
        <v>0</v>
      </c>
      <c r="AG178" s="7">
        <f>IF(SnapshotTable[[#This Row],[Annual Dividend Per Share]]&gt;0, SnapshotTable[[#This Row],[Annual Dividend Per Share]]  / SnapshotTable[[#This Row],[Last Price]], 0)</f>
        <v>0</v>
      </c>
      <c r="AH178" s="151"/>
      <c r="AI178" s="5"/>
      <c r="AJ178" s="138">
        <v>76.78</v>
      </c>
      <c r="AK178" s="152" t="str">
        <f>IF(ISNUMBER( SnapshotTable[[#This Row],[EBF Target]]),(SnapshotTable[[#This Row],[EBF Target]] - SnapshotTable[[#This Row],[Last Price]]) / SnapshotTable[[#This Row],[Last Price]], "")</f>
        <v/>
      </c>
      <c r="AL178" s="152" t="str">
        <f>IF(AND(SnapshotTable[[#This Row],[Equity Basis Total]] &gt; 0,ISNUMBER( SnapshotTable[[#This Row],[Long Term Target]])), SnapshotTable[[#This Row],[From Basis $]] / SnapshotTable[[#This Row],[Equity Basis Total]], "")</f>
        <v/>
      </c>
      <c r="AM178" s="9">
        <f>IF( AND(SnapshotTable[[#This Row],[Equity Shares]] &gt;0,ISNUMBER( SnapshotTable[[#This Row],[Long Term Target]])),(SnapshotTable[[#This Row],[Equity Shares]] * SnapshotTable[[#This Row],[Long Term Target]]) - SnapshotTable[[#This Row],[Equity Basis Total]],0)</f>
        <v>0</v>
      </c>
      <c r="AN178" s="9">
        <f>IF( AND(SnapshotTable[[#This Row],[Equity Shares]] &gt;0,ISNUMBER( SnapshotTable[[#This Row],[Long Term Target]])),(SnapshotTable[[#This Row],[Equity Shares]]*SnapshotTable[[#This Row],[Long Term Target]]) - SnapshotTable[[#This Row],[Equity Value]],0)</f>
        <v>0</v>
      </c>
      <c r="AO178" s="152">
        <f>IF(AND(ISNUMBER( SnapshotTable[[#This Row],[Long Term Target]]), ISNUMBER(SnapshotTable[[#This Row],[Last Price]])),(SnapshotTable[[#This Row],[Long Term Target]] - SnapshotTable[[#This Row],[Last Price]]) / SnapshotTable[[#This Row],[Last Price]], "")</f>
        <v>-3.639558232931734E-2</v>
      </c>
      <c r="AP178" s="5"/>
      <c r="AQ178" s="38"/>
      <c r="AR178" s="5"/>
      <c r="AS178" s="38"/>
      <c r="AT178" s="146"/>
      <c r="AU178" s="187" t="str">
        <f>IF(OR(SnapshotTable[[#This Row],[LP No Fill]]="Y",SnapshotTable[[#This Row],[SP Is Filled]],SnapshotTable[[#This Row],[LC Not Filled]]="Y",SnapshotTable[[#This Row],[SC Is Filled]]),"Y","")</f>
        <v/>
      </c>
      <c r="AV178" s="219"/>
      <c r="AW178" s="225"/>
      <c r="AX178" s="220"/>
      <c r="AY178" s="219" t="str">
        <f>IF(SnapshotTable[[#This Row],[Implied Move]]&gt;0, SnapshotTable[[#This Row],[Last Price]]-SnapshotTable[[#This Row],[Implied Move]],"")</f>
        <v/>
      </c>
      <c r="AZ178" s="219" t="str">
        <f>IF(SnapshotTable[[#This Row],[Implied Move]]&gt;0, SnapshotTable[[#This Row],[Last Price]] + SnapshotTable[[#This Row],[Implied Move]],"")</f>
        <v/>
      </c>
      <c r="BA178" s="331"/>
      <c r="BB178" s="347" t="s">
        <v>968</v>
      </c>
      <c r="BC17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8" s="351"/>
      <c r="BE178" s="138"/>
      <c r="BF178" s="166"/>
      <c r="BG178" s="167"/>
      <c r="BH178" s="167"/>
      <c r="BI178" s="221"/>
      <c r="BJ178" s="153">
        <f>IF(SnapshotTable[[#This Row],[LP Qty]] &gt; 0, SnapshotTable[[#This Row],[LP Qty]] * SnapshotTable[[#This Row],[LP Book Price]] * 100,0)</f>
        <v>0</v>
      </c>
      <c r="BK178" s="136">
        <f>IF(SnapshotTable[[#This Row],[LP Premium]] &gt; 0, SnapshotTable[[#This Row],[LP Qty]] * SnapshotTable[[#This Row],[LP Strike Price]] * 100,0)</f>
        <v>0</v>
      </c>
      <c r="BL178" s="154"/>
      <c r="BM178" s="385" t="str">
        <f>IF(SnapshotTable[[#This Row],[LP Premium]] &gt; 0,SnapshotTable[[#This Row],[LP Exp Date]]-MAX(SnapshotTable[[#This Row],[LP Book Date]], SnapshotTable[[#This Row],[LP Fill Date]]),"")</f>
        <v/>
      </c>
      <c r="BN178" s="385" t="str">
        <f>IF(ISNUMBER( SnapshotTable[[#This Row],[LP Term]]), SnapshotTable[[#This Row],[LP Exp Date]] - MockToday,"")</f>
        <v/>
      </c>
      <c r="BO178" s="163" t="str">
        <f>IF(AND(SnapshotTable[[#This Row],[LP Exp Date]]&gt;0, SnapshotTable[[#This Row],[LP Strike Price]]&gt;0,SnapshotTable[[#This Row],[LP Qty]]&gt;0,SnapshotTable[[#This Row],[LP Book Date]]&gt;0,SnapshotTable[[#This Row],[LP Book Price]]&gt;0,SnapshotTable[[#This Row],[LP Fill Date]]=0),"Y","")</f>
        <v/>
      </c>
      <c r="BP178" s="31" t="str">
        <f>IF(AND(SnapshotTable[[#This Row],[LP No Fill]]&lt;&gt;"Y",SnapshotTable[[#This Row],[LP Contract Value]]&gt;0, SnapshotTable[[#This Row],[LP Qty]]&gt;0), SnapshotTable[[#This Row],[LP Contract Value]]*SnapshotTable[[#This Row],[LP Qty]]*100,"")</f>
        <v/>
      </c>
      <c r="BQ178" s="13"/>
      <c r="BR178" s="5" t="str">
        <f>IF(SnapshotTable[[#This Row],[SP Exp Date]]&lt;&gt;"",TRUNC(SnapshotTable[[#This Row],[Last Price]]),"")</f>
        <v/>
      </c>
      <c r="BS178" s="36"/>
      <c r="BT178" s="147"/>
      <c r="BU178" s="13"/>
      <c r="BV178" s="5"/>
      <c r="BW178" s="419" t="b">
        <f>AND(ISNUMBER(SnapshotTable[[#This Row],[SP Exp Date]]), ISNUMBER(SnapshotTable[[#This Row],[SP Strike Price]]), ISNUMBER(SnapshotTable[[#This Row],[SP Qty]]), ISNUMBER(SnapshotTable[[#This Row],[SP Book Date]]), ISNUMBER(SnapshotTable[[#This Row],[SP Book Price]]))</f>
        <v>0</v>
      </c>
      <c r="BX178" s="419" t="b">
        <f>AND(SnapshotTable[[#This Row],[SP Is Booked]], NOT(ISBLANK(SnapshotTable[[#This Row],[SP Fill Date]])))</f>
        <v>0</v>
      </c>
      <c r="BY178" s="33">
        <f>IF(SnapshotTable[[#This Row],[SP Is Booked]], SnapshotTable[[#This Row],[SP Qty]] * SnapshotTable[[#This Row],[SP Book Price]] * 100, 0)</f>
        <v>0</v>
      </c>
      <c r="BZ178" s="369"/>
      <c r="CA178" s="368">
        <f>SnapshotTable[[#This Row],[LP Qty]]</f>
        <v>0</v>
      </c>
      <c r="CB178" s="4" t="str">
        <f>IF(SnapshotTable[[#This Row],[SP Is Booked]], SnapshotTable[[#This Row],[SP Strike Price]] - SnapshotTable[[#This Row],[SP Book Price]], "")</f>
        <v/>
      </c>
      <c r="CC178" s="19" t="str">
        <f>IF(SnapshotTable[[#This Row],[SP Is Booked]],SnapshotTable[[#This Row],[SP Exp Date]]-MAX(SnapshotTable[[#This Row],[SP Book Date]], SnapshotTable[[#This Row],[SP Fill Date]]),"")</f>
        <v/>
      </c>
      <c r="CD178" s="7" t="str">
        <f>IF(SnapshotTable[[#This Row],[SP Is Booked]], SnapshotTable[[#This Row],[SP Book Price]]/SnapshotTable[[#This Row],[SP Strike Price]], "")</f>
        <v/>
      </c>
      <c r="CE178" s="7" t="str">
        <f>IF(ISNUMBER(SnapshotTable[[#This Row],[SP ROO Term]]),SnapshotTable[[#This Row],[SP ROO Term]]*(365/SnapshotTable[[#This Row],[SP Term]]),"")</f>
        <v/>
      </c>
      <c r="CF178" s="236">
        <f>SnapshotTable[[#This Row],[LP Strike Price]] * SnapshotTable[[#This Row],[LP Qty]] * 100</f>
        <v>0</v>
      </c>
      <c r="CG178" s="31" t="e">
        <f>IF(ISNUMBER(SnapshotTable[[#This Row],[SP Premium]]), (SnapshotTable[[#This Row],[SP Qty]] * SnapshotTable[[#This Row],[SP Strike Price]]* 100) - SnapshotTable[[#This Row],[LP Protection]], 0)</f>
        <v>#VALUE!</v>
      </c>
      <c r="CH178" s="7" t="str">
        <f>IF(ISNUMBER(SnapshotTable[[#This Row],[SP Break Even]]),-1 * (SnapshotTable[[#This Row],[SP Break Even]] - SnapshotTable[[#This Row],[Last Price]]) / SnapshotTable[[#This Row],[Last Price]], "")</f>
        <v/>
      </c>
      <c r="CI178" s="31">
        <f>IF(AND(ISNUMBER((SnapshotTable[[#This Row],[SP Potential Spend]])), SnapshotTable[[#This Row],[SP Strike Price]] &gt; SnapshotTable[[#This Row],[Last Price]], SnapshotTable[[#This Row],[SP Is Filled]]), SnapshotTable[[#This Row],[SP Potential Spend]] -  SnapshotTable[[#This Row],[LP Max Value]], 0)</f>
        <v>0</v>
      </c>
      <c r="CJ178" s="244"/>
      <c r="CK178" s="31" t="str">
        <f>IF(ISNUMBER(SnapshotTable[[#This Row],[SP Potential Spend]]),IF(ISNUMBER(SnapshotTable[[#This Row],[SP POW]]), SnapshotTable[[#This Row],[SP POW]] * SnapshotTable[[#This Row],[SP Potential Spend]], SnapshotTable[[#This Row],[SP Potential Spend]]), "")</f>
        <v/>
      </c>
      <c r="CL178" s="164" t="e">
        <f>IF(NOT(SnapshotTable[[#This Row],[SP Is Filled]]),(SnapshotTable[[#This Row],[SP Qty]] * SnapshotTable[[#This Row],[SP Strike Price]] * 100) - SnapshotTable[[#This Row],[LP Max Value]],"")</f>
        <v>#VALUE!</v>
      </c>
      <c r="CM178" s="31" t="str">
        <f>IF(SnapshotTable[[#This Row],[SP Actual Spend]]&lt;&gt;0, ((SnapshotTable[[#This Row],[SP Strike Price]]-SnapshotTable[[#This Row],[Last Price]]) *(SnapshotTable[[#This Row],[SP Qty]]*100) - SnapshotTable[[#This Row],[SP Premium]]) * - 1, "")</f>
        <v/>
      </c>
      <c r="CN178" s="154"/>
      <c r="CO178" s="369"/>
      <c r="CP178" s="4" t="str">
        <f>IF(SnapshotTable[[#This Row],[SP Is Filled]], btc_max_buyback_amount(SnapshotTable[[#This Row],[SP Fill Date]],SnapshotTable[[#This Row],[SP Exp Date]], SnapshotTable[[#This Row],[SP Book Price]]),"")</f>
        <v/>
      </c>
      <c r="CQ178" s="78"/>
      <c r="CR17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8" s="155" t="str">
        <f>IF(SnapshotTable[[#This Row],[SP Is Filled]], btc_next_cutoff_date(SnapshotTable[[#This Row],[SP Fill Date]],SnapshotTable[[#This Row],[SP Exp Date]]),"")</f>
        <v/>
      </c>
      <c r="CT178" s="235" t="str" cm="1">
        <f t="array" ref="CT178">IF(SnapshotTable[[#This Row],[SP Is Filled]], btc_should_buy_back(SnapshotTable[[#This Row],[SP Fill Date]], SnapshotTable[[#This Row],[SP Exp Date]], SnapshotTable[[#This Row],[SP Book Price]], SnapshotTable[[#This Row],[SP Current Ask]], MockToday, SnapshotTable[[#This Row],[SP Buyback Override]]),"")</f>
        <v/>
      </c>
      <c r="CU178" s="156"/>
      <c r="CV178" s="235"/>
      <c r="CW178" s="378" t="str">
        <f>IF(ISNUMBER( SnapshotTable[[#This Row],[SP Term]]), SnapshotTable[[#This Row],[SP Exp Date]] - MockToday,"")</f>
        <v/>
      </c>
      <c r="CX178" s="31" t="str">
        <f>IF(SnapshotTable[[#This Row],[SP Is Filled]],SnapshotTable[[#This Row],[SP Buyback Price to Use]] * 100 * SnapshotTable[[#This Row],[SP Qty]], "")</f>
        <v/>
      </c>
      <c r="CY178" s="4" t="str">
        <f>IF(ISNUMBER(SnapshotTable[[#This Row],[SP Strike Price]]), SnapshotTable[[#This Row],[SP Strike Price]] * (1 - SP_MaxLoss_StrikePct), "")</f>
        <v/>
      </c>
      <c r="CZ178" s="31" t="str">
        <f>IF(ISNUMBER(SnapshotTable[[#This Row],[SP Strike  Stop Per Share]]),SnapshotTable[[#This Row],[SP Premium]] - ((SnapshotTable[[#This Row],[SP Strike Price]]-SnapshotTable[[#This Row],[SP Strike  Stop Per Share]]) *(SnapshotTable[[#This Row],[SP Qty]] * 100)),"")</f>
        <v/>
      </c>
      <c r="DA178" s="4" t="str">
        <f>IF(AND(ISNUMBER(SnapshotTable[[#This Row],[SP Premium]]),SnapshotTable[[#This Row],[SP Premium]]&gt;0), SnapshotTable[[#This Row],[SP Book Price]] * (1 + SP_MaxLoss_OptionPct), "")</f>
        <v/>
      </c>
      <c r="DB178" s="31" t="str">
        <f>IF(ISNUMBER(SnapshotTable[[#This Row],[SP Option  Stop Contract]]),(SnapshotTable[[#This Row],[SP Option  Stop Contract]] *(SnapshotTable[[#This Row],[SP Qty]] * 100) - SnapshotTable[[#This Row],[SP Premium]]),"")</f>
        <v/>
      </c>
      <c r="DC178" s="4"/>
      <c r="DD178" s="4"/>
      <c r="DE178" s="4" t="str">
        <f>IF(AND(SnapshotTable[[#This Row],[SP Qty]]&gt;0, SnapshotTable[[#This Row],[SP Stop To Use]]&gt;0),SnapshotTable[[#This Row],[SP Premium]] - ( SnapshotTable[[#This Row],[SP Qty]] * SnapshotTable[[#This Row],[SP Stop To Use]] * 100), "")</f>
        <v/>
      </c>
      <c r="DF178" s="31" t="str">
        <f>IF(AND(SnapshotTable[[#This Row],[SP Qty]]&gt;0,SnapshotTable[[#This Row],[SP Current Ask]]&gt;0), SnapshotTable[[#This Row],[SP Qty]] * SnapshotTable[[#This Row],[SP Current Ask]] * -100, "")</f>
        <v/>
      </c>
      <c r="DG178" s="31" t="str">
        <f>IF(ISNUMBER((SnapshotTable[[#This Row],[SP Total Value]])), SnapshotTable[[#This Row],[SP Premium]] + SnapshotTable[[#This Row],[SP Total Value]], "")</f>
        <v/>
      </c>
      <c r="DH178" s="294" t="str">
        <f>IF(ISNUMBER((SnapshotTable[[#This Row],[SP Total Value]])), SnapshotTable[[#This Row],[SP Gain Loss]] / SnapshotTable[[#This Row],[SP Premium]], "")</f>
        <v/>
      </c>
      <c r="DI178" s="406"/>
      <c r="DJ178" s="138"/>
      <c r="DK178" s="148"/>
      <c r="DL178" s="147"/>
      <c r="DM178" s="147"/>
      <c r="DO178" s="31">
        <f>IF(SnapshotTable[[#This Row],[LC Symbol Count]]=1, SnapshotTable[[#This Row],[LC Qty]] * SnapshotTable[[#This Row],[LC Book Price]] * 100, 0)</f>
        <v>0</v>
      </c>
      <c r="DP178" s="289" t="str">
        <f>IF(AND(SnapshotTable[[#This Row],[LC Exp Date]]&gt;0, SnapshotTable[[#This Row],[LC Strike Price]]&gt;0,SnapshotTable[[#This Row],[LC Qty]]&gt;0,SnapshotTable[[#This Row],[LC Book Date]]&gt;0,SnapshotTable[[#This Row],[LC Book Price]]&gt;0,SnapshotTable[[#This Row],[LC Fill Date]]=0),"Y","")</f>
        <v/>
      </c>
      <c r="DQ178" s="386" t="str">
        <f>IF(SnapshotTable[[#This Row],[LC Premium]] &gt; 0,SnapshotTable[[#This Row],[LC Exp Date]]-MAX(SnapshotTable[[#This Row],[LC Book Date]], SnapshotTable[[#This Row],[LC Fill Date]]),"")</f>
        <v/>
      </c>
      <c r="DR178" s="386" t="str">
        <f>IF(ISNUMBER(SnapshotTable[[#This Row],[LC Term]]), SnapshotTable[[#This Row],[LC Exp Date]] - MockToday, "")</f>
        <v/>
      </c>
      <c r="DS178" s="234" t="str">
        <f>IF(SnapshotTable[[#This Row],[LC Premium]]&gt;0,SnapshotTable[[#This Row],[LC Strike Price]] + SnapshotTable[[#This Row],[LC Book Price]],"")</f>
        <v/>
      </c>
      <c r="DU178" s="9" t="str">
        <f>IF(AND(SnapshotTable[[#This Row],[LC Symbol Count]]&gt;0, SnapshotTable[[#This Row],[LC Contract Value]]&gt;0), SnapshotTable[[#This Row],[LC Contract Value]] * SnapshotTable[[#This Row],[LC Qty]] * 100, "")</f>
        <v/>
      </c>
      <c r="DV178" s="9" t="str">
        <f>IF(AND(ISNUMBER(SnapshotTable[[#This Row],[LC Total Value]]), SnapshotTable[[#This Row],[LC Not Filled]]&lt;&gt;"Y"), SnapshotTable[[#This Row],[LC Total Value]]-SnapshotTable[[#This Row],[LC Premium]],"")</f>
        <v/>
      </c>
      <c r="DW178" s="240" t="str">
        <f>IF(ISNUMBER(SnapshotTable[[#This Row],[LC Actual Gain Loss]]), SnapshotTable[[#This Row],[LC Actual Gain Loss]] / SnapshotTable[[#This Row],[LC Premium]],"")</f>
        <v/>
      </c>
      <c r="DX178" s="284" t="str">
        <f>IF(ISNUMBER(SnapshotTable[[#This Row],[LC Book Price]]),SnapshotTable[[#This Row],[LC Book Price]] * 1.5,"")</f>
        <v/>
      </c>
      <c r="DY178" s="265" t="str">
        <f>IF(SnapshotTable[[#This Row],[LC Premium]]&gt;0, SnapshotTable[[#This Row],[LC Next Target]] * SnapshotTable[[#This Row],[LC Qty]] * 100,"")</f>
        <v/>
      </c>
      <c r="DZ178" s="265" t="str">
        <f>IF(ISNUMBER(SnapshotTable[[#This Row],[LC Target Gross]]), SnapshotTable[[#This Row],[LC Target Gross]] - SnapshotTable[[#This Row],[LC Premium]], "")</f>
        <v/>
      </c>
      <c r="EA178" s="305" t="str">
        <f>IF(ISNUMBER(SnapshotTable[[#This Row],[LC Target Gain Loss]]), SnapshotTable[[#This Row],[LC Target Gain Loss]]/SnapshotTable[[#This Row],[LC Premium]], "")</f>
        <v/>
      </c>
      <c r="EB178" s="262"/>
      <c r="EC178" s="283" t="str">
        <f>IF(SnapshotTable[[#This Row],[LC Premium]]&gt;0, SnapshotTable[[#This Row],[LC Book Price]] * (1 - LC_StopLoss_Pct),"")</f>
        <v/>
      </c>
      <c r="ED178" s="284"/>
      <c r="EE178" s="283" t="str">
        <f>IF(ISNUMBER(SnapshotTable[[#This Row],[LC Contract Value]]),IF(ISNUMBER(SnapshotTable[[#This Row],[LC Stop Loss Override]]), SnapshotTable[[#This Row],[LC Stop Loss Override]],SnapshotTable[[#This Row],[LC Stop Loss Calc Target]]),"")</f>
        <v/>
      </c>
      <c r="EF178" s="31" t="str">
        <f>IF(ISNUMBER(SnapshotTable[[#This Row],[LC Stop  To Use]]), (SnapshotTable[[#This Row],[LC Stop  To Use]] * SnapshotTable[[#This Row],[LC Qty]] * 100),"")</f>
        <v/>
      </c>
      <c r="EG178" s="9" t="str">
        <f>IF(ISNUMBER(SnapshotTable[[#This Row],[LC Total Value]]),SnapshotTable[[#This Row],[LC Stop Loss Amount]] - SnapshotTable[[#This Row],[LC Premium]],"")</f>
        <v/>
      </c>
      <c r="EH178" s="9">
        <f>IF(ISNUMBER(SnapshotTable[[#This Row],[LC Premium]]), SnapshotTable[[#This Row],[LC Qty]] * 100 * SnapshotTable[[#This Row],[LC Strike Price]], "")</f>
        <v>0</v>
      </c>
      <c r="EI178" s="240" t="str">
        <f>IF(AND(ISNUMBER(SnapshotTable[[#This Row],[LC Total Value]]),SnapshotTable[[#This Row],[LC Total Value]]&gt;0),SnapshotTable[[#This Row],[LC Stop Gain Loss]]  / SnapshotTable[[#This Row],[LC Premium]],"")</f>
        <v/>
      </c>
      <c r="EJ178" s="35">
        <f>IF(ISNUMBER(SnapshotTable[[#This Row],[Equity Shares]]),TRUNC(SnapshotTable[[#This Row],[Equity Shares]] / 100),0) + SnapshotTable[[#This Row],[LC Qty]]</f>
        <v>0</v>
      </c>
      <c r="EK178" s="147"/>
      <c r="EL178" s="138" t="str">
        <f>IF(SnapshotTable[[#This Row],[SC Exp Date]]&lt;&gt;"",TRUNC(SnapshotTable[[#This Row],[Last Price]]),"")</f>
        <v/>
      </c>
      <c r="EM178" s="148"/>
      <c r="EN178" s="147"/>
      <c r="EO178" s="147"/>
      <c r="EP178" s="138"/>
      <c r="EQ178" s="419" t="b">
        <f>AND(ISNUMBER(SnapshotTable[[#This Row],[SC Exp Date]]), ISNUMBER(SnapshotTable[[#This Row],[SC Strike Price]]), ISNUMBER(SnapshotTable[[#This Row],[SC Qty]]), ISNUMBER(SnapshotTable[[#This Row],[SC Book Date]]), ISNUMBER(SnapshotTable[[#This Row],[SC Book Price]]))</f>
        <v>0</v>
      </c>
      <c r="ER178" s="419" t="b">
        <f>AND(SnapshotTable[[#This Row],[SC Is Booked]], NOT(ISBLANK(SnapshotTable[[#This Row],[SC Fill Date]])))</f>
        <v>0</v>
      </c>
      <c r="ES178" s="370"/>
      <c r="ET178" s="34" t="str">
        <f>IF(AND(ISNUMBER(SnapshotTable[[#This Row],[SC Exp Date]]), ISNUMBER(SnapshotTable[[#This Row],[SC Book Date]])), SnapshotTable[[#This Row],[SC Exp Date]] - MAX(SnapshotTable[[#This Row],[SC Book Date]], SnapshotTable[[#This Row],[SC Fill Date]]) + 1, "")</f>
        <v/>
      </c>
      <c r="EU178" s="34" t="str">
        <f>IF(ISNUMBER(SnapshotTable[[#This Row],[SC Term]]), SnapshotTable[[#This Row],[SC Exp Date]]- MockToday, "")</f>
        <v/>
      </c>
      <c r="EV178" s="31">
        <f>IF(SnapshotTable[[#This Row],[SC Is Booked]], SnapshotTable[[#This Row],[SC Qty]] * SnapshotTable[[#This Row],[SC Book Price]] * 100, 0)</f>
        <v>0</v>
      </c>
      <c r="EW178" s="4" t="str">
        <f>IF(AND(ISNUMBER(SnapshotTable[[#This Row],[Last Price]]), ISNUMBER( SnapshotTable[[#This Row],[SC Book Price]])), SnapshotTable[[#This Row],[Last Price]] - SnapshotTable[[#This Row],[SC Book Price]],"")</f>
        <v/>
      </c>
      <c r="EX178" s="234" t="str">
        <f>IF(SnapshotTable[[#This Row],[SC Is Booked]],IF(SnapshotTable[[#This Row],[SC Intrinsic Value]] &gt; 0, SnapshotTable[[#This Row],[SC Strike Price]], SnapshotTable[[#This Row],[Last Price]]), "")</f>
        <v/>
      </c>
      <c r="EY178" s="4">
        <f>IF(SnapshotTable[[#This Row],[SC Is Booked]], (MinimumPremiumRequired * SnapshotTable[[#This Row],[SC Basis]] * SnapshotTable[[#This Row],[SC Term]]), 0)</f>
        <v>0</v>
      </c>
      <c r="EZ178" s="283"/>
      <c r="FA178" s="218"/>
      <c r="FB178" s="370"/>
      <c r="FC178" s="4">
        <f>IF(SnapshotTable[[#This Row],[SC Is Filled]], btc_max_buyback_amount(SnapshotTable[[#This Row],[SC Fill Date]],SnapshotTable[[#This Row],[SC Exp Date]], SnapshotTable[[#This Row],[SC Book Price]]),0)</f>
        <v>0</v>
      </c>
      <c r="FD178" s="5"/>
      <c r="FE178" s="144" t="str">
        <f>IF(SnapshotTable[[#This Row],[SC Is Filled]], btc_next_cutoff_date(SnapshotTable[[#This Row],[SC Fill Date]],SnapshotTable[[#This Row],[SC Exp Date]]),"")</f>
        <v/>
      </c>
      <c r="FF178" s="4" t="str" cm="1">
        <f t="array" ref="FF178">IF(SnapshotTable[[#This Row],[SC Is Filled]], btc_should_buy_back(SnapshotTable[[#This Row],[SC Fill Date]], SnapshotTable[[#This Row],[SC Exp Date]], SnapshotTable[[#This Row],[SC Book Price]], SnapshotTable[[#This Row],[SC Current Ask]], MockToday, SnapshotTable[[#This Row],[SC Buyback Override]]),"")</f>
        <v/>
      </c>
      <c r="FG178" s="4">
        <f>IF(SnapshotTable[[#This Row],[SC Is Filled]], MAX(0,SnapshotTable[[#This Row],[Last Price]]  - SnapshotTable[[#This Row],[SC Strike Price]]), 0)</f>
        <v>0</v>
      </c>
      <c r="FH178" s="382">
        <f>IF(SnapshotTable[[#This Row],[SC Is Filled]], IF(ISNUMBER(SnapshotTable[[#This Row],[SC Current Ask]]), SnapshotTable[[#This Row],[SC Current Ask]], SnapshotTable[[#This Row],[SC Book Price]]) - SnapshotTable[[#This Row],[SC Intrinsic Value]], 0)</f>
        <v>0</v>
      </c>
      <c r="FI178" s="143"/>
      <c r="FJ178" s="32" t="str">
        <f>IF(SnapshotTable[[#This Row],[SC Is Filled]],100 * SnapshotTable[[#This Row],[SC Qty]] * IF(ISNUMBER(SnapshotTable[[#This Row],[SC Buyback Override]]), SnapshotTable[[#This Row],[SC Buyback Override]], SnapshotTable[[#This Row],[SC Current Ask]]), "")</f>
        <v/>
      </c>
      <c r="FK178" s="250" t="str">
        <f>IF(SnapshotTable[[#This Row],[SC Time Val]]&gt;0, SnapshotTable[[#This Row],[SC Time Val]] / SnapshotTable[[#This Row],[Last Price]],"")</f>
        <v/>
      </c>
      <c r="FL178" s="302" t="str">
        <f>IF(SnapshotTable[[#This Row],[SC Is Booked]], ((SnapshotTable[[#This Row],[Last Price]] -SnapshotTable[[#This Row],[SC Strike Price]]) / SnapshotTable[[#This Row],[Last Price]]) * -1, "")</f>
        <v/>
      </c>
      <c r="FM178" s="157" t="str">
        <f>IF(SnapshotTable[[#This Row],[SC Is Booked]],  (SnapshotTable[[#This Row],[SC Qty]] * 100 * SnapshotTable[[#This Row],[SC Strike Price]]) - SnapshotTable[[#This Row],[SC Current Ask]], "")</f>
        <v/>
      </c>
      <c r="FN178"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8" s="157" t="str">
        <f>IF(AND(ISNUMBER(SnapshotTable[[#This Row],[SC Exercise Gross]]), ISNUMBER(SnapshotTable[[#This Row],[Equity Basis Per Share]] )), SnapshotTable[[#This Row],[SC Exercise Gross]] - SnapshotTable[[#This Row],[Equity Basis Total]] +  SnapshotTable[[#This Row],[SC Premium]], "")</f>
        <v/>
      </c>
      <c r="FP178" s="5" t="str">
        <f>IF(ISNUMBER(SnapshotTable[[#This Row],[SC Exercise Gross]]), (SnapshotTable[[#This Row],[SC Exercise Gross]]) / (SnapshotTable[[#This Row],[SC Qty]] * 100), "")</f>
        <v/>
      </c>
      <c r="FQ178" s="27" t="str">
        <f>IF(SnapshotTable[[#This Row],[SC Is Booked]],SnapshotTable[[#This Row],[SC Time Val]] /SnapshotTable[[#This Row],[SC Basis]], "")</f>
        <v/>
      </c>
      <c r="FR178" s="27" t="str" cm="1">
        <f t="array" ref="FR178">IF(AND(ISNUMBER(SnapshotTable[[#This Row],[SC Term]]),ISNUMBER(SnapshotTable[[#This Row],[SC Simple ROO]])), EllmanAnnualize(SnapshotTable[[#This Row],[SC DTE]], SnapshotTable[[#This Row],[SC Simple ROO]] ),"")</f>
        <v/>
      </c>
      <c r="FS178" s="4" t="e">
        <f>IF(SnapshotTable[[#This Row],[SC Strike Price]] &gt; SnapshotTable[[#This Row],[Last Price]], SnapshotTable[[#This Row],[SC Strike Price]] - SnapshotTable[[#This Row],[Last Price]],0)</f>
        <v>#VALUE!</v>
      </c>
      <c r="FT178" s="27" t="e">
        <f>IF(AND(ISNUMBER(SnapshotTable[[#This Row],[SC Upside Potential]]), SnapshotTable[[#This Row],[SC Upside Potential]] &gt; 0),(SnapshotTable[[#This Row],[SC Upside Potential]]/ SnapshotTable[[#This Row],[ACB]]),"")</f>
        <v>#VALUE!</v>
      </c>
      <c r="FU178" s="333" t="str">
        <f>IF(SnapshotTable[[#This Row],[SC Intrinsic Value]] &gt; 0,SnapshotTable[[#This Row],[SC Intrinsic Value]],"")</f>
        <v/>
      </c>
      <c r="FV178" s="27" t="str">
        <f>IF(AND( ISNUMBER( SnapshotTable[[#This Row],[ACB]]),ISNUMBER(SnapshotTable[[#This Row],[SC Downside Protect]])),SnapshotTable[[#This Row],[SC Downside Protect]] / SnapshotTable[[#This Row],[ACB]],"")</f>
        <v/>
      </c>
      <c r="FW178" s="236" t="str">
        <f>IF(AND(ISNUMBER(SnapshotTable[[#This Row],[SC Simple ROO]]),SnapshotTable[[#This Row],[SC Simple ROO]] &gt; 0), SnapshotTable[[#This Row],[SC Premium]] + (SnapshotTable[[#This Row],[SC Qty]] * SnapshotTable[[#This Row],[SC Upside Potential]]), "")</f>
        <v/>
      </c>
      <c r="FX178" s="302" t="str" cm="1">
        <f t="array" ref="FX178">IF(ISNUMBER(SnapshotTable[[#This Row],[SC Max Dollars]]), annualize(SnapshotTable[[#This Row],[SC Term]],(SnapshotTable[[#This Row],[SC Max Dollars]]/SnapshotTable[[#This Row],[SC Basis]])),"")</f>
        <v/>
      </c>
      <c r="FY178" s="236" t="str">
        <f>IF(AND(SnapshotTable[[#This Row],[SC Qty]]&gt;0,SnapshotTable[[#This Row],[SC Current Ask]]&gt;0), SnapshotTable[[#This Row],[SC Qty]] * SnapshotTable[[#This Row],[SC Current Ask]] * -100, "")</f>
        <v/>
      </c>
      <c r="FZ178" s="235" t="str">
        <f>IF(ISNUMBER((SnapshotTable[[#This Row],[SC Current Value]])), SnapshotTable[[#This Row],[SC Premium]] + SnapshotTable[[#This Row],[SC Current Value]], "")</f>
        <v/>
      </c>
      <c r="GA178" s="294" t="str">
        <f>IFERROR( IF(ISNUMBER((SnapshotTable[[#This Row],[SC Current Value]])), SnapshotTable[[#This Row],[SC Gain Loss]] / SnapshotTable[[#This Row],[SC Premium]], ""), "")</f>
        <v/>
      </c>
      <c r="GB178" s="42">
        <f>SnapshotTable[[#This Row],[Equity Shares]] * SaleSharesToConsiderPercentage</f>
        <v>0</v>
      </c>
      <c r="GC178" s="40">
        <f>SnapshotTable[[#This Row],[Long Term Target]] * SellingPriceToConsiderBasedOnTargetPercentage</f>
        <v>72.941000000000003</v>
      </c>
      <c r="GD178" s="40">
        <f>SnapshotTable[[#This Row],[Last Price]] * (1+ SellingPriceToConsiderBasedOnTargetPercentage)</f>
        <v>155.376</v>
      </c>
      <c r="GE178" s="41"/>
      <c r="GF178" s="40"/>
      <c r="GG178" s="31">
        <f>SnapshotTable[[#This Row],[Booked Sale Shares]] * SnapshotTable[[#This Row],[Booked Sale Price]]</f>
        <v>0</v>
      </c>
      <c r="GH178" s="31" t="str">
        <f>IF(SnapshotTable[[#This Row],[Equity Basis Total]] &gt; 0, SnapshotTable[[#This Row],[Equity Basis Per Share]] * SnapshotTable[[#This Row],[Booked Sale Shares]], "")</f>
        <v/>
      </c>
      <c r="GI178" s="31">
        <f>IF(SnapshotTable[[#This Row],[Sale Proceeds]]&gt;0, SnapshotTable[[#This Row],[Sale Proceeds]] - SnapshotTable[[#This Row],[Sale Basis]], 0)</f>
        <v>0</v>
      </c>
      <c r="GJ178" s="158" t="str">
        <f>IF(SnapshotTable[[#This Row],[Sale G/L]]&gt;0, SnapshotTable[[#This Row],[Sale G/L]] / SnapshotTable[[#This Row],[Sale Basis]], IF(ISNUMBER(SnapshotTable[[#This Row],[SC Exercise P&amp;L (TAX)]]), SnapshotTable[[#This Row],[SC Exercise P&amp;L (TAX)]] / SnapshotTable[[#This Row],[SC Basis]], ""))</f>
        <v/>
      </c>
      <c r="GK178" s="27"/>
      <c r="GL178" s="159" t="str">
        <f>IF(AND(SnapshotTable[[#This Row],[LP Exp Date]]&gt;0,SnapshotTable[[#This Row],[LP Strike Price]]&gt;0), [1]!ToOptionSymbol(SnapshotTable[[#This Row],[Symbol]], SnapshotTable[[#This Row],[LP Strike Price]],SnapshotTable[[#This Row],[LP Exp Date]],1), "")</f>
        <v/>
      </c>
      <c r="GM178" s="30" t="str">
        <f>IF(LEN(SnapshotTable[[#This Row],[LP Symbol]])&gt;0, 1, "")</f>
        <v/>
      </c>
      <c r="GN178" s="43" t="str">
        <f>IF(AND(SnapshotTable[[#This Row],[SP Exp Date]]&gt;0,SnapshotTable[[#This Row],[SP Strike Price]]&gt;0), [1]!ToOptionSymbol(SnapshotTable[[#This Row],[Symbol]], SnapshotTable[[#This Row],[SP Strike Price]],SnapshotTable[[#This Row],[SP Exp Date]],1), "")</f>
        <v/>
      </c>
      <c r="GO178" s="30" t="str">
        <f>IF(LEN(SnapshotTable[[#This Row],[SP Symbol]])&gt;0, 1, "")</f>
        <v/>
      </c>
      <c r="GP178" s="159" t="str">
        <f>IF(AND(SnapshotTable[[#This Row],[LC Exp Date]]&gt;0,SnapshotTable[[#This Row],[LC Strike Price]]&gt;0), [1]!ToOptionSymbol(SnapshotTable[[#This Row],[Symbol]], SnapshotTable[[#This Row],[LC Strike Price]],SnapshotTable[[#This Row],[LC Exp Date]],0), "")</f>
        <v/>
      </c>
      <c r="GQ178" s="160" t="str">
        <f>IF(LEN(SnapshotTable[[#This Row],[LC Symbol]])&gt;0, 1, "")</f>
        <v/>
      </c>
      <c r="GR178" s="159" t="str">
        <f>IF(AND(SnapshotTable[[#This Row],[SC Exp Date]]&gt;0,SnapshotTable[[#This Row],[SC Strike Price]]&gt;0), [1]!ToOptionSymbol(SnapshotTable[[#This Row],[Symbol]], SnapshotTable[[#This Row],[SC Strike Price]],SnapshotTable[[#This Row],[SC Exp Date]],0), "")</f>
        <v/>
      </c>
      <c r="GS178" s="160" t="str">
        <f>IF(LEN(SnapshotTable[[#This Row],[SC Symbol]])&gt;0, 1, "")</f>
        <v/>
      </c>
      <c r="GT178" s="161" t="str">
        <f>IF(COUNT(SnapshotTable[[#This Row],[LP Symbol Count]],SnapshotTable[[#This Row],[SP Symbol Count]],SnapshotTable[[#This Row],[LC Symbol Count]],SnapshotTable[[#This Row],[SC Symbol Count]])&gt;0, "Y", "")</f>
        <v/>
      </c>
      <c r="GU17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8" s="231" t="e">
        <f>MAX(SnapshotTable[[#This Row],[Equity Basis Total]],SnapshotTable[[#This Row],[Equity Value]]) + (SnapshotTable[[#This Row],[SP Potential Spend]]- SnapshotTable[[#This Row],[SP Premium]] + SnapshotTable[[#This Row],[LP Premium]])+ (SnapshotTable[[#This Row],[LC Premium]] - SnapshotTable[[#This Row],[SC Premium]])</f>
        <v>#VALUE!</v>
      </c>
      <c r="GW178" s="139" t="e">
        <f>IF(AND(SnapshotTable[[#This Row],[Exposure]] &lt;&gt; 0),SnapshotTable[[#This Row],[Exposure]] / SnapshotTable[[#Totals],[Exposure]], "")</f>
        <v>#VALUE!</v>
      </c>
      <c r="HE178" s="268"/>
      <c r="HF178" s="268"/>
      <c r="HK178" s="1"/>
      <c r="HL178" s="1"/>
      <c r="HM178" s="1"/>
      <c r="HN178" s="1"/>
      <c r="HO178" s="1"/>
      <c r="HP178" s="1"/>
    </row>
    <row r="179" spans="2:224" ht="12.75" hidden="1" customHeight="1" x14ac:dyDescent="0.25">
      <c r="B179" s="12" t="s">
        <v>1128</v>
      </c>
      <c r="C179" s="422">
        <v>20.46</v>
      </c>
      <c r="D179" s="208"/>
      <c r="E179" s="39">
        <f>SnapshotTable[[#This Row],[Last Price]]*(1 -CrashDiscount)</f>
        <v>17.391000000000002</v>
      </c>
      <c r="F179" s="26" t="s">
        <v>613</v>
      </c>
      <c r="G179" s="26" t="s">
        <v>9</v>
      </c>
      <c r="H179" s="149"/>
      <c r="I179" s="194">
        <v>45231</v>
      </c>
      <c r="J179" s="195"/>
      <c r="K179" s="196"/>
      <c r="L179" s="326"/>
      <c r="M179" s="140"/>
      <c r="N179" s="140"/>
      <c r="O179" s="140"/>
      <c r="P179" s="22"/>
      <c r="Q179" s="25"/>
      <c r="R179" s="4" t="str">
        <f>IF(SnapshotTable[[#This Row],[Equity Basis Total]] &gt; 0, SnapshotTable[[#This Row],[Equity Basis Total]] / SnapshotTable[[#This Row],[Equity Shares]], "")</f>
        <v/>
      </c>
      <c r="S179" s="269">
        <f>SnapshotTable[[#This Row],[Last Price]] * SnapshotTable[[#This Row],[Equity Shares]]</f>
        <v>0</v>
      </c>
      <c r="T179" s="269">
        <f>SnapshotTable[[#This Row],[Equity Value]] - SnapshotTable[[#This Row],[Equity Basis Total]]</f>
        <v>0</v>
      </c>
      <c r="U179" s="270" t="str">
        <f>IF(SnapshotTable[[#This Row],[Equity Basis Total]] &gt; 0, SnapshotTable[[#This Row],[Equity G/L]] / SnapshotTable[[#This Row],[Equity Basis Total]], "")</f>
        <v/>
      </c>
      <c r="V179" s="268"/>
      <c r="W179" s="268"/>
      <c r="X179" s="4" t="str">
        <f>IF(AND(ISNUMBER(SnapshotTable[[#This Row],[Equity Basis Per Share]]),ISNUMBER(SnapshotTable[[#This Row],[Equity Target]])),SnapshotTable[[#This Row],[Equity Target]]-SnapshotTable[[#This Row],[Equity Basis Per Share]],"")</f>
        <v/>
      </c>
      <c r="Y179" s="4" t="str">
        <f>IF(AND(ISNUMBER(SnapshotTable[[#This Row],[Equity Basis Per Share]]),ISNUMBER(SnapshotTable[[#This Row],[Equity Stop Loss]])),SnapshotTable[[#This Row],[Equity Stop Loss]]-SnapshotTable[[#This Row],[Equity Basis Per Share]],"")</f>
        <v/>
      </c>
      <c r="Z179" s="275" t="str">
        <f>IFERROR( TEXT(SnapshotTable[[#This Row],[Equity Max Gain Per Share]] /ABS( SnapshotTable[[#This Row],[Equity Max Loss Per Share]]),"0.0 " ) &amp; " : 1", "")</f>
        <v/>
      </c>
      <c r="AA179" s="31" t="str">
        <f>IF(ISNUMBER(SnapshotTable[[#This Row],[Equity Max Gain Per Share]]),SnapshotTable[[#This Row],[Equity Max Gain Per Share]] * SnapshotTable[[#This Row],[Equity Shares]],"")</f>
        <v/>
      </c>
      <c r="AB179" s="31" t="str">
        <f>IF(ISNUMBER(SnapshotTable[[#This Row],[Equity Max Loss Per Share]]),SnapshotTable[[#This Row],[Equity Max Loss Per Share]] * SnapshotTable[[#This Row],[Equity Shares]],"")</f>
        <v/>
      </c>
      <c r="AC179" s="150"/>
      <c r="AD179" s="151"/>
      <c r="AE179" s="31">
        <f>(SnapshotTable[[#This Row],[Annual Dividend Per Share]] / 4) * SnapshotTable[[#This Row],[Equity Shares]]</f>
        <v>0</v>
      </c>
      <c r="AF179" s="31">
        <f>SnapshotTable[[#This Row],[Quarterly Div $]] * 4</f>
        <v>0</v>
      </c>
      <c r="AG179" s="7">
        <f>IF(SnapshotTable[[#This Row],[Annual Dividend Per Share]]&gt;0, SnapshotTable[[#This Row],[Annual Dividend Per Share]]  / SnapshotTable[[#This Row],[Last Price]], 0)</f>
        <v>0</v>
      </c>
      <c r="AH179" s="151"/>
      <c r="AI179" s="5"/>
      <c r="AJ179" s="138">
        <v>18.75</v>
      </c>
      <c r="AK179" s="152" t="str">
        <f>IF(ISNUMBER( SnapshotTable[[#This Row],[EBF Target]]),(SnapshotTable[[#This Row],[EBF Target]] - SnapshotTable[[#This Row],[Last Price]]) / SnapshotTable[[#This Row],[Last Price]], "")</f>
        <v/>
      </c>
      <c r="AL179" s="152" t="str">
        <f>IF(AND(SnapshotTable[[#This Row],[Equity Basis Total]] &gt; 0,ISNUMBER( SnapshotTable[[#This Row],[Long Term Target]])), SnapshotTable[[#This Row],[From Basis $]] / SnapshotTable[[#This Row],[Equity Basis Total]], "")</f>
        <v/>
      </c>
      <c r="AM179" s="9">
        <f>IF( AND(SnapshotTable[[#This Row],[Equity Shares]] &gt;0,ISNUMBER( SnapshotTable[[#This Row],[Long Term Target]])),(SnapshotTable[[#This Row],[Equity Shares]] * SnapshotTable[[#This Row],[Long Term Target]]) - SnapshotTable[[#This Row],[Equity Basis Total]],0)</f>
        <v>0</v>
      </c>
      <c r="AN179" s="9">
        <f>IF( AND(SnapshotTable[[#This Row],[Equity Shares]] &gt;0,ISNUMBER( SnapshotTable[[#This Row],[Long Term Target]])),(SnapshotTable[[#This Row],[Equity Shares]]*SnapshotTable[[#This Row],[Long Term Target]]) - SnapshotTable[[#This Row],[Equity Value]],0)</f>
        <v>0</v>
      </c>
      <c r="AO179" s="152">
        <f>IF(AND(ISNUMBER( SnapshotTable[[#This Row],[Long Term Target]]), ISNUMBER(SnapshotTable[[#This Row],[Last Price]])),(SnapshotTable[[#This Row],[Long Term Target]] - SnapshotTable[[#This Row],[Last Price]]) / SnapshotTable[[#This Row],[Last Price]], "")</f>
        <v>-8.3577712609970711E-2</v>
      </c>
      <c r="AP179" s="5">
        <v>24</v>
      </c>
      <c r="AQ179" s="38" t="s">
        <v>89</v>
      </c>
      <c r="AR179" s="5"/>
      <c r="AS179" s="38"/>
      <c r="AT179" s="146"/>
      <c r="AU179" s="187" t="str">
        <f>IF(OR(SnapshotTable[[#This Row],[LP No Fill]]="Y",SnapshotTable[[#This Row],[SP Is Filled]],SnapshotTable[[#This Row],[LC Not Filled]]="Y",SnapshotTable[[#This Row],[SC Is Filled]]),"Y","")</f>
        <v/>
      </c>
      <c r="AV179" s="219"/>
      <c r="AW179" s="225"/>
      <c r="AX179" s="220"/>
      <c r="AY179" s="219" t="str">
        <f>IF(SnapshotTable[[#This Row],[Implied Move]]&gt;0, SnapshotTable[[#This Row],[Last Price]]-SnapshotTable[[#This Row],[Implied Move]],"")</f>
        <v/>
      </c>
      <c r="AZ179" s="219" t="str">
        <f>IF(SnapshotTable[[#This Row],[Implied Move]]&gt;0, SnapshotTable[[#This Row],[Last Price]] + SnapshotTable[[#This Row],[Implied Move]],"")</f>
        <v/>
      </c>
      <c r="BA179" s="331">
        <v>1.37</v>
      </c>
      <c r="BB179" s="347"/>
      <c r="BC17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9" s="351"/>
      <c r="BE179" s="5"/>
      <c r="BF179" s="14"/>
      <c r="BG179" s="13"/>
      <c r="BH179" s="13"/>
      <c r="BI179" s="5"/>
      <c r="BJ179" s="136">
        <f>IF(SnapshotTable[[#This Row],[LP Qty]] &gt; 0, SnapshotTable[[#This Row],[LP Qty]] * SnapshotTable[[#This Row],[LP Book Price]] * 100,0)</f>
        <v>0</v>
      </c>
      <c r="BK179" s="136">
        <f>IF(SnapshotTable[[#This Row],[LP Premium]] &gt; 0, SnapshotTable[[#This Row],[LP Qty]] * SnapshotTable[[#This Row],[LP Strike Price]] * 100,0)</f>
        <v>0</v>
      </c>
      <c r="BL179" s="154"/>
      <c r="BM179" s="385" t="str">
        <f>IF(SnapshotTable[[#This Row],[LP Premium]] &gt; 0,SnapshotTable[[#This Row],[LP Exp Date]]-MAX(SnapshotTable[[#This Row],[LP Book Date]], SnapshotTable[[#This Row],[LP Fill Date]]),"")</f>
        <v/>
      </c>
      <c r="BN179" s="385" t="str">
        <f>IF(ISNUMBER( SnapshotTable[[#This Row],[LP Term]]), SnapshotTable[[#This Row],[LP Exp Date]] - MockToday,"")</f>
        <v/>
      </c>
      <c r="BO179" s="163" t="str">
        <f>IF(AND(SnapshotTable[[#This Row],[LP Exp Date]]&gt;0, SnapshotTable[[#This Row],[LP Strike Price]]&gt;0,SnapshotTable[[#This Row],[LP Qty]]&gt;0,SnapshotTable[[#This Row],[LP Book Date]]&gt;0,SnapshotTable[[#This Row],[LP Book Price]]&gt;0,SnapshotTable[[#This Row],[LP Fill Date]]=0),"Y","")</f>
        <v/>
      </c>
      <c r="BP179" s="31" t="str">
        <f>IF(AND(SnapshotTable[[#This Row],[LP No Fill]]&lt;&gt;"Y",SnapshotTable[[#This Row],[LP Contract Value]]&gt;0, SnapshotTable[[#This Row],[LP Qty]]&gt;0), SnapshotTable[[#This Row],[LP Contract Value]]*SnapshotTable[[#This Row],[LP Qty]]*100,"")</f>
        <v/>
      </c>
      <c r="BQ179" s="13"/>
      <c r="BR179" s="5" t="str">
        <f>IF(SnapshotTable[[#This Row],[SP Exp Date]]&lt;&gt;"",TRUNC(SnapshotTable[[#This Row],[Last Price]]),"")</f>
        <v/>
      </c>
      <c r="BS179" s="36"/>
      <c r="BT179" s="147"/>
      <c r="BU179" s="13"/>
      <c r="BV179" s="5"/>
      <c r="BW179" s="419" t="b">
        <f>AND(ISNUMBER(SnapshotTable[[#This Row],[SP Exp Date]]), ISNUMBER(SnapshotTable[[#This Row],[SP Strike Price]]), ISNUMBER(SnapshotTable[[#This Row],[SP Qty]]), ISNUMBER(SnapshotTable[[#This Row],[SP Book Date]]), ISNUMBER(SnapshotTable[[#This Row],[SP Book Price]]))</f>
        <v>0</v>
      </c>
      <c r="BX179" s="419" t="b">
        <f>AND(SnapshotTable[[#This Row],[SP Is Booked]], NOT(ISBLANK(SnapshotTable[[#This Row],[SP Fill Date]])))</f>
        <v>0</v>
      </c>
      <c r="BY179" s="33">
        <f>IF(SnapshotTable[[#This Row],[SP Is Booked]], SnapshotTable[[#This Row],[SP Qty]] * SnapshotTable[[#This Row],[SP Book Price]] * 100, 0)</f>
        <v>0</v>
      </c>
      <c r="BZ179" s="369"/>
      <c r="CA179" s="368">
        <f>SnapshotTable[[#This Row],[LP Qty]]</f>
        <v>0</v>
      </c>
      <c r="CB179" s="4" t="str">
        <f>IF(SnapshotTable[[#This Row],[SP Is Booked]], SnapshotTable[[#This Row],[SP Strike Price]] - SnapshotTable[[#This Row],[SP Book Price]], "")</f>
        <v/>
      </c>
      <c r="CC179" s="19" t="str">
        <f>IF(SnapshotTable[[#This Row],[SP Is Booked]],SnapshotTable[[#This Row],[SP Exp Date]]-MAX(SnapshotTable[[#This Row],[SP Book Date]], SnapshotTable[[#This Row],[SP Fill Date]]),"")</f>
        <v/>
      </c>
      <c r="CD179" s="7" t="str">
        <f>IF(SnapshotTable[[#This Row],[SP Is Booked]], SnapshotTable[[#This Row],[SP Book Price]]/SnapshotTable[[#This Row],[SP Strike Price]], "")</f>
        <v/>
      </c>
      <c r="CE179" s="7" t="str">
        <f>IF(ISNUMBER(SnapshotTable[[#This Row],[SP ROO Term]]),SnapshotTable[[#This Row],[SP ROO Term]]*(365/SnapshotTable[[#This Row],[SP Term]]),"")</f>
        <v/>
      </c>
      <c r="CF179" s="236">
        <f>SnapshotTable[[#This Row],[LP Strike Price]] * SnapshotTable[[#This Row],[LP Qty]] * 100</f>
        <v>0</v>
      </c>
      <c r="CG179" s="31" t="e">
        <f>IF(ISNUMBER(SnapshotTable[[#This Row],[SP Premium]]), (SnapshotTable[[#This Row],[SP Qty]] * SnapshotTable[[#This Row],[SP Strike Price]]* 100) - SnapshotTable[[#This Row],[LP Protection]], 0)</f>
        <v>#VALUE!</v>
      </c>
      <c r="CH179" s="7" t="str">
        <f>IF(ISNUMBER(SnapshotTable[[#This Row],[SP Break Even]]),-1 * (SnapshotTable[[#This Row],[SP Break Even]] - SnapshotTable[[#This Row],[Last Price]]) / SnapshotTable[[#This Row],[Last Price]], "")</f>
        <v/>
      </c>
      <c r="CI179" s="31">
        <f>IF(AND(ISNUMBER((SnapshotTable[[#This Row],[SP Potential Spend]])), SnapshotTable[[#This Row],[SP Strike Price]] &gt; SnapshotTable[[#This Row],[Last Price]], SnapshotTable[[#This Row],[SP Is Filled]]), SnapshotTable[[#This Row],[SP Potential Spend]] -  SnapshotTable[[#This Row],[LP Max Value]], 0)</f>
        <v>0</v>
      </c>
      <c r="CJ179" s="244"/>
      <c r="CK179" s="31" t="str">
        <f>IF(ISNUMBER(SnapshotTable[[#This Row],[SP Potential Spend]]),IF(ISNUMBER(SnapshotTable[[#This Row],[SP POW]]), SnapshotTable[[#This Row],[SP POW]] * SnapshotTable[[#This Row],[SP Potential Spend]], SnapshotTable[[#This Row],[SP Potential Spend]]), "")</f>
        <v/>
      </c>
      <c r="CL179" s="164" t="e">
        <f>IF(NOT(SnapshotTable[[#This Row],[SP Is Filled]]),(SnapshotTable[[#This Row],[SP Qty]] * SnapshotTable[[#This Row],[SP Strike Price]] * 100) - SnapshotTable[[#This Row],[LP Max Value]],"")</f>
        <v>#VALUE!</v>
      </c>
      <c r="CM179" s="31" t="str">
        <f>IF(SnapshotTable[[#This Row],[SP Actual Spend]]&lt;&gt;0, ((SnapshotTable[[#This Row],[SP Strike Price]]-SnapshotTable[[#This Row],[Last Price]]) *(SnapshotTable[[#This Row],[SP Qty]]*100) - SnapshotTable[[#This Row],[SP Premium]]) * - 1, "")</f>
        <v/>
      </c>
      <c r="CN179" s="78"/>
      <c r="CO179" s="369"/>
      <c r="CP179" s="4" t="str">
        <f>IF(SnapshotTable[[#This Row],[SP Is Filled]], btc_max_buyback_amount(SnapshotTable[[#This Row],[SP Fill Date]],SnapshotTable[[#This Row],[SP Exp Date]], SnapshotTable[[#This Row],[SP Book Price]]),"")</f>
        <v/>
      </c>
      <c r="CQ179" s="78"/>
      <c r="CR17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9" s="155" t="str">
        <f>IF(SnapshotTable[[#This Row],[SP Is Filled]], btc_next_cutoff_date(SnapshotTable[[#This Row],[SP Fill Date]],SnapshotTable[[#This Row],[SP Exp Date]]),"")</f>
        <v/>
      </c>
      <c r="CT179" s="235" t="str" cm="1">
        <f t="array" ref="CT179">IF(SnapshotTable[[#This Row],[SP Is Filled]], btc_should_buy_back(SnapshotTable[[#This Row],[SP Fill Date]], SnapshotTable[[#This Row],[SP Exp Date]], SnapshotTable[[#This Row],[SP Book Price]], SnapshotTable[[#This Row],[SP Current Ask]], MockToday, SnapshotTable[[#This Row],[SP Buyback Override]]),"")</f>
        <v/>
      </c>
      <c r="CU179" s="143"/>
      <c r="CV179" s="235"/>
      <c r="CW179" s="378" t="str">
        <f>IF(ISNUMBER( SnapshotTable[[#This Row],[SP Term]]), SnapshotTable[[#This Row],[SP Exp Date]] - MockToday,"")</f>
        <v/>
      </c>
      <c r="CX179" s="31" t="str">
        <f>IF(SnapshotTable[[#This Row],[SP Is Filled]],SnapshotTable[[#This Row],[SP Buyback Price to Use]] * 100 * SnapshotTable[[#This Row],[SP Qty]], "")</f>
        <v/>
      </c>
      <c r="CY179" s="4" t="str">
        <f>IF(ISNUMBER(SnapshotTable[[#This Row],[SP Strike Price]]), SnapshotTable[[#This Row],[SP Strike Price]] * (1 - SP_MaxLoss_StrikePct), "")</f>
        <v/>
      </c>
      <c r="CZ179" s="31" t="str">
        <f>IF(ISNUMBER(SnapshotTable[[#This Row],[SP Strike  Stop Per Share]]),SnapshotTable[[#This Row],[SP Premium]] - ((SnapshotTable[[#This Row],[SP Strike Price]]-SnapshotTable[[#This Row],[SP Strike  Stop Per Share]]) *(SnapshotTable[[#This Row],[SP Qty]] * 100)),"")</f>
        <v/>
      </c>
      <c r="DA179" s="4" t="str">
        <f>IF(AND(ISNUMBER(SnapshotTable[[#This Row],[SP Premium]]),SnapshotTable[[#This Row],[SP Premium]]&gt;0), SnapshotTable[[#This Row],[SP Book Price]] * (1 + SP_MaxLoss_OptionPct), "")</f>
        <v/>
      </c>
      <c r="DB179" s="31" t="str">
        <f>IF(ISNUMBER(SnapshotTable[[#This Row],[SP Option  Stop Contract]]),(SnapshotTable[[#This Row],[SP Option  Stop Contract]] *(SnapshotTable[[#This Row],[SP Qty]] * 100) - SnapshotTable[[#This Row],[SP Premium]]),"")</f>
        <v/>
      </c>
      <c r="DC179" s="4"/>
      <c r="DD179" s="4"/>
      <c r="DE179" s="4" t="str">
        <f>IF(AND(SnapshotTable[[#This Row],[SP Qty]]&gt;0, SnapshotTable[[#This Row],[SP Stop To Use]]&gt;0),SnapshotTable[[#This Row],[SP Premium]] - ( SnapshotTable[[#This Row],[SP Qty]] * SnapshotTable[[#This Row],[SP Stop To Use]] * 100), "")</f>
        <v/>
      </c>
      <c r="DF179" s="31" t="str">
        <f>IF(AND(SnapshotTable[[#This Row],[SP Qty]]&gt;0,SnapshotTable[[#This Row],[SP Current Ask]]&gt;0), SnapshotTable[[#This Row],[SP Qty]] * SnapshotTable[[#This Row],[SP Current Ask]] * -100, "")</f>
        <v/>
      </c>
      <c r="DG179" s="31" t="str">
        <f>IF(ISNUMBER((SnapshotTable[[#This Row],[SP Total Value]])), SnapshotTable[[#This Row],[SP Premium]] + SnapshotTable[[#This Row],[SP Total Value]], "")</f>
        <v/>
      </c>
      <c r="DH179" s="294" t="str">
        <f>IF(ISNUMBER((SnapshotTable[[#This Row],[SP Total Value]])), SnapshotTable[[#This Row],[SP Gain Loss]] / SnapshotTable[[#This Row],[SP Premium]], "")</f>
        <v/>
      </c>
      <c r="DI179" s="406"/>
      <c r="DJ179" s="138"/>
      <c r="DK179" s="148"/>
      <c r="DL179" s="13"/>
      <c r="DM179" s="13"/>
      <c r="DO179" s="31">
        <f>IF(SnapshotTable[[#This Row],[LC Symbol Count]]=1, SnapshotTable[[#This Row],[LC Qty]] * SnapshotTable[[#This Row],[LC Book Price]] * 100, 0)</f>
        <v>0</v>
      </c>
      <c r="DP179" s="163" t="str">
        <f>IF(AND(SnapshotTable[[#This Row],[LC Exp Date]]&gt;0, SnapshotTable[[#This Row],[LC Strike Price]]&gt;0,SnapshotTable[[#This Row],[LC Qty]]&gt;0,SnapshotTable[[#This Row],[LC Book Date]]&gt;0,SnapshotTable[[#This Row],[LC Book Price]]&gt;0,SnapshotTable[[#This Row],[LC Fill Date]]=0),"Y","")</f>
        <v/>
      </c>
      <c r="DQ179" s="386" t="str">
        <f>IF(SnapshotTable[[#This Row],[LC Premium]] &gt; 0,SnapshotTable[[#This Row],[LC Exp Date]]-MAX(SnapshotTable[[#This Row],[LC Book Date]], SnapshotTable[[#This Row],[LC Fill Date]]),"")</f>
        <v/>
      </c>
      <c r="DR179" s="386" t="str">
        <f>IF(ISNUMBER(SnapshotTable[[#This Row],[LC Term]]), SnapshotTable[[#This Row],[LC Exp Date]] - MockToday, "")</f>
        <v/>
      </c>
      <c r="DS179" s="234" t="str">
        <f>IF(SnapshotTable[[#This Row],[LC Premium]]&gt;0,SnapshotTable[[#This Row],[LC Strike Price]] + SnapshotTable[[#This Row],[LC Book Price]],"")</f>
        <v/>
      </c>
      <c r="DU179" s="9" t="str">
        <f>IF(AND(SnapshotTable[[#This Row],[LC Symbol Count]]&gt;0, SnapshotTable[[#This Row],[LC Contract Value]]&gt;0), SnapshotTable[[#This Row],[LC Contract Value]] * SnapshotTable[[#This Row],[LC Qty]] * 100, "")</f>
        <v/>
      </c>
      <c r="DV179" s="9" t="str">
        <f>IF(AND(ISNUMBER(SnapshotTable[[#This Row],[LC Total Value]]), SnapshotTable[[#This Row],[LC Not Filled]]&lt;&gt;"Y"), SnapshotTable[[#This Row],[LC Total Value]]-SnapshotTable[[#This Row],[LC Premium]],"")</f>
        <v/>
      </c>
      <c r="DW179" s="240" t="str">
        <f>IF(ISNUMBER(SnapshotTable[[#This Row],[LC Actual Gain Loss]]), SnapshotTable[[#This Row],[LC Actual Gain Loss]] / SnapshotTable[[#This Row],[LC Premium]],"")</f>
        <v/>
      </c>
      <c r="DX179" s="284" t="str">
        <f>IF(ISNUMBER(SnapshotTable[[#This Row],[LC Book Price]]),SnapshotTable[[#This Row],[LC Book Price]] * 1.5,"")</f>
        <v/>
      </c>
      <c r="DY179" s="265" t="str">
        <f>IF(SnapshotTable[[#This Row],[LC Premium]]&gt;0, SnapshotTable[[#This Row],[LC Next Target]] * SnapshotTable[[#This Row],[LC Qty]] * 100,"")</f>
        <v/>
      </c>
      <c r="DZ179" s="265" t="str">
        <f>IF(ISNUMBER(SnapshotTable[[#This Row],[LC Target Gross]]), SnapshotTable[[#This Row],[LC Target Gross]] - SnapshotTable[[#This Row],[LC Premium]], "")</f>
        <v/>
      </c>
      <c r="EA179" s="305" t="str">
        <f>IF(ISNUMBER(SnapshotTable[[#This Row],[LC Target Gain Loss]]), SnapshotTable[[#This Row],[LC Target Gain Loss]]/SnapshotTable[[#This Row],[LC Premium]], "")</f>
        <v/>
      </c>
      <c r="EB179" s="262"/>
      <c r="EC179" s="283" t="str">
        <f>IF(SnapshotTable[[#This Row],[LC Premium]]&gt;0, SnapshotTable[[#This Row],[LC Book Price]] * (1 - LC_StopLoss_Pct),"")</f>
        <v/>
      </c>
      <c r="ED179" s="284"/>
      <c r="EE179" s="283" t="str">
        <f>IF(ISNUMBER(SnapshotTable[[#This Row],[LC Contract Value]]),IF(ISNUMBER(SnapshotTable[[#This Row],[LC Stop Loss Override]]), SnapshotTable[[#This Row],[LC Stop Loss Override]],SnapshotTable[[#This Row],[LC Stop Loss Calc Target]]),"")</f>
        <v/>
      </c>
      <c r="EF179" s="31" t="str">
        <f>IF(ISNUMBER(SnapshotTable[[#This Row],[LC Stop  To Use]]), (SnapshotTable[[#This Row],[LC Stop  To Use]] * SnapshotTable[[#This Row],[LC Qty]] * 100),"")</f>
        <v/>
      </c>
      <c r="EG179" s="9" t="str">
        <f>IF(ISNUMBER(SnapshotTable[[#This Row],[LC Total Value]]),SnapshotTable[[#This Row],[LC Stop Loss Amount]] - SnapshotTable[[#This Row],[LC Premium]],"")</f>
        <v/>
      </c>
      <c r="EH179" s="9">
        <f>IF(ISNUMBER(SnapshotTable[[#This Row],[LC Premium]]), SnapshotTable[[#This Row],[LC Qty]] * 100 * SnapshotTable[[#This Row],[LC Strike Price]], "")</f>
        <v>0</v>
      </c>
      <c r="EI179" s="240" t="str">
        <f>IF(AND(ISNUMBER(SnapshotTable[[#This Row],[LC Total Value]]),SnapshotTable[[#This Row],[LC Total Value]]&gt;0),SnapshotTable[[#This Row],[LC Stop Gain Loss]]  / SnapshotTable[[#This Row],[LC Premium]],"")</f>
        <v/>
      </c>
      <c r="EJ179" s="35">
        <f>IF(ISNUMBER(SnapshotTable[[#This Row],[Equity Shares]]),TRUNC(SnapshotTable[[#This Row],[Equity Shares]] / 100),0) + SnapshotTable[[#This Row],[LC Qty]]</f>
        <v>0</v>
      </c>
      <c r="EK179" s="147"/>
      <c r="EL179" s="138" t="str">
        <f>IF(SnapshotTable[[#This Row],[SC Exp Date]]&lt;&gt;"",TRUNC(SnapshotTable[[#This Row],[Last Price]]),"")</f>
        <v/>
      </c>
      <c r="EM179" s="148"/>
      <c r="EN179" s="147"/>
      <c r="EO179" s="147"/>
      <c r="EP179" s="138"/>
      <c r="EQ179" s="419" t="b">
        <f>AND(ISNUMBER(SnapshotTable[[#This Row],[SC Exp Date]]), ISNUMBER(SnapshotTable[[#This Row],[SC Strike Price]]), ISNUMBER(SnapshotTable[[#This Row],[SC Qty]]), ISNUMBER(SnapshotTable[[#This Row],[SC Book Date]]), ISNUMBER(SnapshotTable[[#This Row],[SC Book Price]]))</f>
        <v>0</v>
      </c>
      <c r="ER179" s="419" t="b">
        <f>AND(SnapshotTable[[#This Row],[SC Is Booked]], NOT(ISBLANK(SnapshotTable[[#This Row],[SC Fill Date]])))</f>
        <v>0</v>
      </c>
      <c r="ES179" s="370"/>
      <c r="ET179" s="34" t="str">
        <f>IF(AND(ISNUMBER(SnapshotTable[[#This Row],[SC Exp Date]]), ISNUMBER(SnapshotTable[[#This Row],[SC Book Date]])), SnapshotTable[[#This Row],[SC Exp Date]] - MAX(SnapshotTable[[#This Row],[SC Book Date]], SnapshotTable[[#This Row],[SC Fill Date]]) + 1, "")</f>
        <v/>
      </c>
      <c r="EU179" s="34" t="str">
        <f>IF(ISNUMBER(SnapshotTable[[#This Row],[SC Term]]), SnapshotTable[[#This Row],[SC Exp Date]]- MockToday, "")</f>
        <v/>
      </c>
      <c r="EV179" s="31">
        <f>IF(SnapshotTable[[#This Row],[SC Is Booked]], SnapshotTable[[#This Row],[SC Qty]] * SnapshotTable[[#This Row],[SC Book Price]] * 100, 0)</f>
        <v>0</v>
      </c>
      <c r="EW179" s="4" t="str">
        <f>IF(AND(ISNUMBER(SnapshotTable[[#This Row],[Last Price]]), ISNUMBER( SnapshotTable[[#This Row],[SC Book Price]])), SnapshotTable[[#This Row],[Last Price]] - SnapshotTable[[#This Row],[SC Book Price]],"")</f>
        <v/>
      </c>
      <c r="EX179" s="234" t="str">
        <f>IF(SnapshotTable[[#This Row],[SC Is Booked]],IF(SnapshotTable[[#This Row],[SC Intrinsic Value]] &gt; 0, SnapshotTable[[#This Row],[SC Strike Price]], SnapshotTable[[#This Row],[Last Price]]), "")</f>
        <v/>
      </c>
      <c r="EY179" s="4">
        <f>IF(SnapshotTable[[#This Row],[SC Is Booked]], (MinimumPremiumRequired * SnapshotTable[[#This Row],[SC Basis]] * SnapshotTable[[#This Row],[SC Term]]), 0)</f>
        <v>0</v>
      </c>
      <c r="EZ179" s="283"/>
      <c r="FA179" s="218"/>
      <c r="FB179" s="370"/>
      <c r="FC179" s="4">
        <f>IF(SnapshotTable[[#This Row],[SC Is Filled]], btc_max_buyback_amount(SnapshotTable[[#This Row],[SC Fill Date]],SnapshotTable[[#This Row],[SC Exp Date]], SnapshotTable[[#This Row],[SC Book Price]]),0)</f>
        <v>0</v>
      </c>
      <c r="FD179" s="5"/>
      <c r="FE179" s="144" t="str">
        <f>IF(SnapshotTable[[#This Row],[SC Is Filled]], btc_next_cutoff_date(SnapshotTable[[#This Row],[SC Fill Date]],SnapshotTable[[#This Row],[SC Exp Date]]),"")</f>
        <v/>
      </c>
      <c r="FF179" s="4" t="str" cm="1">
        <f t="array" ref="FF179">IF(SnapshotTable[[#This Row],[SC Is Filled]], btc_should_buy_back(SnapshotTable[[#This Row],[SC Fill Date]], SnapshotTable[[#This Row],[SC Exp Date]], SnapshotTable[[#This Row],[SC Book Price]], SnapshotTable[[#This Row],[SC Current Ask]], MockToday, SnapshotTable[[#This Row],[SC Buyback Override]]),"")</f>
        <v/>
      </c>
      <c r="FG179" s="4">
        <f>IF(SnapshotTable[[#This Row],[SC Is Filled]], MAX(0,SnapshotTable[[#This Row],[Last Price]]  - SnapshotTable[[#This Row],[SC Strike Price]]), 0)</f>
        <v>0</v>
      </c>
      <c r="FH179" s="382">
        <f>IF(SnapshotTable[[#This Row],[SC Is Filled]], IF(ISNUMBER(SnapshotTable[[#This Row],[SC Current Ask]]), SnapshotTable[[#This Row],[SC Current Ask]], SnapshotTable[[#This Row],[SC Book Price]]) - SnapshotTable[[#This Row],[SC Intrinsic Value]], 0)</f>
        <v>0</v>
      </c>
      <c r="FI179" s="143"/>
      <c r="FJ179" s="32" t="str">
        <f>IF(SnapshotTable[[#This Row],[SC Is Filled]],100 * SnapshotTable[[#This Row],[SC Qty]] * IF(ISNUMBER(SnapshotTable[[#This Row],[SC Buyback Override]]), SnapshotTable[[#This Row],[SC Buyback Override]], SnapshotTable[[#This Row],[SC Current Ask]]), "")</f>
        <v/>
      </c>
      <c r="FK179" s="250" t="str">
        <f>IF(SnapshotTable[[#This Row],[SC Time Val]]&gt;0, SnapshotTable[[#This Row],[SC Time Val]] / SnapshotTable[[#This Row],[Last Price]],"")</f>
        <v/>
      </c>
      <c r="FL179" s="302" t="str">
        <f>IF(SnapshotTable[[#This Row],[SC Is Booked]], ((SnapshotTable[[#This Row],[Last Price]] -SnapshotTable[[#This Row],[SC Strike Price]]) / SnapshotTable[[#This Row],[Last Price]]) * -1, "")</f>
        <v/>
      </c>
      <c r="FM179" s="157" t="str">
        <f>IF(SnapshotTable[[#This Row],[SC Is Booked]],  (SnapshotTable[[#This Row],[SC Qty]] * 100 * SnapshotTable[[#This Row],[SC Strike Price]]) - SnapshotTable[[#This Row],[SC Current Ask]], "")</f>
        <v/>
      </c>
      <c r="FN17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9" s="31" t="str">
        <f>IF(AND(ISNUMBER(SnapshotTable[[#This Row],[SC Exercise Gross]]), ISNUMBER(SnapshotTable[[#This Row],[Equity Basis Per Share]] )), SnapshotTable[[#This Row],[SC Exercise Gross]] - SnapshotTable[[#This Row],[Equity Basis Total]] +  SnapshotTable[[#This Row],[SC Premium]], "")</f>
        <v/>
      </c>
      <c r="FP179" s="5" t="str">
        <f>IF(ISNUMBER(SnapshotTable[[#This Row],[SC Exercise Gross]]), (SnapshotTable[[#This Row],[SC Exercise Gross]]) / (SnapshotTable[[#This Row],[SC Qty]] * 100), "")</f>
        <v/>
      </c>
      <c r="FQ179" s="27" t="str">
        <f>IF(SnapshotTable[[#This Row],[SC Is Booked]],SnapshotTable[[#This Row],[SC Time Val]] /SnapshotTable[[#This Row],[SC Basis]], "")</f>
        <v/>
      </c>
      <c r="FR179" s="27" t="str" cm="1">
        <f t="array" ref="FR179">IF(AND(ISNUMBER(SnapshotTable[[#This Row],[SC Term]]),ISNUMBER(SnapshotTable[[#This Row],[SC Simple ROO]])), EllmanAnnualize(SnapshotTable[[#This Row],[SC DTE]], SnapshotTable[[#This Row],[SC Simple ROO]] ),"")</f>
        <v/>
      </c>
      <c r="FS179" s="4" t="e">
        <f>IF(SnapshotTable[[#This Row],[SC Strike Price]] &gt; SnapshotTable[[#This Row],[Last Price]], SnapshotTable[[#This Row],[SC Strike Price]] - SnapshotTable[[#This Row],[Last Price]],0)</f>
        <v>#VALUE!</v>
      </c>
      <c r="FT179" s="27" t="e">
        <f>IF(AND(ISNUMBER(SnapshotTable[[#This Row],[SC Upside Potential]]), SnapshotTable[[#This Row],[SC Upside Potential]] &gt; 0),(SnapshotTable[[#This Row],[SC Upside Potential]]/ SnapshotTable[[#This Row],[ACB]]),"")</f>
        <v>#VALUE!</v>
      </c>
      <c r="FU179" s="333" t="str">
        <f>IF(SnapshotTable[[#This Row],[SC Intrinsic Value]] &gt; 0,SnapshotTable[[#This Row],[SC Intrinsic Value]],"")</f>
        <v/>
      </c>
      <c r="FV179" s="27" t="str">
        <f>IF(AND( ISNUMBER( SnapshotTable[[#This Row],[ACB]]),ISNUMBER(SnapshotTable[[#This Row],[SC Downside Protect]])),SnapshotTable[[#This Row],[SC Downside Protect]] / SnapshotTable[[#This Row],[ACB]],"")</f>
        <v/>
      </c>
      <c r="FW179" s="236" t="str">
        <f>IF(AND(ISNUMBER(SnapshotTable[[#This Row],[SC Simple ROO]]),SnapshotTable[[#This Row],[SC Simple ROO]] &gt; 0), SnapshotTable[[#This Row],[SC Premium]] + (SnapshotTable[[#This Row],[SC Qty]] * SnapshotTable[[#This Row],[SC Upside Potential]]), "")</f>
        <v/>
      </c>
      <c r="FX179" s="302" t="str" cm="1">
        <f t="array" ref="FX179">IF(ISNUMBER(SnapshotTable[[#This Row],[SC Max Dollars]]), annualize(SnapshotTable[[#This Row],[SC Term]],(SnapshotTable[[#This Row],[SC Max Dollars]]/SnapshotTable[[#This Row],[SC Basis]])),"")</f>
        <v/>
      </c>
      <c r="FY179" s="236" t="str">
        <f>IF(AND(SnapshotTable[[#This Row],[SC Qty]]&gt;0,SnapshotTable[[#This Row],[SC Current Ask]]&gt;0), SnapshotTable[[#This Row],[SC Qty]] * SnapshotTable[[#This Row],[SC Current Ask]] * -100, "")</f>
        <v/>
      </c>
      <c r="FZ179" s="31" t="str">
        <f>IF(ISNUMBER((SnapshotTable[[#This Row],[SC Current Value]])), SnapshotTable[[#This Row],[SC Premium]] + SnapshotTable[[#This Row],[SC Current Value]], "")</f>
        <v/>
      </c>
      <c r="GA179" s="294" t="str">
        <f>IFERROR( IF(ISNUMBER((SnapshotTable[[#This Row],[SC Current Value]])), SnapshotTable[[#This Row],[SC Gain Loss]] / SnapshotTable[[#This Row],[SC Premium]], ""), "")</f>
        <v/>
      </c>
      <c r="GB179" s="42">
        <f>SnapshotTable[[#This Row],[Equity Shares]] * SaleSharesToConsiderPercentage</f>
        <v>0</v>
      </c>
      <c r="GC179" s="40">
        <f>SnapshotTable[[#This Row],[Long Term Target]] * SellingPriceToConsiderBasedOnTargetPercentage</f>
        <v>17.8125</v>
      </c>
      <c r="GD179" s="40">
        <f>SnapshotTable[[#This Row],[Last Price]] * (1+ SellingPriceToConsiderBasedOnTargetPercentage)</f>
        <v>39.896999999999998</v>
      </c>
      <c r="GE179" s="41"/>
      <c r="GF179" s="40"/>
      <c r="GG179" s="31">
        <f>SnapshotTable[[#This Row],[Booked Sale Shares]] * SnapshotTable[[#This Row],[Booked Sale Price]]</f>
        <v>0</v>
      </c>
      <c r="GH179" s="31" t="str">
        <f>IF(SnapshotTable[[#This Row],[Equity Basis Total]] &gt; 0, SnapshotTable[[#This Row],[Equity Basis Per Share]] * SnapshotTable[[#This Row],[Booked Sale Shares]], "")</f>
        <v/>
      </c>
      <c r="GI179" s="31">
        <f>IF(SnapshotTable[[#This Row],[Sale Proceeds]]&gt;0, SnapshotTable[[#This Row],[Sale Proceeds]] - SnapshotTable[[#This Row],[Sale Basis]], 0)</f>
        <v>0</v>
      </c>
      <c r="GJ179" s="27" t="str">
        <f>IF(SnapshotTable[[#This Row],[Sale G/L]]&gt;0, SnapshotTable[[#This Row],[Sale G/L]] / SnapshotTable[[#This Row],[Sale Basis]], IF(ISNUMBER(SnapshotTable[[#This Row],[SC Exercise P&amp;L (TAX)]]), SnapshotTable[[#This Row],[SC Exercise P&amp;L (TAX)]] / SnapshotTable[[#This Row],[SC Basis]], ""))</f>
        <v/>
      </c>
      <c r="GK179" s="27"/>
      <c r="GL179" s="43" t="str">
        <f>IF(AND(SnapshotTable[[#This Row],[LP Exp Date]]&gt;0,SnapshotTable[[#This Row],[LP Strike Price]]&gt;0), [1]!ToOptionSymbol(SnapshotTable[[#This Row],[Symbol]], SnapshotTable[[#This Row],[LP Strike Price]],SnapshotTable[[#This Row],[LP Exp Date]],1), "")</f>
        <v/>
      </c>
      <c r="GM179" s="30" t="str">
        <f>IF(LEN(SnapshotTable[[#This Row],[LP Symbol]])&gt;0, 1, "")</f>
        <v/>
      </c>
      <c r="GN179" s="43" t="str">
        <f>IF(AND(SnapshotTable[[#This Row],[SP Exp Date]]&gt;0,SnapshotTable[[#This Row],[SP Strike Price]]&gt;0), [1]!ToOptionSymbol(SnapshotTable[[#This Row],[Symbol]], SnapshotTable[[#This Row],[SP Strike Price]],SnapshotTable[[#This Row],[SP Exp Date]],1), "")</f>
        <v/>
      </c>
      <c r="GO179" s="30" t="str">
        <f>IF(LEN(SnapshotTable[[#This Row],[SP Symbol]])&gt;0, 1, "")</f>
        <v/>
      </c>
      <c r="GP179" s="43" t="str">
        <f>IF(AND(SnapshotTable[[#This Row],[LC Exp Date]]&gt;0,SnapshotTable[[#This Row],[LC Strike Price]]&gt;0), [1]!ToOptionSymbol(SnapshotTable[[#This Row],[Symbol]], SnapshotTable[[#This Row],[LC Strike Price]],SnapshotTable[[#This Row],[LC Exp Date]],0), "")</f>
        <v/>
      </c>
      <c r="GQ179" s="30" t="str">
        <f>IF(LEN(SnapshotTable[[#This Row],[LC Symbol]])&gt;0, 1, "")</f>
        <v/>
      </c>
      <c r="GR179" s="43" t="str">
        <f>IF(AND(SnapshotTable[[#This Row],[SC Exp Date]]&gt;0,SnapshotTable[[#This Row],[SC Strike Price]]&gt;0), [1]!ToOptionSymbol(SnapshotTable[[#This Row],[Symbol]], SnapshotTable[[#This Row],[SC Strike Price]],SnapshotTable[[#This Row],[SC Exp Date]],0), "")</f>
        <v/>
      </c>
      <c r="GS179" s="30" t="str">
        <f>IF(LEN(SnapshotTable[[#This Row],[SC Symbol]])&gt;0, 1, "")</f>
        <v/>
      </c>
      <c r="GT179" s="29" t="str">
        <f>IF(COUNT(SnapshotTable[[#This Row],[LP Symbol Count]],SnapshotTable[[#This Row],[SP Symbol Count]],SnapshotTable[[#This Row],[LC Symbol Count]],SnapshotTable[[#This Row],[SC Symbol Count]])&gt;0, "Y", "")</f>
        <v/>
      </c>
      <c r="GU17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9" s="231" t="e">
        <f>MAX(SnapshotTable[[#This Row],[Equity Basis Total]],SnapshotTable[[#This Row],[Equity Value]]) + (SnapshotTable[[#This Row],[SP Potential Spend]]- SnapshotTable[[#This Row],[SP Premium]] + SnapshotTable[[#This Row],[LP Premium]])+ (SnapshotTable[[#This Row],[LC Premium]] - SnapshotTable[[#This Row],[SC Premium]])</f>
        <v>#VALUE!</v>
      </c>
      <c r="GW179" s="139" t="e">
        <f>IF(AND(SnapshotTable[[#This Row],[Exposure]] &lt;&gt; 0),SnapshotTable[[#This Row],[Exposure]] / SnapshotTable[[#Totals],[Exposure]], "")</f>
        <v>#VALUE!</v>
      </c>
      <c r="HE179" s="268"/>
      <c r="HF179" s="268"/>
      <c r="HK179" s="1"/>
      <c r="HL179" s="1"/>
      <c r="HM179" s="1"/>
      <c r="HN179" s="1"/>
      <c r="HO179" s="1"/>
      <c r="HP179" s="1"/>
    </row>
    <row r="180" spans="2:224" ht="12.75" hidden="1" customHeight="1" x14ac:dyDescent="0.25">
      <c r="B180" s="12" t="s">
        <v>931</v>
      </c>
      <c r="C180" s="422">
        <v>35.049999999999997</v>
      </c>
      <c r="D180" s="208"/>
      <c r="E180" s="39">
        <f>SnapshotTable[[#This Row],[Last Price]]*(1 -CrashDiscount)</f>
        <v>29.792499999999997</v>
      </c>
      <c r="F180" s="26" t="s">
        <v>904</v>
      </c>
      <c r="G180" s="26" t="s">
        <v>610</v>
      </c>
      <c r="H180" s="149"/>
      <c r="I180" s="194">
        <v>44798.670138888891</v>
      </c>
      <c r="J180" s="195">
        <v>44798.670138888891</v>
      </c>
      <c r="K180" s="196"/>
      <c r="L180" s="326"/>
      <c r="M180" s="140"/>
      <c r="N180" s="140"/>
      <c r="O180" s="140"/>
      <c r="P180" s="22"/>
      <c r="Q180" s="25"/>
      <c r="R180" s="4" t="str">
        <f>IF(SnapshotTable[[#This Row],[Equity Basis Total]] &gt; 0, SnapshotTable[[#This Row],[Equity Basis Total]] / SnapshotTable[[#This Row],[Equity Shares]], "")</f>
        <v/>
      </c>
      <c r="S180" s="269">
        <f>SnapshotTable[[#This Row],[Last Price]] * SnapshotTable[[#This Row],[Equity Shares]]</f>
        <v>0</v>
      </c>
      <c r="T180" s="269">
        <f>SnapshotTable[[#This Row],[Equity Value]] - SnapshotTable[[#This Row],[Equity Basis Total]]</f>
        <v>0</v>
      </c>
      <c r="U180" s="270" t="str">
        <f>IF(SnapshotTable[[#This Row],[Equity Basis Total]] &gt; 0, SnapshotTable[[#This Row],[Equity G/L]] / SnapshotTable[[#This Row],[Equity Basis Total]], "")</f>
        <v/>
      </c>
      <c r="V180" s="268"/>
      <c r="W180" s="268"/>
      <c r="X180" s="4" t="str">
        <f>IF(AND(ISNUMBER(SnapshotTable[[#This Row],[Equity Basis Per Share]]),ISNUMBER(SnapshotTable[[#This Row],[Equity Target]])),SnapshotTable[[#This Row],[Equity Target]]-SnapshotTable[[#This Row],[Equity Basis Per Share]],"")</f>
        <v/>
      </c>
      <c r="Y180" s="4" t="str">
        <f>IF(AND(ISNUMBER(SnapshotTable[[#This Row],[Equity Basis Per Share]]),ISNUMBER(SnapshotTable[[#This Row],[Equity Stop Loss]])),SnapshotTable[[#This Row],[Equity Stop Loss]]-SnapshotTable[[#This Row],[Equity Basis Per Share]],"")</f>
        <v/>
      </c>
      <c r="Z180" s="275" t="str">
        <f>IFERROR( TEXT(SnapshotTable[[#This Row],[Equity Max Gain Per Share]] /ABS( SnapshotTable[[#This Row],[Equity Max Loss Per Share]]),"0.0 " ) &amp; " : 1", "")</f>
        <v/>
      </c>
      <c r="AA180" s="31" t="str">
        <f>IF(ISNUMBER(SnapshotTable[[#This Row],[Equity Max Gain Per Share]]),SnapshotTable[[#This Row],[Equity Max Gain Per Share]] * SnapshotTable[[#This Row],[Equity Shares]],"")</f>
        <v/>
      </c>
      <c r="AB180" s="31" t="str">
        <f>IF(ISNUMBER(SnapshotTable[[#This Row],[Equity Max Loss Per Share]]),SnapshotTable[[#This Row],[Equity Max Loss Per Share]] * SnapshotTable[[#This Row],[Equity Shares]],"")</f>
        <v/>
      </c>
      <c r="AC180" s="150"/>
      <c r="AD180" s="151"/>
      <c r="AE180" s="31">
        <f>(SnapshotTable[[#This Row],[Annual Dividend Per Share]] / 4) * SnapshotTable[[#This Row],[Equity Shares]]</f>
        <v>0</v>
      </c>
      <c r="AF180" s="31">
        <f>SnapshotTable[[#This Row],[Quarterly Div $]] * 4</f>
        <v>0</v>
      </c>
      <c r="AG180" s="7">
        <f>IF(SnapshotTable[[#This Row],[Annual Dividend Per Share]]&gt;0, SnapshotTable[[#This Row],[Annual Dividend Per Share]]  / SnapshotTable[[#This Row],[Last Price]], 0)</f>
        <v>0</v>
      </c>
      <c r="AH180" s="151"/>
      <c r="AI180" s="5"/>
      <c r="AJ180" s="138">
        <v>30.67</v>
      </c>
      <c r="AK180" s="152" t="str">
        <f>IF(ISNUMBER( SnapshotTable[[#This Row],[EBF Target]]),(SnapshotTable[[#This Row],[EBF Target]] - SnapshotTable[[#This Row],[Last Price]]) / SnapshotTable[[#This Row],[Last Price]], "")</f>
        <v/>
      </c>
      <c r="AL180" s="152" t="str">
        <f>IF(AND(SnapshotTable[[#This Row],[Equity Basis Total]] &gt; 0,ISNUMBER( SnapshotTable[[#This Row],[Long Term Target]])), SnapshotTable[[#This Row],[From Basis $]] / SnapshotTable[[#This Row],[Equity Basis Total]], "")</f>
        <v/>
      </c>
      <c r="AM180" s="9">
        <f>IF( AND(SnapshotTable[[#This Row],[Equity Shares]] &gt;0,ISNUMBER( SnapshotTable[[#This Row],[Long Term Target]])),(SnapshotTable[[#This Row],[Equity Shares]] * SnapshotTable[[#This Row],[Long Term Target]]) - SnapshotTable[[#This Row],[Equity Basis Total]],0)</f>
        <v>0</v>
      </c>
      <c r="AN180" s="9">
        <f>IF( AND(SnapshotTable[[#This Row],[Equity Shares]] &gt;0,ISNUMBER( SnapshotTable[[#This Row],[Long Term Target]])),(SnapshotTable[[#This Row],[Equity Shares]]*SnapshotTable[[#This Row],[Long Term Target]]) - SnapshotTable[[#This Row],[Equity Value]],0)</f>
        <v>0</v>
      </c>
      <c r="AO180" s="152">
        <f>IF(AND(ISNUMBER( SnapshotTable[[#This Row],[Long Term Target]]), ISNUMBER(SnapshotTable[[#This Row],[Last Price]])),(SnapshotTable[[#This Row],[Long Term Target]] - SnapshotTable[[#This Row],[Last Price]]) / SnapshotTable[[#This Row],[Last Price]], "")</f>
        <v>-0.12496433666191144</v>
      </c>
      <c r="AP180" s="5"/>
      <c r="AQ180" s="38"/>
      <c r="AR180" s="5"/>
      <c r="AS180" s="38"/>
      <c r="AT180" s="146"/>
      <c r="AU180" s="187" t="str">
        <f>IF(OR(SnapshotTable[[#This Row],[LP No Fill]]="Y",SnapshotTable[[#This Row],[SP Is Filled]],SnapshotTable[[#This Row],[LC Not Filled]]="Y",SnapshotTable[[#This Row],[SC Is Filled]]),"Y","")</f>
        <v/>
      </c>
      <c r="AV180" s="219"/>
      <c r="AW180" s="225"/>
      <c r="AX180" s="220"/>
      <c r="AY180" s="219" t="str">
        <f>IF(SnapshotTable[[#This Row],[Implied Move]]&gt;0, SnapshotTable[[#This Row],[Last Price]]-SnapshotTable[[#This Row],[Implied Move]],"")</f>
        <v/>
      </c>
      <c r="AZ180" s="219" t="str">
        <f>IF(SnapshotTable[[#This Row],[Implied Move]]&gt;0, SnapshotTable[[#This Row],[Last Price]] + SnapshotTable[[#This Row],[Implied Move]],"")</f>
        <v/>
      </c>
      <c r="BA180" s="331"/>
      <c r="BB180" s="347"/>
      <c r="BC18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0" s="351"/>
      <c r="BE180" s="138"/>
      <c r="BF180" s="166"/>
      <c r="BG180" s="167"/>
      <c r="BH180" s="167"/>
      <c r="BI180" s="221"/>
      <c r="BJ180" s="153">
        <f>IF(SnapshotTable[[#This Row],[LP Qty]] &gt; 0, SnapshotTable[[#This Row],[LP Qty]] * SnapshotTable[[#This Row],[LP Book Price]] * 100,0)</f>
        <v>0</v>
      </c>
      <c r="BK180" s="136">
        <f>IF(SnapshotTable[[#This Row],[LP Premium]] &gt; 0, SnapshotTable[[#This Row],[LP Qty]] * SnapshotTable[[#This Row],[LP Strike Price]] * 100,0)</f>
        <v>0</v>
      </c>
      <c r="BL180" s="154"/>
      <c r="BM180" s="385" t="str">
        <f>IF(SnapshotTable[[#This Row],[LP Premium]] &gt; 0,SnapshotTable[[#This Row],[LP Exp Date]]-MAX(SnapshotTable[[#This Row],[LP Book Date]], SnapshotTable[[#This Row],[LP Fill Date]]),"")</f>
        <v/>
      </c>
      <c r="BN180" s="385" t="str">
        <f>IF(ISNUMBER( SnapshotTable[[#This Row],[LP Term]]), SnapshotTable[[#This Row],[LP Exp Date]] - MockToday,"")</f>
        <v/>
      </c>
      <c r="BO180" s="163" t="str">
        <f>IF(AND(SnapshotTable[[#This Row],[LP Exp Date]]&gt;0, SnapshotTable[[#This Row],[LP Strike Price]]&gt;0,SnapshotTable[[#This Row],[LP Qty]]&gt;0,SnapshotTable[[#This Row],[LP Book Date]]&gt;0,SnapshotTable[[#This Row],[LP Book Price]]&gt;0,SnapshotTable[[#This Row],[LP Fill Date]]=0),"Y","")</f>
        <v/>
      </c>
      <c r="BP180" s="31" t="str">
        <f>IF(AND(SnapshotTable[[#This Row],[LP No Fill]]&lt;&gt;"Y",SnapshotTable[[#This Row],[LP Contract Value]]&gt;0, SnapshotTable[[#This Row],[LP Qty]]&gt;0), SnapshotTable[[#This Row],[LP Contract Value]]*SnapshotTable[[#This Row],[LP Qty]]*100,"")</f>
        <v/>
      </c>
      <c r="BQ180" s="13"/>
      <c r="BR180" s="5" t="str">
        <f>IF(SnapshotTable[[#This Row],[SP Exp Date]]&lt;&gt;"",TRUNC(SnapshotTable[[#This Row],[Last Price]]),"")</f>
        <v/>
      </c>
      <c r="BS180" s="36"/>
      <c r="BT180" s="147"/>
      <c r="BU180" s="13"/>
      <c r="BV180" s="5"/>
      <c r="BW180" s="419" t="b">
        <f>AND(ISNUMBER(SnapshotTable[[#This Row],[SP Exp Date]]), ISNUMBER(SnapshotTable[[#This Row],[SP Strike Price]]), ISNUMBER(SnapshotTable[[#This Row],[SP Qty]]), ISNUMBER(SnapshotTable[[#This Row],[SP Book Date]]), ISNUMBER(SnapshotTable[[#This Row],[SP Book Price]]))</f>
        <v>0</v>
      </c>
      <c r="BX180" s="419" t="b">
        <f>AND(SnapshotTable[[#This Row],[SP Is Booked]], NOT(ISBLANK(SnapshotTable[[#This Row],[SP Fill Date]])))</f>
        <v>0</v>
      </c>
      <c r="BY180" s="33">
        <f>IF(SnapshotTable[[#This Row],[SP Is Booked]], SnapshotTable[[#This Row],[SP Qty]] * SnapshotTable[[#This Row],[SP Book Price]] * 100, 0)</f>
        <v>0</v>
      </c>
      <c r="BZ180" s="369"/>
      <c r="CA180" s="368">
        <f>SnapshotTable[[#This Row],[LP Qty]]</f>
        <v>0</v>
      </c>
      <c r="CB180" s="4" t="str">
        <f>IF(SnapshotTable[[#This Row],[SP Is Booked]], SnapshotTable[[#This Row],[SP Strike Price]] - SnapshotTable[[#This Row],[SP Book Price]], "")</f>
        <v/>
      </c>
      <c r="CC180" s="19" t="str">
        <f>IF(SnapshotTable[[#This Row],[SP Is Booked]],SnapshotTable[[#This Row],[SP Exp Date]]-MAX(SnapshotTable[[#This Row],[SP Book Date]], SnapshotTable[[#This Row],[SP Fill Date]]),"")</f>
        <v/>
      </c>
      <c r="CD180" s="7" t="str">
        <f>IF(SnapshotTable[[#This Row],[SP Is Booked]], SnapshotTable[[#This Row],[SP Book Price]]/SnapshotTable[[#This Row],[SP Strike Price]], "")</f>
        <v/>
      </c>
      <c r="CE180" s="7" t="str">
        <f>IF(ISNUMBER(SnapshotTable[[#This Row],[SP ROO Term]]),SnapshotTable[[#This Row],[SP ROO Term]]*(365/SnapshotTable[[#This Row],[SP Term]]),"")</f>
        <v/>
      </c>
      <c r="CF180" s="236">
        <f>SnapshotTable[[#This Row],[LP Strike Price]] * SnapshotTable[[#This Row],[LP Qty]] * 100</f>
        <v>0</v>
      </c>
      <c r="CG180" s="31" t="e">
        <f>IF(ISNUMBER(SnapshotTable[[#This Row],[SP Premium]]), (SnapshotTable[[#This Row],[SP Qty]] * SnapshotTable[[#This Row],[SP Strike Price]]* 100) - SnapshotTable[[#This Row],[LP Protection]], 0)</f>
        <v>#VALUE!</v>
      </c>
      <c r="CH180" s="7" t="str">
        <f>IF(ISNUMBER(SnapshotTable[[#This Row],[SP Break Even]]),-1 * (SnapshotTable[[#This Row],[SP Break Even]] - SnapshotTable[[#This Row],[Last Price]]) / SnapshotTable[[#This Row],[Last Price]], "")</f>
        <v/>
      </c>
      <c r="CI180" s="31">
        <f>IF(AND(ISNUMBER((SnapshotTable[[#This Row],[SP Potential Spend]])), SnapshotTable[[#This Row],[SP Strike Price]] &gt; SnapshotTable[[#This Row],[Last Price]], SnapshotTable[[#This Row],[SP Is Filled]]), SnapshotTable[[#This Row],[SP Potential Spend]] -  SnapshotTable[[#This Row],[LP Max Value]], 0)</f>
        <v>0</v>
      </c>
      <c r="CJ180" s="244"/>
      <c r="CK180" s="31" t="str">
        <f>IF(ISNUMBER(SnapshotTable[[#This Row],[SP Potential Spend]]),IF(ISNUMBER(SnapshotTable[[#This Row],[SP POW]]), SnapshotTable[[#This Row],[SP POW]] * SnapshotTable[[#This Row],[SP Potential Spend]], SnapshotTable[[#This Row],[SP Potential Spend]]), "")</f>
        <v/>
      </c>
      <c r="CL180" s="164" t="e">
        <f>IF(NOT(SnapshotTable[[#This Row],[SP Is Filled]]),(SnapshotTable[[#This Row],[SP Qty]] * SnapshotTable[[#This Row],[SP Strike Price]] * 100) - SnapshotTable[[#This Row],[LP Max Value]],"")</f>
        <v>#VALUE!</v>
      </c>
      <c r="CM180" s="31" t="str">
        <f>IF(SnapshotTable[[#This Row],[SP Actual Spend]]&lt;&gt;0, ((SnapshotTable[[#This Row],[SP Strike Price]]-SnapshotTable[[#This Row],[Last Price]]) *(SnapshotTable[[#This Row],[SP Qty]]*100) - SnapshotTable[[#This Row],[SP Premium]]) * - 1, "")</f>
        <v/>
      </c>
      <c r="CN180" s="154"/>
      <c r="CO180" s="369"/>
      <c r="CP180" s="320" t="str">
        <f>IF(SnapshotTable[[#This Row],[SP Is Filled]], btc_max_buyback_amount(SnapshotTable[[#This Row],[SP Fill Date]],SnapshotTable[[#This Row],[SP Exp Date]], SnapshotTable[[#This Row],[SP Book Price]]),"")</f>
        <v/>
      </c>
      <c r="CQ180" s="78"/>
      <c r="CR180" s="76"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0" s="155" t="str">
        <f>IF(SnapshotTable[[#This Row],[SP Is Filled]], btc_next_cutoff_date(SnapshotTable[[#This Row],[SP Fill Date]],SnapshotTable[[#This Row],[SP Exp Date]]),"")</f>
        <v/>
      </c>
      <c r="CT180" s="235" t="str" cm="1">
        <f t="array" ref="CT180">IF(SnapshotTable[[#This Row],[SP Is Filled]], btc_should_buy_back(SnapshotTable[[#This Row],[SP Fill Date]], SnapshotTable[[#This Row],[SP Exp Date]], SnapshotTable[[#This Row],[SP Book Price]], SnapshotTable[[#This Row],[SP Current Ask]], MockToday, SnapshotTable[[#This Row],[SP Buyback Override]]),"")</f>
        <v/>
      </c>
      <c r="CU180" s="156"/>
      <c r="CV180" s="235"/>
      <c r="CW180" s="378" t="str">
        <f>IF(ISNUMBER( SnapshotTable[[#This Row],[SP Term]]), SnapshotTable[[#This Row],[SP Exp Date]] - MockToday,"")</f>
        <v/>
      </c>
      <c r="CX180" s="31" t="str">
        <f>IF(SnapshotTable[[#This Row],[SP Is Filled]],SnapshotTable[[#This Row],[SP Buyback Price to Use]] * 100 * SnapshotTable[[#This Row],[SP Qty]], "")</f>
        <v/>
      </c>
      <c r="CY180" s="4" t="str">
        <f>IF(ISNUMBER(SnapshotTable[[#This Row],[SP Strike Price]]), SnapshotTable[[#This Row],[SP Strike Price]] * (1 - SP_MaxLoss_StrikePct), "")</f>
        <v/>
      </c>
      <c r="CZ180" s="31" t="str">
        <f>IF(ISNUMBER(SnapshotTable[[#This Row],[SP Strike  Stop Per Share]]),SnapshotTable[[#This Row],[SP Premium]] - ((SnapshotTable[[#This Row],[SP Strike Price]]-SnapshotTable[[#This Row],[SP Strike  Stop Per Share]]) *(SnapshotTable[[#This Row],[SP Qty]] * 100)),"")</f>
        <v/>
      </c>
      <c r="DA180" s="4" t="str">
        <f>IF(AND(ISNUMBER(SnapshotTable[[#This Row],[SP Premium]]),SnapshotTable[[#This Row],[SP Premium]]&gt;0), SnapshotTable[[#This Row],[SP Book Price]] * (1 + SP_MaxLoss_OptionPct), "")</f>
        <v/>
      </c>
      <c r="DB180" s="31" t="str">
        <f>IF(ISNUMBER(SnapshotTable[[#This Row],[SP Option  Stop Contract]]),(SnapshotTable[[#This Row],[SP Option  Stop Contract]] *(SnapshotTable[[#This Row],[SP Qty]] * 100) - SnapshotTable[[#This Row],[SP Premium]]),"")</f>
        <v/>
      </c>
      <c r="DC180" s="4"/>
      <c r="DD180" s="4"/>
      <c r="DE180" s="4" t="str">
        <f>IF(AND(SnapshotTable[[#This Row],[SP Qty]]&gt;0, SnapshotTable[[#This Row],[SP Stop To Use]]&gt;0),SnapshotTable[[#This Row],[SP Premium]] - ( SnapshotTable[[#This Row],[SP Qty]] * SnapshotTable[[#This Row],[SP Stop To Use]] * 100), "")</f>
        <v/>
      </c>
      <c r="DF180" s="31" t="str">
        <f>IF(AND(SnapshotTable[[#This Row],[SP Qty]]&gt;0,SnapshotTable[[#This Row],[SP Current Ask]]&gt;0), SnapshotTable[[#This Row],[SP Qty]] * SnapshotTable[[#This Row],[SP Current Ask]] * -100, "")</f>
        <v/>
      </c>
      <c r="DG180" s="31" t="str">
        <f>IF(ISNUMBER((SnapshotTable[[#This Row],[SP Total Value]])), SnapshotTable[[#This Row],[SP Premium]] + SnapshotTable[[#This Row],[SP Total Value]], "")</f>
        <v/>
      </c>
      <c r="DH180" s="294" t="str">
        <f>IF(ISNUMBER((SnapshotTable[[#This Row],[SP Total Value]])), SnapshotTable[[#This Row],[SP Gain Loss]] / SnapshotTable[[#This Row],[SP Premium]], "")</f>
        <v/>
      </c>
      <c r="DI180" s="406"/>
      <c r="DJ180" s="138"/>
      <c r="DK180" s="148"/>
      <c r="DL180" s="147"/>
      <c r="DM180" s="147"/>
      <c r="DO180" s="31">
        <f>IF(SnapshotTable[[#This Row],[LC Symbol Count]]=1, SnapshotTable[[#This Row],[LC Qty]] * SnapshotTable[[#This Row],[LC Book Price]] * 100, 0)</f>
        <v>0</v>
      </c>
      <c r="DP180" s="289" t="str">
        <f>IF(AND(SnapshotTable[[#This Row],[LC Exp Date]]&gt;0, SnapshotTable[[#This Row],[LC Strike Price]]&gt;0,SnapshotTable[[#This Row],[LC Qty]]&gt;0,SnapshotTable[[#This Row],[LC Book Date]]&gt;0,SnapshotTable[[#This Row],[LC Book Price]]&gt;0,SnapshotTable[[#This Row],[LC Fill Date]]=0),"Y","")</f>
        <v/>
      </c>
      <c r="DQ180" s="386" t="str">
        <f>IF(SnapshotTable[[#This Row],[LC Premium]] &gt; 0,SnapshotTable[[#This Row],[LC Exp Date]]-MAX(SnapshotTable[[#This Row],[LC Book Date]], SnapshotTable[[#This Row],[LC Fill Date]]),"")</f>
        <v/>
      </c>
      <c r="DR180" s="386" t="str">
        <f>IF(ISNUMBER(SnapshotTable[[#This Row],[LC Term]]), SnapshotTable[[#This Row],[LC Exp Date]] - MockToday, "")</f>
        <v/>
      </c>
      <c r="DS180" s="234" t="str">
        <f>IF(SnapshotTable[[#This Row],[LC Premium]]&gt;0,SnapshotTable[[#This Row],[LC Strike Price]] + SnapshotTable[[#This Row],[LC Book Price]],"")</f>
        <v/>
      </c>
      <c r="DU180" s="9" t="str">
        <f>IF(AND(SnapshotTable[[#This Row],[LC Symbol Count]]&gt;0, SnapshotTable[[#This Row],[LC Contract Value]]&gt;0), SnapshotTable[[#This Row],[LC Contract Value]] * SnapshotTable[[#This Row],[LC Qty]] * 100, "")</f>
        <v/>
      </c>
      <c r="DV180" s="9" t="str">
        <f>IF(AND(ISNUMBER(SnapshotTable[[#This Row],[LC Total Value]]), SnapshotTable[[#This Row],[LC Not Filled]]&lt;&gt;"Y"), SnapshotTable[[#This Row],[LC Total Value]]-SnapshotTable[[#This Row],[LC Premium]],"")</f>
        <v/>
      </c>
      <c r="DW180" s="240" t="str">
        <f>IF(ISNUMBER(SnapshotTable[[#This Row],[LC Actual Gain Loss]]), SnapshotTable[[#This Row],[LC Actual Gain Loss]] / SnapshotTable[[#This Row],[LC Premium]],"")</f>
        <v/>
      </c>
      <c r="DX180" s="284" t="str">
        <f>IF(ISNUMBER(SnapshotTable[[#This Row],[LC Book Price]]),SnapshotTable[[#This Row],[LC Book Price]] * 1.5,"")</f>
        <v/>
      </c>
      <c r="DY180" s="265" t="str">
        <f>IF(SnapshotTable[[#This Row],[LC Premium]]&gt;0, SnapshotTable[[#This Row],[LC Next Target]] * SnapshotTable[[#This Row],[LC Qty]] * 100,"")</f>
        <v/>
      </c>
      <c r="DZ180" s="265" t="str">
        <f>IF(ISNUMBER(SnapshotTable[[#This Row],[LC Target Gross]]), SnapshotTable[[#This Row],[LC Target Gross]] - SnapshotTable[[#This Row],[LC Premium]], "")</f>
        <v/>
      </c>
      <c r="EA180" s="305" t="str">
        <f>IF(ISNUMBER(SnapshotTable[[#This Row],[LC Target Gain Loss]]), SnapshotTable[[#This Row],[LC Target Gain Loss]]/SnapshotTable[[#This Row],[LC Premium]], "")</f>
        <v/>
      </c>
      <c r="EB180" s="262"/>
      <c r="EC180" s="290" t="str">
        <f>IF(SnapshotTable[[#This Row],[LC Premium]]&gt;0, SnapshotTable[[#This Row],[LC Book Price]] * (1 - LC_StopLoss_Pct),"")</f>
        <v/>
      </c>
      <c r="ED180" s="284"/>
      <c r="EE180" s="283" t="str">
        <f>IF(ISNUMBER(SnapshotTable[[#This Row],[LC Contract Value]]),IF(ISNUMBER(SnapshotTable[[#This Row],[LC Stop Loss Override]]), SnapshotTable[[#This Row],[LC Stop Loss Override]],SnapshotTable[[#This Row],[LC Stop Loss Calc Target]]),"")</f>
        <v/>
      </c>
      <c r="EF180" s="31" t="str">
        <f>IF(ISNUMBER(SnapshotTable[[#This Row],[LC Stop  To Use]]), (SnapshotTable[[#This Row],[LC Stop  To Use]] * SnapshotTable[[#This Row],[LC Qty]] * 100),"")</f>
        <v/>
      </c>
      <c r="EG180" s="9" t="str">
        <f>IF(ISNUMBER(SnapshotTable[[#This Row],[LC Total Value]]),SnapshotTable[[#This Row],[LC Stop Loss Amount]] - SnapshotTable[[#This Row],[LC Premium]],"")</f>
        <v/>
      </c>
      <c r="EH180" s="9">
        <f>IF(ISNUMBER(SnapshotTable[[#This Row],[LC Premium]]), SnapshotTable[[#This Row],[LC Qty]] * 100 * SnapshotTable[[#This Row],[LC Strike Price]], "")</f>
        <v>0</v>
      </c>
      <c r="EI180" s="240" t="str">
        <f>IF(AND(ISNUMBER(SnapshotTable[[#This Row],[LC Total Value]]),SnapshotTable[[#This Row],[LC Total Value]]&gt;0),SnapshotTable[[#This Row],[LC Stop Gain Loss]]  / SnapshotTable[[#This Row],[LC Premium]],"")</f>
        <v/>
      </c>
      <c r="EJ180" s="35">
        <f>IF(ISNUMBER(SnapshotTable[[#This Row],[Equity Shares]]),TRUNC(SnapshotTable[[#This Row],[Equity Shares]] / 100),0) + SnapshotTable[[#This Row],[LC Qty]]</f>
        <v>0</v>
      </c>
      <c r="EK180" s="147"/>
      <c r="EL180" s="138" t="str">
        <f>IF(SnapshotTable[[#This Row],[SC Exp Date]]&lt;&gt;"",TRUNC(SnapshotTable[[#This Row],[Last Price]]),"")</f>
        <v/>
      </c>
      <c r="EM180" s="148"/>
      <c r="EN180" s="147"/>
      <c r="EO180" s="147"/>
      <c r="EP180" s="138"/>
      <c r="EQ180" s="419" t="b">
        <f>AND(ISNUMBER(SnapshotTable[[#This Row],[SC Exp Date]]), ISNUMBER(SnapshotTable[[#This Row],[SC Strike Price]]), ISNUMBER(SnapshotTable[[#This Row],[SC Qty]]), ISNUMBER(SnapshotTable[[#This Row],[SC Book Date]]), ISNUMBER(SnapshotTable[[#This Row],[SC Book Price]]))</f>
        <v>0</v>
      </c>
      <c r="ER180" s="419" t="b">
        <f>AND(SnapshotTable[[#This Row],[SC Is Booked]], NOT(ISBLANK(SnapshotTable[[#This Row],[SC Fill Date]])))</f>
        <v>0</v>
      </c>
      <c r="ES180" s="370"/>
      <c r="ET180" s="34" t="str">
        <f>IF(AND(ISNUMBER(SnapshotTable[[#This Row],[SC Exp Date]]), ISNUMBER(SnapshotTable[[#This Row],[SC Book Date]])), SnapshotTable[[#This Row],[SC Exp Date]] - MAX(SnapshotTable[[#This Row],[SC Book Date]], SnapshotTable[[#This Row],[SC Fill Date]]) + 1, "")</f>
        <v/>
      </c>
      <c r="EU180" s="34" t="str">
        <f>IF(ISNUMBER(SnapshotTable[[#This Row],[SC Term]]), SnapshotTable[[#This Row],[SC Exp Date]]- MockToday, "")</f>
        <v/>
      </c>
      <c r="EV180" s="31">
        <f>IF(SnapshotTable[[#This Row],[SC Is Booked]], SnapshotTable[[#This Row],[SC Qty]] * SnapshotTable[[#This Row],[SC Book Price]] * 100, 0)</f>
        <v>0</v>
      </c>
      <c r="EW180" s="4" t="str">
        <f>IF(AND(ISNUMBER(SnapshotTable[[#This Row],[Last Price]]), ISNUMBER( SnapshotTable[[#This Row],[SC Book Price]])), SnapshotTable[[#This Row],[Last Price]] - SnapshotTable[[#This Row],[SC Book Price]],"")</f>
        <v/>
      </c>
      <c r="EX180" s="234" t="str">
        <f>IF(SnapshotTable[[#This Row],[SC Is Booked]],IF(SnapshotTable[[#This Row],[SC Intrinsic Value]] &gt; 0, SnapshotTable[[#This Row],[SC Strike Price]], SnapshotTable[[#This Row],[Last Price]]), "")</f>
        <v/>
      </c>
      <c r="EY180" s="4">
        <f>IF(SnapshotTable[[#This Row],[SC Is Booked]], (MinimumPremiumRequired * SnapshotTable[[#This Row],[SC Basis]] * SnapshotTable[[#This Row],[SC Term]]), 0)</f>
        <v>0</v>
      </c>
      <c r="EZ180" s="283"/>
      <c r="FA180" s="218"/>
      <c r="FB180" s="370"/>
      <c r="FC180" s="4">
        <f>IF(SnapshotTable[[#This Row],[SC Is Filled]], btc_max_buyback_amount(SnapshotTable[[#This Row],[SC Fill Date]],SnapshotTable[[#This Row],[SC Exp Date]], SnapshotTable[[#This Row],[SC Book Price]]),0)</f>
        <v>0</v>
      </c>
      <c r="FD180" s="5"/>
      <c r="FE180" s="144" t="str">
        <f>IF(SnapshotTable[[#This Row],[SC Is Filled]], btc_next_cutoff_date(SnapshotTable[[#This Row],[SC Fill Date]],SnapshotTable[[#This Row],[SC Exp Date]]),"")</f>
        <v/>
      </c>
      <c r="FF180" s="4" t="str" cm="1">
        <f t="array" ref="FF180">IF(SnapshotTable[[#This Row],[SC Is Filled]], btc_should_buy_back(SnapshotTable[[#This Row],[SC Fill Date]], SnapshotTable[[#This Row],[SC Exp Date]], SnapshotTable[[#This Row],[SC Book Price]], SnapshotTable[[#This Row],[SC Current Ask]], MockToday, SnapshotTable[[#This Row],[SC Buyback Override]]),"")</f>
        <v/>
      </c>
      <c r="FG180" s="4">
        <f>IF(SnapshotTable[[#This Row],[SC Is Filled]], MAX(0,SnapshotTable[[#This Row],[Last Price]]  - SnapshotTable[[#This Row],[SC Strike Price]]), 0)</f>
        <v>0</v>
      </c>
      <c r="FH180" s="382">
        <f>IF(SnapshotTable[[#This Row],[SC Is Filled]], IF(ISNUMBER(SnapshotTable[[#This Row],[SC Current Ask]]), SnapshotTable[[#This Row],[SC Current Ask]], SnapshotTable[[#This Row],[SC Book Price]]) - SnapshotTable[[#This Row],[SC Intrinsic Value]], 0)</f>
        <v>0</v>
      </c>
      <c r="FI180" s="143"/>
      <c r="FJ180" s="32" t="str">
        <f>IF(SnapshotTable[[#This Row],[SC Is Filled]],100 * SnapshotTable[[#This Row],[SC Qty]] * IF(ISNUMBER(SnapshotTable[[#This Row],[SC Buyback Override]]), SnapshotTable[[#This Row],[SC Buyback Override]], SnapshotTable[[#This Row],[SC Current Ask]]), "")</f>
        <v/>
      </c>
      <c r="FK180" s="250" t="str">
        <f>IF(SnapshotTable[[#This Row],[SC Time Val]]&gt;0, SnapshotTable[[#This Row],[SC Time Val]] / SnapshotTable[[#This Row],[Last Price]],"")</f>
        <v/>
      </c>
      <c r="FL180" s="302" t="str">
        <f>IF(SnapshotTable[[#This Row],[SC Is Booked]], ((SnapshotTable[[#This Row],[Last Price]] -SnapshotTable[[#This Row],[SC Strike Price]]) / SnapshotTable[[#This Row],[Last Price]]) * -1, "")</f>
        <v/>
      </c>
      <c r="FM180" s="157" t="str">
        <f>IF(SnapshotTable[[#This Row],[SC Is Booked]],  (SnapshotTable[[#This Row],[SC Qty]] * 100 * SnapshotTable[[#This Row],[SC Strike Price]]) - SnapshotTable[[#This Row],[SC Current Ask]], "")</f>
        <v/>
      </c>
      <c r="FN180"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0" s="157" t="str">
        <f>IF(AND(ISNUMBER(SnapshotTable[[#This Row],[SC Exercise Gross]]), ISNUMBER(SnapshotTable[[#This Row],[Equity Basis Per Share]] )), SnapshotTable[[#This Row],[SC Exercise Gross]] - SnapshotTable[[#This Row],[Equity Basis Total]] +  SnapshotTable[[#This Row],[SC Premium]], "")</f>
        <v/>
      </c>
      <c r="FP180" s="5" t="str">
        <f>IF(ISNUMBER(SnapshotTable[[#This Row],[SC Exercise Gross]]), (SnapshotTable[[#This Row],[SC Exercise Gross]]) / (SnapshotTable[[#This Row],[SC Qty]] * 100), "")</f>
        <v/>
      </c>
      <c r="FQ180" s="27" t="str">
        <f>IF(SnapshotTable[[#This Row],[SC Is Booked]],SnapshotTable[[#This Row],[SC Time Val]] /SnapshotTable[[#This Row],[SC Basis]], "")</f>
        <v/>
      </c>
      <c r="FR180" s="27" t="str" cm="1">
        <f t="array" ref="FR180">IF(AND(ISNUMBER(SnapshotTable[[#This Row],[SC Term]]),ISNUMBER(SnapshotTable[[#This Row],[SC Simple ROO]])), EllmanAnnualize(SnapshotTable[[#This Row],[SC DTE]], SnapshotTable[[#This Row],[SC Simple ROO]] ),"")</f>
        <v/>
      </c>
      <c r="FS180" s="4" t="e">
        <f>IF(SnapshotTable[[#This Row],[SC Strike Price]] &gt; SnapshotTable[[#This Row],[Last Price]], SnapshotTable[[#This Row],[SC Strike Price]] - SnapshotTable[[#This Row],[Last Price]],0)</f>
        <v>#VALUE!</v>
      </c>
      <c r="FT180" s="27" t="e">
        <f>IF(AND(ISNUMBER(SnapshotTable[[#This Row],[SC Upside Potential]]), SnapshotTable[[#This Row],[SC Upside Potential]] &gt; 0),(SnapshotTable[[#This Row],[SC Upside Potential]]/ SnapshotTable[[#This Row],[ACB]]),"")</f>
        <v>#VALUE!</v>
      </c>
      <c r="FU180" s="333" t="str">
        <f>IF(SnapshotTable[[#This Row],[SC Intrinsic Value]] &gt; 0,SnapshotTable[[#This Row],[SC Intrinsic Value]],"")</f>
        <v/>
      </c>
      <c r="FV180" s="27" t="str">
        <f>IF(AND( ISNUMBER( SnapshotTable[[#This Row],[ACB]]),ISNUMBER(SnapshotTable[[#This Row],[SC Downside Protect]])),SnapshotTable[[#This Row],[SC Downside Protect]] / SnapshotTable[[#This Row],[ACB]],"")</f>
        <v/>
      </c>
      <c r="FW180" s="236" t="str">
        <f>IF(AND(ISNUMBER(SnapshotTable[[#This Row],[SC Simple ROO]]),SnapshotTable[[#This Row],[SC Simple ROO]] &gt; 0), SnapshotTable[[#This Row],[SC Premium]] + (SnapshotTable[[#This Row],[SC Qty]] * SnapshotTable[[#This Row],[SC Upside Potential]]), "")</f>
        <v/>
      </c>
      <c r="FX180" s="302" t="str" cm="1">
        <f t="array" ref="FX180">IF(ISNUMBER(SnapshotTable[[#This Row],[SC Max Dollars]]), annualize(SnapshotTable[[#This Row],[SC Term]],(SnapshotTable[[#This Row],[SC Max Dollars]]/SnapshotTable[[#This Row],[SC Basis]])),"")</f>
        <v/>
      </c>
      <c r="FY180" s="236" t="str">
        <f>IF(AND(SnapshotTable[[#This Row],[SC Qty]]&gt;0,SnapshotTable[[#This Row],[SC Current Ask]]&gt;0), SnapshotTable[[#This Row],[SC Qty]] * SnapshotTable[[#This Row],[SC Current Ask]] * -100, "")</f>
        <v/>
      </c>
      <c r="FZ180" s="235" t="str">
        <f>IF(ISNUMBER((SnapshotTable[[#This Row],[SC Current Value]])), SnapshotTable[[#This Row],[SC Premium]] + SnapshotTable[[#This Row],[SC Current Value]], "")</f>
        <v/>
      </c>
      <c r="GA180" s="294" t="str">
        <f>IFERROR( IF(ISNUMBER((SnapshotTable[[#This Row],[SC Current Value]])), SnapshotTable[[#This Row],[SC Gain Loss]] / SnapshotTable[[#This Row],[SC Premium]], ""), "")</f>
        <v/>
      </c>
      <c r="GB180" s="42">
        <f>SnapshotTable[[#This Row],[Equity Shares]] * SaleSharesToConsiderPercentage</f>
        <v>0</v>
      </c>
      <c r="GC180" s="40">
        <f>SnapshotTable[[#This Row],[Long Term Target]] * SellingPriceToConsiderBasedOnTargetPercentage</f>
        <v>29.136500000000002</v>
      </c>
      <c r="GD180" s="40">
        <f>SnapshotTable[[#This Row],[Last Price]] * (1+ SellingPriceToConsiderBasedOnTargetPercentage)</f>
        <v>68.347499999999997</v>
      </c>
      <c r="GE180" s="41"/>
      <c r="GF180" s="40"/>
      <c r="GG180" s="31">
        <f>SnapshotTable[[#This Row],[Booked Sale Shares]] * SnapshotTable[[#This Row],[Booked Sale Price]]</f>
        <v>0</v>
      </c>
      <c r="GH180" s="31" t="str">
        <f>IF(SnapshotTable[[#This Row],[Equity Basis Total]] &gt; 0, SnapshotTable[[#This Row],[Equity Basis Per Share]] * SnapshotTable[[#This Row],[Booked Sale Shares]], "")</f>
        <v/>
      </c>
      <c r="GI180" s="31">
        <f>IF(SnapshotTable[[#This Row],[Sale Proceeds]]&gt;0, SnapshotTable[[#This Row],[Sale Proceeds]] - SnapshotTable[[#This Row],[Sale Basis]], 0)</f>
        <v>0</v>
      </c>
      <c r="GJ180" s="158" t="str">
        <f>IF(SnapshotTable[[#This Row],[Sale G/L]]&gt;0, SnapshotTable[[#This Row],[Sale G/L]] / SnapshotTable[[#This Row],[Sale Basis]], IF(ISNUMBER(SnapshotTable[[#This Row],[SC Exercise P&amp;L (TAX)]]), SnapshotTable[[#This Row],[SC Exercise P&amp;L (TAX)]] / SnapshotTable[[#This Row],[SC Basis]], ""))</f>
        <v/>
      </c>
      <c r="GK180" s="27"/>
      <c r="GL180" s="159" t="str">
        <f>IF(AND(SnapshotTable[[#This Row],[LP Exp Date]]&gt;0,SnapshotTable[[#This Row],[LP Strike Price]]&gt;0), [1]!ToOptionSymbol(SnapshotTable[[#This Row],[Symbol]], SnapshotTable[[#This Row],[LP Strike Price]],SnapshotTable[[#This Row],[LP Exp Date]],1), "")</f>
        <v/>
      </c>
      <c r="GM180" s="30" t="str">
        <f>IF(LEN(SnapshotTable[[#This Row],[LP Symbol]])&gt;0, 1, "")</f>
        <v/>
      </c>
      <c r="GN180" s="43" t="str">
        <f>IF(AND(SnapshotTable[[#This Row],[SP Exp Date]]&gt;0,SnapshotTable[[#This Row],[SP Strike Price]]&gt;0), [1]!ToOptionSymbol(SnapshotTable[[#This Row],[Symbol]], SnapshotTable[[#This Row],[SP Strike Price]],SnapshotTable[[#This Row],[SP Exp Date]],1), "")</f>
        <v/>
      </c>
      <c r="GO180" s="30" t="str">
        <f>IF(LEN(SnapshotTable[[#This Row],[SP Symbol]])&gt;0, 1, "")</f>
        <v/>
      </c>
      <c r="GP180" s="159" t="str">
        <f>IF(AND(SnapshotTable[[#This Row],[LC Exp Date]]&gt;0,SnapshotTable[[#This Row],[LC Strike Price]]&gt;0), [1]!ToOptionSymbol(SnapshotTable[[#This Row],[Symbol]], SnapshotTable[[#This Row],[LC Strike Price]],SnapshotTable[[#This Row],[LC Exp Date]],0), "")</f>
        <v/>
      </c>
      <c r="GQ180" s="160" t="str">
        <f>IF(LEN(SnapshotTable[[#This Row],[LC Symbol]])&gt;0, 1, "")</f>
        <v/>
      </c>
      <c r="GR180" s="159" t="str">
        <f>IF(AND(SnapshotTable[[#This Row],[SC Exp Date]]&gt;0,SnapshotTable[[#This Row],[SC Strike Price]]&gt;0), [1]!ToOptionSymbol(SnapshotTable[[#This Row],[Symbol]], SnapshotTable[[#This Row],[SC Strike Price]],SnapshotTable[[#This Row],[SC Exp Date]],0), "")</f>
        <v/>
      </c>
      <c r="GS180" s="160" t="str">
        <f>IF(LEN(SnapshotTable[[#This Row],[SC Symbol]])&gt;0, 1, "")</f>
        <v/>
      </c>
      <c r="GT180" s="161" t="str">
        <f>IF(COUNT(SnapshotTable[[#This Row],[LP Symbol Count]],SnapshotTable[[#This Row],[SP Symbol Count]],SnapshotTable[[#This Row],[LC Symbol Count]],SnapshotTable[[#This Row],[SC Symbol Count]])&gt;0, "Y", "")</f>
        <v/>
      </c>
      <c r="GU18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0" s="231" t="e">
        <f>MAX(SnapshotTable[[#This Row],[Equity Basis Total]],SnapshotTable[[#This Row],[Equity Value]]) + (SnapshotTable[[#This Row],[SP Potential Spend]]- SnapshotTable[[#This Row],[SP Premium]] + SnapshotTable[[#This Row],[LP Premium]])+ (SnapshotTable[[#This Row],[LC Premium]] - SnapshotTable[[#This Row],[SC Premium]])</f>
        <v>#VALUE!</v>
      </c>
      <c r="GW180" s="139" t="e">
        <f>IF(AND(SnapshotTable[[#This Row],[Exposure]] &lt;&gt; 0),SnapshotTable[[#This Row],[Exposure]] / SnapshotTable[[#Totals],[Exposure]], "")</f>
        <v>#VALUE!</v>
      </c>
      <c r="HE180" s="268"/>
      <c r="HF180" s="268"/>
      <c r="HK180" s="1"/>
      <c r="HL180" s="1"/>
      <c r="HM180" s="1"/>
      <c r="HN180" s="1"/>
      <c r="HO180" s="1"/>
      <c r="HP180" s="1"/>
    </row>
    <row r="181" spans="2:224" ht="12.75" hidden="1" customHeight="1" x14ac:dyDescent="0.25">
      <c r="B181" s="12" t="s">
        <v>1010</v>
      </c>
      <c r="C181" s="422">
        <v>8.99</v>
      </c>
      <c r="D181" s="208" t="s">
        <v>578</v>
      </c>
      <c r="E181" s="39">
        <f>SnapshotTable[[#This Row],[Last Price]]*(1 -CrashDiscount)</f>
        <v>7.6414999999999997</v>
      </c>
      <c r="F181" s="26" t="s">
        <v>1011</v>
      </c>
      <c r="G181" s="26" t="s">
        <v>606</v>
      </c>
      <c r="H181" s="149"/>
      <c r="I181" s="194">
        <v>44770.708333333336</v>
      </c>
      <c r="J181" s="195">
        <v>44770.708333333336</v>
      </c>
      <c r="K181" s="196"/>
      <c r="L181" s="326"/>
      <c r="M181" s="140"/>
      <c r="N181" s="140"/>
      <c r="O181" s="140"/>
      <c r="P181" s="22"/>
      <c r="Q181" s="25"/>
      <c r="R181" s="4" t="str">
        <f>IF(SnapshotTable[[#This Row],[Equity Basis Total]] &gt; 0, SnapshotTable[[#This Row],[Equity Basis Total]] / SnapshotTable[[#This Row],[Equity Shares]], "")</f>
        <v/>
      </c>
      <c r="S181" s="269">
        <f>SnapshotTable[[#This Row],[Last Price]] * SnapshotTable[[#This Row],[Equity Shares]]</f>
        <v>0</v>
      </c>
      <c r="T181" s="269">
        <f>SnapshotTable[[#This Row],[Equity Value]] - SnapshotTable[[#This Row],[Equity Basis Total]]</f>
        <v>0</v>
      </c>
      <c r="U181" s="270" t="str">
        <f>IF(SnapshotTable[[#This Row],[Equity Basis Total]] &gt; 0, SnapshotTable[[#This Row],[Equity G/L]] / SnapshotTable[[#This Row],[Equity Basis Total]], "")</f>
        <v/>
      </c>
      <c r="V181" s="268"/>
      <c r="W181" s="268"/>
      <c r="X181" s="4" t="str">
        <f>IF(AND(ISNUMBER(SnapshotTable[[#This Row],[Equity Basis Per Share]]),ISNUMBER(SnapshotTable[[#This Row],[Equity Target]])),SnapshotTable[[#This Row],[Equity Target]]-SnapshotTable[[#This Row],[Equity Basis Per Share]],"")</f>
        <v/>
      </c>
      <c r="Y181" s="4" t="str">
        <f>IF(AND(ISNUMBER(SnapshotTable[[#This Row],[Equity Basis Per Share]]),ISNUMBER(SnapshotTable[[#This Row],[Equity Stop Loss]])),SnapshotTable[[#This Row],[Equity Stop Loss]]-SnapshotTable[[#This Row],[Equity Basis Per Share]],"")</f>
        <v/>
      </c>
      <c r="Z181" s="275" t="str">
        <f>IFERROR( TEXT(SnapshotTable[[#This Row],[Equity Max Gain Per Share]] /ABS( SnapshotTable[[#This Row],[Equity Max Loss Per Share]]),"0.0 " ) &amp; " : 1", "")</f>
        <v/>
      </c>
      <c r="AA181" s="31" t="str">
        <f>IF(ISNUMBER(SnapshotTable[[#This Row],[Equity Max Gain Per Share]]),SnapshotTable[[#This Row],[Equity Max Gain Per Share]] * SnapshotTable[[#This Row],[Equity Shares]],"")</f>
        <v/>
      </c>
      <c r="AB181" s="31" t="str">
        <f>IF(ISNUMBER(SnapshotTable[[#This Row],[Equity Max Loss Per Share]]),SnapshotTable[[#This Row],[Equity Max Loss Per Share]] * SnapshotTable[[#This Row],[Equity Shares]],"")</f>
        <v/>
      </c>
      <c r="AC181" s="150"/>
      <c r="AD181" s="151"/>
      <c r="AE181" s="31">
        <f>(SnapshotTable[[#This Row],[Annual Dividend Per Share]] / 4) * SnapshotTable[[#This Row],[Equity Shares]]</f>
        <v>0</v>
      </c>
      <c r="AF181" s="31">
        <f>SnapshotTable[[#This Row],[Quarterly Div $]] * 4</f>
        <v>0</v>
      </c>
      <c r="AG181" s="7">
        <f>IF(SnapshotTable[[#This Row],[Annual Dividend Per Share]]&gt;0, SnapshotTable[[#This Row],[Annual Dividend Per Share]]  / SnapshotTable[[#This Row],[Last Price]], 0)</f>
        <v>0</v>
      </c>
      <c r="AH181" s="151"/>
      <c r="AI181" s="5">
        <f>SnapshotTable[[#This Row],[Equity Target]]</f>
        <v>0</v>
      </c>
      <c r="AJ181" s="138">
        <v>16.11</v>
      </c>
      <c r="AK181" s="152">
        <f>IF(ISNUMBER( SnapshotTable[[#This Row],[EBF Target]]),(SnapshotTable[[#This Row],[EBF Target]] - SnapshotTable[[#This Row],[Last Price]]) / SnapshotTable[[#This Row],[Last Price]], "")</f>
        <v>-1</v>
      </c>
      <c r="AL181" s="152" t="str">
        <f>IF(AND(SnapshotTable[[#This Row],[Equity Basis Total]] &gt; 0,ISNUMBER( SnapshotTable[[#This Row],[Long Term Target]])), SnapshotTable[[#This Row],[From Basis $]] / SnapshotTable[[#This Row],[Equity Basis Total]], "")</f>
        <v/>
      </c>
      <c r="AM181" s="9">
        <f>IF( AND(SnapshotTable[[#This Row],[Equity Shares]] &gt;0,ISNUMBER( SnapshotTable[[#This Row],[Long Term Target]])),(SnapshotTable[[#This Row],[Equity Shares]] * SnapshotTable[[#This Row],[Long Term Target]]) - SnapshotTable[[#This Row],[Equity Basis Total]],0)</f>
        <v>0</v>
      </c>
      <c r="AN181" s="9">
        <f>IF( AND(SnapshotTable[[#This Row],[Equity Shares]] &gt;0,ISNUMBER( SnapshotTable[[#This Row],[Long Term Target]])),(SnapshotTable[[#This Row],[Equity Shares]]*SnapshotTable[[#This Row],[Long Term Target]]) - SnapshotTable[[#This Row],[Equity Value]],0)</f>
        <v>0</v>
      </c>
      <c r="AO181" s="152">
        <f>IF(AND(ISNUMBER( SnapshotTable[[#This Row],[Long Term Target]]), ISNUMBER(SnapshotTable[[#This Row],[Last Price]])),(SnapshotTable[[#This Row],[Long Term Target]] - SnapshotTable[[#This Row],[Last Price]]) / SnapshotTable[[#This Row],[Last Price]], "")</f>
        <v>0.79199110122358163</v>
      </c>
      <c r="AP181" s="5">
        <v>8</v>
      </c>
      <c r="AQ181" s="38" t="s">
        <v>27</v>
      </c>
      <c r="AR181" s="5">
        <v>8</v>
      </c>
      <c r="AS181" s="38" t="s">
        <v>38</v>
      </c>
      <c r="AT181" s="146" t="s">
        <v>542</v>
      </c>
      <c r="AU181" s="187" t="str">
        <f>IF(OR(SnapshotTable[[#This Row],[LP No Fill]]="Y",SnapshotTable[[#This Row],[SP Is Filled]],SnapshotTable[[#This Row],[LC Not Filled]]="Y",SnapshotTable[[#This Row],[SC Is Filled]]),"Y","")</f>
        <v/>
      </c>
      <c r="AV181" s="219"/>
      <c r="AW181" s="225"/>
      <c r="AX181" s="220"/>
      <c r="AY181" s="219" t="str">
        <f>IF(SnapshotTable[[#This Row],[Implied Move]]&gt;0, SnapshotTable[[#This Row],[Last Price]]-SnapshotTable[[#This Row],[Implied Move]],"")</f>
        <v/>
      </c>
      <c r="AZ181" s="219" t="str">
        <f>IF(SnapshotTable[[#This Row],[Implied Move]]&gt;0, SnapshotTable[[#This Row],[Last Price]] + SnapshotTable[[#This Row],[Implied Move]],"")</f>
        <v/>
      </c>
      <c r="BA181" s="331">
        <v>22.45</v>
      </c>
      <c r="BB181" s="347"/>
      <c r="BC18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1" s="351"/>
      <c r="BE181" s="5"/>
      <c r="BF181" s="14"/>
      <c r="BG181" s="13"/>
      <c r="BH181" s="13"/>
      <c r="BI181" s="5"/>
      <c r="BJ181" s="136">
        <f>IF(SnapshotTable[[#This Row],[LP Qty]] &gt; 0, SnapshotTable[[#This Row],[LP Qty]] * SnapshotTable[[#This Row],[LP Book Price]] * 100,0)</f>
        <v>0</v>
      </c>
      <c r="BK181" s="136">
        <f>IF(SnapshotTable[[#This Row],[LP Premium]] &gt; 0, SnapshotTable[[#This Row],[LP Qty]] * SnapshotTable[[#This Row],[LP Strike Price]] * 100,0)</f>
        <v>0</v>
      </c>
      <c r="BL181" s="154"/>
      <c r="BM181" s="385" t="str">
        <f>IF(SnapshotTable[[#This Row],[LP Premium]] &gt; 0,SnapshotTable[[#This Row],[LP Exp Date]]-MAX(SnapshotTable[[#This Row],[LP Book Date]], SnapshotTable[[#This Row],[LP Fill Date]]),"")</f>
        <v/>
      </c>
      <c r="BN181" s="385" t="str">
        <f>IF(ISNUMBER( SnapshotTable[[#This Row],[LP Term]]), SnapshotTable[[#This Row],[LP Exp Date]] - MockToday,"")</f>
        <v/>
      </c>
      <c r="BO181" s="163" t="str">
        <f>IF(AND(SnapshotTable[[#This Row],[LP Exp Date]]&gt;0, SnapshotTable[[#This Row],[LP Strike Price]]&gt;0,SnapshotTable[[#This Row],[LP Qty]]&gt;0,SnapshotTable[[#This Row],[LP Book Date]]&gt;0,SnapshotTable[[#This Row],[LP Book Price]]&gt;0,SnapshotTable[[#This Row],[LP Fill Date]]=0),"Y","")</f>
        <v/>
      </c>
      <c r="BP181" s="31" t="str">
        <f>IF(AND(SnapshotTable[[#This Row],[LP No Fill]]&lt;&gt;"Y",SnapshotTable[[#This Row],[LP Contract Value]]&gt;0, SnapshotTable[[#This Row],[LP Qty]]&gt;0), SnapshotTable[[#This Row],[LP Contract Value]]*SnapshotTable[[#This Row],[LP Qty]]*100,"")</f>
        <v/>
      </c>
      <c r="BQ181" s="13"/>
      <c r="BR181" s="5" t="str">
        <f>IF(SnapshotTable[[#This Row],[SP Exp Date]]&lt;&gt;"",TRUNC(SnapshotTable[[#This Row],[Last Price]]),"")</f>
        <v/>
      </c>
      <c r="BS181" s="36"/>
      <c r="BT181" s="147"/>
      <c r="BU181" s="13"/>
      <c r="BV181" s="5"/>
      <c r="BW181" s="419" t="b">
        <f>AND(ISNUMBER(SnapshotTable[[#This Row],[SP Exp Date]]), ISNUMBER(SnapshotTable[[#This Row],[SP Strike Price]]), ISNUMBER(SnapshotTable[[#This Row],[SP Qty]]), ISNUMBER(SnapshotTable[[#This Row],[SP Book Date]]), ISNUMBER(SnapshotTable[[#This Row],[SP Book Price]]))</f>
        <v>0</v>
      </c>
      <c r="BX181" s="419" t="b">
        <f>AND(SnapshotTable[[#This Row],[SP Is Booked]], NOT(ISBLANK(SnapshotTable[[#This Row],[SP Fill Date]])))</f>
        <v>0</v>
      </c>
      <c r="BY181" s="33">
        <f>IF(SnapshotTable[[#This Row],[SP Is Booked]], SnapshotTable[[#This Row],[SP Qty]] * SnapshotTable[[#This Row],[SP Book Price]] * 100, 0)</f>
        <v>0</v>
      </c>
      <c r="BZ181" s="369"/>
      <c r="CA181" s="368">
        <f>SnapshotTable[[#This Row],[LP Qty]]</f>
        <v>0</v>
      </c>
      <c r="CB181" s="4" t="str">
        <f>IF(SnapshotTable[[#This Row],[SP Is Booked]], SnapshotTable[[#This Row],[SP Strike Price]] - SnapshotTable[[#This Row],[SP Book Price]], "")</f>
        <v/>
      </c>
      <c r="CC181" s="19" t="str">
        <f>IF(SnapshotTable[[#This Row],[SP Is Booked]],SnapshotTable[[#This Row],[SP Exp Date]]-MAX(SnapshotTable[[#This Row],[SP Book Date]], SnapshotTable[[#This Row],[SP Fill Date]]),"")</f>
        <v/>
      </c>
      <c r="CD181" s="7" t="str">
        <f>IF(SnapshotTable[[#This Row],[SP Is Booked]], SnapshotTable[[#This Row],[SP Book Price]]/SnapshotTable[[#This Row],[SP Strike Price]], "")</f>
        <v/>
      </c>
      <c r="CE181" s="7" t="str">
        <f>IF(ISNUMBER(SnapshotTable[[#This Row],[SP ROO Term]]),SnapshotTable[[#This Row],[SP ROO Term]]*(365/SnapshotTable[[#This Row],[SP Term]]),"")</f>
        <v/>
      </c>
      <c r="CF181" s="236">
        <f>SnapshotTable[[#This Row],[LP Strike Price]] * SnapshotTable[[#This Row],[LP Qty]] * 100</f>
        <v>0</v>
      </c>
      <c r="CG181" s="31" t="e">
        <f>IF(ISNUMBER(SnapshotTable[[#This Row],[SP Premium]]), (SnapshotTable[[#This Row],[SP Qty]] * SnapshotTable[[#This Row],[SP Strike Price]]* 100) - SnapshotTable[[#This Row],[LP Protection]], 0)</f>
        <v>#VALUE!</v>
      </c>
      <c r="CH181" s="7" t="str">
        <f>IF(ISNUMBER(SnapshotTable[[#This Row],[SP Break Even]]),-1 * (SnapshotTable[[#This Row],[SP Break Even]] - SnapshotTable[[#This Row],[Last Price]]) / SnapshotTable[[#This Row],[Last Price]], "")</f>
        <v/>
      </c>
      <c r="CI181" s="31">
        <f>IF(AND(ISNUMBER((SnapshotTable[[#This Row],[SP Potential Spend]])), SnapshotTable[[#This Row],[SP Strike Price]] &gt; SnapshotTable[[#This Row],[Last Price]], SnapshotTable[[#This Row],[SP Is Filled]]), SnapshotTable[[#This Row],[SP Potential Spend]] -  SnapshotTable[[#This Row],[LP Max Value]], 0)</f>
        <v>0</v>
      </c>
      <c r="CJ181" s="244"/>
      <c r="CK181" s="31" t="str">
        <f>IF(ISNUMBER(SnapshotTable[[#This Row],[SP Potential Spend]]),IF(ISNUMBER(SnapshotTable[[#This Row],[SP POW]]), SnapshotTable[[#This Row],[SP POW]] * SnapshotTable[[#This Row],[SP Potential Spend]], SnapshotTable[[#This Row],[SP Potential Spend]]), "")</f>
        <v/>
      </c>
      <c r="CL181" s="164" t="e">
        <f>IF(NOT(SnapshotTable[[#This Row],[SP Is Filled]]),(SnapshotTable[[#This Row],[SP Qty]] * SnapshotTable[[#This Row],[SP Strike Price]] * 100) - SnapshotTable[[#This Row],[LP Max Value]],"")</f>
        <v>#VALUE!</v>
      </c>
      <c r="CM181" s="31" t="str">
        <f>IF(SnapshotTable[[#This Row],[SP Actual Spend]]&lt;&gt;0, ((SnapshotTable[[#This Row],[SP Strike Price]]-SnapshotTable[[#This Row],[Last Price]]) *(SnapshotTable[[#This Row],[SP Qty]]*100) - SnapshotTable[[#This Row],[SP Premium]]) * - 1, "")</f>
        <v/>
      </c>
      <c r="CN181" s="78"/>
      <c r="CO181" s="369"/>
      <c r="CP181" s="4" t="str">
        <f>IF(SnapshotTable[[#This Row],[SP Is Filled]], btc_max_buyback_amount(SnapshotTable[[#This Row],[SP Fill Date]],SnapshotTable[[#This Row],[SP Exp Date]], SnapshotTable[[#This Row],[SP Book Price]]),"")</f>
        <v/>
      </c>
      <c r="CQ181" s="78"/>
      <c r="CR18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1" s="155" t="str">
        <f>IF(SnapshotTable[[#This Row],[SP Is Filled]], btc_next_cutoff_date(SnapshotTable[[#This Row],[SP Fill Date]],SnapshotTable[[#This Row],[SP Exp Date]]),"")</f>
        <v/>
      </c>
      <c r="CT181" s="235" t="str" cm="1">
        <f t="array" ref="CT181">IF(SnapshotTable[[#This Row],[SP Is Filled]], btc_should_buy_back(SnapshotTable[[#This Row],[SP Fill Date]], SnapshotTable[[#This Row],[SP Exp Date]], SnapshotTable[[#This Row],[SP Book Price]], SnapshotTable[[#This Row],[SP Current Ask]], MockToday, SnapshotTable[[#This Row],[SP Buyback Override]]),"")</f>
        <v/>
      </c>
      <c r="CU181" s="143"/>
      <c r="CV181" s="235"/>
      <c r="CW181" s="378" t="str">
        <f>IF(ISNUMBER( SnapshotTable[[#This Row],[SP Term]]), SnapshotTable[[#This Row],[SP Exp Date]] - MockToday,"")</f>
        <v/>
      </c>
      <c r="CX181" s="31" t="str">
        <f>IF(SnapshotTable[[#This Row],[SP Is Filled]],SnapshotTable[[#This Row],[SP Buyback Price to Use]] * 100 * SnapshotTable[[#This Row],[SP Qty]], "")</f>
        <v/>
      </c>
      <c r="CY181" s="4" t="str">
        <f>IF(ISNUMBER(SnapshotTable[[#This Row],[SP Strike Price]]), SnapshotTable[[#This Row],[SP Strike Price]] * (1 - SP_MaxLoss_StrikePct), "")</f>
        <v/>
      </c>
      <c r="CZ181" s="31" t="str">
        <f>IF(ISNUMBER(SnapshotTable[[#This Row],[SP Strike  Stop Per Share]]),SnapshotTable[[#This Row],[SP Premium]] - ((SnapshotTable[[#This Row],[SP Strike Price]]-SnapshotTable[[#This Row],[SP Strike  Stop Per Share]]) *(SnapshotTable[[#This Row],[SP Qty]] * 100)),"")</f>
        <v/>
      </c>
      <c r="DA181" s="4" t="str">
        <f>IF(AND(ISNUMBER(SnapshotTable[[#This Row],[SP Premium]]),SnapshotTable[[#This Row],[SP Premium]]&gt;0), SnapshotTable[[#This Row],[SP Book Price]] * (1 + SP_MaxLoss_OptionPct), "")</f>
        <v/>
      </c>
      <c r="DB181" s="31" t="str">
        <f>IF(ISNUMBER(SnapshotTable[[#This Row],[SP Option  Stop Contract]]),(SnapshotTable[[#This Row],[SP Option  Stop Contract]] *(SnapshotTable[[#This Row],[SP Qty]] * 100) - SnapshotTable[[#This Row],[SP Premium]]),"")</f>
        <v/>
      </c>
      <c r="DC181" s="4"/>
      <c r="DD181" s="4"/>
      <c r="DE181" s="4" t="str">
        <f>IF(AND(SnapshotTable[[#This Row],[SP Qty]]&gt;0, SnapshotTable[[#This Row],[SP Stop To Use]]&gt;0),SnapshotTable[[#This Row],[SP Premium]] - ( SnapshotTable[[#This Row],[SP Qty]] * SnapshotTable[[#This Row],[SP Stop To Use]] * 100), "")</f>
        <v/>
      </c>
      <c r="DF181" s="31" t="str">
        <f>IF(AND(SnapshotTable[[#This Row],[SP Qty]]&gt;0,SnapshotTable[[#This Row],[SP Current Ask]]&gt;0), SnapshotTable[[#This Row],[SP Qty]] * SnapshotTable[[#This Row],[SP Current Ask]] * -100, "")</f>
        <v/>
      </c>
      <c r="DG181" s="31" t="str">
        <f>IF(ISNUMBER((SnapshotTable[[#This Row],[SP Total Value]])), SnapshotTable[[#This Row],[SP Premium]] + SnapshotTable[[#This Row],[SP Total Value]], "")</f>
        <v/>
      </c>
      <c r="DH181" s="294" t="str">
        <f>IF(ISNUMBER((SnapshotTable[[#This Row],[SP Total Value]])), SnapshotTable[[#This Row],[SP Gain Loss]] / SnapshotTable[[#This Row],[SP Premium]], "")</f>
        <v/>
      </c>
      <c r="DI181" s="406"/>
      <c r="DJ181" s="138"/>
      <c r="DK181" s="148"/>
      <c r="DL181" s="13"/>
      <c r="DM181" s="13"/>
      <c r="DO181" s="31">
        <f>IF(SnapshotTable[[#This Row],[LC Symbol Count]]=1, SnapshotTable[[#This Row],[LC Qty]] * SnapshotTable[[#This Row],[LC Book Price]] * 100, 0)</f>
        <v>0</v>
      </c>
      <c r="DP181" s="163" t="str">
        <f>IF(AND(SnapshotTable[[#This Row],[LC Exp Date]]&gt;0, SnapshotTable[[#This Row],[LC Strike Price]]&gt;0,SnapshotTable[[#This Row],[LC Qty]]&gt;0,SnapshotTable[[#This Row],[LC Book Date]]&gt;0,SnapshotTable[[#This Row],[LC Book Price]]&gt;0,SnapshotTable[[#This Row],[LC Fill Date]]=0),"Y","")</f>
        <v/>
      </c>
      <c r="DQ181" s="386" t="str">
        <f>IF(SnapshotTable[[#This Row],[LC Premium]] &gt; 0,SnapshotTable[[#This Row],[LC Exp Date]]-MAX(SnapshotTable[[#This Row],[LC Book Date]], SnapshotTable[[#This Row],[LC Fill Date]]),"")</f>
        <v/>
      </c>
      <c r="DR181" s="386" t="str">
        <f>IF(ISNUMBER(SnapshotTable[[#This Row],[LC Term]]), SnapshotTable[[#This Row],[LC Exp Date]] - MockToday, "")</f>
        <v/>
      </c>
      <c r="DS181" s="234" t="str">
        <f>IF(SnapshotTable[[#This Row],[LC Premium]]&gt;0,SnapshotTable[[#This Row],[LC Strike Price]] + SnapshotTable[[#This Row],[LC Book Price]],"")</f>
        <v/>
      </c>
      <c r="DU181" s="9" t="str">
        <f>IF(AND(SnapshotTable[[#This Row],[LC Symbol Count]]&gt;0, SnapshotTable[[#This Row],[LC Contract Value]]&gt;0), SnapshotTable[[#This Row],[LC Contract Value]] * SnapshotTable[[#This Row],[LC Qty]] * 100, "")</f>
        <v/>
      </c>
      <c r="DV181" s="9" t="str">
        <f>IF(AND(ISNUMBER(SnapshotTable[[#This Row],[LC Total Value]]), SnapshotTable[[#This Row],[LC Not Filled]]&lt;&gt;"Y"), SnapshotTable[[#This Row],[LC Total Value]]-SnapshotTable[[#This Row],[LC Premium]],"")</f>
        <v/>
      </c>
      <c r="DW181" s="240" t="str">
        <f>IF(ISNUMBER(SnapshotTable[[#This Row],[LC Actual Gain Loss]]), SnapshotTable[[#This Row],[LC Actual Gain Loss]] / SnapshotTable[[#This Row],[LC Premium]],"")</f>
        <v/>
      </c>
      <c r="DX181" s="284" t="str">
        <f>IF(ISNUMBER(SnapshotTable[[#This Row],[LC Book Price]]),SnapshotTable[[#This Row],[LC Book Price]] * 1.5,"")</f>
        <v/>
      </c>
      <c r="DY181" s="265" t="str">
        <f>IF(SnapshotTable[[#This Row],[LC Premium]]&gt;0, SnapshotTable[[#This Row],[LC Next Target]] * SnapshotTable[[#This Row],[LC Qty]] * 100,"")</f>
        <v/>
      </c>
      <c r="DZ181" s="265" t="str">
        <f>IF(ISNUMBER(SnapshotTable[[#This Row],[LC Target Gross]]), SnapshotTable[[#This Row],[LC Target Gross]] - SnapshotTable[[#This Row],[LC Premium]], "")</f>
        <v/>
      </c>
      <c r="EA181" s="305" t="str">
        <f>IF(ISNUMBER(SnapshotTable[[#This Row],[LC Target Gain Loss]]), SnapshotTable[[#This Row],[LC Target Gain Loss]]/SnapshotTable[[#This Row],[LC Premium]], "")</f>
        <v/>
      </c>
      <c r="EB181" s="262"/>
      <c r="EC181" s="283" t="str">
        <f>IF(SnapshotTable[[#This Row],[LC Premium]]&gt;0, SnapshotTable[[#This Row],[LC Book Price]] * (1 - LC_StopLoss_Pct),"")</f>
        <v/>
      </c>
      <c r="ED181" s="284"/>
      <c r="EE181" s="283" t="str">
        <f>IF(ISNUMBER(SnapshotTable[[#This Row],[LC Contract Value]]),IF(ISNUMBER(SnapshotTable[[#This Row],[LC Stop Loss Override]]), SnapshotTable[[#This Row],[LC Stop Loss Override]],SnapshotTable[[#This Row],[LC Stop Loss Calc Target]]),"")</f>
        <v/>
      </c>
      <c r="EF181" s="31" t="str">
        <f>IF(ISNUMBER(SnapshotTable[[#This Row],[LC Stop  To Use]]), (SnapshotTable[[#This Row],[LC Stop  To Use]] * SnapshotTable[[#This Row],[LC Qty]] * 100),"")</f>
        <v/>
      </c>
      <c r="EG181" s="9" t="str">
        <f>IF(ISNUMBER(SnapshotTable[[#This Row],[LC Total Value]]),SnapshotTable[[#This Row],[LC Stop Loss Amount]] - SnapshotTable[[#This Row],[LC Premium]],"")</f>
        <v/>
      </c>
      <c r="EH181" s="9">
        <f>IF(ISNUMBER(SnapshotTable[[#This Row],[LC Premium]]), SnapshotTable[[#This Row],[LC Qty]] * 100 * SnapshotTable[[#This Row],[LC Strike Price]], "")</f>
        <v>0</v>
      </c>
      <c r="EI181" s="240" t="str">
        <f>IF(AND(ISNUMBER(SnapshotTable[[#This Row],[LC Total Value]]),SnapshotTable[[#This Row],[LC Total Value]]&gt;0),SnapshotTable[[#This Row],[LC Stop Gain Loss]]  / SnapshotTable[[#This Row],[LC Premium]],"")</f>
        <v/>
      </c>
      <c r="EJ181" s="35">
        <f>IF(ISNUMBER(SnapshotTable[[#This Row],[Equity Shares]]),TRUNC(SnapshotTable[[#This Row],[Equity Shares]] / 100),0) + SnapshotTable[[#This Row],[LC Qty]]</f>
        <v>0</v>
      </c>
      <c r="EK181" s="147"/>
      <c r="EL181" s="138" t="str">
        <f>IF(SnapshotTable[[#This Row],[SC Exp Date]]&lt;&gt;"",TRUNC(SnapshotTable[[#This Row],[Last Price]]),"")</f>
        <v/>
      </c>
      <c r="EM181" s="148"/>
      <c r="EN181" s="147"/>
      <c r="EO181" s="147"/>
      <c r="EP181" s="138"/>
      <c r="EQ181" s="419" t="b">
        <f>AND(ISNUMBER(SnapshotTable[[#This Row],[SC Exp Date]]), ISNUMBER(SnapshotTable[[#This Row],[SC Strike Price]]), ISNUMBER(SnapshotTable[[#This Row],[SC Qty]]), ISNUMBER(SnapshotTable[[#This Row],[SC Book Date]]), ISNUMBER(SnapshotTable[[#This Row],[SC Book Price]]))</f>
        <v>0</v>
      </c>
      <c r="ER181" s="419" t="b">
        <f>AND(SnapshotTable[[#This Row],[SC Is Booked]], NOT(ISBLANK(SnapshotTable[[#This Row],[SC Fill Date]])))</f>
        <v>0</v>
      </c>
      <c r="ES181" s="370"/>
      <c r="ET181" s="34" t="str">
        <f>IF(AND(ISNUMBER(SnapshotTable[[#This Row],[SC Exp Date]]), ISNUMBER(SnapshotTable[[#This Row],[SC Book Date]])), SnapshotTable[[#This Row],[SC Exp Date]] - MAX(SnapshotTable[[#This Row],[SC Book Date]], SnapshotTable[[#This Row],[SC Fill Date]]) + 1, "")</f>
        <v/>
      </c>
      <c r="EU181" s="34" t="str">
        <f>IF(ISNUMBER(SnapshotTable[[#This Row],[SC Term]]), SnapshotTable[[#This Row],[SC Exp Date]]- MockToday, "")</f>
        <v/>
      </c>
      <c r="EV181" s="31">
        <f>IF(SnapshotTable[[#This Row],[SC Is Booked]], SnapshotTable[[#This Row],[SC Qty]] * SnapshotTable[[#This Row],[SC Book Price]] * 100, 0)</f>
        <v>0</v>
      </c>
      <c r="EW181" s="4" t="str">
        <f>IF(AND(ISNUMBER(SnapshotTable[[#This Row],[Last Price]]), ISNUMBER( SnapshotTable[[#This Row],[SC Book Price]])), SnapshotTable[[#This Row],[Last Price]] - SnapshotTable[[#This Row],[SC Book Price]],"")</f>
        <v/>
      </c>
      <c r="EX181" s="234" t="str">
        <f>IF(SnapshotTable[[#This Row],[SC Is Booked]],IF(SnapshotTable[[#This Row],[SC Intrinsic Value]] &gt; 0, SnapshotTable[[#This Row],[SC Strike Price]], SnapshotTable[[#This Row],[Last Price]]), "")</f>
        <v/>
      </c>
      <c r="EY181" s="4">
        <f>IF(SnapshotTable[[#This Row],[SC Is Booked]], (MinimumPremiumRequired * SnapshotTable[[#This Row],[SC Basis]] * SnapshotTable[[#This Row],[SC Term]]), 0)</f>
        <v>0</v>
      </c>
      <c r="EZ181" s="283"/>
      <c r="FA181" s="218"/>
      <c r="FB181" s="370"/>
      <c r="FC181" s="4">
        <f>IF(SnapshotTable[[#This Row],[SC Is Filled]], btc_max_buyback_amount(SnapshotTable[[#This Row],[SC Fill Date]],SnapshotTable[[#This Row],[SC Exp Date]], SnapshotTable[[#This Row],[SC Book Price]]),0)</f>
        <v>0</v>
      </c>
      <c r="FD181" s="5"/>
      <c r="FE181" s="144" t="str">
        <f>IF(SnapshotTable[[#This Row],[SC Is Filled]], btc_next_cutoff_date(SnapshotTable[[#This Row],[SC Fill Date]],SnapshotTable[[#This Row],[SC Exp Date]]),"")</f>
        <v/>
      </c>
      <c r="FF181" s="4" t="str" cm="1">
        <f t="array" ref="FF181">IF(SnapshotTable[[#This Row],[SC Is Filled]], btc_should_buy_back(SnapshotTable[[#This Row],[SC Fill Date]], SnapshotTable[[#This Row],[SC Exp Date]], SnapshotTable[[#This Row],[SC Book Price]], SnapshotTable[[#This Row],[SC Current Ask]], MockToday, SnapshotTable[[#This Row],[SC Buyback Override]]),"")</f>
        <v/>
      </c>
      <c r="FG181" s="4">
        <f>IF(SnapshotTable[[#This Row],[SC Is Filled]], MAX(0,SnapshotTable[[#This Row],[Last Price]]  - SnapshotTable[[#This Row],[SC Strike Price]]), 0)</f>
        <v>0</v>
      </c>
      <c r="FH181" s="382">
        <f>IF(SnapshotTable[[#This Row],[SC Is Filled]], IF(ISNUMBER(SnapshotTable[[#This Row],[SC Current Ask]]), SnapshotTable[[#This Row],[SC Current Ask]], SnapshotTable[[#This Row],[SC Book Price]]) - SnapshotTable[[#This Row],[SC Intrinsic Value]], 0)</f>
        <v>0</v>
      </c>
      <c r="FI181" s="143"/>
      <c r="FJ181" s="32" t="str">
        <f>IF(SnapshotTable[[#This Row],[SC Is Filled]],100 * SnapshotTable[[#This Row],[SC Qty]] * IF(ISNUMBER(SnapshotTable[[#This Row],[SC Buyback Override]]), SnapshotTable[[#This Row],[SC Buyback Override]], SnapshotTable[[#This Row],[SC Current Ask]]), "")</f>
        <v/>
      </c>
      <c r="FK181" s="250" t="str">
        <f>IF(SnapshotTable[[#This Row],[SC Time Val]]&gt;0, SnapshotTable[[#This Row],[SC Time Val]] / SnapshotTable[[#This Row],[Last Price]],"")</f>
        <v/>
      </c>
      <c r="FL181" s="302" t="str">
        <f>IF(SnapshotTable[[#This Row],[SC Is Booked]], ((SnapshotTable[[#This Row],[Last Price]] -SnapshotTable[[#This Row],[SC Strike Price]]) / SnapshotTable[[#This Row],[Last Price]]) * -1, "")</f>
        <v/>
      </c>
      <c r="FM181" s="157" t="str">
        <f>IF(SnapshotTable[[#This Row],[SC Is Booked]],  (SnapshotTable[[#This Row],[SC Qty]] * 100 * SnapshotTable[[#This Row],[SC Strike Price]]) - SnapshotTable[[#This Row],[SC Current Ask]], "")</f>
        <v/>
      </c>
      <c r="FN18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1" s="31" t="str">
        <f>IF(AND(ISNUMBER(SnapshotTable[[#This Row],[SC Exercise Gross]]), ISNUMBER(SnapshotTable[[#This Row],[Equity Basis Per Share]] )), SnapshotTable[[#This Row],[SC Exercise Gross]] - SnapshotTable[[#This Row],[Equity Basis Total]] +  SnapshotTable[[#This Row],[SC Premium]], "")</f>
        <v/>
      </c>
      <c r="FP181" s="5" t="str">
        <f>IF(ISNUMBER(SnapshotTable[[#This Row],[SC Exercise Gross]]), (SnapshotTable[[#This Row],[SC Exercise Gross]]) / (SnapshotTable[[#This Row],[SC Qty]] * 100), "")</f>
        <v/>
      </c>
      <c r="FQ181" s="27" t="str">
        <f>IF(SnapshotTable[[#This Row],[SC Is Booked]],SnapshotTable[[#This Row],[SC Time Val]] /SnapshotTable[[#This Row],[SC Basis]], "")</f>
        <v/>
      </c>
      <c r="FR181" s="27" t="str" cm="1">
        <f t="array" ref="FR181">IF(AND(ISNUMBER(SnapshotTable[[#This Row],[SC Term]]),ISNUMBER(SnapshotTable[[#This Row],[SC Simple ROO]])), EllmanAnnualize(SnapshotTable[[#This Row],[SC DTE]], SnapshotTable[[#This Row],[SC Simple ROO]] ),"")</f>
        <v/>
      </c>
      <c r="FS181" s="4" t="e">
        <f>IF(SnapshotTable[[#This Row],[SC Strike Price]] &gt; SnapshotTable[[#This Row],[Last Price]], SnapshotTable[[#This Row],[SC Strike Price]] - SnapshotTable[[#This Row],[Last Price]],0)</f>
        <v>#VALUE!</v>
      </c>
      <c r="FT181" s="27" t="e">
        <f>IF(AND(ISNUMBER(SnapshotTable[[#This Row],[SC Upside Potential]]), SnapshotTable[[#This Row],[SC Upside Potential]] &gt; 0),(SnapshotTable[[#This Row],[SC Upside Potential]]/ SnapshotTable[[#This Row],[ACB]]),"")</f>
        <v>#VALUE!</v>
      </c>
      <c r="FU181" s="333" t="str">
        <f>IF(SnapshotTable[[#This Row],[SC Intrinsic Value]] &gt; 0,SnapshotTable[[#This Row],[SC Intrinsic Value]],"")</f>
        <v/>
      </c>
      <c r="FV181" s="27" t="str">
        <f>IF(AND( ISNUMBER( SnapshotTable[[#This Row],[ACB]]),ISNUMBER(SnapshotTable[[#This Row],[SC Downside Protect]])),SnapshotTable[[#This Row],[SC Downside Protect]] / SnapshotTable[[#This Row],[ACB]],"")</f>
        <v/>
      </c>
      <c r="FW181" s="236" t="str">
        <f>IF(AND(ISNUMBER(SnapshotTable[[#This Row],[SC Simple ROO]]),SnapshotTable[[#This Row],[SC Simple ROO]] &gt; 0), SnapshotTable[[#This Row],[SC Premium]] + (SnapshotTable[[#This Row],[SC Qty]] * SnapshotTable[[#This Row],[SC Upside Potential]]), "")</f>
        <v/>
      </c>
      <c r="FX181" s="302" t="str" cm="1">
        <f t="array" ref="FX181">IF(ISNUMBER(SnapshotTable[[#This Row],[SC Max Dollars]]), annualize(SnapshotTable[[#This Row],[SC Term]],(SnapshotTable[[#This Row],[SC Max Dollars]]/SnapshotTable[[#This Row],[SC Basis]])),"")</f>
        <v/>
      </c>
      <c r="FY181" s="236" t="str">
        <f>IF(AND(SnapshotTable[[#This Row],[SC Qty]]&gt;0,SnapshotTable[[#This Row],[SC Current Ask]]&gt;0), SnapshotTable[[#This Row],[SC Qty]] * SnapshotTable[[#This Row],[SC Current Ask]] * -100, "")</f>
        <v/>
      </c>
      <c r="FZ181" s="31" t="str">
        <f>IF(ISNUMBER((SnapshotTable[[#This Row],[SC Current Value]])), SnapshotTable[[#This Row],[SC Premium]] + SnapshotTable[[#This Row],[SC Current Value]], "")</f>
        <v/>
      </c>
      <c r="GA181" s="294" t="str">
        <f>IFERROR( IF(ISNUMBER((SnapshotTable[[#This Row],[SC Current Value]])), SnapshotTable[[#This Row],[SC Gain Loss]] / SnapshotTable[[#This Row],[SC Premium]], ""), "")</f>
        <v/>
      </c>
      <c r="GB181" s="42">
        <f>SnapshotTable[[#This Row],[Equity Shares]] * SaleSharesToConsiderPercentage</f>
        <v>0</v>
      </c>
      <c r="GC181" s="40">
        <f>SnapshotTable[[#This Row],[Long Term Target]] * SellingPriceToConsiderBasedOnTargetPercentage</f>
        <v>15.304499999999999</v>
      </c>
      <c r="GD181" s="40">
        <f>SnapshotTable[[#This Row],[Last Price]] * (1+ SellingPriceToConsiderBasedOnTargetPercentage)</f>
        <v>17.5305</v>
      </c>
      <c r="GE181" s="41"/>
      <c r="GF181" s="40"/>
      <c r="GG181" s="31">
        <f>SnapshotTable[[#This Row],[Booked Sale Shares]] * SnapshotTable[[#This Row],[Booked Sale Price]]</f>
        <v>0</v>
      </c>
      <c r="GH181" s="31" t="str">
        <f>IF(SnapshotTable[[#This Row],[Equity Basis Total]] &gt; 0, SnapshotTable[[#This Row],[Equity Basis Per Share]] * SnapshotTable[[#This Row],[Booked Sale Shares]], "")</f>
        <v/>
      </c>
      <c r="GI181" s="31">
        <f>IF(SnapshotTable[[#This Row],[Sale Proceeds]]&gt;0, SnapshotTable[[#This Row],[Sale Proceeds]] - SnapshotTable[[#This Row],[Sale Basis]], 0)</f>
        <v>0</v>
      </c>
      <c r="GJ181" s="27" t="str">
        <f>IF(SnapshotTable[[#This Row],[Sale G/L]]&gt;0, SnapshotTable[[#This Row],[Sale G/L]] / SnapshotTable[[#This Row],[Sale Basis]], IF(ISNUMBER(SnapshotTable[[#This Row],[SC Exercise P&amp;L (TAX)]]), SnapshotTable[[#This Row],[SC Exercise P&amp;L (TAX)]] / SnapshotTable[[#This Row],[SC Basis]], ""))</f>
        <v/>
      </c>
      <c r="GK181" s="27" t="s">
        <v>1017</v>
      </c>
      <c r="GL181" s="43" t="str">
        <f>IF(AND(SnapshotTable[[#This Row],[LP Exp Date]]&gt;0,SnapshotTable[[#This Row],[LP Strike Price]]&gt;0), [1]!ToOptionSymbol(SnapshotTable[[#This Row],[Symbol]], SnapshotTable[[#This Row],[LP Strike Price]],SnapshotTable[[#This Row],[LP Exp Date]],1), "")</f>
        <v/>
      </c>
      <c r="GM181" s="30" t="str">
        <f>IF(LEN(SnapshotTable[[#This Row],[LP Symbol]])&gt;0, 1, "")</f>
        <v/>
      </c>
      <c r="GN181" s="43" t="str">
        <f>IF(AND(SnapshotTable[[#This Row],[SP Exp Date]]&gt;0,SnapshotTable[[#This Row],[SP Strike Price]]&gt;0), [1]!ToOptionSymbol(SnapshotTable[[#This Row],[Symbol]], SnapshotTable[[#This Row],[SP Strike Price]],SnapshotTable[[#This Row],[SP Exp Date]],1), "")</f>
        <v/>
      </c>
      <c r="GO181" s="30" t="str">
        <f>IF(LEN(SnapshotTable[[#This Row],[SP Symbol]])&gt;0, 1, "")</f>
        <v/>
      </c>
      <c r="GP181" s="43" t="str">
        <f>IF(AND(SnapshotTable[[#This Row],[LC Exp Date]]&gt;0,SnapshotTable[[#This Row],[LC Strike Price]]&gt;0), [1]!ToOptionSymbol(SnapshotTable[[#This Row],[Symbol]], SnapshotTable[[#This Row],[LC Strike Price]],SnapshotTable[[#This Row],[LC Exp Date]],0), "")</f>
        <v/>
      </c>
      <c r="GQ181" s="30" t="str">
        <f>IF(LEN(SnapshotTable[[#This Row],[LC Symbol]])&gt;0, 1, "")</f>
        <v/>
      </c>
      <c r="GR181" s="43" t="str">
        <f>IF(AND(SnapshotTable[[#This Row],[SC Exp Date]]&gt;0,SnapshotTable[[#This Row],[SC Strike Price]]&gt;0), [1]!ToOptionSymbol(SnapshotTable[[#This Row],[Symbol]], SnapshotTable[[#This Row],[SC Strike Price]],SnapshotTable[[#This Row],[SC Exp Date]],0), "")</f>
        <v/>
      </c>
      <c r="GS181" s="30" t="str">
        <f>IF(LEN(SnapshotTable[[#This Row],[SC Symbol]])&gt;0, 1, "")</f>
        <v/>
      </c>
      <c r="GT181" s="29" t="str">
        <f>IF(COUNT(SnapshotTable[[#This Row],[LP Symbol Count]],SnapshotTable[[#This Row],[SP Symbol Count]],SnapshotTable[[#This Row],[LC Symbol Count]],SnapshotTable[[#This Row],[SC Symbol Count]])&gt;0, "Y", "")</f>
        <v/>
      </c>
      <c r="GU18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1" s="231" t="e">
        <f>MAX(SnapshotTable[[#This Row],[Equity Basis Total]],SnapshotTable[[#This Row],[Equity Value]]) + (SnapshotTable[[#This Row],[SP Potential Spend]]- SnapshotTable[[#This Row],[SP Premium]] + SnapshotTable[[#This Row],[LP Premium]])+ (SnapshotTable[[#This Row],[LC Premium]] - SnapshotTable[[#This Row],[SC Premium]])</f>
        <v>#VALUE!</v>
      </c>
      <c r="GW181" s="139" t="e">
        <f>IF(AND(SnapshotTable[[#This Row],[Exposure]] &lt;&gt; 0),SnapshotTable[[#This Row],[Exposure]] / SnapshotTable[[#Totals],[Exposure]], "")</f>
        <v>#VALUE!</v>
      </c>
      <c r="HE181" s="268"/>
      <c r="HF181" s="268"/>
      <c r="HK181" s="1"/>
      <c r="HL181" s="1"/>
      <c r="HM181" s="1"/>
      <c r="HN181" s="1"/>
      <c r="HO181" s="1"/>
      <c r="HP181" s="1"/>
    </row>
    <row r="182" spans="2:224" ht="12.75" hidden="1" customHeight="1" x14ac:dyDescent="0.25">
      <c r="B182" s="12" t="s">
        <v>949</v>
      </c>
      <c r="C182" s="422">
        <v>51.08</v>
      </c>
      <c r="D182" s="208" t="s">
        <v>850</v>
      </c>
      <c r="E182" s="39">
        <f>SnapshotTable[[#This Row],[Last Price]]*(1 -CrashDiscount)</f>
        <v>43.417999999999999</v>
      </c>
      <c r="F182" s="26" t="s">
        <v>5</v>
      </c>
      <c r="G182" s="325" t="s">
        <v>950</v>
      </c>
      <c r="H182" s="149"/>
      <c r="I182" s="194">
        <v>44763.28125</v>
      </c>
      <c r="J182" s="195">
        <v>44763.28125</v>
      </c>
      <c r="K182" s="196"/>
      <c r="L182" s="326"/>
      <c r="M182" s="140"/>
      <c r="N182" s="140"/>
      <c r="O182" s="140"/>
      <c r="P182" s="22"/>
      <c r="Q182" s="25"/>
      <c r="R182" s="4" t="str">
        <f>IF(SnapshotTable[[#This Row],[Equity Basis Total]] &gt; 0, SnapshotTable[[#This Row],[Equity Basis Total]] / SnapshotTable[[#This Row],[Equity Shares]], "")</f>
        <v/>
      </c>
      <c r="S182" s="269">
        <f>SnapshotTable[[#This Row],[Last Price]] * SnapshotTable[[#This Row],[Equity Shares]]</f>
        <v>0</v>
      </c>
      <c r="T182" s="269">
        <f>SnapshotTable[[#This Row],[Equity Value]] - SnapshotTable[[#This Row],[Equity Basis Total]]</f>
        <v>0</v>
      </c>
      <c r="U182" s="270" t="str">
        <f>IF(SnapshotTable[[#This Row],[Equity Basis Total]] &gt; 0, SnapshotTable[[#This Row],[Equity G/L]] / SnapshotTable[[#This Row],[Equity Basis Total]], "")</f>
        <v/>
      </c>
      <c r="V182" s="268"/>
      <c r="W182" s="268"/>
      <c r="X182" s="4" t="str">
        <f>IF(AND(ISNUMBER(SnapshotTable[[#This Row],[Equity Basis Per Share]]),ISNUMBER(SnapshotTable[[#This Row],[Equity Target]])),SnapshotTable[[#This Row],[Equity Target]]-SnapshotTable[[#This Row],[Equity Basis Per Share]],"")</f>
        <v/>
      </c>
      <c r="Y182" s="4" t="str">
        <f>IF(AND(ISNUMBER(SnapshotTable[[#This Row],[Equity Basis Per Share]]),ISNUMBER(SnapshotTable[[#This Row],[Equity Stop Loss]])),SnapshotTable[[#This Row],[Equity Stop Loss]]-SnapshotTable[[#This Row],[Equity Basis Per Share]],"")</f>
        <v/>
      </c>
      <c r="Z182" s="275" t="str">
        <f>IFERROR( TEXT(SnapshotTable[[#This Row],[Equity Max Gain Per Share]] /ABS( SnapshotTable[[#This Row],[Equity Max Loss Per Share]]),"0.0 " ) &amp; " : 1", "")</f>
        <v/>
      </c>
      <c r="AA182" s="31" t="str">
        <f>IF(ISNUMBER(SnapshotTable[[#This Row],[Equity Max Gain Per Share]]),SnapshotTable[[#This Row],[Equity Max Gain Per Share]] * SnapshotTable[[#This Row],[Equity Shares]],"")</f>
        <v/>
      </c>
      <c r="AB182" s="31" t="str">
        <f>IF(ISNUMBER(SnapshotTable[[#This Row],[Equity Max Loss Per Share]]),SnapshotTable[[#This Row],[Equity Max Loss Per Share]] * SnapshotTable[[#This Row],[Equity Shares]],"")</f>
        <v/>
      </c>
      <c r="AC182" s="150"/>
      <c r="AD182" s="151"/>
      <c r="AE182" s="31">
        <f>(SnapshotTable[[#This Row],[Annual Dividend Per Share]] / 4) * SnapshotTable[[#This Row],[Equity Shares]]</f>
        <v>0</v>
      </c>
      <c r="AF182" s="31">
        <f>SnapshotTable[[#This Row],[Quarterly Div $]] * 4</f>
        <v>0</v>
      </c>
      <c r="AG182" s="7">
        <f>IF(SnapshotTable[[#This Row],[Annual Dividend Per Share]]&gt;0, SnapshotTable[[#This Row],[Annual Dividend Per Share]]  / SnapshotTable[[#This Row],[Last Price]], 0)</f>
        <v>0</v>
      </c>
      <c r="AH182" s="151"/>
      <c r="AI182" s="5"/>
      <c r="AJ182" s="138">
        <v>40</v>
      </c>
      <c r="AK182" s="152" t="str">
        <f>IF(ISNUMBER( SnapshotTable[[#This Row],[EBF Target]]),(SnapshotTable[[#This Row],[EBF Target]] - SnapshotTable[[#This Row],[Last Price]]) / SnapshotTable[[#This Row],[Last Price]], "")</f>
        <v/>
      </c>
      <c r="AL182" s="152" t="str">
        <f>IF(AND(SnapshotTable[[#This Row],[Equity Basis Total]] &gt; 0,ISNUMBER( SnapshotTable[[#This Row],[Long Term Target]])), SnapshotTable[[#This Row],[From Basis $]] / SnapshotTable[[#This Row],[Equity Basis Total]], "")</f>
        <v/>
      </c>
      <c r="AM182" s="9">
        <f>IF( AND(SnapshotTable[[#This Row],[Equity Shares]] &gt;0,ISNUMBER( SnapshotTable[[#This Row],[Long Term Target]])),(SnapshotTable[[#This Row],[Equity Shares]] * SnapshotTable[[#This Row],[Long Term Target]]) - SnapshotTable[[#This Row],[Equity Basis Total]],0)</f>
        <v>0</v>
      </c>
      <c r="AN182" s="9">
        <f>IF( AND(SnapshotTable[[#This Row],[Equity Shares]] &gt;0,ISNUMBER( SnapshotTable[[#This Row],[Long Term Target]])),(SnapshotTable[[#This Row],[Equity Shares]]*SnapshotTable[[#This Row],[Long Term Target]]) - SnapshotTable[[#This Row],[Equity Value]],0)</f>
        <v>0</v>
      </c>
      <c r="AO182" s="152">
        <f>IF(AND(ISNUMBER( SnapshotTable[[#This Row],[Long Term Target]]), ISNUMBER(SnapshotTable[[#This Row],[Last Price]])),(SnapshotTable[[#This Row],[Long Term Target]] - SnapshotTable[[#This Row],[Last Price]]) / SnapshotTable[[#This Row],[Last Price]], "")</f>
        <v>-0.21691464369616287</v>
      </c>
      <c r="AP182" s="5"/>
      <c r="AQ182" s="38"/>
      <c r="AR182" s="5"/>
      <c r="AS182" s="38"/>
      <c r="AT182" s="146"/>
      <c r="AU182" s="187" t="str">
        <f>IF(OR(SnapshotTable[[#This Row],[LP No Fill]]="Y",SnapshotTable[[#This Row],[SP Is Filled]],SnapshotTable[[#This Row],[LC Not Filled]]="Y",SnapshotTable[[#This Row],[SC Is Filled]]),"Y","")</f>
        <v/>
      </c>
      <c r="AV182" s="219"/>
      <c r="AW182" s="225"/>
      <c r="AX182" s="220"/>
      <c r="AY182" s="219" t="str">
        <f>IF(SnapshotTable[[#This Row],[Implied Move]]&gt;0, SnapshotTable[[#This Row],[Last Price]]-SnapshotTable[[#This Row],[Implied Move]],"")</f>
        <v/>
      </c>
      <c r="AZ182" s="219" t="str">
        <f>IF(SnapshotTable[[#This Row],[Implied Move]]&gt;0, SnapshotTable[[#This Row],[Last Price]] + SnapshotTable[[#This Row],[Implied Move]],"")</f>
        <v/>
      </c>
      <c r="BA182" s="331"/>
      <c r="BB182" s="347"/>
      <c r="BC18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2" s="351"/>
      <c r="BE182" s="5"/>
      <c r="BF182" s="14"/>
      <c r="BG182" s="13"/>
      <c r="BH182" s="13"/>
      <c r="BI182" s="5"/>
      <c r="BJ182" s="136">
        <f>IF(SnapshotTable[[#This Row],[LP Qty]] &gt; 0, SnapshotTable[[#This Row],[LP Qty]] * SnapshotTable[[#This Row],[LP Book Price]] * 100,0)</f>
        <v>0</v>
      </c>
      <c r="BK182" s="136">
        <f>IF(SnapshotTable[[#This Row],[LP Premium]] &gt; 0, SnapshotTable[[#This Row],[LP Qty]] * SnapshotTable[[#This Row],[LP Strike Price]] * 100,0)</f>
        <v>0</v>
      </c>
      <c r="BL182" s="154"/>
      <c r="BM182" s="385" t="str">
        <f>IF(SnapshotTable[[#This Row],[LP Premium]] &gt; 0,SnapshotTable[[#This Row],[LP Exp Date]]-MAX(SnapshotTable[[#This Row],[LP Book Date]], SnapshotTable[[#This Row],[LP Fill Date]]),"")</f>
        <v/>
      </c>
      <c r="BN182" s="385" t="str">
        <f>IF(ISNUMBER( SnapshotTable[[#This Row],[LP Term]]), SnapshotTable[[#This Row],[LP Exp Date]] - MockToday,"")</f>
        <v/>
      </c>
      <c r="BO182" s="163" t="str">
        <f>IF(AND(SnapshotTable[[#This Row],[LP Exp Date]]&gt;0, SnapshotTable[[#This Row],[LP Strike Price]]&gt;0,SnapshotTable[[#This Row],[LP Qty]]&gt;0,SnapshotTable[[#This Row],[LP Book Date]]&gt;0,SnapshotTable[[#This Row],[LP Book Price]]&gt;0,SnapshotTable[[#This Row],[LP Fill Date]]=0),"Y","")</f>
        <v/>
      </c>
      <c r="BP182" s="31" t="str">
        <f>IF(AND(SnapshotTable[[#This Row],[LP No Fill]]&lt;&gt;"Y",SnapshotTable[[#This Row],[LP Contract Value]]&gt;0, SnapshotTable[[#This Row],[LP Qty]]&gt;0), SnapshotTable[[#This Row],[LP Contract Value]]*SnapshotTable[[#This Row],[LP Qty]]*100,"")</f>
        <v/>
      </c>
      <c r="BQ182" s="13"/>
      <c r="BR182" s="5" t="str">
        <f>IF(SnapshotTable[[#This Row],[SP Exp Date]]&lt;&gt;"",TRUNC(SnapshotTable[[#This Row],[Last Price]]),"")</f>
        <v/>
      </c>
      <c r="BS182" s="36"/>
      <c r="BT182" s="147"/>
      <c r="BU182" s="13"/>
      <c r="BV182" s="5"/>
      <c r="BW182" s="419" t="b">
        <f>AND(ISNUMBER(SnapshotTable[[#This Row],[SP Exp Date]]), ISNUMBER(SnapshotTable[[#This Row],[SP Strike Price]]), ISNUMBER(SnapshotTable[[#This Row],[SP Qty]]), ISNUMBER(SnapshotTable[[#This Row],[SP Book Date]]), ISNUMBER(SnapshotTable[[#This Row],[SP Book Price]]))</f>
        <v>0</v>
      </c>
      <c r="BX182" s="419" t="b">
        <f>AND(SnapshotTable[[#This Row],[SP Is Booked]], NOT(ISBLANK(SnapshotTable[[#This Row],[SP Fill Date]])))</f>
        <v>0</v>
      </c>
      <c r="BY182" s="33">
        <f>IF(SnapshotTable[[#This Row],[SP Is Booked]], SnapshotTable[[#This Row],[SP Qty]] * SnapshotTable[[#This Row],[SP Book Price]] * 100, 0)</f>
        <v>0</v>
      </c>
      <c r="BZ182" s="369"/>
      <c r="CA182" s="368">
        <f>SnapshotTable[[#This Row],[LP Qty]]</f>
        <v>0</v>
      </c>
      <c r="CB182" s="4" t="str">
        <f>IF(SnapshotTable[[#This Row],[SP Is Booked]], SnapshotTable[[#This Row],[SP Strike Price]] - SnapshotTable[[#This Row],[SP Book Price]], "")</f>
        <v/>
      </c>
      <c r="CC182" s="19" t="str">
        <f>IF(SnapshotTable[[#This Row],[SP Is Booked]],SnapshotTable[[#This Row],[SP Exp Date]]-MAX(SnapshotTable[[#This Row],[SP Book Date]], SnapshotTable[[#This Row],[SP Fill Date]]),"")</f>
        <v/>
      </c>
      <c r="CD182" s="7" t="str">
        <f>IF(SnapshotTable[[#This Row],[SP Is Booked]], SnapshotTable[[#This Row],[SP Book Price]]/SnapshotTable[[#This Row],[SP Strike Price]], "")</f>
        <v/>
      </c>
      <c r="CE182" s="7" t="str">
        <f>IF(ISNUMBER(SnapshotTable[[#This Row],[SP ROO Term]]),SnapshotTable[[#This Row],[SP ROO Term]]*(365/SnapshotTable[[#This Row],[SP Term]]),"")</f>
        <v/>
      </c>
      <c r="CF182" s="236">
        <f>SnapshotTable[[#This Row],[LP Strike Price]] * SnapshotTable[[#This Row],[LP Qty]] * 100</f>
        <v>0</v>
      </c>
      <c r="CG182" s="31" t="e">
        <f>IF(ISNUMBER(SnapshotTable[[#This Row],[SP Premium]]), (SnapshotTable[[#This Row],[SP Qty]] * SnapshotTable[[#This Row],[SP Strike Price]]* 100) - SnapshotTable[[#This Row],[LP Protection]], 0)</f>
        <v>#VALUE!</v>
      </c>
      <c r="CH182" s="7" t="str">
        <f>IF(ISNUMBER(SnapshotTable[[#This Row],[SP Break Even]]),-1 * (SnapshotTable[[#This Row],[SP Break Even]] - SnapshotTable[[#This Row],[Last Price]]) / SnapshotTable[[#This Row],[Last Price]], "")</f>
        <v/>
      </c>
      <c r="CI182" s="31">
        <f>IF(AND(ISNUMBER((SnapshotTable[[#This Row],[SP Potential Spend]])), SnapshotTable[[#This Row],[SP Strike Price]] &gt; SnapshotTable[[#This Row],[Last Price]], SnapshotTable[[#This Row],[SP Is Filled]]), SnapshotTable[[#This Row],[SP Potential Spend]] -  SnapshotTable[[#This Row],[LP Max Value]], 0)</f>
        <v>0</v>
      </c>
      <c r="CJ182" s="244"/>
      <c r="CK182" s="31" t="str">
        <f>IF(ISNUMBER(SnapshotTable[[#This Row],[SP Potential Spend]]),IF(ISNUMBER(SnapshotTable[[#This Row],[SP POW]]), SnapshotTable[[#This Row],[SP POW]] * SnapshotTable[[#This Row],[SP Potential Spend]], SnapshotTable[[#This Row],[SP Potential Spend]]), "")</f>
        <v/>
      </c>
      <c r="CL182" s="164" t="e">
        <f>IF(NOT(SnapshotTable[[#This Row],[SP Is Filled]]),(SnapshotTable[[#This Row],[SP Qty]] * SnapshotTable[[#This Row],[SP Strike Price]] * 100) - SnapshotTable[[#This Row],[LP Max Value]],"")</f>
        <v>#VALUE!</v>
      </c>
      <c r="CM182" s="31" t="str">
        <f>IF(SnapshotTable[[#This Row],[SP Actual Spend]]&lt;&gt;0, ((SnapshotTable[[#This Row],[SP Strike Price]]-SnapshotTable[[#This Row],[Last Price]]) *(SnapshotTable[[#This Row],[SP Qty]]*100) - SnapshotTable[[#This Row],[SP Premium]]) * - 1, "")</f>
        <v/>
      </c>
      <c r="CN182" s="218"/>
      <c r="CO182" s="369"/>
      <c r="CP182" s="4" t="str">
        <f>IF(SnapshotTable[[#This Row],[SP Is Filled]], btc_max_buyback_amount(SnapshotTable[[#This Row],[SP Fill Date]],SnapshotTable[[#This Row],[SP Exp Date]], SnapshotTable[[#This Row],[SP Book Price]]),"")</f>
        <v/>
      </c>
      <c r="CQ182" s="78"/>
      <c r="CR18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2" s="155" t="str">
        <f>IF(SnapshotTable[[#This Row],[SP Is Filled]], btc_next_cutoff_date(SnapshotTable[[#This Row],[SP Fill Date]],SnapshotTable[[#This Row],[SP Exp Date]]),"")</f>
        <v/>
      </c>
      <c r="CT182" s="235" t="str" cm="1">
        <f t="array" ref="CT182">IF(SnapshotTable[[#This Row],[SP Is Filled]], btc_should_buy_back(SnapshotTable[[#This Row],[SP Fill Date]], SnapshotTable[[#This Row],[SP Exp Date]], SnapshotTable[[#This Row],[SP Book Price]], SnapshotTable[[#This Row],[SP Current Ask]], MockToday, SnapshotTable[[#This Row],[SP Buyback Override]]),"")</f>
        <v/>
      </c>
      <c r="CU182" s="143"/>
      <c r="CV182" s="235"/>
      <c r="CW182" s="378" t="str">
        <f>IF(ISNUMBER( SnapshotTable[[#This Row],[SP Term]]), SnapshotTable[[#This Row],[SP Exp Date]] - MockToday,"")</f>
        <v/>
      </c>
      <c r="CX182" s="31" t="str">
        <f>IF(SnapshotTable[[#This Row],[SP Is Filled]],SnapshotTable[[#This Row],[SP Buyback Price to Use]] * 100 * SnapshotTable[[#This Row],[SP Qty]], "")</f>
        <v/>
      </c>
      <c r="CY182" s="4" t="str">
        <f>IF(ISNUMBER(SnapshotTable[[#This Row],[SP Strike Price]]), SnapshotTable[[#This Row],[SP Strike Price]] * (1 - SP_MaxLoss_StrikePct), "")</f>
        <v/>
      </c>
      <c r="CZ182" s="31" t="str">
        <f>IF(ISNUMBER(SnapshotTable[[#This Row],[SP Strike  Stop Per Share]]),SnapshotTable[[#This Row],[SP Premium]] - ((SnapshotTable[[#This Row],[SP Strike Price]]-SnapshotTable[[#This Row],[SP Strike  Stop Per Share]]) *(SnapshotTable[[#This Row],[SP Qty]] * 100)),"")</f>
        <v/>
      </c>
      <c r="DA182" s="4" t="str">
        <f>IF(AND(ISNUMBER(SnapshotTable[[#This Row],[SP Premium]]),SnapshotTable[[#This Row],[SP Premium]]&gt;0), SnapshotTable[[#This Row],[SP Book Price]] * (1 + SP_MaxLoss_OptionPct), "")</f>
        <v/>
      </c>
      <c r="DB182" s="31" t="str">
        <f>IF(ISNUMBER(SnapshotTable[[#This Row],[SP Option  Stop Contract]]),(SnapshotTable[[#This Row],[SP Option  Stop Contract]] *(SnapshotTable[[#This Row],[SP Qty]] * 100) - SnapshotTable[[#This Row],[SP Premium]]),"")</f>
        <v/>
      </c>
      <c r="DC182" s="4"/>
      <c r="DD182" s="4"/>
      <c r="DE182" s="4" t="str">
        <f>IF(AND(SnapshotTable[[#This Row],[SP Qty]]&gt;0, SnapshotTable[[#This Row],[SP Stop To Use]]&gt;0),SnapshotTable[[#This Row],[SP Premium]] - ( SnapshotTable[[#This Row],[SP Qty]] * SnapshotTable[[#This Row],[SP Stop To Use]] * 100), "")</f>
        <v/>
      </c>
      <c r="DF182" s="31" t="str">
        <f>IF(AND(SnapshotTable[[#This Row],[SP Qty]]&gt;0,SnapshotTable[[#This Row],[SP Current Ask]]&gt;0), SnapshotTable[[#This Row],[SP Qty]] * SnapshotTable[[#This Row],[SP Current Ask]] * -100, "")</f>
        <v/>
      </c>
      <c r="DG182" s="31" t="str">
        <f>IF(ISNUMBER((SnapshotTable[[#This Row],[SP Total Value]])), SnapshotTable[[#This Row],[SP Premium]] + SnapshotTable[[#This Row],[SP Total Value]], "")</f>
        <v/>
      </c>
      <c r="DH182" s="294" t="str">
        <f>IF(ISNUMBER((SnapshotTable[[#This Row],[SP Total Value]])), SnapshotTable[[#This Row],[SP Gain Loss]] / SnapshotTable[[#This Row],[SP Premium]], "")</f>
        <v/>
      </c>
      <c r="DI182" s="406"/>
      <c r="DJ182" s="138"/>
      <c r="DK182" s="148"/>
      <c r="DL182" s="13"/>
      <c r="DM182" s="13"/>
      <c r="DO182" s="31">
        <f>IF(SnapshotTable[[#This Row],[LC Symbol Count]]=1, SnapshotTable[[#This Row],[LC Qty]] * SnapshotTable[[#This Row],[LC Book Price]] * 100, 0)</f>
        <v>0</v>
      </c>
      <c r="DP182" s="163" t="str">
        <f>IF(AND(SnapshotTable[[#This Row],[LC Exp Date]]&gt;0, SnapshotTable[[#This Row],[LC Strike Price]]&gt;0,SnapshotTable[[#This Row],[LC Qty]]&gt;0,SnapshotTable[[#This Row],[LC Book Date]]&gt;0,SnapshotTable[[#This Row],[LC Book Price]]&gt;0,SnapshotTable[[#This Row],[LC Fill Date]]=0),"Y","")</f>
        <v/>
      </c>
      <c r="DQ182" s="386" t="str">
        <f>IF(SnapshotTable[[#This Row],[LC Premium]] &gt; 0,SnapshotTable[[#This Row],[LC Exp Date]]-MAX(SnapshotTable[[#This Row],[LC Book Date]], SnapshotTable[[#This Row],[LC Fill Date]]),"")</f>
        <v/>
      </c>
      <c r="DR182" s="386" t="str">
        <f>IF(ISNUMBER(SnapshotTable[[#This Row],[LC Term]]), SnapshotTable[[#This Row],[LC Exp Date]] - MockToday, "")</f>
        <v/>
      </c>
      <c r="DS182" s="234" t="str">
        <f>IF(SnapshotTable[[#This Row],[LC Premium]]&gt;0,SnapshotTable[[#This Row],[LC Strike Price]] + SnapshotTable[[#This Row],[LC Book Price]],"")</f>
        <v/>
      </c>
      <c r="DU182" s="9" t="str">
        <f>IF(AND(SnapshotTable[[#This Row],[LC Symbol Count]]&gt;0, SnapshotTable[[#This Row],[LC Contract Value]]&gt;0), SnapshotTable[[#This Row],[LC Contract Value]] * SnapshotTable[[#This Row],[LC Qty]] * 100, "")</f>
        <v/>
      </c>
      <c r="DV182" s="9" t="str">
        <f>IF(AND(ISNUMBER(SnapshotTable[[#This Row],[LC Total Value]]), SnapshotTable[[#This Row],[LC Not Filled]]&lt;&gt;"Y"), SnapshotTable[[#This Row],[LC Total Value]]-SnapshotTable[[#This Row],[LC Premium]],"")</f>
        <v/>
      </c>
      <c r="DW182" s="240" t="str">
        <f>IF(ISNUMBER(SnapshotTable[[#This Row],[LC Actual Gain Loss]]), SnapshotTable[[#This Row],[LC Actual Gain Loss]] / SnapshotTable[[#This Row],[LC Premium]],"")</f>
        <v/>
      </c>
      <c r="DX182" s="284" t="str">
        <f>IF(ISNUMBER(SnapshotTable[[#This Row],[LC Book Price]]),SnapshotTable[[#This Row],[LC Book Price]] * 1.5,"")</f>
        <v/>
      </c>
      <c r="DY182" s="265" t="str">
        <f>IF(SnapshotTable[[#This Row],[LC Premium]]&gt;0, SnapshotTable[[#This Row],[LC Next Target]] * SnapshotTable[[#This Row],[LC Qty]] * 100,"")</f>
        <v/>
      </c>
      <c r="DZ182" s="265" t="str">
        <f>IF(ISNUMBER(SnapshotTable[[#This Row],[LC Target Gross]]), SnapshotTable[[#This Row],[LC Target Gross]] - SnapshotTable[[#This Row],[LC Premium]], "")</f>
        <v/>
      </c>
      <c r="EA182" s="305" t="str">
        <f>IF(ISNUMBER(SnapshotTable[[#This Row],[LC Target Gain Loss]]), SnapshotTable[[#This Row],[LC Target Gain Loss]]/SnapshotTable[[#This Row],[LC Premium]], "")</f>
        <v/>
      </c>
      <c r="EB182" s="262"/>
      <c r="EC182" s="283" t="str">
        <f>IF(SnapshotTable[[#This Row],[LC Premium]]&gt;0, SnapshotTable[[#This Row],[LC Book Price]] * (1 - LC_StopLoss_Pct),"")</f>
        <v/>
      </c>
      <c r="ED182" s="284"/>
      <c r="EE182" s="283" t="str">
        <f>IF(ISNUMBER(SnapshotTable[[#This Row],[LC Contract Value]]),IF(ISNUMBER(SnapshotTable[[#This Row],[LC Stop Loss Override]]), SnapshotTable[[#This Row],[LC Stop Loss Override]],SnapshotTable[[#This Row],[LC Stop Loss Calc Target]]),"")</f>
        <v/>
      </c>
      <c r="EF182" s="31" t="str">
        <f>IF(ISNUMBER(SnapshotTable[[#This Row],[LC Stop  To Use]]), (SnapshotTable[[#This Row],[LC Stop  To Use]] * SnapshotTable[[#This Row],[LC Qty]] * 100),"")</f>
        <v/>
      </c>
      <c r="EG182" s="9" t="str">
        <f>IF(ISNUMBER(SnapshotTable[[#This Row],[LC Total Value]]),SnapshotTable[[#This Row],[LC Stop Loss Amount]] - SnapshotTable[[#This Row],[LC Premium]],"")</f>
        <v/>
      </c>
      <c r="EH182" s="9">
        <f>IF(ISNUMBER(SnapshotTable[[#This Row],[LC Premium]]), SnapshotTable[[#This Row],[LC Qty]] * 100 * SnapshotTable[[#This Row],[LC Strike Price]], "")</f>
        <v>0</v>
      </c>
      <c r="EI182" s="240" t="str">
        <f>IF(AND(ISNUMBER(SnapshotTable[[#This Row],[LC Total Value]]),SnapshotTable[[#This Row],[LC Total Value]]&gt;0),SnapshotTable[[#This Row],[LC Stop Gain Loss]]  / SnapshotTable[[#This Row],[LC Premium]],"")</f>
        <v/>
      </c>
      <c r="EJ182" s="35">
        <f>IF(ISNUMBER(SnapshotTable[[#This Row],[Equity Shares]]),TRUNC(SnapshotTable[[#This Row],[Equity Shares]] / 100),0) + SnapshotTable[[#This Row],[LC Qty]]</f>
        <v>0</v>
      </c>
      <c r="EK182" s="147"/>
      <c r="EL182" s="138" t="str">
        <f>IF(SnapshotTable[[#This Row],[SC Exp Date]]&lt;&gt;"",TRUNC(SnapshotTable[[#This Row],[Last Price]]),"")</f>
        <v/>
      </c>
      <c r="EM182" s="148"/>
      <c r="EN182" s="147"/>
      <c r="EO182" s="147"/>
      <c r="EP182" s="138"/>
      <c r="EQ182" s="419" t="b">
        <f>AND(ISNUMBER(SnapshotTable[[#This Row],[SC Exp Date]]), ISNUMBER(SnapshotTable[[#This Row],[SC Strike Price]]), ISNUMBER(SnapshotTable[[#This Row],[SC Qty]]), ISNUMBER(SnapshotTable[[#This Row],[SC Book Date]]), ISNUMBER(SnapshotTable[[#This Row],[SC Book Price]]))</f>
        <v>0</v>
      </c>
      <c r="ER182" s="419" t="b">
        <f>AND(SnapshotTable[[#This Row],[SC Is Booked]], NOT(ISBLANK(SnapshotTable[[#This Row],[SC Fill Date]])))</f>
        <v>0</v>
      </c>
      <c r="ES182" s="370"/>
      <c r="ET182" s="34" t="str">
        <f>IF(AND(ISNUMBER(SnapshotTable[[#This Row],[SC Exp Date]]), ISNUMBER(SnapshotTable[[#This Row],[SC Book Date]])), SnapshotTable[[#This Row],[SC Exp Date]] - MAX(SnapshotTable[[#This Row],[SC Book Date]], SnapshotTable[[#This Row],[SC Fill Date]]) + 1, "")</f>
        <v/>
      </c>
      <c r="EU182" s="34" t="str">
        <f>IF(ISNUMBER(SnapshotTable[[#This Row],[SC Term]]), SnapshotTable[[#This Row],[SC Exp Date]]- MockToday, "")</f>
        <v/>
      </c>
      <c r="EV182" s="31">
        <f>IF(SnapshotTable[[#This Row],[SC Is Booked]], SnapshotTable[[#This Row],[SC Qty]] * SnapshotTable[[#This Row],[SC Book Price]] * 100, 0)</f>
        <v>0</v>
      </c>
      <c r="EW182" s="4" t="str">
        <f>IF(AND(ISNUMBER(SnapshotTable[[#This Row],[Last Price]]), ISNUMBER( SnapshotTable[[#This Row],[SC Book Price]])), SnapshotTable[[#This Row],[Last Price]] - SnapshotTable[[#This Row],[SC Book Price]],"")</f>
        <v/>
      </c>
      <c r="EX182" s="234" t="str">
        <f>IF(SnapshotTable[[#This Row],[SC Is Booked]],IF(SnapshotTable[[#This Row],[SC Intrinsic Value]] &gt; 0, SnapshotTable[[#This Row],[SC Strike Price]], SnapshotTable[[#This Row],[Last Price]]), "")</f>
        <v/>
      </c>
      <c r="EY182" s="4">
        <f>IF(SnapshotTable[[#This Row],[SC Is Booked]], (MinimumPremiumRequired * SnapshotTable[[#This Row],[SC Basis]] * SnapshotTable[[#This Row],[SC Term]]), 0)</f>
        <v>0</v>
      </c>
      <c r="EZ182" s="283"/>
      <c r="FA182" s="218"/>
      <c r="FB182" s="370"/>
      <c r="FC182" s="4">
        <f>IF(SnapshotTable[[#This Row],[SC Is Filled]], btc_max_buyback_amount(SnapshotTable[[#This Row],[SC Fill Date]],SnapshotTable[[#This Row],[SC Exp Date]], SnapshotTable[[#This Row],[SC Book Price]]),0)</f>
        <v>0</v>
      </c>
      <c r="FD182" s="5"/>
      <c r="FE182" s="144" t="str">
        <f>IF(SnapshotTable[[#This Row],[SC Is Filled]], btc_next_cutoff_date(SnapshotTable[[#This Row],[SC Fill Date]],SnapshotTable[[#This Row],[SC Exp Date]]),"")</f>
        <v/>
      </c>
      <c r="FF182" s="4" t="str" cm="1">
        <f t="array" ref="FF182">IF(SnapshotTable[[#This Row],[SC Is Filled]], btc_should_buy_back(SnapshotTable[[#This Row],[SC Fill Date]], SnapshotTable[[#This Row],[SC Exp Date]], SnapshotTable[[#This Row],[SC Book Price]], SnapshotTable[[#This Row],[SC Current Ask]], MockToday, SnapshotTable[[#This Row],[SC Buyback Override]]),"")</f>
        <v/>
      </c>
      <c r="FG182" s="4">
        <f>IF(SnapshotTable[[#This Row],[SC Is Filled]], MAX(0,SnapshotTable[[#This Row],[Last Price]]  - SnapshotTable[[#This Row],[SC Strike Price]]), 0)</f>
        <v>0</v>
      </c>
      <c r="FH182" s="382">
        <f>IF(SnapshotTable[[#This Row],[SC Is Filled]], IF(ISNUMBER(SnapshotTable[[#This Row],[SC Current Ask]]), SnapshotTable[[#This Row],[SC Current Ask]], SnapshotTable[[#This Row],[SC Book Price]]) - SnapshotTable[[#This Row],[SC Intrinsic Value]], 0)</f>
        <v>0</v>
      </c>
      <c r="FI182" s="143"/>
      <c r="FJ182" s="32" t="str">
        <f>IF(SnapshotTable[[#This Row],[SC Is Filled]],100 * SnapshotTable[[#This Row],[SC Qty]] * IF(ISNUMBER(SnapshotTable[[#This Row],[SC Buyback Override]]), SnapshotTable[[#This Row],[SC Buyback Override]], SnapshotTable[[#This Row],[SC Current Ask]]), "")</f>
        <v/>
      </c>
      <c r="FK182" s="250" t="str">
        <f>IF(SnapshotTable[[#This Row],[SC Time Val]]&gt;0, SnapshotTable[[#This Row],[SC Time Val]] / SnapshotTable[[#This Row],[Last Price]],"")</f>
        <v/>
      </c>
      <c r="FL182" s="302" t="str">
        <f>IF(SnapshotTable[[#This Row],[SC Is Booked]], ((SnapshotTable[[#This Row],[Last Price]] -SnapshotTable[[#This Row],[SC Strike Price]]) / SnapshotTable[[#This Row],[Last Price]]) * -1, "")</f>
        <v/>
      </c>
      <c r="FM182" s="157" t="str">
        <f>IF(SnapshotTable[[#This Row],[SC Is Booked]],  (SnapshotTable[[#This Row],[SC Qty]] * 100 * SnapshotTable[[#This Row],[SC Strike Price]]) - SnapshotTable[[#This Row],[SC Current Ask]], "")</f>
        <v/>
      </c>
      <c r="FN18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2" s="31" t="str">
        <f>IF(AND(ISNUMBER(SnapshotTable[[#This Row],[SC Exercise Gross]]), ISNUMBER(SnapshotTable[[#This Row],[Equity Basis Per Share]] )), SnapshotTable[[#This Row],[SC Exercise Gross]] - SnapshotTable[[#This Row],[Equity Basis Total]] +  SnapshotTable[[#This Row],[SC Premium]], "")</f>
        <v/>
      </c>
      <c r="FP182" s="5" t="str">
        <f>IF(ISNUMBER(SnapshotTable[[#This Row],[SC Exercise Gross]]), (SnapshotTable[[#This Row],[SC Exercise Gross]]) / (SnapshotTable[[#This Row],[SC Qty]] * 100), "")</f>
        <v/>
      </c>
      <c r="FQ182" s="27" t="str">
        <f>IF(SnapshotTable[[#This Row],[SC Is Booked]],SnapshotTable[[#This Row],[SC Time Val]] /SnapshotTable[[#This Row],[SC Basis]], "")</f>
        <v/>
      </c>
      <c r="FR182" s="27" t="str" cm="1">
        <f t="array" ref="FR182">IF(AND(ISNUMBER(SnapshotTable[[#This Row],[SC Term]]),ISNUMBER(SnapshotTable[[#This Row],[SC Simple ROO]])), EllmanAnnualize(SnapshotTable[[#This Row],[SC DTE]], SnapshotTable[[#This Row],[SC Simple ROO]] ),"")</f>
        <v/>
      </c>
      <c r="FS182" s="4" t="e">
        <f>IF(SnapshotTable[[#This Row],[SC Strike Price]] &gt; SnapshotTable[[#This Row],[Last Price]], SnapshotTable[[#This Row],[SC Strike Price]] - SnapshotTable[[#This Row],[Last Price]],0)</f>
        <v>#VALUE!</v>
      </c>
      <c r="FT182" s="27" t="e">
        <f>IF(AND(ISNUMBER(SnapshotTable[[#This Row],[SC Upside Potential]]), SnapshotTable[[#This Row],[SC Upside Potential]] &gt; 0),(SnapshotTable[[#This Row],[SC Upside Potential]]/ SnapshotTable[[#This Row],[ACB]]),"")</f>
        <v>#VALUE!</v>
      </c>
      <c r="FU182" s="333" t="str">
        <f>IF(SnapshotTable[[#This Row],[SC Intrinsic Value]] &gt; 0,SnapshotTable[[#This Row],[SC Intrinsic Value]],"")</f>
        <v/>
      </c>
      <c r="FV182" s="27" t="str">
        <f>IF(AND( ISNUMBER( SnapshotTable[[#This Row],[ACB]]),ISNUMBER(SnapshotTable[[#This Row],[SC Downside Protect]])),SnapshotTable[[#This Row],[SC Downside Protect]] / SnapshotTable[[#This Row],[ACB]],"")</f>
        <v/>
      </c>
      <c r="FW182" s="236" t="str">
        <f>IF(AND(ISNUMBER(SnapshotTable[[#This Row],[SC Simple ROO]]),SnapshotTable[[#This Row],[SC Simple ROO]] &gt; 0), SnapshotTable[[#This Row],[SC Premium]] + (SnapshotTable[[#This Row],[SC Qty]] * SnapshotTable[[#This Row],[SC Upside Potential]]), "")</f>
        <v/>
      </c>
      <c r="FX182" s="302" t="str" cm="1">
        <f t="array" ref="FX182">IF(ISNUMBER(SnapshotTable[[#This Row],[SC Max Dollars]]), annualize(SnapshotTable[[#This Row],[SC Term]],(SnapshotTable[[#This Row],[SC Max Dollars]]/SnapshotTable[[#This Row],[SC Basis]])),"")</f>
        <v/>
      </c>
      <c r="FY182" s="236" t="str">
        <f>IF(AND(SnapshotTable[[#This Row],[SC Qty]]&gt;0,SnapshotTable[[#This Row],[SC Current Ask]]&gt;0), SnapshotTable[[#This Row],[SC Qty]] * SnapshotTable[[#This Row],[SC Current Ask]] * -100, "")</f>
        <v/>
      </c>
      <c r="FZ182" s="31" t="str">
        <f>IF(ISNUMBER((SnapshotTable[[#This Row],[SC Current Value]])), SnapshotTable[[#This Row],[SC Premium]] + SnapshotTable[[#This Row],[SC Current Value]], "")</f>
        <v/>
      </c>
      <c r="GA182" s="294" t="str">
        <f>IFERROR( IF(ISNUMBER((SnapshotTable[[#This Row],[SC Current Value]])), SnapshotTable[[#This Row],[SC Gain Loss]] / SnapshotTable[[#This Row],[SC Premium]], ""), "")</f>
        <v/>
      </c>
      <c r="GB182" s="42">
        <f>SnapshotTable[[#This Row],[Equity Shares]] * SaleSharesToConsiderPercentage</f>
        <v>0</v>
      </c>
      <c r="GC182" s="40">
        <f>SnapshotTable[[#This Row],[Long Term Target]] * SellingPriceToConsiderBasedOnTargetPercentage</f>
        <v>38</v>
      </c>
      <c r="GD182" s="40">
        <f>SnapshotTable[[#This Row],[Last Price]] * (1+ SellingPriceToConsiderBasedOnTargetPercentage)</f>
        <v>99.605999999999995</v>
      </c>
      <c r="GE182" s="41"/>
      <c r="GF182" s="40"/>
      <c r="GG182" s="31">
        <f>SnapshotTable[[#This Row],[Booked Sale Shares]] * SnapshotTable[[#This Row],[Booked Sale Price]]</f>
        <v>0</v>
      </c>
      <c r="GH182" s="31" t="str">
        <f>IF(SnapshotTable[[#This Row],[Equity Basis Total]] &gt; 0, SnapshotTable[[#This Row],[Equity Basis Per Share]] * SnapshotTable[[#This Row],[Booked Sale Shares]], "")</f>
        <v/>
      </c>
      <c r="GI182" s="31">
        <f>IF(SnapshotTable[[#This Row],[Sale Proceeds]]&gt;0, SnapshotTable[[#This Row],[Sale Proceeds]] - SnapshotTable[[#This Row],[Sale Basis]], 0)</f>
        <v>0</v>
      </c>
      <c r="GJ182" s="27" t="str">
        <f>IF(SnapshotTable[[#This Row],[Sale G/L]]&gt;0, SnapshotTable[[#This Row],[Sale G/L]] / SnapshotTable[[#This Row],[Sale Basis]], IF(ISNUMBER(SnapshotTable[[#This Row],[SC Exercise P&amp;L (TAX)]]), SnapshotTable[[#This Row],[SC Exercise P&amp;L (TAX)]] / SnapshotTable[[#This Row],[SC Basis]], ""))</f>
        <v/>
      </c>
      <c r="GK182" s="27"/>
      <c r="GL182" s="43" t="str">
        <f>IF(AND(SnapshotTable[[#This Row],[LP Exp Date]]&gt;0,SnapshotTable[[#This Row],[LP Strike Price]]&gt;0), [1]!ToOptionSymbol(SnapshotTable[[#This Row],[Symbol]], SnapshotTable[[#This Row],[LP Strike Price]],SnapshotTable[[#This Row],[LP Exp Date]],1), "")</f>
        <v/>
      </c>
      <c r="GM182" s="30" t="str">
        <f>IF(LEN(SnapshotTable[[#This Row],[LP Symbol]])&gt;0, 1, "")</f>
        <v/>
      </c>
      <c r="GN182" s="43" t="str">
        <f>IF(AND(SnapshotTable[[#This Row],[SP Exp Date]]&gt;0,SnapshotTable[[#This Row],[SP Strike Price]]&gt;0), [1]!ToOptionSymbol(SnapshotTable[[#This Row],[Symbol]], SnapshotTable[[#This Row],[SP Strike Price]],SnapshotTable[[#This Row],[SP Exp Date]],1), "")</f>
        <v/>
      </c>
      <c r="GO182" s="30" t="str">
        <f>IF(LEN(SnapshotTable[[#This Row],[SP Symbol]])&gt;0, 1, "")</f>
        <v/>
      </c>
      <c r="GP182" s="43" t="str">
        <f>IF(AND(SnapshotTable[[#This Row],[LC Exp Date]]&gt;0,SnapshotTable[[#This Row],[LC Strike Price]]&gt;0), [1]!ToOptionSymbol(SnapshotTable[[#This Row],[Symbol]], SnapshotTable[[#This Row],[LC Strike Price]],SnapshotTable[[#This Row],[LC Exp Date]],0), "")</f>
        <v/>
      </c>
      <c r="GQ182" s="30" t="str">
        <f>IF(LEN(SnapshotTable[[#This Row],[LC Symbol]])&gt;0, 1, "")</f>
        <v/>
      </c>
      <c r="GR182" s="43" t="str">
        <f>IF(AND(SnapshotTable[[#This Row],[SC Exp Date]]&gt;0,SnapshotTable[[#This Row],[SC Strike Price]]&gt;0), [1]!ToOptionSymbol(SnapshotTable[[#This Row],[Symbol]], SnapshotTable[[#This Row],[SC Strike Price]],SnapshotTable[[#This Row],[SC Exp Date]],0), "")</f>
        <v/>
      </c>
      <c r="GS182" s="30" t="str">
        <f>IF(LEN(SnapshotTable[[#This Row],[SC Symbol]])&gt;0, 1, "")</f>
        <v/>
      </c>
      <c r="GT182" s="29" t="str">
        <f>IF(COUNT(SnapshotTable[[#This Row],[LP Symbol Count]],SnapshotTable[[#This Row],[SP Symbol Count]],SnapshotTable[[#This Row],[LC Symbol Count]],SnapshotTable[[#This Row],[SC Symbol Count]])&gt;0, "Y", "")</f>
        <v/>
      </c>
      <c r="GU18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2" s="231" t="e">
        <f>MAX(SnapshotTable[[#This Row],[Equity Basis Total]],SnapshotTable[[#This Row],[Equity Value]]) + (SnapshotTable[[#This Row],[SP Potential Spend]]- SnapshotTable[[#This Row],[SP Premium]] + SnapshotTable[[#This Row],[LP Premium]])+ (SnapshotTable[[#This Row],[LC Premium]] - SnapshotTable[[#This Row],[SC Premium]])</f>
        <v>#VALUE!</v>
      </c>
      <c r="GW182" s="139" t="e">
        <f>IF(AND(SnapshotTable[[#This Row],[Exposure]] &lt;&gt; 0),SnapshotTable[[#This Row],[Exposure]] / SnapshotTable[[#Totals],[Exposure]], "")</f>
        <v>#VALUE!</v>
      </c>
      <c r="HE182" s="268"/>
      <c r="HF182" s="268"/>
      <c r="HK182" s="1"/>
      <c r="HL182" s="1"/>
      <c r="HM182" s="1"/>
      <c r="HN182" s="1"/>
      <c r="HO182" s="1"/>
      <c r="HP182" s="1"/>
    </row>
    <row r="183" spans="2:224" ht="12.75" hidden="1" customHeight="1" x14ac:dyDescent="0.25">
      <c r="B183" s="12" t="s">
        <v>123</v>
      </c>
      <c r="C183" s="422">
        <v>89.4</v>
      </c>
      <c r="D183" s="208"/>
      <c r="E183" s="39">
        <f>SnapshotTable[[#This Row],[Last Price]]*(1 -CrashDiscount)</f>
        <v>75.990000000000009</v>
      </c>
      <c r="F183" s="26" t="s">
        <v>39</v>
      </c>
      <c r="G183" s="26" t="s">
        <v>9</v>
      </c>
      <c r="H183" s="149"/>
      <c r="I183" s="194">
        <v>44776.670138888891</v>
      </c>
      <c r="J183" s="195">
        <v>44776.670138888891</v>
      </c>
      <c r="K183" s="196"/>
      <c r="L183" s="326"/>
      <c r="M183" s="140"/>
      <c r="N183" s="140"/>
      <c r="O183" s="140">
        <v>4</v>
      </c>
      <c r="P183" s="22"/>
      <c r="Q183" s="25"/>
      <c r="R183" s="4" t="str">
        <f>IF(SnapshotTable[[#This Row],[Equity Basis Total]] &gt; 0, SnapshotTable[[#This Row],[Equity Basis Total]] / SnapshotTable[[#This Row],[Equity Shares]], "")</f>
        <v/>
      </c>
      <c r="S183" s="269">
        <f>SnapshotTable[[#This Row],[Last Price]] * SnapshotTable[[#This Row],[Equity Shares]]</f>
        <v>0</v>
      </c>
      <c r="T183" s="269">
        <f>SnapshotTable[[#This Row],[Equity Value]] - SnapshotTable[[#This Row],[Equity Basis Total]]</f>
        <v>0</v>
      </c>
      <c r="U183" s="270" t="str">
        <f>IF(SnapshotTable[[#This Row],[Equity Basis Total]] &gt; 0, SnapshotTable[[#This Row],[Equity G/L]] / SnapshotTable[[#This Row],[Equity Basis Total]], "")</f>
        <v/>
      </c>
      <c r="V183" s="268"/>
      <c r="W183" s="268"/>
      <c r="X183" s="4" t="str">
        <f>IF(AND(ISNUMBER(SnapshotTable[[#This Row],[Equity Basis Per Share]]),ISNUMBER(SnapshotTable[[#This Row],[Equity Target]])),SnapshotTable[[#This Row],[Equity Target]]-SnapshotTable[[#This Row],[Equity Basis Per Share]],"")</f>
        <v/>
      </c>
      <c r="Y183" s="4" t="str">
        <f>IF(AND(ISNUMBER(SnapshotTable[[#This Row],[Equity Basis Per Share]]),ISNUMBER(SnapshotTable[[#This Row],[Equity Stop Loss]])),SnapshotTable[[#This Row],[Equity Stop Loss]]-SnapshotTable[[#This Row],[Equity Basis Per Share]],"")</f>
        <v/>
      </c>
      <c r="Z183" s="275" t="str">
        <f>IFERROR( TEXT(SnapshotTable[[#This Row],[Equity Max Gain Per Share]] /ABS( SnapshotTable[[#This Row],[Equity Max Loss Per Share]]),"0.0 " ) &amp; " : 1", "")</f>
        <v/>
      </c>
      <c r="AA183" s="31" t="str">
        <f>IF(ISNUMBER(SnapshotTable[[#This Row],[Equity Max Gain Per Share]]),SnapshotTable[[#This Row],[Equity Max Gain Per Share]] * SnapshotTable[[#This Row],[Equity Shares]],"")</f>
        <v/>
      </c>
      <c r="AB183" s="31" t="str">
        <f>IF(ISNUMBER(SnapshotTable[[#This Row],[Equity Max Loss Per Share]]),SnapshotTable[[#This Row],[Equity Max Loss Per Share]] * SnapshotTable[[#This Row],[Equity Shares]],"")</f>
        <v/>
      </c>
      <c r="AC183" s="150">
        <v>0</v>
      </c>
      <c r="AD183" s="151" t="s">
        <v>2</v>
      </c>
      <c r="AE183" s="31">
        <f>(SnapshotTable[[#This Row],[Annual Dividend Per Share]] / 4) * SnapshotTable[[#This Row],[Equity Shares]]</f>
        <v>0</v>
      </c>
      <c r="AF183" s="31">
        <f>SnapshotTable[[#This Row],[Quarterly Div $]] * 4</f>
        <v>0</v>
      </c>
      <c r="AG183" s="7">
        <f>IF(SnapshotTable[[#This Row],[Annual Dividend Per Share]]&gt;0, SnapshotTable[[#This Row],[Annual Dividend Per Share]]  / SnapshotTable[[#This Row],[Last Price]], 0)</f>
        <v>0</v>
      </c>
      <c r="AH183" s="151" t="s">
        <v>2</v>
      </c>
      <c r="AI183" s="5"/>
      <c r="AJ183" s="138">
        <v>79.540000000000006</v>
      </c>
      <c r="AK183" s="152" t="str">
        <f>IF(ISNUMBER( SnapshotTable[[#This Row],[EBF Target]]),(SnapshotTable[[#This Row],[EBF Target]] - SnapshotTable[[#This Row],[Last Price]]) / SnapshotTable[[#This Row],[Last Price]], "")</f>
        <v/>
      </c>
      <c r="AL183" s="152" t="str">
        <f>IF(AND(SnapshotTable[[#This Row],[Equity Basis Total]] &gt; 0,ISNUMBER( SnapshotTable[[#This Row],[Long Term Target]])), SnapshotTable[[#This Row],[From Basis $]] / SnapshotTable[[#This Row],[Equity Basis Total]], "")</f>
        <v/>
      </c>
      <c r="AM183" s="9">
        <f>IF( AND(SnapshotTable[[#This Row],[Equity Shares]] &gt;0,ISNUMBER( SnapshotTable[[#This Row],[Long Term Target]])),(SnapshotTable[[#This Row],[Equity Shares]] * SnapshotTable[[#This Row],[Long Term Target]]) - SnapshotTable[[#This Row],[Equity Basis Total]],0)</f>
        <v>0</v>
      </c>
      <c r="AN183" s="9">
        <f>IF( AND(SnapshotTable[[#This Row],[Equity Shares]] &gt;0,ISNUMBER( SnapshotTable[[#This Row],[Long Term Target]])),(SnapshotTable[[#This Row],[Equity Shares]]*SnapshotTable[[#This Row],[Long Term Target]]) - SnapshotTable[[#This Row],[Equity Value]],0)</f>
        <v>0</v>
      </c>
      <c r="AO183" s="152">
        <f>IF(AND(ISNUMBER( SnapshotTable[[#This Row],[Long Term Target]]), ISNUMBER(SnapshotTable[[#This Row],[Last Price]])),(SnapshotTable[[#This Row],[Long Term Target]] - SnapshotTable[[#This Row],[Last Price]]) / SnapshotTable[[#This Row],[Last Price]], "")</f>
        <v>-0.11029082774049216</v>
      </c>
      <c r="AP183" s="5">
        <v>35</v>
      </c>
      <c r="AQ183" s="38" t="s">
        <v>45</v>
      </c>
      <c r="AR183" s="5">
        <v>30</v>
      </c>
      <c r="AS183" s="38" t="s">
        <v>46</v>
      </c>
      <c r="AT183" s="146"/>
      <c r="AU183" s="187" t="str">
        <f>IF(OR(SnapshotTable[[#This Row],[LP No Fill]]="Y",SnapshotTable[[#This Row],[SP Is Filled]],SnapshotTable[[#This Row],[LC Not Filled]]="Y",SnapshotTable[[#This Row],[SC Is Filled]]),"Y","")</f>
        <v/>
      </c>
      <c r="AV183" s="219"/>
      <c r="AW183" s="225"/>
      <c r="AX183" s="220"/>
      <c r="AY183" s="219" t="str">
        <f>IF(SnapshotTable[[#This Row],[Implied Move]]&gt;0, SnapshotTable[[#This Row],[Last Price]]-SnapshotTable[[#This Row],[Implied Move]],"")</f>
        <v/>
      </c>
      <c r="AZ183" s="219" t="str">
        <f>IF(SnapshotTable[[#This Row],[Implied Move]]&gt;0, SnapshotTable[[#This Row],[Last Price]] + SnapshotTable[[#This Row],[Implied Move]],"")</f>
        <v/>
      </c>
      <c r="BA183" s="331"/>
      <c r="BB183" s="347"/>
      <c r="BC18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3" s="351"/>
      <c r="BE183" s="5"/>
      <c r="BF183" s="14"/>
      <c r="BG183" s="13"/>
      <c r="BH183" s="13"/>
      <c r="BI183" s="5"/>
      <c r="BJ183" s="136">
        <f>IF(SnapshotTable[[#This Row],[LP Qty]] &gt; 0, SnapshotTable[[#This Row],[LP Qty]] * SnapshotTable[[#This Row],[LP Book Price]] * 100,0)</f>
        <v>0</v>
      </c>
      <c r="BK183" s="136">
        <f>IF(SnapshotTable[[#This Row],[LP Premium]] &gt; 0, SnapshotTable[[#This Row],[LP Qty]] * SnapshotTable[[#This Row],[LP Strike Price]] * 100,0)</f>
        <v>0</v>
      </c>
      <c r="BL183" s="154"/>
      <c r="BM183" s="385" t="str">
        <f>IF(SnapshotTable[[#This Row],[LP Premium]] &gt; 0,SnapshotTable[[#This Row],[LP Exp Date]]-MAX(SnapshotTable[[#This Row],[LP Book Date]], SnapshotTable[[#This Row],[LP Fill Date]]),"")</f>
        <v/>
      </c>
      <c r="BN183" s="385" t="str">
        <f>IF(ISNUMBER( SnapshotTable[[#This Row],[LP Term]]), SnapshotTable[[#This Row],[LP Exp Date]] - MockToday,"")</f>
        <v/>
      </c>
      <c r="BO183" s="163" t="str">
        <f>IF(AND(SnapshotTable[[#This Row],[LP Exp Date]]&gt;0, SnapshotTable[[#This Row],[LP Strike Price]]&gt;0,SnapshotTable[[#This Row],[LP Qty]]&gt;0,SnapshotTable[[#This Row],[LP Book Date]]&gt;0,SnapshotTable[[#This Row],[LP Book Price]]&gt;0,SnapshotTable[[#This Row],[LP Fill Date]]=0),"Y","")</f>
        <v/>
      </c>
      <c r="BP183" s="31" t="str">
        <f>IF(AND(SnapshotTable[[#This Row],[LP No Fill]]&lt;&gt;"Y",SnapshotTable[[#This Row],[LP Contract Value]]&gt;0, SnapshotTable[[#This Row],[LP Qty]]&gt;0), SnapshotTable[[#This Row],[LP Contract Value]]*SnapshotTable[[#This Row],[LP Qty]]*100,"")</f>
        <v/>
      </c>
      <c r="BQ183" s="13"/>
      <c r="BR183" s="5" t="str">
        <f>IF(SnapshotTable[[#This Row],[SP Exp Date]]&lt;&gt;"",TRUNC(SnapshotTable[[#This Row],[Last Price]]),"")</f>
        <v/>
      </c>
      <c r="BS183" s="36"/>
      <c r="BT183" s="147"/>
      <c r="BU183" s="13"/>
      <c r="BV183" s="5"/>
      <c r="BW183" s="419" t="b">
        <f>AND(ISNUMBER(SnapshotTable[[#This Row],[SP Exp Date]]), ISNUMBER(SnapshotTable[[#This Row],[SP Strike Price]]), ISNUMBER(SnapshotTable[[#This Row],[SP Qty]]), ISNUMBER(SnapshotTable[[#This Row],[SP Book Date]]), ISNUMBER(SnapshotTable[[#This Row],[SP Book Price]]))</f>
        <v>0</v>
      </c>
      <c r="BX183" s="419" t="b">
        <f>AND(SnapshotTable[[#This Row],[SP Is Booked]], NOT(ISBLANK(SnapshotTable[[#This Row],[SP Fill Date]])))</f>
        <v>0</v>
      </c>
      <c r="BY183" s="33">
        <f>IF(SnapshotTable[[#This Row],[SP Is Booked]], SnapshotTable[[#This Row],[SP Qty]] * SnapshotTable[[#This Row],[SP Book Price]] * 100, 0)</f>
        <v>0</v>
      </c>
      <c r="BZ183" s="369"/>
      <c r="CA183" s="368">
        <f>SnapshotTable[[#This Row],[LP Qty]]</f>
        <v>0</v>
      </c>
      <c r="CB183" s="4" t="str">
        <f>IF(SnapshotTable[[#This Row],[SP Is Booked]], SnapshotTable[[#This Row],[SP Strike Price]] - SnapshotTable[[#This Row],[SP Book Price]], "")</f>
        <v/>
      </c>
      <c r="CC183" s="19" t="str">
        <f>IF(SnapshotTable[[#This Row],[SP Is Booked]],SnapshotTable[[#This Row],[SP Exp Date]]-MAX(SnapshotTable[[#This Row],[SP Book Date]], SnapshotTable[[#This Row],[SP Fill Date]]),"")</f>
        <v/>
      </c>
      <c r="CD183" s="7" t="str">
        <f>IF(SnapshotTable[[#This Row],[SP Is Booked]], SnapshotTable[[#This Row],[SP Book Price]]/SnapshotTable[[#This Row],[SP Strike Price]], "")</f>
        <v/>
      </c>
      <c r="CE183" s="7" t="str">
        <f>IF(ISNUMBER(SnapshotTable[[#This Row],[SP ROO Term]]),SnapshotTable[[#This Row],[SP ROO Term]]*(365/SnapshotTable[[#This Row],[SP Term]]),"")</f>
        <v/>
      </c>
      <c r="CF183" s="236">
        <f>SnapshotTable[[#This Row],[LP Strike Price]] * SnapshotTable[[#This Row],[LP Qty]] * 100</f>
        <v>0</v>
      </c>
      <c r="CG183" s="31" t="e">
        <f>IF(ISNUMBER(SnapshotTable[[#This Row],[SP Premium]]), (SnapshotTable[[#This Row],[SP Qty]] * SnapshotTable[[#This Row],[SP Strike Price]]* 100) - SnapshotTable[[#This Row],[LP Protection]], 0)</f>
        <v>#VALUE!</v>
      </c>
      <c r="CH183" s="7" t="str">
        <f>IF(ISNUMBER(SnapshotTable[[#This Row],[SP Break Even]]),-1 * (SnapshotTable[[#This Row],[SP Break Even]] - SnapshotTable[[#This Row],[Last Price]]) / SnapshotTable[[#This Row],[Last Price]], "")</f>
        <v/>
      </c>
      <c r="CI183" s="31">
        <f>IF(AND(ISNUMBER((SnapshotTable[[#This Row],[SP Potential Spend]])), SnapshotTable[[#This Row],[SP Strike Price]] &gt; SnapshotTable[[#This Row],[Last Price]], SnapshotTable[[#This Row],[SP Is Filled]]), SnapshotTable[[#This Row],[SP Potential Spend]] -  SnapshotTable[[#This Row],[LP Max Value]], 0)</f>
        <v>0</v>
      </c>
      <c r="CJ183" s="244"/>
      <c r="CK183" s="31" t="str">
        <f>IF(ISNUMBER(SnapshotTable[[#This Row],[SP Potential Spend]]),IF(ISNUMBER(SnapshotTable[[#This Row],[SP POW]]), SnapshotTable[[#This Row],[SP POW]] * SnapshotTable[[#This Row],[SP Potential Spend]], SnapshotTable[[#This Row],[SP Potential Spend]]), "")</f>
        <v/>
      </c>
      <c r="CL183" s="164" t="e">
        <f>IF(NOT(SnapshotTable[[#This Row],[SP Is Filled]]),(SnapshotTable[[#This Row],[SP Qty]] * SnapshotTable[[#This Row],[SP Strike Price]] * 100) - SnapshotTable[[#This Row],[LP Max Value]],"")</f>
        <v>#VALUE!</v>
      </c>
      <c r="CM183" s="31" t="str">
        <f>IF(SnapshotTable[[#This Row],[SP Actual Spend]]&lt;&gt;0, ((SnapshotTable[[#This Row],[SP Strike Price]]-SnapshotTable[[#This Row],[Last Price]]) *(SnapshotTable[[#This Row],[SP Qty]]*100) - SnapshotTable[[#This Row],[SP Premium]]) * - 1, "")</f>
        <v/>
      </c>
      <c r="CN183" s="78"/>
      <c r="CO183" s="369"/>
      <c r="CP183" s="4" t="str">
        <f>IF(SnapshotTable[[#This Row],[SP Is Filled]], btc_max_buyback_amount(SnapshotTable[[#This Row],[SP Fill Date]],SnapshotTable[[#This Row],[SP Exp Date]], SnapshotTable[[#This Row],[SP Book Price]]),"")</f>
        <v/>
      </c>
      <c r="CQ183" s="78"/>
      <c r="CR18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3" s="155" t="str">
        <f>IF(SnapshotTable[[#This Row],[SP Is Filled]], btc_next_cutoff_date(SnapshotTable[[#This Row],[SP Fill Date]],SnapshotTable[[#This Row],[SP Exp Date]]),"")</f>
        <v/>
      </c>
      <c r="CT183" s="235" t="str" cm="1">
        <f t="array" ref="CT183">IF(SnapshotTable[[#This Row],[SP Is Filled]], btc_should_buy_back(SnapshotTable[[#This Row],[SP Fill Date]], SnapshotTable[[#This Row],[SP Exp Date]], SnapshotTable[[#This Row],[SP Book Price]], SnapshotTable[[#This Row],[SP Current Ask]], MockToday, SnapshotTable[[#This Row],[SP Buyback Override]]),"")</f>
        <v/>
      </c>
      <c r="CU183" s="143"/>
      <c r="CV183" s="235"/>
      <c r="CW183" s="378" t="str">
        <f>IF(ISNUMBER( SnapshotTable[[#This Row],[SP Term]]), SnapshotTable[[#This Row],[SP Exp Date]] - MockToday,"")</f>
        <v/>
      </c>
      <c r="CX183" s="31" t="str">
        <f>IF(SnapshotTable[[#This Row],[SP Is Filled]],SnapshotTable[[#This Row],[SP Buyback Price to Use]] * 100 * SnapshotTable[[#This Row],[SP Qty]], "")</f>
        <v/>
      </c>
      <c r="CY183" s="4" t="str">
        <f>IF(ISNUMBER(SnapshotTable[[#This Row],[SP Strike Price]]), SnapshotTable[[#This Row],[SP Strike Price]] * (1 - SP_MaxLoss_StrikePct), "")</f>
        <v/>
      </c>
      <c r="CZ183" s="31" t="str">
        <f>IF(ISNUMBER(SnapshotTable[[#This Row],[SP Strike  Stop Per Share]]),SnapshotTable[[#This Row],[SP Premium]] - ((SnapshotTable[[#This Row],[SP Strike Price]]-SnapshotTable[[#This Row],[SP Strike  Stop Per Share]]) *(SnapshotTable[[#This Row],[SP Qty]] * 100)),"")</f>
        <v/>
      </c>
      <c r="DA183" s="4" t="str">
        <f>IF(AND(ISNUMBER(SnapshotTable[[#This Row],[SP Premium]]),SnapshotTable[[#This Row],[SP Premium]]&gt;0), SnapshotTable[[#This Row],[SP Book Price]] * (1 + SP_MaxLoss_OptionPct), "")</f>
        <v/>
      </c>
      <c r="DB183" s="31" t="str">
        <f>IF(ISNUMBER(SnapshotTable[[#This Row],[SP Option  Stop Contract]]),(SnapshotTable[[#This Row],[SP Option  Stop Contract]] *(SnapshotTable[[#This Row],[SP Qty]] * 100) - SnapshotTable[[#This Row],[SP Premium]]),"")</f>
        <v/>
      </c>
      <c r="DC183" s="4"/>
      <c r="DD183" s="4"/>
      <c r="DE183" s="4" t="str">
        <f>IF(AND(SnapshotTable[[#This Row],[SP Qty]]&gt;0, SnapshotTable[[#This Row],[SP Stop To Use]]&gt;0),SnapshotTable[[#This Row],[SP Premium]] - ( SnapshotTable[[#This Row],[SP Qty]] * SnapshotTable[[#This Row],[SP Stop To Use]] * 100), "")</f>
        <v/>
      </c>
      <c r="DF183" s="31" t="str">
        <f>IF(AND(SnapshotTable[[#This Row],[SP Qty]]&gt;0,SnapshotTable[[#This Row],[SP Current Ask]]&gt;0), SnapshotTable[[#This Row],[SP Qty]] * SnapshotTable[[#This Row],[SP Current Ask]] * -100, "")</f>
        <v/>
      </c>
      <c r="DG183" s="31" t="str">
        <f>IF(ISNUMBER((SnapshotTable[[#This Row],[SP Total Value]])), SnapshotTable[[#This Row],[SP Premium]] + SnapshotTable[[#This Row],[SP Total Value]], "")</f>
        <v/>
      </c>
      <c r="DH183" s="294" t="str">
        <f>IF(ISNUMBER((SnapshotTable[[#This Row],[SP Total Value]])), SnapshotTable[[#This Row],[SP Gain Loss]] / SnapshotTable[[#This Row],[SP Premium]], "")</f>
        <v/>
      </c>
      <c r="DI183" s="406"/>
      <c r="DJ183" s="138"/>
      <c r="DK183" s="148"/>
      <c r="DL183" s="13"/>
      <c r="DM183" s="13"/>
      <c r="DO183" s="31">
        <f>IF(SnapshotTable[[#This Row],[LC Symbol Count]]=1, SnapshotTable[[#This Row],[LC Qty]] * SnapshotTable[[#This Row],[LC Book Price]] * 100, 0)</f>
        <v>0</v>
      </c>
      <c r="DP183" s="163" t="str">
        <f>IF(AND(SnapshotTable[[#This Row],[LC Exp Date]]&gt;0, SnapshotTable[[#This Row],[LC Strike Price]]&gt;0,SnapshotTable[[#This Row],[LC Qty]]&gt;0,SnapshotTable[[#This Row],[LC Book Date]]&gt;0,SnapshotTable[[#This Row],[LC Book Price]]&gt;0,SnapshotTable[[#This Row],[LC Fill Date]]=0),"Y","")</f>
        <v/>
      </c>
      <c r="DQ183" s="386" t="str">
        <f>IF(SnapshotTable[[#This Row],[LC Premium]] &gt; 0,SnapshotTable[[#This Row],[LC Exp Date]]-MAX(SnapshotTable[[#This Row],[LC Book Date]], SnapshotTable[[#This Row],[LC Fill Date]]),"")</f>
        <v/>
      </c>
      <c r="DR183" s="386" t="str">
        <f>IF(ISNUMBER(SnapshotTable[[#This Row],[LC Term]]), SnapshotTable[[#This Row],[LC Exp Date]] - MockToday, "")</f>
        <v/>
      </c>
      <c r="DS183" s="234" t="str">
        <f>IF(SnapshotTable[[#This Row],[LC Premium]]&gt;0,SnapshotTable[[#This Row],[LC Strike Price]] + SnapshotTable[[#This Row],[LC Book Price]],"")</f>
        <v/>
      </c>
      <c r="DU183" s="9" t="str">
        <f>IF(AND(SnapshotTable[[#This Row],[LC Symbol Count]]&gt;0, SnapshotTable[[#This Row],[LC Contract Value]]&gt;0), SnapshotTable[[#This Row],[LC Contract Value]] * SnapshotTable[[#This Row],[LC Qty]] * 100, "")</f>
        <v/>
      </c>
      <c r="DV183" s="9" t="str">
        <f>IF(AND(ISNUMBER(SnapshotTable[[#This Row],[LC Total Value]]), SnapshotTable[[#This Row],[LC Not Filled]]&lt;&gt;"Y"), SnapshotTable[[#This Row],[LC Total Value]]-SnapshotTable[[#This Row],[LC Premium]],"")</f>
        <v/>
      </c>
      <c r="DW183" s="240" t="str">
        <f>IF(ISNUMBER(SnapshotTable[[#This Row],[LC Actual Gain Loss]]), SnapshotTable[[#This Row],[LC Actual Gain Loss]] / SnapshotTable[[#This Row],[LC Premium]],"")</f>
        <v/>
      </c>
      <c r="DX183" s="284" t="str">
        <f>IF(ISNUMBER(SnapshotTable[[#This Row],[LC Book Price]]),SnapshotTable[[#This Row],[LC Book Price]] * 1.5,"")</f>
        <v/>
      </c>
      <c r="DY183" s="265" t="str">
        <f>IF(SnapshotTable[[#This Row],[LC Premium]]&gt;0, SnapshotTable[[#This Row],[LC Next Target]] * SnapshotTable[[#This Row],[LC Qty]] * 100,"")</f>
        <v/>
      </c>
      <c r="DZ183" s="265" t="str">
        <f>IF(ISNUMBER(SnapshotTable[[#This Row],[LC Target Gross]]), SnapshotTable[[#This Row],[LC Target Gross]] - SnapshotTable[[#This Row],[LC Premium]], "")</f>
        <v/>
      </c>
      <c r="EA183" s="305" t="str">
        <f>IF(ISNUMBER(SnapshotTable[[#This Row],[LC Target Gain Loss]]), SnapshotTable[[#This Row],[LC Target Gain Loss]]/SnapshotTable[[#This Row],[LC Premium]], "")</f>
        <v/>
      </c>
      <c r="EB183" s="262"/>
      <c r="EC183" s="283" t="str">
        <f>IF(SnapshotTable[[#This Row],[LC Premium]]&gt;0, SnapshotTable[[#This Row],[LC Book Price]] * (1 - LC_StopLoss_Pct),"")</f>
        <v/>
      </c>
      <c r="ED183" s="284"/>
      <c r="EE183" s="283" t="str">
        <f>IF(ISNUMBER(SnapshotTable[[#This Row],[LC Contract Value]]),IF(ISNUMBER(SnapshotTable[[#This Row],[LC Stop Loss Override]]), SnapshotTable[[#This Row],[LC Stop Loss Override]],SnapshotTable[[#This Row],[LC Stop Loss Calc Target]]),"")</f>
        <v/>
      </c>
      <c r="EF183" s="31" t="str">
        <f>IF(ISNUMBER(SnapshotTable[[#This Row],[LC Stop  To Use]]), (SnapshotTable[[#This Row],[LC Stop  To Use]] * SnapshotTable[[#This Row],[LC Qty]] * 100),"")</f>
        <v/>
      </c>
      <c r="EG183" s="9" t="str">
        <f>IF(ISNUMBER(SnapshotTable[[#This Row],[LC Total Value]]),SnapshotTable[[#This Row],[LC Stop Loss Amount]] - SnapshotTable[[#This Row],[LC Premium]],"")</f>
        <v/>
      </c>
      <c r="EH183" s="9">
        <f>IF(ISNUMBER(SnapshotTable[[#This Row],[LC Premium]]), SnapshotTable[[#This Row],[LC Qty]] * 100 * SnapshotTable[[#This Row],[LC Strike Price]], "")</f>
        <v>0</v>
      </c>
      <c r="EI183" s="240" t="str">
        <f>IF(AND(ISNUMBER(SnapshotTable[[#This Row],[LC Total Value]]),SnapshotTable[[#This Row],[LC Total Value]]&gt;0),SnapshotTable[[#This Row],[LC Stop Gain Loss]]  / SnapshotTable[[#This Row],[LC Premium]],"")</f>
        <v/>
      </c>
      <c r="EJ183" s="35">
        <f>IF(ISNUMBER(SnapshotTable[[#This Row],[Equity Shares]]),TRUNC(SnapshotTable[[#This Row],[Equity Shares]] / 100),0) + SnapshotTable[[#This Row],[LC Qty]]</f>
        <v>0</v>
      </c>
      <c r="EK183" s="147"/>
      <c r="EL183" s="138" t="str">
        <f>IF(SnapshotTable[[#This Row],[SC Exp Date]]&lt;&gt;"",TRUNC(SnapshotTable[[#This Row],[Last Price]]),"")</f>
        <v/>
      </c>
      <c r="EM183" s="148"/>
      <c r="EN183" s="147"/>
      <c r="EO183" s="147"/>
      <c r="EP183" s="138"/>
      <c r="EQ183" s="419" t="b">
        <f>AND(ISNUMBER(SnapshotTable[[#This Row],[SC Exp Date]]), ISNUMBER(SnapshotTable[[#This Row],[SC Strike Price]]), ISNUMBER(SnapshotTable[[#This Row],[SC Qty]]), ISNUMBER(SnapshotTable[[#This Row],[SC Book Date]]), ISNUMBER(SnapshotTable[[#This Row],[SC Book Price]]))</f>
        <v>0</v>
      </c>
      <c r="ER183" s="419" t="b">
        <f>AND(SnapshotTable[[#This Row],[SC Is Booked]], NOT(ISBLANK(SnapshotTable[[#This Row],[SC Fill Date]])))</f>
        <v>0</v>
      </c>
      <c r="ES183" s="370"/>
      <c r="ET183" s="34" t="str">
        <f>IF(AND(ISNUMBER(SnapshotTable[[#This Row],[SC Exp Date]]), ISNUMBER(SnapshotTable[[#This Row],[SC Book Date]])), SnapshotTable[[#This Row],[SC Exp Date]] - MAX(SnapshotTable[[#This Row],[SC Book Date]], SnapshotTable[[#This Row],[SC Fill Date]]) + 1, "")</f>
        <v/>
      </c>
      <c r="EU183" s="34" t="str">
        <f>IF(ISNUMBER(SnapshotTable[[#This Row],[SC Term]]), SnapshotTable[[#This Row],[SC Exp Date]]- MockToday, "")</f>
        <v/>
      </c>
      <c r="EV183" s="31">
        <f>IF(SnapshotTable[[#This Row],[SC Is Booked]], SnapshotTable[[#This Row],[SC Qty]] * SnapshotTable[[#This Row],[SC Book Price]] * 100, 0)</f>
        <v>0</v>
      </c>
      <c r="EW183" s="4" t="str">
        <f>IF(AND(ISNUMBER(SnapshotTable[[#This Row],[Last Price]]), ISNUMBER( SnapshotTable[[#This Row],[SC Book Price]])), SnapshotTable[[#This Row],[Last Price]] - SnapshotTable[[#This Row],[SC Book Price]],"")</f>
        <v/>
      </c>
      <c r="EX183" s="234" t="str">
        <f>IF(SnapshotTable[[#This Row],[SC Is Booked]],IF(SnapshotTable[[#This Row],[SC Intrinsic Value]] &gt; 0, SnapshotTable[[#This Row],[SC Strike Price]], SnapshotTable[[#This Row],[Last Price]]), "")</f>
        <v/>
      </c>
      <c r="EY183" s="4">
        <f>IF(SnapshotTable[[#This Row],[SC Is Booked]], (MinimumPremiumRequired * SnapshotTable[[#This Row],[SC Basis]] * SnapshotTable[[#This Row],[SC Term]]), 0)</f>
        <v>0</v>
      </c>
      <c r="EZ183" s="283"/>
      <c r="FA183" s="218"/>
      <c r="FB183" s="370"/>
      <c r="FC183" s="4">
        <f>IF(SnapshotTable[[#This Row],[SC Is Filled]], btc_max_buyback_amount(SnapshotTable[[#This Row],[SC Fill Date]],SnapshotTable[[#This Row],[SC Exp Date]], SnapshotTable[[#This Row],[SC Book Price]]),0)</f>
        <v>0</v>
      </c>
      <c r="FD183" s="5"/>
      <c r="FE183" s="144" t="str">
        <f>IF(SnapshotTable[[#This Row],[SC Is Filled]], btc_next_cutoff_date(SnapshotTable[[#This Row],[SC Fill Date]],SnapshotTable[[#This Row],[SC Exp Date]]),"")</f>
        <v/>
      </c>
      <c r="FF183" s="4" t="str" cm="1">
        <f t="array" ref="FF183">IF(SnapshotTable[[#This Row],[SC Is Filled]], btc_should_buy_back(SnapshotTable[[#This Row],[SC Fill Date]], SnapshotTable[[#This Row],[SC Exp Date]], SnapshotTable[[#This Row],[SC Book Price]], SnapshotTable[[#This Row],[SC Current Ask]], MockToday, SnapshotTable[[#This Row],[SC Buyback Override]]),"")</f>
        <v/>
      </c>
      <c r="FG183" s="4">
        <f>IF(SnapshotTable[[#This Row],[SC Is Filled]], MAX(0,SnapshotTable[[#This Row],[Last Price]]  - SnapshotTable[[#This Row],[SC Strike Price]]), 0)</f>
        <v>0</v>
      </c>
      <c r="FH183" s="382">
        <f>IF(SnapshotTable[[#This Row],[SC Is Filled]], IF(ISNUMBER(SnapshotTable[[#This Row],[SC Current Ask]]), SnapshotTable[[#This Row],[SC Current Ask]], SnapshotTable[[#This Row],[SC Book Price]]) - SnapshotTable[[#This Row],[SC Intrinsic Value]], 0)</f>
        <v>0</v>
      </c>
      <c r="FI183" s="143"/>
      <c r="FJ183" s="32" t="str">
        <f>IF(SnapshotTable[[#This Row],[SC Is Filled]],100 * SnapshotTable[[#This Row],[SC Qty]] * IF(ISNUMBER(SnapshotTable[[#This Row],[SC Buyback Override]]), SnapshotTable[[#This Row],[SC Buyback Override]], SnapshotTable[[#This Row],[SC Current Ask]]), "")</f>
        <v/>
      </c>
      <c r="FK183" s="250" t="str">
        <f>IF(SnapshotTable[[#This Row],[SC Time Val]]&gt;0, SnapshotTable[[#This Row],[SC Time Val]] / SnapshotTable[[#This Row],[Last Price]],"")</f>
        <v/>
      </c>
      <c r="FL183" s="302" t="str">
        <f>IF(SnapshotTable[[#This Row],[SC Is Booked]], ((SnapshotTable[[#This Row],[Last Price]] -SnapshotTable[[#This Row],[SC Strike Price]]) / SnapshotTable[[#This Row],[Last Price]]) * -1, "")</f>
        <v/>
      </c>
      <c r="FM183" s="157" t="str">
        <f>IF(SnapshotTable[[#This Row],[SC Is Booked]],  (SnapshotTable[[#This Row],[SC Qty]] * 100 * SnapshotTable[[#This Row],[SC Strike Price]]) - SnapshotTable[[#This Row],[SC Current Ask]], "")</f>
        <v/>
      </c>
      <c r="FN18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3" s="31" t="str">
        <f>IF(AND(ISNUMBER(SnapshotTable[[#This Row],[SC Exercise Gross]]), ISNUMBER(SnapshotTable[[#This Row],[Equity Basis Per Share]] )), SnapshotTable[[#This Row],[SC Exercise Gross]] - SnapshotTable[[#This Row],[Equity Basis Total]] +  SnapshotTable[[#This Row],[SC Premium]], "")</f>
        <v/>
      </c>
      <c r="FP183" s="5" t="str">
        <f>IF(ISNUMBER(SnapshotTable[[#This Row],[SC Exercise Gross]]), (SnapshotTable[[#This Row],[SC Exercise Gross]]) / (SnapshotTable[[#This Row],[SC Qty]] * 100), "")</f>
        <v/>
      </c>
      <c r="FQ183" s="27" t="str">
        <f>IF(SnapshotTable[[#This Row],[SC Is Booked]],SnapshotTable[[#This Row],[SC Time Val]] /SnapshotTable[[#This Row],[SC Basis]], "")</f>
        <v/>
      </c>
      <c r="FR183" s="27" t="str" cm="1">
        <f t="array" ref="FR183">IF(AND(ISNUMBER(SnapshotTable[[#This Row],[SC Term]]),ISNUMBER(SnapshotTable[[#This Row],[SC Simple ROO]])), EllmanAnnualize(SnapshotTable[[#This Row],[SC DTE]], SnapshotTable[[#This Row],[SC Simple ROO]] ),"")</f>
        <v/>
      </c>
      <c r="FS183" s="4" t="e">
        <f>IF(SnapshotTable[[#This Row],[SC Strike Price]] &gt; SnapshotTable[[#This Row],[Last Price]], SnapshotTable[[#This Row],[SC Strike Price]] - SnapshotTable[[#This Row],[Last Price]],0)</f>
        <v>#VALUE!</v>
      </c>
      <c r="FT183" s="27" t="e">
        <f>IF(AND(ISNUMBER(SnapshotTable[[#This Row],[SC Upside Potential]]), SnapshotTable[[#This Row],[SC Upside Potential]] &gt; 0),(SnapshotTable[[#This Row],[SC Upside Potential]]/ SnapshotTable[[#This Row],[ACB]]),"")</f>
        <v>#VALUE!</v>
      </c>
      <c r="FU183" s="333" t="str">
        <f>IF(SnapshotTable[[#This Row],[SC Intrinsic Value]] &gt; 0,SnapshotTable[[#This Row],[SC Intrinsic Value]],"")</f>
        <v/>
      </c>
      <c r="FV183" s="27" t="str">
        <f>IF(AND( ISNUMBER( SnapshotTable[[#This Row],[ACB]]),ISNUMBER(SnapshotTable[[#This Row],[SC Downside Protect]])),SnapshotTable[[#This Row],[SC Downside Protect]] / SnapshotTable[[#This Row],[ACB]],"")</f>
        <v/>
      </c>
      <c r="FW183" s="236" t="str">
        <f>IF(AND(ISNUMBER(SnapshotTable[[#This Row],[SC Simple ROO]]),SnapshotTable[[#This Row],[SC Simple ROO]] &gt; 0), SnapshotTable[[#This Row],[SC Premium]] + (SnapshotTable[[#This Row],[SC Qty]] * SnapshotTable[[#This Row],[SC Upside Potential]]), "")</f>
        <v/>
      </c>
      <c r="FX183" s="302" t="str" cm="1">
        <f t="array" ref="FX183">IF(ISNUMBER(SnapshotTable[[#This Row],[SC Max Dollars]]), annualize(SnapshotTable[[#This Row],[SC Term]],(SnapshotTable[[#This Row],[SC Max Dollars]]/SnapshotTable[[#This Row],[SC Basis]])),"")</f>
        <v/>
      </c>
      <c r="FY183" s="236" t="str">
        <f>IF(AND(SnapshotTable[[#This Row],[SC Qty]]&gt;0,SnapshotTable[[#This Row],[SC Current Ask]]&gt;0), SnapshotTable[[#This Row],[SC Qty]] * SnapshotTable[[#This Row],[SC Current Ask]] * -100, "")</f>
        <v/>
      </c>
      <c r="FZ183" s="31" t="str">
        <f>IF(ISNUMBER((SnapshotTable[[#This Row],[SC Current Value]])), SnapshotTable[[#This Row],[SC Premium]] + SnapshotTable[[#This Row],[SC Current Value]], "")</f>
        <v/>
      </c>
      <c r="GA183" s="294" t="str">
        <f>IFERROR( IF(ISNUMBER((SnapshotTable[[#This Row],[SC Current Value]])), SnapshotTable[[#This Row],[SC Gain Loss]] / SnapshotTable[[#This Row],[SC Premium]], ""), "")</f>
        <v/>
      </c>
      <c r="GB183" s="42">
        <f>SnapshotTable[[#This Row],[Equity Shares]] * SaleSharesToConsiderPercentage</f>
        <v>0</v>
      </c>
      <c r="GC183" s="40">
        <f>SnapshotTable[[#This Row],[Long Term Target]] * SellingPriceToConsiderBasedOnTargetPercentage</f>
        <v>75.563000000000002</v>
      </c>
      <c r="GD183" s="40">
        <f>SnapshotTable[[#This Row],[Last Price]] * (1+ SellingPriceToConsiderBasedOnTargetPercentage)</f>
        <v>174.33</v>
      </c>
      <c r="GE183" s="41"/>
      <c r="GF183" s="40"/>
      <c r="GG183" s="31">
        <f>SnapshotTable[[#This Row],[Booked Sale Shares]] * SnapshotTable[[#This Row],[Booked Sale Price]]</f>
        <v>0</v>
      </c>
      <c r="GH183" s="31" t="str">
        <f>IF(SnapshotTable[[#This Row],[Equity Basis Total]] &gt; 0, SnapshotTable[[#This Row],[Equity Basis Per Share]] * SnapshotTable[[#This Row],[Booked Sale Shares]], "")</f>
        <v/>
      </c>
      <c r="GI183" s="31">
        <f>IF(SnapshotTable[[#This Row],[Sale Proceeds]]&gt;0, SnapshotTable[[#This Row],[Sale Proceeds]] - SnapshotTable[[#This Row],[Sale Basis]], 0)</f>
        <v>0</v>
      </c>
      <c r="GJ183" s="27" t="str">
        <f>IF(SnapshotTable[[#This Row],[Sale G/L]]&gt;0, SnapshotTable[[#This Row],[Sale G/L]] / SnapshotTable[[#This Row],[Sale Basis]], IF(ISNUMBER(SnapshotTable[[#This Row],[SC Exercise P&amp;L (TAX)]]), SnapshotTable[[#This Row],[SC Exercise P&amp;L (TAX)]] / SnapshotTable[[#This Row],[SC Basis]], ""))</f>
        <v/>
      </c>
      <c r="GK183" s="27" t="s">
        <v>710</v>
      </c>
      <c r="GL183" s="43" t="str">
        <f>IF(AND(SnapshotTable[[#This Row],[LP Exp Date]]&gt;0,SnapshotTable[[#This Row],[LP Strike Price]]&gt;0), [1]!ToOptionSymbol(SnapshotTable[[#This Row],[Symbol]], SnapshotTable[[#This Row],[LP Strike Price]],SnapshotTable[[#This Row],[LP Exp Date]],1), "")</f>
        <v/>
      </c>
      <c r="GM183" s="30" t="str">
        <f>IF(LEN(SnapshotTable[[#This Row],[LP Symbol]])&gt;0, 1, "")</f>
        <v/>
      </c>
      <c r="GN183" s="43" t="str">
        <f>IF(AND(SnapshotTable[[#This Row],[SP Exp Date]]&gt;0,SnapshotTable[[#This Row],[SP Strike Price]]&gt;0), [1]!ToOptionSymbol(SnapshotTable[[#This Row],[Symbol]], SnapshotTable[[#This Row],[SP Strike Price]],SnapshotTable[[#This Row],[SP Exp Date]],1), "")</f>
        <v/>
      </c>
      <c r="GO183" s="30" t="str">
        <f>IF(LEN(SnapshotTable[[#This Row],[SP Symbol]])&gt;0, 1, "")</f>
        <v/>
      </c>
      <c r="GP183" s="43" t="str">
        <f>IF(AND(SnapshotTable[[#This Row],[LC Exp Date]]&gt;0,SnapshotTable[[#This Row],[LC Strike Price]]&gt;0), [1]!ToOptionSymbol(SnapshotTable[[#This Row],[Symbol]], SnapshotTable[[#This Row],[LC Strike Price]],SnapshotTable[[#This Row],[LC Exp Date]],0), "")</f>
        <v/>
      </c>
      <c r="GQ183" s="30" t="str">
        <f>IF(LEN(SnapshotTable[[#This Row],[LC Symbol]])&gt;0, 1, "")</f>
        <v/>
      </c>
      <c r="GR183" s="43" t="str">
        <f>IF(AND(SnapshotTable[[#This Row],[SC Exp Date]]&gt;0,SnapshotTable[[#This Row],[SC Strike Price]]&gt;0), [1]!ToOptionSymbol(SnapshotTable[[#This Row],[Symbol]], SnapshotTable[[#This Row],[SC Strike Price]],SnapshotTable[[#This Row],[SC Exp Date]],0), "")</f>
        <v/>
      </c>
      <c r="GS183" s="30" t="str">
        <f>IF(LEN(SnapshotTable[[#This Row],[SC Symbol]])&gt;0, 1, "")</f>
        <v/>
      </c>
      <c r="GT183" s="29" t="str">
        <f>IF(COUNT(SnapshotTable[[#This Row],[LP Symbol Count]],SnapshotTable[[#This Row],[SP Symbol Count]],SnapshotTable[[#This Row],[LC Symbol Count]],SnapshotTable[[#This Row],[SC Symbol Count]])&gt;0, "Y", "")</f>
        <v/>
      </c>
      <c r="GU18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3" s="231" t="e">
        <f>MAX(SnapshotTable[[#This Row],[Equity Basis Total]],SnapshotTable[[#This Row],[Equity Value]]) + (SnapshotTable[[#This Row],[SP Potential Spend]]- SnapshotTable[[#This Row],[SP Premium]] + SnapshotTable[[#This Row],[LP Premium]])+ (SnapshotTable[[#This Row],[LC Premium]] - SnapshotTable[[#This Row],[SC Premium]])</f>
        <v>#VALUE!</v>
      </c>
      <c r="GW183" s="139" t="e">
        <f>IF(AND(SnapshotTable[[#This Row],[Exposure]] &lt;&gt; 0),SnapshotTable[[#This Row],[Exposure]] / SnapshotTable[[#Totals],[Exposure]], "")</f>
        <v>#VALUE!</v>
      </c>
      <c r="HE183" s="268"/>
      <c r="HF183" s="268"/>
      <c r="HK183" s="1"/>
      <c r="HL183" s="1"/>
      <c r="HM183" s="1"/>
      <c r="HN183" s="1"/>
      <c r="HO183" s="1"/>
      <c r="HP183" s="1"/>
    </row>
    <row r="184" spans="2:224" ht="12.75" hidden="1" customHeight="1" x14ac:dyDescent="0.25">
      <c r="B184" s="12" t="s">
        <v>1187</v>
      </c>
      <c r="C184" s="422">
        <v>76.680000000000007</v>
      </c>
      <c r="D184" s="208"/>
      <c r="E184" s="39">
        <f>SnapshotTable[[#This Row],[Last Price]]*(1 -CrashDiscount)</f>
        <v>65.177999999999997</v>
      </c>
      <c r="F184" s="26" t="s">
        <v>5</v>
      </c>
      <c r="G184" s="26" t="s">
        <v>4</v>
      </c>
      <c r="H184" s="149"/>
      <c r="I184" s="194"/>
      <c r="J184" s="195"/>
      <c r="K184" s="196"/>
      <c r="L184" s="326"/>
      <c r="M184" s="140"/>
      <c r="N184" s="140"/>
      <c r="O184" s="140"/>
      <c r="P184" s="22"/>
      <c r="Q184" s="25"/>
      <c r="R184" s="4" t="str">
        <f>IF(SnapshotTable[[#This Row],[Equity Basis Total]] &gt; 0, SnapshotTable[[#This Row],[Equity Basis Total]] / SnapshotTable[[#This Row],[Equity Shares]], "")</f>
        <v/>
      </c>
      <c r="S184" s="269">
        <f>SnapshotTable[[#This Row],[Last Price]] * SnapshotTable[[#This Row],[Equity Shares]]</f>
        <v>0</v>
      </c>
      <c r="T184" s="269">
        <f>SnapshotTable[[#This Row],[Equity Value]] - SnapshotTable[[#This Row],[Equity Basis Total]]</f>
        <v>0</v>
      </c>
      <c r="U184" s="270" t="str">
        <f>IF(SnapshotTable[[#This Row],[Equity Basis Total]] &gt; 0, SnapshotTable[[#This Row],[Equity G/L]] / SnapshotTable[[#This Row],[Equity Basis Total]], "")</f>
        <v/>
      </c>
      <c r="V184" s="268"/>
      <c r="W184" s="268"/>
      <c r="X184" s="4" t="str">
        <f>IF(AND(ISNUMBER(SnapshotTable[[#This Row],[Equity Basis Per Share]]),ISNUMBER(SnapshotTable[[#This Row],[Equity Target]])),SnapshotTable[[#This Row],[Equity Target]]-SnapshotTable[[#This Row],[Equity Basis Per Share]],"")</f>
        <v/>
      </c>
      <c r="Y184" s="4" t="str">
        <f>IF(AND(ISNUMBER(SnapshotTable[[#This Row],[Equity Basis Per Share]]),ISNUMBER(SnapshotTable[[#This Row],[Equity Stop Loss]])),SnapshotTable[[#This Row],[Equity Stop Loss]]-SnapshotTable[[#This Row],[Equity Basis Per Share]],"")</f>
        <v/>
      </c>
      <c r="Z184" s="275" t="str">
        <f>IFERROR( TEXT(SnapshotTable[[#This Row],[Equity Max Gain Per Share]] /ABS( SnapshotTable[[#This Row],[Equity Max Loss Per Share]]),"0.0 " ) &amp; " : 1", "")</f>
        <v/>
      </c>
      <c r="AA184" s="31" t="str">
        <f>IF(ISNUMBER(SnapshotTable[[#This Row],[Equity Max Gain Per Share]]),SnapshotTable[[#This Row],[Equity Max Gain Per Share]] * SnapshotTable[[#This Row],[Equity Shares]],"")</f>
        <v/>
      </c>
      <c r="AB184" s="31" t="str">
        <f>IF(ISNUMBER(SnapshotTable[[#This Row],[Equity Max Loss Per Share]]),SnapshotTable[[#This Row],[Equity Max Loss Per Share]] * SnapshotTable[[#This Row],[Equity Shares]],"")</f>
        <v/>
      </c>
      <c r="AC184" s="150"/>
      <c r="AD184" s="151"/>
      <c r="AE184" s="31">
        <f>(SnapshotTable[[#This Row],[Annual Dividend Per Share]] / 4) * SnapshotTable[[#This Row],[Equity Shares]]</f>
        <v>0</v>
      </c>
      <c r="AF184" s="31">
        <f>SnapshotTable[[#This Row],[Quarterly Div $]] * 4</f>
        <v>0</v>
      </c>
      <c r="AG184" s="7">
        <f>IF(SnapshotTable[[#This Row],[Annual Dividend Per Share]]&gt;0, SnapshotTable[[#This Row],[Annual Dividend Per Share]]  / SnapshotTable[[#This Row],[Last Price]], 0)</f>
        <v>0</v>
      </c>
      <c r="AH184" s="151"/>
      <c r="AI184" s="5"/>
      <c r="AJ184" s="138"/>
      <c r="AK184" s="152" t="str">
        <f>IF(ISNUMBER( SnapshotTable[[#This Row],[EBF Target]]),(SnapshotTable[[#This Row],[EBF Target]] - SnapshotTable[[#This Row],[Last Price]]) / SnapshotTable[[#This Row],[Last Price]], "")</f>
        <v/>
      </c>
      <c r="AL184" s="152" t="str">
        <f>IF(AND(SnapshotTable[[#This Row],[Equity Basis Total]] &gt; 0,ISNUMBER( SnapshotTable[[#This Row],[Long Term Target]])), SnapshotTable[[#This Row],[From Basis $]] / SnapshotTable[[#This Row],[Equity Basis Total]], "")</f>
        <v/>
      </c>
      <c r="AM184" s="9">
        <f>IF( AND(SnapshotTable[[#This Row],[Equity Shares]] &gt;0,ISNUMBER( SnapshotTable[[#This Row],[Long Term Target]])),(SnapshotTable[[#This Row],[Equity Shares]] * SnapshotTable[[#This Row],[Long Term Target]]) - SnapshotTable[[#This Row],[Equity Basis Total]],0)</f>
        <v>0</v>
      </c>
      <c r="AN184" s="9">
        <f>IF( AND(SnapshotTable[[#This Row],[Equity Shares]] &gt;0,ISNUMBER( SnapshotTable[[#This Row],[Long Term Target]])),(SnapshotTable[[#This Row],[Equity Shares]]*SnapshotTable[[#This Row],[Long Term Target]]) - SnapshotTable[[#This Row],[Equity Value]],0)</f>
        <v>0</v>
      </c>
      <c r="AO184" s="152" t="str">
        <f>IF(AND(ISNUMBER( SnapshotTable[[#This Row],[Long Term Target]]), ISNUMBER(SnapshotTable[[#This Row],[Last Price]])),(SnapshotTable[[#This Row],[Long Term Target]] - SnapshotTable[[#This Row],[Last Price]]) / SnapshotTable[[#This Row],[Last Price]], "")</f>
        <v/>
      </c>
      <c r="AP184" s="5">
        <v>37</v>
      </c>
      <c r="AQ184" s="38" t="s">
        <v>46</v>
      </c>
      <c r="AR184" s="5">
        <v>37</v>
      </c>
      <c r="AS184" s="38" t="s">
        <v>45</v>
      </c>
      <c r="AT184" s="146" t="s">
        <v>575</v>
      </c>
      <c r="AU184" s="187" t="str">
        <f>IF(OR(SnapshotTable[[#This Row],[LP No Fill]]="Y",SnapshotTable[[#This Row],[SP Is Filled]],SnapshotTable[[#This Row],[LC Not Filled]]="Y",SnapshotTable[[#This Row],[SC Is Filled]]),"Y","")</f>
        <v/>
      </c>
      <c r="AV184" s="219"/>
      <c r="AW184" s="225"/>
      <c r="AX184" s="220"/>
      <c r="AY184" s="219" t="str">
        <f>IF(SnapshotTable[[#This Row],[Implied Move]]&gt;0, SnapshotTable[[#This Row],[Last Price]]-SnapshotTable[[#This Row],[Implied Move]],"")</f>
        <v/>
      </c>
      <c r="AZ184" s="219" t="str">
        <f>IF(SnapshotTable[[#This Row],[Implied Move]]&gt;0, SnapshotTable[[#This Row],[Last Price]] + SnapshotTable[[#This Row],[Implied Move]],"")</f>
        <v/>
      </c>
      <c r="BA184" s="331">
        <v>61.48</v>
      </c>
      <c r="BB184" s="347"/>
      <c r="BC18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4" s="351"/>
      <c r="BE184" s="5"/>
      <c r="BF184" s="14"/>
      <c r="BG184" s="13"/>
      <c r="BH184" s="13"/>
      <c r="BI184" s="5"/>
      <c r="BJ184" s="136">
        <f>IF(SnapshotTable[[#This Row],[LP Qty]] &gt; 0, SnapshotTable[[#This Row],[LP Qty]] * SnapshotTable[[#This Row],[LP Book Price]] * 100,0)</f>
        <v>0</v>
      </c>
      <c r="BK184" s="136">
        <f>IF(SnapshotTable[[#This Row],[LP Premium]] &gt; 0, SnapshotTable[[#This Row],[LP Qty]] * SnapshotTable[[#This Row],[LP Strike Price]] * 100,0)</f>
        <v>0</v>
      </c>
      <c r="BL184" s="154"/>
      <c r="BM184" s="385" t="str">
        <f>IF(SnapshotTable[[#This Row],[LP Premium]] &gt; 0,SnapshotTable[[#This Row],[LP Exp Date]]-MAX(SnapshotTable[[#This Row],[LP Book Date]], SnapshotTable[[#This Row],[LP Fill Date]]),"")</f>
        <v/>
      </c>
      <c r="BN184" s="385" t="str">
        <f>IF(ISNUMBER( SnapshotTable[[#This Row],[LP Term]]), SnapshotTable[[#This Row],[LP Exp Date]] - MockToday,"")</f>
        <v/>
      </c>
      <c r="BO184" s="163" t="str">
        <f>IF(AND(SnapshotTable[[#This Row],[LP Exp Date]]&gt;0, SnapshotTable[[#This Row],[LP Strike Price]]&gt;0,SnapshotTable[[#This Row],[LP Qty]]&gt;0,SnapshotTable[[#This Row],[LP Book Date]]&gt;0,SnapshotTable[[#This Row],[LP Book Price]]&gt;0,SnapshotTable[[#This Row],[LP Fill Date]]=0),"Y","")</f>
        <v/>
      </c>
      <c r="BP184" s="31" t="str">
        <f>IF(AND(SnapshotTable[[#This Row],[LP No Fill]]&lt;&gt;"Y",SnapshotTable[[#This Row],[LP Contract Value]]&gt;0, SnapshotTable[[#This Row],[LP Qty]]&gt;0), SnapshotTable[[#This Row],[LP Contract Value]]*SnapshotTable[[#This Row],[LP Qty]]*100,"")</f>
        <v/>
      </c>
      <c r="BQ184" s="13"/>
      <c r="BR184" s="5" t="str">
        <f>IF(SnapshotTable[[#This Row],[SP Exp Date]]&lt;&gt;"",TRUNC(SnapshotTable[[#This Row],[Last Price]]),"")</f>
        <v/>
      </c>
      <c r="BS184" s="36"/>
      <c r="BT184" s="147"/>
      <c r="BU184" s="13"/>
      <c r="BV184" s="5"/>
      <c r="BW184" s="419" t="b">
        <f>AND(ISNUMBER(SnapshotTable[[#This Row],[SP Exp Date]]), ISNUMBER(SnapshotTable[[#This Row],[SP Strike Price]]), ISNUMBER(SnapshotTable[[#This Row],[SP Qty]]), ISNUMBER(SnapshotTable[[#This Row],[SP Book Date]]), ISNUMBER(SnapshotTable[[#This Row],[SP Book Price]]))</f>
        <v>0</v>
      </c>
      <c r="BX184" s="419" t="b">
        <f>AND(SnapshotTable[[#This Row],[SP Is Booked]], NOT(ISBLANK(SnapshotTable[[#This Row],[SP Fill Date]])))</f>
        <v>0</v>
      </c>
      <c r="BY184" s="33">
        <f>IF(SnapshotTable[[#This Row],[SP Is Booked]], SnapshotTable[[#This Row],[SP Qty]] * SnapshotTable[[#This Row],[SP Book Price]] * 100, 0)</f>
        <v>0</v>
      </c>
      <c r="BZ184" s="369"/>
      <c r="CA184" s="368">
        <f>SnapshotTable[[#This Row],[LP Qty]]</f>
        <v>0</v>
      </c>
      <c r="CB184" s="4" t="str">
        <f>IF(SnapshotTable[[#This Row],[SP Is Booked]], SnapshotTable[[#This Row],[SP Strike Price]] - SnapshotTable[[#This Row],[SP Book Price]], "")</f>
        <v/>
      </c>
      <c r="CC184" s="19" t="str">
        <f>IF(SnapshotTable[[#This Row],[SP Is Booked]],SnapshotTable[[#This Row],[SP Exp Date]]-MAX(SnapshotTable[[#This Row],[SP Book Date]], SnapshotTable[[#This Row],[SP Fill Date]]),"")</f>
        <v/>
      </c>
      <c r="CD184" s="7" t="str">
        <f>IF(SnapshotTable[[#This Row],[SP Is Booked]], SnapshotTable[[#This Row],[SP Book Price]]/SnapshotTable[[#This Row],[SP Strike Price]], "")</f>
        <v/>
      </c>
      <c r="CE184" s="7" t="str">
        <f>IF(ISNUMBER(SnapshotTable[[#This Row],[SP ROO Term]]),SnapshotTable[[#This Row],[SP ROO Term]]*(365/SnapshotTable[[#This Row],[SP Term]]),"")</f>
        <v/>
      </c>
      <c r="CF184" s="236">
        <f>SnapshotTable[[#This Row],[LP Strike Price]] * SnapshotTable[[#This Row],[LP Qty]] * 100</f>
        <v>0</v>
      </c>
      <c r="CG184" s="31" t="e">
        <f>IF(ISNUMBER(SnapshotTable[[#This Row],[SP Premium]]), (SnapshotTable[[#This Row],[SP Qty]] * SnapshotTable[[#This Row],[SP Strike Price]]* 100) - SnapshotTable[[#This Row],[LP Protection]], 0)</f>
        <v>#VALUE!</v>
      </c>
      <c r="CH184" s="7" t="str">
        <f>IF(ISNUMBER(SnapshotTable[[#This Row],[SP Break Even]]),-1 * (SnapshotTable[[#This Row],[SP Break Even]] - SnapshotTable[[#This Row],[Last Price]]) / SnapshotTable[[#This Row],[Last Price]], "")</f>
        <v/>
      </c>
      <c r="CI184" s="31">
        <f>IF(AND(ISNUMBER((SnapshotTable[[#This Row],[SP Potential Spend]])), SnapshotTable[[#This Row],[SP Strike Price]] &gt; SnapshotTable[[#This Row],[Last Price]], SnapshotTable[[#This Row],[SP Is Filled]]), SnapshotTable[[#This Row],[SP Potential Spend]] -  SnapshotTable[[#This Row],[LP Max Value]], 0)</f>
        <v>0</v>
      </c>
      <c r="CJ184" s="244"/>
      <c r="CK184" s="31" t="str">
        <f>IF(ISNUMBER(SnapshotTable[[#This Row],[SP Potential Spend]]),IF(ISNUMBER(SnapshotTable[[#This Row],[SP POW]]), SnapshotTable[[#This Row],[SP POW]] * SnapshotTable[[#This Row],[SP Potential Spend]], SnapshotTable[[#This Row],[SP Potential Spend]]), "")</f>
        <v/>
      </c>
      <c r="CL184" s="164" t="e">
        <f>IF(NOT(SnapshotTable[[#This Row],[SP Is Filled]]),(SnapshotTable[[#This Row],[SP Qty]] * SnapshotTable[[#This Row],[SP Strike Price]] * 100) - SnapshotTable[[#This Row],[LP Max Value]],"")</f>
        <v>#VALUE!</v>
      </c>
      <c r="CM184" s="31" t="str">
        <f>IF(SnapshotTable[[#This Row],[SP Actual Spend]]&lt;&gt;0, ((SnapshotTable[[#This Row],[SP Strike Price]]-SnapshotTable[[#This Row],[Last Price]]) *(SnapshotTable[[#This Row],[SP Qty]]*100) - SnapshotTable[[#This Row],[SP Premium]]) * - 1, "")</f>
        <v/>
      </c>
      <c r="CN184" s="218"/>
      <c r="CO184" s="369"/>
      <c r="CP184" s="4" t="str">
        <f>IF(SnapshotTable[[#This Row],[SP Is Filled]], btc_max_buyback_amount(SnapshotTable[[#This Row],[SP Fill Date]],SnapshotTable[[#This Row],[SP Exp Date]], SnapshotTable[[#This Row],[SP Book Price]]),"")</f>
        <v/>
      </c>
      <c r="CQ184" s="78"/>
      <c r="CR18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4" s="155" t="str">
        <f>IF(SnapshotTable[[#This Row],[SP Is Filled]], btc_next_cutoff_date(SnapshotTable[[#This Row],[SP Fill Date]],SnapshotTable[[#This Row],[SP Exp Date]]),"")</f>
        <v/>
      </c>
      <c r="CT184" s="235" t="str" cm="1">
        <f t="array" ref="CT184">IF(SnapshotTable[[#This Row],[SP Is Filled]], btc_should_buy_back(SnapshotTable[[#This Row],[SP Fill Date]], SnapshotTable[[#This Row],[SP Exp Date]], SnapshotTable[[#This Row],[SP Book Price]], SnapshotTable[[#This Row],[SP Current Ask]], MockToday, SnapshotTable[[#This Row],[SP Buyback Override]]),"")</f>
        <v/>
      </c>
      <c r="CU184" s="156"/>
      <c r="CV184" s="235"/>
      <c r="CW184" s="378" t="str">
        <f>IF(ISNUMBER( SnapshotTable[[#This Row],[SP Term]]), SnapshotTable[[#This Row],[SP Exp Date]] - MockToday,"")</f>
        <v/>
      </c>
      <c r="CX184" s="31" t="str">
        <f>IF(SnapshotTable[[#This Row],[SP Is Filled]],SnapshotTable[[#This Row],[SP Buyback Price to Use]] * 100 * SnapshotTable[[#This Row],[SP Qty]], "")</f>
        <v/>
      </c>
      <c r="CY184" s="4" t="str">
        <f>IF(ISNUMBER(SnapshotTable[[#This Row],[SP Strike Price]]), SnapshotTable[[#This Row],[SP Strike Price]] * (1 - SP_MaxLoss_StrikePct), "")</f>
        <v/>
      </c>
      <c r="CZ184" s="31" t="str">
        <f>IF(ISNUMBER(SnapshotTable[[#This Row],[SP Strike  Stop Per Share]]),SnapshotTable[[#This Row],[SP Premium]] - ((SnapshotTable[[#This Row],[SP Strike Price]]-SnapshotTable[[#This Row],[SP Strike  Stop Per Share]]) *(SnapshotTable[[#This Row],[SP Qty]] * 100)),"")</f>
        <v/>
      </c>
      <c r="DA184" s="4" t="str">
        <f>IF(AND(ISNUMBER(SnapshotTable[[#This Row],[SP Premium]]),SnapshotTable[[#This Row],[SP Premium]]&gt;0), SnapshotTable[[#This Row],[SP Book Price]] * (1 + SP_MaxLoss_OptionPct), "")</f>
        <v/>
      </c>
      <c r="DB184" s="31" t="str">
        <f>IF(ISNUMBER(SnapshotTable[[#This Row],[SP Option  Stop Contract]]),(SnapshotTable[[#This Row],[SP Option  Stop Contract]] *(SnapshotTable[[#This Row],[SP Qty]] * 100) - SnapshotTable[[#This Row],[SP Premium]]),"")</f>
        <v/>
      </c>
      <c r="DC184" s="4"/>
      <c r="DD184" s="4"/>
      <c r="DE184" s="4" t="str">
        <f>IF(AND(SnapshotTable[[#This Row],[SP Qty]]&gt;0, SnapshotTable[[#This Row],[SP Stop To Use]]&gt;0),SnapshotTable[[#This Row],[SP Premium]] - ( SnapshotTable[[#This Row],[SP Qty]] * SnapshotTable[[#This Row],[SP Stop To Use]] * 100), "")</f>
        <v/>
      </c>
      <c r="DF184" s="31" t="str">
        <f>IF(AND(SnapshotTable[[#This Row],[SP Qty]]&gt;0,SnapshotTable[[#This Row],[SP Current Ask]]&gt;0), SnapshotTable[[#This Row],[SP Qty]] * SnapshotTable[[#This Row],[SP Current Ask]] * -100, "")</f>
        <v/>
      </c>
      <c r="DG184" s="31" t="str">
        <f>IF(ISNUMBER((SnapshotTable[[#This Row],[SP Total Value]])), SnapshotTable[[#This Row],[SP Premium]] + SnapshotTable[[#This Row],[SP Total Value]], "")</f>
        <v/>
      </c>
      <c r="DH184" s="294" t="str">
        <f>IF(ISNUMBER((SnapshotTable[[#This Row],[SP Total Value]])), SnapshotTable[[#This Row],[SP Gain Loss]] / SnapshotTable[[#This Row],[SP Premium]], "")</f>
        <v/>
      </c>
      <c r="DI184" s="406"/>
      <c r="DJ184" s="138"/>
      <c r="DK184" s="148"/>
      <c r="DL184" s="13"/>
      <c r="DM184" s="13"/>
      <c r="DO184" s="31">
        <f>IF(SnapshotTable[[#This Row],[LC Symbol Count]]=1, SnapshotTable[[#This Row],[LC Qty]] * SnapshotTable[[#This Row],[LC Book Price]] * 100, 0)</f>
        <v>0</v>
      </c>
      <c r="DP184" s="163" t="str">
        <f>IF(AND(SnapshotTable[[#This Row],[LC Exp Date]]&gt;0, SnapshotTable[[#This Row],[LC Strike Price]]&gt;0,SnapshotTable[[#This Row],[LC Qty]]&gt;0,SnapshotTable[[#This Row],[LC Book Date]]&gt;0,SnapshotTable[[#This Row],[LC Book Price]]&gt;0,SnapshotTable[[#This Row],[LC Fill Date]]=0),"Y","")</f>
        <v/>
      </c>
      <c r="DQ184" s="386" t="str">
        <f>IF(SnapshotTable[[#This Row],[LC Premium]] &gt; 0,SnapshotTable[[#This Row],[LC Exp Date]]-MAX(SnapshotTable[[#This Row],[LC Book Date]], SnapshotTable[[#This Row],[LC Fill Date]]),"")</f>
        <v/>
      </c>
      <c r="DR184" s="386" t="str">
        <f>IF(ISNUMBER(SnapshotTable[[#This Row],[LC Term]]), SnapshotTable[[#This Row],[LC Exp Date]] - MockToday, "")</f>
        <v/>
      </c>
      <c r="DS184" s="234" t="str">
        <f>IF(SnapshotTable[[#This Row],[LC Premium]]&gt;0,SnapshotTable[[#This Row],[LC Strike Price]] + SnapshotTable[[#This Row],[LC Book Price]],"")</f>
        <v/>
      </c>
      <c r="DU184" s="9" t="str">
        <f>IF(AND(SnapshotTable[[#This Row],[LC Symbol Count]]&gt;0, SnapshotTable[[#This Row],[LC Contract Value]]&gt;0), SnapshotTable[[#This Row],[LC Contract Value]] * SnapshotTable[[#This Row],[LC Qty]] * 100, "")</f>
        <v/>
      </c>
      <c r="DV184" s="9" t="str">
        <f>IF(AND(ISNUMBER(SnapshotTable[[#This Row],[LC Total Value]]), SnapshotTable[[#This Row],[LC Not Filled]]&lt;&gt;"Y"), SnapshotTable[[#This Row],[LC Total Value]]-SnapshotTable[[#This Row],[LC Premium]],"")</f>
        <v/>
      </c>
      <c r="DW184" s="240" t="str">
        <f>IF(ISNUMBER(SnapshotTable[[#This Row],[LC Actual Gain Loss]]), SnapshotTable[[#This Row],[LC Actual Gain Loss]] / SnapshotTable[[#This Row],[LC Premium]],"")</f>
        <v/>
      </c>
      <c r="DX184" s="284" t="str">
        <f>IF(ISNUMBER(SnapshotTable[[#This Row],[LC Book Price]]),SnapshotTable[[#This Row],[LC Book Price]] * 1.5,"")</f>
        <v/>
      </c>
      <c r="DY184" s="265" t="str">
        <f>IF(SnapshotTable[[#This Row],[LC Premium]]&gt;0, SnapshotTable[[#This Row],[LC Next Target]] * SnapshotTable[[#This Row],[LC Qty]] * 100,"")</f>
        <v/>
      </c>
      <c r="DZ184" s="265" t="str">
        <f>IF(ISNUMBER(SnapshotTable[[#This Row],[LC Target Gross]]), SnapshotTable[[#This Row],[LC Target Gross]] - SnapshotTable[[#This Row],[LC Premium]], "")</f>
        <v/>
      </c>
      <c r="EA184" s="305" t="str">
        <f>IF(ISNUMBER(SnapshotTable[[#This Row],[LC Target Gain Loss]]), SnapshotTable[[#This Row],[LC Target Gain Loss]]/SnapshotTable[[#This Row],[LC Premium]], "")</f>
        <v/>
      </c>
      <c r="EB184" s="262"/>
      <c r="EC184" s="283" t="str">
        <f>IF(SnapshotTable[[#This Row],[LC Premium]]&gt;0, SnapshotTable[[#This Row],[LC Book Price]] * (1 - LC_StopLoss_Pct),"")</f>
        <v/>
      </c>
      <c r="ED184" s="284"/>
      <c r="EE184" s="283" t="str">
        <f>IF(ISNUMBER(SnapshotTable[[#This Row],[LC Contract Value]]),IF(ISNUMBER(SnapshotTable[[#This Row],[LC Stop Loss Override]]), SnapshotTable[[#This Row],[LC Stop Loss Override]],SnapshotTable[[#This Row],[LC Stop Loss Calc Target]]),"")</f>
        <v/>
      </c>
      <c r="EF184" s="31" t="str">
        <f>IF(ISNUMBER(SnapshotTable[[#This Row],[LC Stop  To Use]]), (SnapshotTable[[#This Row],[LC Stop  To Use]] * SnapshotTable[[#This Row],[LC Qty]] * 100),"")</f>
        <v/>
      </c>
      <c r="EG184" s="9" t="str">
        <f>IF(ISNUMBER(SnapshotTable[[#This Row],[LC Total Value]]),SnapshotTable[[#This Row],[LC Stop Loss Amount]] - SnapshotTable[[#This Row],[LC Premium]],"")</f>
        <v/>
      </c>
      <c r="EH184" s="9">
        <f>IF(ISNUMBER(SnapshotTable[[#This Row],[LC Premium]]), SnapshotTable[[#This Row],[LC Qty]] * 100 * SnapshotTable[[#This Row],[LC Strike Price]], "")</f>
        <v>0</v>
      </c>
      <c r="EI184" s="240" t="str">
        <f>IF(AND(ISNUMBER(SnapshotTable[[#This Row],[LC Total Value]]),SnapshotTable[[#This Row],[LC Total Value]]&gt;0),SnapshotTable[[#This Row],[LC Stop Gain Loss]]  / SnapshotTable[[#This Row],[LC Premium]],"")</f>
        <v/>
      </c>
      <c r="EJ184" s="35">
        <f>IF(ISNUMBER(SnapshotTable[[#This Row],[Equity Shares]]),TRUNC(SnapshotTable[[#This Row],[Equity Shares]] / 100),0) + SnapshotTable[[#This Row],[LC Qty]]</f>
        <v>0</v>
      </c>
      <c r="EK184" s="147"/>
      <c r="EL184" s="138" t="str">
        <f>IF(SnapshotTable[[#This Row],[SC Exp Date]]&lt;&gt;"",TRUNC(SnapshotTable[[#This Row],[Last Price]]),"")</f>
        <v/>
      </c>
      <c r="EM184" s="148"/>
      <c r="EN184" s="147"/>
      <c r="EO184" s="147"/>
      <c r="EP184" s="138"/>
      <c r="EQ184" s="419" t="b">
        <f>AND(ISNUMBER(SnapshotTable[[#This Row],[SC Exp Date]]), ISNUMBER(SnapshotTable[[#This Row],[SC Strike Price]]), ISNUMBER(SnapshotTable[[#This Row],[SC Qty]]), ISNUMBER(SnapshotTable[[#This Row],[SC Book Date]]), ISNUMBER(SnapshotTable[[#This Row],[SC Book Price]]))</f>
        <v>0</v>
      </c>
      <c r="ER184" s="419" t="b">
        <f>AND(SnapshotTable[[#This Row],[SC Is Booked]], NOT(ISBLANK(SnapshotTable[[#This Row],[SC Fill Date]])))</f>
        <v>0</v>
      </c>
      <c r="ES184" s="370">
        <v>0.75</v>
      </c>
      <c r="ET184" s="34" t="str">
        <f>IF(AND(ISNUMBER(SnapshotTable[[#This Row],[SC Exp Date]]), ISNUMBER(SnapshotTable[[#This Row],[SC Book Date]])), SnapshotTable[[#This Row],[SC Exp Date]] - MAX(SnapshotTable[[#This Row],[SC Book Date]], SnapshotTable[[#This Row],[SC Fill Date]]) + 1, "")</f>
        <v/>
      </c>
      <c r="EU184" s="34" t="str">
        <f>IF(ISNUMBER(SnapshotTable[[#This Row],[SC Term]]), SnapshotTable[[#This Row],[SC Exp Date]]- MockToday, "")</f>
        <v/>
      </c>
      <c r="EV184" s="31">
        <f>IF(SnapshotTable[[#This Row],[SC Is Booked]], SnapshotTable[[#This Row],[SC Qty]] * SnapshotTable[[#This Row],[SC Book Price]] * 100, 0)</f>
        <v>0</v>
      </c>
      <c r="EW184" s="4" t="str">
        <f>IF(AND(ISNUMBER(SnapshotTable[[#This Row],[Last Price]]), ISNUMBER( SnapshotTable[[#This Row],[SC Book Price]])), SnapshotTable[[#This Row],[Last Price]] - SnapshotTable[[#This Row],[SC Book Price]],"")</f>
        <v/>
      </c>
      <c r="EX184" s="234" t="str">
        <f>IF(SnapshotTable[[#This Row],[SC Is Booked]],IF(SnapshotTable[[#This Row],[SC Intrinsic Value]] &gt; 0, SnapshotTable[[#This Row],[SC Strike Price]], SnapshotTable[[#This Row],[Last Price]]), "")</f>
        <v/>
      </c>
      <c r="EY184" s="4">
        <f>IF(SnapshotTable[[#This Row],[SC Is Booked]], (MinimumPremiumRequired * SnapshotTable[[#This Row],[SC Basis]] * SnapshotTable[[#This Row],[SC Term]]), 0)</f>
        <v>0</v>
      </c>
      <c r="EZ184" s="283"/>
      <c r="FA184" s="218"/>
      <c r="FB184" s="370"/>
      <c r="FC184" s="4">
        <f>IF(SnapshotTable[[#This Row],[SC Is Filled]], btc_max_buyback_amount(SnapshotTable[[#This Row],[SC Fill Date]],SnapshotTable[[#This Row],[SC Exp Date]], SnapshotTable[[#This Row],[SC Book Price]]),0)</f>
        <v>0</v>
      </c>
      <c r="FD184" s="5"/>
      <c r="FE184" s="144" t="str">
        <f>IF(SnapshotTable[[#This Row],[SC Is Filled]], btc_next_cutoff_date(SnapshotTable[[#This Row],[SC Fill Date]],SnapshotTable[[#This Row],[SC Exp Date]]),"")</f>
        <v/>
      </c>
      <c r="FF184" s="4" t="str" cm="1">
        <f t="array" ref="FF184">IF(SnapshotTable[[#This Row],[SC Is Filled]], btc_should_buy_back(SnapshotTable[[#This Row],[SC Fill Date]], SnapshotTable[[#This Row],[SC Exp Date]], SnapshotTable[[#This Row],[SC Book Price]], SnapshotTable[[#This Row],[SC Current Ask]], MockToday, SnapshotTable[[#This Row],[SC Buyback Override]]),"")</f>
        <v/>
      </c>
      <c r="FG184" s="4">
        <f>IF(SnapshotTable[[#This Row],[SC Is Filled]], MAX(0,SnapshotTable[[#This Row],[Last Price]]  - SnapshotTable[[#This Row],[SC Strike Price]]), 0)</f>
        <v>0</v>
      </c>
      <c r="FH184" s="382">
        <f>IF(SnapshotTable[[#This Row],[SC Is Filled]], IF(ISNUMBER(SnapshotTable[[#This Row],[SC Current Ask]]), SnapshotTable[[#This Row],[SC Current Ask]], SnapshotTable[[#This Row],[SC Book Price]]) - SnapshotTable[[#This Row],[SC Intrinsic Value]], 0)</f>
        <v>0</v>
      </c>
      <c r="FI184" s="143"/>
      <c r="FJ184" s="32" t="str">
        <f>IF(SnapshotTable[[#This Row],[SC Is Filled]],100 * SnapshotTable[[#This Row],[SC Qty]] * IF(ISNUMBER(SnapshotTable[[#This Row],[SC Buyback Override]]), SnapshotTable[[#This Row],[SC Buyback Override]], SnapshotTable[[#This Row],[SC Current Ask]]), "")</f>
        <v/>
      </c>
      <c r="FK184" s="250" t="str">
        <f>IF(SnapshotTable[[#This Row],[SC Time Val]]&gt;0, SnapshotTable[[#This Row],[SC Time Val]] / SnapshotTable[[#This Row],[Last Price]],"")</f>
        <v/>
      </c>
      <c r="FL184" s="302" t="str">
        <f>IF(SnapshotTable[[#This Row],[SC Is Booked]], ((SnapshotTable[[#This Row],[Last Price]] -SnapshotTable[[#This Row],[SC Strike Price]]) / SnapshotTable[[#This Row],[Last Price]]) * -1, "")</f>
        <v/>
      </c>
      <c r="FM184" s="157" t="str">
        <f>IF(SnapshotTable[[#This Row],[SC Is Booked]],  (SnapshotTable[[#This Row],[SC Qty]] * 100 * SnapshotTable[[#This Row],[SC Strike Price]]) - SnapshotTable[[#This Row],[SC Current Ask]], "")</f>
        <v/>
      </c>
      <c r="FN18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4" s="31" t="str">
        <f>IF(AND(ISNUMBER(SnapshotTable[[#This Row],[SC Exercise Gross]]), ISNUMBER(SnapshotTable[[#This Row],[Equity Basis Per Share]] )), SnapshotTable[[#This Row],[SC Exercise Gross]] - SnapshotTable[[#This Row],[Equity Basis Total]] +  SnapshotTable[[#This Row],[SC Premium]], "")</f>
        <v/>
      </c>
      <c r="FP184" s="5" t="str">
        <f>IF(ISNUMBER(SnapshotTable[[#This Row],[SC Exercise Gross]]), (SnapshotTable[[#This Row],[SC Exercise Gross]]) / (SnapshotTable[[#This Row],[SC Qty]] * 100), "")</f>
        <v/>
      </c>
      <c r="FQ184" s="27" t="str">
        <f>IF(SnapshotTable[[#This Row],[SC Is Booked]],SnapshotTable[[#This Row],[SC Time Val]] /SnapshotTable[[#This Row],[SC Basis]], "")</f>
        <v/>
      </c>
      <c r="FR184" s="27" t="str" cm="1">
        <f t="array" ref="FR184">IF(AND(ISNUMBER(SnapshotTable[[#This Row],[SC Term]]),ISNUMBER(SnapshotTable[[#This Row],[SC Simple ROO]])), EllmanAnnualize(SnapshotTable[[#This Row],[SC DTE]], SnapshotTable[[#This Row],[SC Simple ROO]] ),"")</f>
        <v/>
      </c>
      <c r="FS184" s="4" t="e">
        <f>IF(SnapshotTable[[#This Row],[SC Strike Price]] &gt; SnapshotTable[[#This Row],[Last Price]], SnapshotTable[[#This Row],[SC Strike Price]] - SnapshotTable[[#This Row],[Last Price]],0)</f>
        <v>#VALUE!</v>
      </c>
      <c r="FT184" s="27" t="e">
        <f>IF(AND(ISNUMBER(SnapshotTable[[#This Row],[SC Upside Potential]]), SnapshotTable[[#This Row],[SC Upside Potential]] &gt; 0),(SnapshotTable[[#This Row],[SC Upside Potential]]/ SnapshotTable[[#This Row],[ACB]]),"")</f>
        <v>#VALUE!</v>
      </c>
      <c r="FU184" s="333" t="str">
        <f>IF(SnapshotTable[[#This Row],[SC Intrinsic Value]] &gt; 0,SnapshotTable[[#This Row],[SC Intrinsic Value]],"")</f>
        <v/>
      </c>
      <c r="FV184" s="27" t="str">
        <f>IF(AND( ISNUMBER( SnapshotTable[[#This Row],[ACB]]),ISNUMBER(SnapshotTable[[#This Row],[SC Downside Protect]])),SnapshotTable[[#This Row],[SC Downside Protect]] / SnapshotTable[[#This Row],[ACB]],"")</f>
        <v/>
      </c>
      <c r="FW184" s="236" t="str">
        <f>IF(AND(ISNUMBER(SnapshotTable[[#This Row],[SC Simple ROO]]),SnapshotTable[[#This Row],[SC Simple ROO]] &gt; 0), SnapshotTable[[#This Row],[SC Premium]] + (SnapshotTable[[#This Row],[SC Qty]] * SnapshotTable[[#This Row],[SC Upside Potential]]), "")</f>
        <v/>
      </c>
      <c r="FX184" s="302" t="str" cm="1">
        <f t="array" ref="FX184">IF(ISNUMBER(SnapshotTable[[#This Row],[SC Max Dollars]]), annualize(SnapshotTable[[#This Row],[SC Term]],(SnapshotTable[[#This Row],[SC Max Dollars]]/SnapshotTable[[#This Row],[SC Basis]])),"")</f>
        <v/>
      </c>
      <c r="FY184" s="236" t="str">
        <f>IF(AND(SnapshotTable[[#This Row],[SC Qty]]&gt;0,SnapshotTable[[#This Row],[SC Current Ask]]&gt;0), SnapshotTable[[#This Row],[SC Qty]] * SnapshotTable[[#This Row],[SC Current Ask]] * -100, "")</f>
        <v/>
      </c>
      <c r="FZ184" s="31" t="str">
        <f>IF(ISNUMBER((SnapshotTable[[#This Row],[SC Current Value]])), SnapshotTable[[#This Row],[SC Premium]] + SnapshotTable[[#This Row],[SC Current Value]], "")</f>
        <v/>
      </c>
      <c r="GA184" s="294" t="str">
        <f>IFERROR( IF(ISNUMBER((SnapshotTable[[#This Row],[SC Current Value]])), SnapshotTable[[#This Row],[SC Gain Loss]] / SnapshotTable[[#This Row],[SC Premium]], ""), "")</f>
        <v/>
      </c>
      <c r="GB184" s="42">
        <f>SnapshotTable[[#This Row],[Equity Shares]] * SaleSharesToConsiderPercentage</f>
        <v>0</v>
      </c>
      <c r="GC184" s="40">
        <f>SnapshotTable[[#This Row],[Long Term Target]] * SellingPriceToConsiderBasedOnTargetPercentage</f>
        <v>0</v>
      </c>
      <c r="GD184" s="40">
        <f>SnapshotTable[[#This Row],[Last Price]] * (1+ SellingPriceToConsiderBasedOnTargetPercentage)</f>
        <v>149.52600000000001</v>
      </c>
      <c r="GE184" s="41"/>
      <c r="GF184" s="40"/>
      <c r="GG184" s="31">
        <f>SnapshotTable[[#This Row],[Booked Sale Shares]] * SnapshotTable[[#This Row],[Booked Sale Price]]</f>
        <v>0</v>
      </c>
      <c r="GH184" s="31" t="str">
        <f>IF(SnapshotTable[[#This Row],[Equity Basis Total]] &gt; 0, SnapshotTable[[#This Row],[Equity Basis Per Share]] * SnapshotTable[[#This Row],[Booked Sale Shares]], "")</f>
        <v/>
      </c>
      <c r="GI184" s="31">
        <f>IF(SnapshotTable[[#This Row],[Sale Proceeds]]&gt;0, SnapshotTable[[#This Row],[Sale Proceeds]] - SnapshotTable[[#This Row],[Sale Basis]], 0)</f>
        <v>0</v>
      </c>
      <c r="GJ184" s="27" t="str">
        <f>IF(SnapshotTable[[#This Row],[Sale G/L]]&gt;0, SnapshotTable[[#This Row],[Sale G/L]] / SnapshotTable[[#This Row],[Sale Basis]], IF(ISNUMBER(SnapshotTable[[#This Row],[SC Exercise P&amp;L (TAX)]]), SnapshotTable[[#This Row],[SC Exercise P&amp;L (TAX)]] / SnapshotTable[[#This Row],[SC Basis]], ""))</f>
        <v/>
      </c>
      <c r="GK184" s="27"/>
      <c r="GL184" s="43" t="str">
        <f>IF(AND(SnapshotTable[[#This Row],[LP Exp Date]]&gt;0,SnapshotTable[[#This Row],[LP Strike Price]]&gt;0), [1]!ToOptionSymbol(SnapshotTable[[#This Row],[Symbol]], SnapshotTable[[#This Row],[LP Strike Price]],SnapshotTable[[#This Row],[LP Exp Date]],1), "")</f>
        <v/>
      </c>
      <c r="GM184" s="30" t="str">
        <f>IF(LEN(SnapshotTable[[#This Row],[LP Symbol]])&gt;0, 1, "")</f>
        <v/>
      </c>
      <c r="GN184" s="43" t="str">
        <f>IF(AND(SnapshotTable[[#This Row],[SP Exp Date]]&gt;0,SnapshotTable[[#This Row],[SP Strike Price]]&gt;0), [1]!ToOptionSymbol(SnapshotTable[[#This Row],[Symbol]], SnapshotTable[[#This Row],[SP Strike Price]],SnapshotTable[[#This Row],[SP Exp Date]],1), "")</f>
        <v/>
      </c>
      <c r="GO184" s="30" t="str">
        <f>IF(LEN(SnapshotTable[[#This Row],[SP Symbol]])&gt;0, 1, "")</f>
        <v/>
      </c>
      <c r="GP184" s="43" t="str">
        <f>IF(AND(SnapshotTable[[#This Row],[LC Exp Date]]&gt;0,SnapshotTable[[#This Row],[LC Strike Price]]&gt;0), [1]!ToOptionSymbol(SnapshotTable[[#This Row],[Symbol]], SnapshotTable[[#This Row],[LC Strike Price]],SnapshotTable[[#This Row],[LC Exp Date]],0), "")</f>
        <v/>
      </c>
      <c r="GQ184" s="30" t="str">
        <f>IF(LEN(SnapshotTable[[#This Row],[LC Symbol]])&gt;0, 1, "")</f>
        <v/>
      </c>
      <c r="GR184" s="43" t="str">
        <f>IF(AND(SnapshotTable[[#This Row],[SC Exp Date]]&gt;0,SnapshotTable[[#This Row],[SC Strike Price]]&gt;0), [1]!ToOptionSymbol(SnapshotTable[[#This Row],[Symbol]], SnapshotTable[[#This Row],[SC Strike Price]],SnapshotTable[[#This Row],[SC Exp Date]],0), "")</f>
        <v/>
      </c>
      <c r="GS184" s="30" t="str">
        <f>IF(LEN(SnapshotTable[[#This Row],[SC Symbol]])&gt;0, 1, "")</f>
        <v/>
      </c>
      <c r="GT184" s="29" t="str">
        <f>IF(COUNT(SnapshotTable[[#This Row],[LP Symbol Count]],SnapshotTable[[#This Row],[SP Symbol Count]],SnapshotTable[[#This Row],[LC Symbol Count]],SnapshotTable[[#This Row],[SC Symbol Count]])&gt;0, "Y", "")</f>
        <v/>
      </c>
      <c r="GU18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4" s="231" t="e">
        <f>MAX(SnapshotTable[[#This Row],[Equity Basis Total]],SnapshotTable[[#This Row],[Equity Value]]) + (SnapshotTable[[#This Row],[SP Potential Spend]]- SnapshotTable[[#This Row],[SP Premium]] + SnapshotTable[[#This Row],[LP Premium]])+ (SnapshotTable[[#This Row],[LC Premium]] - SnapshotTable[[#This Row],[SC Premium]])</f>
        <v>#VALUE!</v>
      </c>
      <c r="GW184" s="139" t="e">
        <f>IF(AND(SnapshotTable[[#This Row],[Exposure]] &lt;&gt; 0),SnapshotTable[[#This Row],[Exposure]] / SnapshotTable[[#Totals],[Exposure]], "")</f>
        <v>#VALUE!</v>
      </c>
      <c r="HE184" s="268"/>
      <c r="HF184" s="268"/>
      <c r="HK184" s="1"/>
      <c r="HL184" s="1"/>
      <c r="HM184" s="1"/>
      <c r="HN184" s="1"/>
      <c r="HO184" s="1"/>
      <c r="HP184" s="1"/>
    </row>
    <row r="185" spans="2:224" ht="12.75" hidden="1" customHeight="1" x14ac:dyDescent="0.25">
      <c r="B185" s="12" t="s">
        <v>193</v>
      </c>
      <c r="C185" s="422">
        <v>341.19</v>
      </c>
      <c r="D185" s="208" t="s">
        <v>258</v>
      </c>
      <c r="E185" s="39">
        <f>SnapshotTable[[#This Row],[Last Price]]*(1 -CrashDiscount)</f>
        <v>290.01150000000001</v>
      </c>
      <c r="F185" s="26" t="s">
        <v>1005</v>
      </c>
      <c r="G185" s="26" t="s">
        <v>872</v>
      </c>
      <c r="H185" s="149"/>
      <c r="I185" s="194">
        <v>44859.263888888891</v>
      </c>
      <c r="J185" s="195">
        <v>44859.263888888891</v>
      </c>
      <c r="K185" s="196"/>
      <c r="L185" s="326"/>
      <c r="M185" s="140"/>
      <c r="N185" s="140"/>
      <c r="O185" s="140"/>
      <c r="P185" s="22"/>
      <c r="Q185" s="25"/>
      <c r="R185" s="4" t="str">
        <f>IF(SnapshotTable[[#This Row],[Equity Basis Total]] &gt; 0, SnapshotTable[[#This Row],[Equity Basis Total]] / SnapshotTable[[#This Row],[Equity Shares]], "")</f>
        <v/>
      </c>
      <c r="S185" s="269">
        <f>SnapshotTable[[#This Row],[Last Price]] * SnapshotTable[[#This Row],[Equity Shares]]</f>
        <v>0</v>
      </c>
      <c r="T185" s="269">
        <f>SnapshotTable[[#This Row],[Equity Value]] - SnapshotTable[[#This Row],[Equity Basis Total]]</f>
        <v>0</v>
      </c>
      <c r="U185" s="270" t="str">
        <f>IF(SnapshotTable[[#This Row],[Equity Basis Total]] &gt; 0, SnapshotTable[[#This Row],[Equity G/L]] / SnapshotTable[[#This Row],[Equity Basis Total]], "")</f>
        <v/>
      </c>
      <c r="V185" s="268">
        <v>136</v>
      </c>
      <c r="W185" s="268">
        <v>104</v>
      </c>
      <c r="X185" s="4" t="str">
        <f>IF(AND(ISNUMBER(SnapshotTable[[#This Row],[Equity Basis Per Share]]),ISNUMBER(SnapshotTable[[#This Row],[Equity Target]])),SnapshotTable[[#This Row],[Equity Target]]-SnapshotTable[[#This Row],[Equity Basis Per Share]],"")</f>
        <v/>
      </c>
      <c r="Y185" s="4" t="str">
        <f>IF(AND(ISNUMBER(SnapshotTable[[#This Row],[Equity Basis Per Share]]),ISNUMBER(SnapshotTable[[#This Row],[Equity Stop Loss]])),SnapshotTable[[#This Row],[Equity Stop Loss]]-SnapshotTable[[#This Row],[Equity Basis Per Share]],"")</f>
        <v/>
      </c>
      <c r="Z185" s="275" t="str">
        <f>IFERROR( TEXT(SnapshotTable[[#This Row],[Equity Max Gain Per Share]] /ABS( SnapshotTable[[#This Row],[Equity Max Loss Per Share]]),"0.0 " ) &amp; " : 1", "")</f>
        <v/>
      </c>
      <c r="AA185" s="31" t="str">
        <f>IF(ISNUMBER(SnapshotTable[[#This Row],[Equity Max Gain Per Share]]),SnapshotTable[[#This Row],[Equity Max Gain Per Share]] * SnapshotTable[[#This Row],[Equity Shares]],"")</f>
        <v/>
      </c>
      <c r="AB185" s="31" t="str">
        <f>IF(ISNUMBER(SnapshotTable[[#This Row],[Equity Max Loss Per Share]]),SnapshotTable[[#This Row],[Equity Max Loss Per Share]] * SnapshotTable[[#This Row],[Equity Shares]],"")</f>
        <v/>
      </c>
      <c r="AC185" s="150">
        <v>0.96</v>
      </c>
      <c r="AD185" s="151">
        <v>43033</v>
      </c>
      <c r="AE185" s="31">
        <f>(SnapshotTable[[#This Row],[Annual Dividend Per Share]] / 4) * SnapshotTable[[#This Row],[Equity Shares]]</f>
        <v>0</v>
      </c>
      <c r="AF185" s="31">
        <f>SnapshotTable[[#This Row],[Quarterly Div $]] * 4</f>
        <v>0</v>
      </c>
      <c r="AG185" s="7">
        <f>IF(SnapshotTable[[#This Row],[Annual Dividend Per Share]]&gt;0, SnapshotTable[[#This Row],[Annual Dividend Per Share]]  / SnapshotTable[[#This Row],[Last Price]], 0)</f>
        <v>2.813681526422228E-3</v>
      </c>
      <c r="AH185" s="151">
        <v>42992</v>
      </c>
      <c r="AI185" s="5">
        <v>21</v>
      </c>
      <c r="AJ185" s="138">
        <v>110.22</v>
      </c>
      <c r="AK185" s="152">
        <f>IF(ISNUMBER( SnapshotTable[[#This Row],[EBF Target]]),(SnapshotTable[[#This Row],[EBF Target]] - SnapshotTable[[#This Row],[Last Price]]) / SnapshotTable[[#This Row],[Last Price]], "")</f>
        <v>-0.93845071660951374</v>
      </c>
      <c r="AL185" s="152" t="str">
        <f>IF(AND(SnapshotTable[[#This Row],[Equity Basis Total]] &gt; 0,ISNUMBER( SnapshotTable[[#This Row],[Long Term Target]])), SnapshotTable[[#This Row],[From Basis $]] / SnapshotTable[[#This Row],[Equity Basis Total]], "")</f>
        <v/>
      </c>
      <c r="AM185" s="9">
        <f>IF( AND(SnapshotTable[[#This Row],[Equity Shares]] &gt;0,ISNUMBER( SnapshotTable[[#This Row],[Long Term Target]])),(SnapshotTable[[#This Row],[Equity Shares]] * SnapshotTable[[#This Row],[Long Term Target]]) - SnapshotTable[[#This Row],[Equity Basis Total]],0)</f>
        <v>0</v>
      </c>
      <c r="AN185" s="9">
        <f>IF( AND(SnapshotTable[[#This Row],[Equity Shares]] &gt;0,ISNUMBER( SnapshotTable[[#This Row],[Long Term Target]])),(SnapshotTable[[#This Row],[Equity Shares]]*SnapshotTable[[#This Row],[Long Term Target]]) - SnapshotTable[[#This Row],[Equity Value]],0)</f>
        <v>0</v>
      </c>
      <c r="AO185" s="152">
        <f>IF(AND(ISNUMBER( SnapshotTable[[#This Row],[Long Term Target]]), ISNUMBER(SnapshotTable[[#This Row],[Last Price]])),(SnapshotTable[[#This Row],[Long Term Target]] - SnapshotTable[[#This Row],[Last Price]]) / SnapshotTable[[#This Row],[Last Price]], "")</f>
        <v>-0.67695418974764798</v>
      </c>
      <c r="AP185" s="5"/>
      <c r="AQ185" s="38"/>
      <c r="AR185" s="5"/>
      <c r="AS185" s="38"/>
      <c r="AT185" s="146"/>
      <c r="AU185" s="187" t="str">
        <f>IF(OR(SnapshotTable[[#This Row],[LP No Fill]]="Y",SnapshotTable[[#This Row],[SP Is Filled]],SnapshotTable[[#This Row],[LC Not Filled]]="Y",SnapshotTable[[#This Row],[SC Is Filled]]),"Y","")</f>
        <v/>
      </c>
      <c r="AV185" s="219"/>
      <c r="AW185" s="225"/>
      <c r="AX185" s="220"/>
      <c r="AY185" s="219" t="str">
        <f>IF(SnapshotTable[[#This Row],[Implied Move]]&gt;0, SnapshotTable[[#This Row],[Last Price]]-SnapshotTable[[#This Row],[Implied Move]],"")</f>
        <v/>
      </c>
      <c r="AZ185" s="219" t="str">
        <f>IF(SnapshotTable[[#This Row],[Implied Move]]&gt;0, SnapshotTable[[#This Row],[Last Price]] + SnapshotTable[[#This Row],[Implied Move]],"")</f>
        <v/>
      </c>
      <c r="BA185" s="331">
        <v>93.46</v>
      </c>
      <c r="BB185" s="347"/>
      <c r="BC18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5" s="351"/>
      <c r="BE185" s="5"/>
      <c r="BF185" s="14"/>
      <c r="BG185" s="13"/>
      <c r="BH185" s="13"/>
      <c r="BI185" s="5"/>
      <c r="BJ185" s="136">
        <f>IF(SnapshotTable[[#This Row],[LP Qty]] &gt; 0, SnapshotTable[[#This Row],[LP Qty]] * SnapshotTable[[#This Row],[LP Book Price]] * 100,0)</f>
        <v>0</v>
      </c>
      <c r="BK185" s="136">
        <f>IF(SnapshotTable[[#This Row],[LP Premium]] &gt; 0, SnapshotTable[[#This Row],[LP Qty]] * SnapshotTable[[#This Row],[LP Strike Price]] * 100,0)</f>
        <v>0</v>
      </c>
      <c r="BL185" s="154"/>
      <c r="BM185" s="385" t="str">
        <f>IF(SnapshotTable[[#This Row],[LP Premium]] &gt; 0,SnapshotTable[[#This Row],[LP Exp Date]]-MAX(SnapshotTable[[#This Row],[LP Book Date]], SnapshotTable[[#This Row],[LP Fill Date]]),"")</f>
        <v/>
      </c>
      <c r="BN185" s="385" t="str">
        <f>IF(ISNUMBER( SnapshotTable[[#This Row],[LP Term]]), SnapshotTable[[#This Row],[LP Exp Date]] - MockToday,"")</f>
        <v/>
      </c>
      <c r="BO185" s="163" t="str">
        <f>IF(AND(SnapshotTable[[#This Row],[LP Exp Date]]&gt;0, SnapshotTable[[#This Row],[LP Strike Price]]&gt;0,SnapshotTable[[#This Row],[LP Qty]]&gt;0,SnapshotTable[[#This Row],[LP Book Date]]&gt;0,SnapshotTable[[#This Row],[LP Book Price]]&gt;0,SnapshotTable[[#This Row],[LP Fill Date]]=0),"Y","")</f>
        <v/>
      </c>
      <c r="BP185" s="31" t="str">
        <f>IF(AND(SnapshotTable[[#This Row],[LP No Fill]]&lt;&gt;"Y",SnapshotTable[[#This Row],[LP Contract Value]]&gt;0, SnapshotTable[[#This Row],[LP Qty]]&gt;0), SnapshotTable[[#This Row],[LP Contract Value]]*SnapshotTable[[#This Row],[LP Qty]]*100,"")</f>
        <v/>
      </c>
      <c r="BQ185" s="13"/>
      <c r="BR185" s="5" t="str">
        <f>IF(SnapshotTable[[#This Row],[SP Exp Date]]&lt;&gt;"",TRUNC(SnapshotTable[[#This Row],[Last Price]]),"")</f>
        <v/>
      </c>
      <c r="BS185" s="36"/>
      <c r="BT185" s="147"/>
      <c r="BU185" s="13"/>
      <c r="BV185" s="5"/>
      <c r="BW185" s="419" t="b">
        <f>AND(ISNUMBER(SnapshotTable[[#This Row],[SP Exp Date]]), ISNUMBER(SnapshotTable[[#This Row],[SP Strike Price]]), ISNUMBER(SnapshotTable[[#This Row],[SP Qty]]), ISNUMBER(SnapshotTable[[#This Row],[SP Book Date]]), ISNUMBER(SnapshotTable[[#This Row],[SP Book Price]]))</f>
        <v>0</v>
      </c>
      <c r="BX185" s="419" t="b">
        <f>AND(SnapshotTable[[#This Row],[SP Is Booked]], NOT(ISBLANK(SnapshotTable[[#This Row],[SP Fill Date]])))</f>
        <v>0</v>
      </c>
      <c r="BY185" s="33">
        <f>IF(SnapshotTable[[#This Row],[SP Is Booked]], SnapshotTable[[#This Row],[SP Qty]] * SnapshotTable[[#This Row],[SP Book Price]] * 100, 0)</f>
        <v>0</v>
      </c>
      <c r="BZ185" s="369"/>
      <c r="CA185" s="368">
        <f>SnapshotTable[[#This Row],[LP Qty]]</f>
        <v>0</v>
      </c>
      <c r="CB185" s="4" t="str">
        <f>IF(SnapshotTable[[#This Row],[SP Is Booked]], SnapshotTable[[#This Row],[SP Strike Price]] - SnapshotTable[[#This Row],[SP Book Price]], "")</f>
        <v/>
      </c>
      <c r="CC185" s="19" t="str">
        <f>IF(SnapshotTable[[#This Row],[SP Is Booked]],SnapshotTable[[#This Row],[SP Exp Date]]-MAX(SnapshotTable[[#This Row],[SP Book Date]], SnapshotTable[[#This Row],[SP Fill Date]]),"")</f>
        <v/>
      </c>
      <c r="CD185" s="7" t="str">
        <f>IF(SnapshotTable[[#This Row],[SP Is Booked]], SnapshotTable[[#This Row],[SP Book Price]]/SnapshotTable[[#This Row],[SP Strike Price]], "")</f>
        <v/>
      </c>
      <c r="CE185" s="7" t="str">
        <f>IF(ISNUMBER(SnapshotTable[[#This Row],[SP ROO Term]]),SnapshotTable[[#This Row],[SP ROO Term]]*(365/SnapshotTable[[#This Row],[SP Term]]),"")</f>
        <v/>
      </c>
      <c r="CF185" s="236">
        <f>SnapshotTable[[#This Row],[LP Strike Price]] * SnapshotTable[[#This Row],[LP Qty]] * 100</f>
        <v>0</v>
      </c>
      <c r="CG185" s="31" t="e">
        <f>IF(ISNUMBER(SnapshotTable[[#This Row],[SP Premium]]), (SnapshotTable[[#This Row],[SP Qty]] * SnapshotTable[[#This Row],[SP Strike Price]]* 100) - SnapshotTable[[#This Row],[LP Protection]], 0)</f>
        <v>#VALUE!</v>
      </c>
      <c r="CH185" s="7" t="str">
        <f>IF(ISNUMBER(SnapshotTable[[#This Row],[SP Break Even]]),-1 * (SnapshotTable[[#This Row],[SP Break Even]] - SnapshotTable[[#This Row],[Last Price]]) / SnapshotTable[[#This Row],[Last Price]], "")</f>
        <v/>
      </c>
      <c r="CI185" s="31">
        <f>IF(AND(ISNUMBER((SnapshotTable[[#This Row],[SP Potential Spend]])), SnapshotTable[[#This Row],[SP Strike Price]] &gt; SnapshotTable[[#This Row],[Last Price]], SnapshotTable[[#This Row],[SP Is Filled]]), SnapshotTable[[#This Row],[SP Potential Spend]] -  SnapshotTable[[#This Row],[LP Max Value]], 0)</f>
        <v>0</v>
      </c>
      <c r="CJ185" s="244"/>
      <c r="CK185" s="31" t="str">
        <f>IF(ISNUMBER(SnapshotTable[[#This Row],[SP Potential Spend]]),IF(ISNUMBER(SnapshotTable[[#This Row],[SP POW]]), SnapshotTable[[#This Row],[SP POW]] * SnapshotTable[[#This Row],[SP Potential Spend]], SnapshotTable[[#This Row],[SP Potential Spend]]), "")</f>
        <v/>
      </c>
      <c r="CL185" s="164" t="e">
        <f>IF(NOT(SnapshotTable[[#This Row],[SP Is Filled]]),(SnapshotTable[[#This Row],[SP Qty]] * SnapshotTable[[#This Row],[SP Strike Price]] * 100) - SnapshotTable[[#This Row],[LP Max Value]],"")</f>
        <v>#VALUE!</v>
      </c>
      <c r="CM185" s="31" t="str">
        <f>IF(SnapshotTable[[#This Row],[SP Actual Spend]]&lt;&gt;0, ((SnapshotTable[[#This Row],[SP Strike Price]]-SnapshotTable[[#This Row],[Last Price]]) *(SnapshotTable[[#This Row],[SP Qty]]*100) - SnapshotTable[[#This Row],[SP Premium]]) * - 1, "")</f>
        <v/>
      </c>
      <c r="CN185" s="78"/>
      <c r="CO185" s="369"/>
      <c r="CP185" s="4" t="str">
        <f>IF(SnapshotTable[[#This Row],[SP Is Filled]], btc_max_buyback_amount(SnapshotTable[[#This Row],[SP Fill Date]],SnapshotTable[[#This Row],[SP Exp Date]], SnapshotTable[[#This Row],[SP Book Price]]),"")</f>
        <v/>
      </c>
      <c r="CQ185" s="78"/>
      <c r="CR18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5" s="155" t="str">
        <f>IF(SnapshotTable[[#This Row],[SP Is Filled]], btc_next_cutoff_date(SnapshotTable[[#This Row],[SP Fill Date]],SnapshotTable[[#This Row],[SP Exp Date]]),"")</f>
        <v/>
      </c>
      <c r="CT185" s="235" t="str" cm="1">
        <f t="array" ref="CT185">IF(SnapshotTable[[#This Row],[SP Is Filled]], btc_should_buy_back(SnapshotTable[[#This Row],[SP Fill Date]], SnapshotTable[[#This Row],[SP Exp Date]], SnapshotTable[[#This Row],[SP Book Price]], SnapshotTable[[#This Row],[SP Current Ask]], MockToday, SnapshotTable[[#This Row],[SP Buyback Override]]),"")</f>
        <v/>
      </c>
      <c r="CU185" s="143"/>
      <c r="CV185" s="235"/>
      <c r="CW185" s="378" t="str">
        <f>IF(ISNUMBER( SnapshotTable[[#This Row],[SP Term]]), SnapshotTable[[#This Row],[SP Exp Date]] - MockToday,"")</f>
        <v/>
      </c>
      <c r="CX185" s="31" t="str">
        <f>IF(SnapshotTable[[#This Row],[SP Is Filled]],SnapshotTable[[#This Row],[SP Buyback Price to Use]] * 100 * SnapshotTable[[#This Row],[SP Qty]], "")</f>
        <v/>
      </c>
      <c r="CY185" s="4" t="str">
        <f>IF(ISNUMBER(SnapshotTable[[#This Row],[SP Strike Price]]), SnapshotTable[[#This Row],[SP Strike Price]] * (1 - SP_MaxLoss_StrikePct), "")</f>
        <v/>
      </c>
      <c r="CZ185" s="31" t="str">
        <f>IF(ISNUMBER(SnapshotTable[[#This Row],[SP Strike  Stop Per Share]]),SnapshotTable[[#This Row],[SP Premium]] - ((SnapshotTable[[#This Row],[SP Strike Price]]-SnapshotTable[[#This Row],[SP Strike  Stop Per Share]]) *(SnapshotTable[[#This Row],[SP Qty]] * 100)),"")</f>
        <v/>
      </c>
      <c r="DA185" s="4" t="str">
        <f>IF(AND(ISNUMBER(SnapshotTable[[#This Row],[SP Premium]]),SnapshotTable[[#This Row],[SP Premium]]&gt;0), SnapshotTable[[#This Row],[SP Book Price]] * (1 + SP_MaxLoss_OptionPct), "")</f>
        <v/>
      </c>
      <c r="DB185" s="31" t="str">
        <f>IF(ISNUMBER(SnapshotTable[[#This Row],[SP Option  Stop Contract]]),(SnapshotTable[[#This Row],[SP Option  Stop Contract]] *(SnapshotTable[[#This Row],[SP Qty]] * 100) - SnapshotTable[[#This Row],[SP Premium]]),"")</f>
        <v/>
      </c>
      <c r="DC185" s="4"/>
      <c r="DD185" s="4"/>
      <c r="DE185" s="4" t="str">
        <f>IF(AND(SnapshotTable[[#This Row],[SP Qty]]&gt;0, SnapshotTable[[#This Row],[SP Stop To Use]]&gt;0),SnapshotTable[[#This Row],[SP Premium]] - ( SnapshotTable[[#This Row],[SP Qty]] * SnapshotTable[[#This Row],[SP Stop To Use]] * 100), "")</f>
        <v/>
      </c>
      <c r="DF185" s="31" t="str">
        <f>IF(AND(SnapshotTable[[#This Row],[SP Qty]]&gt;0,SnapshotTable[[#This Row],[SP Current Ask]]&gt;0), SnapshotTable[[#This Row],[SP Qty]] * SnapshotTable[[#This Row],[SP Current Ask]] * -100, "")</f>
        <v/>
      </c>
      <c r="DG185" s="31" t="str">
        <f>IF(ISNUMBER((SnapshotTable[[#This Row],[SP Total Value]])), SnapshotTable[[#This Row],[SP Premium]] + SnapshotTable[[#This Row],[SP Total Value]], "")</f>
        <v/>
      </c>
      <c r="DH185" s="294" t="str">
        <f>IF(ISNUMBER((SnapshotTable[[#This Row],[SP Total Value]])), SnapshotTable[[#This Row],[SP Gain Loss]] / SnapshotTable[[#This Row],[SP Premium]], "")</f>
        <v/>
      </c>
      <c r="DI185" s="406"/>
      <c r="DJ185" s="138"/>
      <c r="DK185" s="148"/>
      <c r="DL185" s="13"/>
      <c r="DM185" s="13"/>
      <c r="DO185" s="31">
        <f>IF(SnapshotTable[[#This Row],[LC Symbol Count]]=1, SnapshotTable[[#This Row],[LC Qty]] * SnapshotTable[[#This Row],[LC Book Price]] * 100, 0)</f>
        <v>0</v>
      </c>
      <c r="DP185" s="163" t="str">
        <f>IF(AND(SnapshotTable[[#This Row],[LC Exp Date]]&gt;0, SnapshotTable[[#This Row],[LC Strike Price]]&gt;0,SnapshotTable[[#This Row],[LC Qty]]&gt;0,SnapshotTable[[#This Row],[LC Book Date]]&gt;0,SnapshotTable[[#This Row],[LC Book Price]]&gt;0,SnapshotTable[[#This Row],[LC Fill Date]]=0),"Y","")</f>
        <v/>
      </c>
      <c r="DQ185" s="386" t="str">
        <f>IF(SnapshotTable[[#This Row],[LC Premium]] &gt; 0,SnapshotTable[[#This Row],[LC Exp Date]]-MAX(SnapshotTable[[#This Row],[LC Book Date]], SnapshotTable[[#This Row],[LC Fill Date]]),"")</f>
        <v/>
      </c>
      <c r="DR185" s="386" t="str">
        <f>IF(ISNUMBER(SnapshotTable[[#This Row],[LC Term]]), SnapshotTable[[#This Row],[LC Exp Date]] - MockToday, "")</f>
        <v/>
      </c>
      <c r="DS185" s="234" t="str">
        <f>IF(SnapshotTable[[#This Row],[LC Premium]]&gt;0,SnapshotTable[[#This Row],[LC Strike Price]] + SnapshotTable[[#This Row],[LC Book Price]],"")</f>
        <v/>
      </c>
      <c r="DU185" s="9" t="str">
        <f>IF(AND(SnapshotTable[[#This Row],[LC Symbol Count]]&gt;0, SnapshotTable[[#This Row],[LC Contract Value]]&gt;0), SnapshotTable[[#This Row],[LC Contract Value]] * SnapshotTable[[#This Row],[LC Qty]] * 100, "")</f>
        <v/>
      </c>
      <c r="DV185" s="9" t="str">
        <f>IF(AND(ISNUMBER(SnapshotTable[[#This Row],[LC Total Value]]), SnapshotTable[[#This Row],[LC Not Filled]]&lt;&gt;"Y"), SnapshotTable[[#This Row],[LC Total Value]]-SnapshotTable[[#This Row],[LC Premium]],"")</f>
        <v/>
      </c>
      <c r="DW185" s="240" t="str">
        <f>IF(ISNUMBER(SnapshotTable[[#This Row],[LC Actual Gain Loss]]), SnapshotTable[[#This Row],[LC Actual Gain Loss]] / SnapshotTable[[#This Row],[LC Premium]],"")</f>
        <v/>
      </c>
      <c r="DX185" s="284" t="str">
        <f>IF(ISNUMBER(SnapshotTable[[#This Row],[LC Book Price]]),SnapshotTable[[#This Row],[LC Book Price]] * 1.5,"")</f>
        <v/>
      </c>
      <c r="DY185" s="265" t="str">
        <f>IF(SnapshotTable[[#This Row],[LC Premium]]&gt;0, SnapshotTable[[#This Row],[LC Next Target]] * SnapshotTable[[#This Row],[LC Qty]] * 100,"")</f>
        <v/>
      </c>
      <c r="DZ185" s="265" t="str">
        <f>IF(ISNUMBER(SnapshotTable[[#This Row],[LC Target Gross]]), SnapshotTable[[#This Row],[LC Target Gross]] - SnapshotTable[[#This Row],[LC Premium]], "")</f>
        <v/>
      </c>
      <c r="EA185" s="305" t="str">
        <f>IF(ISNUMBER(SnapshotTable[[#This Row],[LC Target Gain Loss]]), SnapshotTable[[#This Row],[LC Target Gain Loss]]/SnapshotTable[[#This Row],[LC Premium]], "")</f>
        <v/>
      </c>
      <c r="EB185" s="262"/>
      <c r="EC185" s="283" t="str">
        <f>IF(SnapshotTable[[#This Row],[LC Premium]]&gt;0, SnapshotTable[[#This Row],[LC Book Price]] * (1 - LC_StopLoss_Pct),"")</f>
        <v/>
      </c>
      <c r="ED185" s="284"/>
      <c r="EE185" s="283" t="str">
        <f>IF(ISNUMBER(SnapshotTable[[#This Row],[LC Contract Value]]),IF(ISNUMBER(SnapshotTable[[#This Row],[LC Stop Loss Override]]), SnapshotTable[[#This Row],[LC Stop Loss Override]],SnapshotTable[[#This Row],[LC Stop Loss Calc Target]]),"")</f>
        <v/>
      </c>
      <c r="EF185" s="31" t="str">
        <f>IF(ISNUMBER(SnapshotTable[[#This Row],[LC Stop  To Use]]), (SnapshotTable[[#This Row],[LC Stop  To Use]] * SnapshotTable[[#This Row],[LC Qty]] * 100),"")</f>
        <v/>
      </c>
      <c r="EG185" s="9" t="str">
        <f>IF(ISNUMBER(SnapshotTable[[#This Row],[LC Total Value]]),SnapshotTable[[#This Row],[LC Stop Loss Amount]] - SnapshotTable[[#This Row],[LC Premium]],"")</f>
        <v/>
      </c>
      <c r="EH185" s="9">
        <f>IF(ISNUMBER(SnapshotTable[[#This Row],[LC Premium]]), SnapshotTable[[#This Row],[LC Qty]] * 100 * SnapshotTable[[#This Row],[LC Strike Price]], "")</f>
        <v>0</v>
      </c>
      <c r="EI185" s="240" t="str">
        <f>IF(AND(ISNUMBER(SnapshotTable[[#This Row],[LC Total Value]]),SnapshotTable[[#This Row],[LC Total Value]]&gt;0),SnapshotTable[[#This Row],[LC Stop Gain Loss]]  / SnapshotTable[[#This Row],[LC Premium]],"")</f>
        <v/>
      </c>
      <c r="EJ185" s="35">
        <f>IF(ISNUMBER(SnapshotTable[[#This Row],[Equity Shares]]),TRUNC(SnapshotTable[[#This Row],[Equity Shares]] / 100),0) + SnapshotTable[[#This Row],[LC Qty]]</f>
        <v>0</v>
      </c>
      <c r="EK185" s="147"/>
      <c r="EL185" s="138" t="str">
        <f>IF(SnapshotTable[[#This Row],[SC Exp Date]]&lt;&gt;"",TRUNC(SnapshotTable[[#This Row],[Last Price]]),"")</f>
        <v/>
      </c>
      <c r="EM185" s="148"/>
      <c r="EN185" s="147"/>
      <c r="EO185" s="147"/>
      <c r="EP185" s="138"/>
      <c r="EQ185" s="419" t="b">
        <f>AND(ISNUMBER(SnapshotTable[[#This Row],[SC Exp Date]]), ISNUMBER(SnapshotTable[[#This Row],[SC Strike Price]]), ISNUMBER(SnapshotTable[[#This Row],[SC Qty]]), ISNUMBER(SnapshotTable[[#This Row],[SC Book Date]]), ISNUMBER(SnapshotTable[[#This Row],[SC Book Price]]))</f>
        <v>0</v>
      </c>
      <c r="ER185" s="419" t="b">
        <f>AND(SnapshotTable[[#This Row],[SC Is Booked]], NOT(ISBLANK(SnapshotTable[[#This Row],[SC Fill Date]])))</f>
        <v>0</v>
      </c>
      <c r="ES185" s="370"/>
      <c r="ET185" s="34" t="str">
        <f>IF(AND(ISNUMBER(SnapshotTable[[#This Row],[SC Exp Date]]), ISNUMBER(SnapshotTable[[#This Row],[SC Book Date]])), SnapshotTable[[#This Row],[SC Exp Date]] - MAX(SnapshotTable[[#This Row],[SC Book Date]], SnapshotTable[[#This Row],[SC Fill Date]]) + 1, "")</f>
        <v/>
      </c>
      <c r="EU185" s="34" t="str">
        <f>IF(ISNUMBER(SnapshotTable[[#This Row],[SC Term]]), SnapshotTable[[#This Row],[SC Exp Date]]- MockToday, "")</f>
        <v/>
      </c>
      <c r="EV185" s="31">
        <f>IF(SnapshotTable[[#This Row],[SC Is Booked]], SnapshotTable[[#This Row],[SC Qty]] * SnapshotTable[[#This Row],[SC Book Price]] * 100, 0)</f>
        <v>0</v>
      </c>
      <c r="EW185" s="4" t="str">
        <f>IF(AND(ISNUMBER(SnapshotTable[[#This Row],[Last Price]]), ISNUMBER( SnapshotTable[[#This Row],[SC Book Price]])), SnapshotTable[[#This Row],[Last Price]] - SnapshotTable[[#This Row],[SC Book Price]],"")</f>
        <v/>
      </c>
      <c r="EX185" s="234" t="str">
        <f>IF(SnapshotTable[[#This Row],[SC Is Booked]],IF(SnapshotTable[[#This Row],[SC Intrinsic Value]] &gt; 0, SnapshotTable[[#This Row],[SC Strike Price]], SnapshotTable[[#This Row],[Last Price]]), "")</f>
        <v/>
      </c>
      <c r="EY185" s="4">
        <f>IF(SnapshotTable[[#This Row],[SC Is Booked]], (MinimumPremiumRequired * SnapshotTable[[#This Row],[SC Basis]] * SnapshotTable[[#This Row],[SC Term]]), 0)</f>
        <v>0</v>
      </c>
      <c r="EZ185" s="283"/>
      <c r="FA185" s="218"/>
      <c r="FB185" s="370"/>
      <c r="FC185" s="4">
        <f>IF(SnapshotTable[[#This Row],[SC Is Filled]], btc_max_buyback_amount(SnapshotTable[[#This Row],[SC Fill Date]],SnapshotTable[[#This Row],[SC Exp Date]], SnapshotTable[[#This Row],[SC Book Price]]),0)</f>
        <v>0</v>
      </c>
      <c r="FD185" s="5"/>
      <c r="FE185" s="144" t="str">
        <f>IF(SnapshotTable[[#This Row],[SC Is Filled]], btc_next_cutoff_date(SnapshotTable[[#This Row],[SC Fill Date]],SnapshotTable[[#This Row],[SC Exp Date]]),"")</f>
        <v/>
      </c>
      <c r="FF185" s="4" t="str" cm="1">
        <f t="array" ref="FF185">IF(SnapshotTable[[#This Row],[SC Is Filled]], btc_should_buy_back(SnapshotTable[[#This Row],[SC Fill Date]], SnapshotTable[[#This Row],[SC Exp Date]], SnapshotTable[[#This Row],[SC Book Price]], SnapshotTable[[#This Row],[SC Current Ask]], MockToday, SnapshotTable[[#This Row],[SC Buyback Override]]),"")</f>
        <v/>
      </c>
      <c r="FG185" s="4">
        <f>IF(SnapshotTable[[#This Row],[SC Is Filled]], MAX(0,SnapshotTable[[#This Row],[Last Price]]  - SnapshotTable[[#This Row],[SC Strike Price]]), 0)</f>
        <v>0</v>
      </c>
      <c r="FH185" s="382">
        <f>IF(SnapshotTable[[#This Row],[SC Is Filled]], IF(ISNUMBER(SnapshotTable[[#This Row],[SC Current Ask]]), SnapshotTable[[#This Row],[SC Current Ask]], SnapshotTable[[#This Row],[SC Book Price]]) - SnapshotTable[[#This Row],[SC Intrinsic Value]], 0)</f>
        <v>0</v>
      </c>
      <c r="FI185" s="143"/>
      <c r="FJ185" s="32" t="str">
        <f>IF(SnapshotTable[[#This Row],[SC Is Filled]],100 * SnapshotTable[[#This Row],[SC Qty]] * IF(ISNUMBER(SnapshotTable[[#This Row],[SC Buyback Override]]), SnapshotTable[[#This Row],[SC Buyback Override]], SnapshotTable[[#This Row],[SC Current Ask]]), "")</f>
        <v/>
      </c>
      <c r="FK185" s="250" t="str">
        <f>IF(SnapshotTable[[#This Row],[SC Time Val]]&gt;0, SnapshotTable[[#This Row],[SC Time Val]] / SnapshotTable[[#This Row],[Last Price]],"")</f>
        <v/>
      </c>
      <c r="FL185" s="302" t="str">
        <f>IF(SnapshotTable[[#This Row],[SC Is Booked]], ((SnapshotTable[[#This Row],[Last Price]] -SnapshotTable[[#This Row],[SC Strike Price]]) / SnapshotTable[[#This Row],[Last Price]]) * -1, "")</f>
        <v/>
      </c>
      <c r="FM185" s="157" t="str">
        <f>IF(SnapshotTable[[#This Row],[SC Is Booked]],  (SnapshotTable[[#This Row],[SC Qty]] * 100 * SnapshotTable[[#This Row],[SC Strike Price]]) - SnapshotTable[[#This Row],[SC Current Ask]], "")</f>
        <v/>
      </c>
      <c r="FN18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5" s="31" t="str">
        <f>IF(AND(ISNUMBER(SnapshotTable[[#This Row],[SC Exercise Gross]]), ISNUMBER(SnapshotTable[[#This Row],[Equity Basis Per Share]] )), SnapshotTable[[#This Row],[SC Exercise Gross]] - SnapshotTable[[#This Row],[Equity Basis Total]] +  SnapshotTable[[#This Row],[SC Premium]], "")</f>
        <v/>
      </c>
      <c r="FP185" s="5" t="str">
        <f>IF(ISNUMBER(SnapshotTable[[#This Row],[SC Exercise Gross]]), (SnapshotTable[[#This Row],[SC Exercise Gross]]) / (SnapshotTable[[#This Row],[SC Qty]] * 100), "")</f>
        <v/>
      </c>
      <c r="FQ185" s="27" t="str">
        <f>IF(SnapshotTable[[#This Row],[SC Is Booked]],SnapshotTable[[#This Row],[SC Time Val]] /SnapshotTable[[#This Row],[SC Basis]], "")</f>
        <v/>
      </c>
      <c r="FR185" s="27" t="str" cm="1">
        <f t="array" ref="FR185">IF(AND(ISNUMBER(SnapshotTable[[#This Row],[SC Term]]),ISNUMBER(SnapshotTable[[#This Row],[SC Simple ROO]])), EllmanAnnualize(SnapshotTable[[#This Row],[SC DTE]], SnapshotTable[[#This Row],[SC Simple ROO]] ),"")</f>
        <v/>
      </c>
      <c r="FS185" s="4" t="e">
        <f>IF(SnapshotTable[[#This Row],[SC Strike Price]] &gt; SnapshotTable[[#This Row],[Last Price]], SnapshotTable[[#This Row],[SC Strike Price]] - SnapshotTable[[#This Row],[Last Price]],0)</f>
        <v>#VALUE!</v>
      </c>
      <c r="FT185" s="27" t="e">
        <f>IF(AND(ISNUMBER(SnapshotTable[[#This Row],[SC Upside Potential]]), SnapshotTable[[#This Row],[SC Upside Potential]] &gt; 0),(SnapshotTable[[#This Row],[SC Upside Potential]]/ SnapshotTable[[#This Row],[ACB]]),"")</f>
        <v>#VALUE!</v>
      </c>
      <c r="FU185" s="333" t="str">
        <f>IF(SnapshotTable[[#This Row],[SC Intrinsic Value]] &gt; 0,SnapshotTable[[#This Row],[SC Intrinsic Value]],"")</f>
        <v/>
      </c>
      <c r="FV185" s="27" t="str">
        <f>IF(AND( ISNUMBER( SnapshotTable[[#This Row],[ACB]]),ISNUMBER(SnapshotTable[[#This Row],[SC Downside Protect]])),SnapshotTable[[#This Row],[SC Downside Protect]] / SnapshotTable[[#This Row],[ACB]],"")</f>
        <v/>
      </c>
      <c r="FW185" s="236" t="str">
        <f>IF(AND(ISNUMBER(SnapshotTable[[#This Row],[SC Simple ROO]]),SnapshotTable[[#This Row],[SC Simple ROO]] &gt; 0), SnapshotTable[[#This Row],[SC Premium]] + (SnapshotTable[[#This Row],[SC Qty]] * SnapshotTable[[#This Row],[SC Upside Potential]]), "")</f>
        <v/>
      </c>
      <c r="FX185" s="302" t="str" cm="1">
        <f t="array" ref="FX185">IF(ISNUMBER(SnapshotTable[[#This Row],[SC Max Dollars]]), annualize(SnapshotTable[[#This Row],[SC Term]],(SnapshotTable[[#This Row],[SC Max Dollars]]/SnapshotTable[[#This Row],[SC Basis]])),"")</f>
        <v/>
      </c>
      <c r="FY185" s="236" t="str">
        <f>IF(AND(SnapshotTable[[#This Row],[SC Qty]]&gt;0,SnapshotTable[[#This Row],[SC Current Ask]]&gt;0), SnapshotTable[[#This Row],[SC Qty]] * SnapshotTable[[#This Row],[SC Current Ask]] * -100, "")</f>
        <v/>
      </c>
      <c r="FZ185" s="31" t="str">
        <f>IF(ISNUMBER((SnapshotTable[[#This Row],[SC Current Value]])), SnapshotTable[[#This Row],[SC Premium]] + SnapshotTable[[#This Row],[SC Current Value]], "")</f>
        <v/>
      </c>
      <c r="GA185" s="294" t="str">
        <f>IFERROR( IF(ISNUMBER((SnapshotTable[[#This Row],[SC Current Value]])), SnapshotTable[[#This Row],[SC Gain Loss]] / SnapshotTable[[#This Row],[SC Premium]], ""), "")</f>
        <v/>
      </c>
      <c r="GB185" s="42">
        <f>SnapshotTable[[#This Row],[Equity Shares]] * SaleSharesToConsiderPercentage</f>
        <v>0</v>
      </c>
      <c r="GC185" s="40">
        <f>SnapshotTable[[#This Row],[Long Term Target]] * SellingPriceToConsiderBasedOnTargetPercentage</f>
        <v>104.70899999999999</v>
      </c>
      <c r="GD185" s="40">
        <f>SnapshotTable[[#This Row],[Last Price]] * (1+ SellingPriceToConsiderBasedOnTargetPercentage)</f>
        <v>665.32049999999992</v>
      </c>
      <c r="GE185" s="41"/>
      <c r="GF185" s="40">
        <v>26.48</v>
      </c>
      <c r="GG185" s="31">
        <f>SnapshotTable[[#This Row],[Booked Sale Shares]] * SnapshotTable[[#This Row],[Booked Sale Price]]</f>
        <v>0</v>
      </c>
      <c r="GH185" s="31" t="str">
        <f>IF(SnapshotTable[[#This Row],[Equity Basis Total]] &gt; 0, SnapshotTable[[#This Row],[Equity Basis Per Share]] * SnapshotTable[[#This Row],[Booked Sale Shares]], "")</f>
        <v/>
      </c>
      <c r="GI185" s="31">
        <f>IF(SnapshotTable[[#This Row],[Sale Proceeds]]&gt;0, SnapshotTable[[#This Row],[Sale Proceeds]] - SnapshotTable[[#This Row],[Sale Basis]], 0)</f>
        <v>0</v>
      </c>
      <c r="GJ185" s="27" t="str">
        <f>IF(SnapshotTable[[#This Row],[Sale G/L]]&gt;0, SnapshotTable[[#This Row],[Sale G/L]] / SnapshotTable[[#This Row],[Sale Basis]], IF(ISNUMBER(SnapshotTable[[#This Row],[SC Exercise P&amp;L (TAX)]]), SnapshotTable[[#This Row],[SC Exercise P&amp;L (TAX)]] / SnapshotTable[[#This Row],[SC Basis]], ""))</f>
        <v/>
      </c>
      <c r="GK185" s="27" t="s">
        <v>711</v>
      </c>
      <c r="GL185" s="43" t="str">
        <f>IF(AND(SnapshotTable[[#This Row],[LP Exp Date]]&gt;0,SnapshotTable[[#This Row],[LP Strike Price]]&gt;0), [1]!ToOptionSymbol(SnapshotTable[[#This Row],[Symbol]], SnapshotTable[[#This Row],[LP Strike Price]],SnapshotTable[[#This Row],[LP Exp Date]],1), "")</f>
        <v/>
      </c>
      <c r="GM185" s="30" t="str">
        <f>IF(LEN(SnapshotTable[[#This Row],[LP Symbol]])&gt;0, 1, "")</f>
        <v/>
      </c>
      <c r="GN185" s="43" t="str">
        <f>IF(AND(SnapshotTable[[#This Row],[SP Exp Date]]&gt;0,SnapshotTable[[#This Row],[SP Strike Price]]&gt;0), [1]!ToOptionSymbol(SnapshotTable[[#This Row],[Symbol]], SnapshotTable[[#This Row],[SP Strike Price]],SnapshotTable[[#This Row],[SP Exp Date]],1), "")</f>
        <v/>
      </c>
      <c r="GO185" s="30" t="str">
        <f>IF(LEN(SnapshotTable[[#This Row],[SP Symbol]])&gt;0, 1, "")</f>
        <v/>
      </c>
      <c r="GP185" s="43" t="str">
        <f>IF(AND(SnapshotTable[[#This Row],[LC Exp Date]]&gt;0,SnapshotTable[[#This Row],[LC Strike Price]]&gt;0), [1]!ToOptionSymbol(SnapshotTable[[#This Row],[Symbol]], SnapshotTable[[#This Row],[LC Strike Price]],SnapshotTable[[#This Row],[LC Exp Date]],0), "")</f>
        <v/>
      </c>
      <c r="GQ185" s="30" t="str">
        <f>IF(LEN(SnapshotTable[[#This Row],[LC Symbol]])&gt;0, 1, "")</f>
        <v/>
      </c>
      <c r="GR185" s="43" t="str">
        <f>IF(AND(SnapshotTable[[#This Row],[SC Exp Date]]&gt;0,SnapshotTable[[#This Row],[SC Strike Price]]&gt;0), [1]!ToOptionSymbol(SnapshotTable[[#This Row],[Symbol]], SnapshotTable[[#This Row],[SC Strike Price]],SnapshotTable[[#This Row],[SC Exp Date]],0), "")</f>
        <v/>
      </c>
      <c r="GS185" s="30" t="str">
        <f>IF(LEN(SnapshotTable[[#This Row],[SC Symbol]])&gt;0, 1, "")</f>
        <v/>
      </c>
      <c r="GT185" s="29" t="str">
        <f>IF(COUNT(SnapshotTable[[#This Row],[LP Symbol Count]],SnapshotTable[[#This Row],[SP Symbol Count]],SnapshotTable[[#This Row],[LC Symbol Count]],SnapshotTable[[#This Row],[SC Symbol Count]])&gt;0, "Y", "")</f>
        <v/>
      </c>
      <c r="GU18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5" s="231" t="e">
        <f>MAX(SnapshotTable[[#This Row],[Equity Basis Total]],SnapshotTable[[#This Row],[Equity Value]]) + (SnapshotTable[[#This Row],[SP Potential Spend]]- SnapshotTable[[#This Row],[SP Premium]] + SnapshotTable[[#This Row],[LP Premium]])+ (SnapshotTable[[#This Row],[LC Premium]] - SnapshotTable[[#This Row],[SC Premium]])</f>
        <v>#VALUE!</v>
      </c>
      <c r="GW185" s="139" t="e">
        <f>IF(AND(SnapshotTable[[#This Row],[Exposure]] &lt;&gt; 0),SnapshotTable[[#This Row],[Exposure]] / SnapshotTable[[#Totals],[Exposure]], "")</f>
        <v>#VALUE!</v>
      </c>
      <c r="HE185" s="268"/>
      <c r="HF185" s="268"/>
      <c r="HK185" s="1"/>
      <c r="HL185" s="1"/>
      <c r="HM185" s="1"/>
      <c r="HN185" s="1"/>
      <c r="HO185" s="1"/>
      <c r="HP185" s="1"/>
    </row>
    <row r="186" spans="2:224" ht="12.75" hidden="1" customHeight="1" x14ac:dyDescent="0.25">
      <c r="B186" s="12" t="s">
        <v>1049</v>
      </c>
      <c r="C186" s="422">
        <v>58.49</v>
      </c>
      <c r="D186" s="208" t="s">
        <v>578</v>
      </c>
      <c r="E186" s="39">
        <f>SnapshotTable[[#This Row],[Last Price]]*(1 -CrashDiscount)</f>
        <v>49.716500000000003</v>
      </c>
      <c r="F186" s="26" t="s">
        <v>614</v>
      </c>
      <c r="G186" s="26" t="s">
        <v>9</v>
      </c>
      <c r="H186" s="149"/>
      <c r="I186" s="194">
        <v>44964</v>
      </c>
      <c r="J186" s="195">
        <v>44964</v>
      </c>
      <c r="K186" s="196"/>
      <c r="L186" s="326"/>
      <c r="M186" s="140"/>
      <c r="N186" s="140"/>
      <c r="O186" s="140"/>
      <c r="P186" s="22"/>
      <c r="Q186" s="25"/>
      <c r="R186" s="4" t="str">
        <f>IF(SnapshotTable[[#This Row],[Equity Basis Total]] &gt; 0, SnapshotTable[[#This Row],[Equity Basis Total]] / SnapshotTable[[#This Row],[Equity Shares]], "")</f>
        <v/>
      </c>
      <c r="S186" s="269">
        <f>SnapshotTable[[#This Row],[Last Price]] * SnapshotTable[[#This Row],[Equity Shares]]</f>
        <v>0</v>
      </c>
      <c r="T186" s="269">
        <f>SnapshotTable[[#This Row],[Equity Value]] - SnapshotTable[[#This Row],[Equity Basis Total]]</f>
        <v>0</v>
      </c>
      <c r="U186" s="270" t="str">
        <f>IF(SnapshotTable[[#This Row],[Equity Basis Total]] &gt; 0, SnapshotTable[[#This Row],[Equity G/L]] / SnapshotTable[[#This Row],[Equity Basis Total]], "")</f>
        <v/>
      </c>
      <c r="V186" s="268"/>
      <c r="W186" s="268"/>
      <c r="X186" s="4" t="str">
        <f>IF(AND(ISNUMBER(SnapshotTable[[#This Row],[Equity Basis Per Share]]),ISNUMBER(SnapshotTable[[#This Row],[Equity Target]])),SnapshotTable[[#This Row],[Equity Target]]-SnapshotTable[[#This Row],[Equity Basis Per Share]],"")</f>
        <v/>
      </c>
      <c r="Y186" s="4" t="str">
        <f>IF(AND(ISNUMBER(SnapshotTable[[#This Row],[Equity Basis Per Share]]),ISNUMBER(SnapshotTable[[#This Row],[Equity Stop Loss]])),SnapshotTable[[#This Row],[Equity Stop Loss]]-SnapshotTable[[#This Row],[Equity Basis Per Share]],"")</f>
        <v/>
      </c>
      <c r="Z186" s="275" t="str">
        <f>IFERROR( TEXT(SnapshotTable[[#This Row],[Equity Max Gain Per Share]] /ABS( SnapshotTable[[#This Row],[Equity Max Loss Per Share]]),"0.0 " ) &amp; " : 1", "")</f>
        <v/>
      </c>
      <c r="AA186" s="31" t="str">
        <f>IF(ISNUMBER(SnapshotTable[[#This Row],[Equity Max Gain Per Share]]),SnapshotTable[[#This Row],[Equity Max Gain Per Share]] * SnapshotTable[[#This Row],[Equity Shares]],"")</f>
        <v/>
      </c>
      <c r="AB186" s="31" t="str">
        <f>IF(ISNUMBER(SnapshotTable[[#This Row],[Equity Max Loss Per Share]]),SnapshotTable[[#This Row],[Equity Max Loss Per Share]] * SnapshotTable[[#This Row],[Equity Shares]],"")</f>
        <v/>
      </c>
      <c r="AC186" s="150"/>
      <c r="AD186" s="151"/>
      <c r="AE186" s="31">
        <f>(SnapshotTable[[#This Row],[Annual Dividend Per Share]] / 4) * SnapshotTable[[#This Row],[Equity Shares]]</f>
        <v>0</v>
      </c>
      <c r="AF186" s="31">
        <f>SnapshotTable[[#This Row],[Quarterly Div $]] * 4</f>
        <v>0</v>
      </c>
      <c r="AG186" s="7">
        <f>IF(SnapshotTable[[#This Row],[Annual Dividend Per Share]]&gt;0, SnapshotTable[[#This Row],[Annual Dividend Per Share]]  / SnapshotTable[[#This Row],[Last Price]], 0)</f>
        <v>0</v>
      </c>
      <c r="AH186" s="151"/>
      <c r="AI186" s="5"/>
      <c r="AJ186" s="138">
        <v>68.930000000000007</v>
      </c>
      <c r="AK186" s="152" t="str">
        <f>IF(ISNUMBER( SnapshotTable[[#This Row],[EBF Target]]),(SnapshotTable[[#This Row],[EBF Target]] - SnapshotTable[[#This Row],[Last Price]]) / SnapshotTable[[#This Row],[Last Price]], "")</f>
        <v/>
      </c>
      <c r="AL186" s="152" t="str">
        <f>IF(AND(SnapshotTable[[#This Row],[Equity Basis Total]] &gt; 0,ISNUMBER( SnapshotTable[[#This Row],[Long Term Target]])), SnapshotTable[[#This Row],[From Basis $]] / SnapshotTable[[#This Row],[Equity Basis Total]], "")</f>
        <v/>
      </c>
      <c r="AM186" s="9">
        <f>IF( AND(SnapshotTable[[#This Row],[Equity Shares]] &gt;0,ISNUMBER( SnapshotTable[[#This Row],[Long Term Target]])),(SnapshotTable[[#This Row],[Equity Shares]] * SnapshotTable[[#This Row],[Long Term Target]]) - SnapshotTable[[#This Row],[Equity Basis Total]],0)</f>
        <v>0</v>
      </c>
      <c r="AN186" s="9">
        <f>IF( AND(SnapshotTable[[#This Row],[Equity Shares]] &gt;0,ISNUMBER( SnapshotTable[[#This Row],[Long Term Target]])),(SnapshotTable[[#This Row],[Equity Shares]]*SnapshotTable[[#This Row],[Long Term Target]]) - SnapshotTable[[#This Row],[Equity Value]],0)</f>
        <v>0</v>
      </c>
      <c r="AO186" s="152">
        <f>IF(AND(ISNUMBER( SnapshotTable[[#This Row],[Long Term Target]]), ISNUMBER(SnapshotTable[[#This Row],[Last Price]])),(SnapshotTable[[#This Row],[Long Term Target]] - SnapshotTable[[#This Row],[Last Price]]) / SnapshotTable[[#This Row],[Last Price]], "")</f>
        <v>0.17849204992306386</v>
      </c>
      <c r="AP186" s="5">
        <v>70</v>
      </c>
      <c r="AQ186" s="38" t="s">
        <v>27</v>
      </c>
      <c r="AR186" s="5">
        <v>70</v>
      </c>
      <c r="AS186" s="38" t="s">
        <v>38</v>
      </c>
      <c r="AT186" s="146" t="s">
        <v>542</v>
      </c>
      <c r="AU186" s="187" t="str">
        <f>IF(OR(SnapshotTable[[#This Row],[LP No Fill]]="Y",SnapshotTable[[#This Row],[SP Is Filled]],SnapshotTable[[#This Row],[LC Not Filled]]="Y",SnapshotTable[[#This Row],[SC Is Filled]]),"Y","")</f>
        <v/>
      </c>
      <c r="AV186" s="219"/>
      <c r="AW186" s="225"/>
      <c r="AX186" s="220"/>
      <c r="AY186" s="219" t="str">
        <f>IF(SnapshotTable[[#This Row],[Implied Move]]&gt;0, SnapshotTable[[#This Row],[Last Price]]-SnapshotTable[[#This Row],[Implied Move]],"")</f>
        <v/>
      </c>
      <c r="AZ186" s="219" t="str">
        <f>IF(SnapshotTable[[#This Row],[Implied Move]]&gt;0, SnapshotTable[[#This Row],[Last Price]] + SnapshotTable[[#This Row],[Implied Move]],"")</f>
        <v/>
      </c>
      <c r="BA186" s="331">
        <v>51.86</v>
      </c>
      <c r="BB186" s="347"/>
      <c r="BC18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6" s="351"/>
      <c r="BE186" s="5"/>
      <c r="BF186" s="14"/>
      <c r="BG186" s="13"/>
      <c r="BH186" s="13"/>
      <c r="BI186" s="5"/>
      <c r="BJ186" s="136">
        <f>IF(SnapshotTable[[#This Row],[LP Qty]] &gt; 0, SnapshotTable[[#This Row],[LP Qty]] * SnapshotTable[[#This Row],[LP Book Price]] * 100,0)</f>
        <v>0</v>
      </c>
      <c r="BK186" s="136">
        <f>IF(SnapshotTable[[#This Row],[LP Premium]] &gt; 0, SnapshotTable[[#This Row],[LP Qty]] * SnapshotTable[[#This Row],[LP Strike Price]] * 100,0)</f>
        <v>0</v>
      </c>
      <c r="BL186" s="154"/>
      <c r="BM186" s="385" t="str">
        <f>IF(SnapshotTable[[#This Row],[LP Premium]] &gt; 0,SnapshotTable[[#This Row],[LP Exp Date]]-MAX(SnapshotTable[[#This Row],[LP Book Date]], SnapshotTable[[#This Row],[LP Fill Date]]),"")</f>
        <v/>
      </c>
      <c r="BN186" s="385" t="str">
        <f>IF(ISNUMBER( SnapshotTable[[#This Row],[LP Term]]), SnapshotTable[[#This Row],[LP Exp Date]] - MockToday,"")</f>
        <v/>
      </c>
      <c r="BO186" s="163" t="str">
        <f>IF(AND(SnapshotTable[[#This Row],[LP Exp Date]]&gt;0, SnapshotTable[[#This Row],[LP Strike Price]]&gt;0,SnapshotTable[[#This Row],[LP Qty]]&gt;0,SnapshotTable[[#This Row],[LP Book Date]]&gt;0,SnapshotTable[[#This Row],[LP Book Price]]&gt;0,SnapshotTable[[#This Row],[LP Fill Date]]=0),"Y","")</f>
        <v/>
      </c>
      <c r="BP186" s="31" t="str">
        <f>IF(AND(SnapshotTable[[#This Row],[LP No Fill]]&lt;&gt;"Y",SnapshotTable[[#This Row],[LP Contract Value]]&gt;0, SnapshotTable[[#This Row],[LP Qty]]&gt;0), SnapshotTable[[#This Row],[LP Contract Value]]*SnapshotTable[[#This Row],[LP Qty]]*100,"")</f>
        <v/>
      </c>
      <c r="BQ186" s="13"/>
      <c r="BR186" s="5" t="str">
        <f>IF(SnapshotTable[[#This Row],[SP Exp Date]]&lt;&gt;"",TRUNC(SnapshotTable[[#This Row],[Last Price]]),"")</f>
        <v/>
      </c>
      <c r="BS186" s="36"/>
      <c r="BT186" s="147"/>
      <c r="BU186" s="13"/>
      <c r="BV186" s="5"/>
      <c r="BW186" s="419" t="b">
        <f>AND(ISNUMBER(SnapshotTable[[#This Row],[SP Exp Date]]), ISNUMBER(SnapshotTable[[#This Row],[SP Strike Price]]), ISNUMBER(SnapshotTable[[#This Row],[SP Qty]]), ISNUMBER(SnapshotTable[[#This Row],[SP Book Date]]), ISNUMBER(SnapshotTable[[#This Row],[SP Book Price]]))</f>
        <v>0</v>
      </c>
      <c r="BX186" s="419" t="b">
        <f>AND(SnapshotTable[[#This Row],[SP Is Booked]], NOT(ISBLANK(SnapshotTable[[#This Row],[SP Fill Date]])))</f>
        <v>0</v>
      </c>
      <c r="BY186" s="33">
        <f>IF(SnapshotTable[[#This Row],[SP Is Booked]], SnapshotTable[[#This Row],[SP Qty]] * SnapshotTable[[#This Row],[SP Book Price]] * 100, 0)</f>
        <v>0</v>
      </c>
      <c r="BZ186" s="369"/>
      <c r="CA186" s="368">
        <f>SnapshotTable[[#This Row],[LP Qty]]</f>
        <v>0</v>
      </c>
      <c r="CB186" s="4" t="str">
        <f>IF(SnapshotTable[[#This Row],[SP Is Booked]], SnapshotTable[[#This Row],[SP Strike Price]] - SnapshotTable[[#This Row],[SP Book Price]], "")</f>
        <v/>
      </c>
      <c r="CC186" s="19" t="str">
        <f>IF(SnapshotTable[[#This Row],[SP Is Booked]],SnapshotTable[[#This Row],[SP Exp Date]]-MAX(SnapshotTable[[#This Row],[SP Book Date]], SnapshotTable[[#This Row],[SP Fill Date]]),"")</f>
        <v/>
      </c>
      <c r="CD186" s="7" t="str">
        <f>IF(SnapshotTable[[#This Row],[SP Is Booked]], SnapshotTable[[#This Row],[SP Book Price]]/SnapshotTable[[#This Row],[SP Strike Price]], "")</f>
        <v/>
      </c>
      <c r="CE186" s="7" t="str">
        <f>IF(ISNUMBER(SnapshotTable[[#This Row],[SP ROO Term]]),SnapshotTable[[#This Row],[SP ROO Term]]*(365/SnapshotTable[[#This Row],[SP Term]]),"")</f>
        <v/>
      </c>
      <c r="CF186" s="236">
        <f>SnapshotTable[[#This Row],[LP Strike Price]] * SnapshotTable[[#This Row],[LP Qty]] * 100</f>
        <v>0</v>
      </c>
      <c r="CG186" s="31" t="e">
        <f>IF(ISNUMBER(SnapshotTable[[#This Row],[SP Premium]]), (SnapshotTable[[#This Row],[SP Qty]] * SnapshotTable[[#This Row],[SP Strike Price]]* 100) - SnapshotTable[[#This Row],[LP Protection]], 0)</f>
        <v>#VALUE!</v>
      </c>
      <c r="CH186" s="7" t="str">
        <f>IF(ISNUMBER(SnapshotTable[[#This Row],[SP Break Even]]),-1 * (SnapshotTable[[#This Row],[SP Break Even]] - SnapshotTable[[#This Row],[Last Price]]) / SnapshotTable[[#This Row],[Last Price]], "")</f>
        <v/>
      </c>
      <c r="CI186" s="31">
        <f>IF(AND(ISNUMBER((SnapshotTable[[#This Row],[SP Potential Spend]])), SnapshotTable[[#This Row],[SP Strike Price]] &gt; SnapshotTable[[#This Row],[Last Price]], SnapshotTable[[#This Row],[SP Is Filled]]), SnapshotTable[[#This Row],[SP Potential Spend]] -  SnapshotTable[[#This Row],[LP Max Value]], 0)</f>
        <v>0</v>
      </c>
      <c r="CJ186" s="244"/>
      <c r="CK186" s="31" t="str">
        <f>IF(ISNUMBER(SnapshotTable[[#This Row],[SP Potential Spend]]),IF(ISNUMBER(SnapshotTable[[#This Row],[SP POW]]), SnapshotTable[[#This Row],[SP POW]] * SnapshotTable[[#This Row],[SP Potential Spend]], SnapshotTable[[#This Row],[SP Potential Spend]]), "")</f>
        <v/>
      </c>
      <c r="CL186" s="164" t="e">
        <f>IF(NOT(SnapshotTable[[#This Row],[SP Is Filled]]),(SnapshotTable[[#This Row],[SP Qty]] * SnapshotTable[[#This Row],[SP Strike Price]] * 100) - SnapshotTable[[#This Row],[LP Max Value]],"")</f>
        <v>#VALUE!</v>
      </c>
      <c r="CM186" s="31" t="str">
        <f>IF(SnapshotTable[[#This Row],[SP Actual Spend]]&lt;&gt;0, ((SnapshotTable[[#This Row],[SP Strike Price]]-SnapshotTable[[#This Row],[Last Price]]) *(SnapshotTable[[#This Row],[SP Qty]]*100) - SnapshotTable[[#This Row],[SP Premium]]) * - 1, "")</f>
        <v/>
      </c>
      <c r="CN186" s="78"/>
      <c r="CO186" s="369"/>
      <c r="CP186" s="4" t="str">
        <f>IF(SnapshotTable[[#This Row],[SP Is Filled]], btc_max_buyback_amount(SnapshotTable[[#This Row],[SP Fill Date]],SnapshotTable[[#This Row],[SP Exp Date]], SnapshotTable[[#This Row],[SP Book Price]]),"")</f>
        <v/>
      </c>
      <c r="CQ186" s="78"/>
      <c r="CR18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6" s="155" t="str">
        <f>IF(SnapshotTable[[#This Row],[SP Is Filled]], btc_next_cutoff_date(SnapshotTable[[#This Row],[SP Fill Date]],SnapshotTable[[#This Row],[SP Exp Date]]),"")</f>
        <v/>
      </c>
      <c r="CT186" s="235" t="str" cm="1">
        <f t="array" ref="CT186">IF(SnapshotTable[[#This Row],[SP Is Filled]], btc_should_buy_back(SnapshotTable[[#This Row],[SP Fill Date]], SnapshotTable[[#This Row],[SP Exp Date]], SnapshotTable[[#This Row],[SP Book Price]], SnapshotTable[[#This Row],[SP Current Ask]], MockToday, SnapshotTable[[#This Row],[SP Buyback Override]]),"")</f>
        <v/>
      </c>
      <c r="CU186" s="143"/>
      <c r="CV186" s="235"/>
      <c r="CW186" s="378" t="str">
        <f>IF(ISNUMBER( SnapshotTable[[#This Row],[SP Term]]), SnapshotTable[[#This Row],[SP Exp Date]] - MockToday,"")</f>
        <v/>
      </c>
      <c r="CX186" s="31" t="str">
        <f>IF(SnapshotTable[[#This Row],[SP Is Filled]],SnapshotTable[[#This Row],[SP Buyback Price to Use]] * 100 * SnapshotTable[[#This Row],[SP Qty]], "")</f>
        <v/>
      </c>
      <c r="CY186" s="4" t="str">
        <f>IF(ISNUMBER(SnapshotTable[[#This Row],[SP Strike Price]]), SnapshotTable[[#This Row],[SP Strike Price]] * (1 - SP_MaxLoss_StrikePct), "")</f>
        <v/>
      </c>
      <c r="CZ186" s="31" t="str">
        <f>IF(ISNUMBER(SnapshotTable[[#This Row],[SP Strike  Stop Per Share]]),SnapshotTable[[#This Row],[SP Premium]] - ((SnapshotTable[[#This Row],[SP Strike Price]]-SnapshotTable[[#This Row],[SP Strike  Stop Per Share]]) *(SnapshotTable[[#This Row],[SP Qty]] * 100)),"")</f>
        <v/>
      </c>
      <c r="DA186" s="4" t="str">
        <f>IF(AND(ISNUMBER(SnapshotTable[[#This Row],[SP Premium]]),SnapshotTable[[#This Row],[SP Premium]]&gt;0), SnapshotTable[[#This Row],[SP Book Price]] * (1 + SP_MaxLoss_OptionPct), "")</f>
        <v/>
      </c>
      <c r="DB186" s="31" t="str">
        <f>IF(ISNUMBER(SnapshotTable[[#This Row],[SP Option  Stop Contract]]),(SnapshotTable[[#This Row],[SP Option  Stop Contract]] *(SnapshotTable[[#This Row],[SP Qty]] * 100) - SnapshotTable[[#This Row],[SP Premium]]),"")</f>
        <v/>
      </c>
      <c r="DC186" s="4"/>
      <c r="DD186" s="4"/>
      <c r="DE186" s="4" t="str">
        <f>IF(AND(SnapshotTable[[#This Row],[SP Qty]]&gt;0, SnapshotTable[[#This Row],[SP Stop To Use]]&gt;0),SnapshotTable[[#This Row],[SP Premium]] - ( SnapshotTable[[#This Row],[SP Qty]] * SnapshotTable[[#This Row],[SP Stop To Use]] * 100), "")</f>
        <v/>
      </c>
      <c r="DF186" s="31" t="str">
        <f>IF(AND(SnapshotTable[[#This Row],[SP Qty]]&gt;0,SnapshotTable[[#This Row],[SP Current Ask]]&gt;0), SnapshotTable[[#This Row],[SP Qty]] * SnapshotTable[[#This Row],[SP Current Ask]] * -100, "")</f>
        <v/>
      </c>
      <c r="DG186" s="31" t="str">
        <f>IF(ISNUMBER((SnapshotTable[[#This Row],[SP Total Value]])), SnapshotTable[[#This Row],[SP Premium]] + SnapshotTable[[#This Row],[SP Total Value]], "")</f>
        <v/>
      </c>
      <c r="DH186" s="294" t="str">
        <f>IF(ISNUMBER((SnapshotTable[[#This Row],[SP Total Value]])), SnapshotTable[[#This Row],[SP Gain Loss]] / SnapshotTable[[#This Row],[SP Premium]], "")</f>
        <v/>
      </c>
      <c r="DI186" s="406"/>
      <c r="DJ186" s="138"/>
      <c r="DK186" s="148"/>
      <c r="DL186" s="147"/>
      <c r="DM186" s="147"/>
      <c r="DO186" s="31">
        <f>IF(SnapshotTable[[#This Row],[LC Symbol Count]]=1, SnapshotTable[[#This Row],[LC Qty]] * SnapshotTable[[#This Row],[LC Book Price]] * 100, 0)</f>
        <v>0</v>
      </c>
      <c r="DP186" s="163" t="str">
        <f>IF(AND(SnapshotTable[[#This Row],[LC Exp Date]]&gt;0, SnapshotTable[[#This Row],[LC Strike Price]]&gt;0,SnapshotTable[[#This Row],[LC Qty]]&gt;0,SnapshotTable[[#This Row],[LC Book Date]]&gt;0,SnapshotTable[[#This Row],[LC Book Price]]&gt;0,SnapshotTable[[#This Row],[LC Fill Date]]=0),"Y","")</f>
        <v/>
      </c>
      <c r="DQ186" s="386" t="str">
        <f>IF(SnapshotTable[[#This Row],[LC Premium]] &gt; 0,SnapshotTable[[#This Row],[LC Exp Date]]-MAX(SnapshotTable[[#This Row],[LC Book Date]], SnapshotTable[[#This Row],[LC Fill Date]]),"")</f>
        <v/>
      </c>
      <c r="DR186" s="386" t="str">
        <f>IF(ISNUMBER(SnapshotTable[[#This Row],[LC Term]]), SnapshotTable[[#This Row],[LC Exp Date]] - MockToday, "")</f>
        <v/>
      </c>
      <c r="DS186" s="234" t="str">
        <f>IF(SnapshotTable[[#This Row],[LC Premium]]&gt;0,SnapshotTable[[#This Row],[LC Strike Price]] + SnapshotTable[[#This Row],[LC Book Price]],"")</f>
        <v/>
      </c>
      <c r="DU186" s="9" t="str">
        <f>IF(AND(SnapshotTable[[#This Row],[LC Symbol Count]]&gt;0, SnapshotTable[[#This Row],[LC Contract Value]]&gt;0), SnapshotTable[[#This Row],[LC Contract Value]] * SnapshotTable[[#This Row],[LC Qty]] * 100, "")</f>
        <v/>
      </c>
      <c r="DV186" s="9" t="str">
        <f>IF(AND(ISNUMBER(SnapshotTable[[#This Row],[LC Total Value]]), SnapshotTable[[#This Row],[LC Not Filled]]&lt;&gt;"Y"), SnapshotTable[[#This Row],[LC Total Value]]-SnapshotTable[[#This Row],[LC Premium]],"")</f>
        <v/>
      </c>
      <c r="DW186" s="240" t="str">
        <f>IF(ISNUMBER(SnapshotTable[[#This Row],[LC Actual Gain Loss]]), SnapshotTable[[#This Row],[LC Actual Gain Loss]] / SnapshotTable[[#This Row],[LC Premium]],"")</f>
        <v/>
      </c>
      <c r="DX186" s="284" t="str">
        <f>IF(ISNUMBER(SnapshotTable[[#This Row],[LC Book Price]]),SnapshotTable[[#This Row],[LC Book Price]] * 1.5,"")</f>
        <v/>
      </c>
      <c r="DY186" s="265" t="str">
        <f>IF(SnapshotTable[[#This Row],[LC Premium]]&gt;0, SnapshotTable[[#This Row],[LC Next Target]] * SnapshotTable[[#This Row],[LC Qty]] * 100,"")</f>
        <v/>
      </c>
      <c r="DZ186" s="265" t="str">
        <f>IF(ISNUMBER(SnapshotTable[[#This Row],[LC Target Gross]]), SnapshotTable[[#This Row],[LC Target Gross]] - SnapshotTable[[#This Row],[LC Premium]], "")</f>
        <v/>
      </c>
      <c r="EA186" s="305" t="str">
        <f>IF(ISNUMBER(SnapshotTable[[#This Row],[LC Target Gain Loss]]), SnapshotTable[[#This Row],[LC Target Gain Loss]]/SnapshotTable[[#This Row],[LC Premium]], "")</f>
        <v/>
      </c>
      <c r="EB186" s="262"/>
      <c r="EC186" s="283" t="str">
        <f>IF(SnapshotTable[[#This Row],[LC Premium]]&gt;0, SnapshotTable[[#This Row],[LC Book Price]] * (1 - LC_StopLoss_Pct),"")</f>
        <v/>
      </c>
      <c r="ED186" s="284"/>
      <c r="EE186" s="283" t="str">
        <f>IF(ISNUMBER(SnapshotTable[[#This Row],[LC Contract Value]]),IF(ISNUMBER(SnapshotTable[[#This Row],[LC Stop Loss Override]]), SnapshotTable[[#This Row],[LC Stop Loss Override]],SnapshotTable[[#This Row],[LC Stop Loss Calc Target]]),"")</f>
        <v/>
      </c>
      <c r="EF186" s="31" t="str">
        <f>IF(ISNUMBER(SnapshotTable[[#This Row],[LC Stop  To Use]]), (SnapshotTable[[#This Row],[LC Stop  To Use]] * SnapshotTable[[#This Row],[LC Qty]] * 100),"")</f>
        <v/>
      </c>
      <c r="EG186" s="9" t="str">
        <f>IF(ISNUMBER(SnapshotTable[[#This Row],[LC Total Value]]),SnapshotTable[[#This Row],[LC Stop Loss Amount]] - SnapshotTable[[#This Row],[LC Premium]],"")</f>
        <v/>
      </c>
      <c r="EH186" s="9">
        <f>IF(ISNUMBER(SnapshotTable[[#This Row],[LC Premium]]), SnapshotTable[[#This Row],[LC Qty]] * 100 * SnapshotTable[[#This Row],[LC Strike Price]], "")</f>
        <v>0</v>
      </c>
      <c r="EI186" s="240" t="str">
        <f>IF(AND(ISNUMBER(SnapshotTable[[#This Row],[LC Total Value]]),SnapshotTable[[#This Row],[LC Total Value]]&gt;0),SnapshotTable[[#This Row],[LC Stop Gain Loss]]  / SnapshotTable[[#This Row],[LC Premium]],"")</f>
        <v/>
      </c>
      <c r="EJ186" s="35">
        <f>IF(ISNUMBER(SnapshotTable[[#This Row],[Equity Shares]]),TRUNC(SnapshotTable[[#This Row],[Equity Shares]] / 100),0) + SnapshotTable[[#This Row],[LC Qty]]</f>
        <v>0</v>
      </c>
      <c r="EK186" s="147"/>
      <c r="EL186" s="138" t="str">
        <f>IF(SnapshotTable[[#This Row],[SC Exp Date]]&lt;&gt;"",TRUNC(SnapshotTable[[#This Row],[Last Price]]),"")</f>
        <v/>
      </c>
      <c r="EM186" s="148"/>
      <c r="EN186" s="147"/>
      <c r="EO186" s="147"/>
      <c r="EP186" s="138"/>
      <c r="EQ186" s="419" t="b">
        <f>AND(ISNUMBER(SnapshotTable[[#This Row],[SC Exp Date]]), ISNUMBER(SnapshotTable[[#This Row],[SC Strike Price]]), ISNUMBER(SnapshotTable[[#This Row],[SC Qty]]), ISNUMBER(SnapshotTable[[#This Row],[SC Book Date]]), ISNUMBER(SnapshotTable[[#This Row],[SC Book Price]]))</f>
        <v>0</v>
      </c>
      <c r="ER186" s="419" t="b">
        <f>AND(SnapshotTable[[#This Row],[SC Is Booked]], NOT(ISBLANK(SnapshotTable[[#This Row],[SC Fill Date]])))</f>
        <v>0</v>
      </c>
      <c r="ES186" s="370"/>
      <c r="ET186" s="34" t="str">
        <f>IF(AND(ISNUMBER(SnapshotTable[[#This Row],[SC Exp Date]]), ISNUMBER(SnapshotTable[[#This Row],[SC Book Date]])), SnapshotTable[[#This Row],[SC Exp Date]] - MAX(SnapshotTable[[#This Row],[SC Book Date]], SnapshotTable[[#This Row],[SC Fill Date]]) + 1, "")</f>
        <v/>
      </c>
      <c r="EU186" s="34" t="str">
        <f>IF(ISNUMBER(SnapshotTable[[#This Row],[SC Term]]), SnapshotTable[[#This Row],[SC Exp Date]]- MockToday, "")</f>
        <v/>
      </c>
      <c r="EV186" s="31">
        <f>IF(SnapshotTable[[#This Row],[SC Is Booked]], SnapshotTable[[#This Row],[SC Qty]] * SnapshotTable[[#This Row],[SC Book Price]] * 100, 0)</f>
        <v>0</v>
      </c>
      <c r="EW186" s="4" t="str">
        <f>IF(AND(ISNUMBER(SnapshotTable[[#This Row],[Last Price]]), ISNUMBER( SnapshotTable[[#This Row],[SC Book Price]])), SnapshotTable[[#This Row],[Last Price]] - SnapshotTable[[#This Row],[SC Book Price]],"")</f>
        <v/>
      </c>
      <c r="EX186" s="234" t="str">
        <f>IF(SnapshotTable[[#This Row],[SC Is Booked]],IF(SnapshotTable[[#This Row],[SC Intrinsic Value]] &gt; 0, SnapshotTable[[#This Row],[SC Strike Price]], SnapshotTable[[#This Row],[Last Price]]), "")</f>
        <v/>
      </c>
      <c r="EY186" s="4">
        <f>IF(SnapshotTable[[#This Row],[SC Is Booked]], (MinimumPremiumRequired * SnapshotTable[[#This Row],[SC Basis]] * SnapshotTable[[#This Row],[SC Term]]), 0)</f>
        <v>0</v>
      </c>
      <c r="EZ186" s="283"/>
      <c r="FA186" s="218"/>
      <c r="FB186" s="370"/>
      <c r="FC186" s="4">
        <f>IF(SnapshotTable[[#This Row],[SC Is Filled]], btc_max_buyback_amount(SnapshotTable[[#This Row],[SC Fill Date]],SnapshotTable[[#This Row],[SC Exp Date]], SnapshotTable[[#This Row],[SC Book Price]]),0)</f>
        <v>0</v>
      </c>
      <c r="FD186" s="5"/>
      <c r="FE186" s="144" t="str">
        <f>IF(SnapshotTable[[#This Row],[SC Is Filled]], btc_next_cutoff_date(SnapshotTable[[#This Row],[SC Fill Date]],SnapshotTable[[#This Row],[SC Exp Date]]),"")</f>
        <v/>
      </c>
      <c r="FF186" s="4" t="str" cm="1">
        <f t="array" ref="FF186">IF(SnapshotTable[[#This Row],[SC Is Filled]], btc_should_buy_back(SnapshotTable[[#This Row],[SC Fill Date]], SnapshotTable[[#This Row],[SC Exp Date]], SnapshotTable[[#This Row],[SC Book Price]], SnapshotTable[[#This Row],[SC Current Ask]], MockToday, SnapshotTable[[#This Row],[SC Buyback Override]]),"")</f>
        <v/>
      </c>
      <c r="FG186" s="4">
        <f>IF(SnapshotTable[[#This Row],[SC Is Filled]], MAX(0,SnapshotTable[[#This Row],[Last Price]]  - SnapshotTable[[#This Row],[SC Strike Price]]), 0)</f>
        <v>0</v>
      </c>
      <c r="FH186" s="382">
        <f>IF(SnapshotTable[[#This Row],[SC Is Filled]], IF(ISNUMBER(SnapshotTable[[#This Row],[SC Current Ask]]), SnapshotTable[[#This Row],[SC Current Ask]], SnapshotTable[[#This Row],[SC Book Price]]) - SnapshotTable[[#This Row],[SC Intrinsic Value]], 0)</f>
        <v>0</v>
      </c>
      <c r="FI186" s="143"/>
      <c r="FJ186" s="32" t="str">
        <f>IF(SnapshotTable[[#This Row],[SC Is Filled]],100 * SnapshotTable[[#This Row],[SC Qty]] * IF(ISNUMBER(SnapshotTable[[#This Row],[SC Buyback Override]]), SnapshotTable[[#This Row],[SC Buyback Override]], SnapshotTable[[#This Row],[SC Current Ask]]), "")</f>
        <v/>
      </c>
      <c r="FK186" s="250" t="str">
        <f>IF(SnapshotTable[[#This Row],[SC Time Val]]&gt;0, SnapshotTable[[#This Row],[SC Time Val]] / SnapshotTable[[#This Row],[Last Price]],"")</f>
        <v/>
      </c>
      <c r="FL186" s="302" t="str">
        <f>IF(SnapshotTable[[#This Row],[SC Is Booked]], ((SnapshotTable[[#This Row],[Last Price]] -SnapshotTable[[#This Row],[SC Strike Price]]) / SnapshotTable[[#This Row],[Last Price]]) * -1, "")</f>
        <v/>
      </c>
      <c r="FM186" s="157" t="str">
        <f>IF(SnapshotTable[[#This Row],[SC Is Booked]],  (SnapshotTable[[#This Row],[SC Qty]] * 100 * SnapshotTable[[#This Row],[SC Strike Price]]) - SnapshotTable[[#This Row],[SC Current Ask]], "")</f>
        <v/>
      </c>
      <c r="FN18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6" s="31" t="str">
        <f>IF(AND(ISNUMBER(SnapshotTable[[#This Row],[SC Exercise Gross]]), ISNUMBER(SnapshotTable[[#This Row],[Equity Basis Per Share]] )), SnapshotTable[[#This Row],[SC Exercise Gross]] - SnapshotTable[[#This Row],[Equity Basis Total]] +  SnapshotTable[[#This Row],[SC Premium]], "")</f>
        <v/>
      </c>
      <c r="FP186" s="5" t="str">
        <f>IF(ISNUMBER(SnapshotTable[[#This Row],[SC Exercise Gross]]), (SnapshotTable[[#This Row],[SC Exercise Gross]]) / (SnapshotTable[[#This Row],[SC Qty]] * 100), "")</f>
        <v/>
      </c>
      <c r="FQ186" s="27" t="str">
        <f>IF(SnapshotTable[[#This Row],[SC Is Booked]],SnapshotTable[[#This Row],[SC Time Val]] /SnapshotTable[[#This Row],[SC Basis]], "")</f>
        <v/>
      </c>
      <c r="FR186" s="27" t="str" cm="1">
        <f t="array" ref="FR186">IF(AND(ISNUMBER(SnapshotTable[[#This Row],[SC Term]]),ISNUMBER(SnapshotTable[[#This Row],[SC Simple ROO]])), EllmanAnnualize(SnapshotTable[[#This Row],[SC DTE]], SnapshotTable[[#This Row],[SC Simple ROO]] ),"")</f>
        <v/>
      </c>
      <c r="FS186" s="4" t="e">
        <f>IF(SnapshotTable[[#This Row],[SC Strike Price]] &gt; SnapshotTable[[#This Row],[Last Price]], SnapshotTable[[#This Row],[SC Strike Price]] - SnapshotTable[[#This Row],[Last Price]],0)</f>
        <v>#VALUE!</v>
      </c>
      <c r="FT186" s="27" t="e">
        <f>IF(AND(ISNUMBER(SnapshotTable[[#This Row],[SC Upside Potential]]), SnapshotTable[[#This Row],[SC Upside Potential]] &gt; 0),(SnapshotTable[[#This Row],[SC Upside Potential]]/ SnapshotTable[[#This Row],[ACB]]),"")</f>
        <v>#VALUE!</v>
      </c>
      <c r="FU186" s="333" t="str">
        <f>IF(SnapshotTable[[#This Row],[SC Intrinsic Value]] &gt; 0,SnapshotTable[[#This Row],[SC Intrinsic Value]],"")</f>
        <v/>
      </c>
      <c r="FV186" s="27" t="str">
        <f>IF(AND( ISNUMBER( SnapshotTable[[#This Row],[ACB]]),ISNUMBER(SnapshotTable[[#This Row],[SC Downside Protect]])),SnapshotTable[[#This Row],[SC Downside Protect]] / SnapshotTable[[#This Row],[ACB]],"")</f>
        <v/>
      </c>
      <c r="FW186" s="236" t="str">
        <f>IF(AND(ISNUMBER(SnapshotTable[[#This Row],[SC Simple ROO]]),SnapshotTable[[#This Row],[SC Simple ROO]] &gt; 0), SnapshotTable[[#This Row],[SC Premium]] + (SnapshotTable[[#This Row],[SC Qty]] * SnapshotTable[[#This Row],[SC Upside Potential]]), "")</f>
        <v/>
      </c>
      <c r="FX186" s="302" t="str" cm="1">
        <f t="array" ref="FX186">IF(ISNUMBER(SnapshotTable[[#This Row],[SC Max Dollars]]), annualize(SnapshotTable[[#This Row],[SC Term]],(SnapshotTable[[#This Row],[SC Max Dollars]]/SnapshotTable[[#This Row],[SC Basis]])),"")</f>
        <v/>
      </c>
      <c r="FY186" s="236" t="str">
        <f>IF(AND(SnapshotTable[[#This Row],[SC Qty]]&gt;0,SnapshotTable[[#This Row],[SC Current Ask]]&gt;0), SnapshotTable[[#This Row],[SC Qty]] * SnapshotTable[[#This Row],[SC Current Ask]] * -100, "")</f>
        <v/>
      </c>
      <c r="FZ186" s="31" t="str">
        <f>IF(ISNUMBER((SnapshotTable[[#This Row],[SC Current Value]])), SnapshotTable[[#This Row],[SC Premium]] + SnapshotTable[[#This Row],[SC Current Value]], "")</f>
        <v/>
      </c>
      <c r="GA186" s="294" t="str">
        <f>IFERROR( IF(ISNUMBER((SnapshotTable[[#This Row],[SC Current Value]])), SnapshotTable[[#This Row],[SC Gain Loss]] / SnapshotTable[[#This Row],[SC Premium]], ""), "")</f>
        <v/>
      </c>
      <c r="GB186" s="42">
        <f>SnapshotTable[[#This Row],[Equity Shares]] * SaleSharesToConsiderPercentage</f>
        <v>0</v>
      </c>
      <c r="GC186" s="40">
        <f>SnapshotTable[[#This Row],[Long Term Target]] * SellingPriceToConsiderBasedOnTargetPercentage</f>
        <v>65.483500000000006</v>
      </c>
      <c r="GD186" s="40">
        <f>SnapshotTable[[#This Row],[Last Price]] * (1+ SellingPriceToConsiderBasedOnTargetPercentage)</f>
        <v>114.05549999999999</v>
      </c>
      <c r="GE186" s="41"/>
      <c r="GF186" s="40"/>
      <c r="GG186" s="31">
        <f>SnapshotTable[[#This Row],[Booked Sale Shares]] * SnapshotTable[[#This Row],[Booked Sale Price]]</f>
        <v>0</v>
      </c>
      <c r="GH186" s="31" t="str">
        <f>IF(SnapshotTable[[#This Row],[Equity Basis Total]] &gt; 0, SnapshotTable[[#This Row],[Equity Basis Per Share]] * SnapshotTable[[#This Row],[Booked Sale Shares]], "")</f>
        <v/>
      </c>
      <c r="GI186" s="31">
        <f>IF(SnapshotTable[[#This Row],[Sale Proceeds]]&gt;0, SnapshotTable[[#This Row],[Sale Proceeds]] - SnapshotTable[[#This Row],[Sale Basis]], 0)</f>
        <v>0</v>
      </c>
      <c r="GJ186" s="27" t="str">
        <f>IF(SnapshotTable[[#This Row],[Sale G/L]]&gt;0, SnapshotTable[[#This Row],[Sale G/L]] / SnapshotTable[[#This Row],[Sale Basis]], IF(ISNUMBER(SnapshotTable[[#This Row],[SC Exercise P&amp;L (TAX)]]), SnapshotTable[[#This Row],[SC Exercise P&amp;L (TAX)]] / SnapshotTable[[#This Row],[SC Basis]], ""))</f>
        <v/>
      </c>
      <c r="GK186" s="27" t="s">
        <v>1050</v>
      </c>
      <c r="GL186" s="43" t="str">
        <f>IF(AND(SnapshotTable[[#This Row],[LP Exp Date]]&gt;0,SnapshotTable[[#This Row],[LP Strike Price]]&gt;0), [1]!ToOptionSymbol(SnapshotTable[[#This Row],[Symbol]], SnapshotTable[[#This Row],[LP Strike Price]],SnapshotTable[[#This Row],[LP Exp Date]],1), "")</f>
        <v/>
      </c>
      <c r="GM186" s="30" t="str">
        <f>IF(LEN(SnapshotTable[[#This Row],[LP Symbol]])&gt;0, 1, "")</f>
        <v/>
      </c>
      <c r="GN186" s="43" t="str">
        <f>IF(AND(SnapshotTable[[#This Row],[SP Exp Date]]&gt;0,SnapshotTable[[#This Row],[SP Strike Price]]&gt;0), [1]!ToOptionSymbol(SnapshotTable[[#This Row],[Symbol]], SnapshotTable[[#This Row],[SP Strike Price]],SnapshotTable[[#This Row],[SP Exp Date]],1), "")</f>
        <v/>
      </c>
      <c r="GO186" s="30" t="str">
        <f>IF(LEN(SnapshotTable[[#This Row],[SP Symbol]])&gt;0, 1, "")</f>
        <v/>
      </c>
      <c r="GP186" s="43" t="str">
        <f>IF(AND(SnapshotTable[[#This Row],[LC Exp Date]]&gt;0,SnapshotTable[[#This Row],[LC Strike Price]]&gt;0), [1]!ToOptionSymbol(SnapshotTable[[#This Row],[Symbol]], SnapshotTable[[#This Row],[LC Strike Price]],SnapshotTable[[#This Row],[LC Exp Date]],0), "")</f>
        <v/>
      </c>
      <c r="GQ186" s="30" t="str">
        <f>IF(LEN(SnapshotTable[[#This Row],[LC Symbol]])&gt;0, 1, "")</f>
        <v/>
      </c>
      <c r="GR186" s="43" t="str">
        <f>IF(AND(SnapshotTable[[#This Row],[SC Exp Date]]&gt;0,SnapshotTable[[#This Row],[SC Strike Price]]&gt;0), [1]!ToOptionSymbol(SnapshotTable[[#This Row],[Symbol]], SnapshotTable[[#This Row],[SC Strike Price]],SnapshotTable[[#This Row],[SC Exp Date]],0), "")</f>
        <v/>
      </c>
      <c r="GS186" s="30" t="str">
        <f>IF(LEN(SnapshotTable[[#This Row],[SC Symbol]])&gt;0, 1, "")</f>
        <v/>
      </c>
      <c r="GT186" s="29" t="str">
        <f>IF(COUNT(SnapshotTable[[#This Row],[LP Symbol Count]],SnapshotTable[[#This Row],[SP Symbol Count]],SnapshotTable[[#This Row],[LC Symbol Count]],SnapshotTable[[#This Row],[SC Symbol Count]])&gt;0, "Y", "")</f>
        <v/>
      </c>
      <c r="GU18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6" s="231" t="e">
        <f>MAX(SnapshotTable[[#This Row],[Equity Basis Total]],SnapshotTable[[#This Row],[Equity Value]]) + (SnapshotTable[[#This Row],[SP Potential Spend]]- SnapshotTable[[#This Row],[SP Premium]] + SnapshotTable[[#This Row],[LP Premium]])+ (SnapshotTable[[#This Row],[LC Premium]] - SnapshotTable[[#This Row],[SC Premium]])</f>
        <v>#VALUE!</v>
      </c>
      <c r="GW186" s="139" t="e">
        <f>IF(AND(SnapshotTable[[#This Row],[Exposure]] &lt;&gt; 0),SnapshotTable[[#This Row],[Exposure]] / SnapshotTable[[#Totals],[Exposure]], "")</f>
        <v>#VALUE!</v>
      </c>
      <c r="HE186" s="268"/>
      <c r="HF186" s="268"/>
      <c r="HK186" s="1"/>
      <c r="HL186" s="1"/>
      <c r="HM186" s="1"/>
      <c r="HN186" s="1"/>
      <c r="HO186" s="1"/>
      <c r="HP186" s="1"/>
    </row>
    <row r="187" spans="2:224" ht="12.75" hidden="1" customHeight="1" x14ac:dyDescent="0.25">
      <c r="B187" s="12" t="s">
        <v>534</v>
      </c>
      <c r="C187" s="422">
        <v>150.75</v>
      </c>
      <c r="D187" s="208"/>
      <c r="E187" s="39">
        <f>SnapshotTable[[#This Row],[Last Price]]*(1 -CrashDiscount)</f>
        <v>128.13749999999999</v>
      </c>
      <c r="F187" s="26" t="s">
        <v>107</v>
      </c>
      <c r="G187" s="26" t="s">
        <v>49</v>
      </c>
      <c r="H187" s="149"/>
      <c r="I187" s="194">
        <v>44777.670138888891</v>
      </c>
      <c r="J187" s="195">
        <v>44777.670138888891</v>
      </c>
      <c r="K187" s="196"/>
      <c r="L187" s="326"/>
      <c r="M187" s="140"/>
      <c r="N187" s="140"/>
      <c r="O187" s="140"/>
      <c r="P187" s="22"/>
      <c r="Q187" s="25"/>
      <c r="R187" s="4" t="str">
        <f>IF(SnapshotTable[[#This Row],[Equity Basis Total]] &gt; 0, SnapshotTable[[#This Row],[Equity Basis Total]] / SnapshotTable[[#This Row],[Equity Shares]], "")</f>
        <v/>
      </c>
      <c r="S187" s="269">
        <f>SnapshotTable[[#This Row],[Last Price]] * SnapshotTable[[#This Row],[Equity Shares]]</f>
        <v>0</v>
      </c>
      <c r="T187" s="269">
        <f>SnapshotTable[[#This Row],[Equity Value]] - SnapshotTable[[#This Row],[Equity Basis Total]]</f>
        <v>0</v>
      </c>
      <c r="U187" s="270" t="str">
        <f>IF(SnapshotTable[[#This Row],[Equity Basis Total]] &gt; 0, SnapshotTable[[#This Row],[Equity G/L]] / SnapshotTable[[#This Row],[Equity Basis Total]], "")</f>
        <v/>
      </c>
      <c r="V187" s="268"/>
      <c r="W187" s="268"/>
      <c r="X187" s="4" t="str">
        <f>IF(AND(ISNUMBER(SnapshotTable[[#This Row],[Equity Basis Per Share]]),ISNUMBER(SnapshotTable[[#This Row],[Equity Target]])),SnapshotTable[[#This Row],[Equity Target]]-SnapshotTable[[#This Row],[Equity Basis Per Share]],"")</f>
        <v/>
      </c>
      <c r="Y187" s="4" t="str">
        <f>IF(AND(ISNUMBER(SnapshotTable[[#This Row],[Equity Basis Per Share]]),ISNUMBER(SnapshotTable[[#This Row],[Equity Stop Loss]])),SnapshotTable[[#This Row],[Equity Stop Loss]]-SnapshotTable[[#This Row],[Equity Basis Per Share]],"")</f>
        <v/>
      </c>
      <c r="Z187" s="275" t="str">
        <f>IFERROR( TEXT(SnapshotTable[[#This Row],[Equity Max Gain Per Share]] /ABS( SnapshotTable[[#This Row],[Equity Max Loss Per Share]]),"0.0 " ) &amp; " : 1", "")</f>
        <v/>
      </c>
      <c r="AA187" s="31" t="str">
        <f>IF(ISNUMBER(SnapshotTable[[#This Row],[Equity Max Gain Per Share]]),SnapshotTable[[#This Row],[Equity Max Gain Per Share]] * SnapshotTable[[#This Row],[Equity Shares]],"")</f>
        <v/>
      </c>
      <c r="AB187" s="31" t="str">
        <f>IF(ISNUMBER(SnapshotTable[[#This Row],[Equity Max Loss Per Share]]),SnapshotTable[[#This Row],[Equity Max Loss Per Share]] * SnapshotTable[[#This Row],[Equity Shares]],"")</f>
        <v/>
      </c>
      <c r="AC187" s="150"/>
      <c r="AD187" s="151"/>
      <c r="AE187" s="31">
        <f>(SnapshotTable[[#This Row],[Annual Dividend Per Share]] / 4) * SnapshotTable[[#This Row],[Equity Shares]]</f>
        <v>0</v>
      </c>
      <c r="AF187" s="31">
        <f>SnapshotTable[[#This Row],[Quarterly Div $]] * 4</f>
        <v>0</v>
      </c>
      <c r="AG187" s="7">
        <f>IF(SnapshotTable[[#This Row],[Annual Dividend Per Share]]&gt;0, SnapshotTable[[#This Row],[Annual Dividend Per Share]]  / SnapshotTable[[#This Row],[Last Price]], 0)</f>
        <v>0</v>
      </c>
      <c r="AH187" s="151"/>
      <c r="AI187" s="5"/>
      <c r="AJ187" s="138">
        <v>108.33</v>
      </c>
      <c r="AK187" s="152" t="str">
        <f>IF(ISNUMBER( SnapshotTable[[#This Row],[EBF Target]]),(SnapshotTable[[#This Row],[EBF Target]] - SnapshotTable[[#This Row],[Last Price]]) / SnapshotTable[[#This Row],[Last Price]], "")</f>
        <v/>
      </c>
      <c r="AL187" s="152" t="str">
        <f>IF(AND(SnapshotTable[[#This Row],[Equity Basis Total]] &gt; 0,ISNUMBER( SnapshotTable[[#This Row],[Long Term Target]])), SnapshotTable[[#This Row],[From Basis $]] / SnapshotTable[[#This Row],[Equity Basis Total]], "")</f>
        <v/>
      </c>
      <c r="AM187" s="9">
        <f>IF( AND(SnapshotTable[[#This Row],[Equity Shares]] &gt;0,ISNUMBER( SnapshotTable[[#This Row],[Long Term Target]])),(SnapshotTable[[#This Row],[Equity Shares]] * SnapshotTable[[#This Row],[Long Term Target]]) - SnapshotTable[[#This Row],[Equity Basis Total]],0)</f>
        <v>0</v>
      </c>
      <c r="AN187" s="9">
        <f>IF( AND(SnapshotTable[[#This Row],[Equity Shares]] &gt;0,ISNUMBER( SnapshotTable[[#This Row],[Long Term Target]])),(SnapshotTable[[#This Row],[Equity Shares]]*SnapshotTable[[#This Row],[Long Term Target]]) - SnapshotTable[[#This Row],[Equity Value]],0)</f>
        <v>0</v>
      </c>
      <c r="AO187" s="152">
        <f>IF(AND(ISNUMBER( SnapshotTable[[#This Row],[Long Term Target]]), ISNUMBER(SnapshotTable[[#This Row],[Last Price]])),(SnapshotTable[[#This Row],[Long Term Target]] - SnapshotTable[[#This Row],[Last Price]]) / SnapshotTable[[#This Row],[Last Price]], "")</f>
        <v>-0.28139303482587064</v>
      </c>
      <c r="AP187" s="5">
        <v>95</v>
      </c>
      <c r="AQ187" s="38" t="s">
        <v>27</v>
      </c>
      <c r="AR187" s="5">
        <v>85</v>
      </c>
      <c r="AS187" s="38" t="s">
        <v>32</v>
      </c>
      <c r="AT187" s="146" t="s">
        <v>535</v>
      </c>
      <c r="AU187" s="187" t="str">
        <f>IF(OR(SnapshotTable[[#This Row],[LP No Fill]]="Y",SnapshotTable[[#This Row],[SP Is Filled]],SnapshotTable[[#This Row],[LC Not Filled]]="Y",SnapshotTable[[#This Row],[SC Is Filled]]),"Y","")</f>
        <v/>
      </c>
      <c r="AV187" s="219"/>
      <c r="AW187" s="225"/>
      <c r="AX187" s="220"/>
      <c r="AY187" s="219" t="str">
        <f>IF(SnapshotTable[[#This Row],[Implied Move]]&gt;0, SnapshotTable[[#This Row],[Last Price]]-SnapshotTable[[#This Row],[Implied Move]],"")</f>
        <v/>
      </c>
      <c r="AZ187" s="219" t="str">
        <f>IF(SnapshotTable[[#This Row],[Implied Move]]&gt;0, SnapshotTable[[#This Row],[Last Price]] + SnapshotTable[[#This Row],[Implied Move]],"")</f>
        <v/>
      </c>
      <c r="BA187" s="331"/>
      <c r="BB187" s="347"/>
      <c r="BC18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7" s="351"/>
      <c r="BE187" s="5"/>
      <c r="BF187" s="14"/>
      <c r="BG187" s="13"/>
      <c r="BH187" s="13"/>
      <c r="BI187" s="5"/>
      <c r="BJ187" s="136">
        <f>IF(SnapshotTable[[#This Row],[LP Qty]] &gt; 0, SnapshotTable[[#This Row],[LP Qty]] * SnapshotTable[[#This Row],[LP Book Price]] * 100,0)</f>
        <v>0</v>
      </c>
      <c r="BK187" s="136">
        <f>IF(SnapshotTable[[#This Row],[LP Premium]] &gt; 0, SnapshotTable[[#This Row],[LP Qty]] * SnapshotTable[[#This Row],[LP Strike Price]] * 100,0)</f>
        <v>0</v>
      </c>
      <c r="BL187" s="154"/>
      <c r="BM187" s="385" t="str">
        <f>IF(SnapshotTable[[#This Row],[LP Premium]] &gt; 0,SnapshotTable[[#This Row],[LP Exp Date]]-MAX(SnapshotTable[[#This Row],[LP Book Date]], SnapshotTable[[#This Row],[LP Fill Date]]),"")</f>
        <v/>
      </c>
      <c r="BN187" s="385" t="str">
        <f>IF(ISNUMBER( SnapshotTable[[#This Row],[LP Term]]), SnapshotTable[[#This Row],[LP Exp Date]] - MockToday,"")</f>
        <v/>
      </c>
      <c r="BO187" s="163" t="str">
        <f>IF(AND(SnapshotTable[[#This Row],[LP Exp Date]]&gt;0, SnapshotTable[[#This Row],[LP Strike Price]]&gt;0,SnapshotTable[[#This Row],[LP Qty]]&gt;0,SnapshotTable[[#This Row],[LP Book Date]]&gt;0,SnapshotTable[[#This Row],[LP Book Price]]&gt;0,SnapshotTable[[#This Row],[LP Fill Date]]=0),"Y","")</f>
        <v/>
      </c>
      <c r="BP187" s="31" t="str">
        <f>IF(AND(SnapshotTable[[#This Row],[LP No Fill]]&lt;&gt;"Y",SnapshotTable[[#This Row],[LP Contract Value]]&gt;0, SnapshotTable[[#This Row],[LP Qty]]&gt;0), SnapshotTable[[#This Row],[LP Contract Value]]*SnapshotTable[[#This Row],[LP Qty]]*100,"")</f>
        <v/>
      </c>
      <c r="BQ187" s="13"/>
      <c r="BR187" s="5" t="str">
        <f>IF(SnapshotTable[[#This Row],[SP Exp Date]]&lt;&gt;"",TRUNC(SnapshotTable[[#This Row],[Last Price]]),"")</f>
        <v/>
      </c>
      <c r="BS187" s="36"/>
      <c r="BT187" s="147"/>
      <c r="BU187" s="13"/>
      <c r="BV187" s="5"/>
      <c r="BW187" s="419" t="b">
        <f>AND(ISNUMBER(SnapshotTable[[#This Row],[SP Exp Date]]), ISNUMBER(SnapshotTable[[#This Row],[SP Strike Price]]), ISNUMBER(SnapshotTable[[#This Row],[SP Qty]]), ISNUMBER(SnapshotTable[[#This Row],[SP Book Date]]), ISNUMBER(SnapshotTable[[#This Row],[SP Book Price]]))</f>
        <v>0</v>
      </c>
      <c r="BX187" s="419" t="b">
        <f>AND(SnapshotTable[[#This Row],[SP Is Booked]], NOT(ISBLANK(SnapshotTable[[#This Row],[SP Fill Date]])))</f>
        <v>0</v>
      </c>
      <c r="BY187" s="33">
        <f>IF(SnapshotTable[[#This Row],[SP Is Booked]], SnapshotTable[[#This Row],[SP Qty]] * SnapshotTable[[#This Row],[SP Book Price]] * 100, 0)</f>
        <v>0</v>
      </c>
      <c r="BZ187" s="369"/>
      <c r="CA187" s="368">
        <f>SnapshotTable[[#This Row],[LP Qty]]</f>
        <v>0</v>
      </c>
      <c r="CB187" s="4" t="str">
        <f>IF(SnapshotTable[[#This Row],[SP Is Booked]], SnapshotTable[[#This Row],[SP Strike Price]] - SnapshotTable[[#This Row],[SP Book Price]], "")</f>
        <v/>
      </c>
      <c r="CC187" s="19" t="str">
        <f>IF(SnapshotTable[[#This Row],[SP Is Booked]],SnapshotTable[[#This Row],[SP Exp Date]]-MAX(SnapshotTable[[#This Row],[SP Book Date]], SnapshotTable[[#This Row],[SP Fill Date]]),"")</f>
        <v/>
      </c>
      <c r="CD187" s="7" t="str">
        <f>IF(SnapshotTable[[#This Row],[SP Is Booked]], SnapshotTable[[#This Row],[SP Book Price]]/SnapshotTable[[#This Row],[SP Strike Price]], "")</f>
        <v/>
      </c>
      <c r="CE187" s="7" t="str">
        <f>IF(ISNUMBER(SnapshotTable[[#This Row],[SP ROO Term]]),SnapshotTable[[#This Row],[SP ROO Term]]*(365/SnapshotTable[[#This Row],[SP Term]]),"")</f>
        <v/>
      </c>
      <c r="CF187" s="236">
        <f>SnapshotTable[[#This Row],[LP Strike Price]] * SnapshotTable[[#This Row],[LP Qty]] * 100</f>
        <v>0</v>
      </c>
      <c r="CG187" s="31" t="e">
        <f>IF(ISNUMBER(SnapshotTable[[#This Row],[SP Premium]]), (SnapshotTable[[#This Row],[SP Qty]] * SnapshotTable[[#This Row],[SP Strike Price]]* 100) - SnapshotTable[[#This Row],[LP Protection]], 0)</f>
        <v>#VALUE!</v>
      </c>
      <c r="CH187" s="7" t="str">
        <f>IF(ISNUMBER(SnapshotTable[[#This Row],[SP Break Even]]),-1 * (SnapshotTable[[#This Row],[SP Break Even]] - SnapshotTable[[#This Row],[Last Price]]) / SnapshotTable[[#This Row],[Last Price]], "")</f>
        <v/>
      </c>
      <c r="CI187" s="31">
        <f>IF(AND(ISNUMBER((SnapshotTable[[#This Row],[SP Potential Spend]])), SnapshotTable[[#This Row],[SP Strike Price]] &gt; SnapshotTable[[#This Row],[Last Price]], SnapshotTable[[#This Row],[SP Is Filled]]), SnapshotTable[[#This Row],[SP Potential Spend]] -  SnapshotTable[[#This Row],[LP Max Value]], 0)</f>
        <v>0</v>
      </c>
      <c r="CJ187" s="244"/>
      <c r="CK187" s="31" t="str">
        <f>IF(ISNUMBER(SnapshotTable[[#This Row],[SP Potential Spend]]),IF(ISNUMBER(SnapshotTable[[#This Row],[SP POW]]), SnapshotTable[[#This Row],[SP POW]] * SnapshotTable[[#This Row],[SP Potential Spend]], SnapshotTable[[#This Row],[SP Potential Spend]]), "")</f>
        <v/>
      </c>
      <c r="CL187" s="164" t="e">
        <f>IF(NOT(SnapshotTable[[#This Row],[SP Is Filled]]),(SnapshotTable[[#This Row],[SP Qty]] * SnapshotTable[[#This Row],[SP Strike Price]] * 100) - SnapshotTable[[#This Row],[LP Max Value]],"")</f>
        <v>#VALUE!</v>
      </c>
      <c r="CM187" s="31" t="str">
        <f>IF(SnapshotTable[[#This Row],[SP Actual Spend]]&lt;&gt;0, ((SnapshotTable[[#This Row],[SP Strike Price]]-SnapshotTable[[#This Row],[Last Price]]) *(SnapshotTable[[#This Row],[SP Qty]]*100) - SnapshotTable[[#This Row],[SP Premium]]) * - 1, "")</f>
        <v/>
      </c>
      <c r="CN187" s="78"/>
      <c r="CO187" s="369"/>
      <c r="CP187" s="4" t="str">
        <f>IF(SnapshotTable[[#This Row],[SP Is Filled]], btc_max_buyback_amount(SnapshotTable[[#This Row],[SP Fill Date]],SnapshotTable[[#This Row],[SP Exp Date]], SnapshotTable[[#This Row],[SP Book Price]]),"")</f>
        <v/>
      </c>
      <c r="CQ187" s="78"/>
      <c r="CR18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7" s="155" t="str">
        <f>IF(SnapshotTable[[#This Row],[SP Is Filled]], btc_next_cutoff_date(SnapshotTable[[#This Row],[SP Fill Date]],SnapshotTable[[#This Row],[SP Exp Date]]),"")</f>
        <v/>
      </c>
      <c r="CT187" s="235" t="str" cm="1">
        <f t="array" ref="CT187">IF(SnapshotTable[[#This Row],[SP Is Filled]], btc_should_buy_back(SnapshotTable[[#This Row],[SP Fill Date]], SnapshotTable[[#This Row],[SP Exp Date]], SnapshotTable[[#This Row],[SP Book Price]], SnapshotTable[[#This Row],[SP Current Ask]], MockToday, SnapshotTable[[#This Row],[SP Buyback Override]]),"")</f>
        <v/>
      </c>
      <c r="CU187" s="143"/>
      <c r="CV187" s="235"/>
      <c r="CW187" s="378" t="str">
        <f>IF(ISNUMBER( SnapshotTable[[#This Row],[SP Term]]), SnapshotTable[[#This Row],[SP Exp Date]] - MockToday,"")</f>
        <v/>
      </c>
      <c r="CX187" s="31" t="str">
        <f>IF(SnapshotTable[[#This Row],[SP Is Filled]],SnapshotTable[[#This Row],[SP Buyback Price to Use]] * 100 * SnapshotTable[[#This Row],[SP Qty]], "")</f>
        <v/>
      </c>
      <c r="CY187" s="4" t="str">
        <f>IF(ISNUMBER(SnapshotTable[[#This Row],[SP Strike Price]]), SnapshotTable[[#This Row],[SP Strike Price]] * (1 - SP_MaxLoss_StrikePct), "")</f>
        <v/>
      </c>
      <c r="CZ187" s="31" t="str">
        <f>IF(ISNUMBER(SnapshotTable[[#This Row],[SP Strike  Stop Per Share]]),SnapshotTable[[#This Row],[SP Premium]] - ((SnapshotTable[[#This Row],[SP Strike Price]]-SnapshotTable[[#This Row],[SP Strike  Stop Per Share]]) *(SnapshotTable[[#This Row],[SP Qty]] * 100)),"")</f>
        <v/>
      </c>
      <c r="DA187" s="4" t="str">
        <f>IF(AND(ISNUMBER(SnapshotTable[[#This Row],[SP Premium]]),SnapshotTable[[#This Row],[SP Premium]]&gt;0), SnapshotTable[[#This Row],[SP Book Price]] * (1 + SP_MaxLoss_OptionPct), "")</f>
        <v/>
      </c>
      <c r="DB187" s="31" t="str">
        <f>IF(ISNUMBER(SnapshotTable[[#This Row],[SP Option  Stop Contract]]),(SnapshotTable[[#This Row],[SP Option  Stop Contract]] *(SnapshotTable[[#This Row],[SP Qty]] * 100) - SnapshotTable[[#This Row],[SP Premium]]),"")</f>
        <v/>
      </c>
      <c r="DC187" s="4"/>
      <c r="DD187" s="4"/>
      <c r="DE187" s="4" t="str">
        <f>IF(AND(SnapshotTable[[#This Row],[SP Qty]]&gt;0, SnapshotTable[[#This Row],[SP Stop To Use]]&gt;0),SnapshotTable[[#This Row],[SP Premium]] - ( SnapshotTable[[#This Row],[SP Qty]] * SnapshotTable[[#This Row],[SP Stop To Use]] * 100), "")</f>
        <v/>
      </c>
      <c r="DF187" s="31" t="str">
        <f>IF(AND(SnapshotTable[[#This Row],[SP Qty]]&gt;0,SnapshotTable[[#This Row],[SP Current Ask]]&gt;0), SnapshotTable[[#This Row],[SP Qty]] * SnapshotTable[[#This Row],[SP Current Ask]] * -100, "")</f>
        <v/>
      </c>
      <c r="DG187" s="31" t="str">
        <f>IF(ISNUMBER((SnapshotTable[[#This Row],[SP Total Value]])), SnapshotTable[[#This Row],[SP Premium]] + SnapshotTable[[#This Row],[SP Total Value]], "")</f>
        <v/>
      </c>
      <c r="DH187" s="294" t="str">
        <f>IF(ISNUMBER((SnapshotTable[[#This Row],[SP Total Value]])), SnapshotTable[[#This Row],[SP Gain Loss]] / SnapshotTable[[#This Row],[SP Premium]], "")</f>
        <v/>
      </c>
      <c r="DI187" s="406"/>
      <c r="DJ187" s="138"/>
      <c r="DK187" s="148"/>
      <c r="DL187" s="13"/>
      <c r="DM187" s="13"/>
      <c r="DO187" s="31">
        <f>IF(SnapshotTable[[#This Row],[LC Symbol Count]]=1, SnapshotTable[[#This Row],[LC Qty]] * SnapshotTable[[#This Row],[LC Book Price]] * 100, 0)</f>
        <v>0</v>
      </c>
      <c r="DP187" s="163" t="str">
        <f>IF(AND(SnapshotTable[[#This Row],[LC Exp Date]]&gt;0, SnapshotTable[[#This Row],[LC Strike Price]]&gt;0,SnapshotTable[[#This Row],[LC Qty]]&gt;0,SnapshotTable[[#This Row],[LC Book Date]]&gt;0,SnapshotTable[[#This Row],[LC Book Price]]&gt;0,SnapshotTable[[#This Row],[LC Fill Date]]=0),"Y","")</f>
        <v/>
      </c>
      <c r="DQ187" s="386" t="str">
        <f>IF(SnapshotTable[[#This Row],[LC Premium]] &gt; 0,SnapshotTable[[#This Row],[LC Exp Date]]-MAX(SnapshotTable[[#This Row],[LC Book Date]], SnapshotTable[[#This Row],[LC Fill Date]]),"")</f>
        <v/>
      </c>
      <c r="DR187" s="386" t="str">
        <f>IF(ISNUMBER(SnapshotTable[[#This Row],[LC Term]]), SnapshotTable[[#This Row],[LC Exp Date]] - MockToday, "")</f>
        <v/>
      </c>
      <c r="DS187" s="234" t="str">
        <f>IF(SnapshotTable[[#This Row],[LC Premium]]&gt;0,SnapshotTable[[#This Row],[LC Strike Price]] + SnapshotTable[[#This Row],[LC Book Price]],"")</f>
        <v/>
      </c>
      <c r="DU187" s="9" t="str">
        <f>IF(AND(SnapshotTable[[#This Row],[LC Symbol Count]]&gt;0, SnapshotTable[[#This Row],[LC Contract Value]]&gt;0), SnapshotTable[[#This Row],[LC Contract Value]] * SnapshotTable[[#This Row],[LC Qty]] * 100, "")</f>
        <v/>
      </c>
      <c r="DV187" s="9" t="str">
        <f>IF(AND(ISNUMBER(SnapshotTable[[#This Row],[LC Total Value]]), SnapshotTable[[#This Row],[LC Not Filled]]&lt;&gt;"Y"), SnapshotTable[[#This Row],[LC Total Value]]-SnapshotTable[[#This Row],[LC Premium]],"")</f>
        <v/>
      </c>
      <c r="DW187" s="240" t="str">
        <f>IF(ISNUMBER(SnapshotTable[[#This Row],[LC Actual Gain Loss]]), SnapshotTable[[#This Row],[LC Actual Gain Loss]] / SnapshotTable[[#This Row],[LC Premium]],"")</f>
        <v/>
      </c>
      <c r="DX187" s="284" t="str">
        <f>IF(ISNUMBER(SnapshotTable[[#This Row],[LC Book Price]]),SnapshotTable[[#This Row],[LC Book Price]] * 1.5,"")</f>
        <v/>
      </c>
      <c r="DY187" s="265" t="str">
        <f>IF(SnapshotTable[[#This Row],[LC Premium]]&gt;0, SnapshotTable[[#This Row],[LC Next Target]] * SnapshotTable[[#This Row],[LC Qty]] * 100,"")</f>
        <v/>
      </c>
      <c r="DZ187" s="265" t="str">
        <f>IF(ISNUMBER(SnapshotTable[[#This Row],[LC Target Gross]]), SnapshotTable[[#This Row],[LC Target Gross]] - SnapshotTable[[#This Row],[LC Premium]], "")</f>
        <v/>
      </c>
      <c r="EA187" s="305" t="str">
        <f>IF(ISNUMBER(SnapshotTable[[#This Row],[LC Target Gain Loss]]), SnapshotTable[[#This Row],[LC Target Gain Loss]]/SnapshotTable[[#This Row],[LC Premium]], "")</f>
        <v/>
      </c>
      <c r="EB187" s="262"/>
      <c r="EC187" s="283" t="str">
        <f>IF(SnapshotTable[[#This Row],[LC Premium]]&gt;0, SnapshotTable[[#This Row],[LC Book Price]] * (1 - LC_StopLoss_Pct),"")</f>
        <v/>
      </c>
      <c r="ED187" s="284"/>
      <c r="EE187" s="283" t="str">
        <f>IF(ISNUMBER(SnapshotTable[[#This Row],[LC Contract Value]]),IF(ISNUMBER(SnapshotTable[[#This Row],[LC Stop Loss Override]]), SnapshotTable[[#This Row],[LC Stop Loss Override]],SnapshotTable[[#This Row],[LC Stop Loss Calc Target]]),"")</f>
        <v/>
      </c>
      <c r="EF187" s="31" t="str">
        <f>IF(ISNUMBER(SnapshotTable[[#This Row],[LC Stop  To Use]]), (SnapshotTable[[#This Row],[LC Stop  To Use]] * SnapshotTable[[#This Row],[LC Qty]] * 100),"")</f>
        <v/>
      </c>
      <c r="EG187" s="9" t="str">
        <f>IF(ISNUMBER(SnapshotTable[[#This Row],[LC Total Value]]),SnapshotTable[[#This Row],[LC Stop Loss Amount]] - SnapshotTable[[#This Row],[LC Premium]],"")</f>
        <v/>
      </c>
      <c r="EH187" s="9">
        <f>IF(ISNUMBER(SnapshotTable[[#This Row],[LC Premium]]), SnapshotTable[[#This Row],[LC Qty]] * 100 * SnapshotTable[[#This Row],[LC Strike Price]], "")</f>
        <v>0</v>
      </c>
      <c r="EI187" s="240" t="str">
        <f>IF(AND(ISNUMBER(SnapshotTable[[#This Row],[LC Total Value]]),SnapshotTable[[#This Row],[LC Total Value]]&gt;0),SnapshotTable[[#This Row],[LC Stop Gain Loss]]  / SnapshotTable[[#This Row],[LC Premium]],"")</f>
        <v/>
      </c>
      <c r="EJ187" s="35">
        <f>IF(ISNUMBER(SnapshotTable[[#This Row],[Equity Shares]]),TRUNC(SnapshotTable[[#This Row],[Equity Shares]] / 100),0) + SnapshotTable[[#This Row],[LC Qty]]</f>
        <v>0</v>
      </c>
      <c r="EK187" s="147"/>
      <c r="EL187" s="138" t="str">
        <f>IF(SnapshotTable[[#This Row],[SC Exp Date]]&lt;&gt;"",TRUNC(SnapshotTable[[#This Row],[Last Price]]),"")</f>
        <v/>
      </c>
      <c r="EM187" s="148"/>
      <c r="EN187" s="147"/>
      <c r="EO187" s="147"/>
      <c r="EP187" s="138"/>
      <c r="EQ187" s="419" t="b">
        <f>AND(ISNUMBER(SnapshotTable[[#This Row],[SC Exp Date]]), ISNUMBER(SnapshotTable[[#This Row],[SC Strike Price]]), ISNUMBER(SnapshotTable[[#This Row],[SC Qty]]), ISNUMBER(SnapshotTable[[#This Row],[SC Book Date]]), ISNUMBER(SnapshotTable[[#This Row],[SC Book Price]]))</f>
        <v>0</v>
      </c>
      <c r="ER187" s="419" t="b">
        <f>AND(SnapshotTable[[#This Row],[SC Is Booked]], NOT(ISBLANK(SnapshotTable[[#This Row],[SC Fill Date]])))</f>
        <v>0</v>
      </c>
      <c r="ES187" s="370"/>
      <c r="ET187" s="34" t="str">
        <f>IF(AND(ISNUMBER(SnapshotTable[[#This Row],[SC Exp Date]]), ISNUMBER(SnapshotTable[[#This Row],[SC Book Date]])), SnapshotTable[[#This Row],[SC Exp Date]] - MAX(SnapshotTable[[#This Row],[SC Book Date]], SnapshotTable[[#This Row],[SC Fill Date]]) + 1, "")</f>
        <v/>
      </c>
      <c r="EU187" s="34" t="str">
        <f>IF(ISNUMBER(SnapshotTable[[#This Row],[SC Term]]), SnapshotTable[[#This Row],[SC Exp Date]]- MockToday, "")</f>
        <v/>
      </c>
      <c r="EV187" s="31">
        <f>IF(SnapshotTable[[#This Row],[SC Is Booked]], SnapshotTable[[#This Row],[SC Qty]] * SnapshotTable[[#This Row],[SC Book Price]] * 100, 0)</f>
        <v>0</v>
      </c>
      <c r="EW187" s="4" t="str">
        <f>IF(AND(ISNUMBER(SnapshotTable[[#This Row],[Last Price]]), ISNUMBER( SnapshotTable[[#This Row],[SC Book Price]])), SnapshotTable[[#This Row],[Last Price]] - SnapshotTable[[#This Row],[SC Book Price]],"")</f>
        <v/>
      </c>
      <c r="EX187" s="234" t="str">
        <f>IF(SnapshotTable[[#This Row],[SC Is Booked]],IF(SnapshotTable[[#This Row],[SC Intrinsic Value]] &gt; 0, SnapshotTable[[#This Row],[SC Strike Price]], SnapshotTable[[#This Row],[Last Price]]), "")</f>
        <v/>
      </c>
      <c r="EY187" s="4">
        <f>IF(SnapshotTable[[#This Row],[SC Is Booked]], (MinimumPremiumRequired * SnapshotTable[[#This Row],[SC Basis]] * SnapshotTable[[#This Row],[SC Term]]), 0)</f>
        <v>0</v>
      </c>
      <c r="EZ187" s="283"/>
      <c r="FA187" s="218"/>
      <c r="FB187" s="370"/>
      <c r="FC187" s="4">
        <f>IF(SnapshotTable[[#This Row],[SC Is Filled]], btc_max_buyback_amount(SnapshotTable[[#This Row],[SC Fill Date]],SnapshotTable[[#This Row],[SC Exp Date]], SnapshotTable[[#This Row],[SC Book Price]]),0)</f>
        <v>0</v>
      </c>
      <c r="FD187" s="5"/>
      <c r="FE187" s="144" t="str">
        <f>IF(SnapshotTable[[#This Row],[SC Is Filled]], btc_next_cutoff_date(SnapshotTable[[#This Row],[SC Fill Date]],SnapshotTable[[#This Row],[SC Exp Date]]),"")</f>
        <v/>
      </c>
      <c r="FF187" s="4" t="str" cm="1">
        <f t="array" ref="FF187">IF(SnapshotTable[[#This Row],[SC Is Filled]], btc_should_buy_back(SnapshotTable[[#This Row],[SC Fill Date]], SnapshotTable[[#This Row],[SC Exp Date]], SnapshotTable[[#This Row],[SC Book Price]], SnapshotTable[[#This Row],[SC Current Ask]], MockToday, SnapshotTable[[#This Row],[SC Buyback Override]]),"")</f>
        <v/>
      </c>
      <c r="FG187" s="4">
        <f>IF(SnapshotTable[[#This Row],[SC Is Filled]], MAX(0,SnapshotTable[[#This Row],[Last Price]]  - SnapshotTable[[#This Row],[SC Strike Price]]), 0)</f>
        <v>0</v>
      </c>
      <c r="FH187" s="382">
        <f>IF(SnapshotTable[[#This Row],[SC Is Filled]], IF(ISNUMBER(SnapshotTable[[#This Row],[SC Current Ask]]), SnapshotTable[[#This Row],[SC Current Ask]], SnapshotTable[[#This Row],[SC Book Price]]) - SnapshotTable[[#This Row],[SC Intrinsic Value]], 0)</f>
        <v>0</v>
      </c>
      <c r="FI187" s="143"/>
      <c r="FJ187" s="32" t="str">
        <f>IF(SnapshotTable[[#This Row],[SC Is Filled]],100 * SnapshotTable[[#This Row],[SC Qty]] * IF(ISNUMBER(SnapshotTable[[#This Row],[SC Buyback Override]]), SnapshotTable[[#This Row],[SC Buyback Override]], SnapshotTable[[#This Row],[SC Current Ask]]), "")</f>
        <v/>
      </c>
      <c r="FK187" s="250" t="str">
        <f>IF(SnapshotTable[[#This Row],[SC Time Val]]&gt;0, SnapshotTable[[#This Row],[SC Time Val]] / SnapshotTable[[#This Row],[Last Price]],"")</f>
        <v/>
      </c>
      <c r="FL187" s="302" t="str">
        <f>IF(SnapshotTable[[#This Row],[SC Is Booked]], ((SnapshotTable[[#This Row],[Last Price]] -SnapshotTable[[#This Row],[SC Strike Price]]) / SnapshotTable[[#This Row],[Last Price]]) * -1, "")</f>
        <v/>
      </c>
      <c r="FM187" s="157" t="str">
        <f>IF(SnapshotTable[[#This Row],[SC Is Booked]],  (SnapshotTable[[#This Row],[SC Qty]] * 100 * SnapshotTable[[#This Row],[SC Strike Price]]) - SnapshotTable[[#This Row],[SC Current Ask]], "")</f>
        <v/>
      </c>
      <c r="FN18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7" s="31" t="str">
        <f>IF(AND(ISNUMBER(SnapshotTable[[#This Row],[SC Exercise Gross]]), ISNUMBER(SnapshotTable[[#This Row],[Equity Basis Per Share]] )), SnapshotTable[[#This Row],[SC Exercise Gross]] - SnapshotTable[[#This Row],[Equity Basis Total]] +  SnapshotTable[[#This Row],[SC Premium]], "")</f>
        <v/>
      </c>
      <c r="FP187" s="5" t="str">
        <f>IF(ISNUMBER(SnapshotTable[[#This Row],[SC Exercise Gross]]), (SnapshotTable[[#This Row],[SC Exercise Gross]]) / (SnapshotTable[[#This Row],[SC Qty]] * 100), "")</f>
        <v/>
      </c>
      <c r="FQ187" s="27" t="str">
        <f>IF(SnapshotTable[[#This Row],[SC Is Booked]],SnapshotTable[[#This Row],[SC Time Val]] /SnapshotTable[[#This Row],[SC Basis]], "")</f>
        <v/>
      </c>
      <c r="FR187" s="27" t="str" cm="1">
        <f t="array" ref="FR187">IF(AND(ISNUMBER(SnapshotTable[[#This Row],[SC Term]]),ISNUMBER(SnapshotTable[[#This Row],[SC Simple ROO]])), EllmanAnnualize(SnapshotTable[[#This Row],[SC DTE]], SnapshotTable[[#This Row],[SC Simple ROO]] ),"")</f>
        <v/>
      </c>
      <c r="FS187" s="4" t="e">
        <f>IF(SnapshotTable[[#This Row],[SC Strike Price]] &gt; SnapshotTable[[#This Row],[Last Price]], SnapshotTable[[#This Row],[SC Strike Price]] - SnapshotTable[[#This Row],[Last Price]],0)</f>
        <v>#VALUE!</v>
      </c>
      <c r="FT187" s="27" t="e">
        <f>IF(AND(ISNUMBER(SnapshotTable[[#This Row],[SC Upside Potential]]), SnapshotTable[[#This Row],[SC Upside Potential]] &gt; 0),(SnapshotTable[[#This Row],[SC Upside Potential]]/ SnapshotTable[[#This Row],[ACB]]),"")</f>
        <v>#VALUE!</v>
      </c>
      <c r="FU187" s="333" t="str">
        <f>IF(SnapshotTable[[#This Row],[SC Intrinsic Value]] &gt; 0,SnapshotTable[[#This Row],[SC Intrinsic Value]],"")</f>
        <v/>
      </c>
      <c r="FV187" s="27" t="str">
        <f>IF(AND( ISNUMBER( SnapshotTable[[#This Row],[ACB]]),ISNUMBER(SnapshotTable[[#This Row],[SC Downside Protect]])),SnapshotTable[[#This Row],[SC Downside Protect]] / SnapshotTable[[#This Row],[ACB]],"")</f>
        <v/>
      </c>
      <c r="FW187" s="236" t="str">
        <f>IF(AND(ISNUMBER(SnapshotTable[[#This Row],[SC Simple ROO]]),SnapshotTable[[#This Row],[SC Simple ROO]] &gt; 0), SnapshotTable[[#This Row],[SC Premium]] + (SnapshotTable[[#This Row],[SC Qty]] * SnapshotTable[[#This Row],[SC Upside Potential]]), "")</f>
        <v/>
      </c>
      <c r="FX187" s="302" t="str" cm="1">
        <f t="array" ref="FX187">IF(ISNUMBER(SnapshotTable[[#This Row],[SC Max Dollars]]), annualize(SnapshotTable[[#This Row],[SC Term]],(SnapshotTable[[#This Row],[SC Max Dollars]]/SnapshotTable[[#This Row],[SC Basis]])),"")</f>
        <v/>
      </c>
      <c r="FY187" s="236" t="str">
        <f>IF(AND(SnapshotTable[[#This Row],[SC Qty]]&gt;0,SnapshotTable[[#This Row],[SC Current Ask]]&gt;0), SnapshotTable[[#This Row],[SC Qty]] * SnapshotTable[[#This Row],[SC Current Ask]] * -100, "")</f>
        <v/>
      </c>
      <c r="FZ187" s="31" t="str">
        <f>IF(ISNUMBER((SnapshotTable[[#This Row],[SC Current Value]])), SnapshotTable[[#This Row],[SC Premium]] + SnapshotTable[[#This Row],[SC Current Value]], "")</f>
        <v/>
      </c>
      <c r="GA187" s="294" t="str">
        <f>IFERROR( IF(ISNUMBER((SnapshotTable[[#This Row],[SC Current Value]])), SnapshotTable[[#This Row],[SC Gain Loss]] / SnapshotTable[[#This Row],[SC Premium]], ""), "")</f>
        <v/>
      </c>
      <c r="GB187" s="42">
        <f>SnapshotTable[[#This Row],[Equity Shares]] * SaleSharesToConsiderPercentage</f>
        <v>0</v>
      </c>
      <c r="GC187" s="40">
        <f>SnapshotTable[[#This Row],[Long Term Target]] * SellingPriceToConsiderBasedOnTargetPercentage</f>
        <v>102.9135</v>
      </c>
      <c r="GD187" s="40">
        <f>SnapshotTable[[#This Row],[Last Price]] * (1+ SellingPriceToConsiderBasedOnTargetPercentage)</f>
        <v>293.96249999999998</v>
      </c>
      <c r="GE187" s="41"/>
      <c r="GF187" s="40"/>
      <c r="GG187" s="31">
        <f>SnapshotTable[[#This Row],[Booked Sale Shares]] * SnapshotTable[[#This Row],[Booked Sale Price]]</f>
        <v>0</v>
      </c>
      <c r="GH187" s="31" t="str">
        <f>IF(SnapshotTable[[#This Row],[Equity Basis Total]] &gt; 0, SnapshotTable[[#This Row],[Equity Basis Per Share]] * SnapshotTable[[#This Row],[Booked Sale Shares]], "")</f>
        <v/>
      </c>
      <c r="GI187" s="31">
        <f>IF(SnapshotTable[[#This Row],[Sale Proceeds]]&gt;0, SnapshotTable[[#This Row],[Sale Proceeds]] - SnapshotTable[[#This Row],[Sale Basis]], 0)</f>
        <v>0</v>
      </c>
      <c r="GJ187" s="27" t="str">
        <f>IF(SnapshotTable[[#This Row],[Sale G/L]]&gt;0, SnapshotTable[[#This Row],[Sale G/L]] / SnapshotTable[[#This Row],[Sale Basis]], IF(ISNUMBER(SnapshotTable[[#This Row],[SC Exercise P&amp;L (TAX)]]), SnapshotTable[[#This Row],[SC Exercise P&amp;L (TAX)]] / SnapshotTable[[#This Row],[SC Basis]], ""))</f>
        <v/>
      </c>
      <c r="GK187" s="27" t="s">
        <v>712</v>
      </c>
      <c r="GL187" s="43" t="str">
        <f>IF(AND(SnapshotTable[[#This Row],[LP Exp Date]]&gt;0,SnapshotTable[[#This Row],[LP Strike Price]]&gt;0), [1]!ToOptionSymbol(SnapshotTable[[#This Row],[Symbol]], SnapshotTable[[#This Row],[LP Strike Price]],SnapshotTable[[#This Row],[LP Exp Date]],1), "")</f>
        <v/>
      </c>
      <c r="GM187" s="30" t="str">
        <f>IF(LEN(SnapshotTable[[#This Row],[LP Symbol]])&gt;0, 1, "")</f>
        <v/>
      </c>
      <c r="GN187" s="43" t="str">
        <f>IF(AND(SnapshotTable[[#This Row],[SP Exp Date]]&gt;0,SnapshotTable[[#This Row],[SP Strike Price]]&gt;0), [1]!ToOptionSymbol(SnapshotTable[[#This Row],[Symbol]], SnapshotTable[[#This Row],[SP Strike Price]],SnapshotTable[[#This Row],[SP Exp Date]],1), "")</f>
        <v/>
      </c>
      <c r="GO187" s="30" t="str">
        <f>IF(LEN(SnapshotTable[[#This Row],[SP Symbol]])&gt;0, 1, "")</f>
        <v/>
      </c>
      <c r="GP187" s="43" t="str">
        <f>IF(AND(SnapshotTable[[#This Row],[LC Exp Date]]&gt;0,SnapshotTable[[#This Row],[LC Strike Price]]&gt;0), [1]!ToOptionSymbol(SnapshotTable[[#This Row],[Symbol]], SnapshotTable[[#This Row],[LC Strike Price]],SnapshotTable[[#This Row],[LC Exp Date]],0), "")</f>
        <v/>
      </c>
      <c r="GQ187" s="30" t="str">
        <f>IF(LEN(SnapshotTable[[#This Row],[LC Symbol]])&gt;0, 1, "")</f>
        <v/>
      </c>
      <c r="GR187" s="43" t="str">
        <f>IF(AND(SnapshotTable[[#This Row],[SC Exp Date]]&gt;0,SnapshotTable[[#This Row],[SC Strike Price]]&gt;0), [1]!ToOptionSymbol(SnapshotTable[[#This Row],[Symbol]], SnapshotTable[[#This Row],[SC Strike Price]],SnapshotTable[[#This Row],[SC Exp Date]],0), "")</f>
        <v/>
      </c>
      <c r="GS187" s="30" t="str">
        <f>IF(LEN(SnapshotTable[[#This Row],[SC Symbol]])&gt;0, 1, "")</f>
        <v/>
      </c>
      <c r="GT187" s="29" t="str">
        <f>IF(COUNT(SnapshotTable[[#This Row],[LP Symbol Count]],SnapshotTable[[#This Row],[SP Symbol Count]],SnapshotTable[[#This Row],[LC Symbol Count]],SnapshotTable[[#This Row],[SC Symbol Count]])&gt;0, "Y", "")</f>
        <v/>
      </c>
      <c r="GU18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7" s="231" t="e">
        <f>MAX(SnapshotTable[[#This Row],[Equity Basis Total]],SnapshotTable[[#This Row],[Equity Value]]) + (SnapshotTable[[#This Row],[SP Potential Spend]]- SnapshotTable[[#This Row],[SP Premium]] + SnapshotTable[[#This Row],[LP Premium]])+ (SnapshotTable[[#This Row],[LC Premium]] - SnapshotTable[[#This Row],[SC Premium]])</f>
        <v>#VALUE!</v>
      </c>
      <c r="GW187" s="139" t="e">
        <f>IF(AND(SnapshotTable[[#This Row],[Exposure]] &lt;&gt; 0),SnapshotTable[[#This Row],[Exposure]] / SnapshotTable[[#Totals],[Exposure]], "")</f>
        <v>#VALUE!</v>
      </c>
      <c r="HE187" s="268"/>
      <c r="HF187" s="268"/>
      <c r="HK187" s="1"/>
      <c r="HL187" s="1"/>
      <c r="HM187" s="1"/>
      <c r="HN187" s="1"/>
      <c r="HO187" s="1"/>
      <c r="HP187" s="1"/>
    </row>
    <row r="188" spans="2:224" ht="12.75" hidden="1" customHeight="1" x14ac:dyDescent="0.25">
      <c r="B188" s="12" t="s">
        <v>93</v>
      </c>
      <c r="C188" s="422">
        <v>32.49</v>
      </c>
      <c r="D188" s="208"/>
      <c r="E188" s="39">
        <f>SnapshotTable[[#This Row],[Last Price]]*(1 -CrashDiscount)</f>
        <v>27.616500000000002</v>
      </c>
      <c r="F188" s="26" t="s">
        <v>92</v>
      </c>
      <c r="G188" s="26" t="s">
        <v>41</v>
      </c>
      <c r="H188" s="149"/>
      <c r="I188" s="194">
        <v>45126.670138888891</v>
      </c>
      <c r="J188" s="195">
        <v>45126.670138888891</v>
      </c>
      <c r="K188" s="196"/>
      <c r="L188" s="326"/>
      <c r="M188" s="140"/>
      <c r="N188" s="140"/>
      <c r="O188" s="140">
        <v>0</v>
      </c>
      <c r="P188" s="22"/>
      <c r="Q188" s="25"/>
      <c r="R188" s="4" t="str">
        <f>IF(SnapshotTable[[#This Row],[Equity Basis Total]] &gt; 0, SnapshotTable[[#This Row],[Equity Basis Total]] / SnapshotTable[[#This Row],[Equity Shares]], "")</f>
        <v/>
      </c>
      <c r="S188" s="269">
        <f>SnapshotTable[[#This Row],[Last Price]] * SnapshotTable[[#This Row],[Equity Shares]]</f>
        <v>0</v>
      </c>
      <c r="T188" s="269">
        <f>SnapshotTable[[#This Row],[Equity Value]] - SnapshotTable[[#This Row],[Equity Basis Total]]</f>
        <v>0</v>
      </c>
      <c r="U188" s="270" t="str">
        <f>IF(SnapshotTable[[#This Row],[Equity Basis Total]] &gt; 0, SnapshotTable[[#This Row],[Equity G/L]] / SnapshotTable[[#This Row],[Equity Basis Total]], "")</f>
        <v/>
      </c>
      <c r="V188" s="268"/>
      <c r="W188" s="268"/>
      <c r="X188" s="4" t="str">
        <f>IF(AND(ISNUMBER(SnapshotTable[[#This Row],[Equity Basis Per Share]]),ISNUMBER(SnapshotTable[[#This Row],[Equity Target]])),SnapshotTable[[#This Row],[Equity Target]]-SnapshotTable[[#This Row],[Equity Basis Per Share]],"")</f>
        <v/>
      </c>
      <c r="Y188" s="4" t="str">
        <f>IF(AND(ISNUMBER(SnapshotTable[[#This Row],[Equity Basis Per Share]]),ISNUMBER(SnapshotTable[[#This Row],[Equity Stop Loss]])),SnapshotTable[[#This Row],[Equity Stop Loss]]-SnapshotTable[[#This Row],[Equity Basis Per Share]],"")</f>
        <v/>
      </c>
      <c r="Z188" s="275" t="str">
        <f>IFERROR( TEXT(SnapshotTable[[#This Row],[Equity Max Gain Per Share]] /ABS( SnapshotTable[[#This Row],[Equity Max Loss Per Share]]),"0.0 " ) &amp; " : 1", "")</f>
        <v/>
      </c>
      <c r="AA188" s="31" t="str">
        <f>IF(ISNUMBER(SnapshotTable[[#This Row],[Equity Max Gain Per Share]]),SnapshotTable[[#This Row],[Equity Max Gain Per Share]] * SnapshotTable[[#This Row],[Equity Shares]],"")</f>
        <v/>
      </c>
      <c r="AB188" s="31" t="str">
        <f>IF(ISNUMBER(SnapshotTable[[#This Row],[Equity Max Loss Per Share]]),SnapshotTable[[#This Row],[Equity Max Loss Per Share]] * SnapshotTable[[#This Row],[Equity Shares]],"")</f>
        <v/>
      </c>
      <c r="AC188" s="150">
        <v>0.5</v>
      </c>
      <c r="AD188" s="151">
        <v>42781</v>
      </c>
      <c r="AE188" s="31">
        <f>(SnapshotTable[[#This Row],[Annual Dividend Per Share]] / 4) * SnapshotTable[[#This Row],[Equity Shares]]</f>
        <v>0</v>
      </c>
      <c r="AF188" s="31">
        <f>SnapshotTable[[#This Row],[Quarterly Div $]] * 4</f>
        <v>0</v>
      </c>
      <c r="AG188" s="7">
        <f>IF(SnapshotTable[[#This Row],[Annual Dividend Per Share]]&gt;0, SnapshotTable[[#This Row],[Annual Dividend Per Share]]  / SnapshotTable[[#This Row],[Last Price]], 0)</f>
        <v>1.538935056940597E-2</v>
      </c>
      <c r="AH188" s="151">
        <v>45321</v>
      </c>
      <c r="AI188" s="5"/>
      <c r="AJ188" s="138">
        <v>20.36</v>
      </c>
      <c r="AK188" s="152" t="str">
        <f>IF(ISNUMBER( SnapshotTable[[#This Row],[EBF Target]]),(SnapshotTable[[#This Row],[EBF Target]] - SnapshotTable[[#This Row],[Last Price]]) / SnapshotTable[[#This Row],[Last Price]], "")</f>
        <v/>
      </c>
      <c r="AL188" s="152" t="str">
        <f>IF(AND(SnapshotTable[[#This Row],[Equity Basis Total]] &gt; 0,ISNUMBER( SnapshotTable[[#This Row],[Long Term Target]])), SnapshotTable[[#This Row],[From Basis $]] / SnapshotTable[[#This Row],[Equity Basis Total]], "")</f>
        <v/>
      </c>
      <c r="AM188" s="9">
        <f>IF( AND(SnapshotTable[[#This Row],[Equity Shares]] &gt;0,ISNUMBER( SnapshotTable[[#This Row],[Long Term Target]])),(SnapshotTable[[#This Row],[Equity Shares]] * SnapshotTable[[#This Row],[Long Term Target]]) - SnapshotTable[[#This Row],[Equity Basis Total]],0)</f>
        <v>0</v>
      </c>
      <c r="AN188" s="9">
        <f>IF( AND(SnapshotTable[[#This Row],[Equity Shares]] &gt;0,ISNUMBER( SnapshotTable[[#This Row],[Long Term Target]])),(SnapshotTable[[#This Row],[Equity Shares]]*SnapshotTable[[#This Row],[Long Term Target]]) - SnapshotTable[[#This Row],[Equity Value]],0)</f>
        <v>0</v>
      </c>
      <c r="AO188" s="152">
        <f>IF(AND(ISNUMBER( SnapshotTable[[#This Row],[Long Term Target]]), ISNUMBER(SnapshotTable[[#This Row],[Last Price]])),(SnapshotTable[[#This Row],[Long Term Target]] - SnapshotTable[[#This Row],[Last Price]]) / SnapshotTable[[#This Row],[Last Price]], "")</f>
        <v>-0.3733456448137889</v>
      </c>
      <c r="AP188" s="5">
        <v>17</v>
      </c>
      <c r="AQ188" s="38" t="s">
        <v>27</v>
      </c>
      <c r="AR188" s="5">
        <v>17</v>
      </c>
      <c r="AS188" s="38" t="s">
        <v>38</v>
      </c>
      <c r="AT188" s="146" t="s">
        <v>542</v>
      </c>
      <c r="AU188" s="187" t="str">
        <f>IF(OR(SnapshotTable[[#This Row],[LP No Fill]]="Y",SnapshotTable[[#This Row],[SP Is Filled]],SnapshotTable[[#This Row],[LC Not Filled]]="Y",SnapshotTable[[#This Row],[SC Is Filled]]),"Y","")</f>
        <v/>
      </c>
      <c r="AV188" s="219" t="s">
        <v>1138</v>
      </c>
      <c r="AW188" s="225"/>
      <c r="AX188" s="220"/>
      <c r="AY188" s="219" t="str">
        <f>IF(SnapshotTable[[#This Row],[Implied Move]]&gt;0, SnapshotTable[[#This Row],[Last Price]]-SnapshotTable[[#This Row],[Implied Move]],"")</f>
        <v/>
      </c>
      <c r="AZ188" s="219" t="str">
        <f>IF(SnapshotTable[[#This Row],[Implied Move]]&gt;0, SnapshotTable[[#This Row],[Last Price]] + SnapshotTable[[#This Row],[Implied Move]],"")</f>
        <v/>
      </c>
      <c r="BA188" s="331">
        <v>16.68</v>
      </c>
      <c r="BB188" s="347"/>
      <c r="BC18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8" s="351"/>
      <c r="BE188" s="5"/>
      <c r="BF188" s="14"/>
      <c r="BG188" s="13"/>
      <c r="BH188" s="13"/>
      <c r="BI188" s="5"/>
      <c r="BJ188" s="136">
        <f>IF(SnapshotTable[[#This Row],[LP Qty]] &gt; 0, SnapshotTable[[#This Row],[LP Qty]] * SnapshotTable[[#This Row],[LP Book Price]] * 100,0)</f>
        <v>0</v>
      </c>
      <c r="BK188" s="136">
        <f>IF(SnapshotTable[[#This Row],[LP Premium]] &gt; 0, SnapshotTable[[#This Row],[LP Qty]] * SnapshotTable[[#This Row],[LP Strike Price]] * 100,0)</f>
        <v>0</v>
      </c>
      <c r="BL188" s="154"/>
      <c r="BM188" s="385" t="str">
        <f>IF(SnapshotTable[[#This Row],[LP Premium]] &gt; 0,SnapshotTable[[#This Row],[LP Exp Date]]-MAX(SnapshotTable[[#This Row],[LP Book Date]], SnapshotTable[[#This Row],[LP Fill Date]]),"")</f>
        <v/>
      </c>
      <c r="BN188" s="385" t="str">
        <f>IF(ISNUMBER( SnapshotTable[[#This Row],[LP Term]]), SnapshotTable[[#This Row],[LP Exp Date]] - MockToday,"")</f>
        <v/>
      </c>
      <c r="BO188" s="163" t="str">
        <f>IF(AND(SnapshotTable[[#This Row],[LP Exp Date]]&gt;0, SnapshotTable[[#This Row],[LP Strike Price]]&gt;0,SnapshotTable[[#This Row],[LP Qty]]&gt;0,SnapshotTable[[#This Row],[LP Book Date]]&gt;0,SnapshotTable[[#This Row],[LP Book Price]]&gt;0,SnapshotTable[[#This Row],[LP Fill Date]]=0),"Y","")</f>
        <v/>
      </c>
      <c r="BP188" s="31" t="str">
        <f>IF(AND(SnapshotTable[[#This Row],[LP No Fill]]&lt;&gt;"Y",SnapshotTable[[#This Row],[LP Contract Value]]&gt;0, SnapshotTable[[#This Row],[LP Qty]]&gt;0), SnapshotTable[[#This Row],[LP Contract Value]]*SnapshotTable[[#This Row],[LP Qty]]*100,"")</f>
        <v/>
      </c>
      <c r="BQ188" s="13"/>
      <c r="BR188" s="5" t="str">
        <f>IF(SnapshotTable[[#This Row],[SP Exp Date]]&lt;&gt;"",TRUNC(SnapshotTable[[#This Row],[Last Price]]),"")</f>
        <v/>
      </c>
      <c r="BS188" s="36"/>
      <c r="BT188" s="147"/>
      <c r="BU188" s="13"/>
      <c r="BV188" s="5"/>
      <c r="BW188" s="419" t="b">
        <f>AND(ISNUMBER(SnapshotTable[[#This Row],[SP Exp Date]]), ISNUMBER(SnapshotTable[[#This Row],[SP Strike Price]]), ISNUMBER(SnapshotTable[[#This Row],[SP Qty]]), ISNUMBER(SnapshotTable[[#This Row],[SP Book Date]]), ISNUMBER(SnapshotTable[[#This Row],[SP Book Price]]))</f>
        <v>0</v>
      </c>
      <c r="BX188" s="419" t="b">
        <f>AND(SnapshotTable[[#This Row],[SP Is Booked]], NOT(ISBLANK(SnapshotTable[[#This Row],[SP Fill Date]])))</f>
        <v>0</v>
      </c>
      <c r="BY188" s="33">
        <f>IF(SnapshotTable[[#This Row],[SP Is Booked]], SnapshotTable[[#This Row],[SP Qty]] * SnapshotTable[[#This Row],[SP Book Price]] * 100, 0)</f>
        <v>0</v>
      </c>
      <c r="BZ188" s="369"/>
      <c r="CA188" s="368">
        <f>SnapshotTable[[#This Row],[LP Qty]]</f>
        <v>0</v>
      </c>
      <c r="CB188" s="4" t="str">
        <f>IF(SnapshotTable[[#This Row],[SP Is Booked]], SnapshotTable[[#This Row],[SP Strike Price]] - SnapshotTable[[#This Row],[SP Book Price]], "")</f>
        <v/>
      </c>
      <c r="CC188" s="19" t="str">
        <f>IF(SnapshotTable[[#This Row],[SP Is Booked]],SnapshotTable[[#This Row],[SP Exp Date]]-MAX(SnapshotTable[[#This Row],[SP Book Date]], SnapshotTable[[#This Row],[SP Fill Date]]),"")</f>
        <v/>
      </c>
      <c r="CD188" s="7" t="str">
        <f>IF(SnapshotTable[[#This Row],[SP Is Booked]], SnapshotTable[[#This Row],[SP Book Price]]/SnapshotTable[[#This Row],[SP Strike Price]], "")</f>
        <v/>
      </c>
      <c r="CE188" s="7" t="str">
        <f>IF(ISNUMBER(SnapshotTable[[#This Row],[SP ROO Term]]),SnapshotTable[[#This Row],[SP ROO Term]]*(365/SnapshotTable[[#This Row],[SP Term]]),"")</f>
        <v/>
      </c>
      <c r="CF188" s="236">
        <f>SnapshotTable[[#This Row],[LP Strike Price]] * SnapshotTable[[#This Row],[LP Qty]] * 100</f>
        <v>0</v>
      </c>
      <c r="CG188" s="31" t="e">
        <f>IF(ISNUMBER(SnapshotTable[[#This Row],[SP Premium]]), (SnapshotTable[[#This Row],[SP Qty]] * SnapshotTable[[#This Row],[SP Strike Price]]* 100) - SnapshotTable[[#This Row],[LP Protection]], 0)</f>
        <v>#VALUE!</v>
      </c>
      <c r="CH188" s="7" t="str">
        <f>IF(ISNUMBER(SnapshotTable[[#This Row],[SP Break Even]]),-1 * (SnapshotTable[[#This Row],[SP Break Even]] - SnapshotTable[[#This Row],[Last Price]]) / SnapshotTable[[#This Row],[Last Price]], "")</f>
        <v/>
      </c>
      <c r="CI188" s="31">
        <f>IF(AND(ISNUMBER((SnapshotTable[[#This Row],[SP Potential Spend]])), SnapshotTable[[#This Row],[SP Strike Price]] &gt; SnapshotTable[[#This Row],[Last Price]], SnapshotTable[[#This Row],[SP Is Filled]]), SnapshotTable[[#This Row],[SP Potential Spend]] -  SnapshotTable[[#This Row],[LP Max Value]], 0)</f>
        <v>0</v>
      </c>
      <c r="CJ188" s="244"/>
      <c r="CK188" s="31" t="str">
        <f>IF(ISNUMBER(SnapshotTable[[#This Row],[SP Potential Spend]]),IF(ISNUMBER(SnapshotTable[[#This Row],[SP POW]]), SnapshotTable[[#This Row],[SP POW]] * SnapshotTable[[#This Row],[SP Potential Spend]], SnapshotTable[[#This Row],[SP Potential Spend]]), "")</f>
        <v/>
      </c>
      <c r="CL188" s="164" t="e">
        <f>IF(NOT(SnapshotTable[[#This Row],[SP Is Filled]]),(SnapshotTable[[#This Row],[SP Qty]] * SnapshotTable[[#This Row],[SP Strike Price]] * 100) - SnapshotTable[[#This Row],[LP Max Value]],"")</f>
        <v>#VALUE!</v>
      </c>
      <c r="CM188" s="31" t="str">
        <f>IF(SnapshotTable[[#This Row],[SP Actual Spend]]&lt;&gt;0, ((SnapshotTable[[#This Row],[SP Strike Price]]-SnapshotTable[[#This Row],[Last Price]]) *(SnapshotTable[[#This Row],[SP Qty]]*100) - SnapshotTable[[#This Row],[SP Premium]]) * - 1, "")</f>
        <v/>
      </c>
      <c r="CN188" s="78"/>
      <c r="CO188" s="369"/>
      <c r="CP188" s="4" t="str">
        <f>IF(SnapshotTable[[#This Row],[SP Is Filled]], btc_max_buyback_amount(SnapshotTable[[#This Row],[SP Fill Date]],SnapshotTable[[#This Row],[SP Exp Date]], SnapshotTable[[#This Row],[SP Book Price]]),"")</f>
        <v/>
      </c>
      <c r="CQ188" s="78"/>
      <c r="CR18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8" s="155" t="str">
        <f>IF(SnapshotTable[[#This Row],[SP Is Filled]], btc_next_cutoff_date(SnapshotTable[[#This Row],[SP Fill Date]],SnapshotTable[[#This Row],[SP Exp Date]]),"")</f>
        <v/>
      </c>
      <c r="CT188" s="235" t="str" cm="1">
        <f t="array" ref="CT188">IF(SnapshotTable[[#This Row],[SP Is Filled]], btc_should_buy_back(SnapshotTable[[#This Row],[SP Fill Date]], SnapshotTable[[#This Row],[SP Exp Date]], SnapshotTable[[#This Row],[SP Book Price]], SnapshotTable[[#This Row],[SP Current Ask]], MockToday, SnapshotTable[[#This Row],[SP Buyback Override]]),"")</f>
        <v/>
      </c>
      <c r="CU188" s="143"/>
      <c r="CV188" s="235"/>
      <c r="CW188" s="378" t="str">
        <f>IF(ISNUMBER( SnapshotTable[[#This Row],[SP Term]]), SnapshotTable[[#This Row],[SP Exp Date]] - MockToday,"")</f>
        <v/>
      </c>
      <c r="CX188" s="31" t="str">
        <f>IF(SnapshotTable[[#This Row],[SP Is Filled]],SnapshotTable[[#This Row],[SP Buyback Price to Use]] * 100 * SnapshotTable[[#This Row],[SP Qty]], "")</f>
        <v/>
      </c>
      <c r="CY188" s="4" t="str">
        <f>IF(ISNUMBER(SnapshotTable[[#This Row],[SP Strike Price]]), SnapshotTable[[#This Row],[SP Strike Price]] * (1 - SP_MaxLoss_StrikePct), "")</f>
        <v/>
      </c>
      <c r="CZ188" s="31" t="str">
        <f>IF(ISNUMBER(SnapshotTable[[#This Row],[SP Strike  Stop Per Share]]),SnapshotTable[[#This Row],[SP Premium]] - ((SnapshotTable[[#This Row],[SP Strike Price]]-SnapshotTable[[#This Row],[SP Strike  Stop Per Share]]) *(SnapshotTable[[#This Row],[SP Qty]] * 100)),"")</f>
        <v/>
      </c>
      <c r="DA188" s="4" t="str">
        <f>IF(AND(ISNUMBER(SnapshotTable[[#This Row],[SP Premium]]),SnapshotTable[[#This Row],[SP Premium]]&gt;0), SnapshotTable[[#This Row],[SP Book Price]] * (1 + SP_MaxLoss_OptionPct), "")</f>
        <v/>
      </c>
      <c r="DB188" s="31" t="str">
        <f>IF(ISNUMBER(SnapshotTable[[#This Row],[SP Option  Stop Contract]]),(SnapshotTable[[#This Row],[SP Option  Stop Contract]] *(SnapshotTable[[#This Row],[SP Qty]] * 100) - SnapshotTable[[#This Row],[SP Premium]]),"")</f>
        <v/>
      </c>
      <c r="DC188" s="4"/>
      <c r="DD188" s="4"/>
      <c r="DE188" s="4" t="str">
        <f>IF(AND(SnapshotTable[[#This Row],[SP Qty]]&gt;0, SnapshotTable[[#This Row],[SP Stop To Use]]&gt;0),SnapshotTable[[#This Row],[SP Premium]] - ( SnapshotTable[[#This Row],[SP Qty]] * SnapshotTable[[#This Row],[SP Stop To Use]] * 100), "")</f>
        <v/>
      </c>
      <c r="DF188" s="31" t="str">
        <f>IF(AND(SnapshotTable[[#This Row],[SP Qty]]&gt;0,SnapshotTable[[#This Row],[SP Current Ask]]&gt;0), SnapshotTable[[#This Row],[SP Qty]] * SnapshotTable[[#This Row],[SP Current Ask]] * -100, "")</f>
        <v/>
      </c>
      <c r="DG188" s="31" t="str">
        <f>IF(ISNUMBER((SnapshotTable[[#This Row],[SP Total Value]])), SnapshotTable[[#This Row],[SP Premium]] + SnapshotTable[[#This Row],[SP Total Value]], "")</f>
        <v/>
      </c>
      <c r="DH188" s="294" t="str">
        <f>IF(ISNUMBER((SnapshotTable[[#This Row],[SP Total Value]])), SnapshotTable[[#This Row],[SP Gain Loss]] / SnapshotTable[[#This Row],[SP Premium]], "")</f>
        <v/>
      </c>
      <c r="DI188" s="406"/>
      <c r="DJ188" s="138"/>
      <c r="DK188" s="148"/>
      <c r="DL188" s="13"/>
      <c r="DM188" s="13"/>
      <c r="DN188" s="5">
        <v>5.0199999999999996</v>
      </c>
      <c r="DO188" s="31">
        <f>IF(SnapshotTable[[#This Row],[LC Symbol Count]]=1, SnapshotTable[[#This Row],[LC Qty]] * SnapshotTable[[#This Row],[LC Book Price]] * 100, 0)</f>
        <v>0</v>
      </c>
      <c r="DP188" s="163" t="str">
        <f>IF(AND(SnapshotTable[[#This Row],[LC Exp Date]]&gt;0, SnapshotTable[[#This Row],[LC Strike Price]]&gt;0,SnapshotTable[[#This Row],[LC Qty]]&gt;0,SnapshotTable[[#This Row],[LC Book Date]]&gt;0,SnapshotTable[[#This Row],[LC Book Price]]&gt;0,SnapshotTable[[#This Row],[LC Fill Date]]=0),"Y","")</f>
        <v/>
      </c>
      <c r="DQ188" s="386" t="str">
        <f>IF(SnapshotTable[[#This Row],[LC Premium]] &gt; 0,SnapshotTable[[#This Row],[LC Exp Date]]-MAX(SnapshotTable[[#This Row],[LC Book Date]], SnapshotTable[[#This Row],[LC Fill Date]]),"")</f>
        <v/>
      </c>
      <c r="DR188" s="386" t="str">
        <f>IF(ISNUMBER(SnapshotTable[[#This Row],[LC Term]]), SnapshotTable[[#This Row],[LC Exp Date]] - MockToday, "")</f>
        <v/>
      </c>
      <c r="DS188" s="234" t="str">
        <f>IF(SnapshotTable[[#This Row],[LC Premium]]&gt;0,SnapshotTable[[#This Row],[LC Strike Price]] + SnapshotTable[[#This Row],[LC Book Price]],"")</f>
        <v/>
      </c>
      <c r="DU188" s="9" t="str">
        <f>IF(AND(SnapshotTable[[#This Row],[LC Symbol Count]]&gt;0, SnapshotTable[[#This Row],[LC Contract Value]]&gt;0), SnapshotTable[[#This Row],[LC Contract Value]] * SnapshotTable[[#This Row],[LC Qty]] * 100, "")</f>
        <v/>
      </c>
      <c r="DV188" s="9" t="str">
        <f>IF(AND(ISNUMBER(SnapshotTable[[#This Row],[LC Total Value]]), SnapshotTable[[#This Row],[LC Not Filled]]&lt;&gt;"Y"), SnapshotTable[[#This Row],[LC Total Value]]-SnapshotTable[[#This Row],[LC Premium]],"")</f>
        <v/>
      </c>
      <c r="DW188" s="240" t="str">
        <f>IF(ISNUMBER(SnapshotTable[[#This Row],[LC Actual Gain Loss]]), SnapshotTable[[#This Row],[LC Actual Gain Loss]] / SnapshotTable[[#This Row],[LC Premium]],"")</f>
        <v/>
      </c>
      <c r="DX188" s="284">
        <f>IF(ISNUMBER(SnapshotTable[[#This Row],[LC Book Price]]),SnapshotTable[[#This Row],[LC Book Price]] * 1.5,"")</f>
        <v>7.5299999999999994</v>
      </c>
      <c r="DY188" s="265" t="str">
        <f>IF(SnapshotTable[[#This Row],[LC Premium]]&gt;0, SnapshotTable[[#This Row],[LC Next Target]] * SnapshotTable[[#This Row],[LC Qty]] * 100,"")</f>
        <v/>
      </c>
      <c r="DZ188" s="265" t="str">
        <f>IF(ISNUMBER(SnapshotTable[[#This Row],[LC Target Gross]]), SnapshotTable[[#This Row],[LC Target Gross]] - SnapshotTable[[#This Row],[LC Premium]], "")</f>
        <v/>
      </c>
      <c r="EA188" s="305" t="str">
        <f>IF(ISNUMBER(SnapshotTable[[#This Row],[LC Target Gain Loss]]), SnapshotTable[[#This Row],[LC Target Gain Loss]]/SnapshotTable[[#This Row],[LC Premium]], "")</f>
        <v/>
      </c>
      <c r="EB188" s="262"/>
      <c r="EC188" s="283" t="str">
        <f>IF(SnapshotTable[[#This Row],[LC Premium]]&gt;0, SnapshotTable[[#This Row],[LC Book Price]] * (1 - LC_StopLoss_Pct),"")</f>
        <v/>
      </c>
      <c r="ED188" s="284"/>
      <c r="EE188" s="283" t="str">
        <f>IF(ISNUMBER(SnapshotTable[[#This Row],[LC Contract Value]]),IF(ISNUMBER(SnapshotTable[[#This Row],[LC Stop Loss Override]]), SnapshotTable[[#This Row],[LC Stop Loss Override]],SnapshotTable[[#This Row],[LC Stop Loss Calc Target]]),"")</f>
        <v/>
      </c>
      <c r="EF188" s="31" t="str">
        <f>IF(ISNUMBER(SnapshotTable[[#This Row],[LC Stop  To Use]]), (SnapshotTable[[#This Row],[LC Stop  To Use]] * SnapshotTable[[#This Row],[LC Qty]] * 100),"")</f>
        <v/>
      </c>
      <c r="EG188" s="9" t="str">
        <f>IF(ISNUMBER(SnapshotTable[[#This Row],[LC Total Value]]),SnapshotTable[[#This Row],[LC Stop Loss Amount]] - SnapshotTable[[#This Row],[LC Premium]],"")</f>
        <v/>
      </c>
      <c r="EH188" s="9">
        <f>IF(ISNUMBER(SnapshotTable[[#This Row],[LC Premium]]), SnapshotTable[[#This Row],[LC Qty]] * 100 * SnapshotTable[[#This Row],[LC Strike Price]], "")</f>
        <v>0</v>
      </c>
      <c r="EI188" s="240" t="str">
        <f>IF(AND(ISNUMBER(SnapshotTable[[#This Row],[LC Total Value]]),SnapshotTable[[#This Row],[LC Total Value]]&gt;0),SnapshotTable[[#This Row],[LC Stop Gain Loss]]  / SnapshotTable[[#This Row],[LC Premium]],"")</f>
        <v/>
      </c>
      <c r="EJ188" s="35">
        <f>IF(ISNUMBER(SnapshotTable[[#This Row],[Equity Shares]]),TRUNC(SnapshotTable[[#This Row],[Equity Shares]] / 100),0) + SnapshotTable[[#This Row],[LC Qty]]</f>
        <v>0</v>
      </c>
      <c r="EK188" s="147"/>
      <c r="EL188" s="138" t="str">
        <f>IF(SnapshotTable[[#This Row],[SC Exp Date]]&lt;&gt;"",TRUNC(SnapshotTable[[#This Row],[Last Price]]),"")</f>
        <v/>
      </c>
      <c r="EM188" s="148"/>
      <c r="EN188" s="147"/>
      <c r="EO188" s="147"/>
      <c r="EP188" s="138"/>
      <c r="EQ188" s="419" t="b">
        <f>AND(ISNUMBER(SnapshotTable[[#This Row],[SC Exp Date]]), ISNUMBER(SnapshotTable[[#This Row],[SC Strike Price]]), ISNUMBER(SnapshotTable[[#This Row],[SC Qty]]), ISNUMBER(SnapshotTable[[#This Row],[SC Book Date]]), ISNUMBER(SnapshotTable[[#This Row],[SC Book Price]]))</f>
        <v>0</v>
      </c>
      <c r="ER188" s="419" t="b">
        <f>AND(SnapshotTable[[#This Row],[SC Is Booked]], NOT(ISBLANK(SnapshotTable[[#This Row],[SC Fill Date]])))</f>
        <v>0</v>
      </c>
      <c r="ES188" s="370">
        <v>0.61</v>
      </c>
      <c r="ET188" s="34" t="str">
        <f>IF(AND(ISNUMBER(SnapshotTable[[#This Row],[SC Exp Date]]), ISNUMBER(SnapshotTable[[#This Row],[SC Book Date]])), SnapshotTable[[#This Row],[SC Exp Date]] - MAX(SnapshotTable[[#This Row],[SC Book Date]], SnapshotTable[[#This Row],[SC Fill Date]]) + 1, "")</f>
        <v/>
      </c>
      <c r="EU188" s="34" t="str">
        <f>IF(ISNUMBER(SnapshotTable[[#This Row],[SC Term]]), SnapshotTable[[#This Row],[SC Exp Date]]- MockToday, "")</f>
        <v/>
      </c>
      <c r="EV188" s="31">
        <f>IF(SnapshotTable[[#This Row],[SC Is Booked]], SnapshotTable[[#This Row],[SC Qty]] * SnapshotTable[[#This Row],[SC Book Price]] * 100, 0)</f>
        <v>0</v>
      </c>
      <c r="EW188" s="4" t="str">
        <f>IF(AND(ISNUMBER(SnapshotTable[[#This Row],[Last Price]]), ISNUMBER( SnapshotTable[[#This Row],[SC Book Price]])), SnapshotTable[[#This Row],[Last Price]] - SnapshotTable[[#This Row],[SC Book Price]],"")</f>
        <v/>
      </c>
      <c r="EX188" s="234" t="str">
        <f>IF(SnapshotTable[[#This Row],[SC Is Booked]],IF(SnapshotTable[[#This Row],[SC Intrinsic Value]] &gt; 0, SnapshotTable[[#This Row],[SC Strike Price]], SnapshotTable[[#This Row],[Last Price]]), "")</f>
        <v/>
      </c>
      <c r="EY188" s="4">
        <f>IF(SnapshotTable[[#This Row],[SC Is Booked]], (MinimumPremiumRequired * SnapshotTable[[#This Row],[SC Basis]] * SnapshotTable[[#This Row],[SC Term]]), 0)</f>
        <v>0</v>
      </c>
      <c r="EZ188" s="283"/>
      <c r="FA188" s="218"/>
      <c r="FB188" s="370"/>
      <c r="FC188" s="4">
        <f>IF(SnapshotTable[[#This Row],[SC Is Filled]], btc_max_buyback_amount(SnapshotTable[[#This Row],[SC Fill Date]],SnapshotTable[[#This Row],[SC Exp Date]], SnapshotTable[[#This Row],[SC Book Price]]),0)</f>
        <v>0</v>
      </c>
      <c r="FD188" s="5"/>
      <c r="FE188" s="144" t="str">
        <f>IF(SnapshotTable[[#This Row],[SC Is Filled]], btc_next_cutoff_date(SnapshotTable[[#This Row],[SC Fill Date]],SnapshotTable[[#This Row],[SC Exp Date]]),"")</f>
        <v/>
      </c>
      <c r="FF188" s="4" t="str" cm="1">
        <f t="array" ref="FF188">IF(SnapshotTable[[#This Row],[SC Is Filled]], btc_should_buy_back(SnapshotTable[[#This Row],[SC Fill Date]], SnapshotTable[[#This Row],[SC Exp Date]], SnapshotTable[[#This Row],[SC Book Price]], SnapshotTable[[#This Row],[SC Current Ask]], MockToday, SnapshotTable[[#This Row],[SC Buyback Override]]),"")</f>
        <v/>
      </c>
      <c r="FG188" s="4">
        <f>IF(SnapshotTable[[#This Row],[SC Is Filled]], MAX(0,SnapshotTable[[#This Row],[Last Price]]  - SnapshotTable[[#This Row],[SC Strike Price]]), 0)</f>
        <v>0</v>
      </c>
      <c r="FH188" s="382">
        <f>IF(SnapshotTable[[#This Row],[SC Is Filled]], IF(ISNUMBER(SnapshotTable[[#This Row],[SC Current Ask]]), SnapshotTable[[#This Row],[SC Current Ask]], SnapshotTable[[#This Row],[SC Book Price]]) - SnapshotTable[[#This Row],[SC Intrinsic Value]], 0)</f>
        <v>0</v>
      </c>
      <c r="FI188" s="143"/>
      <c r="FJ188" s="32" t="str">
        <f>IF(SnapshotTable[[#This Row],[SC Is Filled]],100 * SnapshotTable[[#This Row],[SC Qty]] * IF(ISNUMBER(SnapshotTable[[#This Row],[SC Buyback Override]]), SnapshotTable[[#This Row],[SC Buyback Override]], SnapshotTable[[#This Row],[SC Current Ask]]), "")</f>
        <v/>
      </c>
      <c r="FK188" s="250" t="str">
        <f>IF(SnapshotTable[[#This Row],[SC Time Val]]&gt;0, SnapshotTable[[#This Row],[SC Time Val]] / SnapshotTable[[#This Row],[Last Price]],"")</f>
        <v/>
      </c>
      <c r="FL188" s="302" t="str">
        <f>IF(SnapshotTable[[#This Row],[SC Is Booked]], ((SnapshotTable[[#This Row],[Last Price]] -SnapshotTable[[#This Row],[SC Strike Price]]) / SnapshotTable[[#This Row],[Last Price]]) * -1, "")</f>
        <v/>
      </c>
      <c r="FM188" s="157" t="str">
        <f>IF(SnapshotTable[[#This Row],[SC Is Booked]],  (SnapshotTable[[#This Row],[SC Qty]] * 100 * SnapshotTable[[#This Row],[SC Strike Price]]) - SnapshotTable[[#This Row],[SC Current Ask]], "")</f>
        <v/>
      </c>
      <c r="FN18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8" s="31" t="str">
        <f>IF(AND(ISNUMBER(SnapshotTable[[#This Row],[SC Exercise Gross]]), ISNUMBER(SnapshotTable[[#This Row],[Equity Basis Per Share]] )), SnapshotTable[[#This Row],[SC Exercise Gross]] - SnapshotTable[[#This Row],[Equity Basis Total]] +  SnapshotTable[[#This Row],[SC Premium]], "")</f>
        <v/>
      </c>
      <c r="FP188" s="5" t="str">
        <f>IF(ISNUMBER(SnapshotTable[[#This Row],[SC Exercise Gross]]), (SnapshotTable[[#This Row],[SC Exercise Gross]]) / (SnapshotTable[[#This Row],[SC Qty]] * 100), "")</f>
        <v/>
      </c>
      <c r="FQ188" s="27" t="str">
        <f>IF(SnapshotTable[[#This Row],[SC Is Booked]],SnapshotTable[[#This Row],[SC Time Val]] /SnapshotTable[[#This Row],[SC Basis]], "")</f>
        <v/>
      </c>
      <c r="FR188" s="27" t="str" cm="1">
        <f t="array" ref="FR188">IF(AND(ISNUMBER(SnapshotTable[[#This Row],[SC Term]]),ISNUMBER(SnapshotTable[[#This Row],[SC Simple ROO]])), EllmanAnnualize(SnapshotTable[[#This Row],[SC DTE]], SnapshotTable[[#This Row],[SC Simple ROO]] ),"")</f>
        <v/>
      </c>
      <c r="FS188" s="4" t="e">
        <f>IF(SnapshotTable[[#This Row],[SC Strike Price]] &gt; SnapshotTable[[#This Row],[Last Price]], SnapshotTable[[#This Row],[SC Strike Price]] - SnapshotTable[[#This Row],[Last Price]],0)</f>
        <v>#VALUE!</v>
      </c>
      <c r="FT188" s="27" t="e">
        <f>IF(AND(ISNUMBER(SnapshotTable[[#This Row],[SC Upside Potential]]), SnapshotTable[[#This Row],[SC Upside Potential]] &gt; 0),(SnapshotTable[[#This Row],[SC Upside Potential]]/ SnapshotTable[[#This Row],[ACB]]),"")</f>
        <v>#VALUE!</v>
      </c>
      <c r="FU188" s="333" t="str">
        <f>IF(SnapshotTable[[#This Row],[SC Intrinsic Value]] &gt; 0,SnapshotTable[[#This Row],[SC Intrinsic Value]],"")</f>
        <v/>
      </c>
      <c r="FV188" s="27" t="str">
        <f>IF(AND( ISNUMBER( SnapshotTable[[#This Row],[ACB]]),ISNUMBER(SnapshotTable[[#This Row],[SC Downside Protect]])),SnapshotTable[[#This Row],[SC Downside Protect]] / SnapshotTable[[#This Row],[ACB]],"")</f>
        <v/>
      </c>
      <c r="FW188" s="236" t="str">
        <f>IF(AND(ISNUMBER(SnapshotTable[[#This Row],[SC Simple ROO]]),SnapshotTable[[#This Row],[SC Simple ROO]] &gt; 0), SnapshotTable[[#This Row],[SC Premium]] + (SnapshotTable[[#This Row],[SC Qty]] * SnapshotTable[[#This Row],[SC Upside Potential]]), "")</f>
        <v/>
      </c>
      <c r="FX188" s="302" t="str" cm="1">
        <f t="array" ref="FX188">IF(ISNUMBER(SnapshotTable[[#This Row],[SC Max Dollars]]), annualize(SnapshotTable[[#This Row],[SC Term]],(SnapshotTable[[#This Row],[SC Max Dollars]]/SnapshotTable[[#This Row],[SC Basis]])),"")</f>
        <v/>
      </c>
      <c r="FY188" s="236" t="str">
        <f>IF(AND(SnapshotTable[[#This Row],[SC Qty]]&gt;0,SnapshotTable[[#This Row],[SC Current Ask]]&gt;0), SnapshotTable[[#This Row],[SC Qty]] * SnapshotTable[[#This Row],[SC Current Ask]] * -100, "")</f>
        <v/>
      </c>
      <c r="FZ188" s="31" t="str">
        <f>IF(ISNUMBER((SnapshotTable[[#This Row],[SC Current Value]])), SnapshotTable[[#This Row],[SC Premium]] + SnapshotTable[[#This Row],[SC Current Value]], "")</f>
        <v/>
      </c>
      <c r="GA188" s="294" t="str">
        <f>IFERROR( IF(ISNUMBER((SnapshotTable[[#This Row],[SC Current Value]])), SnapshotTable[[#This Row],[SC Gain Loss]] / SnapshotTable[[#This Row],[SC Premium]], ""), "")</f>
        <v/>
      </c>
      <c r="GB188" s="42">
        <f>SnapshotTable[[#This Row],[Equity Shares]] * SaleSharesToConsiderPercentage</f>
        <v>0</v>
      </c>
      <c r="GC188" s="40">
        <f>SnapshotTable[[#This Row],[Long Term Target]] * SellingPriceToConsiderBasedOnTargetPercentage</f>
        <v>19.341999999999999</v>
      </c>
      <c r="GD188" s="40">
        <f>SnapshotTable[[#This Row],[Last Price]] * (1+ SellingPriceToConsiderBasedOnTargetPercentage)</f>
        <v>63.355499999999999</v>
      </c>
      <c r="GE188" s="41"/>
      <c r="GF188" s="40"/>
      <c r="GG188" s="31">
        <f>SnapshotTable[[#This Row],[Booked Sale Shares]] * SnapshotTable[[#This Row],[Booked Sale Price]]</f>
        <v>0</v>
      </c>
      <c r="GH188" s="31" t="str">
        <f>IF(SnapshotTable[[#This Row],[Equity Basis Total]] &gt; 0, SnapshotTable[[#This Row],[Equity Basis Per Share]] * SnapshotTable[[#This Row],[Booked Sale Shares]], "")</f>
        <v/>
      </c>
      <c r="GI188" s="31">
        <f>IF(SnapshotTable[[#This Row],[Sale Proceeds]]&gt;0, SnapshotTable[[#This Row],[Sale Proceeds]] - SnapshotTable[[#This Row],[Sale Basis]], 0)</f>
        <v>0</v>
      </c>
      <c r="GJ188" s="27" t="str">
        <f>IF(SnapshotTable[[#This Row],[Sale G/L]]&gt;0, SnapshotTable[[#This Row],[Sale G/L]] / SnapshotTable[[#This Row],[Sale Basis]], IF(ISNUMBER(SnapshotTable[[#This Row],[SC Exercise P&amp;L (TAX)]]), SnapshotTable[[#This Row],[SC Exercise P&amp;L (TAX)]] / SnapshotTable[[#This Row],[SC Basis]], ""))</f>
        <v/>
      </c>
      <c r="GK188" s="27" t="s">
        <v>732</v>
      </c>
      <c r="GL188" s="43" t="str">
        <f>IF(AND(SnapshotTable[[#This Row],[LP Exp Date]]&gt;0,SnapshotTable[[#This Row],[LP Strike Price]]&gt;0), [1]!ToOptionSymbol(SnapshotTable[[#This Row],[Symbol]], SnapshotTable[[#This Row],[LP Strike Price]],SnapshotTable[[#This Row],[LP Exp Date]],1), "")</f>
        <v/>
      </c>
      <c r="GM188" s="30" t="str">
        <f>IF(LEN(SnapshotTable[[#This Row],[LP Symbol]])&gt;0, 1, "")</f>
        <v/>
      </c>
      <c r="GN188" s="43" t="str">
        <f>IF(AND(SnapshotTable[[#This Row],[SP Exp Date]]&gt;0,SnapshotTable[[#This Row],[SP Strike Price]]&gt;0), [1]!ToOptionSymbol(SnapshotTable[[#This Row],[Symbol]], SnapshotTable[[#This Row],[SP Strike Price]],SnapshotTable[[#This Row],[SP Exp Date]],1), "")</f>
        <v/>
      </c>
      <c r="GO188" s="30" t="str">
        <f>IF(LEN(SnapshotTable[[#This Row],[SP Symbol]])&gt;0, 1, "")</f>
        <v/>
      </c>
      <c r="GP188" s="43" t="str">
        <f>IF(AND(SnapshotTable[[#This Row],[LC Exp Date]]&gt;0,SnapshotTable[[#This Row],[LC Strike Price]]&gt;0), [1]!ToOptionSymbol(SnapshotTable[[#This Row],[Symbol]], SnapshotTable[[#This Row],[LC Strike Price]],SnapshotTable[[#This Row],[LC Exp Date]],0), "")</f>
        <v/>
      </c>
      <c r="GQ188" s="30" t="str">
        <f>IF(LEN(SnapshotTable[[#This Row],[LC Symbol]])&gt;0, 1, "")</f>
        <v/>
      </c>
      <c r="GR188" s="43" t="str">
        <f>IF(AND(SnapshotTable[[#This Row],[SC Exp Date]]&gt;0,SnapshotTable[[#This Row],[SC Strike Price]]&gt;0), [1]!ToOptionSymbol(SnapshotTable[[#This Row],[Symbol]], SnapshotTable[[#This Row],[SC Strike Price]],SnapshotTable[[#This Row],[SC Exp Date]],0), "")</f>
        <v/>
      </c>
      <c r="GS188" s="30" t="str">
        <f>IF(LEN(SnapshotTable[[#This Row],[SC Symbol]])&gt;0, 1, "")</f>
        <v/>
      </c>
      <c r="GT188" s="29" t="str">
        <f>IF(COUNT(SnapshotTable[[#This Row],[LP Symbol Count]],SnapshotTable[[#This Row],[SP Symbol Count]],SnapshotTable[[#This Row],[LC Symbol Count]],SnapshotTable[[#This Row],[SC Symbol Count]])&gt;0, "Y", "")</f>
        <v/>
      </c>
      <c r="GU18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8" s="231" t="e">
        <f>MAX(SnapshotTable[[#This Row],[Equity Basis Total]],SnapshotTable[[#This Row],[Equity Value]]) + (SnapshotTable[[#This Row],[SP Potential Spend]]- SnapshotTable[[#This Row],[SP Premium]] + SnapshotTable[[#This Row],[LP Premium]])+ (SnapshotTable[[#This Row],[LC Premium]] - SnapshotTable[[#This Row],[SC Premium]])</f>
        <v>#VALUE!</v>
      </c>
      <c r="GW188" s="139" t="e">
        <f>IF(AND(SnapshotTable[[#This Row],[Exposure]] &lt;&gt; 0),SnapshotTable[[#This Row],[Exposure]] / SnapshotTable[[#Totals],[Exposure]], "")</f>
        <v>#VALUE!</v>
      </c>
      <c r="HE188" s="268"/>
      <c r="HF188" s="268"/>
      <c r="HK188" s="1"/>
      <c r="HL188" s="1"/>
      <c r="HM188" s="1"/>
      <c r="HN188" s="1"/>
      <c r="HO188" s="1"/>
      <c r="HP188" s="1"/>
    </row>
    <row r="189" spans="2:224" ht="12.75" hidden="1" customHeight="1" x14ac:dyDescent="0.25">
      <c r="B189" s="12" t="s">
        <v>551</v>
      </c>
      <c r="C189" s="422">
        <v>36.909999999999997</v>
      </c>
      <c r="D189" s="208"/>
      <c r="E189" s="39">
        <f>SnapshotTable[[#This Row],[Last Price]]*(1 -CrashDiscount)</f>
        <v>31.373499999999996</v>
      </c>
      <c r="F189" s="26" t="s">
        <v>552</v>
      </c>
      <c r="G189" s="26" t="s">
        <v>17</v>
      </c>
      <c r="H189" s="149"/>
      <c r="I189" s="194">
        <v>44741.291666666664</v>
      </c>
      <c r="J189" s="195">
        <v>44741.291666666664</v>
      </c>
      <c r="K189" s="196" t="s">
        <v>3</v>
      </c>
      <c r="L189" s="326"/>
      <c r="M189" s="140"/>
      <c r="N189" s="140"/>
      <c r="O189" s="140"/>
      <c r="P189" s="22"/>
      <c r="Q189" s="25"/>
      <c r="R189" s="4" t="str">
        <f>IF(SnapshotTable[[#This Row],[Equity Basis Total]] &gt; 0, SnapshotTable[[#This Row],[Equity Basis Total]] / SnapshotTable[[#This Row],[Equity Shares]], "")</f>
        <v/>
      </c>
      <c r="S189" s="269">
        <f>SnapshotTable[[#This Row],[Last Price]] * SnapshotTable[[#This Row],[Equity Shares]]</f>
        <v>0</v>
      </c>
      <c r="T189" s="269">
        <f>SnapshotTable[[#This Row],[Equity Value]] - SnapshotTable[[#This Row],[Equity Basis Total]]</f>
        <v>0</v>
      </c>
      <c r="U189" s="270" t="str">
        <f>IF(SnapshotTable[[#This Row],[Equity Basis Total]] &gt; 0, SnapshotTable[[#This Row],[Equity G/L]] / SnapshotTable[[#This Row],[Equity Basis Total]], "")</f>
        <v/>
      </c>
      <c r="V189" s="268"/>
      <c r="W189" s="268"/>
      <c r="X189" s="4" t="str">
        <f>IF(AND(ISNUMBER(SnapshotTable[[#This Row],[Equity Basis Per Share]]),ISNUMBER(SnapshotTable[[#This Row],[Equity Target]])),SnapshotTable[[#This Row],[Equity Target]]-SnapshotTable[[#This Row],[Equity Basis Per Share]],"")</f>
        <v/>
      </c>
      <c r="Y189" s="4" t="str">
        <f>IF(AND(ISNUMBER(SnapshotTable[[#This Row],[Equity Basis Per Share]]),ISNUMBER(SnapshotTable[[#This Row],[Equity Stop Loss]])),SnapshotTable[[#This Row],[Equity Stop Loss]]-SnapshotTable[[#This Row],[Equity Basis Per Share]],"")</f>
        <v/>
      </c>
      <c r="Z189" s="275" t="str">
        <f>IFERROR( TEXT(SnapshotTable[[#This Row],[Equity Max Gain Per Share]] /ABS( SnapshotTable[[#This Row],[Equity Max Loss Per Share]]),"0.0 " ) &amp; " : 1", "")</f>
        <v/>
      </c>
      <c r="AA189" s="31" t="str">
        <f>IF(ISNUMBER(SnapshotTable[[#This Row],[Equity Max Gain Per Share]]),SnapshotTable[[#This Row],[Equity Max Gain Per Share]] * SnapshotTable[[#This Row],[Equity Shares]],"")</f>
        <v/>
      </c>
      <c r="AB189" s="31" t="str">
        <f>IF(ISNUMBER(SnapshotTable[[#This Row],[Equity Max Loss Per Share]]),SnapshotTable[[#This Row],[Equity Max Loss Per Share]] * SnapshotTable[[#This Row],[Equity Shares]],"")</f>
        <v/>
      </c>
      <c r="AC189" s="150"/>
      <c r="AD189" s="151"/>
      <c r="AE189" s="31">
        <f>(SnapshotTable[[#This Row],[Annual Dividend Per Share]] / 4) * SnapshotTable[[#This Row],[Equity Shares]]</f>
        <v>0</v>
      </c>
      <c r="AF189" s="31">
        <f>SnapshotTable[[#This Row],[Quarterly Div $]] * 4</f>
        <v>0</v>
      </c>
      <c r="AG189" s="7">
        <f>IF(SnapshotTable[[#This Row],[Annual Dividend Per Share]]&gt;0, SnapshotTable[[#This Row],[Annual Dividend Per Share]]  / SnapshotTable[[#This Row],[Last Price]], 0)</f>
        <v>0</v>
      </c>
      <c r="AH189" s="151"/>
      <c r="AI189" s="5"/>
      <c r="AJ189" s="138">
        <v>58.88</v>
      </c>
      <c r="AK189" s="152" t="str">
        <f>IF(ISNUMBER( SnapshotTable[[#This Row],[EBF Target]]),(SnapshotTable[[#This Row],[EBF Target]] - SnapshotTable[[#This Row],[Last Price]]) / SnapshotTable[[#This Row],[Last Price]], "")</f>
        <v/>
      </c>
      <c r="AL189" s="152" t="str">
        <f>IF(AND(SnapshotTable[[#This Row],[Equity Basis Total]] &gt; 0,ISNUMBER( SnapshotTable[[#This Row],[Long Term Target]])), SnapshotTable[[#This Row],[From Basis $]] / SnapshotTable[[#This Row],[Equity Basis Total]], "")</f>
        <v/>
      </c>
      <c r="AM189" s="9">
        <f>IF( AND(SnapshotTable[[#This Row],[Equity Shares]] &gt;0,ISNUMBER( SnapshotTable[[#This Row],[Long Term Target]])),(SnapshotTable[[#This Row],[Equity Shares]] * SnapshotTable[[#This Row],[Long Term Target]]) - SnapshotTable[[#This Row],[Equity Basis Total]],0)</f>
        <v>0</v>
      </c>
      <c r="AN189" s="9">
        <f>IF( AND(SnapshotTable[[#This Row],[Equity Shares]] &gt;0,ISNUMBER( SnapshotTable[[#This Row],[Long Term Target]])),(SnapshotTable[[#This Row],[Equity Shares]]*SnapshotTable[[#This Row],[Long Term Target]]) - SnapshotTable[[#This Row],[Equity Value]],0)</f>
        <v>0</v>
      </c>
      <c r="AO189" s="152">
        <f>IF(AND(ISNUMBER( SnapshotTable[[#This Row],[Long Term Target]]), ISNUMBER(SnapshotTable[[#This Row],[Last Price]])),(SnapshotTable[[#This Row],[Long Term Target]] - SnapshotTable[[#This Row],[Last Price]]) / SnapshotTable[[#This Row],[Last Price]], "")</f>
        <v>0.59523164454077504</v>
      </c>
      <c r="AP189" s="5"/>
      <c r="AQ189" s="38"/>
      <c r="AR189" s="5"/>
      <c r="AS189" s="38"/>
      <c r="AT189" s="146"/>
      <c r="AU189" s="187" t="str">
        <f>IF(OR(SnapshotTable[[#This Row],[LP No Fill]]="Y",SnapshotTable[[#This Row],[SP Is Filled]],SnapshotTable[[#This Row],[LC Not Filled]]="Y",SnapshotTable[[#This Row],[SC Is Filled]]),"Y","")</f>
        <v/>
      </c>
      <c r="AV189" s="219"/>
      <c r="AW189" s="225"/>
      <c r="AX189" s="220"/>
      <c r="AY189" s="219" t="str">
        <f>IF(SnapshotTable[[#This Row],[Implied Move]]&gt;0, SnapshotTable[[#This Row],[Last Price]]-SnapshotTable[[#This Row],[Implied Move]],"")</f>
        <v/>
      </c>
      <c r="AZ189" s="219" t="str">
        <f>IF(SnapshotTable[[#This Row],[Implied Move]]&gt;0, SnapshotTable[[#This Row],[Last Price]] + SnapshotTable[[#This Row],[Implied Move]],"")</f>
        <v/>
      </c>
      <c r="BA189" s="331"/>
      <c r="BB189" s="347"/>
      <c r="BC18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9" s="351"/>
      <c r="BE189" s="5"/>
      <c r="BF189" s="14"/>
      <c r="BG189" s="13"/>
      <c r="BH189" s="13"/>
      <c r="BI189" s="5"/>
      <c r="BJ189" s="136">
        <f>IF(SnapshotTable[[#This Row],[LP Qty]] &gt; 0, SnapshotTable[[#This Row],[LP Qty]] * SnapshotTable[[#This Row],[LP Book Price]] * 100,0)</f>
        <v>0</v>
      </c>
      <c r="BK189" s="136">
        <f>IF(SnapshotTable[[#This Row],[LP Premium]] &gt; 0, SnapshotTable[[#This Row],[LP Qty]] * SnapshotTable[[#This Row],[LP Strike Price]] * 100,0)</f>
        <v>0</v>
      </c>
      <c r="BL189" s="154"/>
      <c r="BM189" s="385" t="str">
        <f>IF(SnapshotTable[[#This Row],[LP Premium]] &gt; 0,SnapshotTable[[#This Row],[LP Exp Date]]-MAX(SnapshotTable[[#This Row],[LP Book Date]], SnapshotTable[[#This Row],[LP Fill Date]]),"")</f>
        <v/>
      </c>
      <c r="BN189" s="385" t="str">
        <f>IF(ISNUMBER( SnapshotTable[[#This Row],[LP Term]]), SnapshotTable[[#This Row],[LP Exp Date]] - MockToday,"")</f>
        <v/>
      </c>
      <c r="BO189" s="163" t="str">
        <f>IF(AND(SnapshotTable[[#This Row],[LP Exp Date]]&gt;0, SnapshotTable[[#This Row],[LP Strike Price]]&gt;0,SnapshotTable[[#This Row],[LP Qty]]&gt;0,SnapshotTable[[#This Row],[LP Book Date]]&gt;0,SnapshotTable[[#This Row],[LP Book Price]]&gt;0,SnapshotTable[[#This Row],[LP Fill Date]]=0),"Y","")</f>
        <v/>
      </c>
      <c r="BP189" s="31" t="str">
        <f>IF(AND(SnapshotTable[[#This Row],[LP No Fill]]&lt;&gt;"Y",SnapshotTable[[#This Row],[LP Contract Value]]&gt;0, SnapshotTable[[#This Row],[LP Qty]]&gt;0), SnapshotTable[[#This Row],[LP Contract Value]]*SnapshotTable[[#This Row],[LP Qty]]*100,"")</f>
        <v/>
      </c>
      <c r="BQ189" s="13"/>
      <c r="BR189" s="5" t="str">
        <f>IF(SnapshotTable[[#This Row],[SP Exp Date]]&lt;&gt;"",TRUNC(SnapshotTable[[#This Row],[Last Price]]),"")</f>
        <v/>
      </c>
      <c r="BS189" s="36"/>
      <c r="BT189" s="147"/>
      <c r="BU189" s="13"/>
      <c r="BV189" s="5"/>
      <c r="BW189" s="419" t="b">
        <f>AND(ISNUMBER(SnapshotTable[[#This Row],[SP Exp Date]]), ISNUMBER(SnapshotTable[[#This Row],[SP Strike Price]]), ISNUMBER(SnapshotTable[[#This Row],[SP Qty]]), ISNUMBER(SnapshotTable[[#This Row],[SP Book Date]]), ISNUMBER(SnapshotTable[[#This Row],[SP Book Price]]))</f>
        <v>0</v>
      </c>
      <c r="BX189" s="419" t="b">
        <f>AND(SnapshotTable[[#This Row],[SP Is Booked]], NOT(ISBLANK(SnapshotTable[[#This Row],[SP Fill Date]])))</f>
        <v>0</v>
      </c>
      <c r="BY189" s="33">
        <f>IF(SnapshotTable[[#This Row],[SP Is Booked]], SnapshotTable[[#This Row],[SP Qty]] * SnapshotTable[[#This Row],[SP Book Price]] * 100, 0)</f>
        <v>0</v>
      </c>
      <c r="BZ189" s="369"/>
      <c r="CA189" s="368">
        <f>SnapshotTable[[#This Row],[LP Qty]]</f>
        <v>0</v>
      </c>
      <c r="CB189" s="4" t="str">
        <f>IF(SnapshotTable[[#This Row],[SP Is Booked]], SnapshotTable[[#This Row],[SP Strike Price]] - SnapshotTable[[#This Row],[SP Book Price]], "")</f>
        <v/>
      </c>
      <c r="CC189" s="19" t="str">
        <f>IF(SnapshotTable[[#This Row],[SP Is Booked]],SnapshotTable[[#This Row],[SP Exp Date]]-MAX(SnapshotTable[[#This Row],[SP Book Date]], SnapshotTable[[#This Row],[SP Fill Date]]),"")</f>
        <v/>
      </c>
      <c r="CD189" s="7" t="str">
        <f>IF(SnapshotTable[[#This Row],[SP Is Booked]], SnapshotTable[[#This Row],[SP Book Price]]/SnapshotTable[[#This Row],[SP Strike Price]], "")</f>
        <v/>
      </c>
      <c r="CE189" s="7" t="str">
        <f>IF(ISNUMBER(SnapshotTable[[#This Row],[SP ROO Term]]),SnapshotTable[[#This Row],[SP ROO Term]]*(365/SnapshotTable[[#This Row],[SP Term]]),"")</f>
        <v/>
      </c>
      <c r="CF189" s="236">
        <f>SnapshotTable[[#This Row],[LP Strike Price]] * SnapshotTable[[#This Row],[LP Qty]] * 100</f>
        <v>0</v>
      </c>
      <c r="CG189" s="31" t="e">
        <f>IF(ISNUMBER(SnapshotTable[[#This Row],[SP Premium]]), (SnapshotTable[[#This Row],[SP Qty]] * SnapshotTable[[#This Row],[SP Strike Price]]* 100) - SnapshotTable[[#This Row],[LP Protection]], 0)</f>
        <v>#VALUE!</v>
      </c>
      <c r="CH189" s="7" t="str">
        <f>IF(ISNUMBER(SnapshotTable[[#This Row],[SP Break Even]]),-1 * (SnapshotTable[[#This Row],[SP Break Even]] - SnapshotTable[[#This Row],[Last Price]]) / SnapshotTable[[#This Row],[Last Price]], "")</f>
        <v/>
      </c>
      <c r="CI189" s="31">
        <f>IF(AND(ISNUMBER((SnapshotTable[[#This Row],[SP Potential Spend]])), SnapshotTable[[#This Row],[SP Strike Price]] &gt; SnapshotTable[[#This Row],[Last Price]], SnapshotTable[[#This Row],[SP Is Filled]]), SnapshotTable[[#This Row],[SP Potential Spend]] -  SnapshotTable[[#This Row],[LP Max Value]], 0)</f>
        <v>0</v>
      </c>
      <c r="CJ189" s="244"/>
      <c r="CK189" s="31" t="str">
        <f>IF(ISNUMBER(SnapshotTable[[#This Row],[SP Potential Spend]]),IF(ISNUMBER(SnapshotTable[[#This Row],[SP POW]]), SnapshotTable[[#This Row],[SP POW]] * SnapshotTable[[#This Row],[SP Potential Spend]], SnapshotTable[[#This Row],[SP Potential Spend]]), "")</f>
        <v/>
      </c>
      <c r="CL189" s="164" t="e">
        <f>IF(NOT(SnapshotTable[[#This Row],[SP Is Filled]]),(SnapshotTable[[#This Row],[SP Qty]] * SnapshotTable[[#This Row],[SP Strike Price]] * 100) - SnapshotTable[[#This Row],[LP Max Value]],"")</f>
        <v>#VALUE!</v>
      </c>
      <c r="CM189" s="31" t="str">
        <f>IF(SnapshotTable[[#This Row],[SP Actual Spend]]&lt;&gt;0, ((SnapshotTable[[#This Row],[SP Strike Price]]-SnapshotTable[[#This Row],[Last Price]]) *(SnapshotTable[[#This Row],[SP Qty]]*100) - SnapshotTable[[#This Row],[SP Premium]]) * - 1, "")</f>
        <v/>
      </c>
      <c r="CN189" s="78"/>
      <c r="CO189" s="369"/>
      <c r="CP189" s="4" t="str">
        <f>IF(SnapshotTable[[#This Row],[SP Is Filled]], btc_max_buyback_amount(SnapshotTable[[#This Row],[SP Fill Date]],SnapshotTable[[#This Row],[SP Exp Date]], SnapshotTable[[#This Row],[SP Book Price]]),"")</f>
        <v/>
      </c>
      <c r="CQ189" s="78"/>
      <c r="CR18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9" s="155" t="str">
        <f>IF(SnapshotTable[[#This Row],[SP Is Filled]], btc_next_cutoff_date(SnapshotTable[[#This Row],[SP Fill Date]],SnapshotTable[[#This Row],[SP Exp Date]]),"")</f>
        <v/>
      </c>
      <c r="CT189" s="235" t="str" cm="1">
        <f t="array" ref="CT189">IF(SnapshotTable[[#This Row],[SP Is Filled]], btc_should_buy_back(SnapshotTable[[#This Row],[SP Fill Date]], SnapshotTable[[#This Row],[SP Exp Date]], SnapshotTable[[#This Row],[SP Book Price]], SnapshotTable[[#This Row],[SP Current Ask]], MockToday, SnapshotTable[[#This Row],[SP Buyback Override]]),"")</f>
        <v/>
      </c>
      <c r="CU189" s="143"/>
      <c r="CV189" s="235"/>
      <c r="CW189" s="378" t="str">
        <f>IF(ISNUMBER( SnapshotTable[[#This Row],[SP Term]]), SnapshotTable[[#This Row],[SP Exp Date]] - MockToday,"")</f>
        <v/>
      </c>
      <c r="CX189" s="31" t="str">
        <f>IF(SnapshotTable[[#This Row],[SP Is Filled]],SnapshotTable[[#This Row],[SP Buyback Price to Use]] * 100 * SnapshotTable[[#This Row],[SP Qty]], "")</f>
        <v/>
      </c>
      <c r="CY189" s="4" t="str">
        <f>IF(ISNUMBER(SnapshotTable[[#This Row],[SP Strike Price]]), SnapshotTable[[#This Row],[SP Strike Price]] * (1 - SP_MaxLoss_StrikePct), "")</f>
        <v/>
      </c>
      <c r="CZ189" s="31" t="str">
        <f>IF(ISNUMBER(SnapshotTable[[#This Row],[SP Strike  Stop Per Share]]),SnapshotTable[[#This Row],[SP Premium]] - ((SnapshotTable[[#This Row],[SP Strike Price]]-SnapshotTable[[#This Row],[SP Strike  Stop Per Share]]) *(SnapshotTable[[#This Row],[SP Qty]] * 100)),"")</f>
        <v/>
      </c>
      <c r="DA189" s="4" t="str">
        <f>IF(AND(ISNUMBER(SnapshotTable[[#This Row],[SP Premium]]),SnapshotTable[[#This Row],[SP Premium]]&gt;0), SnapshotTable[[#This Row],[SP Book Price]] * (1 + SP_MaxLoss_OptionPct), "")</f>
        <v/>
      </c>
      <c r="DB189" s="31" t="str">
        <f>IF(ISNUMBER(SnapshotTable[[#This Row],[SP Option  Stop Contract]]),(SnapshotTable[[#This Row],[SP Option  Stop Contract]] *(SnapshotTable[[#This Row],[SP Qty]] * 100) - SnapshotTable[[#This Row],[SP Premium]]),"")</f>
        <v/>
      </c>
      <c r="DC189" s="4"/>
      <c r="DD189" s="4"/>
      <c r="DE189" s="4" t="str">
        <f>IF(AND(SnapshotTable[[#This Row],[SP Qty]]&gt;0, SnapshotTable[[#This Row],[SP Stop To Use]]&gt;0),SnapshotTable[[#This Row],[SP Premium]] - ( SnapshotTable[[#This Row],[SP Qty]] * SnapshotTable[[#This Row],[SP Stop To Use]] * 100), "")</f>
        <v/>
      </c>
      <c r="DF189" s="31" t="str">
        <f>IF(AND(SnapshotTable[[#This Row],[SP Qty]]&gt;0,SnapshotTable[[#This Row],[SP Current Ask]]&gt;0), SnapshotTable[[#This Row],[SP Qty]] * SnapshotTable[[#This Row],[SP Current Ask]] * -100, "")</f>
        <v/>
      </c>
      <c r="DG189" s="31" t="str">
        <f>IF(ISNUMBER((SnapshotTable[[#This Row],[SP Total Value]])), SnapshotTable[[#This Row],[SP Premium]] + SnapshotTable[[#This Row],[SP Total Value]], "")</f>
        <v/>
      </c>
      <c r="DH189" s="294" t="str">
        <f>IF(ISNUMBER((SnapshotTable[[#This Row],[SP Total Value]])), SnapshotTable[[#This Row],[SP Gain Loss]] / SnapshotTable[[#This Row],[SP Premium]], "")</f>
        <v/>
      </c>
      <c r="DI189" s="406"/>
      <c r="DJ189" s="138"/>
      <c r="DK189" s="148"/>
      <c r="DL189" s="13"/>
      <c r="DM189" s="13"/>
      <c r="DO189" s="31">
        <f>IF(SnapshotTable[[#This Row],[LC Symbol Count]]=1, SnapshotTable[[#This Row],[LC Qty]] * SnapshotTable[[#This Row],[LC Book Price]] * 100, 0)</f>
        <v>0</v>
      </c>
      <c r="DP189" s="163" t="str">
        <f>IF(AND(SnapshotTable[[#This Row],[LC Exp Date]]&gt;0, SnapshotTable[[#This Row],[LC Strike Price]]&gt;0,SnapshotTable[[#This Row],[LC Qty]]&gt;0,SnapshotTable[[#This Row],[LC Book Date]]&gt;0,SnapshotTable[[#This Row],[LC Book Price]]&gt;0,SnapshotTable[[#This Row],[LC Fill Date]]=0),"Y","")</f>
        <v/>
      </c>
      <c r="DQ189" s="386" t="str">
        <f>IF(SnapshotTable[[#This Row],[LC Premium]] &gt; 0,SnapshotTable[[#This Row],[LC Exp Date]]-MAX(SnapshotTable[[#This Row],[LC Book Date]], SnapshotTable[[#This Row],[LC Fill Date]]),"")</f>
        <v/>
      </c>
      <c r="DR189" s="386" t="str">
        <f>IF(ISNUMBER(SnapshotTable[[#This Row],[LC Term]]), SnapshotTable[[#This Row],[LC Exp Date]] - MockToday, "")</f>
        <v/>
      </c>
      <c r="DS189" s="234" t="str">
        <f>IF(SnapshotTable[[#This Row],[LC Premium]]&gt;0,SnapshotTable[[#This Row],[LC Strike Price]] + SnapshotTable[[#This Row],[LC Book Price]],"")</f>
        <v/>
      </c>
      <c r="DU189" s="9" t="str">
        <f>IF(AND(SnapshotTable[[#This Row],[LC Symbol Count]]&gt;0, SnapshotTable[[#This Row],[LC Contract Value]]&gt;0), SnapshotTable[[#This Row],[LC Contract Value]] * SnapshotTable[[#This Row],[LC Qty]] * 100, "")</f>
        <v/>
      </c>
      <c r="DV189" s="9" t="str">
        <f>IF(AND(ISNUMBER(SnapshotTable[[#This Row],[LC Total Value]]), SnapshotTable[[#This Row],[LC Not Filled]]&lt;&gt;"Y"), SnapshotTable[[#This Row],[LC Total Value]]-SnapshotTable[[#This Row],[LC Premium]],"")</f>
        <v/>
      </c>
      <c r="DW189" s="240" t="str">
        <f>IF(ISNUMBER(SnapshotTable[[#This Row],[LC Actual Gain Loss]]), SnapshotTable[[#This Row],[LC Actual Gain Loss]] / SnapshotTable[[#This Row],[LC Premium]],"")</f>
        <v/>
      </c>
      <c r="DX189" s="284" t="str">
        <f>IF(ISNUMBER(SnapshotTable[[#This Row],[LC Book Price]]),SnapshotTable[[#This Row],[LC Book Price]] * 1.5,"")</f>
        <v/>
      </c>
      <c r="DY189" s="265" t="str">
        <f>IF(SnapshotTable[[#This Row],[LC Premium]]&gt;0, SnapshotTable[[#This Row],[LC Next Target]] * SnapshotTable[[#This Row],[LC Qty]] * 100,"")</f>
        <v/>
      </c>
      <c r="DZ189" s="265" t="str">
        <f>IF(ISNUMBER(SnapshotTable[[#This Row],[LC Target Gross]]), SnapshotTable[[#This Row],[LC Target Gross]] - SnapshotTable[[#This Row],[LC Premium]], "")</f>
        <v/>
      </c>
      <c r="EA189" s="305" t="str">
        <f>IF(ISNUMBER(SnapshotTable[[#This Row],[LC Target Gain Loss]]), SnapshotTable[[#This Row],[LC Target Gain Loss]]/SnapshotTable[[#This Row],[LC Premium]], "")</f>
        <v/>
      </c>
      <c r="EB189" s="262"/>
      <c r="EC189" s="283" t="str">
        <f>IF(SnapshotTable[[#This Row],[LC Premium]]&gt;0, SnapshotTable[[#This Row],[LC Book Price]] * (1 - LC_StopLoss_Pct),"")</f>
        <v/>
      </c>
      <c r="ED189" s="284"/>
      <c r="EE189" s="283" t="str">
        <f>IF(ISNUMBER(SnapshotTable[[#This Row],[LC Contract Value]]),IF(ISNUMBER(SnapshotTable[[#This Row],[LC Stop Loss Override]]), SnapshotTable[[#This Row],[LC Stop Loss Override]],SnapshotTable[[#This Row],[LC Stop Loss Calc Target]]),"")</f>
        <v/>
      </c>
      <c r="EF189" s="31" t="str">
        <f>IF(ISNUMBER(SnapshotTable[[#This Row],[LC Stop  To Use]]), (SnapshotTable[[#This Row],[LC Stop  To Use]] * SnapshotTable[[#This Row],[LC Qty]] * 100),"")</f>
        <v/>
      </c>
      <c r="EG189" s="9" t="str">
        <f>IF(ISNUMBER(SnapshotTable[[#This Row],[LC Total Value]]),SnapshotTable[[#This Row],[LC Stop Loss Amount]] - SnapshotTable[[#This Row],[LC Premium]],"")</f>
        <v/>
      </c>
      <c r="EH189" s="9">
        <f>IF(ISNUMBER(SnapshotTable[[#This Row],[LC Premium]]), SnapshotTable[[#This Row],[LC Qty]] * 100 * SnapshotTable[[#This Row],[LC Strike Price]], "")</f>
        <v>0</v>
      </c>
      <c r="EI189" s="240" t="str">
        <f>IF(AND(ISNUMBER(SnapshotTable[[#This Row],[LC Total Value]]),SnapshotTable[[#This Row],[LC Total Value]]&gt;0),SnapshotTable[[#This Row],[LC Stop Gain Loss]]  / SnapshotTable[[#This Row],[LC Premium]],"")</f>
        <v/>
      </c>
      <c r="EJ189" s="35">
        <f>IF(ISNUMBER(SnapshotTable[[#This Row],[Equity Shares]]),TRUNC(SnapshotTable[[#This Row],[Equity Shares]] / 100),0) + SnapshotTable[[#This Row],[LC Qty]]</f>
        <v>0</v>
      </c>
      <c r="EK189" s="147"/>
      <c r="EL189" s="138" t="str">
        <f>IF(SnapshotTable[[#This Row],[SC Exp Date]]&lt;&gt;"",TRUNC(SnapshotTable[[#This Row],[Last Price]]),"")</f>
        <v/>
      </c>
      <c r="EM189" s="148"/>
      <c r="EN189" s="147"/>
      <c r="EO189" s="147"/>
      <c r="EP189" s="138"/>
      <c r="EQ189" s="419" t="b">
        <f>AND(ISNUMBER(SnapshotTable[[#This Row],[SC Exp Date]]), ISNUMBER(SnapshotTable[[#This Row],[SC Strike Price]]), ISNUMBER(SnapshotTable[[#This Row],[SC Qty]]), ISNUMBER(SnapshotTable[[#This Row],[SC Book Date]]), ISNUMBER(SnapshotTable[[#This Row],[SC Book Price]]))</f>
        <v>0</v>
      </c>
      <c r="ER189" s="419" t="b">
        <f>AND(SnapshotTable[[#This Row],[SC Is Booked]], NOT(ISBLANK(SnapshotTable[[#This Row],[SC Fill Date]])))</f>
        <v>0</v>
      </c>
      <c r="ES189" s="370"/>
      <c r="ET189" s="34" t="str">
        <f>IF(AND(ISNUMBER(SnapshotTable[[#This Row],[SC Exp Date]]), ISNUMBER(SnapshotTable[[#This Row],[SC Book Date]])), SnapshotTable[[#This Row],[SC Exp Date]] - MAX(SnapshotTable[[#This Row],[SC Book Date]], SnapshotTable[[#This Row],[SC Fill Date]]) + 1, "")</f>
        <v/>
      </c>
      <c r="EU189" s="34" t="str">
        <f>IF(ISNUMBER(SnapshotTable[[#This Row],[SC Term]]), SnapshotTable[[#This Row],[SC Exp Date]]- MockToday, "")</f>
        <v/>
      </c>
      <c r="EV189" s="31">
        <f>IF(SnapshotTable[[#This Row],[SC Is Booked]], SnapshotTable[[#This Row],[SC Qty]] * SnapshotTable[[#This Row],[SC Book Price]] * 100, 0)</f>
        <v>0</v>
      </c>
      <c r="EW189" s="4" t="str">
        <f>IF(AND(ISNUMBER(SnapshotTable[[#This Row],[Last Price]]), ISNUMBER( SnapshotTable[[#This Row],[SC Book Price]])), SnapshotTable[[#This Row],[Last Price]] - SnapshotTable[[#This Row],[SC Book Price]],"")</f>
        <v/>
      </c>
      <c r="EX189" s="234" t="str">
        <f>IF(SnapshotTable[[#This Row],[SC Is Booked]],IF(SnapshotTable[[#This Row],[SC Intrinsic Value]] &gt; 0, SnapshotTable[[#This Row],[SC Strike Price]], SnapshotTable[[#This Row],[Last Price]]), "")</f>
        <v/>
      </c>
      <c r="EY189" s="4">
        <f>IF(SnapshotTable[[#This Row],[SC Is Booked]], (MinimumPremiumRequired * SnapshotTable[[#This Row],[SC Basis]] * SnapshotTable[[#This Row],[SC Term]]), 0)</f>
        <v>0</v>
      </c>
      <c r="EZ189" s="283"/>
      <c r="FA189" s="218"/>
      <c r="FB189" s="370"/>
      <c r="FC189" s="4">
        <f>IF(SnapshotTable[[#This Row],[SC Is Filled]], btc_max_buyback_amount(SnapshotTable[[#This Row],[SC Fill Date]],SnapshotTable[[#This Row],[SC Exp Date]], SnapshotTable[[#This Row],[SC Book Price]]),0)</f>
        <v>0</v>
      </c>
      <c r="FD189" s="5"/>
      <c r="FE189" s="144" t="str">
        <f>IF(SnapshotTable[[#This Row],[SC Is Filled]], btc_next_cutoff_date(SnapshotTable[[#This Row],[SC Fill Date]],SnapshotTable[[#This Row],[SC Exp Date]]),"")</f>
        <v/>
      </c>
      <c r="FF189" s="4" t="str" cm="1">
        <f t="array" ref="FF189">IF(SnapshotTable[[#This Row],[SC Is Filled]], btc_should_buy_back(SnapshotTable[[#This Row],[SC Fill Date]], SnapshotTable[[#This Row],[SC Exp Date]], SnapshotTable[[#This Row],[SC Book Price]], SnapshotTable[[#This Row],[SC Current Ask]], MockToday, SnapshotTable[[#This Row],[SC Buyback Override]]),"")</f>
        <v/>
      </c>
      <c r="FG189" s="4">
        <f>IF(SnapshotTable[[#This Row],[SC Is Filled]], MAX(0,SnapshotTable[[#This Row],[Last Price]]  - SnapshotTable[[#This Row],[SC Strike Price]]), 0)</f>
        <v>0</v>
      </c>
      <c r="FH189" s="382">
        <f>IF(SnapshotTable[[#This Row],[SC Is Filled]], IF(ISNUMBER(SnapshotTable[[#This Row],[SC Current Ask]]), SnapshotTable[[#This Row],[SC Current Ask]], SnapshotTable[[#This Row],[SC Book Price]]) - SnapshotTable[[#This Row],[SC Intrinsic Value]], 0)</f>
        <v>0</v>
      </c>
      <c r="FI189" s="143"/>
      <c r="FJ189" s="32" t="str">
        <f>IF(SnapshotTable[[#This Row],[SC Is Filled]],100 * SnapshotTable[[#This Row],[SC Qty]] * IF(ISNUMBER(SnapshotTable[[#This Row],[SC Buyback Override]]), SnapshotTable[[#This Row],[SC Buyback Override]], SnapshotTable[[#This Row],[SC Current Ask]]), "")</f>
        <v/>
      </c>
      <c r="FK189" s="250" t="str">
        <f>IF(SnapshotTable[[#This Row],[SC Time Val]]&gt;0, SnapshotTable[[#This Row],[SC Time Val]] / SnapshotTable[[#This Row],[Last Price]],"")</f>
        <v/>
      </c>
      <c r="FL189" s="302" t="str">
        <f>IF(SnapshotTable[[#This Row],[SC Is Booked]], ((SnapshotTable[[#This Row],[Last Price]] -SnapshotTable[[#This Row],[SC Strike Price]]) / SnapshotTable[[#This Row],[Last Price]]) * -1, "")</f>
        <v/>
      </c>
      <c r="FM189" s="157" t="str">
        <f>IF(SnapshotTable[[#This Row],[SC Is Booked]],  (SnapshotTable[[#This Row],[SC Qty]] * 100 * SnapshotTable[[#This Row],[SC Strike Price]]) - SnapshotTable[[#This Row],[SC Current Ask]], "")</f>
        <v/>
      </c>
      <c r="FN18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9" s="31" t="str">
        <f>IF(AND(ISNUMBER(SnapshotTable[[#This Row],[SC Exercise Gross]]), ISNUMBER(SnapshotTable[[#This Row],[Equity Basis Per Share]] )), SnapshotTable[[#This Row],[SC Exercise Gross]] - SnapshotTable[[#This Row],[Equity Basis Total]] +  SnapshotTable[[#This Row],[SC Premium]], "")</f>
        <v/>
      </c>
      <c r="FP189" s="5" t="str">
        <f>IF(ISNUMBER(SnapshotTable[[#This Row],[SC Exercise Gross]]), (SnapshotTable[[#This Row],[SC Exercise Gross]]) / (SnapshotTable[[#This Row],[SC Qty]] * 100), "")</f>
        <v/>
      </c>
      <c r="FQ189" s="27" t="str">
        <f>IF(SnapshotTable[[#This Row],[SC Is Booked]],SnapshotTable[[#This Row],[SC Time Val]] /SnapshotTable[[#This Row],[SC Basis]], "")</f>
        <v/>
      </c>
      <c r="FR189" s="27" t="str" cm="1">
        <f t="array" ref="FR189">IF(AND(ISNUMBER(SnapshotTable[[#This Row],[SC Term]]),ISNUMBER(SnapshotTable[[#This Row],[SC Simple ROO]])), EllmanAnnualize(SnapshotTable[[#This Row],[SC DTE]], SnapshotTable[[#This Row],[SC Simple ROO]] ),"")</f>
        <v/>
      </c>
      <c r="FS189" s="4" t="e">
        <f>IF(SnapshotTable[[#This Row],[SC Strike Price]] &gt; SnapshotTable[[#This Row],[Last Price]], SnapshotTable[[#This Row],[SC Strike Price]] - SnapshotTable[[#This Row],[Last Price]],0)</f>
        <v>#VALUE!</v>
      </c>
      <c r="FT189" s="27" t="e">
        <f>IF(AND(ISNUMBER(SnapshotTable[[#This Row],[SC Upside Potential]]), SnapshotTable[[#This Row],[SC Upside Potential]] &gt; 0),(SnapshotTable[[#This Row],[SC Upside Potential]]/ SnapshotTable[[#This Row],[ACB]]),"")</f>
        <v>#VALUE!</v>
      </c>
      <c r="FU189" s="333" t="str">
        <f>IF(SnapshotTable[[#This Row],[SC Intrinsic Value]] &gt; 0,SnapshotTable[[#This Row],[SC Intrinsic Value]],"")</f>
        <v/>
      </c>
      <c r="FV189" s="27" t="str">
        <f>IF(AND( ISNUMBER( SnapshotTable[[#This Row],[ACB]]),ISNUMBER(SnapshotTable[[#This Row],[SC Downside Protect]])),SnapshotTable[[#This Row],[SC Downside Protect]] / SnapshotTable[[#This Row],[ACB]],"")</f>
        <v/>
      </c>
      <c r="FW189" s="236" t="str">
        <f>IF(AND(ISNUMBER(SnapshotTable[[#This Row],[SC Simple ROO]]),SnapshotTable[[#This Row],[SC Simple ROO]] &gt; 0), SnapshotTable[[#This Row],[SC Premium]] + (SnapshotTable[[#This Row],[SC Qty]] * SnapshotTable[[#This Row],[SC Upside Potential]]), "")</f>
        <v/>
      </c>
      <c r="FX189" s="302" t="str" cm="1">
        <f t="array" ref="FX189">IF(ISNUMBER(SnapshotTable[[#This Row],[SC Max Dollars]]), annualize(SnapshotTable[[#This Row],[SC Term]],(SnapshotTable[[#This Row],[SC Max Dollars]]/SnapshotTable[[#This Row],[SC Basis]])),"")</f>
        <v/>
      </c>
      <c r="FY189" s="236" t="str">
        <f>IF(AND(SnapshotTable[[#This Row],[SC Qty]]&gt;0,SnapshotTable[[#This Row],[SC Current Ask]]&gt;0), SnapshotTable[[#This Row],[SC Qty]] * SnapshotTable[[#This Row],[SC Current Ask]] * -100, "")</f>
        <v/>
      </c>
      <c r="FZ189" s="31" t="str">
        <f>IF(ISNUMBER((SnapshotTable[[#This Row],[SC Current Value]])), SnapshotTable[[#This Row],[SC Premium]] + SnapshotTable[[#This Row],[SC Current Value]], "")</f>
        <v/>
      </c>
      <c r="GA189" s="294" t="str">
        <f>IFERROR( IF(ISNUMBER((SnapshotTable[[#This Row],[SC Current Value]])), SnapshotTable[[#This Row],[SC Gain Loss]] / SnapshotTable[[#This Row],[SC Premium]], ""), "")</f>
        <v/>
      </c>
      <c r="GB189" s="42">
        <f>SnapshotTable[[#This Row],[Equity Shares]] * SaleSharesToConsiderPercentage</f>
        <v>0</v>
      </c>
      <c r="GC189" s="40">
        <f>SnapshotTable[[#This Row],[Long Term Target]] * SellingPriceToConsiderBasedOnTargetPercentage</f>
        <v>55.936</v>
      </c>
      <c r="GD189" s="40">
        <f>SnapshotTable[[#This Row],[Last Price]] * (1+ SellingPriceToConsiderBasedOnTargetPercentage)</f>
        <v>71.974499999999992</v>
      </c>
      <c r="GE189" s="41"/>
      <c r="GF189" s="40"/>
      <c r="GG189" s="31">
        <f>SnapshotTable[[#This Row],[Booked Sale Shares]] * SnapshotTable[[#This Row],[Booked Sale Price]]</f>
        <v>0</v>
      </c>
      <c r="GH189" s="31" t="str">
        <f>IF(SnapshotTable[[#This Row],[Equity Basis Total]] &gt; 0, SnapshotTable[[#This Row],[Equity Basis Per Share]] * SnapshotTable[[#This Row],[Booked Sale Shares]], "")</f>
        <v/>
      </c>
      <c r="GI189" s="31">
        <f>IF(SnapshotTable[[#This Row],[Sale Proceeds]]&gt;0, SnapshotTable[[#This Row],[Sale Proceeds]] - SnapshotTable[[#This Row],[Sale Basis]], 0)</f>
        <v>0</v>
      </c>
      <c r="GJ189" s="27" t="str">
        <f>IF(SnapshotTable[[#This Row],[Sale G/L]]&gt;0, SnapshotTable[[#This Row],[Sale G/L]] / SnapshotTable[[#This Row],[Sale Basis]], IF(ISNUMBER(SnapshotTable[[#This Row],[SC Exercise P&amp;L (TAX)]]), SnapshotTable[[#This Row],[SC Exercise P&amp;L (TAX)]] / SnapshotTable[[#This Row],[SC Basis]], ""))</f>
        <v/>
      </c>
      <c r="GK189" s="27" t="s">
        <v>714</v>
      </c>
      <c r="GL189" s="43" t="str">
        <f>IF(AND(SnapshotTable[[#This Row],[LP Exp Date]]&gt;0,SnapshotTable[[#This Row],[LP Strike Price]]&gt;0), [1]!ToOptionSymbol(SnapshotTable[[#This Row],[Symbol]], SnapshotTable[[#This Row],[LP Strike Price]],SnapshotTable[[#This Row],[LP Exp Date]],1), "")</f>
        <v/>
      </c>
      <c r="GM189" s="30" t="str">
        <f>IF(LEN(SnapshotTable[[#This Row],[LP Symbol]])&gt;0, 1, "")</f>
        <v/>
      </c>
      <c r="GN189" s="43" t="str">
        <f>IF(AND(SnapshotTable[[#This Row],[SP Exp Date]]&gt;0,SnapshotTable[[#This Row],[SP Strike Price]]&gt;0), [1]!ToOptionSymbol(SnapshotTable[[#This Row],[Symbol]], SnapshotTable[[#This Row],[SP Strike Price]],SnapshotTable[[#This Row],[SP Exp Date]],1), "")</f>
        <v/>
      </c>
      <c r="GO189" s="30" t="str">
        <f>IF(LEN(SnapshotTable[[#This Row],[SP Symbol]])&gt;0, 1, "")</f>
        <v/>
      </c>
      <c r="GP189" s="43" t="str">
        <f>IF(AND(SnapshotTable[[#This Row],[LC Exp Date]]&gt;0,SnapshotTable[[#This Row],[LC Strike Price]]&gt;0), [1]!ToOptionSymbol(SnapshotTable[[#This Row],[Symbol]], SnapshotTable[[#This Row],[LC Strike Price]],SnapshotTable[[#This Row],[LC Exp Date]],0), "")</f>
        <v/>
      </c>
      <c r="GQ189" s="30" t="str">
        <f>IF(LEN(SnapshotTable[[#This Row],[LC Symbol]])&gt;0, 1, "")</f>
        <v/>
      </c>
      <c r="GR189" s="43" t="str">
        <f>IF(AND(SnapshotTable[[#This Row],[SC Exp Date]]&gt;0,SnapshotTable[[#This Row],[SC Strike Price]]&gt;0), [1]!ToOptionSymbol(SnapshotTable[[#This Row],[Symbol]], SnapshotTable[[#This Row],[SC Strike Price]],SnapshotTable[[#This Row],[SC Exp Date]],0), "")</f>
        <v/>
      </c>
      <c r="GS189" s="30" t="str">
        <f>IF(LEN(SnapshotTable[[#This Row],[SC Symbol]])&gt;0, 1, "")</f>
        <v/>
      </c>
      <c r="GT189" s="29" t="str">
        <f>IF(COUNT(SnapshotTable[[#This Row],[LP Symbol Count]],SnapshotTable[[#This Row],[SP Symbol Count]],SnapshotTable[[#This Row],[LC Symbol Count]],SnapshotTable[[#This Row],[SC Symbol Count]])&gt;0, "Y", "")</f>
        <v/>
      </c>
      <c r="GU18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9" s="231" t="e">
        <f>MAX(SnapshotTable[[#This Row],[Equity Basis Total]],SnapshotTable[[#This Row],[Equity Value]]) + (SnapshotTable[[#This Row],[SP Potential Spend]]- SnapshotTable[[#This Row],[SP Premium]] + SnapshotTable[[#This Row],[LP Premium]])+ (SnapshotTable[[#This Row],[LC Premium]] - SnapshotTable[[#This Row],[SC Premium]])</f>
        <v>#VALUE!</v>
      </c>
      <c r="GW189" s="139" t="e">
        <f>IF(AND(SnapshotTable[[#This Row],[Exposure]] &lt;&gt; 0),SnapshotTable[[#This Row],[Exposure]] / SnapshotTable[[#Totals],[Exposure]], "")</f>
        <v>#VALUE!</v>
      </c>
      <c r="HE189" s="268"/>
      <c r="HF189" s="268"/>
      <c r="HK189" s="1"/>
      <c r="HL189" s="1"/>
      <c r="HM189" s="1"/>
      <c r="HN189" s="1"/>
      <c r="HO189" s="1"/>
      <c r="HP189" s="1"/>
    </row>
    <row r="190" spans="2:224" ht="12.75" hidden="1" customHeight="1" x14ac:dyDescent="0.25">
      <c r="B190" s="12" t="s">
        <v>169</v>
      </c>
      <c r="C190" s="422">
        <v>379.12</v>
      </c>
      <c r="D190" s="208"/>
      <c r="E190" s="39">
        <f>SnapshotTable[[#This Row],[Last Price]]*(1 -CrashDiscount)</f>
        <v>322.25200000000001</v>
      </c>
      <c r="F190" s="26" t="s">
        <v>5</v>
      </c>
      <c r="G190" s="26" t="s">
        <v>4</v>
      </c>
      <c r="H190" s="149"/>
      <c r="I190" s="194">
        <v>44741.291666666664</v>
      </c>
      <c r="J190" s="195">
        <v>44741.291666666664</v>
      </c>
      <c r="K190" s="196" t="s">
        <v>3</v>
      </c>
      <c r="L190" s="326"/>
      <c r="M190" s="140"/>
      <c r="N190" s="140"/>
      <c r="O190" s="140">
        <v>2</v>
      </c>
      <c r="P190" s="22"/>
      <c r="Q190" s="25"/>
      <c r="R190" s="4" t="str">
        <f>IF(SnapshotTable[[#This Row],[Equity Basis Total]] &gt; 0, SnapshotTable[[#This Row],[Equity Basis Total]] / SnapshotTable[[#This Row],[Equity Shares]], "")</f>
        <v/>
      </c>
      <c r="S190" s="269">
        <f>SnapshotTable[[#This Row],[Last Price]] * SnapshotTable[[#This Row],[Equity Shares]]</f>
        <v>0</v>
      </c>
      <c r="T190" s="269">
        <f>SnapshotTable[[#This Row],[Equity Value]] - SnapshotTable[[#This Row],[Equity Basis Total]]</f>
        <v>0</v>
      </c>
      <c r="U190" s="270" t="str">
        <f>IF(SnapshotTable[[#This Row],[Equity Basis Total]] &gt; 0, SnapshotTable[[#This Row],[Equity G/L]] / SnapshotTable[[#This Row],[Equity Basis Total]], "")</f>
        <v/>
      </c>
      <c r="V190" s="268"/>
      <c r="W190" s="268"/>
      <c r="X190" s="4" t="str">
        <f>IF(AND(ISNUMBER(SnapshotTable[[#This Row],[Equity Basis Per Share]]),ISNUMBER(SnapshotTable[[#This Row],[Equity Target]])),SnapshotTable[[#This Row],[Equity Target]]-SnapshotTable[[#This Row],[Equity Basis Per Share]],"")</f>
        <v/>
      </c>
      <c r="Y190" s="4" t="str">
        <f>IF(AND(ISNUMBER(SnapshotTable[[#This Row],[Equity Basis Per Share]]),ISNUMBER(SnapshotTable[[#This Row],[Equity Stop Loss]])),SnapshotTable[[#This Row],[Equity Stop Loss]]-SnapshotTable[[#This Row],[Equity Basis Per Share]],"")</f>
        <v/>
      </c>
      <c r="Z190" s="275" t="str">
        <f>IFERROR( TEXT(SnapshotTable[[#This Row],[Equity Max Gain Per Share]] /ABS( SnapshotTable[[#This Row],[Equity Max Loss Per Share]]),"0.0 " ) &amp; " : 1", "")</f>
        <v/>
      </c>
      <c r="AA190" s="31" t="str">
        <f>IF(ISNUMBER(SnapshotTable[[#This Row],[Equity Max Gain Per Share]]),SnapshotTable[[#This Row],[Equity Max Gain Per Share]] * SnapshotTable[[#This Row],[Equity Shares]],"")</f>
        <v/>
      </c>
      <c r="AB190" s="31" t="str">
        <f>IF(ISNUMBER(SnapshotTable[[#This Row],[Equity Max Loss Per Share]]),SnapshotTable[[#This Row],[Equity Max Loss Per Share]] * SnapshotTable[[#This Row],[Equity Shares]],"")</f>
        <v/>
      </c>
      <c r="AC190" s="150">
        <v>0</v>
      </c>
      <c r="AD190" s="151" t="s">
        <v>2</v>
      </c>
      <c r="AE190" s="31">
        <f>(SnapshotTable[[#This Row],[Annual Dividend Per Share]] / 4) * SnapshotTable[[#This Row],[Equity Shares]]</f>
        <v>0</v>
      </c>
      <c r="AF190" s="31">
        <f>SnapshotTable[[#This Row],[Quarterly Div $]] * 4</f>
        <v>0</v>
      </c>
      <c r="AG190" s="7">
        <f>IF(SnapshotTable[[#This Row],[Annual Dividend Per Share]]&gt;0, SnapshotTable[[#This Row],[Annual Dividend Per Share]]  / SnapshotTable[[#This Row],[Last Price]], 0)</f>
        <v>0</v>
      </c>
      <c r="AH190" s="151" t="s">
        <v>2</v>
      </c>
      <c r="AI190" s="5"/>
      <c r="AJ190" s="138" t="s">
        <v>164</v>
      </c>
      <c r="AK190" s="152" t="str">
        <f>IF(ISNUMBER( SnapshotTable[[#This Row],[EBF Target]]),(SnapshotTable[[#This Row],[EBF Target]] - SnapshotTable[[#This Row],[Last Price]]) / SnapshotTable[[#This Row],[Last Price]], "")</f>
        <v/>
      </c>
      <c r="AL190" s="152" t="str">
        <f>IF(AND(SnapshotTable[[#This Row],[Equity Basis Total]] &gt; 0,ISNUMBER( SnapshotTable[[#This Row],[Long Term Target]])), SnapshotTable[[#This Row],[From Basis $]] / SnapshotTable[[#This Row],[Equity Basis Total]], "")</f>
        <v/>
      </c>
      <c r="AM190" s="9">
        <f>IF( AND(SnapshotTable[[#This Row],[Equity Shares]] &gt;0,ISNUMBER( SnapshotTable[[#This Row],[Long Term Target]])),(SnapshotTable[[#This Row],[Equity Shares]] * SnapshotTable[[#This Row],[Long Term Target]]) - SnapshotTable[[#This Row],[Equity Basis Total]],0)</f>
        <v>0</v>
      </c>
      <c r="AN190" s="9">
        <f>IF( AND(SnapshotTable[[#This Row],[Equity Shares]] &gt;0,ISNUMBER( SnapshotTable[[#This Row],[Long Term Target]])),(SnapshotTable[[#This Row],[Equity Shares]]*SnapshotTable[[#This Row],[Long Term Target]]) - SnapshotTable[[#This Row],[Equity Value]],0)</f>
        <v>0</v>
      </c>
      <c r="AO190" s="152" t="str">
        <f>IF(AND(ISNUMBER( SnapshotTable[[#This Row],[Long Term Target]]), ISNUMBER(SnapshotTable[[#This Row],[Last Price]])),(SnapshotTable[[#This Row],[Long Term Target]] - SnapshotTable[[#This Row],[Last Price]]) / SnapshotTable[[#This Row],[Last Price]], "")</f>
        <v/>
      </c>
      <c r="AP190" s="5">
        <v>370</v>
      </c>
      <c r="AQ190" s="38" t="s">
        <v>168</v>
      </c>
      <c r="AR190" s="5"/>
      <c r="AS190" s="38" t="s">
        <v>45</v>
      </c>
      <c r="AT190" s="146"/>
      <c r="AU190" s="187" t="str">
        <f>IF(OR(SnapshotTable[[#This Row],[LP No Fill]]="Y",SnapshotTable[[#This Row],[SP Is Filled]],SnapshotTable[[#This Row],[LC Not Filled]]="Y",SnapshotTable[[#This Row],[SC Is Filled]]),"Y","")</f>
        <v/>
      </c>
      <c r="AV190" s="219"/>
      <c r="AW190" s="225"/>
      <c r="AX190" s="220"/>
      <c r="AY190" s="219" t="str">
        <f>IF(SnapshotTable[[#This Row],[Implied Move]]&gt;0, SnapshotTable[[#This Row],[Last Price]]-SnapshotTable[[#This Row],[Implied Move]],"")</f>
        <v/>
      </c>
      <c r="AZ190" s="219" t="str">
        <f>IF(SnapshotTable[[#This Row],[Implied Move]]&gt;0, SnapshotTable[[#This Row],[Last Price]] + SnapshotTable[[#This Row],[Implied Move]],"")</f>
        <v/>
      </c>
      <c r="BA190" s="331">
        <v>354.87</v>
      </c>
      <c r="BB190" s="347"/>
      <c r="BC19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0" s="351"/>
      <c r="BE190" s="5"/>
      <c r="BF190" s="14"/>
      <c r="BG190" s="13"/>
      <c r="BH190" s="13"/>
      <c r="BI190" s="5"/>
      <c r="BJ190" s="136">
        <f>IF(SnapshotTable[[#This Row],[LP Qty]] &gt; 0, SnapshotTable[[#This Row],[LP Qty]] * SnapshotTable[[#This Row],[LP Book Price]] * 100,0)</f>
        <v>0</v>
      </c>
      <c r="BK190" s="136">
        <f>IF(SnapshotTable[[#This Row],[LP Premium]] &gt; 0, SnapshotTable[[#This Row],[LP Qty]] * SnapshotTable[[#This Row],[LP Strike Price]] * 100,0)</f>
        <v>0</v>
      </c>
      <c r="BL190" s="154"/>
      <c r="BM190" s="385" t="str">
        <f>IF(SnapshotTable[[#This Row],[LP Premium]] &gt; 0,SnapshotTable[[#This Row],[LP Exp Date]]-MAX(SnapshotTable[[#This Row],[LP Book Date]], SnapshotTable[[#This Row],[LP Fill Date]]),"")</f>
        <v/>
      </c>
      <c r="BN190" s="385" t="str">
        <f>IF(ISNUMBER( SnapshotTable[[#This Row],[LP Term]]), SnapshotTable[[#This Row],[LP Exp Date]] - MockToday,"")</f>
        <v/>
      </c>
      <c r="BO190" s="163" t="str">
        <f>IF(AND(SnapshotTable[[#This Row],[LP Exp Date]]&gt;0, SnapshotTable[[#This Row],[LP Strike Price]]&gt;0,SnapshotTable[[#This Row],[LP Qty]]&gt;0,SnapshotTable[[#This Row],[LP Book Date]]&gt;0,SnapshotTable[[#This Row],[LP Book Price]]&gt;0,SnapshotTable[[#This Row],[LP Fill Date]]=0),"Y","")</f>
        <v/>
      </c>
      <c r="BP190" s="31" t="str">
        <f>IF(AND(SnapshotTable[[#This Row],[LP No Fill]]&lt;&gt;"Y",SnapshotTable[[#This Row],[LP Contract Value]]&gt;0, SnapshotTable[[#This Row],[LP Qty]]&gt;0), SnapshotTable[[#This Row],[LP Contract Value]]*SnapshotTable[[#This Row],[LP Qty]]*100,"")</f>
        <v/>
      </c>
      <c r="BQ190" s="13"/>
      <c r="BR190" s="5" t="str">
        <f>IF(SnapshotTable[[#This Row],[SP Exp Date]]&lt;&gt;"",TRUNC(SnapshotTable[[#This Row],[Last Price]]),"")</f>
        <v/>
      </c>
      <c r="BS190" s="36"/>
      <c r="BT190" s="147"/>
      <c r="BU190" s="13"/>
      <c r="BV190" s="5"/>
      <c r="BW190" s="419" t="b">
        <f>AND(ISNUMBER(SnapshotTable[[#This Row],[SP Exp Date]]), ISNUMBER(SnapshotTable[[#This Row],[SP Strike Price]]), ISNUMBER(SnapshotTable[[#This Row],[SP Qty]]), ISNUMBER(SnapshotTable[[#This Row],[SP Book Date]]), ISNUMBER(SnapshotTable[[#This Row],[SP Book Price]]))</f>
        <v>0</v>
      </c>
      <c r="BX190" s="419" t="b">
        <f>AND(SnapshotTable[[#This Row],[SP Is Booked]], NOT(ISBLANK(SnapshotTable[[#This Row],[SP Fill Date]])))</f>
        <v>0</v>
      </c>
      <c r="BY190" s="33">
        <f>IF(SnapshotTable[[#This Row],[SP Is Booked]], SnapshotTable[[#This Row],[SP Qty]] * SnapshotTable[[#This Row],[SP Book Price]] * 100, 0)</f>
        <v>0</v>
      </c>
      <c r="BZ190" s="369"/>
      <c r="CA190" s="368">
        <f>SnapshotTable[[#This Row],[LP Qty]]</f>
        <v>0</v>
      </c>
      <c r="CB190" s="4" t="str">
        <f>IF(SnapshotTable[[#This Row],[SP Is Booked]], SnapshotTable[[#This Row],[SP Strike Price]] - SnapshotTable[[#This Row],[SP Book Price]], "")</f>
        <v/>
      </c>
      <c r="CC190" s="19" t="str">
        <f>IF(SnapshotTable[[#This Row],[SP Is Booked]],SnapshotTable[[#This Row],[SP Exp Date]]-MAX(SnapshotTable[[#This Row],[SP Book Date]], SnapshotTable[[#This Row],[SP Fill Date]]),"")</f>
        <v/>
      </c>
      <c r="CD190" s="7" t="str">
        <f>IF(SnapshotTable[[#This Row],[SP Is Booked]], SnapshotTable[[#This Row],[SP Book Price]]/SnapshotTable[[#This Row],[SP Strike Price]], "")</f>
        <v/>
      </c>
      <c r="CE190" s="7" t="str">
        <f>IF(ISNUMBER(SnapshotTable[[#This Row],[SP ROO Term]]),SnapshotTable[[#This Row],[SP ROO Term]]*(365/SnapshotTable[[#This Row],[SP Term]]),"")</f>
        <v/>
      </c>
      <c r="CF190" s="236">
        <f>SnapshotTable[[#This Row],[LP Strike Price]] * SnapshotTable[[#This Row],[LP Qty]] * 100</f>
        <v>0</v>
      </c>
      <c r="CG190" s="31" t="e">
        <f>IF(ISNUMBER(SnapshotTable[[#This Row],[SP Premium]]), (SnapshotTable[[#This Row],[SP Qty]] * SnapshotTable[[#This Row],[SP Strike Price]]* 100) - SnapshotTable[[#This Row],[LP Protection]], 0)</f>
        <v>#VALUE!</v>
      </c>
      <c r="CH190" s="7" t="str">
        <f>IF(ISNUMBER(SnapshotTable[[#This Row],[SP Break Even]]),-1 * (SnapshotTable[[#This Row],[SP Break Even]] - SnapshotTable[[#This Row],[Last Price]]) / SnapshotTable[[#This Row],[Last Price]], "")</f>
        <v/>
      </c>
      <c r="CI190" s="31">
        <f>IF(AND(ISNUMBER((SnapshotTable[[#This Row],[SP Potential Spend]])), SnapshotTable[[#This Row],[SP Strike Price]] &gt; SnapshotTable[[#This Row],[Last Price]], SnapshotTable[[#This Row],[SP Is Filled]]), SnapshotTable[[#This Row],[SP Potential Spend]] -  SnapshotTable[[#This Row],[LP Max Value]], 0)</f>
        <v>0</v>
      </c>
      <c r="CJ190" s="244"/>
      <c r="CK190" s="31" t="str">
        <f>IF(ISNUMBER(SnapshotTable[[#This Row],[SP Potential Spend]]),IF(ISNUMBER(SnapshotTable[[#This Row],[SP POW]]), SnapshotTable[[#This Row],[SP POW]] * SnapshotTable[[#This Row],[SP Potential Spend]], SnapshotTable[[#This Row],[SP Potential Spend]]), "")</f>
        <v/>
      </c>
      <c r="CL190" s="164" t="e">
        <f>IF(NOT(SnapshotTable[[#This Row],[SP Is Filled]]),(SnapshotTable[[#This Row],[SP Qty]] * SnapshotTable[[#This Row],[SP Strike Price]] * 100) - SnapshotTable[[#This Row],[LP Max Value]],"")</f>
        <v>#VALUE!</v>
      </c>
      <c r="CM190" s="31" t="str">
        <f>IF(SnapshotTable[[#This Row],[SP Actual Spend]]&lt;&gt;0, ((SnapshotTable[[#This Row],[SP Strike Price]]-SnapshotTable[[#This Row],[Last Price]]) *(SnapshotTable[[#This Row],[SP Qty]]*100) - SnapshotTable[[#This Row],[SP Premium]]) * - 1, "")</f>
        <v/>
      </c>
      <c r="CN190" s="78"/>
      <c r="CO190" s="369"/>
      <c r="CP190" s="4" t="str">
        <f>IF(SnapshotTable[[#This Row],[SP Is Filled]], btc_max_buyback_amount(SnapshotTable[[#This Row],[SP Fill Date]],SnapshotTable[[#This Row],[SP Exp Date]], SnapshotTable[[#This Row],[SP Book Price]]),"")</f>
        <v/>
      </c>
      <c r="CQ190" s="78"/>
      <c r="CR19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0" s="155" t="str">
        <f>IF(SnapshotTable[[#This Row],[SP Is Filled]], btc_next_cutoff_date(SnapshotTable[[#This Row],[SP Fill Date]],SnapshotTable[[#This Row],[SP Exp Date]]),"")</f>
        <v/>
      </c>
      <c r="CT190" s="235" t="str" cm="1">
        <f t="array" ref="CT190">IF(SnapshotTable[[#This Row],[SP Is Filled]], btc_should_buy_back(SnapshotTable[[#This Row],[SP Fill Date]], SnapshotTable[[#This Row],[SP Exp Date]], SnapshotTable[[#This Row],[SP Book Price]], SnapshotTable[[#This Row],[SP Current Ask]], MockToday, SnapshotTable[[#This Row],[SP Buyback Override]]),"")</f>
        <v/>
      </c>
      <c r="CU190" s="143"/>
      <c r="CV190" s="235"/>
      <c r="CW190" s="378" t="str">
        <f>IF(ISNUMBER( SnapshotTable[[#This Row],[SP Term]]), SnapshotTable[[#This Row],[SP Exp Date]] - MockToday,"")</f>
        <v/>
      </c>
      <c r="CX190" s="31" t="str">
        <f>IF(SnapshotTable[[#This Row],[SP Is Filled]],SnapshotTable[[#This Row],[SP Buyback Price to Use]] * 100 * SnapshotTable[[#This Row],[SP Qty]], "")</f>
        <v/>
      </c>
      <c r="CY190" s="4" t="str">
        <f>IF(ISNUMBER(SnapshotTable[[#This Row],[SP Strike Price]]), SnapshotTable[[#This Row],[SP Strike Price]] * (1 - SP_MaxLoss_StrikePct), "")</f>
        <v/>
      </c>
      <c r="CZ190" s="31" t="str">
        <f>IF(ISNUMBER(SnapshotTable[[#This Row],[SP Strike  Stop Per Share]]),SnapshotTable[[#This Row],[SP Premium]] - ((SnapshotTable[[#This Row],[SP Strike Price]]-SnapshotTable[[#This Row],[SP Strike  Stop Per Share]]) *(SnapshotTable[[#This Row],[SP Qty]] * 100)),"")</f>
        <v/>
      </c>
      <c r="DA190" s="4" t="str">
        <f>IF(AND(ISNUMBER(SnapshotTable[[#This Row],[SP Premium]]),SnapshotTable[[#This Row],[SP Premium]]&gt;0), SnapshotTable[[#This Row],[SP Book Price]] * (1 + SP_MaxLoss_OptionPct), "")</f>
        <v/>
      </c>
      <c r="DB190" s="31" t="str">
        <f>IF(ISNUMBER(SnapshotTable[[#This Row],[SP Option  Stop Contract]]),(SnapshotTable[[#This Row],[SP Option  Stop Contract]] *(SnapshotTable[[#This Row],[SP Qty]] * 100) - SnapshotTable[[#This Row],[SP Premium]]),"")</f>
        <v/>
      </c>
      <c r="DC190" s="4"/>
      <c r="DD190" s="4"/>
      <c r="DE190" s="4" t="str">
        <f>IF(AND(SnapshotTable[[#This Row],[SP Qty]]&gt;0, SnapshotTable[[#This Row],[SP Stop To Use]]&gt;0),SnapshotTable[[#This Row],[SP Premium]] - ( SnapshotTable[[#This Row],[SP Qty]] * SnapshotTable[[#This Row],[SP Stop To Use]] * 100), "")</f>
        <v/>
      </c>
      <c r="DF190" s="31" t="str">
        <f>IF(AND(SnapshotTable[[#This Row],[SP Qty]]&gt;0,SnapshotTable[[#This Row],[SP Current Ask]]&gt;0), SnapshotTable[[#This Row],[SP Qty]] * SnapshotTable[[#This Row],[SP Current Ask]] * -100, "")</f>
        <v/>
      </c>
      <c r="DG190" s="31" t="str">
        <f>IF(ISNUMBER((SnapshotTable[[#This Row],[SP Total Value]])), SnapshotTable[[#This Row],[SP Premium]] + SnapshotTable[[#This Row],[SP Total Value]], "")</f>
        <v/>
      </c>
      <c r="DH190" s="294" t="str">
        <f>IF(ISNUMBER((SnapshotTable[[#This Row],[SP Total Value]])), SnapshotTable[[#This Row],[SP Gain Loss]] / SnapshotTable[[#This Row],[SP Premium]], "")</f>
        <v/>
      </c>
      <c r="DI190" s="406"/>
      <c r="DJ190" s="138"/>
      <c r="DK190" s="148"/>
      <c r="DL190" s="13"/>
      <c r="DM190" s="13"/>
      <c r="DO190" s="31">
        <f>IF(SnapshotTable[[#This Row],[LC Symbol Count]]=1, SnapshotTable[[#This Row],[LC Qty]] * SnapshotTable[[#This Row],[LC Book Price]] * 100, 0)</f>
        <v>0</v>
      </c>
      <c r="DP190" s="163" t="str">
        <f>IF(AND(SnapshotTable[[#This Row],[LC Exp Date]]&gt;0, SnapshotTable[[#This Row],[LC Strike Price]]&gt;0,SnapshotTable[[#This Row],[LC Qty]]&gt;0,SnapshotTable[[#This Row],[LC Book Date]]&gt;0,SnapshotTable[[#This Row],[LC Book Price]]&gt;0,SnapshotTable[[#This Row],[LC Fill Date]]=0),"Y","")</f>
        <v/>
      </c>
      <c r="DQ190" s="386" t="str">
        <f>IF(SnapshotTable[[#This Row],[LC Premium]] &gt; 0,SnapshotTable[[#This Row],[LC Exp Date]]-MAX(SnapshotTable[[#This Row],[LC Book Date]], SnapshotTable[[#This Row],[LC Fill Date]]),"")</f>
        <v/>
      </c>
      <c r="DR190" s="386" t="str">
        <f>IF(ISNUMBER(SnapshotTable[[#This Row],[LC Term]]), SnapshotTable[[#This Row],[LC Exp Date]] - MockToday, "")</f>
        <v/>
      </c>
      <c r="DS190" s="234" t="str">
        <f>IF(SnapshotTable[[#This Row],[LC Premium]]&gt;0,SnapshotTable[[#This Row],[LC Strike Price]] + SnapshotTable[[#This Row],[LC Book Price]],"")</f>
        <v/>
      </c>
      <c r="DU190" s="9" t="str">
        <f>IF(AND(SnapshotTable[[#This Row],[LC Symbol Count]]&gt;0, SnapshotTable[[#This Row],[LC Contract Value]]&gt;0), SnapshotTable[[#This Row],[LC Contract Value]] * SnapshotTable[[#This Row],[LC Qty]] * 100, "")</f>
        <v/>
      </c>
      <c r="DV190" s="9" t="str">
        <f>IF(AND(ISNUMBER(SnapshotTable[[#This Row],[LC Total Value]]), SnapshotTable[[#This Row],[LC Not Filled]]&lt;&gt;"Y"), SnapshotTable[[#This Row],[LC Total Value]]-SnapshotTable[[#This Row],[LC Premium]],"")</f>
        <v/>
      </c>
      <c r="DW190" s="240" t="str">
        <f>IF(ISNUMBER(SnapshotTable[[#This Row],[LC Actual Gain Loss]]), SnapshotTable[[#This Row],[LC Actual Gain Loss]] / SnapshotTable[[#This Row],[LC Premium]],"")</f>
        <v/>
      </c>
      <c r="DX190" s="284" t="str">
        <f>IF(ISNUMBER(SnapshotTable[[#This Row],[LC Book Price]]),SnapshotTable[[#This Row],[LC Book Price]] * 1.5,"")</f>
        <v/>
      </c>
      <c r="DY190" s="265" t="str">
        <f>IF(SnapshotTable[[#This Row],[LC Premium]]&gt;0, SnapshotTable[[#This Row],[LC Next Target]] * SnapshotTable[[#This Row],[LC Qty]] * 100,"")</f>
        <v/>
      </c>
      <c r="DZ190" s="265" t="str">
        <f>IF(ISNUMBER(SnapshotTable[[#This Row],[LC Target Gross]]), SnapshotTable[[#This Row],[LC Target Gross]] - SnapshotTable[[#This Row],[LC Premium]], "")</f>
        <v/>
      </c>
      <c r="EA190" s="305" t="str">
        <f>IF(ISNUMBER(SnapshotTable[[#This Row],[LC Target Gain Loss]]), SnapshotTable[[#This Row],[LC Target Gain Loss]]/SnapshotTable[[#This Row],[LC Premium]], "")</f>
        <v/>
      </c>
      <c r="EB190" s="262"/>
      <c r="EC190" s="283" t="str">
        <f>IF(SnapshotTable[[#This Row],[LC Premium]]&gt;0, SnapshotTable[[#This Row],[LC Book Price]] * (1 - LC_StopLoss_Pct),"")</f>
        <v/>
      </c>
      <c r="ED190" s="284"/>
      <c r="EE190" s="283" t="str">
        <f>IF(ISNUMBER(SnapshotTable[[#This Row],[LC Contract Value]]),IF(ISNUMBER(SnapshotTable[[#This Row],[LC Stop Loss Override]]), SnapshotTable[[#This Row],[LC Stop Loss Override]],SnapshotTable[[#This Row],[LC Stop Loss Calc Target]]),"")</f>
        <v/>
      </c>
      <c r="EF190" s="31" t="str">
        <f>IF(ISNUMBER(SnapshotTable[[#This Row],[LC Stop  To Use]]), (SnapshotTable[[#This Row],[LC Stop  To Use]] * SnapshotTable[[#This Row],[LC Qty]] * 100),"")</f>
        <v/>
      </c>
      <c r="EG190" s="9" t="str">
        <f>IF(ISNUMBER(SnapshotTable[[#This Row],[LC Total Value]]),SnapshotTable[[#This Row],[LC Stop Loss Amount]] - SnapshotTable[[#This Row],[LC Premium]],"")</f>
        <v/>
      </c>
      <c r="EH190" s="9">
        <f>IF(ISNUMBER(SnapshotTable[[#This Row],[LC Premium]]), SnapshotTable[[#This Row],[LC Qty]] * 100 * SnapshotTable[[#This Row],[LC Strike Price]], "")</f>
        <v>0</v>
      </c>
      <c r="EI190" s="240" t="str">
        <f>IF(AND(ISNUMBER(SnapshotTable[[#This Row],[LC Total Value]]),SnapshotTable[[#This Row],[LC Total Value]]&gt;0),SnapshotTable[[#This Row],[LC Stop Gain Loss]]  / SnapshotTable[[#This Row],[LC Premium]],"")</f>
        <v/>
      </c>
      <c r="EJ190" s="35">
        <f>IF(ISNUMBER(SnapshotTable[[#This Row],[Equity Shares]]),TRUNC(SnapshotTable[[#This Row],[Equity Shares]] / 100),0) + SnapshotTable[[#This Row],[LC Qty]]</f>
        <v>0</v>
      </c>
      <c r="EK190" s="147"/>
      <c r="EL190" s="138" t="str">
        <f>IF(SnapshotTable[[#This Row],[SC Exp Date]]&lt;&gt;"",TRUNC(SnapshotTable[[#This Row],[Last Price]]),"")</f>
        <v/>
      </c>
      <c r="EM190" s="148"/>
      <c r="EN190" s="147"/>
      <c r="EO190" s="147"/>
      <c r="EP190" s="138"/>
      <c r="EQ190" s="419" t="b">
        <f>AND(ISNUMBER(SnapshotTable[[#This Row],[SC Exp Date]]), ISNUMBER(SnapshotTable[[#This Row],[SC Strike Price]]), ISNUMBER(SnapshotTable[[#This Row],[SC Qty]]), ISNUMBER(SnapshotTable[[#This Row],[SC Book Date]]), ISNUMBER(SnapshotTable[[#This Row],[SC Book Price]]))</f>
        <v>0</v>
      </c>
      <c r="ER190" s="419" t="b">
        <f>AND(SnapshotTable[[#This Row],[SC Is Booked]], NOT(ISBLANK(SnapshotTable[[#This Row],[SC Fill Date]])))</f>
        <v>0</v>
      </c>
      <c r="ES190" s="370"/>
      <c r="ET190" s="34" t="str">
        <f>IF(AND(ISNUMBER(SnapshotTable[[#This Row],[SC Exp Date]]), ISNUMBER(SnapshotTable[[#This Row],[SC Book Date]])), SnapshotTable[[#This Row],[SC Exp Date]] - MAX(SnapshotTable[[#This Row],[SC Book Date]], SnapshotTable[[#This Row],[SC Fill Date]]) + 1, "")</f>
        <v/>
      </c>
      <c r="EU190" s="34" t="str">
        <f>IF(ISNUMBER(SnapshotTable[[#This Row],[SC Term]]), SnapshotTable[[#This Row],[SC Exp Date]]- MockToday, "")</f>
        <v/>
      </c>
      <c r="EV190" s="31">
        <f>IF(SnapshotTable[[#This Row],[SC Is Booked]], SnapshotTable[[#This Row],[SC Qty]] * SnapshotTable[[#This Row],[SC Book Price]] * 100, 0)</f>
        <v>0</v>
      </c>
      <c r="EW190" s="4" t="str">
        <f>IF(AND(ISNUMBER(SnapshotTable[[#This Row],[Last Price]]), ISNUMBER( SnapshotTable[[#This Row],[SC Book Price]])), SnapshotTable[[#This Row],[Last Price]] - SnapshotTable[[#This Row],[SC Book Price]],"")</f>
        <v/>
      </c>
      <c r="EX190" s="234" t="str">
        <f>IF(SnapshotTable[[#This Row],[SC Is Booked]],IF(SnapshotTable[[#This Row],[SC Intrinsic Value]] &gt; 0, SnapshotTable[[#This Row],[SC Strike Price]], SnapshotTable[[#This Row],[Last Price]]), "")</f>
        <v/>
      </c>
      <c r="EY190" s="4">
        <f>IF(SnapshotTable[[#This Row],[SC Is Booked]], (MinimumPremiumRequired * SnapshotTable[[#This Row],[SC Basis]] * SnapshotTable[[#This Row],[SC Term]]), 0)</f>
        <v>0</v>
      </c>
      <c r="EZ190" s="283"/>
      <c r="FA190" s="218"/>
      <c r="FB190" s="370"/>
      <c r="FC190" s="4">
        <f>IF(SnapshotTable[[#This Row],[SC Is Filled]], btc_max_buyback_amount(SnapshotTable[[#This Row],[SC Fill Date]],SnapshotTable[[#This Row],[SC Exp Date]], SnapshotTable[[#This Row],[SC Book Price]]),0)</f>
        <v>0</v>
      </c>
      <c r="FD190" s="5"/>
      <c r="FE190" s="144" t="str">
        <f>IF(SnapshotTable[[#This Row],[SC Is Filled]], btc_next_cutoff_date(SnapshotTable[[#This Row],[SC Fill Date]],SnapshotTable[[#This Row],[SC Exp Date]]),"")</f>
        <v/>
      </c>
      <c r="FF190" s="4" t="str" cm="1">
        <f t="array" ref="FF190">IF(SnapshotTable[[#This Row],[SC Is Filled]], btc_should_buy_back(SnapshotTable[[#This Row],[SC Fill Date]], SnapshotTable[[#This Row],[SC Exp Date]], SnapshotTable[[#This Row],[SC Book Price]], SnapshotTable[[#This Row],[SC Current Ask]], MockToday, SnapshotTable[[#This Row],[SC Buyback Override]]),"")</f>
        <v/>
      </c>
      <c r="FG190" s="4">
        <f>IF(SnapshotTable[[#This Row],[SC Is Filled]], MAX(0,SnapshotTable[[#This Row],[Last Price]]  - SnapshotTable[[#This Row],[SC Strike Price]]), 0)</f>
        <v>0</v>
      </c>
      <c r="FH190" s="382">
        <f>IF(SnapshotTable[[#This Row],[SC Is Filled]], IF(ISNUMBER(SnapshotTable[[#This Row],[SC Current Ask]]), SnapshotTable[[#This Row],[SC Current Ask]], SnapshotTable[[#This Row],[SC Book Price]]) - SnapshotTable[[#This Row],[SC Intrinsic Value]], 0)</f>
        <v>0</v>
      </c>
      <c r="FI190" s="143"/>
      <c r="FJ190" s="32" t="str">
        <f>IF(SnapshotTable[[#This Row],[SC Is Filled]],100 * SnapshotTable[[#This Row],[SC Qty]] * IF(ISNUMBER(SnapshotTable[[#This Row],[SC Buyback Override]]), SnapshotTable[[#This Row],[SC Buyback Override]], SnapshotTable[[#This Row],[SC Current Ask]]), "")</f>
        <v/>
      </c>
      <c r="FK190" s="250" t="str">
        <f>IF(SnapshotTable[[#This Row],[SC Time Val]]&gt;0, SnapshotTable[[#This Row],[SC Time Val]] / SnapshotTable[[#This Row],[Last Price]],"")</f>
        <v/>
      </c>
      <c r="FL190" s="302" t="str">
        <f>IF(SnapshotTable[[#This Row],[SC Is Booked]], ((SnapshotTable[[#This Row],[Last Price]] -SnapshotTable[[#This Row],[SC Strike Price]]) / SnapshotTable[[#This Row],[Last Price]]) * -1, "")</f>
        <v/>
      </c>
      <c r="FM190" s="157" t="str">
        <f>IF(SnapshotTable[[#This Row],[SC Is Booked]],  (SnapshotTable[[#This Row],[SC Qty]] * 100 * SnapshotTable[[#This Row],[SC Strike Price]]) - SnapshotTable[[#This Row],[SC Current Ask]], "")</f>
        <v/>
      </c>
      <c r="FN19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0" s="31" t="str">
        <f>IF(AND(ISNUMBER(SnapshotTable[[#This Row],[SC Exercise Gross]]), ISNUMBER(SnapshotTable[[#This Row],[Equity Basis Per Share]] )), SnapshotTable[[#This Row],[SC Exercise Gross]] - SnapshotTable[[#This Row],[Equity Basis Total]] +  SnapshotTable[[#This Row],[SC Premium]], "")</f>
        <v/>
      </c>
      <c r="FP190" s="5" t="str">
        <f>IF(ISNUMBER(SnapshotTable[[#This Row],[SC Exercise Gross]]), (SnapshotTable[[#This Row],[SC Exercise Gross]]) / (SnapshotTable[[#This Row],[SC Qty]] * 100), "")</f>
        <v/>
      </c>
      <c r="FQ190" s="27" t="str">
        <f>IF(SnapshotTable[[#This Row],[SC Is Booked]],SnapshotTable[[#This Row],[SC Time Val]] /SnapshotTable[[#This Row],[SC Basis]], "")</f>
        <v/>
      </c>
      <c r="FR190" s="27" t="str" cm="1">
        <f t="array" ref="FR190">IF(AND(ISNUMBER(SnapshotTable[[#This Row],[SC Term]]),ISNUMBER(SnapshotTable[[#This Row],[SC Simple ROO]])), EllmanAnnualize(SnapshotTable[[#This Row],[SC DTE]], SnapshotTable[[#This Row],[SC Simple ROO]] ),"")</f>
        <v/>
      </c>
      <c r="FS190" s="4" t="e">
        <f>IF(SnapshotTable[[#This Row],[SC Strike Price]] &gt; SnapshotTable[[#This Row],[Last Price]], SnapshotTable[[#This Row],[SC Strike Price]] - SnapshotTable[[#This Row],[Last Price]],0)</f>
        <v>#VALUE!</v>
      </c>
      <c r="FT190" s="27" t="e">
        <f>IF(AND(ISNUMBER(SnapshotTable[[#This Row],[SC Upside Potential]]), SnapshotTable[[#This Row],[SC Upside Potential]] &gt; 0),(SnapshotTable[[#This Row],[SC Upside Potential]]/ SnapshotTable[[#This Row],[ACB]]),"")</f>
        <v>#VALUE!</v>
      </c>
      <c r="FU190" s="333" t="str">
        <f>IF(SnapshotTable[[#This Row],[SC Intrinsic Value]] &gt; 0,SnapshotTable[[#This Row],[SC Intrinsic Value]],"")</f>
        <v/>
      </c>
      <c r="FV190" s="27" t="str">
        <f>IF(AND( ISNUMBER( SnapshotTable[[#This Row],[ACB]]),ISNUMBER(SnapshotTable[[#This Row],[SC Downside Protect]])),SnapshotTable[[#This Row],[SC Downside Protect]] / SnapshotTable[[#This Row],[ACB]],"")</f>
        <v/>
      </c>
      <c r="FW190" s="236" t="str">
        <f>IF(AND(ISNUMBER(SnapshotTable[[#This Row],[SC Simple ROO]]),SnapshotTable[[#This Row],[SC Simple ROO]] &gt; 0), SnapshotTable[[#This Row],[SC Premium]] + (SnapshotTable[[#This Row],[SC Qty]] * SnapshotTable[[#This Row],[SC Upside Potential]]), "")</f>
        <v/>
      </c>
      <c r="FX190" s="302" t="str" cm="1">
        <f t="array" ref="FX190">IF(ISNUMBER(SnapshotTable[[#This Row],[SC Max Dollars]]), annualize(SnapshotTable[[#This Row],[SC Term]],(SnapshotTable[[#This Row],[SC Max Dollars]]/SnapshotTable[[#This Row],[SC Basis]])),"")</f>
        <v/>
      </c>
      <c r="FY190" s="236" t="str">
        <f>IF(AND(SnapshotTable[[#This Row],[SC Qty]]&gt;0,SnapshotTable[[#This Row],[SC Current Ask]]&gt;0), SnapshotTable[[#This Row],[SC Qty]] * SnapshotTable[[#This Row],[SC Current Ask]] * -100, "")</f>
        <v/>
      </c>
      <c r="FZ190" s="31" t="str">
        <f>IF(ISNUMBER((SnapshotTable[[#This Row],[SC Current Value]])), SnapshotTable[[#This Row],[SC Premium]] + SnapshotTable[[#This Row],[SC Current Value]], "")</f>
        <v/>
      </c>
      <c r="GA190" s="294" t="str">
        <f>IFERROR( IF(ISNUMBER((SnapshotTable[[#This Row],[SC Current Value]])), SnapshotTable[[#This Row],[SC Gain Loss]] / SnapshotTable[[#This Row],[SC Premium]], ""), "")</f>
        <v/>
      </c>
      <c r="GB190" s="42">
        <f>SnapshotTable[[#This Row],[Equity Shares]] * SaleSharesToConsiderPercentage</f>
        <v>0</v>
      </c>
      <c r="GC190" s="40" t="e">
        <f>SnapshotTable[[#This Row],[Long Term Target]] * SellingPriceToConsiderBasedOnTargetPercentage</f>
        <v>#VALUE!</v>
      </c>
      <c r="GD190" s="40">
        <f>SnapshotTable[[#This Row],[Last Price]] * (1+ SellingPriceToConsiderBasedOnTargetPercentage)</f>
        <v>739.28399999999999</v>
      </c>
      <c r="GE190" s="41"/>
      <c r="GF190" s="40"/>
      <c r="GG190" s="31">
        <f>SnapshotTable[[#This Row],[Booked Sale Shares]] * SnapshotTable[[#This Row],[Booked Sale Price]]</f>
        <v>0</v>
      </c>
      <c r="GH190" s="31" t="str">
        <f>IF(SnapshotTable[[#This Row],[Equity Basis Total]] &gt; 0, SnapshotTable[[#This Row],[Equity Basis Per Share]] * SnapshotTable[[#This Row],[Booked Sale Shares]], "")</f>
        <v/>
      </c>
      <c r="GI190" s="31">
        <f>IF(SnapshotTable[[#This Row],[Sale Proceeds]]&gt;0, SnapshotTable[[#This Row],[Sale Proceeds]] - SnapshotTable[[#This Row],[Sale Basis]], 0)</f>
        <v>0</v>
      </c>
      <c r="GJ190" s="27" t="str">
        <f>IF(SnapshotTable[[#This Row],[Sale G/L]]&gt;0, SnapshotTable[[#This Row],[Sale G/L]] / SnapshotTable[[#This Row],[Sale Basis]], IF(ISNUMBER(SnapshotTable[[#This Row],[SC Exercise P&amp;L (TAX)]]), SnapshotTable[[#This Row],[SC Exercise P&amp;L (TAX)]] / SnapshotTable[[#This Row],[SC Basis]], ""))</f>
        <v/>
      </c>
      <c r="GK190" s="27" t="s">
        <v>715</v>
      </c>
      <c r="GL190" s="43" t="str">
        <f>IF(AND(SnapshotTable[[#This Row],[LP Exp Date]]&gt;0,SnapshotTable[[#This Row],[LP Strike Price]]&gt;0), [1]!ToOptionSymbol(SnapshotTable[[#This Row],[Symbol]], SnapshotTable[[#This Row],[LP Strike Price]],SnapshotTable[[#This Row],[LP Exp Date]],1), "")</f>
        <v/>
      </c>
      <c r="GM190" s="30" t="str">
        <f>IF(LEN(SnapshotTable[[#This Row],[LP Symbol]])&gt;0, 1, "")</f>
        <v/>
      </c>
      <c r="GN190" s="43" t="str">
        <f>IF(AND(SnapshotTable[[#This Row],[SP Exp Date]]&gt;0,SnapshotTable[[#This Row],[SP Strike Price]]&gt;0), [1]!ToOptionSymbol(SnapshotTable[[#This Row],[Symbol]], SnapshotTable[[#This Row],[SP Strike Price]],SnapshotTable[[#This Row],[SP Exp Date]],1), "")</f>
        <v/>
      </c>
      <c r="GO190" s="30" t="str">
        <f>IF(LEN(SnapshotTable[[#This Row],[SP Symbol]])&gt;0, 1, "")</f>
        <v/>
      </c>
      <c r="GP190" s="43" t="str">
        <f>IF(AND(SnapshotTable[[#This Row],[LC Exp Date]]&gt;0,SnapshotTable[[#This Row],[LC Strike Price]]&gt;0), [1]!ToOptionSymbol(SnapshotTable[[#This Row],[Symbol]], SnapshotTable[[#This Row],[LC Strike Price]],SnapshotTable[[#This Row],[LC Exp Date]],0), "")</f>
        <v/>
      </c>
      <c r="GQ190" s="30" t="str">
        <f>IF(LEN(SnapshotTable[[#This Row],[LC Symbol]])&gt;0, 1, "")</f>
        <v/>
      </c>
      <c r="GR190" s="43" t="str">
        <f>IF(AND(SnapshotTable[[#This Row],[SC Exp Date]]&gt;0,SnapshotTable[[#This Row],[SC Strike Price]]&gt;0), [1]!ToOptionSymbol(SnapshotTable[[#This Row],[Symbol]], SnapshotTable[[#This Row],[SC Strike Price]],SnapshotTable[[#This Row],[SC Exp Date]],0), "")</f>
        <v/>
      </c>
      <c r="GS190" s="30" t="str">
        <f>IF(LEN(SnapshotTable[[#This Row],[SC Symbol]])&gt;0, 1, "")</f>
        <v/>
      </c>
      <c r="GT190" s="29" t="str">
        <f>IF(COUNT(SnapshotTable[[#This Row],[LP Symbol Count]],SnapshotTable[[#This Row],[SP Symbol Count]],SnapshotTable[[#This Row],[LC Symbol Count]],SnapshotTable[[#This Row],[SC Symbol Count]])&gt;0, "Y", "")</f>
        <v/>
      </c>
      <c r="GU19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0" s="231" t="e">
        <f>MAX(SnapshotTable[[#This Row],[Equity Basis Total]],SnapshotTable[[#This Row],[Equity Value]]) + (SnapshotTable[[#This Row],[SP Potential Spend]]- SnapshotTable[[#This Row],[SP Premium]] + SnapshotTable[[#This Row],[LP Premium]])+ (SnapshotTable[[#This Row],[LC Premium]] - SnapshotTable[[#This Row],[SC Premium]])</f>
        <v>#VALUE!</v>
      </c>
      <c r="GW190" s="139" t="e">
        <f>IF(AND(SnapshotTable[[#This Row],[Exposure]] &lt;&gt; 0),SnapshotTable[[#This Row],[Exposure]] / SnapshotTable[[#Totals],[Exposure]], "")</f>
        <v>#VALUE!</v>
      </c>
      <c r="HE190" s="268"/>
      <c r="HF190" s="268"/>
      <c r="HK190" s="1"/>
      <c r="HL190" s="1"/>
      <c r="HM190" s="1"/>
      <c r="HN190" s="1"/>
      <c r="HO190" s="1"/>
      <c r="HP190" s="1"/>
    </row>
    <row r="191" spans="2:224" ht="12.75" hidden="1" customHeight="1" x14ac:dyDescent="0.25">
      <c r="B191" s="12" t="s">
        <v>238</v>
      </c>
      <c r="C191" s="422">
        <v>82.13</v>
      </c>
      <c r="D191" s="208" t="s">
        <v>578</v>
      </c>
      <c r="E191" s="39">
        <f>SnapshotTable[[#This Row],[Last Price]]*(1 -CrashDiscount)</f>
        <v>69.81049999999999</v>
      </c>
      <c r="F191" s="26" t="s">
        <v>236</v>
      </c>
      <c r="G191" s="26" t="s">
        <v>17</v>
      </c>
      <c r="H191" s="149"/>
      <c r="I191" s="194">
        <v>44859.25</v>
      </c>
      <c r="J191" s="195">
        <v>44859.25</v>
      </c>
      <c r="K191" s="196" t="s">
        <v>3</v>
      </c>
      <c r="L191" s="326"/>
      <c r="M191" s="140"/>
      <c r="N191" s="140"/>
      <c r="O191" s="140"/>
      <c r="P191" s="22"/>
      <c r="Q191" s="25"/>
      <c r="R191" s="4" t="str">
        <f>IF(SnapshotTable[[#This Row],[Equity Basis Total]] &gt; 0, SnapshotTable[[#This Row],[Equity Basis Total]] / SnapshotTable[[#This Row],[Equity Shares]], "")</f>
        <v/>
      </c>
      <c r="S191" s="269">
        <f>SnapshotTable[[#This Row],[Last Price]] * SnapshotTable[[#This Row],[Equity Shares]]</f>
        <v>0</v>
      </c>
      <c r="T191" s="269">
        <f>SnapshotTable[[#This Row],[Equity Value]] - SnapshotTable[[#This Row],[Equity Basis Total]]</f>
        <v>0</v>
      </c>
      <c r="U191" s="270" t="str">
        <f>IF(SnapshotTable[[#This Row],[Equity Basis Total]] &gt; 0, SnapshotTable[[#This Row],[Equity G/L]] / SnapshotTable[[#This Row],[Equity Basis Total]], "")</f>
        <v/>
      </c>
      <c r="V191" s="268"/>
      <c r="W191" s="268"/>
      <c r="X191" s="4" t="str">
        <f>IF(AND(ISNUMBER(SnapshotTable[[#This Row],[Equity Basis Per Share]]),ISNUMBER(SnapshotTable[[#This Row],[Equity Target]])),SnapshotTable[[#This Row],[Equity Target]]-SnapshotTable[[#This Row],[Equity Basis Per Share]],"")</f>
        <v/>
      </c>
      <c r="Y191" s="4" t="str">
        <f>IF(AND(ISNUMBER(SnapshotTable[[#This Row],[Equity Basis Per Share]]),ISNUMBER(SnapshotTable[[#This Row],[Equity Stop Loss]])),SnapshotTable[[#This Row],[Equity Stop Loss]]-SnapshotTable[[#This Row],[Equity Basis Per Share]],"")</f>
        <v/>
      </c>
      <c r="Z191" s="275" t="str">
        <f>IFERROR( TEXT(SnapshotTable[[#This Row],[Equity Max Gain Per Share]] /ABS( SnapshotTable[[#This Row],[Equity Max Loss Per Share]]),"0.0 " ) &amp; " : 1", "")</f>
        <v/>
      </c>
      <c r="AA191" s="31" t="str">
        <f>IF(ISNUMBER(SnapshotTable[[#This Row],[Equity Max Gain Per Share]]),SnapshotTable[[#This Row],[Equity Max Gain Per Share]] * SnapshotTable[[#This Row],[Equity Shares]],"")</f>
        <v/>
      </c>
      <c r="AB191" s="31" t="str">
        <f>IF(ISNUMBER(SnapshotTable[[#This Row],[Equity Max Loss Per Share]]),SnapshotTable[[#This Row],[Equity Max Loss Per Share]] * SnapshotTable[[#This Row],[Equity Shares]],"")</f>
        <v/>
      </c>
      <c r="AC191" s="150"/>
      <c r="AD191" s="151"/>
      <c r="AE191" s="31">
        <f>(SnapshotTable[[#This Row],[Annual Dividend Per Share]] / 4) * SnapshotTable[[#This Row],[Equity Shares]]</f>
        <v>0</v>
      </c>
      <c r="AF191" s="31">
        <f>SnapshotTable[[#This Row],[Quarterly Div $]] * 4</f>
        <v>0</v>
      </c>
      <c r="AG191" s="7">
        <f>IF(SnapshotTable[[#This Row],[Annual Dividend Per Share]]&gt;0, SnapshotTable[[#This Row],[Annual Dividend Per Share]]  / SnapshotTable[[#This Row],[Last Price]], 0)</f>
        <v>0</v>
      </c>
      <c r="AH191" s="151"/>
      <c r="AI191" s="5"/>
      <c r="AJ191" s="138">
        <v>70.83</v>
      </c>
      <c r="AK191" s="152" t="str">
        <f>IF(ISNUMBER( SnapshotTable[[#This Row],[EBF Target]]),(SnapshotTable[[#This Row],[EBF Target]] - SnapshotTable[[#This Row],[Last Price]]) / SnapshotTable[[#This Row],[Last Price]], "")</f>
        <v/>
      </c>
      <c r="AL191" s="152" t="str">
        <f>IF(AND(SnapshotTable[[#This Row],[Equity Basis Total]] &gt; 0,ISNUMBER( SnapshotTable[[#This Row],[Long Term Target]])), SnapshotTable[[#This Row],[From Basis $]] / SnapshotTable[[#This Row],[Equity Basis Total]], "")</f>
        <v/>
      </c>
      <c r="AM191" s="9">
        <f>IF( AND(SnapshotTable[[#This Row],[Equity Shares]] &gt;0,ISNUMBER( SnapshotTable[[#This Row],[Long Term Target]])),(SnapshotTable[[#This Row],[Equity Shares]] * SnapshotTable[[#This Row],[Long Term Target]]) - SnapshotTable[[#This Row],[Equity Basis Total]],0)</f>
        <v>0</v>
      </c>
      <c r="AN191" s="9">
        <f>IF( AND(SnapshotTable[[#This Row],[Equity Shares]] &gt;0,ISNUMBER( SnapshotTable[[#This Row],[Long Term Target]])),(SnapshotTable[[#This Row],[Equity Shares]]*SnapshotTable[[#This Row],[Long Term Target]]) - SnapshotTable[[#This Row],[Equity Value]],0)</f>
        <v>0</v>
      </c>
      <c r="AO191" s="152">
        <f>IF(AND(ISNUMBER( SnapshotTable[[#This Row],[Long Term Target]]), ISNUMBER(SnapshotTable[[#This Row],[Last Price]])),(SnapshotTable[[#This Row],[Long Term Target]] - SnapshotTable[[#This Row],[Last Price]]) / SnapshotTable[[#This Row],[Last Price]], "")</f>
        <v>-0.13758675270911966</v>
      </c>
      <c r="AP191" s="5"/>
      <c r="AQ191" s="38"/>
      <c r="AR191" s="5"/>
      <c r="AS191" s="38"/>
      <c r="AT191" s="146"/>
      <c r="AU191" s="187" t="str">
        <f>IF(OR(SnapshotTable[[#This Row],[LP No Fill]]="Y",SnapshotTable[[#This Row],[SP Is Filled]],SnapshotTable[[#This Row],[LC Not Filled]]="Y",SnapshotTable[[#This Row],[SC Is Filled]]),"Y","")</f>
        <v/>
      </c>
      <c r="AV191" s="219"/>
      <c r="AW191" s="225"/>
      <c r="AX191" s="220"/>
      <c r="AY191" s="219" t="str">
        <f>IF(SnapshotTable[[#This Row],[Implied Move]]&gt;0, SnapshotTable[[#This Row],[Last Price]]-SnapshotTable[[#This Row],[Implied Move]],"")</f>
        <v/>
      </c>
      <c r="AZ191" s="219" t="str">
        <f>IF(SnapshotTable[[#This Row],[Implied Move]]&gt;0, SnapshotTable[[#This Row],[Last Price]] + SnapshotTable[[#This Row],[Implied Move]],"")</f>
        <v/>
      </c>
      <c r="BA191" s="331">
        <v>6.44</v>
      </c>
      <c r="BB191" s="347"/>
      <c r="BC19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1" s="351"/>
      <c r="BE191" s="5"/>
      <c r="BF191" s="14"/>
      <c r="BG191" s="13"/>
      <c r="BH191" s="13"/>
      <c r="BI191" s="5"/>
      <c r="BJ191" s="136">
        <f>IF(SnapshotTable[[#This Row],[LP Qty]] &gt; 0, SnapshotTable[[#This Row],[LP Qty]] * SnapshotTable[[#This Row],[LP Book Price]] * 100,0)</f>
        <v>0</v>
      </c>
      <c r="BK191" s="136">
        <f>IF(SnapshotTable[[#This Row],[LP Premium]] &gt; 0, SnapshotTable[[#This Row],[LP Qty]] * SnapshotTable[[#This Row],[LP Strike Price]] * 100,0)</f>
        <v>0</v>
      </c>
      <c r="BL191" s="154"/>
      <c r="BM191" s="385" t="str">
        <f>IF(SnapshotTable[[#This Row],[LP Premium]] &gt; 0,SnapshotTable[[#This Row],[LP Exp Date]]-MAX(SnapshotTable[[#This Row],[LP Book Date]], SnapshotTable[[#This Row],[LP Fill Date]]),"")</f>
        <v/>
      </c>
      <c r="BN191" s="385" t="str">
        <f>IF(ISNUMBER( SnapshotTable[[#This Row],[LP Term]]), SnapshotTable[[#This Row],[LP Exp Date]] - MockToday,"")</f>
        <v/>
      </c>
      <c r="BO191" s="163" t="str">
        <f>IF(AND(SnapshotTable[[#This Row],[LP Exp Date]]&gt;0, SnapshotTable[[#This Row],[LP Strike Price]]&gt;0,SnapshotTable[[#This Row],[LP Qty]]&gt;0,SnapshotTable[[#This Row],[LP Book Date]]&gt;0,SnapshotTable[[#This Row],[LP Book Price]]&gt;0,SnapshotTable[[#This Row],[LP Fill Date]]=0),"Y","")</f>
        <v/>
      </c>
      <c r="BP191" s="31" t="str">
        <f>IF(AND(SnapshotTable[[#This Row],[LP No Fill]]&lt;&gt;"Y",SnapshotTable[[#This Row],[LP Contract Value]]&gt;0, SnapshotTable[[#This Row],[LP Qty]]&gt;0), SnapshotTable[[#This Row],[LP Contract Value]]*SnapshotTable[[#This Row],[LP Qty]]*100,"")</f>
        <v/>
      </c>
      <c r="BQ191" s="13"/>
      <c r="BR191" s="5" t="str">
        <f>IF(SnapshotTable[[#This Row],[SP Exp Date]]&lt;&gt;"",TRUNC(SnapshotTable[[#This Row],[Last Price]]),"")</f>
        <v/>
      </c>
      <c r="BS191" s="36"/>
      <c r="BT191" s="147"/>
      <c r="BU191" s="13"/>
      <c r="BV191" s="5"/>
      <c r="BW191" s="419" t="b">
        <f>AND(ISNUMBER(SnapshotTable[[#This Row],[SP Exp Date]]), ISNUMBER(SnapshotTable[[#This Row],[SP Strike Price]]), ISNUMBER(SnapshotTable[[#This Row],[SP Qty]]), ISNUMBER(SnapshotTable[[#This Row],[SP Book Date]]), ISNUMBER(SnapshotTable[[#This Row],[SP Book Price]]))</f>
        <v>0</v>
      </c>
      <c r="BX191" s="419" t="b">
        <f>AND(SnapshotTable[[#This Row],[SP Is Booked]], NOT(ISBLANK(SnapshotTable[[#This Row],[SP Fill Date]])))</f>
        <v>0</v>
      </c>
      <c r="BY191" s="33">
        <f>IF(SnapshotTable[[#This Row],[SP Is Booked]], SnapshotTable[[#This Row],[SP Qty]] * SnapshotTable[[#This Row],[SP Book Price]] * 100, 0)</f>
        <v>0</v>
      </c>
      <c r="BZ191" s="369"/>
      <c r="CA191" s="368">
        <f>SnapshotTable[[#This Row],[LP Qty]]</f>
        <v>0</v>
      </c>
      <c r="CB191" s="4" t="str">
        <f>IF(SnapshotTable[[#This Row],[SP Is Booked]], SnapshotTable[[#This Row],[SP Strike Price]] - SnapshotTable[[#This Row],[SP Book Price]], "")</f>
        <v/>
      </c>
      <c r="CC191" s="19" t="str">
        <f>IF(SnapshotTable[[#This Row],[SP Is Booked]],SnapshotTable[[#This Row],[SP Exp Date]]-MAX(SnapshotTable[[#This Row],[SP Book Date]], SnapshotTable[[#This Row],[SP Fill Date]]),"")</f>
        <v/>
      </c>
      <c r="CD191" s="7" t="str">
        <f>IF(SnapshotTable[[#This Row],[SP Is Booked]], SnapshotTable[[#This Row],[SP Book Price]]/SnapshotTable[[#This Row],[SP Strike Price]], "")</f>
        <v/>
      </c>
      <c r="CE191" s="7" t="str">
        <f>IF(ISNUMBER(SnapshotTable[[#This Row],[SP ROO Term]]),SnapshotTable[[#This Row],[SP ROO Term]]*(365/SnapshotTable[[#This Row],[SP Term]]),"")</f>
        <v/>
      </c>
      <c r="CF191" s="236">
        <f>SnapshotTable[[#This Row],[LP Strike Price]] * SnapshotTable[[#This Row],[LP Qty]] * 100</f>
        <v>0</v>
      </c>
      <c r="CG191" s="31" t="e">
        <f>IF(ISNUMBER(SnapshotTable[[#This Row],[SP Premium]]), (SnapshotTable[[#This Row],[SP Qty]] * SnapshotTable[[#This Row],[SP Strike Price]]* 100) - SnapshotTable[[#This Row],[LP Protection]], 0)</f>
        <v>#VALUE!</v>
      </c>
      <c r="CH191" s="7" t="str">
        <f>IF(ISNUMBER(SnapshotTable[[#This Row],[SP Break Even]]),-1 * (SnapshotTable[[#This Row],[SP Break Even]] - SnapshotTable[[#This Row],[Last Price]]) / SnapshotTable[[#This Row],[Last Price]], "")</f>
        <v/>
      </c>
      <c r="CI191" s="31">
        <f>IF(AND(ISNUMBER((SnapshotTable[[#This Row],[SP Potential Spend]])), SnapshotTable[[#This Row],[SP Strike Price]] &gt; SnapshotTable[[#This Row],[Last Price]], SnapshotTable[[#This Row],[SP Is Filled]]), SnapshotTable[[#This Row],[SP Potential Spend]] -  SnapshotTable[[#This Row],[LP Max Value]], 0)</f>
        <v>0</v>
      </c>
      <c r="CJ191" s="244"/>
      <c r="CK191" s="31" t="str">
        <f>IF(ISNUMBER(SnapshotTable[[#This Row],[SP Potential Spend]]),IF(ISNUMBER(SnapshotTable[[#This Row],[SP POW]]), SnapshotTable[[#This Row],[SP POW]] * SnapshotTable[[#This Row],[SP Potential Spend]], SnapshotTable[[#This Row],[SP Potential Spend]]), "")</f>
        <v/>
      </c>
      <c r="CL191" s="164" t="e">
        <f>IF(NOT(SnapshotTable[[#This Row],[SP Is Filled]]),(SnapshotTable[[#This Row],[SP Qty]] * SnapshotTable[[#This Row],[SP Strike Price]] * 100) - SnapshotTable[[#This Row],[LP Max Value]],"")</f>
        <v>#VALUE!</v>
      </c>
      <c r="CM191" s="31" t="str">
        <f>IF(SnapshotTable[[#This Row],[SP Actual Spend]]&lt;&gt;0, ((SnapshotTable[[#This Row],[SP Strike Price]]-SnapshotTable[[#This Row],[Last Price]]) *(SnapshotTable[[#This Row],[SP Qty]]*100) - SnapshotTable[[#This Row],[SP Premium]]) * - 1, "")</f>
        <v/>
      </c>
      <c r="CN191" s="78"/>
      <c r="CO191" s="369"/>
      <c r="CP191" s="4" t="str">
        <f>IF(SnapshotTable[[#This Row],[SP Is Filled]], btc_max_buyback_amount(SnapshotTable[[#This Row],[SP Fill Date]],SnapshotTable[[#This Row],[SP Exp Date]], SnapshotTable[[#This Row],[SP Book Price]]),"")</f>
        <v/>
      </c>
      <c r="CQ191" s="78"/>
      <c r="CR19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1" s="155" t="str">
        <f>IF(SnapshotTable[[#This Row],[SP Is Filled]], btc_next_cutoff_date(SnapshotTable[[#This Row],[SP Fill Date]],SnapshotTable[[#This Row],[SP Exp Date]]),"")</f>
        <v/>
      </c>
      <c r="CT191" s="235" t="str" cm="1">
        <f t="array" ref="CT191">IF(SnapshotTable[[#This Row],[SP Is Filled]], btc_should_buy_back(SnapshotTable[[#This Row],[SP Fill Date]], SnapshotTable[[#This Row],[SP Exp Date]], SnapshotTable[[#This Row],[SP Book Price]], SnapshotTable[[#This Row],[SP Current Ask]], MockToday, SnapshotTable[[#This Row],[SP Buyback Override]]),"")</f>
        <v/>
      </c>
      <c r="CU191" s="143"/>
      <c r="CV191" s="235"/>
      <c r="CW191" s="378" t="str">
        <f>IF(ISNUMBER( SnapshotTable[[#This Row],[SP Term]]), SnapshotTable[[#This Row],[SP Exp Date]] - MockToday,"")</f>
        <v/>
      </c>
      <c r="CX191" s="31" t="str">
        <f>IF(SnapshotTable[[#This Row],[SP Is Filled]],SnapshotTable[[#This Row],[SP Buyback Price to Use]] * 100 * SnapshotTable[[#This Row],[SP Qty]], "")</f>
        <v/>
      </c>
      <c r="CY191" s="4" t="str">
        <f>IF(ISNUMBER(SnapshotTable[[#This Row],[SP Strike Price]]), SnapshotTable[[#This Row],[SP Strike Price]] * (1 - SP_MaxLoss_StrikePct), "")</f>
        <v/>
      </c>
      <c r="CZ191" s="31" t="str">
        <f>IF(ISNUMBER(SnapshotTable[[#This Row],[SP Strike  Stop Per Share]]),SnapshotTable[[#This Row],[SP Premium]] - ((SnapshotTable[[#This Row],[SP Strike Price]]-SnapshotTable[[#This Row],[SP Strike  Stop Per Share]]) *(SnapshotTable[[#This Row],[SP Qty]] * 100)),"")</f>
        <v/>
      </c>
      <c r="DA191" s="4" t="str">
        <f>IF(AND(ISNUMBER(SnapshotTable[[#This Row],[SP Premium]]),SnapshotTable[[#This Row],[SP Premium]]&gt;0), SnapshotTable[[#This Row],[SP Book Price]] * (1 + SP_MaxLoss_OptionPct), "")</f>
        <v/>
      </c>
      <c r="DB191" s="31" t="str">
        <f>IF(ISNUMBER(SnapshotTable[[#This Row],[SP Option  Stop Contract]]),(SnapshotTable[[#This Row],[SP Option  Stop Contract]] *(SnapshotTable[[#This Row],[SP Qty]] * 100) - SnapshotTable[[#This Row],[SP Premium]]),"")</f>
        <v/>
      </c>
      <c r="DC191" s="4"/>
      <c r="DD191" s="4"/>
      <c r="DE191" s="4" t="str">
        <f>IF(AND(SnapshotTable[[#This Row],[SP Qty]]&gt;0, SnapshotTable[[#This Row],[SP Stop To Use]]&gt;0),SnapshotTable[[#This Row],[SP Premium]] - ( SnapshotTable[[#This Row],[SP Qty]] * SnapshotTable[[#This Row],[SP Stop To Use]] * 100), "")</f>
        <v/>
      </c>
      <c r="DF191" s="31" t="str">
        <f>IF(AND(SnapshotTable[[#This Row],[SP Qty]]&gt;0,SnapshotTable[[#This Row],[SP Current Ask]]&gt;0), SnapshotTable[[#This Row],[SP Qty]] * SnapshotTable[[#This Row],[SP Current Ask]] * -100, "")</f>
        <v/>
      </c>
      <c r="DG191" s="31" t="str">
        <f>IF(ISNUMBER((SnapshotTable[[#This Row],[SP Total Value]])), SnapshotTable[[#This Row],[SP Premium]] + SnapshotTable[[#This Row],[SP Total Value]], "")</f>
        <v/>
      </c>
      <c r="DH191" s="294" t="str">
        <f>IF(ISNUMBER((SnapshotTable[[#This Row],[SP Total Value]])), SnapshotTable[[#This Row],[SP Gain Loss]] / SnapshotTable[[#This Row],[SP Premium]], "")</f>
        <v/>
      </c>
      <c r="DI191" s="406"/>
      <c r="DJ191" s="138"/>
      <c r="DK191" s="148"/>
      <c r="DL191" s="13"/>
      <c r="DM191" s="13"/>
      <c r="DO191" s="31">
        <f>IF(SnapshotTable[[#This Row],[LC Symbol Count]]=1, SnapshotTable[[#This Row],[LC Qty]] * SnapshotTable[[#This Row],[LC Book Price]] * 100, 0)</f>
        <v>0</v>
      </c>
      <c r="DP191" s="163" t="str">
        <f>IF(AND(SnapshotTable[[#This Row],[LC Exp Date]]&gt;0, SnapshotTable[[#This Row],[LC Strike Price]]&gt;0,SnapshotTable[[#This Row],[LC Qty]]&gt;0,SnapshotTable[[#This Row],[LC Book Date]]&gt;0,SnapshotTable[[#This Row],[LC Book Price]]&gt;0,SnapshotTable[[#This Row],[LC Fill Date]]=0),"Y","")</f>
        <v/>
      </c>
      <c r="DQ191" s="386" t="str">
        <f>IF(SnapshotTable[[#This Row],[LC Premium]] &gt; 0,SnapshotTable[[#This Row],[LC Exp Date]]-MAX(SnapshotTable[[#This Row],[LC Book Date]], SnapshotTable[[#This Row],[LC Fill Date]]),"")</f>
        <v/>
      </c>
      <c r="DR191" s="386" t="str">
        <f>IF(ISNUMBER(SnapshotTable[[#This Row],[LC Term]]), SnapshotTable[[#This Row],[LC Exp Date]] - MockToday, "")</f>
        <v/>
      </c>
      <c r="DS191" s="234" t="str">
        <f>IF(SnapshotTable[[#This Row],[LC Premium]]&gt;0,SnapshotTable[[#This Row],[LC Strike Price]] + SnapshotTable[[#This Row],[LC Book Price]],"")</f>
        <v/>
      </c>
      <c r="DU191" s="9" t="str">
        <f>IF(AND(SnapshotTable[[#This Row],[LC Symbol Count]]&gt;0, SnapshotTable[[#This Row],[LC Contract Value]]&gt;0), SnapshotTable[[#This Row],[LC Contract Value]] * SnapshotTable[[#This Row],[LC Qty]] * 100, "")</f>
        <v/>
      </c>
      <c r="DV191" s="9" t="str">
        <f>IF(AND(ISNUMBER(SnapshotTable[[#This Row],[LC Total Value]]), SnapshotTable[[#This Row],[LC Not Filled]]&lt;&gt;"Y"), SnapshotTable[[#This Row],[LC Total Value]]-SnapshotTable[[#This Row],[LC Premium]],"")</f>
        <v/>
      </c>
      <c r="DW191" s="240" t="str">
        <f>IF(ISNUMBER(SnapshotTable[[#This Row],[LC Actual Gain Loss]]), SnapshotTable[[#This Row],[LC Actual Gain Loss]] / SnapshotTable[[#This Row],[LC Premium]],"")</f>
        <v/>
      </c>
      <c r="DX191" s="284" t="str">
        <f>IF(ISNUMBER(SnapshotTable[[#This Row],[LC Book Price]]),SnapshotTable[[#This Row],[LC Book Price]] * 1.5,"")</f>
        <v/>
      </c>
      <c r="DY191" s="265" t="str">
        <f>IF(SnapshotTable[[#This Row],[LC Premium]]&gt;0, SnapshotTable[[#This Row],[LC Next Target]] * SnapshotTable[[#This Row],[LC Qty]] * 100,"")</f>
        <v/>
      </c>
      <c r="DZ191" s="265" t="str">
        <f>IF(ISNUMBER(SnapshotTable[[#This Row],[LC Target Gross]]), SnapshotTable[[#This Row],[LC Target Gross]] - SnapshotTable[[#This Row],[LC Premium]], "")</f>
        <v/>
      </c>
      <c r="EA191" s="305" t="str">
        <f>IF(ISNUMBER(SnapshotTable[[#This Row],[LC Target Gain Loss]]), SnapshotTable[[#This Row],[LC Target Gain Loss]]/SnapshotTable[[#This Row],[LC Premium]], "")</f>
        <v/>
      </c>
      <c r="EB191" s="262"/>
      <c r="EC191" s="283" t="str">
        <f>IF(SnapshotTable[[#This Row],[LC Premium]]&gt;0, SnapshotTable[[#This Row],[LC Book Price]] * (1 - LC_StopLoss_Pct),"")</f>
        <v/>
      </c>
      <c r="ED191" s="284"/>
      <c r="EE191" s="283" t="str">
        <f>IF(ISNUMBER(SnapshotTable[[#This Row],[LC Contract Value]]),IF(ISNUMBER(SnapshotTable[[#This Row],[LC Stop Loss Override]]), SnapshotTable[[#This Row],[LC Stop Loss Override]],SnapshotTable[[#This Row],[LC Stop Loss Calc Target]]),"")</f>
        <v/>
      </c>
      <c r="EF191" s="31" t="str">
        <f>IF(ISNUMBER(SnapshotTable[[#This Row],[LC Stop  To Use]]), (SnapshotTable[[#This Row],[LC Stop  To Use]] * SnapshotTable[[#This Row],[LC Qty]] * 100),"")</f>
        <v/>
      </c>
      <c r="EG191" s="9" t="str">
        <f>IF(ISNUMBER(SnapshotTable[[#This Row],[LC Total Value]]),SnapshotTable[[#This Row],[LC Stop Loss Amount]] - SnapshotTable[[#This Row],[LC Premium]],"")</f>
        <v/>
      </c>
      <c r="EH191" s="9">
        <f>IF(ISNUMBER(SnapshotTable[[#This Row],[LC Premium]]), SnapshotTable[[#This Row],[LC Qty]] * 100 * SnapshotTable[[#This Row],[LC Strike Price]], "")</f>
        <v>0</v>
      </c>
      <c r="EI191" s="240" t="str">
        <f>IF(AND(ISNUMBER(SnapshotTable[[#This Row],[LC Total Value]]),SnapshotTable[[#This Row],[LC Total Value]]&gt;0),SnapshotTable[[#This Row],[LC Stop Gain Loss]]  / SnapshotTable[[#This Row],[LC Premium]],"")</f>
        <v/>
      </c>
      <c r="EJ191" s="35">
        <f>IF(ISNUMBER(SnapshotTable[[#This Row],[Equity Shares]]),TRUNC(SnapshotTable[[#This Row],[Equity Shares]] / 100),0) + SnapshotTable[[#This Row],[LC Qty]]</f>
        <v>0</v>
      </c>
      <c r="EK191" s="147"/>
      <c r="EL191" s="138" t="str">
        <f>IF(SnapshotTable[[#This Row],[SC Exp Date]]&lt;&gt;"",TRUNC(SnapshotTable[[#This Row],[Last Price]]),"")</f>
        <v/>
      </c>
      <c r="EM191" s="148"/>
      <c r="EN191" s="147"/>
      <c r="EO191" s="147"/>
      <c r="EP191" s="138"/>
      <c r="EQ191" s="419" t="b">
        <f>AND(ISNUMBER(SnapshotTable[[#This Row],[SC Exp Date]]), ISNUMBER(SnapshotTable[[#This Row],[SC Strike Price]]), ISNUMBER(SnapshotTable[[#This Row],[SC Qty]]), ISNUMBER(SnapshotTable[[#This Row],[SC Book Date]]), ISNUMBER(SnapshotTable[[#This Row],[SC Book Price]]))</f>
        <v>0</v>
      </c>
      <c r="ER191" s="419" t="b">
        <f>AND(SnapshotTable[[#This Row],[SC Is Booked]], NOT(ISBLANK(SnapshotTable[[#This Row],[SC Fill Date]])))</f>
        <v>0</v>
      </c>
      <c r="ES191" s="370"/>
      <c r="ET191" s="34" t="str">
        <f>IF(AND(ISNUMBER(SnapshotTable[[#This Row],[SC Exp Date]]), ISNUMBER(SnapshotTable[[#This Row],[SC Book Date]])), SnapshotTable[[#This Row],[SC Exp Date]] - MAX(SnapshotTable[[#This Row],[SC Book Date]], SnapshotTable[[#This Row],[SC Fill Date]]) + 1, "")</f>
        <v/>
      </c>
      <c r="EU191" s="34" t="str">
        <f>IF(ISNUMBER(SnapshotTable[[#This Row],[SC Term]]), SnapshotTable[[#This Row],[SC Exp Date]]- MockToday, "")</f>
        <v/>
      </c>
      <c r="EV191" s="31">
        <f>IF(SnapshotTable[[#This Row],[SC Is Booked]], SnapshotTable[[#This Row],[SC Qty]] * SnapshotTable[[#This Row],[SC Book Price]] * 100, 0)</f>
        <v>0</v>
      </c>
      <c r="EW191" s="4" t="str">
        <f>IF(AND(ISNUMBER(SnapshotTable[[#This Row],[Last Price]]), ISNUMBER( SnapshotTable[[#This Row],[SC Book Price]])), SnapshotTable[[#This Row],[Last Price]] - SnapshotTable[[#This Row],[SC Book Price]],"")</f>
        <v/>
      </c>
      <c r="EX191" s="234" t="str">
        <f>IF(SnapshotTable[[#This Row],[SC Is Booked]],IF(SnapshotTable[[#This Row],[SC Intrinsic Value]] &gt; 0, SnapshotTable[[#This Row],[SC Strike Price]], SnapshotTable[[#This Row],[Last Price]]), "")</f>
        <v/>
      </c>
      <c r="EY191" s="4">
        <f>IF(SnapshotTable[[#This Row],[SC Is Booked]], (MinimumPremiumRequired * SnapshotTable[[#This Row],[SC Basis]] * SnapshotTable[[#This Row],[SC Term]]), 0)</f>
        <v>0</v>
      </c>
      <c r="EZ191" s="283"/>
      <c r="FA191" s="218"/>
      <c r="FB191" s="370"/>
      <c r="FC191" s="4">
        <f>IF(SnapshotTable[[#This Row],[SC Is Filled]], btc_max_buyback_amount(SnapshotTable[[#This Row],[SC Fill Date]],SnapshotTable[[#This Row],[SC Exp Date]], SnapshotTable[[#This Row],[SC Book Price]]),0)</f>
        <v>0</v>
      </c>
      <c r="FD191" s="5"/>
      <c r="FE191" s="144" t="str">
        <f>IF(SnapshotTable[[#This Row],[SC Is Filled]], btc_next_cutoff_date(SnapshotTable[[#This Row],[SC Fill Date]],SnapshotTable[[#This Row],[SC Exp Date]]),"")</f>
        <v/>
      </c>
      <c r="FF191" s="4" t="str" cm="1">
        <f t="array" ref="FF191">IF(SnapshotTable[[#This Row],[SC Is Filled]], btc_should_buy_back(SnapshotTable[[#This Row],[SC Fill Date]], SnapshotTable[[#This Row],[SC Exp Date]], SnapshotTable[[#This Row],[SC Book Price]], SnapshotTable[[#This Row],[SC Current Ask]], MockToday, SnapshotTable[[#This Row],[SC Buyback Override]]),"")</f>
        <v/>
      </c>
      <c r="FG191" s="4">
        <f>IF(SnapshotTable[[#This Row],[SC Is Filled]], MAX(0,SnapshotTable[[#This Row],[Last Price]]  - SnapshotTable[[#This Row],[SC Strike Price]]), 0)</f>
        <v>0</v>
      </c>
      <c r="FH191" s="382">
        <f>IF(SnapshotTable[[#This Row],[SC Is Filled]], IF(ISNUMBER(SnapshotTable[[#This Row],[SC Current Ask]]), SnapshotTable[[#This Row],[SC Current Ask]], SnapshotTable[[#This Row],[SC Book Price]]) - SnapshotTable[[#This Row],[SC Intrinsic Value]], 0)</f>
        <v>0</v>
      </c>
      <c r="FI191" s="143"/>
      <c r="FJ191" s="32" t="str">
        <f>IF(SnapshotTable[[#This Row],[SC Is Filled]],100 * SnapshotTable[[#This Row],[SC Qty]] * IF(ISNUMBER(SnapshotTable[[#This Row],[SC Buyback Override]]), SnapshotTable[[#This Row],[SC Buyback Override]], SnapshotTable[[#This Row],[SC Current Ask]]), "")</f>
        <v/>
      </c>
      <c r="FK191" s="250" t="str">
        <f>IF(SnapshotTable[[#This Row],[SC Time Val]]&gt;0, SnapshotTable[[#This Row],[SC Time Val]] / SnapshotTable[[#This Row],[Last Price]],"")</f>
        <v/>
      </c>
      <c r="FL191" s="302" t="str">
        <f>IF(SnapshotTable[[#This Row],[SC Is Booked]], ((SnapshotTable[[#This Row],[Last Price]] -SnapshotTable[[#This Row],[SC Strike Price]]) / SnapshotTable[[#This Row],[Last Price]]) * -1, "")</f>
        <v/>
      </c>
      <c r="FM191" s="157" t="str">
        <f>IF(SnapshotTable[[#This Row],[SC Is Booked]],  (SnapshotTable[[#This Row],[SC Qty]] * 100 * SnapshotTable[[#This Row],[SC Strike Price]]) - SnapshotTable[[#This Row],[SC Current Ask]], "")</f>
        <v/>
      </c>
      <c r="FN19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1" s="31" t="str">
        <f>IF(AND(ISNUMBER(SnapshotTable[[#This Row],[SC Exercise Gross]]), ISNUMBER(SnapshotTable[[#This Row],[Equity Basis Per Share]] )), SnapshotTable[[#This Row],[SC Exercise Gross]] - SnapshotTable[[#This Row],[Equity Basis Total]] +  SnapshotTable[[#This Row],[SC Premium]], "")</f>
        <v/>
      </c>
      <c r="FP191" s="5" t="str">
        <f>IF(ISNUMBER(SnapshotTable[[#This Row],[SC Exercise Gross]]), (SnapshotTable[[#This Row],[SC Exercise Gross]]) / (SnapshotTable[[#This Row],[SC Qty]] * 100), "")</f>
        <v/>
      </c>
      <c r="FQ191" s="27" t="str">
        <f>IF(SnapshotTable[[#This Row],[SC Is Booked]],SnapshotTable[[#This Row],[SC Time Val]] /SnapshotTable[[#This Row],[SC Basis]], "")</f>
        <v/>
      </c>
      <c r="FR191" s="27" t="str" cm="1">
        <f t="array" ref="FR191">IF(AND(ISNUMBER(SnapshotTable[[#This Row],[SC Term]]),ISNUMBER(SnapshotTable[[#This Row],[SC Simple ROO]])), EllmanAnnualize(SnapshotTable[[#This Row],[SC DTE]], SnapshotTable[[#This Row],[SC Simple ROO]] ),"")</f>
        <v/>
      </c>
      <c r="FS191" s="4" t="e">
        <f>IF(SnapshotTable[[#This Row],[SC Strike Price]] &gt; SnapshotTable[[#This Row],[Last Price]], SnapshotTable[[#This Row],[SC Strike Price]] - SnapshotTable[[#This Row],[Last Price]],0)</f>
        <v>#VALUE!</v>
      </c>
      <c r="FT191" s="27" t="e">
        <f>IF(AND(ISNUMBER(SnapshotTable[[#This Row],[SC Upside Potential]]), SnapshotTable[[#This Row],[SC Upside Potential]] &gt; 0),(SnapshotTable[[#This Row],[SC Upside Potential]]/ SnapshotTable[[#This Row],[ACB]]),"")</f>
        <v>#VALUE!</v>
      </c>
      <c r="FU191" s="333" t="str">
        <f>IF(SnapshotTable[[#This Row],[SC Intrinsic Value]] &gt; 0,SnapshotTable[[#This Row],[SC Intrinsic Value]],"")</f>
        <v/>
      </c>
      <c r="FV191" s="27" t="str">
        <f>IF(AND( ISNUMBER( SnapshotTable[[#This Row],[ACB]]),ISNUMBER(SnapshotTable[[#This Row],[SC Downside Protect]])),SnapshotTable[[#This Row],[SC Downside Protect]] / SnapshotTable[[#This Row],[ACB]],"")</f>
        <v/>
      </c>
      <c r="FW191" s="236" t="str">
        <f>IF(AND(ISNUMBER(SnapshotTable[[#This Row],[SC Simple ROO]]),SnapshotTable[[#This Row],[SC Simple ROO]] &gt; 0), SnapshotTable[[#This Row],[SC Premium]] + (SnapshotTable[[#This Row],[SC Qty]] * SnapshotTable[[#This Row],[SC Upside Potential]]), "")</f>
        <v/>
      </c>
      <c r="FX191" s="302" t="str" cm="1">
        <f t="array" ref="FX191">IF(ISNUMBER(SnapshotTable[[#This Row],[SC Max Dollars]]), annualize(SnapshotTable[[#This Row],[SC Term]],(SnapshotTable[[#This Row],[SC Max Dollars]]/SnapshotTable[[#This Row],[SC Basis]])),"")</f>
        <v/>
      </c>
      <c r="FY191" s="236" t="str">
        <f>IF(AND(SnapshotTable[[#This Row],[SC Qty]]&gt;0,SnapshotTable[[#This Row],[SC Current Ask]]&gt;0), SnapshotTable[[#This Row],[SC Qty]] * SnapshotTable[[#This Row],[SC Current Ask]] * -100, "")</f>
        <v/>
      </c>
      <c r="FZ191" s="31" t="str">
        <f>IF(ISNUMBER((SnapshotTable[[#This Row],[SC Current Value]])), SnapshotTable[[#This Row],[SC Premium]] + SnapshotTable[[#This Row],[SC Current Value]], "")</f>
        <v/>
      </c>
      <c r="GA191" s="294" t="str">
        <f>IFERROR( IF(ISNUMBER((SnapshotTable[[#This Row],[SC Current Value]])), SnapshotTable[[#This Row],[SC Gain Loss]] / SnapshotTable[[#This Row],[SC Premium]], ""), "")</f>
        <v/>
      </c>
      <c r="GB191" s="42">
        <f>SnapshotTable[[#This Row],[Equity Shares]] * SaleSharesToConsiderPercentage</f>
        <v>0</v>
      </c>
      <c r="GC191" s="40">
        <f>SnapshotTable[[#This Row],[Long Term Target]] * SellingPriceToConsiderBasedOnTargetPercentage</f>
        <v>67.288499999999999</v>
      </c>
      <c r="GD191" s="40">
        <f>SnapshotTable[[#This Row],[Last Price]] * (1+ SellingPriceToConsiderBasedOnTargetPercentage)</f>
        <v>160.15349999999998</v>
      </c>
      <c r="GE191" s="41"/>
      <c r="GF191" s="40">
        <v>45</v>
      </c>
      <c r="GG191" s="31">
        <f>SnapshotTable[[#This Row],[Booked Sale Shares]] * SnapshotTable[[#This Row],[Booked Sale Price]]</f>
        <v>0</v>
      </c>
      <c r="GH191" s="31" t="str">
        <f>IF(SnapshotTable[[#This Row],[Equity Basis Total]] &gt; 0, SnapshotTable[[#This Row],[Equity Basis Per Share]] * SnapshotTable[[#This Row],[Booked Sale Shares]], "")</f>
        <v/>
      </c>
      <c r="GI191" s="31">
        <f>IF(SnapshotTable[[#This Row],[Sale Proceeds]]&gt;0, SnapshotTable[[#This Row],[Sale Proceeds]] - SnapshotTable[[#This Row],[Sale Basis]], 0)</f>
        <v>0</v>
      </c>
      <c r="GJ191" s="27" t="str">
        <f>IF(SnapshotTable[[#This Row],[Sale G/L]]&gt;0, SnapshotTable[[#This Row],[Sale G/L]] / SnapshotTable[[#This Row],[Sale Basis]], IF(ISNUMBER(SnapshotTable[[#This Row],[SC Exercise P&amp;L (TAX)]]), SnapshotTable[[#This Row],[SC Exercise P&amp;L (TAX)]] / SnapshotTable[[#This Row],[SC Basis]], ""))</f>
        <v/>
      </c>
      <c r="GK191" s="27" t="s">
        <v>1059</v>
      </c>
      <c r="GL191" s="43" t="str">
        <f>IF(AND(SnapshotTable[[#This Row],[LP Exp Date]]&gt;0,SnapshotTable[[#This Row],[LP Strike Price]]&gt;0), [1]!ToOptionSymbol(SnapshotTable[[#This Row],[Symbol]], SnapshotTable[[#This Row],[LP Strike Price]],SnapshotTable[[#This Row],[LP Exp Date]],1), "")</f>
        <v/>
      </c>
      <c r="GM191" s="30" t="str">
        <f>IF(LEN(SnapshotTable[[#This Row],[LP Symbol]])&gt;0, 1, "")</f>
        <v/>
      </c>
      <c r="GN191" s="43" t="str">
        <f>IF(AND(SnapshotTable[[#This Row],[SP Exp Date]]&gt;0,SnapshotTable[[#This Row],[SP Strike Price]]&gt;0), [1]!ToOptionSymbol(SnapshotTable[[#This Row],[Symbol]], SnapshotTable[[#This Row],[SP Strike Price]],SnapshotTable[[#This Row],[SP Exp Date]],1), "")</f>
        <v/>
      </c>
      <c r="GO191" s="30" t="str">
        <f>IF(LEN(SnapshotTable[[#This Row],[SP Symbol]])&gt;0, 1, "")</f>
        <v/>
      </c>
      <c r="GP191" s="43" t="str">
        <f>IF(AND(SnapshotTable[[#This Row],[LC Exp Date]]&gt;0,SnapshotTable[[#This Row],[LC Strike Price]]&gt;0), [1]!ToOptionSymbol(SnapshotTable[[#This Row],[Symbol]], SnapshotTable[[#This Row],[LC Strike Price]],SnapshotTable[[#This Row],[LC Exp Date]],0), "")</f>
        <v/>
      </c>
      <c r="GQ191" s="30" t="str">
        <f>IF(LEN(SnapshotTable[[#This Row],[LC Symbol]])&gt;0, 1, "")</f>
        <v/>
      </c>
      <c r="GR191" s="43" t="str">
        <f>IF(AND(SnapshotTable[[#This Row],[SC Exp Date]]&gt;0,SnapshotTable[[#This Row],[SC Strike Price]]&gt;0), [1]!ToOptionSymbol(SnapshotTable[[#This Row],[Symbol]], SnapshotTable[[#This Row],[SC Strike Price]],SnapshotTable[[#This Row],[SC Exp Date]],0), "")</f>
        <v/>
      </c>
      <c r="GS191" s="30" t="str">
        <f>IF(LEN(SnapshotTable[[#This Row],[SC Symbol]])&gt;0, 1, "")</f>
        <v/>
      </c>
      <c r="GT191" s="29" t="str">
        <f>IF(COUNT(SnapshotTable[[#This Row],[LP Symbol Count]],SnapshotTable[[#This Row],[SP Symbol Count]],SnapshotTable[[#This Row],[LC Symbol Count]],SnapshotTable[[#This Row],[SC Symbol Count]])&gt;0, "Y", "")</f>
        <v/>
      </c>
      <c r="GU19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1" s="231" t="e">
        <f>MAX(SnapshotTable[[#This Row],[Equity Basis Total]],SnapshotTable[[#This Row],[Equity Value]]) + (SnapshotTable[[#This Row],[SP Potential Spend]]- SnapshotTable[[#This Row],[SP Premium]] + SnapshotTable[[#This Row],[LP Premium]])+ (SnapshotTable[[#This Row],[LC Premium]] - SnapshotTable[[#This Row],[SC Premium]])</f>
        <v>#VALUE!</v>
      </c>
      <c r="GW191" s="139" t="e">
        <f>IF(AND(SnapshotTable[[#This Row],[Exposure]] &lt;&gt; 0),SnapshotTable[[#This Row],[Exposure]] / SnapshotTable[[#Totals],[Exposure]], "")</f>
        <v>#VALUE!</v>
      </c>
      <c r="HE191" s="268"/>
      <c r="HF191" s="268"/>
      <c r="HK191" s="1"/>
      <c r="HL191" s="1"/>
      <c r="HM191" s="1"/>
      <c r="HN191" s="1"/>
      <c r="HO191" s="1"/>
      <c r="HP191" s="1"/>
    </row>
    <row r="192" spans="2:224" ht="12.75" hidden="1" customHeight="1" x14ac:dyDescent="0.25">
      <c r="B192" s="12" t="s">
        <v>961</v>
      </c>
      <c r="C192" s="422">
        <v>21.6</v>
      </c>
      <c r="D192" s="208"/>
      <c r="E192" s="39">
        <f>SnapshotTable[[#This Row],[Last Price]]*(1 -CrashDiscount)</f>
        <v>18.36</v>
      </c>
      <c r="F192" s="26" t="s">
        <v>907</v>
      </c>
      <c r="G192" s="26" t="s">
        <v>610</v>
      </c>
      <c r="H192" s="149"/>
      <c r="I192" s="194">
        <v>44804.670138888891</v>
      </c>
      <c r="J192" s="195">
        <v>44804.670138888891</v>
      </c>
      <c r="K192" s="196"/>
      <c r="L192" s="326"/>
      <c r="M192" s="140"/>
      <c r="N192" s="140"/>
      <c r="O192" s="140"/>
      <c r="P192" s="22"/>
      <c r="Q192" s="25"/>
      <c r="R192" s="4" t="str">
        <f>IF(SnapshotTable[[#This Row],[Equity Basis Total]] &gt; 0, SnapshotTable[[#This Row],[Equity Basis Total]] / SnapshotTable[[#This Row],[Equity Shares]], "")</f>
        <v/>
      </c>
      <c r="S192" s="269">
        <f>SnapshotTable[[#This Row],[Last Price]] * SnapshotTable[[#This Row],[Equity Shares]]</f>
        <v>0</v>
      </c>
      <c r="T192" s="269">
        <f>SnapshotTable[[#This Row],[Equity Value]] - SnapshotTable[[#This Row],[Equity Basis Total]]</f>
        <v>0</v>
      </c>
      <c r="U192" s="270" t="str">
        <f>IF(SnapshotTable[[#This Row],[Equity Basis Total]] &gt; 0, SnapshotTable[[#This Row],[Equity G/L]] / SnapshotTable[[#This Row],[Equity Basis Total]], "")</f>
        <v/>
      </c>
      <c r="V192" s="268"/>
      <c r="W192" s="268"/>
      <c r="X192" s="4" t="str">
        <f>IF(AND(ISNUMBER(SnapshotTable[[#This Row],[Equity Basis Per Share]]),ISNUMBER(SnapshotTable[[#This Row],[Equity Target]])),SnapshotTable[[#This Row],[Equity Target]]-SnapshotTable[[#This Row],[Equity Basis Per Share]],"")</f>
        <v/>
      </c>
      <c r="Y192" s="4" t="str">
        <f>IF(AND(ISNUMBER(SnapshotTable[[#This Row],[Equity Basis Per Share]]),ISNUMBER(SnapshotTable[[#This Row],[Equity Stop Loss]])),SnapshotTable[[#This Row],[Equity Stop Loss]]-SnapshotTable[[#This Row],[Equity Basis Per Share]],"")</f>
        <v/>
      </c>
      <c r="Z192" s="275" t="str">
        <f>IFERROR( TEXT(SnapshotTable[[#This Row],[Equity Max Gain Per Share]] /ABS( SnapshotTable[[#This Row],[Equity Max Loss Per Share]]),"0.0 " ) &amp; " : 1", "")</f>
        <v/>
      </c>
      <c r="AA192" s="31" t="str">
        <f>IF(ISNUMBER(SnapshotTable[[#This Row],[Equity Max Gain Per Share]]),SnapshotTable[[#This Row],[Equity Max Gain Per Share]] * SnapshotTable[[#This Row],[Equity Shares]],"")</f>
        <v/>
      </c>
      <c r="AB192" s="31" t="str">
        <f>IF(ISNUMBER(SnapshotTable[[#This Row],[Equity Max Loss Per Share]]),SnapshotTable[[#This Row],[Equity Max Loss Per Share]] * SnapshotTable[[#This Row],[Equity Shares]],"")</f>
        <v/>
      </c>
      <c r="AC192" s="150"/>
      <c r="AD192" s="151"/>
      <c r="AE192" s="31">
        <f>(SnapshotTable[[#This Row],[Annual Dividend Per Share]] / 4) * SnapshotTable[[#This Row],[Equity Shares]]</f>
        <v>0</v>
      </c>
      <c r="AF192" s="31">
        <f>SnapshotTable[[#This Row],[Quarterly Div $]] * 4</f>
        <v>0</v>
      </c>
      <c r="AG192" s="7">
        <f>IF(SnapshotTable[[#This Row],[Annual Dividend Per Share]]&gt;0, SnapshotTable[[#This Row],[Annual Dividend Per Share]]  / SnapshotTable[[#This Row],[Last Price]], 0)</f>
        <v>0</v>
      </c>
      <c r="AH192" s="151"/>
      <c r="AI192" s="5"/>
      <c r="AJ192" s="138">
        <v>13.44</v>
      </c>
      <c r="AK192" s="152" t="str">
        <f>IF(ISNUMBER( SnapshotTable[[#This Row],[EBF Target]]),(SnapshotTable[[#This Row],[EBF Target]] - SnapshotTable[[#This Row],[Last Price]]) / SnapshotTable[[#This Row],[Last Price]], "")</f>
        <v/>
      </c>
      <c r="AL192" s="152" t="str">
        <f>IF(AND(SnapshotTable[[#This Row],[Equity Basis Total]] &gt; 0,ISNUMBER( SnapshotTable[[#This Row],[Long Term Target]])), SnapshotTable[[#This Row],[From Basis $]] / SnapshotTable[[#This Row],[Equity Basis Total]], "")</f>
        <v/>
      </c>
      <c r="AM192" s="9">
        <f>IF( AND(SnapshotTable[[#This Row],[Equity Shares]] &gt;0,ISNUMBER( SnapshotTable[[#This Row],[Long Term Target]])),(SnapshotTable[[#This Row],[Equity Shares]] * SnapshotTable[[#This Row],[Long Term Target]]) - SnapshotTable[[#This Row],[Equity Basis Total]],0)</f>
        <v>0</v>
      </c>
      <c r="AN192" s="9">
        <f>IF( AND(SnapshotTable[[#This Row],[Equity Shares]] &gt;0,ISNUMBER( SnapshotTable[[#This Row],[Long Term Target]])),(SnapshotTable[[#This Row],[Equity Shares]]*SnapshotTable[[#This Row],[Long Term Target]]) - SnapshotTable[[#This Row],[Equity Value]],0)</f>
        <v>0</v>
      </c>
      <c r="AO192" s="152">
        <f>IF(AND(ISNUMBER( SnapshotTable[[#This Row],[Long Term Target]]), ISNUMBER(SnapshotTable[[#This Row],[Last Price]])),(SnapshotTable[[#This Row],[Long Term Target]] - SnapshotTable[[#This Row],[Last Price]]) / SnapshotTable[[#This Row],[Last Price]], "")</f>
        <v>-0.37777777777777782</v>
      </c>
      <c r="AP192" s="5"/>
      <c r="AQ192" s="38"/>
      <c r="AR192" s="5"/>
      <c r="AS192" s="38"/>
      <c r="AT192" s="146"/>
      <c r="AU192" s="187" t="str">
        <f>IF(OR(SnapshotTable[[#This Row],[LP No Fill]]="Y",SnapshotTable[[#This Row],[SP Is Filled]],SnapshotTable[[#This Row],[LC Not Filled]]="Y",SnapshotTable[[#This Row],[SC Is Filled]]),"Y","")</f>
        <v/>
      </c>
      <c r="AV192" s="219"/>
      <c r="AW192" s="225"/>
      <c r="AX192" s="220"/>
      <c r="AY192" s="219" t="str">
        <f>IF(SnapshotTable[[#This Row],[Implied Move]]&gt;0, SnapshotTable[[#This Row],[Last Price]]-SnapshotTable[[#This Row],[Implied Move]],"")</f>
        <v/>
      </c>
      <c r="AZ192" s="219" t="str">
        <f>IF(SnapshotTable[[#This Row],[Implied Move]]&gt;0, SnapshotTable[[#This Row],[Last Price]] + SnapshotTable[[#This Row],[Implied Move]],"")</f>
        <v/>
      </c>
      <c r="BA192" s="331"/>
      <c r="BB192" s="347"/>
      <c r="BC19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2" s="351"/>
      <c r="BE192" s="5"/>
      <c r="BF192" s="14"/>
      <c r="BG192" s="13"/>
      <c r="BH192" s="13"/>
      <c r="BI192" s="5"/>
      <c r="BJ192" s="136">
        <f>IF(SnapshotTable[[#This Row],[LP Qty]] &gt; 0, SnapshotTable[[#This Row],[LP Qty]] * SnapshotTable[[#This Row],[LP Book Price]] * 100,0)</f>
        <v>0</v>
      </c>
      <c r="BK192" s="136">
        <f>IF(SnapshotTable[[#This Row],[LP Premium]] &gt; 0, SnapshotTable[[#This Row],[LP Qty]] * SnapshotTable[[#This Row],[LP Strike Price]] * 100,0)</f>
        <v>0</v>
      </c>
      <c r="BL192" s="154"/>
      <c r="BM192" s="385" t="str">
        <f>IF(SnapshotTable[[#This Row],[LP Premium]] &gt; 0,SnapshotTable[[#This Row],[LP Exp Date]]-MAX(SnapshotTable[[#This Row],[LP Book Date]], SnapshotTable[[#This Row],[LP Fill Date]]),"")</f>
        <v/>
      </c>
      <c r="BN192" s="385" t="str">
        <f>IF(ISNUMBER( SnapshotTable[[#This Row],[LP Term]]), SnapshotTable[[#This Row],[LP Exp Date]] - MockToday,"")</f>
        <v/>
      </c>
      <c r="BO192" s="163" t="str">
        <f>IF(AND(SnapshotTable[[#This Row],[LP Exp Date]]&gt;0, SnapshotTable[[#This Row],[LP Strike Price]]&gt;0,SnapshotTable[[#This Row],[LP Qty]]&gt;0,SnapshotTable[[#This Row],[LP Book Date]]&gt;0,SnapshotTable[[#This Row],[LP Book Price]]&gt;0,SnapshotTable[[#This Row],[LP Fill Date]]=0),"Y","")</f>
        <v/>
      </c>
      <c r="BP192" s="31" t="str">
        <f>IF(AND(SnapshotTable[[#This Row],[LP No Fill]]&lt;&gt;"Y",SnapshotTable[[#This Row],[LP Contract Value]]&gt;0, SnapshotTable[[#This Row],[LP Qty]]&gt;0), SnapshotTable[[#This Row],[LP Contract Value]]*SnapshotTable[[#This Row],[LP Qty]]*100,"")</f>
        <v/>
      </c>
      <c r="BQ192" s="13"/>
      <c r="BR192" s="5" t="str">
        <f>IF(SnapshotTable[[#This Row],[SP Exp Date]]&lt;&gt;"",TRUNC(SnapshotTable[[#This Row],[Last Price]]),"")</f>
        <v/>
      </c>
      <c r="BS192" s="36"/>
      <c r="BT192" s="147"/>
      <c r="BU192" s="13"/>
      <c r="BV192" s="5"/>
      <c r="BW192" s="419" t="b">
        <f>AND(ISNUMBER(SnapshotTable[[#This Row],[SP Exp Date]]), ISNUMBER(SnapshotTable[[#This Row],[SP Strike Price]]), ISNUMBER(SnapshotTable[[#This Row],[SP Qty]]), ISNUMBER(SnapshotTable[[#This Row],[SP Book Date]]), ISNUMBER(SnapshotTable[[#This Row],[SP Book Price]]))</f>
        <v>0</v>
      </c>
      <c r="BX192" s="419" t="b">
        <f>AND(SnapshotTable[[#This Row],[SP Is Booked]], NOT(ISBLANK(SnapshotTable[[#This Row],[SP Fill Date]])))</f>
        <v>0</v>
      </c>
      <c r="BY192" s="33">
        <f>IF(SnapshotTable[[#This Row],[SP Is Booked]], SnapshotTable[[#This Row],[SP Qty]] * SnapshotTable[[#This Row],[SP Book Price]] * 100, 0)</f>
        <v>0</v>
      </c>
      <c r="BZ192" s="369"/>
      <c r="CA192" s="368">
        <f>SnapshotTable[[#This Row],[LP Qty]]</f>
        <v>0</v>
      </c>
      <c r="CB192" s="4" t="str">
        <f>IF(SnapshotTable[[#This Row],[SP Is Booked]], SnapshotTable[[#This Row],[SP Strike Price]] - SnapshotTable[[#This Row],[SP Book Price]], "")</f>
        <v/>
      </c>
      <c r="CC192" s="19" t="str">
        <f>IF(SnapshotTable[[#This Row],[SP Is Booked]],SnapshotTable[[#This Row],[SP Exp Date]]-MAX(SnapshotTable[[#This Row],[SP Book Date]], SnapshotTable[[#This Row],[SP Fill Date]]),"")</f>
        <v/>
      </c>
      <c r="CD192" s="7" t="str">
        <f>IF(SnapshotTable[[#This Row],[SP Is Booked]], SnapshotTable[[#This Row],[SP Book Price]]/SnapshotTable[[#This Row],[SP Strike Price]], "")</f>
        <v/>
      </c>
      <c r="CE192" s="7" t="str">
        <f>IF(ISNUMBER(SnapshotTable[[#This Row],[SP ROO Term]]),SnapshotTable[[#This Row],[SP ROO Term]]*(365/SnapshotTable[[#This Row],[SP Term]]),"")</f>
        <v/>
      </c>
      <c r="CF192" s="236">
        <f>SnapshotTable[[#This Row],[LP Strike Price]] * SnapshotTable[[#This Row],[LP Qty]] * 100</f>
        <v>0</v>
      </c>
      <c r="CG192" s="31" t="e">
        <f>IF(ISNUMBER(SnapshotTable[[#This Row],[SP Premium]]), (SnapshotTable[[#This Row],[SP Qty]] * SnapshotTable[[#This Row],[SP Strike Price]]* 100) - SnapshotTable[[#This Row],[LP Protection]], 0)</f>
        <v>#VALUE!</v>
      </c>
      <c r="CH192" s="7" t="str">
        <f>IF(ISNUMBER(SnapshotTable[[#This Row],[SP Break Even]]),-1 * (SnapshotTable[[#This Row],[SP Break Even]] - SnapshotTable[[#This Row],[Last Price]]) / SnapshotTable[[#This Row],[Last Price]], "")</f>
        <v/>
      </c>
      <c r="CI192" s="31">
        <f>IF(AND(ISNUMBER((SnapshotTable[[#This Row],[SP Potential Spend]])), SnapshotTable[[#This Row],[SP Strike Price]] &gt; SnapshotTable[[#This Row],[Last Price]], SnapshotTable[[#This Row],[SP Is Filled]]), SnapshotTable[[#This Row],[SP Potential Spend]] -  SnapshotTable[[#This Row],[LP Max Value]], 0)</f>
        <v>0</v>
      </c>
      <c r="CJ192" s="244"/>
      <c r="CK192" s="31" t="str">
        <f>IF(ISNUMBER(SnapshotTable[[#This Row],[SP Potential Spend]]),IF(ISNUMBER(SnapshotTable[[#This Row],[SP POW]]), SnapshotTable[[#This Row],[SP POW]] * SnapshotTable[[#This Row],[SP Potential Spend]], SnapshotTable[[#This Row],[SP Potential Spend]]), "")</f>
        <v/>
      </c>
      <c r="CL192" s="164" t="e">
        <f>IF(NOT(SnapshotTable[[#This Row],[SP Is Filled]]),(SnapshotTable[[#This Row],[SP Qty]] * SnapshotTable[[#This Row],[SP Strike Price]] * 100) - SnapshotTable[[#This Row],[LP Max Value]],"")</f>
        <v>#VALUE!</v>
      </c>
      <c r="CM192" s="31" t="str">
        <f>IF(SnapshotTable[[#This Row],[SP Actual Spend]]&lt;&gt;0, ((SnapshotTable[[#This Row],[SP Strike Price]]-SnapshotTable[[#This Row],[Last Price]]) *(SnapshotTable[[#This Row],[SP Qty]]*100) - SnapshotTable[[#This Row],[SP Premium]]) * - 1, "")</f>
        <v/>
      </c>
      <c r="CN192" s="78">
        <v>37.450000000000003</v>
      </c>
      <c r="CO192" s="369"/>
      <c r="CP192" s="4" t="str">
        <f>IF(SnapshotTable[[#This Row],[SP Is Filled]], btc_max_buyback_amount(SnapshotTable[[#This Row],[SP Fill Date]],SnapshotTable[[#This Row],[SP Exp Date]], SnapshotTable[[#This Row],[SP Book Price]]),"")</f>
        <v/>
      </c>
      <c r="CQ192" s="78"/>
      <c r="CR19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2" s="155" t="str">
        <f>IF(SnapshotTable[[#This Row],[SP Is Filled]], btc_next_cutoff_date(SnapshotTable[[#This Row],[SP Fill Date]],SnapshotTable[[#This Row],[SP Exp Date]]),"")</f>
        <v/>
      </c>
      <c r="CT192" s="235" t="str" cm="1">
        <f t="array" ref="CT192">IF(SnapshotTable[[#This Row],[SP Is Filled]], btc_should_buy_back(SnapshotTable[[#This Row],[SP Fill Date]], SnapshotTable[[#This Row],[SP Exp Date]], SnapshotTable[[#This Row],[SP Book Price]], SnapshotTable[[#This Row],[SP Current Ask]], MockToday, SnapshotTable[[#This Row],[SP Buyback Override]]),"")</f>
        <v/>
      </c>
      <c r="CU192" s="143"/>
      <c r="CV192" s="235"/>
      <c r="CW192" s="378" t="str">
        <f>IF(ISNUMBER( SnapshotTable[[#This Row],[SP Term]]), SnapshotTable[[#This Row],[SP Exp Date]] - MockToday,"")</f>
        <v/>
      </c>
      <c r="CX192" s="31" t="str">
        <f>IF(SnapshotTable[[#This Row],[SP Is Filled]],SnapshotTable[[#This Row],[SP Buyback Price to Use]] * 100 * SnapshotTable[[#This Row],[SP Qty]], "")</f>
        <v/>
      </c>
      <c r="CY192" s="4" t="str">
        <f>IF(ISNUMBER(SnapshotTable[[#This Row],[SP Strike Price]]), SnapshotTable[[#This Row],[SP Strike Price]] * (1 - SP_MaxLoss_StrikePct), "")</f>
        <v/>
      </c>
      <c r="CZ192" s="31" t="str">
        <f>IF(ISNUMBER(SnapshotTable[[#This Row],[SP Strike  Stop Per Share]]),SnapshotTable[[#This Row],[SP Premium]] - ((SnapshotTable[[#This Row],[SP Strike Price]]-SnapshotTable[[#This Row],[SP Strike  Stop Per Share]]) *(SnapshotTable[[#This Row],[SP Qty]] * 100)),"")</f>
        <v/>
      </c>
      <c r="DA192" s="4" t="str">
        <f>IF(AND(ISNUMBER(SnapshotTable[[#This Row],[SP Premium]]),SnapshotTable[[#This Row],[SP Premium]]&gt;0), SnapshotTable[[#This Row],[SP Book Price]] * (1 + SP_MaxLoss_OptionPct), "")</f>
        <v/>
      </c>
      <c r="DB192" s="31" t="str">
        <f>IF(ISNUMBER(SnapshotTable[[#This Row],[SP Option  Stop Contract]]),(SnapshotTable[[#This Row],[SP Option  Stop Contract]] *(SnapshotTable[[#This Row],[SP Qty]] * 100) - SnapshotTable[[#This Row],[SP Premium]]),"")</f>
        <v/>
      </c>
      <c r="DC192" s="4"/>
      <c r="DD192" s="4"/>
      <c r="DE192" s="4" t="str">
        <f>IF(AND(SnapshotTable[[#This Row],[SP Qty]]&gt;0, SnapshotTable[[#This Row],[SP Stop To Use]]&gt;0),SnapshotTable[[#This Row],[SP Premium]] - ( SnapshotTable[[#This Row],[SP Qty]] * SnapshotTable[[#This Row],[SP Stop To Use]] * 100), "")</f>
        <v/>
      </c>
      <c r="DF192" s="31" t="str">
        <f>IF(AND(SnapshotTable[[#This Row],[SP Qty]]&gt;0,SnapshotTable[[#This Row],[SP Current Ask]]&gt;0), SnapshotTable[[#This Row],[SP Qty]] * SnapshotTable[[#This Row],[SP Current Ask]] * -100, "")</f>
        <v/>
      </c>
      <c r="DG192" s="31" t="str">
        <f>IF(ISNUMBER((SnapshotTable[[#This Row],[SP Total Value]])), SnapshotTable[[#This Row],[SP Premium]] + SnapshotTable[[#This Row],[SP Total Value]], "")</f>
        <v/>
      </c>
      <c r="DH192" s="294" t="str">
        <f>IF(ISNUMBER((SnapshotTable[[#This Row],[SP Total Value]])), SnapshotTable[[#This Row],[SP Gain Loss]] / SnapshotTable[[#This Row],[SP Premium]], "")</f>
        <v/>
      </c>
      <c r="DI192" s="406"/>
      <c r="DJ192" s="138"/>
      <c r="DK192" s="148"/>
      <c r="DL192" s="13"/>
      <c r="DM192" s="13"/>
      <c r="DO192" s="31">
        <f>IF(SnapshotTable[[#This Row],[LC Symbol Count]]=1, SnapshotTable[[#This Row],[LC Qty]] * SnapshotTable[[#This Row],[LC Book Price]] * 100, 0)</f>
        <v>0</v>
      </c>
      <c r="DP192" s="163" t="str">
        <f>IF(AND(SnapshotTable[[#This Row],[LC Exp Date]]&gt;0, SnapshotTable[[#This Row],[LC Strike Price]]&gt;0,SnapshotTable[[#This Row],[LC Qty]]&gt;0,SnapshotTable[[#This Row],[LC Book Date]]&gt;0,SnapshotTable[[#This Row],[LC Book Price]]&gt;0,SnapshotTable[[#This Row],[LC Fill Date]]=0),"Y","")</f>
        <v/>
      </c>
      <c r="DQ192" s="386" t="str">
        <f>IF(SnapshotTable[[#This Row],[LC Premium]] &gt; 0,SnapshotTable[[#This Row],[LC Exp Date]]-MAX(SnapshotTable[[#This Row],[LC Book Date]], SnapshotTable[[#This Row],[LC Fill Date]]),"")</f>
        <v/>
      </c>
      <c r="DR192" s="386" t="str">
        <f>IF(ISNUMBER(SnapshotTable[[#This Row],[LC Term]]), SnapshotTable[[#This Row],[LC Exp Date]] - MockToday, "")</f>
        <v/>
      </c>
      <c r="DS192" s="234" t="str">
        <f>IF(SnapshotTable[[#This Row],[LC Premium]]&gt;0,SnapshotTable[[#This Row],[LC Strike Price]] + SnapshotTable[[#This Row],[LC Book Price]],"")</f>
        <v/>
      </c>
      <c r="DU192" s="9" t="str">
        <f>IF(AND(SnapshotTable[[#This Row],[LC Symbol Count]]&gt;0, SnapshotTable[[#This Row],[LC Contract Value]]&gt;0), SnapshotTable[[#This Row],[LC Contract Value]] * SnapshotTable[[#This Row],[LC Qty]] * 100, "")</f>
        <v/>
      </c>
      <c r="DV192" s="9" t="str">
        <f>IF(AND(ISNUMBER(SnapshotTable[[#This Row],[LC Total Value]]), SnapshotTable[[#This Row],[LC Not Filled]]&lt;&gt;"Y"), SnapshotTable[[#This Row],[LC Total Value]]-SnapshotTable[[#This Row],[LC Premium]],"")</f>
        <v/>
      </c>
      <c r="DW192" s="240" t="str">
        <f>IF(ISNUMBER(SnapshotTable[[#This Row],[LC Actual Gain Loss]]), SnapshotTable[[#This Row],[LC Actual Gain Loss]] / SnapshotTable[[#This Row],[LC Premium]],"")</f>
        <v/>
      </c>
      <c r="DX192" s="284" t="str">
        <f>IF(ISNUMBER(SnapshotTable[[#This Row],[LC Book Price]]),SnapshotTable[[#This Row],[LC Book Price]] * 1.5,"")</f>
        <v/>
      </c>
      <c r="DY192" s="265" t="str">
        <f>IF(SnapshotTable[[#This Row],[LC Premium]]&gt;0, SnapshotTable[[#This Row],[LC Next Target]] * SnapshotTable[[#This Row],[LC Qty]] * 100,"")</f>
        <v/>
      </c>
      <c r="DZ192" s="265" t="str">
        <f>IF(ISNUMBER(SnapshotTable[[#This Row],[LC Target Gross]]), SnapshotTable[[#This Row],[LC Target Gross]] - SnapshotTable[[#This Row],[LC Premium]], "")</f>
        <v/>
      </c>
      <c r="EA192" s="305" t="str">
        <f>IF(ISNUMBER(SnapshotTable[[#This Row],[LC Target Gain Loss]]), SnapshotTable[[#This Row],[LC Target Gain Loss]]/SnapshotTable[[#This Row],[LC Premium]], "")</f>
        <v/>
      </c>
      <c r="EB192" s="262"/>
      <c r="EC192" s="283" t="str">
        <f>IF(SnapshotTable[[#This Row],[LC Premium]]&gt;0, SnapshotTable[[#This Row],[LC Book Price]] * (1 - LC_StopLoss_Pct),"")</f>
        <v/>
      </c>
      <c r="ED192" s="284"/>
      <c r="EE192" s="283" t="str">
        <f>IF(ISNUMBER(SnapshotTable[[#This Row],[LC Contract Value]]),IF(ISNUMBER(SnapshotTable[[#This Row],[LC Stop Loss Override]]), SnapshotTable[[#This Row],[LC Stop Loss Override]],SnapshotTable[[#This Row],[LC Stop Loss Calc Target]]),"")</f>
        <v/>
      </c>
      <c r="EF192" s="31" t="str">
        <f>IF(ISNUMBER(SnapshotTable[[#This Row],[LC Stop  To Use]]), (SnapshotTable[[#This Row],[LC Stop  To Use]] * SnapshotTable[[#This Row],[LC Qty]] * 100),"")</f>
        <v/>
      </c>
      <c r="EG192" s="9" t="str">
        <f>IF(ISNUMBER(SnapshotTable[[#This Row],[LC Total Value]]),SnapshotTable[[#This Row],[LC Stop Loss Amount]] - SnapshotTable[[#This Row],[LC Premium]],"")</f>
        <v/>
      </c>
      <c r="EH192" s="9">
        <f>IF(ISNUMBER(SnapshotTable[[#This Row],[LC Premium]]), SnapshotTable[[#This Row],[LC Qty]] * 100 * SnapshotTable[[#This Row],[LC Strike Price]], "")</f>
        <v>0</v>
      </c>
      <c r="EI192" s="240" t="str">
        <f>IF(AND(ISNUMBER(SnapshotTable[[#This Row],[LC Total Value]]),SnapshotTable[[#This Row],[LC Total Value]]&gt;0),SnapshotTable[[#This Row],[LC Stop Gain Loss]]  / SnapshotTable[[#This Row],[LC Premium]],"")</f>
        <v/>
      </c>
      <c r="EJ192" s="35">
        <f>IF(ISNUMBER(SnapshotTable[[#This Row],[Equity Shares]]),TRUNC(SnapshotTable[[#This Row],[Equity Shares]] / 100),0) + SnapshotTable[[#This Row],[LC Qty]]</f>
        <v>0</v>
      </c>
      <c r="EK192" s="147"/>
      <c r="EL192" s="138" t="str">
        <f>IF(SnapshotTable[[#This Row],[SC Exp Date]]&lt;&gt;"",TRUNC(SnapshotTable[[#This Row],[Last Price]]),"")</f>
        <v/>
      </c>
      <c r="EM192" s="148"/>
      <c r="EN192" s="147"/>
      <c r="EO192" s="147"/>
      <c r="EP192" s="138"/>
      <c r="EQ192" s="419" t="b">
        <f>AND(ISNUMBER(SnapshotTable[[#This Row],[SC Exp Date]]), ISNUMBER(SnapshotTable[[#This Row],[SC Strike Price]]), ISNUMBER(SnapshotTable[[#This Row],[SC Qty]]), ISNUMBER(SnapshotTable[[#This Row],[SC Book Date]]), ISNUMBER(SnapshotTable[[#This Row],[SC Book Price]]))</f>
        <v>0</v>
      </c>
      <c r="ER192" s="419" t="b">
        <f>AND(SnapshotTable[[#This Row],[SC Is Booked]], NOT(ISBLANK(SnapshotTable[[#This Row],[SC Fill Date]])))</f>
        <v>0</v>
      </c>
      <c r="ES192" s="370"/>
      <c r="ET192" s="34" t="str">
        <f>IF(AND(ISNUMBER(SnapshotTable[[#This Row],[SC Exp Date]]), ISNUMBER(SnapshotTable[[#This Row],[SC Book Date]])), SnapshotTable[[#This Row],[SC Exp Date]] - MAX(SnapshotTable[[#This Row],[SC Book Date]], SnapshotTable[[#This Row],[SC Fill Date]]) + 1, "")</f>
        <v/>
      </c>
      <c r="EU192" s="34" t="str">
        <f>IF(ISNUMBER(SnapshotTable[[#This Row],[SC Term]]), SnapshotTable[[#This Row],[SC Exp Date]]- MockToday, "")</f>
        <v/>
      </c>
      <c r="EV192" s="31">
        <f>IF(SnapshotTable[[#This Row],[SC Is Booked]], SnapshotTable[[#This Row],[SC Qty]] * SnapshotTable[[#This Row],[SC Book Price]] * 100, 0)</f>
        <v>0</v>
      </c>
      <c r="EW192" s="4" t="str">
        <f>IF(AND(ISNUMBER(SnapshotTable[[#This Row],[Last Price]]), ISNUMBER( SnapshotTable[[#This Row],[SC Book Price]])), SnapshotTable[[#This Row],[Last Price]] - SnapshotTable[[#This Row],[SC Book Price]],"")</f>
        <v/>
      </c>
      <c r="EX192" s="234" t="str">
        <f>IF(SnapshotTable[[#This Row],[SC Is Booked]],IF(SnapshotTable[[#This Row],[SC Intrinsic Value]] &gt; 0, SnapshotTable[[#This Row],[SC Strike Price]], SnapshotTable[[#This Row],[Last Price]]), "")</f>
        <v/>
      </c>
      <c r="EY192" s="4">
        <f>IF(SnapshotTable[[#This Row],[SC Is Booked]], (MinimumPremiumRequired * SnapshotTable[[#This Row],[SC Basis]] * SnapshotTable[[#This Row],[SC Term]]), 0)</f>
        <v>0</v>
      </c>
      <c r="EZ192" s="283"/>
      <c r="FA192" s="423"/>
      <c r="FB192" s="370"/>
      <c r="FC192" s="4">
        <f>IF(SnapshotTable[[#This Row],[SC Is Filled]], btc_max_buyback_amount(SnapshotTable[[#This Row],[SC Fill Date]],SnapshotTable[[#This Row],[SC Exp Date]], SnapshotTable[[#This Row],[SC Book Price]]),0)</f>
        <v>0</v>
      </c>
      <c r="FD192" s="5"/>
      <c r="FE192" s="144" t="str">
        <f>IF(SnapshotTable[[#This Row],[SC Is Filled]], btc_next_cutoff_date(SnapshotTable[[#This Row],[SC Fill Date]],SnapshotTable[[#This Row],[SC Exp Date]]),"")</f>
        <v/>
      </c>
      <c r="FF192" s="4" t="str" cm="1">
        <f t="array" ref="FF192">IF(SnapshotTable[[#This Row],[SC Is Filled]], btc_should_buy_back(SnapshotTable[[#This Row],[SC Fill Date]], SnapshotTable[[#This Row],[SC Exp Date]], SnapshotTable[[#This Row],[SC Book Price]], SnapshotTable[[#This Row],[SC Current Ask]], MockToday, SnapshotTable[[#This Row],[SC Buyback Override]]),"")</f>
        <v/>
      </c>
      <c r="FG192" s="4">
        <f>IF(SnapshotTable[[#This Row],[SC Is Filled]], MAX(0,SnapshotTable[[#This Row],[Last Price]]  - SnapshotTable[[#This Row],[SC Strike Price]]), 0)</f>
        <v>0</v>
      </c>
      <c r="FH192" s="382">
        <f>IF(SnapshotTable[[#This Row],[SC Is Filled]], IF(ISNUMBER(SnapshotTable[[#This Row],[SC Current Ask]]), SnapshotTable[[#This Row],[SC Current Ask]], SnapshotTable[[#This Row],[SC Book Price]]) - SnapshotTable[[#This Row],[SC Intrinsic Value]], 0)</f>
        <v>0</v>
      </c>
      <c r="FI192" s="143"/>
      <c r="FJ192" s="32" t="str">
        <f>IF(SnapshotTable[[#This Row],[SC Is Filled]],100 * SnapshotTable[[#This Row],[SC Qty]] * IF(ISNUMBER(SnapshotTable[[#This Row],[SC Buyback Override]]), SnapshotTable[[#This Row],[SC Buyback Override]], SnapshotTable[[#This Row],[SC Current Ask]]), "")</f>
        <v/>
      </c>
      <c r="FK192" s="250" t="str">
        <f>IF(SnapshotTable[[#This Row],[SC Time Val]]&gt;0, SnapshotTable[[#This Row],[SC Time Val]] / SnapshotTable[[#This Row],[Last Price]],"")</f>
        <v/>
      </c>
      <c r="FL192" s="302" t="str">
        <f>IF(SnapshotTable[[#This Row],[SC Is Booked]], ((SnapshotTable[[#This Row],[Last Price]] -SnapshotTable[[#This Row],[SC Strike Price]]) / SnapshotTable[[#This Row],[Last Price]]) * -1, "")</f>
        <v/>
      </c>
      <c r="FM192" s="157" t="str">
        <f>IF(SnapshotTable[[#This Row],[SC Is Booked]],  (SnapshotTable[[#This Row],[SC Qty]] * 100 * SnapshotTable[[#This Row],[SC Strike Price]]) - SnapshotTable[[#This Row],[SC Current Ask]], "")</f>
        <v/>
      </c>
      <c r="FN19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2" s="31" t="str">
        <f>IF(AND(ISNUMBER(SnapshotTable[[#This Row],[SC Exercise Gross]]), ISNUMBER(SnapshotTable[[#This Row],[Equity Basis Per Share]] )), SnapshotTable[[#This Row],[SC Exercise Gross]] - SnapshotTable[[#This Row],[Equity Basis Total]] +  SnapshotTable[[#This Row],[SC Premium]], "")</f>
        <v/>
      </c>
      <c r="FP192" s="5" t="str">
        <f>IF(ISNUMBER(SnapshotTable[[#This Row],[SC Exercise Gross]]), (SnapshotTable[[#This Row],[SC Exercise Gross]]) / (SnapshotTable[[#This Row],[SC Qty]] * 100), "")</f>
        <v/>
      </c>
      <c r="FQ192" s="27" t="str">
        <f>IF(SnapshotTable[[#This Row],[SC Is Booked]],SnapshotTable[[#This Row],[SC Time Val]] /SnapshotTable[[#This Row],[SC Basis]], "")</f>
        <v/>
      </c>
      <c r="FR192" s="27" t="str" cm="1">
        <f t="array" ref="FR192">IF(AND(ISNUMBER(SnapshotTable[[#This Row],[SC Term]]),ISNUMBER(SnapshotTable[[#This Row],[SC Simple ROO]])), EllmanAnnualize(SnapshotTable[[#This Row],[SC DTE]], SnapshotTable[[#This Row],[SC Simple ROO]] ),"")</f>
        <v/>
      </c>
      <c r="FS192" s="4" t="e">
        <f>IF(SnapshotTable[[#This Row],[SC Strike Price]] &gt; SnapshotTable[[#This Row],[Last Price]], SnapshotTable[[#This Row],[SC Strike Price]] - SnapshotTable[[#This Row],[Last Price]],0)</f>
        <v>#VALUE!</v>
      </c>
      <c r="FT192" s="27" t="e">
        <f>IF(AND(ISNUMBER(SnapshotTable[[#This Row],[SC Upside Potential]]), SnapshotTable[[#This Row],[SC Upside Potential]] &gt; 0),(SnapshotTable[[#This Row],[SC Upside Potential]]/ SnapshotTable[[#This Row],[ACB]]),"")</f>
        <v>#VALUE!</v>
      </c>
      <c r="FU192" s="333" t="str">
        <f>IF(SnapshotTable[[#This Row],[SC Intrinsic Value]] &gt; 0,SnapshotTable[[#This Row],[SC Intrinsic Value]],"")</f>
        <v/>
      </c>
      <c r="FV192" s="27" t="str">
        <f>IF(AND( ISNUMBER( SnapshotTable[[#This Row],[ACB]]),ISNUMBER(SnapshotTable[[#This Row],[SC Downside Protect]])),SnapshotTable[[#This Row],[SC Downside Protect]] / SnapshotTable[[#This Row],[ACB]],"")</f>
        <v/>
      </c>
      <c r="FW192" s="236" t="str">
        <f>IF(AND(ISNUMBER(SnapshotTable[[#This Row],[SC Simple ROO]]),SnapshotTable[[#This Row],[SC Simple ROO]] &gt; 0), SnapshotTable[[#This Row],[SC Premium]] + (SnapshotTable[[#This Row],[SC Qty]] * SnapshotTable[[#This Row],[SC Upside Potential]]), "")</f>
        <v/>
      </c>
      <c r="FX192" s="302" t="str" cm="1">
        <f t="array" ref="FX192">IF(ISNUMBER(SnapshotTable[[#This Row],[SC Max Dollars]]), annualize(SnapshotTable[[#This Row],[SC Term]],(SnapshotTable[[#This Row],[SC Max Dollars]]/SnapshotTable[[#This Row],[SC Basis]])),"")</f>
        <v/>
      </c>
      <c r="FY192" s="236" t="str">
        <f>IF(AND(SnapshotTable[[#This Row],[SC Qty]]&gt;0,SnapshotTable[[#This Row],[SC Current Ask]]&gt;0), SnapshotTable[[#This Row],[SC Qty]] * SnapshotTable[[#This Row],[SC Current Ask]] * -100, "")</f>
        <v/>
      </c>
      <c r="FZ192" s="31" t="str">
        <f>IF(ISNUMBER((SnapshotTable[[#This Row],[SC Current Value]])), SnapshotTable[[#This Row],[SC Premium]] + SnapshotTable[[#This Row],[SC Current Value]], "")</f>
        <v/>
      </c>
      <c r="GA192" s="294" t="str">
        <f>IFERROR( IF(ISNUMBER((SnapshotTable[[#This Row],[SC Current Value]])), SnapshotTable[[#This Row],[SC Gain Loss]] / SnapshotTable[[#This Row],[SC Premium]], ""), "")</f>
        <v/>
      </c>
      <c r="GB192" s="42">
        <f>SnapshotTable[[#This Row],[Equity Shares]] * SaleSharesToConsiderPercentage</f>
        <v>0</v>
      </c>
      <c r="GC192" s="40">
        <f>SnapshotTable[[#This Row],[Long Term Target]] * SellingPriceToConsiderBasedOnTargetPercentage</f>
        <v>12.767999999999999</v>
      </c>
      <c r="GD192" s="40">
        <f>SnapshotTable[[#This Row],[Last Price]] * (1+ SellingPriceToConsiderBasedOnTargetPercentage)</f>
        <v>42.120000000000005</v>
      </c>
      <c r="GE192" s="41"/>
      <c r="GF192" s="40"/>
      <c r="GG192" s="31">
        <f>SnapshotTable[[#This Row],[Booked Sale Shares]] * SnapshotTable[[#This Row],[Booked Sale Price]]</f>
        <v>0</v>
      </c>
      <c r="GH192" s="31" t="str">
        <f>IF(SnapshotTable[[#This Row],[Equity Basis Total]] &gt; 0, SnapshotTable[[#This Row],[Equity Basis Per Share]] * SnapshotTable[[#This Row],[Booked Sale Shares]], "")</f>
        <v/>
      </c>
      <c r="GI192" s="31">
        <f>IF(SnapshotTable[[#This Row],[Sale Proceeds]]&gt;0, SnapshotTable[[#This Row],[Sale Proceeds]] - SnapshotTable[[#This Row],[Sale Basis]], 0)</f>
        <v>0</v>
      </c>
      <c r="GJ192" s="27" t="str">
        <f>IF(SnapshotTable[[#This Row],[Sale G/L]]&gt;0, SnapshotTable[[#This Row],[Sale G/L]] / SnapshotTable[[#This Row],[Sale Basis]], IF(ISNUMBER(SnapshotTable[[#This Row],[SC Exercise P&amp;L (TAX)]]), SnapshotTable[[#This Row],[SC Exercise P&amp;L (TAX)]] / SnapshotTable[[#This Row],[SC Basis]], ""))</f>
        <v/>
      </c>
      <c r="GK192" s="27"/>
      <c r="GL192" s="43" t="str">
        <f>IF(AND(SnapshotTable[[#This Row],[LP Exp Date]]&gt;0,SnapshotTable[[#This Row],[LP Strike Price]]&gt;0), [1]!ToOptionSymbol(SnapshotTable[[#This Row],[Symbol]], SnapshotTable[[#This Row],[LP Strike Price]],SnapshotTable[[#This Row],[LP Exp Date]],1), "")</f>
        <v/>
      </c>
      <c r="GM192" s="30" t="str">
        <f>IF(LEN(SnapshotTable[[#This Row],[LP Symbol]])&gt;0, 1, "")</f>
        <v/>
      </c>
      <c r="GN192" s="43" t="str">
        <f>IF(AND(SnapshotTable[[#This Row],[SP Exp Date]]&gt;0,SnapshotTable[[#This Row],[SP Strike Price]]&gt;0), [1]!ToOptionSymbol(SnapshotTable[[#This Row],[Symbol]], SnapshotTable[[#This Row],[SP Strike Price]],SnapshotTable[[#This Row],[SP Exp Date]],1), "")</f>
        <v/>
      </c>
      <c r="GO192" s="30" t="str">
        <f>IF(LEN(SnapshotTable[[#This Row],[SP Symbol]])&gt;0, 1, "")</f>
        <v/>
      </c>
      <c r="GP192" s="43" t="str">
        <f>IF(AND(SnapshotTable[[#This Row],[LC Exp Date]]&gt;0,SnapshotTable[[#This Row],[LC Strike Price]]&gt;0), [1]!ToOptionSymbol(SnapshotTable[[#This Row],[Symbol]], SnapshotTable[[#This Row],[LC Strike Price]],SnapshotTable[[#This Row],[LC Exp Date]],0), "")</f>
        <v/>
      </c>
      <c r="GQ192" s="30" t="str">
        <f>IF(LEN(SnapshotTable[[#This Row],[LC Symbol]])&gt;0, 1, "")</f>
        <v/>
      </c>
      <c r="GR192" s="43" t="str">
        <f>IF(AND(SnapshotTable[[#This Row],[SC Exp Date]]&gt;0,SnapshotTable[[#This Row],[SC Strike Price]]&gt;0), [1]!ToOptionSymbol(SnapshotTable[[#This Row],[Symbol]], SnapshotTable[[#This Row],[SC Strike Price]],SnapshotTable[[#This Row],[SC Exp Date]],0), "")</f>
        <v/>
      </c>
      <c r="GS192" s="30" t="str">
        <f>IF(LEN(SnapshotTable[[#This Row],[SC Symbol]])&gt;0, 1, "")</f>
        <v/>
      </c>
      <c r="GT192" s="29" t="str">
        <f>IF(COUNT(SnapshotTable[[#This Row],[LP Symbol Count]],SnapshotTable[[#This Row],[SP Symbol Count]],SnapshotTable[[#This Row],[LC Symbol Count]],SnapshotTable[[#This Row],[SC Symbol Count]])&gt;0, "Y", "")</f>
        <v/>
      </c>
      <c r="GU19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2" s="231" t="e">
        <f>MAX(SnapshotTable[[#This Row],[Equity Basis Total]],SnapshotTable[[#This Row],[Equity Value]]) + (SnapshotTable[[#This Row],[SP Potential Spend]]- SnapshotTable[[#This Row],[SP Premium]] + SnapshotTable[[#This Row],[LP Premium]])+ (SnapshotTable[[#This Row],[LC Premium]] - SnapshotTable[[#This Row],[SC Premium]])</f>
        <v>#VALUE!</v>
      </c>
      <c r="GW192" s="139" t="e">
        <f>IF(AND(SnapshotTable[[#This Row],[Exposure]] &lt;&gt; 0),SnapshotTable[[#This Row],[Exposure]] / SnapshotTable[[#Totals],[Exposure]], "")</f>
        <v>#VALUE!</v>
      </c>
      <c r="HE192" s="268"/>
      <c r="HF192" s="268"/>
      <c r="HK192" s="1"/>
      <c r="HL192" s="1"/>
      <c r="HM192" s="1"/>
      <c r="HN192" s="1"/>
      <c r="HO192" s="1"/>
      <c r="HP192" s="1"/>
    </row>
    <row r="193" spans="2:224" ht="12.75" hidden="1" customHeight="1" x14ac:dyDescent="0.25">
      <c r="B193" s="12" t="s">
        <v>1004</v>
      </c>
      <c r="C193" s="422">
        <v>213.42</v>
      </c>
      <c r="D193" s="208"/>
      <c r="E193" s="39">
        <f>SnapshotTable[[#This Row],[Last Price]]*(1 -CrashDiscount)</f>
        <v>181.40699999999998</v>
      </c>
      <c r="F193" s="26" t="s">
        <v>1005</v>
      </c>
      <c r="G193" s="26" t="s">
        <v>872</v>
      </c>
      <c r="H193" s="149"/>
      <c r="I193" s="194">
        <v>44776.25</v>
      </c>
      <c r="J193" s="195">
        <v>44776.25</v>
      </c>
      <c r="K193" s="196"/>
      <c r="L193" s="326"/>
      <c r="M193" s="140"/>
      <c r="N193" s="140"/>
      <c r="O193" s="140"/>
      <c r="P193" s="22"/>
      <c r="Q193" s="25"/>
      <c r="R193" s="4" t="str">
        <f>IF(SnapshotTable[[#This Row],[Equity Basis Total]] &gt; 0, SnapshotTable[[#This Row],[Equity Basis Total]] / SnapshotTable[[#This Row],[Equity Shares]], "")</f>
        <v/>
      </c>
      <c r="S193" s="269">
        <f>SnapshotTable[[#This Row],[Last Price]] * SnapshotTable[[#This Row],[Equity Shares]]</f>
        <v>0</v>
      </c>
      <c r="T193" s="269">
        <f>SnapshotTable[[#This Row],[Equity Value]] - SnapshotTable[[#This Row],[Equity Basis Total]]</f>
        <v>0</v>
      </c>
      <c r="U193" s="270" t="str">
        <f>IF(SnapshotTable[[#This Row],[Equity Basis Total]] &gt; 0, SnapshotTable[[#This Row],[Equity G/L]] / SnapshotTable[[#This Row],[Equity Basis Total]], "")</f>
        <v/>
      </c>
      <c r="V193" s="268"/>
      <c r="W193" s="268"/>
      <c r="X193" s="4" t="str">
        <f>IF(AND(ISNUMBER(SnapshotTable[[#This Row],[Equity Basis Per Share]]),ISNUMBER(SnapshotTable[[#This Row],[Equity Target]])),SnapshotTable[[#This Row],[Equity Target]]-SnapshotTable[[#This Row],[Equity Basis Per Share]],"")</f>
        <v/>
      </c>
      <c r="Y193" s="4" t="str">
        <f>IF(AND(ISNUMBER(SnapshotTable[[#This Row],[Equity Basis Per Share]]),ISNUMBER(SnapshotTable[[#This Row],[Equity Stop Loss]])),SnapshotTable[[#This Row],[Equity Stop Loss]]-SnapshotTable[[#This Row],[Equity Basis Per Share]],"")</f>
        <v/>
      </c>
      <c r="Z193" s="275" t="str">
        <f>IFERROR( TEXT(SnapshotTable[[#This Row],[Equity Max Gain Per Share]] /ABS( SnapshotTable[[#This Row],[Equity Max Loss Per Share]]),"0.0 " ) &amp; " : 1", "")</f>
        <v/>
      </c>
      <c r="AA193" s="31" t="str">
        <f>IF(ISNUMBER(SnapshotTable[[#This Row],[Equity Max Gain Per Share]]),SnapshotTable[[#This Row],[Equity Max Gain Per Share]] * SnapshotTable[[#This Row],[Equity Shares]],"")</f>
        <v/>
      </c>
      <c r="AB193" s="31" t="str">
        <f>IF(ISNUMBER(SnapshotTable[[#This Row],[Equity Max Loss Per Share]]),SnapshotTable[[#This Row],[Equity Max Loss Per Share]] * SnapshotTable[[#This Row],[Equity Shares]],"")</f>
        <v/>
      </c>
      <c r="AC193" s="150"/>
      <c r="AD193" s="151"/>
      <c r="AE193" s="31">
        <f>(SnapshotTable[[#This Row],[Annual Dividend Per Share]] / 4) * SnapshotTable[[#This Row],[Equity Shares]]</f>
        <v>0</v>
      </c>
      <c r="AF193" s="31">
        <f>SnapshotTable[[#This Row],[Quarterly Div $]] * 4</f>
        <v>0</v>
      </c>
      <c r="AG193" s="7">
        <f>IF(SnapshotTable[[#This Row],[Annual Dividend Per Share]]&gt;0, SnapshotTable[[#This Row],[Annual Dividend Per Share]]  / SnapshotTable[[#This Row],[Last Price]], 0)</f>
        <v>0</v>
      </c>
      <c r="AH193" s="151"/>
      <c r="AI193" s="5"/>
      <c r="AJ193" s="138">
        <v>420.43</v>
      </c>
      <c r="AK193" s="152" t="str">
        <f>IF(ISNUMBER( SnapshotTable[[#This Row],[EBF Target]]),(SnapshotTable[[#This Row],[EBF Target]] - SnapshotTable[[#This Row],[Last Price]]) / SnapshotTable[[#This Row],[Last Price]], "")</f>
        <v/>
      </c>
      <c r="AL193" s="152" t="str">
        <f>IF(AND(SnapshotTable[[#This Row],[Equity Basis Total]] &gt; 0,ISNUMBER( SnapshotTable[[#This Row],[Long Term Target]])), SnapshotTable[[#This Row],[From Basis $]] / SnapshotTable[[#This Row],[Equity Basis Total]], "")</f>
        <v/>
      </c>
      <c r="AM193" s="9">
        <f>IF( AND(SnapshotTable[[#This Row],[Equity Shares]] &gt;0,ISNUMBER( SnapshotTable[[#This Row],[Long Term Target]])),(SnapshotTable[[#This Row],[Equity Shares]] * SnapshotTable[[#This Row],[Long Term Target]]) - SnapshotTable[[#This Row],[Equity Basis Total]],0)</f>
        <v>0</v>
      </c>
      <c r="AN193" s="9">
        <f>IF( AND(SnapshotTable[[#This Row],[Equity Shares]] &gt;0,ISNUMBER( SnapshotTable[[#This Row],[Long Term Target]])),(SnapshotTable[[#This Row],[Equity Shares]]*SnapshotTable[[#This Row],[Long Term Target]]) - SnapshotTable[[#This Row],[Equity Value]],0)</f>
        <v>0</v>
      </c>
      <c r="AO193" s="152">
        <f>IF(AND(ISNUMBER( SnapshotTable[[#This Row],[Long Term Target]]), ISNUMBER(SnapshotTable[[#This Row],[Last Price]])),(SnapshotTable[[#This Row],[Long Term Target]] - SnapshotTable[[#This Row],[Last Price]]) / SnapshotTable[[#This Row],[Last Price]], "")</f>
        <v>0.96996532658607459</v>
      </c>
      <c r="AP193" s="5"/>
      <c r="AQ193" s="38"/>
      <c r="AR193" s="5"/>
      <c r="AS193" s="38"/>
      <c r="AT193" s="146"/>
      <c r="AU193" s="187" t="str">
        <f>IF(OR(SnapshotTable[[#This Row],[LP No Fill]]="Y",SnapshotTable[[#This Row],[SP Is Filled]],SnapshotTable[[#This Row],[LC Not Filled]]="Y",SnapshotTable[[#This Row],[SC Is Filled]]),"Y","")</f>
        <v/>
      </c>
      <c r="AV193" s="219"/>
      <c r="AW193" s="225"/>
      <c r="AX193" s="220"/>
      <c r="AY193" s="219" t="str">
        <f>IF(SnapshotTable[[#This Row],[Implied Move]]&gt;0, SnapshotTable[[#This Row],[Last Price]]-SnapshotTable[[#This Row],[Implied Move]],"")</f>
        <v/>
      </c>
      <c r="AZ193" s="219" t="str">
        <f>IF(SnapshotTable[[#This Row],[Implied Move]]&gt;0, SnapshotTable[[#This Row],[Last Price]] + SnapshotTable[[#This Row],[Implied Move]],"")</f>
        <v/>
      </c>
      <c r="BA193" s="331"/>
      <c r="BB193" s="347"/>
      <c r="BC19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3" s="351"/>
      <c r="BE193" s="5"/>
      <c r="BF193" s="14"/>
      <c r="BG193" s="13"/>
      <c r="BH193" s="13"/>
      <c r="BI193" s="5"/>
      <c r="BJ193" s="136">
        <f>IF(SnapshotTable[[#This Row],[LP Qty]] &gt; 0, SnapshotTable[[#This Row],[LP Qty]] * SnapshotTable[[#This Row],[LP Book Price]] * 100,0)</f>
        <v>0</v>
      </c>
      <c r="BK193" s="136">
        <f>IF(SnapshotTable[[#This Row],[LP Premium]] &gt; 0, SnapshotTable[[#This Row],[LP Qty]] * SnapshotTable[[#This Row],[LP Strike Price]] * 100,0)</f>
        <v>0</v>
      </c>
      <c r="BL193" s="154"/>
      <c r="BM193" s="385" t="str">
        <f>IF(SnapshotTable[[#This Row],[LP Premium]] &gt; 0,SnapshotTable[[#This Row],[LP Exp Date]]-MAX(SnapshotTable[[#This Row],[LP Book Date]], SnapshotTable[[#This Row],[LP Fill Date]]),"")</f>
        <v/>
      </c>
      <c r="BN193" s="385" t="str">
        <f>IF(ISNUMBER( SnapshotTable[[#This Row],[LP Term]]), SnapshotTable[[#This Row],[LP Exp Date]] - MockToday,"")</f>
        <v/>
      </c>
      <c r="BO193" s="163" t="str">
        <f>IF(AND(SnapshotTable[[#This Row],[LP Exp Date]]&gt;0, SnapshotTable[[#This Row],[LP Strike Price]]&gt;0,SnapshotTable[[#This Row],[LP Qty]]&gt;0,SnapshotTable[[#This Row],[LP Book Date]]&gt;0,SnapshotTable[[#This Row],[LP Book Price]]&gt;0,SnapshotTable[[#This Row],[LP Fill Date]]=0),"Y","")</f>
        <v/>
      </c>
      <c r="BP193" s="31" t="str">
        <f>IF(AND(SnapshotTable[[#This Row],[LP No Fill]]&lt;&gt;"Y",SnapshotTable[[#This Row],[LP Contract Value]]&gt;0, SnapshotTable[[#This Row],[LP Qty]]&gt;0), SnapshotTable[[#This Row],[LP Contract Value]]*SnapshotTable[[#This Row],[LP Qty]]*100,"")</f>
        <v/>
      </c>
      <c r="BQ193" s="13"/>
      <c r="BR193" s="5" t="str">
        <f>IF(SnapshotTable[[#This Row],[SP Exp Date]]&lt;&gt;"",TRUNC(SnapshotTable[[#This Row],[Last Price]]),"")</f>
        <v/>
      </c>
      <c r="BS193" s="36"/>
      <c r="BT193" s="147"/>
      <c r="BU193" s="13"/>
      <c r="BV193" s="5"/>
      <c r="BW193" s="419" t="b">
        <f>AND(ISNUMBER(SnapshotTable[[#This Row],[SP Exp Date]]), ISNUMBER(SnapshotTable[[#This Row],[SP Strike Price]]), ISNUMBER(SnapshotTable[[#This Row],[SP Qty]]), ISNUMBER(SnapshotTable[[#This Row],[SP Book Date]]), ISNUMBER(SnapshotTable[[#This Row],[SP Book Price]]))</f>
        <v>0</v>
      </c>
      <c r="BX193" s="419" t="b">
        <f>AND(SnapshotTable[[#This Row],[SP Is Booked]], NOT(ISBLANK(SnapshotTable[[#This Row],[SP Fill Date]])))</f>
        <v>0</v>
      </c>
      <c r="BY193" s="33">
        <f>IF(SnapshotTable[[#This Row],[SP Is Booked]], SnapshotTable[[#This Row],[SP Qty]] * SnapshotTable[[#This Row],[SP Book Price]] * 100, 0)</f>
        <v>0</v>
      </c>
      <c r="BZ193" s="369"/>
      <c r="CA193" s="368">
        <f>SnapshotTable[[#This Row],[LP Qty]]</f>
        <v>0</v>
      </c>
      <c r="CB193" s="4" t="str">
        <f>IF(SnapshotTable[[#This Row],[SP Is Booked]], SnapshotTable[[#This Row],[SP Strike Price]] - SnapshotTable[[#This Row],[SP Book Price]], "")</f>
        <v/>
      </c>
      <c r="CC193" s="19" t="str">
        <f>IF(SnapshotTable[[#This Row],[SP Is Booked]],SnapshotTable[[#This Row],[SP Exp Date]]-MAX(SnapshotTable[[#This Row],[SP Book Date]], SnapshotTable[[#This Row],[SP Fill Date]]),"")</f>
        <v/>
      </c>
      <c r="CD193" s="7" t="str">
        <f>IF(SnapshotTable[[#This Row],[SP Is Booked]], SnapshotTable[[#This Row],[SP Book Price]]/SnapshotTable[[#This Row],[SP Strike Price]], "")</f>
        <v/>
      </c>
      <c r="CE193" s="7" t="str">
        <f>IF(ISNUMBER(SnapshotTable[[#This Row],[SP ROO Term]]),SnapshotTable[[#This Row],[SP ROO Term]]*(365/SnapshotTable[[#This Row],[SP Term]]),"")</f>
        <v/>
      </c>
      <c r="CF193" s="236">
        <f>SnapshotTable[[#This Row],[LP Strike Price]] * SnapshotTable[[#This Row],[LP Qty]] * 100</f>
        <v>0</v>
      </c>
      <c r="CG193" s="31" t="e">
        <f>IF(ISNUMBER(SnapshotTable[[#This Row],[SP Premium]]), (SnapshotTable[[#This Row],[SP Qty]] * SnapshotTable[[#This Row],[SP Strike Price]]* 100) - SnapshotTable[[#This Row],[LP Protection]], 0)</f>
        <v>#VALUE!</v>
      </c>
      <c r="CH193" s="7" t="str">
        <f>IF(ISNUMBER(SnapshotTable[[#This Row],[SP Break Even]]),-1 * (SnapshotTable[[#This Row],[SP Break Even]] - SnapshotTable[[#This Row],[Last Price]]) / SnapshotTable[[#This Row],[Last Price]], "")</f>
        <v/>
      </c>
      <c r="CI193" s="31">
        <f>IF(AND(ISNUMBER((SnapshotTable[[#This Row],[SP Potential Spend]])), SnapshotTable[[#This Row],[SP Strike Price]] &gt; SnapshotTable[[#This Row],[Last Price]], SnapshotTable[[#This Row],[SP Is Filled]]), SnapshotTable[[#This Row],[SP Potential Spend]] -  SnapshotTable[[#This Row],[LP Max Value]], 0)</f>
        <v>0</v>
      </c>
      <c r="CJ193" s="244"/>
      <c r="CK193" s="31" t="str">
        <f>IF(ISNUMBER(SnapshotTable[[#This Row],[SP Potential Spend]]),IF(ISNUMBER(SnapshotTable[[#This Row],[SP POW]]), SnapshotTable[[#This Row],[SP POW]] * SnapshotTable[[#This Row],[SP Potential Spend]], SnapshotTable[[#This Row],[SP Potential Spend]]), "")</f>
        <v/>
      </c>
      <c r="CL193" s="164" t="e">
        <f>IF(NOT(SnapshotTable[[#This Row],[SP Is Filled]]),(SnapshotTable[[#This Row],[SP Qty]] * SnapshotTable[[#This Row],[SP Strike Price]] * 100) - SnapshotTable[[#This Row],[LP Max Value]],"")</f>
        <v>#VALUE!</v>
      </c>
      <c r="CM193" s="31" t="str">
        <f>IF(SnapshotTable[[#This Row],[SP Actual Spend]]&lt;&gt;0, ((SnapshotTable[[#This Row],[SP Strike Price]]-SnapshotTable[[#This Row],[Last Price]]) *(SnapshotTable[[#This Row],[SP Qty]]*100) - SnapshotTable[[#This Row],[SP Premium]]) * - 1, "")</f>
        <v/>
      </c>
      <c r="CN193" s="78"/>
      <c r="CO193" s="369"/>
      <c r="CP193" s="4" t="str">
        <f>IF(SnapshotTable[[#This Row],[SP Is Filled]], btc_max_buyback_amount(SnapshotTable[[#This Row],[SP Fill Date]],SnapshotTable[[#This Row],[SP Exp Date]], SnapshotTable[[#This Row],[SP Book Price]]),"")</f>
        <v/>
      </c>
      <c r="CQ193" s="78"/>
      <c r="CR19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3" s="155" t="str">
        <f>IF(SnapshotTable[[#This Row],[SP Is Filled]], btc_next_cutoff_date(SnapshotTable[[#This Row],[SP Fill Date]],SnapshotTable[[#This Row],[SP Exp Date]]),"")</f>
        <v/>
      </c>
      <c r="CT193" s="235" t="str" cm="1">
        <f t="array" ref="CT193">IF(SnapshotTable[[#This Row],[SP Is Filled]], btc_should_buy_back(SnapshotTable[[#This Row],[SP Fill Date]], SnapshotTable[[#This Row],[SP Exp Date]], SnapshotTable[[#This Row],[SP Book Price]], SnapshotTable[[#This Row],[SP Current Ask]], MockToday, SnapshotTable[[#This Row],[SP Buyback Override]]),"")</f>
        <v/>
      </c>
      <c r="CU193" s="143"/>
      <c r="CV193" s="235"/>
      <c r="CW193" s="378" t="str">
        <f>IF(ISNUMBER( SnapshotTable[[#This Row],[SP Term]]), SnapshotTable[[#This Row],[SP Exp Date]] - MockToday,"")</f>
        <v/>
      </c>
      <c r="CX193" s="31" t="str">
        <f>IF(SnapshotTable[[#This Row],[SP Is Filled]],SnapshotTable[[#This Row],[SP Buyback Price to Use]] * 100 * SnapshotTable[[#This Row],[SP Qty]], "")</f>
        <v/>
      </c>
      <c r="CY193" s="4" t="str">
        <f>IF(ISNUMBER(SnapshotTable[[#This Row],[SP Strike Price]]), SnapshotTable[[#This Row],[SP Strike Price]] * (1 - SP_MaxLoss_StrikePct), "")</f>
        <v/>
      </c>
      <c r="CZ193" s="31" t="str">
        <f>IF(ISNUMBER(SnapshotTable[[#This Row],[SP Strike  Stop Per Share]]),SnapshotTable[[#This Row],[SP Premium]] - ((SnapshotTable[[#This Row],[SP Strike Price]]-SnapshotTable[[#This Row],[SP Strike  Stop Per Share]]) *(SnapshotTable[[#This Row],[SP Qty]] * 100)),"")</f>
        <v/>
      </c>
      <c r="DA193" s="4" t="str">
        <f>IF(AND(ISNUMBER(SnapshotTable[[#This Row],[SP Premium]]),SnapshotTable[[#This Row],[SP Premium]]&gt;0), SnapshotTable[[#This Row],[SP Book Price]] * (1 + SP_MaxLoss_OptionPct), "")</f>
        <v/>
      </c>
      <c r="DB193" s="31" t="str">
        <f>IF(ISNUMBER(SnapshotTable[[#This Row],[SP Option  Stop Contract]]),(SnapshotTable[[#This Row],[SP Option  Stop Contract]] *(SnapshotTable[[#This Row],[SP Qty]] * 100) - SnapshotTable[[#This Row],[SP Premium]]),"")</f>
        <v/>
      </c>
      <c r="DC193" s="4"/>
      <c r="DD193" s="4"/>
      <c r="DE193" s="4" t="str">
        <f>IF(AND(SnapshotTable[[#This Row],[SP Qty]]&gt;0, SnapshotTable[[#This Row],[SP Stop To Use]]&gt;0),SnapshotTable[[#This Row],[SP Premium]] - ( SnapshotTable[[#This Row],[SP Qty]] * SnapshotTable[[#This Row],[SP Stop To Use]] * 100), "")</f>
        <v/>
      </c>
      <c r="DF193" s="31" t="str">
        <f>IF(AND(SnapshotTable[[#This Row],[SP Qty]]&gt;0,SnapshotTable[[#This Row],[SP Current Ask]]&gt;0), SnapshotTable[[#This Row],[SP Qty]] * SnapshotTable[[#This Row],[SP Current Ask]] * -100, "")</f>
        <v/>
      </c>
      <c r="DG193" s="31" t="str">
        <f>IF(ISNUMBER((SnapshotTable[[#This Row],[SP Total Value]])), SnapshotTable[[#This Row],[SP Premium]] + SnapshotTable[[#This Row],[SP Total Value]], "")</f>
        <v/>
      </c>
      <c r="DH193" s="294" t="str">
        <f>IF(ISNUMBER((SnapshotTable[[#This Row],[SP Total Value]])), SnapshotTable[[#This Row],[SP Gain Loss]] / SnapshotTable[[#This Row],[SP Premium]], "")</f>
        <v/>
      </c>
      <c r="DI193" s="406"/>
      <c r="DJ193" s="138"/>
      <c r="DK193" s="148"/>
      <c r="DL193" s="13"/>
      <c r="DM193" s="13"/>
      <c r="DO193" s="31">
        <f>IF(SnapshotTable[[#This Row],[LC Symbol Count]]=1, SnapshotTable[[#This Row],[LC Qty]] * SnapshotTable[[#This Row],[LC Book Price]] * 100, 0)</f>
        <v>0</v>
      </c>
      <c r="DP193" s="163" t="str">
        <f>IF(AND(SnapshotTable[[#This Row],[LC Exp Date]]&gt;0, SnapshotTable[[#This Row],[LC Strike Price]]&gt;0,SnapshotTable[[#This Row],[LC Qty]]&gt;0,SnapshotTable[[#This Row],[LC Book Date]]&gt;0,SnapshotTable[[#This Row],[LC Book Price]]&gt;0,SnapshotTable[[#This Row],[LC Fill Date]]=0),"Y","")</f>
        <v/>
      </c>
      <c r="DQ193" s="386" t="str">
        <f>IF(SnapshotTable[[#This Row],[LC Premium]] &gt; 0,SnapshotTable[[#This Row],[LC Exp Date]]-MAX(SnapshotTable[[#This Row],[LC Book Date]], SnapshotTable[[#This Row],[LC Fill Date]]),"")</f>
        <v/>
      </c>
      <c r="DR193" s="386" t="str">
        <f>IF(ISNUMBER(SnapshotTable[[#This Row],[LC Term]]), SnapshotTable[[#This Row],[LC Exp Date]] - MockToday, "")</f>
        <v/>
      </c>
      <c r="DS193" s="234" t="str">
        <f>IF(SnapshotTable[[#This Row],[LC Premium]]&gt;0,SnapshotTable[[#This Row],[LC Strike Price]] + SnapshotTable[[#This Row],[LC Book Price]],"")</f>
        <v/>
      </c>
      <c r="DU193" s="9" t="str">
        <f>IF(AND(SnapshotTable[[#This Row],[LC Symbol Count]]&gt;0, SnapshotTable[[#This Row],[LC Contract Value]]&gt;0), SnapshotTable[[#This Row],[LC Contract Value]] * SnapshotTable[[#This Row],[LC Qty]] * 100, "")</f>
        <v/>
      </c>
      <c r="DV193" s="9" t="str">
        <f>IF(AND(ISNUMBER(SnapshotTable[[#This Row],[LC Total Value]]), SnapshotTable[[#This Row],[LC Not Filled]]&lt;&gt;"Y"), SnapshotTable[[#This Row],[LC Total Value]]-SnapshotTable[[#This Row],[LC Premium]],"")</f>
        <v/>
      </c>
      <c r="DW193" s="240" t="str">
        <f>IF(ISNUMBER(SnapshotTable[[#This Row],[LC Actual Gain Loss]]), SnapshotTable[[#This Row],[LC Actual Gain Loss]] / SnapshotTable[[#This Row],[LC Premium]],"")</f>
        <v/>
      </c>
      <c r="DX193" s="284" t="str">
        <f>IF(ISNUMBER(SnapshotTable[[#This Row],[LC Book Price]]),SnapshotTable[[#This Row],[LC Book Price]] * 1.5,"")</f>
        <v/>
      </c>
      <c r="DY193" s="265" t="str">
        <f>IF(SnapshotTable[[#This Row],[LC Premium]]&gt;0, SnapshotTable[[#This Row],[LC Next Target]] * SnapshotTable[[#This Row],[LC Qty]] * 100,"")</f>
        <v/>
      </c>
      <c r="DZ193" s="265" t="str">
        <f>IF(ISNUMBER(SnapshotTable[[#This Row],[LC Target Gross]]), SnapshotTable[[#This Row],[LC Target Gross]] - SnapshotTable[[#This Row],[LC Premium]], "")</f>
        <v/>
      </c>
      <c r="EA193" s="305" t="str">
        <f>IF(ISNUMBER(SnapshotTable[[#This Row],[LC Target Gain Loss]]), SnapshotTable[[#This Row],[LC Target Gain Loss]]/SnapshotTable[[#This Row],[LC Premium]], "")</f>
        <v/>
      </c>
      <c r="EB193" s="262"/>
      <c r="EC193" s="283" t="str">
        <f>IF(SnapshotTable[[#This Row],[LC Premium]]&gt;0, SnapshotTable[[#This Row],[LC Book Price]] * (1 - LC_StopLoss_Pct),"")</f>
        <v/>
      </c>
      <c r="ED193" s="284"/>
      <c r="EE193" s="283" t="str">
        <f>IF(ISNUMBER(SnapshotTable[[#This Row],[LC Contract Value]]),IF(ISNUMBER(SnapshotTable[[#This Row],[LC Stop Loss Override]]), SnapshotTable[[#This Row],[LC Stop Loss Override]],SnapshotTable[[#This Row],[LC Stop Loss Calc Target]]),"")</f>
        <v/>
      </c>
      <c r="EF193" s="31" t="str">
        <f>IF(ISNUMBER(SnapshotTable[[#This Row],[LC Stop  To Use]]), (SnapshotTable[[#This Row],[LC Stop  To Use]] * SnapshotTable[[#This Row],[LC Qty]] * 100),"")</f>
        <v/>
      </c>
      <c r="EG193" s="9" t="str">
        <f>IF(ISNUMBER(SnapshotTable[[#This Row],[LC Total Value]]),SnapshotTable[[#This Row],[LC Stop Loss Amount]] - SnapshotTable[[#This Row],[LC Premium]],"")</f>
        <v/>
      </c>
      <c r="EH193" s="9">
        <f>IF(ISNUMBER(SnapshotTable[[#This Row],[LC Premium]]), SnapshotTable[[#This Row],[LC Qty]] * 100 * SnapshotTable[[#This Row],[LC Strike Price]], "")</f>
        <v>0</v>
      </c>
      <c r="EI193" s="240" t="str">
        <f>IF(AND(ISNUMBER(SnapshotTable[[#This Row],[LC Total Value]]),SnapshotTable[[#This Row],[LC Total Value]]&gt;0),SnapshotTable[[#This Row],[LC Stop Gain Loss]]  / SnapshotTable[[#This Row],[LC Premium]],"")</f>
        <v/>
      </c>
      <c r="EJ193" s="35">
        <f>IF(ISNUMBER(SnapshotTable[[#This Row],[Equity Shares]]),TRUNC(SnapshotTable[[#This Row],[Equity Shares]] / 100),0) + SnapshotTable[[#This Row],[LC Qty]]</f>
        <v>0</v>
      </c>
      <c r="EK193" s="147"/>
      <c r="EL193" s="138" t="str">
        <f>IF(SnapshotTable[[#This Row],[SC Exp Date]]&lt;&gt;"",TRUNC(SnapshotTable[[#This Row],[Last Price]]),"")</f>
        <v/>
      </c>
      <c r="EM193" s="148"/>
      <c r="EN193" s="147"/>
      <c r="EO193" s="147"/>
      <c r="EP193" s="138"/>
      <c r="EQ193" s="419" t="b">
        <f>AND(ISNUMBER(SnapshotTable[[#This Row],[SC Exp Date]]), ISNUMBER(SnapshotTable[[#This Row],[SC Strike Price]]), ISNUMBER(SnapshotTable[[#This Row],[SC Qty]]), ISNUMBER(SnapshotTable[[#This Row],[SC Book Date]]), ISNUMBER(SnapshotTable[[#This Row],[SC Book Price]]))</f>
        <v>0</v>
      </c>
      <c r="ER193" s="419" t="b">
        <f>AND(SnapshotTable[[#This Row],[SC Is Booked]], NOT(ISBLANK(SnapshotTable[[#This Row],[SC Fill Date]])))</f>
        <v>0</v>
      </c>
      <c r="ES193" s="370"/>
      <c r="ET193" s="34" t="str">
        <f>IF(AND(ISNUMBER(SnapshotTable[[#This Row],[SC Exp Date]]), ISNUMBER(SnapshotTable[[#This Row],[SC Book Date]])), SnapshotTable[[#This Row],[SC Exp Date]] - MAX(SnapshotTable[[#This Row],[SC Book Date]], SnapshotTable[[#This Row],[SC Fill Date]]) + 1, "")</f>
        <v/>
      </c>
      <c r="EU193" s="34" t="str">
        <f>IF(ISNUMBER(SnapshotTable[[#This Row],[SC Term]]), SnapshotTable[[#This Row],[SC Exp Date]]- MockToday, "")</f>
        <v/>
      </c>
      <c r="EV193" s="31">
        <f>IF(SnapshotTable[[#This Row],[SC Is Booked]], SnapshotTable[[#This Row],[SC Qty]] * SnapshotTable[[#This Row],[SC Book Price]] * 100, 0)</f>
        <v>0</v>
      </c>
      <c r="EW193" s="4" t="str">
        <f>IF(AND(ISNUMBER(SnapshotTable[[#This Row],[Last Price]]), ISNUMBER( SnapshotTable[[#This Row],[SC Book Price]])), SnapshotTable[[#This Row],[Last Price]] - SnapshotTable[[#This Row],[SC Book Price]],"")</f>
        <v/>
      </c>
      <c r="EX193" s="234" t="str">
        <f>IF(SnapshotTable[[#This Row],[SC Is Booked]],IF(SnapshotTable[[#This Row],[SC Intrinsic Value]] &gt; 0, SnapshotTable[[#This Row],[SC Strike Price]], SnapshotTable[[#This Row],[Last Price]]), "")</f>
        <v/>
      </c>
      <c r="EY193" s="4">
        <f>IF(SnapshotTable[[#This Row],[SC Is Booked]], (MinimumPremiumRequired * SnapshotTable[[#This Row],[SC Basis]] * SnapshotTable[[#This Row],[SC Term]]), 0)</f>
        <v>0</v>
      </c>
      <c r="EZ193" s="283"/>
      <c r="FA193" s="218"/>
      <c r="FB193" s="370"/>
      <c r="FC193" s="4">
        <f>IF(SnapshotTable[[#This Row],[SC Is Filled]], btc_max_buyback_amount(SnapshotTable[[#This Row],[SC Fill Date]],SnapshotTable[[#This Row],[SC Exp Date]], SnapshotTable[[#This Row],[SC Book Price]]),0)</f>
        <v>0</v>
      </c>
      <c r="FD193" s="5"/>
      <c r="FE193" s="144" t="str">
        <f>IF(SnapshotTable[[#This Row],[SC Is Filled]], btc_next_cutoff_date(SnapshotTable[[#This Row],[SC Fill Date]],SnapshotTable[[#This Row],[SC Exp Date]]),"")</f>
        <v/>
      </c>
      <c r="FF193" s="4" t="str" cm="1">
        <f t="array" ref="FF193">IF(SnapshotTable[[#This Row],[SC Is Filled]], btc_should_buy_back(SnapshotTable[[#This Row],[SC Fill Date]], SnapshotTable[[#This Row],[SC Exp Date]], SnapshotTable[[#This Row],[SC Book Price]], SnapshotTable[[#This Row],[SC Current Ask]], MockToday, SnapshotTable[[#This Row],[SC Buyback Override]]),"")</f>
        <v/>
      </c>
      <c r="FG193" s="4">
        <f>IF(SnapshotTable[[#This Row],[SC Is Filled]], MAX(0,SnapshotTable[[#This Row],[Last Price]]  - SnapshotTable[[#This Row],[SC Strike Price]]), 0)</f>
        <v>0</v>
      </c>
      <c r="FH193" s="382">
        <f>IF(SnapshotTable[[#This Row],[SC Is Filled]], IF(ISNUMBER(SnapshotTable[[#This Row],[SC Current Ask]]), SnapshotTable[[#This Row],[SC Current Ask]], SnapshotTable[[#This Row],[SC Book Price]]) - SnapshotTable[[#This Row],[SC Intrinsic Value]], 0)</f>
        <v>0</v>
      </c>
      <c r="FI193" s="143"/>
      <c r="FJ193" s="32" t="str">
        <f>IF(SnapshotTable[[#This Row],[SC Is Filled]],100 * SnapshotTable[[#This Row],[SC Qty]] * IF(ISNUMBER(SnapshotTable[[#This Row],[SC Buyback Override]]), SnapshotTable[[#This Row],[SC Buyback Override]], SnapshotTable[[#This Row],[SC Current Ask]]), "")</f>
        <v/>
      </c>
      <c r="FK193" s="250" t="str">
        <f>IF(SnapshotTable[[#This Row],[SC Time Val]]&gt;0, SnapshotTable[[#This Row],[SC Time Val]] / SnapshotTable[[#This Row],[Last Price]],"")</f>
        <v/>
      </c>
      <c r="FL193" s="302" t="str">
        <f>IF(SnapshotTable[[#This Row],[SC Is Booked]], ((SnapshotTable[[#This Row],[Last Price]] -SnapshotTable[[#This Row],[SC Strike Price]]) / SnapshotTable[[#This Row],[Last Price]]) * -1, "")</f>
        <v/>
      </c>
      <c r="FM193" s="157" t="str">
        <f>IF(SnapshotTable[[#This Row],[SC Is Booked]],  (SnapshotTable[[#This Row],[SC Qty]] * 100 * SnapshotTable[[#This Row],[SC Strike Price]]) - SnapshotTable[[#This Row],[SC Current Ask]], "")</f>
        <v/>
      </c>
      <c r="FN19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3" s="31" t="str">
        <f>IF(AND(ISNUMBER(SnapshotTable[[#This Row],[SC Exercise Gross]]), ISNUMBER(SnapshotTable[[#This Row],[Equity Basis Per Share]] )), SnapshotTable[[#This Row],[SC Exercise Gross]] - SnapshotTable[[#This Row],[Equity Basis Total]] +  SnapshotTable[[#This Row],[SC Premium]], "")</f>
        <v/>
      </c>
      <c r="FP193" s="5" t="str">
        <f>IF(ISNUMBER(SnapshotTable[[#This Row],[SC Exercise Gross]]), (SnapshotTable[[#This Row],[SC Exercise Gross]]) / (SnapshotTable[[#This Row],[SC Qty]] * 100), "")</f>
        <v/>
      </c>
      <c r="FQ193" s="27" t="str">
        <f>IF(SnapshotTable[[#This Row],[SC Is Booked]],SnapshotTable[[#This Row],[SC Time Val]] /SnapshotTable[[#This Row],[SC Basis]], "")</f>
        <v/>
      </c>
      <c r="FR193" s="27" t="str" cm="1">
        <f t="array" ref="FR193">IF(AND(ISNUMBER(SnapshotTable[[#This Row],[SC Term]]),ISNUMBER(SnapshotTable[[#This Row],[SC Simple ROO]])), EllmanAnnualize(SnapshotTable[[#This Row],[SC DTE]], SnapshotTable[[#This Row],[SC Simple ROO]] ),"")</f>
        <v/>
      </c>
      <c r="FS193" s="4" t="e">
        <f>IF(SnapshotTable[[#This Row],[SC Strike Price]] &gt; SnapshotTable[[#This Row],[Last Price]], SnapshotTable[[#This Row],[SC Strike Price]] - SnapshotTable[[#This Row],[Last Price]],0)</f>
        <v>#VALUE!</v>
      </c>
      <c r="FT193" s="27" t="e">
        <f>IF(AND(ISNUMBER(SnapshotTable[[#This Row],[SC Upside Potential]]), SnapshotTable[[#This Row],[SC Upside Potential]] &gt; 0),(SnapshotTable[[#This Row],[SC Upside Potential]]/ SnapshotTable[[#This Row],[ACB]]),"")</f>
        <v>#VALUE!</v>
      </c>
      <c r="FU193" s="333" t="str">
        <f>IF(SnapshotTable[[#This Row],[SC Intrinsic Value]] &gt; 0,SnapshotTable[[#This Row],[SC Intrinsic Value]],"")</f>
        <v/>
      </c>
      <c r="FV193" s="27" t="str">
        <f>IF(AND( ISNUMBER( SnapshotTable[[#This Row],[ACB]]),ISNUMBER(SnapshotTable[[#This Row],[SC Downside Protect]])),SnapshotTable[[#This Row],[SC Downside Protect]] / SnapshotTable[[#This Row],[ACB]],"")</f>
        <v/>
      </c>
      <c r="FW193" s="236" t="str">
        <f>IF(AND(ISNUMBER(SnapshotTable[[#This Row],[SC Simple ROO]]),SnapshotTable[[#This Row],[SC Simple ROO]] &gt; 0), SnapshotTable[[#This Row],[SC Premium]] + (SnapshotTable[[#This Row],[SC Qty]] * SnapshotTable[[#This Row],[SC Upside Potential]]), "")</f>
        <v/>
      </c>
      <c r="FX193" s="302" t="str" cm="1">
        <f t="array" ref="FX193">IF(ISNUMBER(SnapshotTable[[#This Row],[SC Max Dollars]]), annualize(SnapshotTable[[#This Row],[SC Term]],(SnapshotTable[[#This Row],[SC Max Dollars]]/SnapshotTable[[#This Row],[SC Basis]])),"")</f>
        <v/>
      </c>
      <c r="FY193" s="236" t="str">
        <f>IF(AND(SnapshotTable[[#This Row],[SC Qty]]&gt;0,SnapshotTable[[#This Row],[SC Current Ask]]&gt;0), SnapshotTable[[#This Row],[SC Qty]] * SnapshotTable[[#This Row],[SC Current Ask]] * -100, "")</f>
        <v/>
      </c>
      <c r="FZ193" s="31" t="str">
        <f>IF(ISNUMBER((SnapshotTable[[#This Row],[SC Current Value]])), SnapshotTable[[#This Row],[SC Premium]] + SnapshotTable[[#This Row],[SC Current Value]], "")</f>
        <v/>
      </c>
      <c r="GA193" s="294" t="str">
        <f>IFERROR( IF(ISNUMBER((SnapshotTable[[#This Row],[SC Current Value]])), SnapshotTable[[#This Row],[SC Gain Loss]] / SnapshotTable[[#This Row],[SC Premium]], ""), "")</f>
        <v/>
      </c>
      <c r="GB193" s="42">
        <f>SnapshotTable[[#This Row],[Equity Shares]] * SaleSharesToConsiderPercentage</f>
        <v>0</v>
      </c>
      <c r="GC193" s="40">
        <f>SnapshotTable[[#This Row],[Long Term Target]] * SellingPriceToConsiderBasedOnTargetPercentage</f>
        <v>399.4085</v>
      </c>
      <c r="GD193" s="40">
        <f>SnapshotTable[[#This Row],[Last Price]] * (1+ SellingPriceToConsiderBasedOnTargetPercentage)</f>
        <v>416.16899999999998</v>
      </c>
      <c r="GE193" s="41"/>
      <c r="GF193" s="40"/>
      <c r="GG193" s="31">
        <f>SnapshotTable[[#This Row],[Booked Sale Shares]] * SnapshotTable[[#This Row],[Booked Sale Price]]</f>
        <v>0</v>
      </c>
      <c r="GH193" s="31" t="str">
        <f>IF(SnapshotTable[[#This Row],[Equity Basis Total]] &gt; 0, SnapshotTable[[#This Row],[Equity Basis Per Share]] * SnapshotTable[[#This Row],[Booked Sale Shares]], "")</f>
        <v/>
      </c>
      <c r="GI193" s="31">
        <f>IF(SnapshotTable[[#This Row],[Sale Proceeds]]&gt;0, SnapshotTable[[#This Row],[Sale Proceeds]] - SnapshotTable[[#This Row],[Sale Basis]], 0)</f>
        <v>0</v>
      </c>
      <c r="GJ193" s="27" t="str">
        <f>IF(SnapshotTable[[#This Row],[Sale G/L]]&gt;0, SnapshotTable[[#This Row],[Sale G/L]] / SnapshotTable[[#This Row],[Sale Basis]], IF(ISNUMBER(SnapshotTable[[#This Row],[SC Exercise P&amp;L (TAX)]]), SnapshotTable[[#This Row],[SC Exercise P&amp;L (TAX)]] / SnapshotTable[[#This Row],[SC Basis]], ""))</f>
        <v/>
      </c>
      <c r="GK193" s="27"/>
      <c r="GL193" s="43" t="str">
        <f>IF(AND(SnapshotTable[[#This Row],[LP Exp Date]]&gt;0,SnapshotTable[[#This Row],[LP Strike Price]]&gt;0), [1]!ToOptionSymbol(SnapshotTable[[#This Row],[Symbol]], SnapshotTable[[#This Row],[LP Strike Price]],SnapshotTable[[#This Row],[LP Exp Date]],1), "")</f>
        <v/>
      </c>
      <c r="GM193" s="30" t="str">
        <f>IF(LEN(SnapshotTable[[#This Row],[LP Symbol]])&gt;0, 1, "")</f>
        <v/>
      </c>
      <c r="GN193" s="43" t="str">
        <f>IF(AND(SnapshotTable[[#This Row],[SP Exp Date]]&gt;0,SnapshotTable[[#This Row],[SP Strike Price]]&gt;0), [1]!ToOptionSymbol(SnapshotTable[[#This Row],[Symbol]], SnapshotTable[[#This Row],[SP Strike Price]],SnapshotTable[[#This Row],[SP Exp Date]],1), "")</f>
        <v/>
      </c>
      <c r="GO193" s="30" t="str">
        <f>IF(LEN(SnapshotTable[[#This Row],[SP Symbol]])&gt;0, 1, "")</f>
        <v/>
      </c>
      <c r="GP193" s="43" t="str">
        <f>IF(AND(SnapshotTable[[#This Row],[LC Exp Date]]&gt;0,SnapshotTable[[#This Row],[LC Strike Price]]&gt;0), [1]!ToOptionSymbol(SnapshotTable[[#This Row],[Symbol]], SnapshotTable[[#This Row],[LC Strike Price]],SnapshotTable[[#This Row],[LC Exp Date]],0), "")</f>
        <v/>
      </c>
      <c r="GQ193" s="30" t="str">
        <f>IF(LEN(SnapshotTable[[#This Row],[LC Symbol]])&gt;0, 1, "")</f>
        <v/>
      </c>
      <c r="GR193" s="43" t="str">
        <f>IF(AND(SnapshotTable[[#This Row],[SC Exp Date]]&gt;0,SnapshotTable[[#This Row],[SC Strike Price]]&gt;0), [1]!ToOptionSymbol(SnapshotTable[[#This Row],[Symbol]], SnapshotTable[[#This Row],[SC Strike Price]],SnapshotTable[[#This Row],[SC Exp Date]],0), "")</f>
        <v/>
      </c>
      <c r="GS193" s="30" t="str">
        <f>IF(LEN(SnapshotTable[[#This Row],[SC Symbol]])&gt;0, 1, "")</f>
        <v/>
      </c>
      <c r="GT193" s="29" t="str">
        <f>IF(COUNT(SnapshotTable[[#This Row],[LP Symbol Count]],SnapshotTable[[#This Row],[SP Symbol Count]],SnapshotTable[[#This Row],[LC Symbol Count]],SnapshotTable[[#This Row],[SC Symbol Count]])&gt;0, "Y", "")</f>
        <v/>
      </c>
      <c r="GU19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3" s="231" t="e">
        <f>MAX(SnapshotTable[[#This Row],[Equity Basis Total]],SnapshotTable[[#This Row],[Equity Value]]) + (SnapshotTable[[#This Row],[SP Potential Spend]]- SnapshotTable[[#This Row],[SP Premium]] + SnapshotTable[[#This Row],[LP Premium]])+ (SnapshotTable[[#This Row],[LC Premium]] - SnapshotTable[[#This Row],[SC Premium]])</f>
        <v>#VALUE!</v>
      </c>
      <c r="GW193" s="139" t="e">
        <f>IF(AND(SnapshotTable[[#This Row],[Exposure]] &lt;&gt; 0),SnapshotTable[[#This Row],[Exposure]] / SnapshotTable[[#Totals],[Exposure]], "")</f>
        <v>#VALUE!</v>
      </c>
      <c r="HE193" s="268"/>
      <c r="HF193" s="268"/>
      <c r="HK193" s="1"/>
      <c r="HL193" s="1"/>
      <c r="HM193" s="1"/>
      <c r="HN193" s="1"/>
      <c r="HO193" s="1"/>
      <c r="HP193" s="1"/>
    </row>
    <row r="194" spans="2:224" ht="12.75" hidden="1" customHeight="1" x14ac:dyDescent="0.25">
      <c r="B194" s="12" t="s">
        <v>1033</v>
      </c>
      <c r="C194" s="422">
        <v>24.25</v>
      </c>
      <c r="D194" s="208"/>
      <c r="E194" s="39">
        <f>SnapshotTable[[#This Row],[Last Price]]*(1 -CrashDiscount)</f>
        <v>20.612500000000001</v>
      </c>
      <c r="F194" s="26" t="s">
        <v>1034</v>
      </c>
      <c r="G194" s="325" t="s">
        <v>872</v>
      </c>
      <c r="H194" s="149"/>
      <c r="I194" s="194">
        <v>44791.083333333336</v>
      </c>
      <c r="J194" s="195">
        <v>44791.083333333336</v>
      </c>
      <c r="K194" s="196"/>
      <c r="L194" s="327"/>
      <c r="M194" s="140"/>
      <c r="N194" s="140"/>
      <c r="O194" s="140"/>
      <c r="P194" s="328"/>
      <c r="Q194" s="25"/>
      <c r="R194" s="4" t="str">
        <f>IF(SnapshotTable[[#This Row],[Equity Basis Total]] &gt; 0, SnapshotTable[[#This Row],[Equity Basis Total]] / SnapshotTable[[#This Row],[Equity Shares]], "")</f>
        <v/>
      </c>
      <c r="S194" s="329">
        <f>SnapshotTable[[#This Row],[Last Price]] * SnapshotTable[[#This Row],[Equity Shares]]</f>
        <v>0</v>
      </c>
      <c r="T194" s="269">
        <f>SnapshotTable[[#This Row],[Equity Value]] - SnapshotTable[[#This Row],[Equity Basis Total]]</f>
        <v>0</v>
      </c>
      <c r="U194" s="270" t="str">
        <f>IF(SnapshotTable[[#This Row],[Equity Basis Total]] &gt; 0, SnapshotTable[[#This Row],[Equity G/L]] / SnapshotTable[[#This Row],[Equity Basis Total]], "")</f>
        <v/>
      </c>
      <c r="V194" s="268"/>
      <c r="W194" s="268"/>
      <c r="X194" s="4" t="str">
        <f>IF(AND(ISNUMBER(SnapshotTable[[#This Row],[Equity Basis Per Share]]),ISNUMBER(SnapshotTable[[#This Row],[Equity Target]])),SnapshotTable[[#This Row],[Equity Target]]-SnapshotTable[[#This Row],[Equity Basis Per Share]],"")</f>
        <v/>
      </c>
      <c r="Y194" s="4" t="str">
        <f>IF(AND(ISNUMBER(SnapshotTable[[#This Row],[Equity Basis Per Share]]),ISNUMBER(SnapshotTable[[#This Row],[Equity Stop Loss]])),SnapshotTable[[#This Row],[Equity Stop Loss]]-SnapshotTable[[#This Row],[Equity Basis Per Share]],"")</f>
        <v/>
      </c>
      <c r="Z194" s="275" t="str">
        <f>IFERROR( TEXT(SnapshotTable[[#This Row],[Equity Max Gain Per Share]] /ABS( SnapshotTable[[#This Row],[Equity Max Loss Per Share]]),"0.0 " ) &amp; " : 1", "")</f>
        <v/>
      </c>
      <c r="AA194" s="31" t="str">
        <f>IF(ISNUMBER(SnapshotTable[[#This Row],[Equity Max Gain Per Share]]),SnapshotTable[[#This Row],[Equity Max Gain Per Share]] * SnapshotTable[[#This Row],[Equity Shares]],"")</f>
        <v/>
      </c>
      <c r="AB194" s="31" t="str">
        <f>IF(ISNUMBER(SnapshotTable[[#This Row],[Equity Max Loss Per Share]]),SnapshotTable[[#This Row],[Equity Max Loss Per Share]] * SnapshotTable[[#This Row],[Equity Shares]],"")</f>
        <v/>
      </c>
      <c r="AC194" s="150"/>
      <c r="AD194" s="151"/>
      <c r="AE194" s="31">
        <f>(SnapshotTable[[#This Row],[Annual Dividend Per Share]] / 4) * SnapshotTable[[#This Row],[Equity Shares]]</f>
        <v>0</v>
      </c>
      <c r="AF194" s="31">
        <f>SnapshotTable[[#This Row],[Quarterly Div $]] * 4</f>
        <v>0</v>
      </c>
      <c r="AG194" s="7">
        <f>IF(SnapshotTable[[#This Row],[Annual Dividend Per Share]]&gt;0, SnapshotTable[[#This Row],[Annual Dividend Per Share]]  / SnapshotTable[[#This Row],[Last Price]], 0)</f>
        <v>0</v>
      </c>
      <c r="AH194" s="151"/>
      <c r="AI194" s="330"/>
      <c r="AJ194" s="138">
        <v>14.68</v>
      </c>
      <c r="AK194" s="152" t="str">
        <f>IF(ISNUMBER( SnapshotTable[[#This Row],[EBF Target]]),(SnapshotTable[[#This Row],[EBF Target]] - SnapshotTable[[#This Row],[Last Price]]) / SnapshotTable[[#This Row],[Last Price]], "")</f>
        <v/>
      </c>
      <c r="AL194" s="152" t="str">
        <f>IF(AND(SnapshotTable[[#This Row],[Equity Basis Total]] &gt; 0,ISNUMBER( SnapshotTable[[#This Row],[Long Term Target]])), SnapshotTable[[#This Row],[From Basis $]] / SnapshotTable[[#This Row],[Equity Basis Total]], "")</f>
        <v/>
      </c>
      <c r="AM194" s="9">
        <f>IF( AND(SnapshotTable[[#This Row],[Equity Shares]] &gt;0,ISNUMBER( SnapshotTable[[#This Row],[Long Term Target]])),(SnapshotTable[[#This Row],[Equity Shares]] * SnapshotTable[[#This Row],[Long Term Target]]) - SnapshotTable[[#This Row],[Equity Basis Total]],0)</f>
        <v>0</v>
      </c>
      <c r="AN194" s="9">
        <f>IF( AND(SnapshotTable[[#This Row],[Equity Shares]] &gt;0,ISNUMBER( SnapshotTable[[#This Row],[Long Term Target]])),(SnapshotTable[[#This Row],[Equity Shares]]*SnapshotTable[[#This Row],[Long Term Target]]) - SnapshotTable[[#This Row],[Equity Value]],0)</f>
        <v>0</v>
      </c>
      <c r="AO194" s="152">
        <f>IF(AND(ISNUMBER( SnapshotTable[[#This Row],[Long Term Target]]), ISNUMBER(SnapshotTable[[#This Row],[Last Price]])),(SnapshotTable[[#This Row],[Long Term Target]] - SnapshotTable[[#This Row],[Last Price]]) / SnapshotTable[[#This Row],[Last Price]], "")</f>
        <v>-0.39463917525773196</v>
      </c>
      <c r="AP194" s="5"/>
      <c r="AQ194" s="38"/>
      <c r="AR194" s="5"/>
      <c r="AS194" s="38"/>
      <c r="AT194" s="146"/>
      <c r="AU194" s="187" t="str">
        <f>IF(OR(SnapshotTable[[#This Row],[LP No Fill]]="Y",SnapshotTable[[#This Row],[SP Is Filled]],SnapshotTable[[#This Row],[LC Not Filled]]="Y",SnapshotTable[[#This Row],[SC Is Filled]]),"Y","")</f>
        <v/>
      </c>
      <c r="AV194" s="338"/>
      <c r="AW194" s="339"/>
      <c r="AX194" s="220"/>
      <c r="AY194" s="219" t="str">
        <f>IF(SnapshotTable[[#This Row],[Implied Move]]&gt;0, SnapshotTable[[#This Row],[Last Price]]-SnapshotTable[[#This Row],[Implied Move]],"")</f>
        <v/>
      </c>
      <c r="AZ194" s="219" t="str">
        <f>IF(SnapshotTable[[#This Row],[Implied Move]]&gt;0, SnapshotTable[[#This Row],[Last Price]] + SnapshotTable[[#This Row],[Implied Move]],"")</f>
        <v/>
      </c>
      <c r="BA194" s="331"/>
      <c r="BB194" s="347"/>
      <c r="BC19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4" s="351"/>
      <c r="BE194" s="138"/>
      <c r="BF194" s="166"/>
      <c r="BG194" s="167"/>
      <c r="BH194" s="167"/>
      <c r="BI194" s="221"/>
      <c r="BJ194" s="153">
        <f>IF(SnapshotTable[[#This Row],[LP Qty]] &gt; 0, SnapshotTable[[#This Row],[LP Qty]] * SnapshotTable[[#This Row],[LP Book Price]] * 100,0)</f>
        <v>0</v>
      </c>
      <c r="BK194" s="136">
        <f>IF(SnapshotTable[[#This Row],[LP Premium]] &gt; 0, SnapshotTable[[#This Row],[LP Qty]] * SnapshotTable[[#This Row],[LP Strike Price]] * 100,0)</f>
        <v>0</v>
      </c>
      <c r="BL194" s="154"/>
      <c r="BM194" s="385" t="str">
        <f>IF(SnapshotTable[[#This Row],[LP Premium]] &gt; 0,SnapshotTable[[#This Row],[LP Exp Date]]-MAX(SnapshotTable[[#This Row],[LP Book Date]], SnapshotTable[[#This Row],[LP Fill Date]]),"")</f>
        <v/>
      </c>
      <c r="BN194" s="385" t="str">
        <f>IF(ISNUMBER( SnapshotTable[[#This Row],[LP Term]]), SnapshotTable[[#This Row],[LP Exp Date]] - MockToday,"")</f>
        <v/>
      </c>
      <c r="BO194" s="163" t="str">
        <f>IF(AND(SnapshotTable[[#This Row],[LP Exp Date]]&gt;0, SnapshotTable[[#This Row],[LP Strike Price]]&gt;0,SnapshotTable[[#This Row],[LP Qty]]&gt;0,SnapshotTable[[#This Row],[LP Book Date]]&gt;0,SnapshotTable[[#This Row],[LP Book Price]]&gt;0,SnapshotTable[[#This Row],[LP Fill Date]]=0),"Y","")</f>
        <v/>
      </c>
      <c r="BP194" s="31" t="str">
        <f>IF(AND(SnapshotTable[[#This Row],[LP No Fill]]&lt;&gt;"Y",SnapshotTable[[#This Row],[LP Contract Value]]&gt;0, SnapshotTable[[#This Row],[LP Qty]]&gt;0), SnapshotTable[[#This Row],[LP Contract Value]]*SnapshotTable[[#This Row],[LP Qty]]*100,"")</f>
        <v/>
      </c>
      <c r="BQ194" s="13"/>
      <c r="BR194" s="5" t="str">
        <f>IF(SnapshotTable[[#This Row],[SP Exp Date]]&lt;&gt;"",TRUNC(SnapshotTable[[#This Row],[Last Price]]),"")</f>
        <v/>
      </c>
      <c r="BS194" s="36"/>
      <c r="BT194" s="147"/>
      <c r="BU194" s="13"/>
      <c r="BV194" s="5"/>
      <c r="BW194" s="419" t="b">
        <f>AND(ISNUMBER(SnapshotTable[[#This Row],[SP Exp Date]]), ISNUMBER(SnapshotTable[[#This Row],[SP Strike Price]]), ISNUMBER(SnapshotTable[[#This Row],[SP Qty]]), ISNUMBER(SnapshotTable[[#This Row],[SP Book Date]]), ISNUMBER(SnapshotTable[[#This Row],[SP Book Price]]))</f>
        <v>0</v>
      </c>
      <c r="BX194" s="419" t="b">
        <f>AND(SnapshotTable[[#This Row],[SP Is Booked]], NOT(ISBLANK(SnapshotTable[[#This Row],[SP Fill Date]])))</f>
        <v>0</v>
      </c>
      <c r="BY194" s="33">
        <f>IF(SnapshotTable[[#This Row],[SP Is Booked]], SnapshotTable[[#This Row],[SP Qty]] * SnapshotTable[[#This Row],[SP Book Price]] * 100, 0)</f>
        <v>0</v>
      </c>
      <c r="BZ194" s="369"/>
      <c r="CA194" s="368">
        <f>SnapshotTable[[#This Row],[LP Qty]]</f>
        <v>0</v>
      </c>
      <c r="CB194" s="4" t="str">
        <f>IF(SnapshotTable[[#This Row],[SP Is Booked]], SnapshotTable[[#This Row],[SP Strike Price]] - SnapshotTable[[#This Row],[SP Book Price]], "")</f>
        <v/>
      </c>
      <c r="CC194" s="19" t="str">
        <f>IF(SnapshotTable[[#This Row],[SP Is Booked]],SnapshotTable[[#This Row],[SP Exp Date]]-MAX(SnapshotTable[[#This Row],[SP Book Date]], SnapshotTable[[#This Row],[SP Fill Date]]),"")</f>
        <v/>
      </c>
      <c r="CD194" s="7" t="str">
        <f>IF(SnapshotTable[[#This Row],[SP Is Booked]], SnapshotTable[[#This Row],[SP Book Price]]/SnapshotTable[[#This Row],[SP Strike Price]], "")</f>
        <v/>
      </c>
      <c r="CE194" s="7" t="str">
        <f>IF(ISNUMBER(SnapshotTable[[#This Row],[SP ROO Term]]),SnapshotTable[[#This Row],[SP ROO Term]]*(365/SnapshotTable[[#This Row],[SP Term]]),"")</f>
        <v/>
      </c>
      <c r="CF194" s="236">
        <f>SnapshotTable[[#This Row],[LP Strike Price]] * SnapshotTable[[#This Row],[LP Qty]] * 100</f>
        <v>0</v>
      </c>
      <c r="CG194" s="31" t="e">
        <f>IF(ISNUMBER(SnapshotTable[[#This Row],[SP Premium]]), (SnapshotTable[[#This Row],[SP Qty]] * SnapshotTable[[#This Row],[SP Strike Price]]* 100) - SnapshotTable[[#This Row],[LP Protection]], 0)</f>
        <v>#VALUE!</v>
      </c>
      <c r="CH194" s="7" t="str">
        <f>IF(ISNUMBER(SnapshotTable[[#This Row],[SP Break Even]]),-1 * (SnapshotTable[[#This Row],[SP Break Even]] - SnapshotTable[[#This Row],[Last Price]]) / SnapshotTable[[#This Row],[Last Price]], "")</f>
        <v/>
      </c>
      <c r="CI194" s="31">
        <f>IF(AND(ISNUMBER((SnapshotTable[[#This Row],[SP Potential Spend]])), SnapshotTable[[#This Row],[SP Strike Price]] &gt; SnapshotTable[[#This Row],[Last Price]], SnapshotTable[[#This Row],[SP Is Filled]]), SnapshotTable[[#This Row],[SP Potential Spend]] -  SnapshotTable[[#This Row],[LP Max Value]], 0)</f>
        <v>0</v>
      </c>
      <c r="CJ194" s="244"/>
      <c r="CK194" s="31" t="str">
        <f>IF(ISNUMBER(SnapshotTable[[#This Row],[SP Potential Spend]]),IF(ISNUMBER(SnapshotTable[[#This Row],[SP POW]]), SnapshotTable[[#This Row],[SP POW]] * SnapshotTable[[#This Row],[SP Potential Spend]], SnapshotTable[[#This Row],[SP Potential Spend]]), "")</f>
        <v/>
      </c>
      <c r="CL194" s="164" t="e">
        <f>IF(NOT(SnapshotTable[[#This Row],[SP Is Filled]]),(SnapshotTable[[#This Row],[SP Qty]] * SnapshotTable[[#This Row],[SP Strike Price]] * 100) - SnapshotTable[[#This Row],[LP Max Value]],"")</f>
        <v>#VALUE!</v>
      </c>
      <c r="CM194" s="31" t="str">
        <f>IF(SnapshotTable[[#This Row],[SP Actual Spend]]&lt;&gt;0, ((SnapshotTable[[#This Row],[SP Strike Price]]-SnapshotTable[[#This Row],[Last Price]]) *(SnapshotTable[[#This Row],[SP Qty]]*100) - SnapshotTable[[#This Row],[SP Premium]]) * - 1, "")</f>
        <v/>
      </c>
      <c r="CN194" s="154"/>
      <c r="CO194" s="369"/>
      <c r="CP194" s="320" t="str">
        <f>IF(SnapshotTable[[#This Row],[SP Is Filled]], btc_max_buyback_amount(SnapshotTable[[#This Row],[SP Fill Date]],SnapshotTable[[#This Row],[SP Exp Date]], SnapshotTable[[#This Row],[SP Book Price]]),"")</f>
        <v/>
      </c>
      <c r="CQ194" s="78"/>
      <c r="CR194" s="76"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4" s="155" t="str">
        <f>IF(SnapshotTable[[#This Row],[SP Is Filled]], btc_next_cutoff_date(SnapshotTable[[#This Row],[SP Fill Date]],SnapshotTable[[#This Row],[SP Exp Date]]),"")</f>
        <v/>
      </c>
      <c r="CT194" s="235" t="str" cm="1">
        <f t="array" ref="CT194">IF(SnapshotTable[[#This Row],[SP Is Filled]], btc_should_buy_back(SnapshotTable[[#This Row],[SP Fill Date]], SnapshotTable[[#This Row],[SP Exp Date]], SnapshotTable[[#This Row],[SP Book Price]], SnapshotTable[[#This Row],[SP Current Ask]], MockToday, SnapshotTable[[#This Row],[SP Buyback Override]]),"")</f>
        <v/>
      </c>
      <c r="CU194" s="156"/>
      <c r="CV194" s="235"/>
      <c r="CW194" s="378" t="str">
        <f>IF(ISNUMBER( SnapshotTable[[#This Row],[SP Term]]), SnapshotTable[[#This Row],[SP Exp Date]] - MockToday,"")</f>
        <v/>
      </c>
      <c r="CX194" s="31" t="str">
        <f>IF(SnapshotTable[[#This Row],[SP Is Filled]],SnapshotTable[[#This Row],[SP Buyback Price to Use]] * 100 * SnapshotTable[[#This Row],[SP Qty]], "")</f>
        <v/>
      </c>
      <c r="CY194" s="4" t="str">
        <f>IF(ISNUMBER(SnapshotTable[[#This Row],[SP Strike Price]]), SnapshotTable[[#This Row],[SP Strike Price]] * (1 - SP_MaxLoss_StrikePct), "")</f>
        <v/>
      </c>
      <c r="CZ194" s="31" t="str">
        <f>IF(ISNUMBER(SnapshotTable[[#This Row],[SP Strike  Stop Per Share]]),SnapshotTable[[#This Row],[SP Premium]] - ((SnapshotTable[[#This Row],[SP Strike Price]]-SnapshotTable[[#This Row],[SP Strike  Stop Per Share]]) *(SnapshotTable[[#This Row],[SP Qty]] * 100)),"")</f>
        <v/>
      </c>
      <c r="DA194" s="4" t="str">
        <f>IF(AND(ISNUMBER(SnapshotTable[[#This Row],[SP Premium]]),SnapshotTable[[#This Row],[SP Premium]]&gt;0), SnapshotTable[[#This Row],[SP Book Price]] * (1 + SP_MaxLoss_OptionPct), "")</f>
        <v/>
      </c>
      <c r="DB194" s="31" t="str">
        <f>IF(ISNUMBER(SnapshotTable[[#This Row],[SP Option  Stop Contract]]),(SnapshotTable[[#This Row],[SP Option  Stop Contract]] *(SnapshotTable[[#This Row],[SP Qty]] * 100) - SnapshotTable[[#This Row],[SP Premium]]),"")</f>
        <v/>
      </c>
      <c r="DC194" s="4"/>
      <c r="DD194" s="4"/>
      <c r="DE194" s="4" t="str">
        <f>IF(AND(SnapshotTable[[#This Row],[SP Qty]]&gt;0, SnapshotTable[[#This Row],[SP Stop To Use]]&gt;0),SnapshotTable[[#This Row],[SP Premium]] - ( SnapshotTable[[#This Row],[SP Qty]] * SnapshotTable[[#This Row],[SP Stop To Use]] * 100), "")</f>
        <v/>
      </c>
      <c r="DF194" s="31" t="str">
        <f>IF(AND(SnapshotTable[[#This Row],[SP Qty]]&gt;0,SnapshotTable[[#This Row],[SP Current Ask]]&gt;0), SnapshotTable[[#This Row],[SP Qty]] * SnapshotTable[[#This Row],[SP Current Ask]] * -100, "")</f>
        <v/>
      </c>
      <c r="DG194" s="31" t="str">
        <f>IF(ISNUMBER((SnapshotTable[[#This Row],[SP Total Value]])), SnapshotTable[[#This Row],[SP Premium]] + SnapshotTable[[#This Row],[SP Total Value]], "")</f>
        <v/>
      </c>
      <c r="DH194" s="294" t="str">
        <f>IF(ISNUMBER((SnapshotTable[[#This Row],[SP Total Value]])), SnapshotTable[[#This Row],[SP Gain Loss]] / SnapshotTable[[#This Row],[SP Premium]], "")</f>
        <v/>
      </c>
      <c r="DI194" s="406"/>
      <c r="DJ194" s="138"/>
      <c r="DK194" s="148"/>
      <c r="DL194" s="147"/>
      <c r="DM194" s="147"/>
      <c r="DO194" s="31">
        <f>IF(SnapshotTable[[#This Row],[LC Symbol Count]]=1, SnapshotTable[[#This Row],[LC Qty]] * SnapshotTable[[#This Row],[LC Book Price]] * 100, 0)</f>
        <v>0</v>
      </c>
      <c r="DP194" s="289" t="str">
        <f>IF(AND(SnapshotTable[[#This Row],[LC Exp Date]]&gt;0, SnapshotTable[[#This Row],[LC Strike Price]]&gt;0,SnapshotTable[[#This Row],[LC Qty]]&gt;0,SnapshotTable[[#This Row],[LC Book Date]]&gt;0,SnapshotTable[[#This Row],[LC Book Price]]&gt;0,SnapshotTable[[#This Row],[LC Fill Date]]=0),"Y","")</f>
        <v/>
      </c>
      <c r="DQ194" s="386" t="str">
        <f>IF(SnapshotTable[[#This Row],[LC Premium]] &gt; 0,SnapshotTable[[#This Row],[LC Exp Date]]-MAX(SnapshotTable[[#This Row],[LC Book Date]], SnapshotTable[[#This Row],[LC Fill Date]]),"")</f>
        <v/>
      </c>
      <c r="DR194" s="386" t="str">
        <f>IF(ISNUMBER(SnapshotTable[[#This Row],[LC Term]]), SnapshotTable[[#This Row],[LC Exp Date]] - MockToday, "")</f>
        <v/>
      </c>
      <c r="DS194" s="234" t="str">
        <f>IF(SnapshotTable[[#This Row],[LC Premium]]&gt;0,SnapshotTable[[#This Row],[LC Strike Price]] + SnapshotTable[[#This Row],[LC Book Price]],"")</f>
        <v/>
      </c>
      <c r="DU194" s="9" t="str">
        <f>IF(AND(SnapshotTable[[#This Row],[LC Symbol Count]]&gt;0, SnapshotTable[[#This Row],[LC Contract Value]]&gt;0), SnapshotTable[[#This Row],[LC Contract Value]] * SnapshotTable[[#This Row],[LC Qty]] * 100, "")</f>
        <v/>
      </c>
      <c r="DV194" s="9" t="str">
        <f>IF(AND(ISNUMBER(SnapshotTable[[#This Row],[LC Total Value]]), SnapshotTable[[#This Row],[LC Not Filled]]&lt;&gt;"Y"), SnapshotTable[[#This Row],[LC Total Value]]-SnapshotTable[[#This Row],[LC Premium]],"")</f>
        <v/>
      </c>
      <c r="DW194" s="240" t="str">
        <f>IF(ISNUMBER(SnapshotTable[[#This Row],[LC Actual Gain Loss]]), SnapshotTable[[#This Row],[LC Actual Gain Loss]] / SnapshotTable[[#This Row],[LC Premium]],"")</f>
        <v/>
      </c>
      <c r="DX194" s="284" t="str">
        <f>IF(ISNUMBER(SnapshotTable[[#This Row],[LC Book Price]]),SnapshotTable[[#This Row],[LC Book Price]] * 1.5,"")</f>
        <v/>
      </c>
      <c r="DY194" s="265" t="str">
        <f>IF(SnapshotTable[[#This Row],[LC Premium]]&gt;0, SnapshotTable[[#This Row],[LC Next Target]] * SnapshotTable[[#This Row],[LC Qty]] * 100,"")</f>
        <v/>
      </c>
      <c r="DZ194" s="265" t="str">
        <f>IF(ISNUMBER(SnapshotTable[[#This Row],[LC Target Gross]]), SnapshotTable[[#This Row],[LC Target Gross]] - SnapshotTable[[#This Row],[LC Premium]], "")</f>
        <v/>
      </c>
      <c r="EA194" s="305" t="str">
        <f>IF(ISNUMBER(SnapshotTable[[#This Row],[LC Target Gain Loss]]), SnapshotTable[[#This Row],[LC Target Gain Loss]]/SnapshotTable[[#This Row],[LC Premium]], "")</f>
        <v/>
      </c>
      <c r="EB194" s="262"/>
      <c r="EC194" s="290" t="str">
        <f>IF(SnapshotTable[[#This Row],[LC Premium]]&gt;0, SnapshotTable[[#This Row],[LC Book Price]] * (1 - LC_StopLoss_Pct),"")</f>
        <v/>
      </c>
      <c r="ED194" s="284"/>
      <c r="EE194" s="290" t="str">
        <f>IF(ISNUMBER(SnapshotTable[[#This Row],[LC Contract Value]]),IF(ISNUMBER(SnapshotTable[[#This Row],[LC Stop Loss Override]]), SnapshotTable[[#This Row],[LC Stop Loss Override]],SnapshotTable[[#This Row],[LC Stop Loss Calc Target]]),"")</f>
        <v/>
      </c>
      <c r="EF194" s="321" t="str">
        <f>IF(ISNUMBER(SnapshotTable[[#This Row],[LC Stop  To Use]]), (SnapshotTable[[#This Row],[LC Stop  To Use]] * SnapshotTable[[#This Row],[LC Qty]] * 100),"")</f>
        <v/>
      </c>
      <c r="EG194" s="9" t="str">
        <f>IF(ISNUMBER(SnapshotTable[[#This Row],[LC Total Value]]),SnapshotTable[[#This Row],[LC Stop Loss Amount]] - SnapshotTable[[#This Row],[LC Premium]],"")</f>
        <v/>
      </c>
      <c r="EH194" s="9">
        <f>IF(ISNUMBER(SnapshotTable[[#This Row],[LC Premium]]), SnapshotTable[[#This Row],[LC Qty]] * 100 * SnapshotTable[[#This Row],[LC Strike Price]], "")</f>
        <v>0</v>
      </c>
      <c r="EI194" s="240" t="str">
        <f>IF(AND(ISNUMBER(SnapshotTable[[#This Row],[LC Total Value]]),SnapshotTable[[#This Row],[LC Total Value]]&gt;0),SnapshotTable[[#This Row],[LC Stop Gain Loss]]  / SnapshotTable[[#This Row],[LC Premium]],"")</f>
        <v/>
      </c>
      <c r="EJ194" s="35">
        <f>IF(ISNUMBER(SnapshotTable[[#This Row],[Equity Shares]]),TRUNC(SnapshotTable[[#This Row],[Equity Shares]] / 100),0) + SnapshotTable[[#This Row],[LC Qty]]</f>
        <v>0</v>
      </c>
      <c r="EK194" s="147"/>
      <c r="EL194" s="138" t="str">
        <f>IF(SnapshotTable[[#This Row],[SC Exp Date]]&lt;&gt;"",TRUNC(SnapshotTable[[#This Row],[Last Price]]),"")</f>
        <v/>
      </c>
      <c r="EM194" s="148"/>
      <c r="EN194" s="147"/>
      <c r="EO194" s="147"/>
      <c r="EP194" s="138"/>
      <c r="EQ194" s="419" t="b">
        <f>AND(ISNUMBER(SnapshotTable[[#This Row],[SC Exp Date]]), ISNUMBER(SnapshotTable[[#This Row],[SC Strike Price]]), ISNUMBER(SnapshotTable[[#This Row],[SC Qty]]), ISNUMBER(SnapshotTable[[#This Row],[SC Book Date]]), ISNUMBER(SnapshotTable[[#This Row],[SC Book Price]]))</f>
        <v>0</v>
      </c>
      <c r="ER194" s="419" t="b">
        <f>AND(SnapshotTable[[#This Row],[SC Is Booked]], NOT(ISBLANK(SnapshotTable[[#This Row],[SC Fill Date]])))</f>
        <v>0</v>
      </c>
      <c r="ES194" s="370"/>
      <c r="ET194" s="34" t="str">
        <f>IF(AND(ISNUMBER(SnapshotTable[[#This Row],[SC Exp Date]]), ISNUMBER(SnapshotTable[[#This Row],[SC Book Date]])), SnapshotTable[[#This Row],[SC Exp Date]] - MAX(SnapshotTable[[#This Row],[SC Book Date]], SnapshotTable[[#This Row],[SC Fill Date]]) + 1, "")</f>
        <v/>
      </c>
      <c r="EU194" s="34" t="str">
        <f>IF(ISNUMBER(SnapshotTable[[#This Row],[SC Term]]), SnapshotTable[[#This Row],[SC Exp Date]]- MockToday, "")</f>
        <v/>
      </c>
      <c r="EV194" s="31">
        <f>IF(SnapshotTable[[#This Row],[SC Is Booked]], SnapshotTable[[#This Row],[SC Qty]] * SnapshotTable[[#This Row],[SC Book Price]] * 100, 0)</f>
        <v>0</v>
      </c>
      <c r="EW194" s="4" t="str">
        <f>IF(AND(ISNUMBER(SnapshotTable[[#This Row],[Last Price]]), ISNUMBER( SnapshotTable[[#This Row],[SC Book Price]])), SnapshotTable[[#This Row],[Last Price]] - SnapshotTable[[#This Row],[SC Book Price]],"")</f>
        <v/>
      </c>
      <c r="EX194" s="234" t="str">
        <f>IF(SnapshotTable[[#This Row],[SC Is Booked]],IF(SnapshotTable[[#This Row],[SC Intrinsic Value]] &gt; 0, SnapshotTable[[#This Row],[SC Strike Price]], SnapshotTable[[#This Row],[Last Price]]), "")</f>
        <v/>
      </c>
      <c r="EY194" s="4">
        <f>IF(SnapshotTable[[#This Row],[SC Is Booked]], (MinimumPremiumRequired * SnapshotTable[[#This Row],[SC Basis]] * SnapshotTable[[#This Row],[SC Term]]), 0)</f>
        <v>0</v>
      </c>
      <c r="EZ194" s="283"/>
      <c r="FA194" s="218"/>
      <c r="FB194" s="370"/>
      <c r="FC194" s="4">
        <f>IF(SnapshotTable[[#This Row],[SC Is Filled]], btc_max_buyback_amount(SnapshotTable[[#This Row],[SC Fill Date]],SnapshotTable[[#This Row],[SC Exp Date]], SnapshotTable[[#This Row],[SC Book Price]]),0)</f>
        <v>0</v>
      </c>
      <c r="FD194" s="5"/>
      <c r="FE194" s="144" t="str">
        <f>IF(SnapshotTable[[#This Row],[SC Is Filled]], btc_next_cutoff_date(SnapshotTable[[#This Row],[SC Fill Date]],SnapshotTable[[#This Row],[SC Exp Date]]),"")</f>
        <v/>
      </c>
      <c r="FF194" s="4" t="str" cm="1">
        <f t="array" ref="FF194">IF(SnapshotTable[[#This Row],[SC Is Filled]], btc_should_buy_back(SnapshotTable[[#This Row],[SC Fill Date]], SnapshotTable[[#This Row],[SC Exp Date]], SnapshotTable[[#This Row],[SC Book Price]], SnapshotTable[[#This Row],[SC Current Ask]], MockToday, SnapshotTable[[#This Row],[SC Buyback Override]]),"")</f>
        <v/>
      </c>
      <c r="FG194" s="4">
        <f>IF(SnapshotTable[[#This Row],[SC Is Filled]], MAX(0,SnapshotTable[[#This Row],[Last Price]]  - SnapshotTable[[#This Row],[SC Strike Price]]), 0)</f>
        <v>0</v>
      </c>
      <c r="FH194" s="382">
        <f>IF(SnapshotTable[[#This Row],[SC Is Filled]], IF(ISNUMBER(SnapshotTable[[#This Row],[SC Current Ask]]), SnapshotTable[[#This Row],[SC Current Ask]], SnapshotTable[[#This Row],[SC Book Price]]) - SnapshotTable[[#This Row],[SC Intrinsic Value]], 0)</f>
        <v>0</v>
      </c>
      <c r="FI194" s="143"/>
      <c r="FJ194" s="32" t="str">
        <f>IF(SnapshotTable[[#This Row],[SC Is Filled]],100 * SnapshotTable[[#This Row],[SC Qty]] * IF(ISNUMBER(SnapshotTable[[#This Row],[SC Buyback Override]]), SnapshotTable[[#This Row],[SC Buyback Override]], SnapshotTable[[#This Row],[SC Current Ask]]), "")</f>
        <v/>
      </c>
      <c r="FK194" s="250" t="str">
        <f>IF(SnapshotTable[[#This Row],[SC Time Val]]&gt;0, SnapshotTable[[#This Row],[SC Time Val]] / SnapshotTable[[#This Row],[Last Price]],"")</f>
        <v/>
      </c>
      <c r="FL194" s="302" t="str">
        <f>IF(SnapshotTable[[#This Row],[SC Is Booked]], ((SnapshotTable[[#This Row],[Last Price]] -SnapshotTable[[#This Row],[SC Strike Price]]) / SnapshotTable[[#This Row],[Last Price]]) * -1, "")</f>
        <v/>
      </c>
      <c r="FM194" s="157" t="str">
        <f>IF(SnapshotTable[[#This Row],[SC Is Booked]],  (SnapshotTable[[#This Row],[SC Qty]] * 100 * SnapshotTable[[#This Row],[SC Strike Price]]) - SnapshotTable[[#This Row],[SC Current Ask]], "")</f>
        <v/>
      </c>
      <c r="FN194"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4" s="157" t="str">
        <f>IF(AND(ISNUMBER(SnapshotTable[[#This Row],[SC Exercise Gross]]), ISNUMBER(SnapshotTable[[#This Row],[Equity Basis Per Share]] )), SnapshotTable[[#This Row],[SC Exercise Gross]] - SnapshotTable[[#This Row],[Equity Basis Total]] +  SnapshotTable[[#This Row],[SC Premium]], "")</f>
        <v/>
      </c>
      <c r="FP194" s="5" t="str">
        <f>IF(ISNUMBER(SnapshotTable[[#This Row],[SC Exercise Gross]]), (SnapshotTable[[#This Row],[SC Exercise Gross]]) / (SnapshotTable[[#This Row],[SC Qty]] * 100), "")</f>
        <v/>
      </c>
      <c r="FQ194" s="27" t="str">
        <f>IF(SnapshotTable[[#This Row],[SC Is Booked]],SnapshotTable[[#This Row],[SC Time Val]] /SnapshotTable[[#This Row],[SC Basis]], "")</f>
        <v/>
      </c>
      <c r="FR194" s="27" t="str" cm="1">
        <f t="array" ref="FR194">IF(AND(ISNUMBER(SnapshotTable[[#This Row],[SC Term]]),ISNUMBER(SnapshotTable[[#This Row],[SC Simple ROO]])), EllmanAnnualize(SnapshotTable[[#This Row],[SC DTE]], SnapshotTable[[#This Row],[SC Simple ROO]] ),"")</f>
        <v/>
      </c>
      <c r="FS194" s="4" t="e">
        <f>IF(SnapshotTable[[#This Row],[SC Strike Price]] &gt; SnapshotTable[[#This Row],[Last Price]], SnapshotTable[[#This Row],[SC Strike Price]] - SnapshotTable[[#This Row],[Last Price]],0)</f>
        <v>#VALUE!</v>
      </c>
      <c r="FT194" s="27" t="e">
        <f>IF(AND(ISNUMBER(SnapshotTable[[#This Row],[SC Upside Potential]]), SnapshotTable[[#This Row],[SC Upside Potential]] &gt; 0),(SnapshotTable[[#This Row],[SC Upside Potential]]/ SnapshotTable[[#This Row],[ACB]]),"")</f>
        <v>#VALUE!</v>
      </c>
      <c r="FU194" s="333" t="str">
        <f>IF(SnapshotTable[[#This Row],[SC Intrinsic Value]] &gt; 0,SnapshotTable[[#This Row],[SC Intrinsic Value]],"")</f>
        <v/>
      </c>
      <c r="FV194" s="27" t="str">
        <f>IF(AND( ISNUMBER( SnapshotTable[[#This Row],[ACB]]),ISNUMBER(SnapshotTable[[#This Row],[SC Downside Protect]])),SnapshotTable[[#This Row],[SC Downside Protect]] / SnapshotTable[[#This Row],[ACB]],"")</f>
        <v/>
      </c>
      <c r="FW194" s="236" t="str">
        <f>IF(AND(ISNUMBER(SnapshotTable[[#This Row],[SC Simple ROO]]),SnapshotTable[[#This Row],[SC Simple ROO]] &gt; 0), SnapshotTable[[#This Row],[SC Premium]] + (SnapshotTable[[#This Row],[SC Qty]] * SnapshotTable[[#This Row],[SC Upside Potential]]), "")</f>
        <v/>
      </c>
      <c r="FX194" s="302" t="str" cm="1">
        <f t="array" ref="FX194">IF(ISNUMBER(SnapshotTable[[#This Row],[SC Max Dollars]]), annualize(SnapshotTable[[#This Row],[SC Term]],(SnapshotTable[[#This Row],[SC Max Dollars]]/SnapshotTable[[#This Row],[SC Basis]])),"")</f>
        <v/>
      </c>
      <c r="FY194" s="236" t="str">
        <f>IF(AND(SnapshotTable[[#This Row],[SC Qty]]&gt;0,SnapshotTable[[#This Row],[SC Current Ask]]&gt;0), SnapshotTable[[#This Row],[SC Qty]] * SnapshotTable[[#This Row],[SC Current Ask]] * -100, "")</f>
        <v/>
      </c>
      <c r="FZ194" s="235" t="str">
        <f>IF(ISNUMBER((SnapshotTable[[#This Row],[SC Current Value]])), SnapshotTable[[#This Row],[SC Premium]] + SnapshotTable[[#This Row],[SC Current Value]], "")</f>
        <v/>
      </c>
      <c r="GA194" s="294" t="str">
        <f>IFERROR( IF(ISNUMBER((SnapshotTable[[#This Row],[SC Current Value]])), SnapshotTable[[#This Row],[SC Gain Loss]] / SnapshotTable[[#This Row],[SC Premium]], ""), "")</f>
        <v/>
      </c>
      <c r="GB194" s="42">
        <f>SnapshotTable[[#This Row],[Equity Shares]] * SaleSharesToConsiderPercentage</f>
        <v>0</v>
      </c>
      <c r="GC194" s="40">
        <f>SnapshotTable[[#This Row],[Long Term Target]] * SellingPriceToConsiderBasedOnTargetPercentage</f>
        <v>13.946</v>
      </c>
      <c r="GD194" s="40">
        <f>SnapshotTable[[#This Row],[Last Price]] * (1+ SellingPriceToConsiderBasedOnTargetPercentage)</f>
        <v>47.287500000000001</v>
      </c>
      <c r="GE194" s="41"/>
      <c r="GF194" s="40"/>
      <c r="GG194" s="31">
        <f>SnapshotTable[[#This Row],[Booked Sale Shares]] * SnapshotTable[[#This Row],[Booked Sale Price]]</f>
        <v>0</v>
      </c>
      <c r="GH194" s="31" t="str">
        <f>IF(SnapshotTable[[#This Row],[Equity Basis Total]] &gt; 0, SnapshotTable[[#This Row],[Equity Basis Per Share]] * SnapshotTable[[#This Row],[Booked Sale Shares]], "")</f>
        <v/>
      </c>
      <c r="GI194" s="31">
        <f>IF(SnapshotTable[[#This Row],[Sale Proceeds]]&gt;0, SnapshotTable[[#This Row],[Sale Proceeds]] - SnapshotTable[[#This Row],[Sale Basis]], 0)</f>
        <v>0</v>
      </c>
      <c r="GJ194" s="158" t="str">
        <f>IF(SnapshotTable[[#This Row],[Sale G/L]]&gt;0, SnapshotTable[[#This Row],[Sale G/L]] / SnapshotTable[[#This Row],[Sale Basis]], IF(ISNUMBER(SnapshotTable[[#This Row],[SC Exercise P&amp;L (TAX)]]), SnapshotTable[[#This Row],[SC Exercise P&amp;L (TAX)]] / SnapshotTable[[#This Row],[SC Basis]], ""))</f>
        <v/>
      </c>
      <c r="GK194" s="27"/>
      <c r="GL194" s="159" t="str">
        <f>IF(AND(SnapshotTable[[#This Row],[LP Exp Date]]&gt;0,SnapshotTable[[#This Row],[LP Strike Price]]&gt;0), [1]!ToOptionSymbol(SnapshotTable[[#This Row],[Symbol]], SnapshotTable[[#This Row],[LP Strike Price]],SnapshotTable[[#This Row],[LP Exp Date]],1), "")</f>
        <v/>
      </c>
      <c r="GM194" s="30" t="str">
        <f>IF(LEN(SnapshotTable[[#This Row],[LP Symbol]])&gt;0, 1, "")</f>
        <v/>
      </c>
      <c r="GN194" s="43" t="str">
        <f>IF(AND(SnapshotTable[[#This Row],[SP Exp Date]]&gt;0,SnapshotTable[[#This Row],[SP Strike Price]]&gt;0), [1]!ToOptionSymbol(SnapshotTable[[#This Row],[Symbol]], SnapshotTable[[#This Row],[SP Strike Price]],SnapshotTable[[#This Row],[SP Exp Date]],1), "")</f>
        <v/>
      </c>
      <c r="GO194" s="30" t="str">
        <f>IF(LEN(SnapshotTable[[#This Row],[SP Symbol]])&gt;0, 1, "")</f>
        <v/>
      </c>
      <c r="GP194" s="159" t="str">
        <f>IF(AND(SnapshotTable[[#This Row],[LC Exp Date]]&gt;0,SnapshotTable[[#This Row],[LC Strike Price]]&gt;0), [1]!ToOptionSymbol(SnapshotTable[[#This Row],[Symbol]], SnapshotTable[[#This Row],[LC Strike Price]],SnapshotTable[[#This Row],[LC Exp Date]],0), "")</f>
        <v/>
      </c>
      <c r="GQ194" s="160" t="str">
        <f>IF(LEN(SnapshotTable[[#This Row],[LC Symbol]])&gt;0, 1, "")</f>
        <v/>
      </c>
      <c r="GR194" s="159" t="str">
        <f>IF(AND(SnapshotTable[[#This Row],[SC Exp Date]]&gt;0,SnapshotTable[[#This Row],[SC Strike Price]]&gt;0), [1]!ToOptionSymbol(SnapshotTable[[#This Row],[Symbol]], SnapshotTable[[#This Row],[SC Strike Price]],SnapshotTable[[#This Row],[SC Exp Date]],0), "")</f>
        <v/>
      </c>
      <c r="GS194" s="160" t="str">
        <f>IF(LEN(SnapshotTable[[#This Row],[SC Symbol]])&gt;0, 1, "")</f>
        <v/>
      </c>
      <c r="GT194" s="161" t="str">
        <f>IF(COUNT(SnapshotTable[[#This Row],[LP Symbol Count]],SnapshotTable[[#This Row],[SP Symbol Count]],SnapshotTable[[#This Row],[LC Symbol Count]],SnapshotTable[[#This Row],[SC Symbol Count]])&gt;0, "Y", "")</f>
        <v/>
      </c>
      <c r="GU19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4" s="231" t="e">
        <f>MAX(SnapshotTable[[#This Row],[Equity Basis Total]],SnapshotTable[[#This Row],[Equity Value]]) + (SnapshotTable[[#This Row],[SP Potential Spend]]- SnapshotTable[[#This Row],[SP Premium]] + SnapshotTable[[#This Row],[LP Premium]])+ (SnapshotTable[[#This Row],[LC Premium]] - SnapshotTable[[#This Row],[SC Premium]])</f>
        <v>#VALUE!</v>
      </c>
      <c r="GW194" s="139" t="e">
        <f>IF(AND(SnapshotTable[[#This Row],[Exposure]] &lt;&gt; 0),SnapshotTable[[#This Row],[Exposure]] / SnapshotTable[[#Totals],[Exposure]], "")</f>
        <v>#VALUE!</v>
      </c>
      <c r="HE194" s="268"/>
      <c r="HF194" s="268"/>
      <c r="HK194" s="1"/>
      <c r="HL194" s="1"/>
      <c r="HM194" s="1"/>
      <c r="HN194" s="1"/>
      <c r="HO194" s="1"/>
      <c r="HP194" s="1"/>
    </row>
    <row r="195" spans="2:224" ht="12.75" hidden="1" customHeight="1" x14ac:dyDescent="0.25">
      <c r="B195" s="12" t="s">
        <v>993</v>
      </c>
      <c r="C195" s="422">
        <v>3.71</v>
      </c>
      <c r="D195" s="208" t="s">
        <v>578</v>
      </c>
      <c r="E195" s="39">
        <f>SnapshotTable[[#This Row],[Last Price]]*(1 -CrashDiscount)</f>
        <v>3.1534999999999997</v>
      </c>
      <c r="F195" s="26" t="s">
        <v>995</v>
      </c>
      <c r="G195" s="26" t="s">
        <v>606</v>
      </c>
      <c r="H195" s="149"/>
      <c r="I195" s="194">
        <v>44777.291666666664</v>
      </c>
      <c r="J195" s="195">
        <v>44777.291666666664</v>
      </c>
      <c r="K195" s="196"/>
      <c r="L195" s="326"/>
      <c r="M195" s="140"/>
      <c r="N195" s="140"/>
      <c r="O195" s="140"/>
      <c r="P195" s="22"/>
      <c r="Q195" s="25"/>
      <c r="R195" s="4" t="str">
        <f>IF(SnapshotTable[[#This Row],[Equity Basis Total]] &gt; 0, SnapshotTable[[#This Row],[Equity Basis Total]] / SnapshotTable[[#This Row],[Equity Shares]], "")</f>
        <v/>
      </c>
      <c r="S195" s="269">
        <f>SnapshotTable[[#This Row],[Last Price]] * SnapshotTable[[#This Row],[Equity Shares]]</f>
        <v>0</v>
      </c>
      <c r="T195" s="269">
        <f>SnapshotTable[[#This Row],[Equity Value]] - SnapshotTable[[#This Row],[Equity Basis Total]]</f>
        <v>0</v>
      </c>
      <c r="U195" s="270" t="str">
        <f>IF(SnapshotTable[[#This Row],[Equity Basis Total]] &gt; 0, SnapshotTable[[#This Row],[Equity G/L]] / SnapshotTable[[#This Row],[Equity Basis Total]], "")</f>
        <v/>
      </c>
      <c r="V195" s="268"/>
      <c r="W195" s="268"/>
      <c r="X195" s="4" t="str">
        <f>IF(AND(ISNUMBER(SnapshotTable[[#This Row],[Equity Basis Per Share]]),ISNUMBER(SnapshotTable[[#This Row],[Equity Target]])),SnapshotTable[[#This Row],[Equity Target]]-SnapshotTable[[#This Row],[Equity Basis Per Share]],"")</f>
        <v/>
      </c>
      <c r="Y195" s="4" t="str">
        <f>IF(AND(ISNUMBER(SnapshotTable[[#This Row],[Equity Basis Per Share]]),ISNUMBER(SnapshotTable[[#This Row],[Equity Stop Loss]])),SnapshotTable[[#This Row],[Equity Stop Loss]]-SnapshotTable[[#This Row],[Equity Basis Per Share]],"")</f>
        <v/>
      </c>
      <c r="Z195" s="275" t="str">
        <f>IFERROR( TEXT(SnapshotTable[[#This Row],[Equity Max Gain Per Share]] /ABS( SnapshotTable[[#This Row],[Equity Max Loss Per Share]]),"0.0 " ) &amp; " : 1", "")</f>
        <v/>
      </c>
      <c r="AA195" s="31" t="str">
        <f>IF(ISNUMBER(SnapshotTable[[#This Row],[Equity Max Gain Per Share]]),SnapshotTable[[#This Row],[Equity Max Gain Per Share]] * SnapshotTable[[#This Row],[Equity Shares]],"")</f>
        <v/>
      </c>
      <c r="AB195" s="31" t="str">
        <f>IF(ISNUMBER(SnapshotTable[[#This Row],[Equity Max Loss Per Share]]),SnapshotTable[[#This Row],[Equity Max Loss Per Share]] * SnapshotTable[[#This Row],[Equity Shares]],"")</f>
        <v/>
      </c>
      <c r="AC195" s="150"/>
      <c r="AD195" s="151"/>
      <c r="AE195" s="31">
        <f>(SnapshotTable[[#This Row],[Annual Dividend Per Share]] / 4) * SnapshotTable[[#This Row],[Equity Shares]]</f>
        <v>0</v>
      </c>
      <c r="AF195" s="31">
        <f>SnapshotTable[[#This Row],[Quarterly Div $]] * 4</f>
        <v>0</v>
      </c>
      <c r="AG195" s="7">
        <f>IF(SnapshotTable[[#This Row],[Annual Dividend Per Share]]&gt;0, SnapshotTable[[#This Row],[Annual Dividend Per Share]]  / SnapshotTable[[#This Row],[Last Price]], 0)</f>
        <v>0</v>
      </c>
      <c r="AH195" s="151"/>
      <c r="AI195" s="5"/>
      <c r="AJ195" s="138">
        <v>14</v>
      </c>
      <c r="AK195" s="152" t="str">
        <f>IF(ISNUMBER( SnapshotTable[[#This Row],[EBF Target]]),(SnapshotTable[[#This Row],[EBF Target]] - SnapshotTable[[#This Row],[Last Price]]) / SnapshotTable[[#This Row],[Last Price]], "")</f>
        <v/>
      </c>
      <c r="AL195" s="152" t="str">
        <f>IF(AND(SnapshotTable[[#This Row],[Equity Basis Total]] &gt; 0,ISNUMBER( SnapshotTable[[#This Row],[Long Term Target]])), SnapshotTable[[#This Row],[From Basis $]] / SnapshotTable[[#This Row],[Equity Basis Total]], "")</f>
        <v/>
      </c>
      <c r="AM195" s="9">
        <f>IF( AND(SnapshotTable[[#This Row],[Equity Shares]] &gt;0,ISNUMBER( SnapshotTable[[#This Row],[Long Term Target]])),(SnapshotTable[[#This Row],[Equity Shares]] * SnapshotTable[[#This Row],[Long Term Target]]) - SnapshotTable[[#This Row],[Equity Basis Total]],0)</f>
        <v>0</v>
      </c>
      <c r="AN195" s="9">
        <f>IF( AND(SnapshotTable[[#This Row],[Equity Shares]] &gt;0,ISNUMBER( SnapshotTable[[#This Row],[Long Term Target]])),(SnapshotTable[[#This Row],[Equity Shares]]*SnapshotTable[[#This Row],[Long Term Target]]) - SnapshotTable[[#This Row],[Equity Value]],0)</f>
        <v>0</v>
      </c>
      <c r="AO195" s="152">
        <f>IF(AND(ISNUMBER( SnapshotTable[[#This Row],[Long Term Target]]), ISNUMBER(SnapshotTable[[#This Row],[Last Price]])),(SnapshotTable[[#This Row],[Long Term Target]] - SnapshotTable[[#This Row],[Last Price]]) / SnapshotTable[[#This Row],[Last Price]], "")</f>
        <v>2.773584905660377</v>
      </c>
      <c r="AP195" s="5">
        <v>14</v>
      </c>
      <c r="AQ195" s="38" t="s">
        <v>27</v>
      </c>
      <c r="AR195" s="5">
        <v>14</v>
      </c>
      <c r="AS195" s="38" t="s">
        <v>38</v>
      </c>
      <c r="AT195" s="146" t="s">
        <v>542</v>
      </c>
      <c r="AU195" s="187" t="str">
        <f>IF(OR(SnapshotTable[[#This Row],[LP No Fill]]="Y",SnapshotTable[[#This Row],[SP Is Filled]],SnapshotTable[[#This Row],[LC Not Filled]]="Y",SnapshotTable[[#This Row],[SC Is Filled]]),"Y","")</f>
        <v/>
      </c>
      <c r="AV195" s="219"/>
      <c r="AW195" s="225"/>
      <c r="AX195" s="220"/>
      <c r="AY195" s="219" t="str">
        <f>IF(SnapshotTable[[#This Row],[Implied Move]]&gt;0, SnapshotTable[[#This Row],[Last Price]]-SnapshotTable[[#This Row],[Implied Move]],"")</f>
        <v/>
      </c>
      <c r="AZ195" s="219" t="str">
        <f>IF(SnapshotTable[[#This Row],[Implied Move]]&gt;0, SnapshotTable[[#This Row],[Last Price]] + SnapshotTable[[#This Row],[Implied Move]],"")</f>
        <v/>
      </c>
      <c r="BA195" s="331">
        <v>10.83</v>
      </c>
      <c r="BB195" s="347"/>
      <c r="BC19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5" s="351"/>
      <c r="BE195" s="5"/>
      <c r="BF195" s="14"/>
      <c r="BG195" s="13"/>
      <c r="BH195" s="13"/>
      <c r="BI195" s="5"/>
      <c r="BJ195" s="136">
        <f>IF(SnapshotTable[[#This Row],[LP Qty]] &gt; 0, SnapshotTable[[#This Row],[LP Qty]] * SnapshotTable[[#This Row],[LP Book Price]] * 100,0)</f>
        <v>0</v>
      </c>
      <c r="BK195" s="136">
        <f>IF(SnapshotTable[[#This Row],[LP Premium]] &gt; 0, SnapshotTable[[#This Row],[LP Qty]] * SnapshotTable[[#This Row],[LP Strike Price]] * 100,0)</f>
        <v>0</v>
      </c>
      <c r="BL195" s="154"/>
      <c r="BM195" s="385" t="str">
        <f>IF(SnapshotTable[[#This Row],[LP Premium]] &gt; 0,SnapshotTable[[#This Row],[LP Exp Date]]-MAX(SnapshotTable[[#This Row],[LP Book Date]], SnapshotTable[[#This Row],[LP Fill Date]]),"")</f>
        <v/>
      </c>
      <c r="BN195" s="385" t="str">
        <f>IF(ISNUMBER( SnapshotTable[[#This Row],[LP Term]]), SnapshotTable[[#This Row],[LP Exp Date]] - MockToday,"")</f>
        <v/>
      </c>
      <c r="BO195" s="163" t="str">
        <f>IF(AND(SnapshotTable[[#This Row],[LP Exp Date]]&gt;0, SnapshotTable[[#This Row],[LP Strike Price]]&gt;0,SnapshotTable[[#This Row],[LP Qty]]&gt;0,SnapshotTable[[#This Row],[LP Book Date]]&gt;0,SnapshotTable[[#This Row],[LP Book Price]]&gt;0,SnapshotTable[[#This Row],[LP Fill Date]]=0),"Y","")</f>
        <v/>
      </c>
      <c r="BP195" s="31"/>
      <c r="BQ195" s="13"/>
      <c r="BR195" s="5" t="str">
        <f>IF(SnapshotTable[[#This Row],[SP Exp Date]]&lt;&gt;"",TRUNC(SnapshotTable[[#This Row],[Last Price]]),"")</f>
        <v/>
      </c>
      <c r="BS195" s="36"/>
      <c r="BT195" s="147"/>
      <c r="BU195" s="13"/>
      <c r="BV195" s="5"/>
      <c r="BW195" s="419" t="b">
        <f>AND(ISNUMBER(SnapshotTable[[#This Row],[SP Exp Date]]), ISNUMBER(SnapshotTable[[#This Row],[SP Strike Price]]), ISNUMBER(SnapshotTable[[#This Row],[SP Qty]]), ISNUMBER(SnapshotTable[[#This Row],[SP Book Date]]), ISNUMBER(SnapshotTable[[#This Row],[SP Book Price]]))</f>
        <v>0</v>
      </c>
      <c r="BX195" s="419" t="b">
        <f>AND(SnapshotTable[[#This Row],[SP Is Booked]], NOT(ISBLANK(SnapshotTable[[#This Row],[SP Fill Date]])))</f>
        <v>0</v>
      </c>
      <c r="BY195" s="33">
        <f>IF(SnapshotTable[[#This Row],[SP Is Booked]], SnapshotTable[[#This Row],[SP Qty]] * SnapshotTable[[#This Row],[SP Book Price]] * 100, 0)</f>
        <v>0</v>
      </c>
      <c r="BZ195" s="369"/>
      <c r="CA195" s="368">
        <f>SnapshotTable[[#This Row],[LP Qty]]</f>
        <v>0</v>
      </c>
      <c r="CB195" s="4" t="str">
        <f>IF(SnapshotTable[[#This Row],[SP Is Booked]], SnapshotTable[[#This Row],[SP Strike Price]] - SnapshotTable[[#This Row],[SP Book Price]], "")</f>
        <v/>
      </c>
      <c r="CC195" s="19" t="str">
        <f>IF(SnapshotTable[[#This Row],[SP Is Booked]],SnapshotTable[[#This Row],[SP Exp Date]]-MAX(SnapshotTable[[#This Row],[SP Book Date]], SnapshotTable[[#This Row],[SP Fill Date]]),"")</f>
        <v/>
      </c>
      <c r="CD195" s="7" t="str">
        <f>IF(SnapshotTable[[#This Row],[SP Is Booked]], SnapshotTable[[#This Row],[SP Book Price]]/SnapshotTable[[#This Row],[SP Strike Price]], "")</f>
        <v/>
      </c>
      <c r="CE195" s="7" t="str">
        <f>IF(ISNUMBER(SnapshotTable[[#This Row],[SP ROO Term]]),SnapshotTable[[#This Row],[SP ROO Term]]*(365/SnapshotTable[[#This Row],[SP Term]]),"")</f>
        <v/>
      </c>
      <c r="CF195" s="236">
        <f>SnapshotTable[[#This Row],[LP Strike Price]] * SnapshotTable[[#This Row],[LP Qty]] * 100</f>
        <v>0</v>
      </c>
      <c r="CG195" s="31" t="e">
        <f>IF(ISNUMBER(SnapshotTable[[#This Row],[SP Premium]]), (SnapshotTable[[#This Row],[SP Qty]] * SnapshotTable[[#This Row],[SP Strike Price]]* 100) - SnapshotTable[[#This Row],[LP Protection]], 0)</f>
        <v>#VALUE!</v>
      </c>
      <c r="CH195" s="7" t="str">
        <f>IF(ISNUMBER(SnapshotTable[[#This Row],[SP Break Even]]),-1 * (SnapshotTable[[#This Row],[SP Break Even]] - SnapshotTable[[#This Row],[Last Price]]) / SnapshotTable[[#This Row],[Last Price]], "")</f>
        <v/>
      </c>
      <c r="CI195" s="31">
        <f>IF(AND(ISNUMBER((SnapshotTable[[#This Row],[SP Potential Spend]])), SnapshotTable[[#This Row],[SP Strike Price]] &gt; SnapshotTable[[#This Row],[Last Price]], SnapshotTable[[#This Row],[SP Is Filled]]), SnapshotTable[[#This Row],[SP Potential Spend]] -  SnapshotTable[[#This Row],[LP Max Value]], 0)</f>
        <v>0</v>
      </c>
      <c r="CJ195" s="244"/>
      <c r="CK195" s="31" t="str">
        <f>IF(ISNUMBER(SnapshotTable[[#This Row],[SP Potential Spend]]),IF(ISNUMBER(SnapshotTable[[#This Row],[SP POW]]), SnapshotTable[[#This Row],[SP POW]] * SnapshotTable[[#This Row],[SP Potential Spend]], SnapshotTable[[#This Row],[SP Potential Spend]]), "")</f>
        <v/>
      </c>
      <c r="CL195" s="164" t="e">
        <f>IF(NOT(SnapshotTable[[#This Row],[SP Is Filled]]),(SnapshotTable[[#This Row],[SP Qty]] * SnapshotTable[[#This Row],[SP Strike Price]] * 100) - SnapshotTable[[#This Row],[LP Max Value]],"")</f>
        <v>#VALUE!</v>
      </c>
      <c r="CM195" s="31" t="str">
        <f>IF(SnapshotTable[[#This Row],[SP Actual Spend]]&lt;&gt;0, ((SnapshotTable[[#This Row],[SP Strike Price]]-SnapshotTable[[#This Row],[Last Price]]) *(SnapshotTable[[#This Row],[SP Qty]]*100) - SnapshotTable[[#This Row],[SP Premium]]) * - 1, "")</f>
        <v/>
      </c>
      <c r="CN195" s="78"/>
      <c r="CO195" s="369"/>
      <c r="CP195" s="4" t="str">
        <f>IF(SnapshotTable[[#This Row],[SP Is Filled]], btc_max_buyback_amount(SnapshotTable[[#This Row],[SP Fill Date]],SnapshotTable[[#This Row],[SP Exp Date]], SnapshotTable[[#This Row],[SP Book Price]]),"")</f>
        <v/>
      </c>
      <c r="CQ195" s="78"/>
      <c r="CR19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5" s="155" t="str">
        <f>IF(SnapshotTable[[#This Row],[SP Is Filled]], btc_next_cutoff_date(SnapshotTable[[#This Row],[SP Fill Date]],SnapshotTable[[#This Row],[SP Exp Date]]),"")</f>
        <v/>
      </c>
      <c r="CT195" s="235" t="str" cm="1">
        <f t="array" ref="CT195">IF(SnapshotTable[[#This Row],[SP Is Filled]], btc_should_buy_back(SnapshotTable[[#This Row],[SP Fill Date]], SnapshotTable[[#This Row],[SP Exp Date]], SnapshotTable[[#This Row],[SP Book Price]], SnapshotTable[[#This Row],[SP Current Ask]], MockToday, SnapshotTable[[#This Row],[SP Buyback Override]]),"")</f>
        <v/>
      </c>
      <c r="CU195" s="143"/>
      <c r="CV195" s="235"/>
      <c r="CW195" s="378" t="str">
        <f>IF(ISNUMBER( SnapshotTable[[#This Row],[SP Term]]), SnapshotTable[[#This Row],[SP Exp Date]] - MockToday,"")</f>
        <v/>
      </c>
      <c r="CX195" s="31" t="str">
        <f>IF(SnapshotTable[[#This Row],[SP Is Filled]],SnapshotTable[[#This Row],[SP Buyback Price to Use]] * 100 * SnapshotTable[[#This Row],[SP Qty]], "")</f>
        <v/>
      </c>
      <c r="CY195" s="4" t="str">
        <f>IF(ISNUMBER(SnapshotTable[[#This Row],[SP Strike Price]]), SnapshotTable[[#This Row],[SP Strike Price]] * (1 - SP_MaxLoss_StrikePct), "")</f>
        <v/>
      </c>
      <c r="CZ195" s="31" t="str">
        <f>IF(ISNUMBER(SnapshotTable[[#This Row],[SP Strike  Stop Per Share]]),SnapshotTable[[#This Row],[SP Premium]] - ((SnapshotTable[[#This Row],[SP Strike Price]]-SnapshotTable[[#This Row],[SP Strike  Stop Per Share]]) *(SnapshotTable[[#This Row],[SP Qty]] * 100)),"")</f>
        <v/>
      </c>
      <c r="DA195" s="4" t="str">
        <f>IF(AND(ISNUMBER(SnapshotTable[[#This Row],[SP Premium]]),SnapshotTable[[#This Row],[SP Premium]]&gt;0), SnapshotTable[[#This Row],[SP Book Price]] * (1 + SP_MaxLoss_OptionPct), "")</f>
        <v/>
      </c>
      <c r="DB195" s="31" t="str">
        <f>IF(ISNUMBER(SnapshotTable[[#This Row],[SP Option  Stop Contract]]),(SnapshotTable[[#This Row],[SP Option  Stop Contract]] *(SnapshotTable[[#This Row],[SP Qty]] * 100) - SnapshotTable[[#This Row],[SP Premium]]),"")</f>
        <v/>
      </c>
      <c r="DC195" s="4"/>
      <c r="DD195" s="4"/>
      <c r="DE195" s="4" t="str">
        <f>IF(AND(SnapshotTable[[#This Row],[SP Qty]]&gt;0, SnapshotTable[[#This Row],[SP Stop To Use]]&gt;0),SnapshotTable[[#This Row],[SP Premium]] - ( SnapshotTable[[#This Row],[SP Qty]] * SnapshotTable[[#This Row],[SP Stop To Use]] * 100), "")</f>
        <v/>
      </c>
      <c r="DF195" s="31" t="str">
        <f>IF(AND(SnapshotTable[[#This Row],[SP Qty]]&gt;0,SnapshotTable[[#This Row],[SP Current Ask]]&gt;0), SnapshotTable[[#This Row],[SP Qty]] * SnapshotTable[[#This Row],[SP Current Ask]] * -100, "")</f>
        <v/>
      </c>
      <c r="DG195" s="31" t="str">
        <f>IF(ISNUMBER((SnapshotTable[[#This Row],[SP Total Value]])), SnapshotTable[[#This Row],[SP Premium]] + SnapshotTable[[#This Row],[SP Total Value]], "")</f>
        <v/>
      </c>
      <c r="DH195" s="294"/>
      <c r="DI195" s="406"/>
      <c r="DJ195" s="138"/>
      <c r="DK195" s="148"/>
      <c r="DL195" s="13"/>
      <c r="DM195" s="13"/>
      <c r="DO195" s="31">
        <f>IF(SnapshotTable[[#This Row],[LC Symbol Count]]=1, SnapshotTable[[#This Row],[LC Qty]] * SnapshotTable[[#This Row],[LC Book Price]] * 100, 0)</f>
        <v>0</v>
      </c>
      <c r="DP195" s="163" t="str">
        <f>IF(AND(SnapshotTable[[#This Row],[LC Exp Date]]&gt;0, SnapshotTable[[#This Row],[LC Strike Price]]&gt;0,SnapshotTable[[#This Row],[LC Qty]]&gt;0,SnapshotTable[[#This Row],[LC Book Date]]&gt;0,SnapshotTable[[#This Row],[LC Book Price]]&gt;0,SnapshotTable[[#This Row],[LC Fill Date]]=0),"Y","")</f>
        <v/>
      </c>
      <c r="DQ195" s="386" t="str">
        <f>IF(SnapshotTable[[#This Row],[LC Premium]] &gt; 0,SnapshotTable[[#This Row],[LC Exp Date]]-MAX(SnapshotTable[[#This Row],[LC Book Date]], SnapshotTable[[#This Row],[LC Fill Date]]),"")</f>
        <v/>
      </c>
      <c r="DR195" s="386" t="str">
        <f>IF(ISNUMBER(SnapshotTable[[#This Row],[LC Term]]), SnapshotTable[[#This Row],[LC Exp Date]] - MockToday, "")</f>
        <v/>
      </c>
      <c r="DS195" s="234" t="str">
        <f>IF(SnapshotTable[[#This Row],[LC Premium]]&gt;0,SnapshotTable[[#This Row],[LC Strike Price]] + SnapshotTable[[#This Row],[LC Book Price]],"")</f>
        <v/>
      </c>
      <c r="DU195" s="9" t="str">
        <f>IF(AND(SnapshotTable[[#This Row],[LC Symbol Count]]&gt;0, SnapshotTable[[#This Row],[LC Contract Value]]&gt;0), SnapshotTable[[#This Row],[LC Contract Value]] * SnapshotTable[[#This Row],[LC Qty]] * 100, "")</f>
        <v/>
      </c>
      <c r="DV195" s="9" t="str">
        <f>IF(AND(ISNUMBER(SnapshotTable[[#This Row],[LC Total Value]]), SnapshotTable[[#This Row],[LC Not Filled]]&lt;&gt;"Y"), SnapshotTable[[#This Row],[LC Total Value]]-SnapshotTable[[#This Row],[LC Premium]],"")</f>
        <v/>
      </c>
      <c r="DW195" s="240" t="str">
        <f>IF(ISNUMBER(SnapshotTable[[#This Row],[LC Actual Gain Loss]]), SnapshotTable[[#This Row],[LC Actual Gain Loss]] / SnapshotTable[[#This Row],[LC Premium]],"")</f>
        <v/>
      </c>
      <c r="DX195" s="284" t="str">
        <f>IF(ISNUMBER(SnapshotTable[[#This Row],[LC Book Price]]),SnapshotTable[[#This Row],[LC Book Price]] * 1.5,"")</f>
        <v/>
      </c>
      <c r="DY195" s="265" t="str">
        <f>IF(SnapshotTable[[#This Row],[LC Premium]]&gt;0, SnapshotTable[[#This Row],[LC Next Target]] * SnapshotTable[[#This Row],[LC Qty]] * 100,"")</f>
        <v/>
      </c>
      <c r="DZ195" s="265" t="str">
        <f>IF(ISNUMBER(SnapshotTable[[#This Row],[LC Target Gross]]), SnapshotTable[[#This Row],[LC Target Gross]] - SnapshotTable[[#This Row],[LC Premium]], "")</f>
        <v/>
      </c>
      <c r="EA195" s="305" t="str">
        <f>IF(ISNUMBER(SnapshotTable[[#This Row],[LC Target Gain Loss]]), SnapshotTable[[#This Row],[LC Target Gain Loss]]/SnapshotTable[[#This Row],[LC Premium]], "")</f>
        <v/>
      </c>
      <c r="EB195" s="262"/>
      <c r="EC195" s="283" t="str">
        <f>IF(SnapshotTable[[#This Row],[LC Premium]]&gt;0, SnapshotTable[[#This Row],[LC Book Price]] * (1 - LC_StopLoss_Pct),"")</f>
        <v/>
      </c>
      <c r="ED195" s="284"/>
      <c r="EE195" s="283" t="str">
        <f>IF(ISNUMBER(SnapshotTable[[#This Row],[LC Contract Value]]),IF(ISNUMBER(SnapshotTable[[#This Row],[LC Stop Loss Override]]), SnapshotTable[[#This Row],[LC Stop Loss Override]],SnapshotTable[[#This Row],[LC Stop Loss Calc Target]]),"")</f>
        <v/>
      </c>
      <c r="EF195" s="31" t="str">
        <f>IF(ISNUMBER(SnapshotTable[[#This Row],[LC Stop  To Use]]), (SnapshotTable[[#This Row],[LC Stop  To Use]] * SnapshotTable[[#This Row],[LC Qty]] * 100),"")</f>
        <v/>
      </c>
      <c r="EG195" s="9" t="str">
        <f>IF(ISNUMBER(SnapshotTable[[#This Row],[LC Total Value]]),SnapshotTable[[#This Row],[LC Stop Loss Amount]] - SnapshotTable[[#This Row],[LC Premium]],"")</f>
        <v/>
      </c>
      <c r="EH195" s="9">
        <f>IF(ISNUMBER(SnapshotTable[[#This Row],[LC Premium]]), SnapshotTable[[#This Row],[LC Qty]] * 100 * SnapshotTable[[#This Row],[LC Strike Price]], "")</f>
        <v>0</v>
      </c>
      <c r="EI195" s="240"/>
      <c r="EJ195" s="35">
        <f>IF(ISNUMBER(SnapshotTable[[#This Row],[Equity Shares]]),TRUNC(SnapshotTable[[#This Row],[Equity Shares]] / 100),0) + SnapshotTable[[#This Row],[LC Qty]]</f>
        <v>0</v>
      </c>
      <c r="EK195" s="147"/>
      <c r="EL195" s="138" t="str">
        <f>IF(SnapshotTable[[#This Row],[SC Exp Date]]&lt;&gt;"",TRUNC(SnapshotTable[[#This Row],[Last Price]]),"")</f>
        <v/>
      </c>
      <c r="EM195" s="148"/>
      <c r="EN195" s="147"/>
      <c r="EO195" s="147"/>
      <c r="EP195" s="138"/>
      <c r="EQ195" s="419" t="b">
        <f>AND(ISNUMBER(SnapshotTable[[#This Row],[SC Exp Date]]), ISNUMBER(SnapshotTable[[#This Row],[SC Strike Price]]), ISNUMBER(SnapshotTable[[#This Row],[SC Qty]]), ISNUMBER(SnapshotTable[[#This Row],[SC Book Date]]), ISNUMBER(SnapshotTable[[#This Row],[SC Book Price]]))</f>
        <v>0</v>
      </c>
      <c r="ER195" s="419" t="b">
        <f>AND(SnapshotTable[[#This Row],[SC Is Booked]], NOT(ISBLANK(SnapshotTable[[#This Row],[SC Fill Date]])))</f>
        <v>0</v>
      </c>
      <c r="ES195" s="370"/>
      <c r="ET195" s="34" t="str">
        <f>IF(AND(ISNUMBER(SnapshotTable[[#This Row],[SC Exp Date]]), ISNUMBER(SnapshotTable[[#This Row],[SC Book Date]])), SnapshotTable[[#This Row],[SC Exp Date]] - MAX(SnapshotTable[[#This Row],[SC Book Date]], SnapshotTable[[#This Row],[SC Fill Date]]) + 1, "")</f>
        <v/>
      </c>
      <c r="EU195" s="34" t="str">
        <f>IF(ISNUMBER(SnapshotTable[[#This Row],[SC Term]]), SnapshotTable[[#This Row],[SC Exp Date]]- MockToday, "")</f>
        <v/>
      </c>
      <c r="EV195" s="31">
        <f>IF(SnapshotTable[[#This Row],[SC Is Booked]], SnapshotTable[[#This Row],[SC Qty]] * SnapshotTable[[#This Row],[SC Book Price]] * 100, 0)</f>
        <v>0</v>
      </c>
      <c r="EW195" s="4" t="str">
        <f>IF(AND(ISNUMBER(SnapshotTable[[#This Row],[Last Price]]), ISNUMBER( SnapshotTable[[#This Row],[SC Book Price]])), SnapshotTable[[#This Row],[Last Price]] - SnapshotTable[[#This Row],[SC Book Price]],"")</f>
        <v/>
      </c>
      <c r="EX195" s="234" t="str">
        <f>IF(SnapshotTable[[#This Row],[SC Is Booked]],IF(SnapshotTable[[#This Row],[SC Intrinsic Value]] &gt; 0, SnapshotTable[[#This Row],[SC Strike Price]], SnapshotTable[[#This Row],[Last Price]]), "")</f>
        <v/>
      </c>
      <c r="EY195" s="4">
        <f>IF(SnapshotTable[[#This Row],[SC Is Booked]], (MinimumPremiumRequired * SnapshotTable[[#This Row],[SC Basis]] * SnapshotTable[[#This Row],[SC Term]]), 0)</f>
        <v>0</v>
      </c>
      <c r="EZ195" s="283"/>
      <c r="FA195" s="218"/>
      <c r="FB195" s="370"/>
      <c r="FC195" s="4">
        <f>IF(SnapshotTable[[#This Row],[SC Is Filled]], btc_max_buyback_amount(SnapshotTable[[#This Row],[SC Fill Date]],SnapshotTable[[#This Row],[SC Exp Date]], SnapshotTable[[#This Row],[SC Book Price]]),0)</f>
        <v>0</v>
      </c>
      <c r="FD195" s="5"/>
      <c r="FE195" s="144" t="str">
        <f>IF(SnapshotTable[[#This Row],[SC Is Filled]], btc_next_cutoff_date(SnapshotTable[[#This Row],[SC Fill Date]],SnapshotTable[[#This Row],[SC Exp Date]]),"")</f>
        <v/>
      </c>
      <c r="FF195" s="4" t="str" cm="1">
        <f t="array" ref="FF195">IF(SnapshotTable[[#This Row],[SC Is Filled]], btc_should_buy_back(SnapshotTable[[#This Row],[SC Fill Date]], SnapshotTable[[#This Row],[SC Exp Date]], SnapshotTable[[#This Row],[SC Book Price]], SnapshotTable[[#This Row],[SC Current Ask]], MockToday, SnapshotTable[[#This Row],[SC Buyback Override]]),"")</f>
        <v/>
      </c>
      <c r="FG195" s="4">
        <f>IF(SnapshotTable[[#This Row],[SC Is Filled]], MAX(0,SnapshotTable[[#This Row],[Last Price]]  - SnapshotTable[[#This Row],[SC Strike Price]]), 0)</f>
        <v>0</v>
      </c>
      <c r="FH195" s="382">
        <f>IF(SnapshotTable[[#This Row],[SC Is Filled]], IF(ISNUMBER(SnapshotTable[[#This Row],[SC Current Ask]]), SnapshotTable[[#This Row],[SC Current Ask]], SnapshotTable[[#This Row],[SC Book Price]]) - SnapshotTable[[#This Row],[SC Intrinsic Value]], 0)</f>
        <v>0</v>
      </c>
      <c r="FI195" s="143"/>
      <c r="FJ195" s="32" t="str">
        <f>IF(SnapshotTable[[#This Row],[SC Is Filled]],100 * SnapshotTable[[#This Row],[SC Qty]] * IF(ISNUMBER(SnapshotTable[[#This Row],[SC Buyback Override]]), SnapshotTable[[#This Row],[SC Buyback Override]], SnapshotTable[[#This Row],[SC Current Ask]]), "")</f>
        <v/>
      </c>
      <c r="FK195" s="250" t="str">
        <f>IF(SnapshotTable[[#This Row],[SC Time Val]]&gt;0, SnapshotTable[[#This Row],[SC Time Val]] / SnapshotTable[[#This Row],[Last Price]],"")</f>
        <v/>
      </c>
      <c r="FL195" s="302" t="str">
        <f>IF(SnapshotTable[[#This Row],[SC Is Booked]], ((SnapshotTable[[#This Row],[Last Price]] -SnapshotTable[[#This Row],[SC Strike Price]]) / SnapshotTable[[#This Row],[Last Price]]) * -1, "")</f>
        <v/>
      </c>
      <c r="FM195" s="157" t="str">
        <f>IF(SnapshotTable[[#This Row],[SC Is Booked]],  (SnapshotTable[[#This Row],[SC Qty]] * 100 * SnapshotTable[[#This Row],[SC Strike Price]]) - SnapshotTable[[#This Row],[SC Current Ask]], "")</f>
        <v/>
      </c>
      <c r="FN19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5" s="31" t="str">
        <f>IF(AND(ISNUMBER(SnapshotTable[[#This Row],[SC Exercise Gross]]), ISNUMBER(SnapshotTable[[#This Row],[Equity Basis Per Share]] )), SnapshotTable[[#This Row],[SC Exercise Gross]] - SnapshotTable[[#This Row],[Equity Basis Total]] +  SnapshotTable[[#This Row],[SC Premium]], "")</f>
        <v/>
      </c>
      <c r="FP195" s="5" t="str">
        <f>IF(ISNUMBER(SnapshotTable[[#This Row],[SC Exercise Gross]]), (SnapshotTable[[#This Row],[SC Exercise Gross]]) / (SnapshotTable[[#This Row],[SC Qty]] * 100), "")</f>
        <v/>
      </c>
      <c r="FQ195" s="27" t="str">
        <f>IF(SnapshotTable[[#This Row],[SC Is Booked]],SnapshotTable[[#This Row],[SC Time Val]] /SnapshotTable[[#This Row],[SC Basis]], "")</f>
        <v/>
      </c>
      <c r="FR195" s="27" t="str" cm="1">
        <f t="array" ref="FR195">IF(AND(ISNUMBER(SnapshotTable[[#This Row],[SC Term]]),ISNUMBER(SnapshotTable[[#This Row],[SC Simple ROO]])), EllmanAnnualize(SnapshotTable[[#This Row],[SC DTE]], SnapshotTable[[#This Row],[SC Simple ROO]] ),"")</f>
        <v/>
      </c>
      <c r="FS195" s="4" t="e">
        <f>IF(SnapshotTable[[#This Row],[SC Strike Price]] &gt; SnapshotTable[[#This Row],[Last Price]], SnapshotTable[[#This Row],[SC Strike Price]] - SnapshotTable[[#This Row],[Last Price]],0)</f>
        <v>#VALUE!</v>
      </c>
      <c r="FT195" s="27" t="e">
        <f>IF(AND(ISNUMBER(SnapshotTable[[#This Row],[SC Upside Potential]]), SnapshotTable[[#This Row],[SC Upside Potential]] &gt; 0),(SnapshotTable[[#This Row],[SC Upside Potential]]/ SnapshotTable[[#This Row],[ACB]]),"")</f>
        <v>#VALUE!</v>
      </c>
      <c r="FU195" s="333" t="str">
        <f>IF(SnapshotTable[[#This Row],[SC Intrinsic Value]] &gt; 0,SnapshotTable[[#This Row],[SC Intrinsic Value]],"")</f>
        <v/>
      </c>
      <c r="FV195" s="27" t="str">
        <f>IF(AND( ISNUMBER( SnapshotTable[[#This Row],[ACB]]),ISNUMBER(SnapshotTable[[#This Row],[SC Downside Protect]])),SnapshotTable[[#This Row],[SC Downside Protect]] / SnapshotTable[[#This Row],[ACB]],"")</f>
        <v/>
      </c>
      <c r="FW195" s="236" t="str">
        <f>IF(AND(ISNUMBER(SnapshotTable[[#This Row],[SC Simple ROO]]),SnapshotTable[[#This Row],[SC Simple ROO]] &gt; 0), SnapshotTable[[#This Row],[SC Premium]] + (SnapshotTable[[#This Row],[SC Qty]] * SnapshotTable[[#This Row],[SC Upside Potential]]), "")</f>
        <v/>
      </c>
      <c r="FX195" s="302" t="str" cm="1">
        <f t="array" ref="FX195">IF(ISNUMBER(SnapshotTable[[#This Row],[SC Max Dollars]]), annualize(SnapshotTable[[#This Row],[SC Term]],(SnapshotTable[[#This Row],[SC Max Dollars]]/SnapshotTable[[#This Row],[SC Basis]])),"")</f>
        <v/>
      </c>
      <c r="FY195" s="236" t="str">
        <f>IF(AND(SnapshotTable[[#This Row],[SC Qty]]&gt;0,SnapshotTable[[#This Row],[SC Current Ask]]&gt;0), SnapshotTable[[#This Row],[SC Qty]] * SnapshotTable[[#This Row],[SC Current Ask]] * -100, "")</f>
        <v/>
      </c>
      <c r="FZ195" s="31" t="str">
        <f>IF(ISNUMBER((SnapshotTable[[#This Row],[SC Current Value]])), SnapshotTable[[#This Row],[SC Premium]] + SnapshotTable[[#This Row],[SC Current Value]], "")</f>
        <v/>
      </c>
      <c r="GA195" s="294" t="str">
        <f>IFERROR( IF(ISNUMBER((SnapshotTable[[#This Row],[SC Current Value]])), SnapshotTable[[#This Row],[SC Gain Loss]] / SnapshotTable[[#This Row],[SC Premium]], ""), "")</f>
        <v/>
      </c>
      <c r="GB195" s="42">
        <f>SnapshotTable[[#This Row],[Equity Shares]] * SaleSharesToConsiderPercentage</f>
        <v>0</v>
      </c>
      <c r="GC195" s="40">
        <f>SnapshotTable[[#This Row],[Long Term Target]] * SellingPriceToConsiderBasedOnTargetPercentage</f>
        <v>13.299999999999999</v>
      </c>
      <c r="GD195" s="40">
        <f>SnapshotTable[[#This Row],[Last Price]] * (1+ SellingPriceToConsiderBasedOnTargetPercentage)</f>
        <v>7.2344999999999997</v>
      </c>
      <c r="GE195" s="41"/>
      <c r="GF195" s="40"/>
      <c r="GG195" s="31">
        <f>SnapshotTable[[#This Row],[Booked Sale Shares]] * SnapshotTable[[#This Row],[Booked Sale Price]]</f>
        <v>0</v>
      </c>
      <c r="GH195" s="31" t="str">
        <f>IF(SnapshotTable[[#This Row],[Equity Basis Total]] &gt; 0, SnapshotTable[[#This Row],[Equity Basis Per Share]] * SnapshotTable[[#This Row],[Booked Sale Shares]], "")</f>
        <v/>
      </c>
      <c r="GI195" s="31">
        <f>IF(SnapshotTable[[#This Row],[Sale Proceeds]]&gt;0, SnapshotTable[[#This Row],[Sale Proceeds]] - SnapshotTable[[#This Row],[Sale Basis]], 0)</f>
        <v>0</v>
      </c>
      <c r="GJ195" s="27" t="str">
        <f>IF(SnapshotTable[[#This Row],[Sale G/L]]&gt;0, SnapshotTable[[#This Row],[Sale G/L]] / SnapshotTable[[#This Row],[Sale Basis]], IF(ISNUMBER(SnapshotTable[[#This Row],[SC Exercise P&amp;L (TAX)]]), SnapshotTable[[#This Row],[SC Exercise P&amp;L (TAX)]] / SnapshotTable[[#This Row],[SC Basis]], ""))</f>
        <v/>
      </c>
      <c r="GK195" s="27"/>
      <c r="GL195" s="43" t="str">
        <f>IF(AND(SnapshotTable[[#This Row],[LP Exp Date]]&gt;0,SnapshotTable[[#This Row],[LP Strike Price]]&gt;0), [1]!ToOptionSymbol(SnapshotTable[[#This Row],[Symbol]], SnapshotTable[[#This Row],[LP Strike Price]],SnapshotTable[[#This Row],[LP Exp Date]],1), "")</f>
        <v/>
      </c>
      <c r="GM195" s="30" t="str">
        <f>IF(LEN(SnapshotTable[[#This Row],[LP Symbol]])&gt;0, 1, "")</f>
        <v/>
      </c>
      <c r="GN195" s="43" t="str">
        <f>IF(AND(SnapshotTable[[#This Row],[SP Exp Date]]&gt;0,SnapshotTable[[#This Row],[SP Strike Price]]&gt;0), [1]!ToOptionSymbol(SnapshotTable[[#This Row],[Symbol]], SnapshotTable[[#This Row],[SP Strike Price]],SnapshotTable[[#This Row],[SP Exp Date]],1), "")</f>
        <v/>
      </c>
      <c r="GO195" s="30" t="str">
        <f>IF(LEN(SnapshotTable[[#This Row],[SP Symbol]])&gt;0, 1, "")</f>
        <v/>
      </c>
      <c r="GP195" s="43" t="str">
        <f>IF(AND(SnapshotTable[[#This Row],[LC Exp Date]]&gt;0,SnapshotTable[[#This Row],[LC Strike Price]]&gt;0), [1]!ToOptionSymbol(SnapshotTable[[#This Row],[Symbol]], SnapshotTable[[#This Row],[LC Strike Price]],SnapshotTable[[#This Row],[LC Exp Date]],0), "")</f>
        <v/>
      </c>
      <c r="GQ195" s="30" t="str">
        <f>IF(LEN(SnapshotTable[[#This Row],[LC Symbol]])&gt;0, 1, "")</f>
        <v/>
      </c>
      <c r="GR195" s="43" t="str">
        <f>IF(AND(SnapshotTable[[#This Row],[SC Exp Date]]&gt;0,SnapshotTable[[#This Row],[SC Strike Price]]&gt;0), [1]!ToOptionSymbol(SnapshotTable[[#This Row],[Symbol]], SnapshotTable[[#This Row],[SC Strike Price]],SnapshotTable[[#This Row],[SC Exp Date]],0), "")</f>
        <v/>
      </c>
      <c r="GS195" s="30" t="str">
        <f>IF(LEN(SnapshotTable[[#This Row],[SC Symbol]])&gt;0, 1, "")</f>
        <v/>
      </c>
      <c r="GT195" s="29" t="str">
        <f>IF(COUNT(SnapshotTable[[#This Row],[LP Symbol Count]],SnapshotTable[[#This Row],[SP Symbol Count]],SnapshotTable[[#This Row],[LC Symbol Count]],SnapshotTable[[#This Row],[SC Symbol Count]])&gt;0, "Y", "")</f>
        <v/>
      </c>
      <c r="GU19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5" s="231" t="e">
        <f>MAX(SnapshotTable[[#This Row],[Equity Basis Total]],SnapshotTable[[#This Row],[Equity Value]]) + (SnapshotTable[[#This Row],[SP Potential Spend]]- SnapshotTable[[#This Row],[SP Premium]] + SnapshotTable[[#This Row],[LP Premium]])+ (SnapshotTable[[#This Row],[LC Premium]] - SnapshotTable[[#This Row],[SC Premium]])</f>
        <v>#VALUE!</v>
      </c>
      <c r="GW195" s="139" t="e">
        <f>IF(AND(SnapshotTable[[#This Row],[Exposure]] &lt;&gt; 0),SnapshotTable[[#This Row],[Exposure]] / SnapshotTable[[#Totals],[Exposure]], "")</f>
        <v>#VALUE!</v>
      </c>
      <c r="HE195" s="268"/>
      <c r="HF195" s="268"/>
      <c r="HK195" s="1"/>
      <c r="HL195" s="1"/>
      <c r="HM195" s="1"/>
      <c r="HN195" s="1"/>
      <c r="HO195" s="1"/>
      <c r="HP195" s="1"/>
    </row>
    <row r="196" spans="2:224" ht="12.75" hidden="1" customHeight="1" x14ac:dyDescent="0.25">
      <c r="B196" s="12" t="s">
        <v>1265</v>
      </c>
      <c r="C196" s="422">
        <v>68.53</v>
      </c>
      <c r="D196" s="208"/>
      <c r="E196" s="39">
        <f>SnapshotTable[[#This Row],[Last Price]]*(1 -CrashDiscount)</f>
        <v>58.250500000000002</v>
      </c>
      <c r="F196" s="325" t="s">
        <v>945</v>
      </c>
      <c r="G196" s="325" t="s">
        <v>606</v>
      </c>
      <c r="H196" s="149"/>
      <c r="I196" s="194"/>
      <c r="J196" s="195"/>
      <c r="K196" s="196"/>
      <c r="L196" s="326"/>
      <c r="M196" s="140"/>
      <c r="N196" s="140"/>
      <c r="O196" s="140"/>
      <c r="P196" s="22"/>
      <c r="Q196" s="25"/>
      <c r="R196" s="4" t="str">
        <f>IF(SnapshotTable[[#This Row],[Equity Basis Total]] &gt; 0, SnapshotTable[[#This Row],[Equity Basis Total]] / SnapshotTable[[#This Row],[Equity Shares]], "")</f>
        <v/>
      </c>
      <c r="S196" s="269">
        <f>SnapshotTable[[#This Row],[Last Price]] * SnapshotTable[[#This Row],[Equity Shares]]</f>
        <v>0</v>
      </c>
      <c r="T196" s="269">
        <f>SnapshotTable[[#This Row],[Equity Value]] - SnapshotTable[[#This Row],[Equity Basis Total]]</f>
        <v>0</v>
      </c>
      <c r="U196" s="270" t="str">
        <f>IF(SnapshotTable[[#This Row],[Equity Basis Total]] &gt; 0, SnapshotTable[[#This Row],[Equity G/L]] / SnapshotTable[[#This Row],[Equity Basis Total]], "")</f>
        <v/>
      </c>
      <c r="V196" s="268"/>
      <c r="W196" s="268"/>
      <c r="X196" s="4" t="str">
        <f>IF(AND(ISNUMBER(SnapshotTable[[#This Row],[Equity Basis Per Share]]),ISNUMBER(SnapshotTable[[#This Row],[Equity Target]])),SnapshotTable[[#This Row],[Equity Target]]-SnapshotTable[[#This Row],[Equity Basis Per Share]],"")</f>
        <v/>
      </c>
      <c r="Y196" s="4" t="str">
        <f>IF(AND(ISNUMBER(SnapshotTable[[#This Row],[Equity Basis Per Share]]),ISNUMBER(SnapshotTable[[#This Row],[Equity Stop Loss]])),SnapshotTable[[#This Row],[Equity Stop Loss]]-SnapshotTable[[#This Row],[Equity Basis Per Share]],"")</f>
        <v/>
      </c>
      <c r="Z196" s="275" t="str">
        <f>IFERROR( TEXT(SnapshotTable[[#This Row],[Equity Max Gain Per Share]] /ABS( SnapshotTable[[#This Row],[Equity Max Loss Per Share]]),"0.0 " ) &amp; " : 1", "")</f>
        <v/>
      </c>
      <c r="AA196" s="31" t="str">
        <f>IF(ISNUMBER(SnapshotTable[[#This Row],[Equity Max Gain Per Share]]),SnapshotTable[[#This Row],[Equity Max Gain Per Share]] * SnapshotTable[[#This Row],[Equity Shares]],"")</f>
        <v/>
      </c>
      <c r="AB196" s="31" t="str">
        <f>IF(ISNUMBER(SnapshotTable[[#This Row],[Equity Max Loss Per Share]]),SnapshotTable[[#This Row],[Equity Max Loss Per Share]] * SnapshotTable[[#This Row],[Equity Shares]],"")</f>
        <v/>
      </c>
      <c r="AC196" s="150"/>
      <c r="AD196" s="151"/>
      <c r="AE196" s="31">
        <f>(SnapshotTable[[#This Row],[Annual Dividend Per Share]] / 4) * SnapshotTable[[#This Row],[Equity Shares]]</f>
        <v>0</v>
      </c>
      <c r="AF196" s="31">
        <f>SnapshotTable[[#This Row],[Quarterly Div $]] * 4</f>
        <v>0</v>
      </c>
      <c r="AG196" s="7">
        <f>IF(SnapshotTable[[#This Row],[Annual Dividend Per Share]]&gt;0, SnapshotTable[[#This Row],[Annual Dividend Per Share]]  / SnapshotTable[[#This Row],[Last Price]], 0)</f>
        <v>0</v>
      </c>
      <c r="AH196" s="151"/>
      <c r="AI196" s="5"/>
      <c r="AJ196" s="138"/>
      <c r="AK196" s="152" t="str">
        <f>IF(ISNUMBER( SnapshotTable[[#This Row],[EBF Target]]),(SnapshotTable[[#This Row],[EBF Target]] - SnapshotTable[[#This Row],[Last Price]]) / SnapshotTable[[#This Row],[Last Price]], "")</f>
        <v/>
      </c>
      <c r="AL196" s="152" t="str">
        <f>IF(AND(SnapshotTable[[#This Row],[Equity Basis Total]] &gt; 0,ISNUMBER( SnapshotTable[[#This Row],[Long Term Target]])), SnapshotTable[[#This Row],[From Basis $]] / SnapshotTable[[#This Row],[Equity Basis Total]], "")</f>
        <v/>
      </c>
      <c r="AM196" s="9">
        <f>IF( AND(SnapshotTable[[#This Row],[Equity Shares]] &gt;0,ISNUMBER( SnapshotTable[[#This Row],[Long Term Target]])),(SnapshotTable[[#This Row],[Equity Shares]] * SnapshotTable[[#This Row],[Long Term Target]]) - SnapshotTable[[#This Row],[Equity Basis Total]],0)</f>
        <v>0</v>
      </c>
      <c r="AN196" s="9">
        <f>IF( AND(SnapshotTable[[#This Row],[Equity Shares]] &gt;0,ISNUMBER( SnapshotTable[[#This Row],[Long Term Target]])),(SnapshotTable[[#This Row],[Equity Shares]]*SnapshotTable[[#This Row],[Long Term Target]]) - SnapshotTable[[#This Row],[Equity Value]],0)</f>
        <v>0</v>
      </c>
      <c r="AO196" s="152" t="str">
        <f>IF(AND(ISNUMBER( SnapshotTable[[#This Row],[Long Term Target]]), ISNUMBER(SnapshotTable[[#This Row],[Last Price]])),(SnapshotTable[[#This Row],[Long Term Target]] - SnapshotTable[[#This Row],[Last Price]]) / SnapshotTable[[#This Row],[Last Price]], "")</f>
        <v/>
      </c>
      <c r="AP196" s="5"/>
      <c r="AQ196" s="38"/>
      <c r="AR196" s="5"/>
      <c r="AS196" s="38"/>
      <c r="AT196" s="146"/>
      <c r="AU196" s="187" t="str">
        <f>IF(OR(SnapshotTable[[#This Row],[LP No Fill]]="Y",SnapshotTable[[#This Row],[SP Is Filled]],SnapshotTable[[#This Row],[LC Not Filled]]="Y",SnapshotTable[[#This Row],[SC Is Filled]]),"Y","")</f>
        <v/>
      </c>
      <c r="AV196" s="219"/>
      <c r="AW196" s="225"/>
      <c r="AX196" s="220"/>
      <c r="AY196" s="219" t="str">
        <f>IF(SnapshotTable[[#This Row],[Implied Move]]&gt;0, SnapshotTable[[#This Row],[Last Price]]-SnapshotTable[[#This Row],[Implied Move]],"")</f>
        <v/>
      </c>
      <c r="AZ196" s="219" t="str">
        <f>IF(SnapshotTable[[#This Row],[Implied Move]]&gt;0, SnapshotTable[[#This Row],[Last Price]] + SnapshotTable[[#This Row],[Implied Move]],"")</f>
        <v/>
      </c>
      <c r="BA196" s="331">
        <v>99.39</v>
      </c>
      <c r="BB196" s="347" t="s">
        <v>974</v>
      </c>
      <c r="BC19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6" s="351"/>
      <c r="BE196" s="5"/>
      <c r="BF196" s="14"/>
      <c r="BG196" s="13"/>
      <c r="BH196" s="13"/>
      <c r="BI196" s="5"/>
      <c r="BJ196" s="136">
        <f>IF(SnapshotTable[[#This Row],[LP Qty]] &gt; 0, SnapshotTable[[#This Row],[LP Qty]] * SnapshotTable[[#This Row],[LP Book Price]] * 100,0)</f>
        <v>0</v>
      </c>
      <c r="BK196" s="136">
        <f>IF(SnapshotTable[[#This Row],[LP Premium]] &gt; 0, SnapshotTable[[#This Row],[LP Qty]] * SnapshotTable[[#This Row],[LP Strike Price]] * 100,0)</f>
        <v>0</v>
      </c>
      <c r="BL196" s="154"/>
      <c r="BM196" s="385" t="str">
        <f>IF(SnapshotTable[[#This Row],[LP Premium]] &gt; 0,SnapshotTable[[#This Row],[LP Exp Date]]-MAX(SnapshotTable[[#This Row],[LP Book Date]], SnapshotTable[[#This Row],[LP Fill Date]]),"")</f>
        <v/>
      </c>
      <c r="BN196" s="385" t="str">
        <f>IF(ISNUMBER( SnapshotTable[[#This Row],[LP Term]]), SnapshotTable[[#This Row],[LP Exp Date]] - MockToday,"")</f>
        <v/>
      </c>
      <c r="BO196" s="163" t="str">
        <f>IF(AND(SnapshotTable[[#This Row],[LP Exp Date]]&gt;0, SnapshotTable[[#This Row],[LP Strike Price]]&gt;0,SnapshotTable[[#This Row],[LP Qty]]&gt;0,SnapshotTable[[#This Row],[LP Book Date]]&gt;0,SnapshotTable[[#This Row],[LP Book Price]]&gt;0,SnapshotTable[[#This Row],[LP Fill Date]]=0),"Y","")</f>
        <v/>
      </c>
      <c r="BP196" s="31" t="str">
        <f>IF(AND(SnapshotTable[[#This Row],[LP No Fill]]&lt;&gt;"Y",SnapshotTable[[#This Row],[LP Contract Value]]&gt;0, SnapshotTable[[#This Row],[LP Qty]]&gt;0), SnapshotTable[[#This Row],[LP Contract Value]]*SnapshotTable[[#This Row],[LP Qty]]*100,"")</f>
        <v/>
      </c>
      <c r="BQ196" s="13"/>
      <c r="BR196" s="5" t="str">
        <f>IF(SnapshotTable[[#This Row],[SP Exp Date]]&lt;&gt;"",TRUNC(SnapshotTable[[#This Row],[Last Price]]),"")</f>
        <v/>
      </c>
      <c r="BS196" s="36"/>
      <c r="BT196" s="147"/>
      <c r="BU196" s="13"/>
      <c r="BV196" s="5"/>
      <c r="BW196" s="419" t="b">
        <f>AND(ISNUMBER(SnapshotTable[[#This Row],[SP Exp Date]]), ISNUMBER(SnapshotTable[[#This Row],[SP Strike Price]]), ISNUMBER(SnapshotTable[[#This Row],[SP Qty]]), ISNUMBER(SnapshotTable[[#This Row],[SP Book Date]]), ISNUMBER(SnapshotTable[[#This Row],[SP Book Price]]))</f>
        <v>0</v>
      </c>
      <c r="BX196" s="419" t="b">
        <f>AND(SnapshotTable[[#This Row],[SP Is Booked]], NOT(ISBLANK(SnapshotTable[[#This Row],[SP Fill Date]])))</f>
        <v>0</v>
      </c>
      <c r="BY196" s="33">
        <f>IF(SnapshotTable[[#This Row],[SP Is Booked]], SnapshotTable[[#This Row],[SP Qty]] * SnapshotTable[[#This Row],[SP Book Price]] * 100, 0)</f>
        <v>0</v>
      </c>
      <c r="BZ196" s="369"/>
      <c r="CA196" s="368">
        <f>SnapshotTable[[#This Row],[LP Qty]]</f>
        <v>0</v>
      </c>
      <c r="CB196" s="4" t="str">
        <f>IF(SnapshotTable[[#This Row],[SP Is Booked]], SnapshotTable[[#This Row],[SP Strike Price]] - SnapshotTable[[#This Row],[SP Book Price]], "")</f>
        <v/>
      </c>
      <c r="CC196" s="19" t="str">
        <f>IF(SnapshotTable[[#This Row],[SP Is Booked]],SnapshotTable[[#This Row],[SP Exp Date]]-MAX(SnapshotTable[[#This Row],[SP Book Date]], SnapshotTable[[#This Row],[SP Fill Date]]),"")</f>
        <v/>
      </c>
      <c r="CD196" s="7" t="str">
        <f>IF(SnapshotTable[[#This Row],[SP Is Booked]], SnapshotTable[[#This Row],[SP Book Price]]/SnapshotTable[[#This Row],[SP Strike Price]], "")</f>
        <v/>
      </c>
      <c r="CE196" s="7" t="str">
        <f>IF(ISNUMBER(SnapshotTable[[#This Row],[SP ROO Term]]),SnapshotTable[[#This Row],[SP ROO Term]]*(365/SnapshotTable[[#This Row],[SP Term]]),"")</f>
        <v/>
      </c>
      <c r="CF196" s="236">
        <f>SnapshotTable[[#This Row],[LP Strike Price]] * SnapshotTable[[#This Row],[LP Qty]] * 100</f>
        <v>0</v>
      </c>
      <c r="CG196" s="31" t="e">
        <f>IF(ISNUMBER(SnapshotTable[[#This Row],[SP Premium]]), (SnapshotTable[[#This Row],[SP Qty]] * SnapshotTable[[#This Row],[SP Strike Price]]* 100) - SnapshotTable[[#This Row],[LP Protection]], 0)</f>
        <v>#VALUE!</v>
      </c>
      <c r="CH196" s="7" t="str">
        <f>IF(ISNUMBER(SnapshotTable[[#This Row],[SP Break Even]]),-1 * (SnapshotTable[[#This Row],[SP Break Even]] - SnapshotTable[[#This Row],[Last Price]]) / SnapshotTable[[#This Row],[Last Price]], "")</f>
        <v/>
      </c>
      <c r="CI196" s="31">
        <f>IF(AND(ISNUMBER((SnapshotTable[[#This Row],[SP Potential Spend]])), SnapshotTable[[#This Row],[SP Strike Price]] &gt; SnapshotTable[[#This Row],[Last Price]], SnapshotTable[[#This Row],[SP Is Filled]]), SnapshotTable[[#This Row],[SP Potential Spend]] -  SnapshotTable[[#This Row],[LP Max Value]], 0)</f>
        <v>0</v>
      </c>
      <c r="CJ196" s="244"/>
      <c r="CK196" s="31" t="str">
        <f>IF(ISNUMBER(SnapshotTable[[#This Row],[SP Potential Spend]]),IF(ISNUMBER(SnapshotTable[[#This Row],[SP POW]]), SnapshotTable[[#This Row],[SP POW]] * SnapshotTable[[#This Row],[SP Potential Spend]], SnapshotTable[[#This Row],[SP Potential Spend]]), "")</f>
        <v/>
      </c>
      <c r="CL196" s="164" t="e">
        <f>IF(NOT(SnapshotTable[[#This Row],[SP Is Filled]]),(SnapshotTable[[#This Row],[SP Qty]] * SnapshotTable[[#This Row],[SP Strike Price]] * 100) - SnapshotTable[[#This Row],[LP Max Value]],"")</f>
        <v>#VALUE!</v>
      </c>
      <c r="CM196" s="31" t="str">
        <f>IF(SnapshotTable[[#This Row],[SP Actual Spend]]&lt;&gt;0, ((SnapshotTable[[#This Row],[SP Strike Price]]-SnapshotTable[[#This Row],[Last Price]]) *(SnapshotTable[[#This Row],[SP Qty]]*100) - SnapshotTable[[#This Row],[SP Premium]]) * - 1, "")</f>
        <v/>
      </c>
      <c r="CN196" s="78"/>
      <c r="CO196" s="369"/>
      <c r="CP196" s="4" t="str">
        <f>IF(SnapshotTable[[#This Row],[SP Is Filled]], btc_max_buyback_amount(SnapshotTable[[#This Row],[SP Fill Date]],SnapshotTable[[#This Row],[SP Exp Date]], SnapshotTable[[#This Row],[SP Book Price]]),"")</f>
        <v/>
      </c>
      <c r="CQ196" s="78"/>
      <c r="CR19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6" s="155" t="str">
        <f>IF(SnapshotTable[[#This Row],[SP Is Filled]], btc_next_cutoff_date(SnapshotTable[[#This Row],[SP Fill Date]],SnapshotTable[[#This Row],[SP Exp Date]]),"")</f>
        <v/>
      </c>
      <c r="CT196" s="235" t="str" cm="1">
        <f t="array" ref="CT196">IF(SnapshotTable[[#This Row],[SP Is Filled]], btc_should_buy_back(SnapshotTable[[#This Row],[SP Fill Date]], SnapshotTable[[#This Row],[SP Exp Date]], SnapshotTable[[#This Row],[SP Book Price]], SnapshotTable[[#This Row],[SP Current Ask]], MockToday, SnapshotTable[[#This Row],[SP Buyback Override]]),"")</f>
        <v/>
      </c>
      <c r="CU196" s="156"/>
      <c r="CV196" s="235"/>
      <c r="CW196" s="378" t="str">
        <f>IF(ISNUMBER( SnapshotTable[[#This Row],[SP Term]]), SnapshotTable[[#This Row],[SP Exp Date]] - MockToday,"")</f>
        <v/>
      </c>
      <c r="CX196" s="31" t="str">
        <f>IF(SnapshotTable[[#This Row],[SP Is Filled]],SnapshotTable[[#This Row],[SP Buyback Price to Use]] * 100 * SnapshotTable[[#This Row],[SP Qty]], "")</f>
        <v/>
      </c>
      <c r="CY196" s="4" t="str">
        <f>IF(ISNUMBER(SnapshotTable[[#This Row],[SP Strike Price]]), SnapshotTable[[#This Row],[SP Strike Price]] * (1 - SP_MaxLoss_StrikePct), "")</f>
        <v/>
      </c>
      <c r="CZ196" s="31" t="str">
        <f>IF(ISNUMBER(SnapshotTable[[#This Row],[SP Strike  Stop Per Share]]),SnapshotTable[[#This Row],[SP Premium]] - ((SnapshotTable[[#This Row],[SP Strike Price]]-SnapshotTable[[#This Row],[SP Strike  Stop Per Share]]) *(SnapshotTable[[#This Row],[SP Qty]] * 100)),"")</f>
        <v/>
      </c>
      <c r="DA196" s="4" t="str">
        <f>IF(AND(ISNUMBER(SnapshotTable[[#This Row],[SP Premium]]),SnapshotTable[[#This Row],[SP Premium]]&gt;0), SnapshotTable[[#This Row],[SP Book Price]] * (1 + SP_MaxLoss_OptionPct), "")</f>
        <v/>
      </c>
      <c r="DB196" s="31" t="str">
        <f>IF(ISNUMBER(SnapshotTable[[#This Row],[SP Option  Stop Contract]]),(SnapshotTable[[#This Row],[SP Option  Stop Contract]] *(SnapshotTable[[#This Row],[SP Qty]] * 100) - SnapshotTable[[#This Row],[SP Premium]]),"")</f>
        <v/>
      </c>
      <c r="DC196" s="4"/>
      <c r="DD196" s="4"/>
      <c r="DE196" s="4" t="str">
        <f>IF(AND(SnapshotTable[[#This Row],[SP Qty]]&gt;0, SnapshotTable[[#This Row],[SP Stop To Use]]&gt;0),SnapshotTable[[#This Row],[SP Premium]] - ( SnapshotTable[[#This Row],[SP Qty]] * SnapshotTable[[#This Row],[SP Stop To Use]] * 100), "")</f>
        <v/>
      </c>
      <c r="DF196" s="31" t="str">
        <f>IF(AND(SnapshotTable[[#This Row],[SP Qty]]&gt;0,SnapshotTable[[#This Row],[SP Current Ask]]&gt;0), SnapshotTable[[#This Row],[SP Qty]] * SnapshotTable[[#This Row],[SP Current Ask]] * -100, "")</f>
        <v/>
      </c>
      <c r="DG196" s="31" t="str">
        <f>IF(ISNUMBER((SnapshotTable[[#This Row],[SP Total Value]])), SnapshotTable[[#This Row],[SP Premium]] + SnapshotTable[[#This Row],[SP Total Value]], "")</f>
        <v/>
      </c>
      <c r="DH196" s="294" t="str">
        <f>IF(ISNUMBER((SnapshotTable[[#This Row],[SP Total Value]])), SnapshotTable[[#This Row],[SP Gain Loss]] / SnapshotTable[[#This Row],[SP Premium]], "")</f>
        <v/>
      </c>
      <c r="DI196" s="406"/>
      <c r="DJ196" s="138"/>
      <c r="DK196" s="148"/>
      <c r="DL196" s="13"/>
      <c r="DM196" s="13"/>
      <c r="DO196" s="31">
        <f>IF(SnapshotTable[[#This Row],[LC Symbol Count]]=1, SnapshotTable[[#This Row],[LC Qty]] * SnapshotTable[[#This Row],[LC Book Price]] * 100, 0)</f>
        <v>0</v>
      </c>
      <c r="DP196" s="163" t="str">
        <f>IF(AND(SnapshotTable[[#This Row],[LC Exp Date]]&gt;0, SnapshotTable[[#This Row],[LC Strike Price]]&gt;0,SnapshotTable[[#This Row],[LC Qty]]&gt;0,SnapshotTable[[#This Row],[LC Book Date]]&gt;0,SnapshotTable[[#This Row],[LC Book Price]]&gt;0,SnapshotTable[[#This Row],[LC Fill Date]]=0),"Y","")</f>
        <v/>
      </c>
      <c r="DQ196" s="386" t="str">
        <f>IF(SnapshotTable[[#This Row],[LC Premium]] &gt; 0,SnapshotTable[[#This Row],[LC Exp Date]]-MAX(SnapshotTable[[#This Row],[LC Book Date]], SnapshotTable[[#This Row],[LC Fill Date]]),"")</f>
        <v/>
      </c>
      <c r="DR196" s="386" t="str">
        <f>IF(ISNUMBER(SnapshotTable[[#This Row],[LC Term]]), SnapshotTable[[#This Row],[LC Exp Date]] - MockToday, "")</f>
        <v/>
      </c>
      <c r="DS196" s="234" t="str">
        <f>IF(SnapshotTable[[#This Row],[LC Premium]]&gt;0,SnapshotTable[[#This Row],[LC Strike Price]] + SnapshotTable[[#This Row],[LC Book Price]],"")</f>
        <v/>
      </c>
      <c r="DU196" s="9" t="str">
        <f>IF(AND(SnapshotTable[[#This Row],[LC Symbol Count]]&gt;0, SnapshotTable[[#This Row],[LC Contract Value]]&gt;0), SnapshotTable[[#This Row],[LC Contract Value]] * SnapshotTable[[#This Row],[LC Qty]] * 100, "")</f>
        <v/>
      </c>
      <c r="DV196" s="9" t="str">
        <f>IF(AND(ISNUMBER(SnapshotTable[[#This Row],[LC Total Value]]), SnapshotTable[[#This Row],[LC Not Filled]]&lt;&gt;"Y"), SnapshotTable[[#This Row],[LC Total Value]]-SnapshotTable[[#This Row],[LC Premium]],"")</f>
        <v/>
      </c>
      <c r="DW196" s="240" t="str">
        <f>IF(ISNUMBER(SnapshotTable[[#This Row],[LC Actual Gain Loss]]), SnapshotTable[[#This Row],[LC Actual Gain Loss]] / SnapshotTable[[#This Row],[LC Premium]],"")</f>
        <v/>
      </c>
      <c r="DX196" s="284" t="str">
        <f>IF(ISNUMBER(SnapshotTable[[#This Row],[LC Book Price]]),SnapshotTable[[#This Row],[LC Book Price]] * 1.5,"")</f>
        <v/>
      </c>
      <c r="DY196" s="265" t="str">
        <f>IF(SnapshotTable[[#This Row],[LC Premium]]&gt;0, SnapshotTable[[#This Row],[LC Next Target]] * SnapshotTable[[#This Row],[LC Qty]] * 100,"")</f>
        <v/>
      </c>
      <c r="DZ196" s="265" t="str">
        <f>IF(ISNUMBER(SnapshotTable[[#This Row],[LC Target Gross]]), SnapshotTable[[#This Row],[LC Target Gross]] - SnapshotTable[[#This Row],[LC Premium]], "")</f>
        <v/>
      </c>
      <c r="EA196" s="305" t="str">
        <f>IF(ISNUMBER(SnapshotTable[[#This Row],[LC Target Gain Loss]]), SnapshotTable[[#This Row],[LC Target Gain Loss]]/SnapshotTable[[#This Row],[LC Premium]], "")</f>
        <v/>
      </c>
      <c r="EB196" s="262"/>
      <c r="EC196" s="283" t="str">
        <f>IF(SnapshotTable[[#This Row],[LC Premium]]&gt;0, SnapshotTable[[#This Row],[LC Book Price]] * (1 - LC_StopLoss_Pct),"")</f>
        <v/>
      </c>
      <c r="ED196" s="284"/>
      <c r="EE196" s="283" t="str">
        <f>IF(ISNUMBER(SnapshotTable[[#This Row],[LC Contract Value]]),IF(ISNUMBER(SnapshotTable[[#This Row],[LC Stop Loss Override]]), SnapshotTable[[#This Row],[LC Stop Loss Override]],SnapshotTable[[#This Row],[LC Stop Loss Calc Target]]),"")</f>
        <v/>
      </c>
      <c r="EF196" s="31" t="str">
        <f>IF(ISNUMBER(SnapshotTable[[#This Row],[LC Stop  To Use]]), (SnapshotTable[[#This Row],[LC Stop  To Use]] * SnapshotTable[[#This Row],[LC Qty]] * 100),"")</f>
        <v/>
      </c>
      <c r="EG196" s="9" t="str">
        <f>IF(ISNUMBER(SnapshotTable[[#This Row],[LC Total Value]]),SnapshotTable[[#This Row],[LC Stop Loss Amount]] - SnapshotTable[[#This Row],[LC Premium]],"")</f>
        <v/>
      </c>
      <c r="EH196" s="9">
        <f>IF(ISNUMBER(SnapshotTable[[#This Row],[LC Premium]]), SnapshotTable[[#This Row],[LC Qty]] * 100 * SnapshotTable[[#This Row],[LC Strike Price]], "")</f>
        <v>0</v>
      </c>
      <c r="EI196" s="240" t="str">
        <f>IF(AND(ISNUMBER(SnapshotTable[[#This Row],[LC Total Value]]),SnapshotTable[[#This Row],[LC Total Value]]&gt;0),SnapshotTable[[#This Row],[LC Stop Gain Loss]]  / SnapshotTable[[#This Row],[LC Premium]],"")</f>
        <v/>
      </c>
      <c r="EJ196" s="35">
        <f>IF(ISNUMBER(SnapshotTable[[#This Row],[Equity Shares]]),TRUNC(SnapshotTable[[#This Row],[Equity Shares]] / 100),0) + SnapshotTable[[#This Row],[LC Qty]]</f>
        <v>0</v>
      </c>
      <c r="EK196" s="147"/>
      <c r="EL196" s="138" t="str">
        <f>IF(SnapshotTable[[#This Row],[SC Exp Date]]&lt;&gt;"",TRUNC(SnapshotTable[[#This Row],[Last Price]]),"")</f>
        <v/>
      </c>
      <c r="EM196" s="148"/>
      <c r="EN196" s="147"/>
      <c r="EO196" s="147"/>
      <c r="EP196" s="138"/>
      <c r="EQ196" s="419" t="b">
        <f>AND(ISNUMBER(SnapshotTable[[#This Row],[SC Exp Date]]), ISNUMBER(SnapshotTable[[#This Row],[SC Strike Price]]), ISNUMBER(SnapshotTable[[#This Row],[SC Qty]]), ISNUMBER(SnapshotTable[[#This Row],[SC Book Date]]), ISNUMBER(SnapshotTable[[#This Row],[SC Book Price]]))</f>
        <v>0</v>
      </c>
      <c r="ER196" s="419" t="b">
        <f>AND(SnapshotTable[[#This Row],[SC Is Booked]], NOT(ISBLANK(SnapshotTable[[#This Row],[SC Fill Date]])))</f>
        <v>0</v>
      </c>
      <c r="ES196" s="370"/>
      <c r="ET196" s="34" t="str">
        <f>IF(AND(ISNUMBER(SnapshotTable[[#This Row],[SC Exp Date]]), ISNUMBER(SnapshotTable[[#This Row],[SC Book Date]])), SnapshotTable[[#This Row],[SC Exp Date]] - MAX(SnapshotTable[[#This Row],[SC Book Date]], SnapshotTable[[#This Row],[SC Fill Date]]) + 1, "")</f>
        <v/>
      </c>
      <c r="EU196" s="34" t="str">
        <f>IF(ISNUMBER(SnapshotTable[[#This Row],[SC Term]]), SnapshotTable[[#This Row],[SC Exp Date]]- MockToday, "")</f>
        <v/>
      </c>
      <c r="EV196" s="31">
        <f>IF(SnapshotTable[[#This Row],[SC Is Booked]], SnapshotTable[[#This Row],[SC Qty]] * SnapshotTable[[#This Row],[SC Book Price]] * 100, 0)</f>
        <v>0</v>
      </c>
      <c r="EW196" s="4" t="str">
        <f>IF(AND(ISNUMBER(SnapshotTable[[#This Row],[Last Price]]), ISNUMBER( SnapshotTable[[#This Row],[SC Book Price]])), SnapshotTable[[#This Row],[Last Price]] - SnapshotTable[[#This Row],[SC Book Price]],"")</f>
        <v/>
      </c>
      <c r="EX196" s="234" t="str">
        <f>IF(SnapshotTable[[#This Row],[SC Is Booked]],IF(SnapshotTable[[#This Row],[SC Intrinsic Value]] &gt; 0, SnapshotTable[[#This Row],[SC Strike Price]], SnapshotTable[[#This Row],[Last Price]]), "")</f>
        <v/>
      </c>
      <c r="EY196" s="4">
        <f>IF(SnapshotTable[[#This Row],[SC Is Booked]], (MinimumPremiumRequired * SnapshotTable[[#This Row],[SC Basis]] * SnapshotTable[[#This Row],[SC Term]]), 0)</f>
        <v>0</v>
      </c>
      <c r="EZ196" s="283"/>
      <c r="FA196" s="218"/>
      <c r="FB196" s="370"/>
      <c r="FC196" s="4">
        <f>IF(SnapshotTable[[#This Row],[SC Is Filled]], btc_max_buyback_amount(SnapshotTable[[#This Row],[SC Fill Date]],SnapshotTable[[#This Row],[SC Exp Date]], SnapshotTable[[#This Row],[SC Book Price]]),0)</f>
        <v>0</v>
      </c>
      <c r="FD196" s="5"/>
      <c r="FE196" s="144" t="str">
        <f>IF(SnapshotTable[[#This Row],[SC Is Filled]], btc_next_cutoff_date(SnapshotTable[[#This Row],[SC Fill Date]],SnapshotTable[[#This Row],[SC Exp Date]]),"")</f>
        <v/>
      </c>
      <c r="FF196" s="4" t="str" cm="1">
        <f t="array" ref="FF196">IF(SnapshotTable[[#This Row],[SC Is Filled]], btc_should_buy_back(SnapshotTable[[#This Row],[SC Fill Date]], SnapshotTable[[#This Row],[SC Exp Date]], SnapshotTable[[#This Row],[SC Book Price]], SnapshotTable[[#This Row],[SC Current Ask]], MockToday, SnapshotTable[[#This Row],[SC Buyback Override]]),"")</f>
        <v/>
      </c>
      <c r="FG196" s="4">
        <f>IF(SnapshotTable[[#This Row],[SC Is Filled]], MAX(0,SnapshotTable[[#This Row],[Last Price]]  - SnapshotTable[[#This Row],[SC Strike Price]]), 0)</f>
        <v>0</v>
      </c>
      <c r="FH196" s="382">
        <f>IF(SnapshotTable[[#This Row],[SC Is Filled]], IF(ISNUMBER(SnapshotTable[[#This Row],[SC Current Ask]]), SnapshotTable[[#This Row],[SC Current Ask]], SnapshotTable[[#This Row],[SC Book Price]]) - SnapshotTable[[#This Row],[SC Intrinsic Value]], 0)</f>
        <v>0</v>
      </c>
      <c r="FI196" s="143"/>
      <c r="FJ196" s="32" t="str">
        <f>IF(SnapshotTable[[#This Row],[SC Is Filled]],100 * SnapshotTable[[#This Row],[SC Qty]] * IF(ISNUMBER(SnapshotTable[[#This Row],[SC Buyback Override]]), SnapshotTable[[#This Row],[SC Buyback Override]], SnapshotTable[[#This Row],[SC Current Ask]]), "")</f>
        <v/>
      </c>
      <c r="FK196" s="250" t="str">
        <f>IF(SnapshotTable[[#This Row],[SC Time Val]]&gt;0, SnapshotTable[[#This Row],[SC Time Val]] / SnapshotTable[[#This Row],[Last Price]],"")</f>
        <v/>
      </c>
      <c r="FL196" s="302" t="str">
        <f>IF(SnapshotTable[[#This Row],[SC Is Booked]], ((SnapshotTable[[#This Row],[Last Price]] -SnapshotTable[[#This Row],[SC Strike Price]]) / SnapshotTable[[#This Row],[Last Price]]) * -1, "")</f>
        <v/>
      </c>
      <c r="FM196" s="157" t="str">
        <f>IF(SnapshotTable[[#This Row],[SC Is Booked]],  (SnapshotTable[[#This Row],[SC Qty]] * 100 * SnapshotTable[[#This Row],[SC Strike Price]]) - SnapshotTable[[#This Row],[SC Current Ask]], "")</f>
        <v/>
      </c>
      <c r="FN19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6" s="31" t="str">
        <f>IF(AND(ISNUMBER(SnapshotTable[[#This Row],[SC Exercise Gross]]), ISNUMBER(SnapshotTable[[#This Row],[Equity Basis Per Share]] )), SnapshotTable[[#This Row],[SC Exercise Gross]] - SnapshotTable[[#This Row],[Equity Basis Total]] +  SnapshotTable[[#This Row],[SC Premium]], "")</f>
        <v/>
      </c>
      <c r="FP196" s="5" t="str">
        <f>IF(ISNUMBER(SnapshotTable[[#This Row],[SC Exercise Gross]]), (SnapshotTable[[#This Row],[SC Exercise Gross]]) / (SnapshotTable[[#This Row],[SC Qty]] * 100), "")</f>
        <v/>
      </c>
      <c r="FQ196" s="27" t="str">
        <f>IF(SnapshotTable[[#This Row],[SC Is Booked]],SnapshotTable[[#This Row],[SC Time Val]] /SnapshotTable[[#This Row],[SC Basis]], "")</f>
        <v/>
      </c>
      <c r="FR196" s="27" t="str" cm="1">
        <f t="array" ref="FR196">IF(AND(ISNUMBER(SnapshotTable[[#This Row],[SC Term]]),ISNUMBER(SnapshotTable[[#This Row],[SC Simple ROO]])), EllmanAnnualize(SnapshotTable[[#This Row],[SC DTE]], SnapshotTable[[#This Row],[SC Simple ROO]] ),"")</f>
        <v/>
      </c>
      <c r="FS196" s="4" t="e">
        <f>IF(SnapshotTable[[#This Row],[SC Strike Price]] &gt; SnapshotTable[[#This Row],[Last Price]], SnapshotTable[[#This Row],[SC Strike Price]] - SnapshotTable[[#This Row],[Last Price]],0)</f>
        <v>#VALUE!</v>
      </c>
      <c r="FT196" s="27" t="e">
        <f>IF(AND(ISNUMBER(SnapshotTable[[#This Row],[SC Upside Potential]]), SnapshotTable[[#This Row],[SC Upside Potential]] &gt; 0),(SnapshotTable[[#This Row],[SC Upside Potential]]/ SnapshotTable[[#This Row],[ACB]]),"")</f>
        <v>#VALUE!</v>
      </c>
      <c r="FU196" s="333" t="str">
        <f>IF(SnapshotTable[[#This Row],[SC Intrinsic Value]] &gt; 0,SnapshotTable[[#This Row],[SC Intrinsic Value]],"")</f>
        <v/>
      </c>
      <c r="FV196" s="27" t="str">
        <f>IF(AND( ISNUMBER( SnapshotTable[[#This Row],[ACB]]),ISNUMBER(SnapshotTable[[#This Row],[SC Downside Protect]])),SnapshotTable[[#This Row],[SC Downside Protect]] / SnapshotTable[[#This Row],[ACB]],"")</f>
        <v/>
      </c>
      <c r="FW196" s="236" t="str">
        <f>IF(AND(ISNUMBER(SnapshotTable[[#This Row],[SC Simple ROO]]),SnapshotTable[[#This Row],[SC Simple ROO]] &gt; 0), SnapshotTable[[#This Row],[SC Premium]] + (SnapshotTable[[#This Row],[SC Qty]] * SnapshotTable[[#This Row],[SC Upside Potential]]), "")</f>
        <v/>
      </c>
      <c r="FX196" s="302" t="str" cm="1">
        <f t="array" ref="FX196">IF(ISNUMBER(SnapshotTable[[#This Row],[SC Max Dollars]]), annualize(SnapshotTable[[#This Row],[SC Term]],(SnapshotTable[[#This Row],[SC Max Dollars]]/SnapshotTable[[#This Row],[SC Basis]])),"")</f>
        <v/>
      </c>
      <c r="FY196" s="236" t="str">
        <f>IF(AND(SnapshotTable[[#This Row],[SC Qty]]&gt;0,SnapshotTable[[#This Row],[SC Current Ask]]&gt;0), SnapshotTable[[#This Row],[SC Qty]] * SnapshotTable[[#This Row],[SC Current Ask]] * -100, "")</f>
        <v/>
      </c>
      <c r="FZ196" s="31" t="str">
        <f>IF(ISNUMBER((SnapshotTable[[#This Row],[SC Current Value]])), SnapshotTable[[#This Row],[SC Premium]] + SnapshotTable[[#This Row],[SC Current Value]], "")</f>
        <v/>
      </c>
      <c r="GA196" s="294" t="str">
        <f>IFERROR( IF(ISNUMBER((SnapshotTable[[#This Row],[SC Current Value]])), SnapshotTable[[#This Row],[SC Gain Loss]] / SnapshotTable[[#This Row],[SC Premium]], ""), "")</f>
        <v/>
      </c>
      <c r="GB196" s="42">
        <f>SnapshotTable[[#This Row],[Equity Shares]] * SaleSharesToConsiderPercentage</f>
        <v>0</v>
      </c>
      <c r="GC196" s="40">
        <f>SnapshotTable[[#This Row],[Long Term Target]] * SellingPriceToConsiderBasedOnTargetPercentage</f>
        <v>0</v>
      </c>
      <c r="GD196" s="40">
        <f>SnapshotTable[[#This Row],[Last Price]] * (1+ SellingPriceToConsiderBasedOnTargetPercentage)</f>
        <v>133.6335</v>
      </c>
      <c r="GE196" s="41"/>
      <c r="GF196" s="40"/>
      <c r="GG196" s="31">
        <f>SnapshotTable[[#This Row],[Booked Sale Shares]] * SnapshotTable[[#This Row],[Booked Sale Price]]</f>
        <v>0</v>
      </c>
      <c r="GH196" s="31" t="str">
        <f>IF(SnapshotTable[[#This Row],[Equity Basis Total]] &gt; 0, SnapshotTable[[#This Row],[Equity Basis Per Share]] * SnapshotTable[[#This Row],[Booked Sale Shares]], "")</f>
        <v/>
      </c>
      <c r="GI196" s="31">
        <f>IF(SnapshotTable[[#This Row],[Sale Proceeds]]&gt;0, SnapshotTable[[#This Row],[Sale Proceeds]] - SnapshotTable[[#This Row],[Sale Basis]], 0)</f>
        <v>0</v>
      </c>
      <c r="GJ196" s="27" t="str">
        <f>IF(SnapshotTable[[#This Row],[Sale G/L]]&gt;0, SnapshotTable[[#This Row],[Sale G/L]] / SnapshotTable[[#This Row],[Sale Basis]], IF(ISNUMBER(SnapshotTable[[#This Row],[SC Exercise P&amp;L (TAX)]]), SnapshotTable[[#This Row],[SC Exercise P&amp;L (TAX)]] / SnapshotTable[[#This Row],[SC Basis]], ""))</f>
        <v/>
      </c>
      <c r="GK196" s="27"/>
      <c r="GL196" s="43" t="str">
        <f>IF(AND(SnapshotTable[[#This Row],[LP Exp Date]]&gt;0,SnapshotTable[[#This Row],[LP Strike Price]]&gt;0), [1]!ToOptionSymbol(SnapshotTable[[#This Row],[Symbol]], SnapshotTable[[#This Row],[LP Strike Price]],SnapshotTable[[#This Row],[LP Exp Date]],1), "")</f>
        <v/>
      </c>
      <c r="GM196" s="30" t="str">
        <f>IF(LEN(SnapshotTable[[#This Row],[LP Symbol]])&gt;0, 1, "")</f>
        <v/>
      </c>
      <c r="GN196" s="43" t="str">
        <f>IF(AND(SnapshotTable[[#This Row],[SP Exp Date]]&gt;0,SnapshotTable[[#This Row],[SP Strike Price]]&gt;0), [1]!ToOptionSymbol(SnapshotTable[[#This Row],[Symbol]], SnapshotTable[[#This Row],[SP Strike Price]],SnapshotTable[[#This Row],[SP Exp Date]],1), "")</f>
        <v/>
      </c>
      <c r="GO196" s="30" t="str">
        <f>IF(LEN(SnapshotTable[[#This Row],[SP Symbol]])&gt;0, 1, "")</f>
        <v/>
      </c>
      <c r="GP196" s="43" t="str">
        <f>IF(AND(SnapshotTable[[#This Row],[LC Exp Date]]&gt;0,SnapshotTable[[#This Row],[LC Strike Price]]&gt;0), [1]!ToOptionSymbol(SnapshotTable[[#This Row],[Symbol]], SnapshotTable[[#This Row],[LC Strike Price]],SnapshotTable[[#This Row],[LC Exp Date]],0), "")</f>
        <v/>
      </c>
      <c r="GQ196" s="30" t="str">
        <f>IF(LEN(SnapshotTable[[#This Row],[LC Symbol]])&gt;0, 1, "")</f>
        <v/>
      </c>
      <c r="GR196" s="43" t="str">
        <f>IF(AND(SnapshotTable[[#This Row],[SC Exp Date]]&gt;0,SnapshotTable[[#This Row],[SC Strike Price]]&gt;0), [1]!ToOptionSymbol(SnapshotTable[[#This Row],[Symbol]], SnapshotTable[[#This Row],[SC Strike Price]],SnapshotTable[[#This Row],[SC Exp Date]],0), "")</f>
        <v/>
      </c>
      <c r="GS196" s="30" t="str">
        <f>IF(LEN(SnapshotTable[[#This Row],[SC Symbol]])&gt;0, 1, "")</f>
        <v/>
      </c>
      <c r="GT196" s="29" t="str">
        <f>IF(COUNT(SnapshotTable[[#This Row],[LP Symbol Count]],SnapshotTable[[#This Row],[SP Symbol Count]],SnapshotTable[[#This Row],[LC Symbol Count]],SnapshotTable[[#This Row],[SC Symbol Count]])&gt;0, "Y", "")</f>
        <v/>
      </c>
      <c r="GU19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6" s="231" t="e">
        <f>MAX(SnapshotTable[[#This Row],[Equity Basis Total]],SnapshotTable[[#This Row],[Equity Value]]) + (SnapshotTable[[#This Row],[SP Potential Spend]]- SnapshotTable[[#This Row],[SP Premium]] + SnapshotTable[[#This Row],[LP Premium]])+ (SnapshotTable[[#This Row],[LC Premium]] - SnapshotTable[[#This Row],[SC Premium]])</f>
        <v>#VALUE!</v>
      </c>
      <c r="GW196" s="139" t="e">
        <f>IF(AND(SnapshotTable[[#This Row],[Exposure]] &lt;&gt; 0),SnapshotTable[[#This Row],[Exposure]] / SnapshotTable[[#Totals],[Exposure]], "")</f>
        <v>#VALUE!</v>
      </c>
      <c r="HE196" s="268"/>
      <c r="HF196" s="268"/>
      <c r="HK196" s="1"/>
      <c r="HL196" s="1"/>
      <c r="HM196" s="1"/>
      <c r="HN196" s="1"/>
      <c r="HO196" s="1"/>
      <c r="HP196" s="1"/>
    </row>
    <row r="197" spans="2:224" ht="12.75" hidden="1" customHeight="1" x14ac:dyDescent="0.25">
      <c r="B197" s="12" t="s">
        <v>998</v>
      </c>
      <c r="C197" s="422">
        <v>1.38</v>
      </c>
      <c r="D197" s="208"/>
      <c r="E197" s="39">
        <f>SnapshotTable[[#This Row],[Last Price]]*(1 -CrashDiscount)</f>
        <v>1.1729999999999998</v>
      </c>
      <c r="F197" s="26" t="s">
        <v>999</v>
      </c>
      <c r="G197" s="26" t="s">
        <v>610</v>
      </c>
      <c r="H197" s="149"/>
      <c r="I197" s="194">
        <v>44782.666666666664</v>
      </c>
      <c r="J197" s="195">
        <v>44782.666666666664</v>
      </c>
      <c r="K197" s="196"/>
      <c r="L197" s="326"/>
      <c r="M197" s="140"/>
      <c r="N197" s="140"/>
      <c r="O197" s="140"/>
      <c r="P197" s="22"/>
      <c r="Q197" s="25"/>
      <c r="R197" s="4" t="str">
        <f>IF(SnapshotTable[[#This Row],[Equity Basis Total]] &gt; 0, SnapshotTable[[#This Row],[Equity Basis Total]] / SnapshotTable[[#This Row],[Equity Shares]], "")</f>
        <v/>
      </c>
      <c r="S197" s="269">
        <f>SnapshotTable[[#This Row],[Last Price]] * SnapshotTable[[#This Row],[Equity Shares]]</f>
        <v>0</v>
      </c>
      <c r="T197" s="269">
        <f>SnapshotTable[[#This Row],[Equity Value]] - SnapshotTable[[#This Row],[Equity Basis Total]]</f>
        <v>0</v>
      </c>
      <c r="U197" s="270" t="str">
        <f>IF(SnapshotTable[[#This Row],[Equity Basis Total]] &gt; 0, SnapshotTable[[#This Row],[Equity G/L]] / SnapshotTable[[#This Row],[Equity Basis Total]], "")</f>
        <v/>
      </c>
      <c r="V197" s="268">
        <v>60</v>
      </c>
      <c r="W197" s="334" t="s">
        <v>1000</v>
      </c>
      <c r="X197" s="4" t="str">
        <f>IF(AND(ISNUMBER(SnapshotTable[[#This Row],[Equity Basis Per Share]]),ISNUMBER(SnapshotTable[[#This Row],[Equity Target]])),SnapshotTable[[#This Row],[Equity Target]]-SnapshotTable[[#This Row],[Equity Basis Per Share]],"")</f>
        <v/>
      </c>
      <c r="Y197" s="4" t="str">
        <f>IF(AND(ISNUMBER(SnapshotTable[[#This Row],[Equity Basis Per Share]]),ISNUMBER(SnapshotTable[[#This Row],[Equity Stop Loss]])),SnapshotTable[[#This Row],[Equity Stop Loss]]-SnapshotTable[[#This Row],[Equity Basis Per Share]],"")</f>
        <v/>
      </c>
      <c r="Z197" s="275" t="str">
        <f>IFERROR( TEXT(SnapshotTable[[#This Row],[Equity Max Gain Per Share]] /ABS( SnapshotTable[[#This Row],[Equity Max Loss Per Share]]),"0.0 " ) &amp; " : 1", "")</f>
        <v/>
      </c>
      <c r="AA197" s="31" t="str">
        <f>IF(ISNUMBER(SnapshotTable[[#This Row],[Equity Max Gain Per Share]]),SnapshotTable[[#This Row],[Equity Max Gain Per Share]] * SnapshotTable[[#This Row],[Equity Shares]],"")</f>
        <v/>
      </c>
      <c r="AB197" s="31" t="str">
        <f>IF(ISNUMBER(SnapshotTable[[#This Row],[Equity Max Loss Per Share]]),SnapshotTable[[#This Row],[Equity Max Loss Per Share]] * SnapshotTable[[#This Row],[Equity Shares]],"")</f>
        <v/>
      </c>
      <c r="AC197" s="150"/>
      <c r="AD197" s="151"/>
      <c r="AE197" s="31">
        <f>(SnapshotTable[[#This Row],[Annual Dividend Per Share]] / 4) * SnapshotTable[[#This Row],[Equity Shares]]</f>
        <v>0</v>
      </c>
      <c r="AF197" s="31">
        <f>SnapshotTable[[#This Row],[Quarterly Div $]] * 4</f>
        <v>0</v>
      </c>
      <c r="AG197" s="7">
        <f>IF(SnapshotTable[[#This Row],[Annual Dividend Per Share]]&gt;0, SnapshotTable[[#This Row],[Annual Dividend Per Share]]  / SnapshotTable[[#This Row],[Last Price]], 0)</f>
        <v>0</v>
      </c>
      <c r="AH197" s="151"/>
      <c r="AI197" s="5"/>
      <c r="AJ197" s="138">
        <v>59.88</v>
      </c>
      <c r="AK197" s="152" t="str">
        <f>IF(ISNUMBER( SnapshotTable[[#This Row],[EBF Target]]),(SnapshotTable[[#This Row],[EBF Target]] - SnapshotTable[[#This Row],[Last Price]]) / SnapshotTable[[#This Row],[Last Price]], "")</f>
        <v/>
      </c>
      <c r="AL197" s="152" t="str">
        <f>IF(AND(SnapshotTable[[#This Row],[Equity Basis Total]] &gt; 0,ISNUMBER( SnapshotTable[[#This Row],[Long Term Target]])), SnapshotTable[[#This Row],[From Basis $]] / SnapshotTable[[#This Row],[Equity Basis Total]], "")</f>
        <v/>
      </c>
      <c r="AM197" s="9">
        <f>IF( AND(SnapshotTable[[#This Row],[Equity Shares]] &gt;0,ISNUMBER( SnapshotTable[[#This Row],[Long Term Target]])),(SnapshotTable[[#This Row],[Equity Shares]] * SnapshotTable[[#This Row],[Long Term Target]]) - SnapshotTable[[#This Row],[Equity Basis Total]],0)</f>
        <v>0</v>
      </c>
      <c r="AN197" s="9">
        <f>IF( AND(SnapshotTable[[#This Row],[Equity Shares]] &gt;0,ISNUMBER( SnapshotTable[[#This Row],[Long Term Target]])),(SnapshotTable[[#This Row],[Equity Shares]]*SnapshotTable[[#This Row],[Long Term Target]]) - SnapshotTable[[#This Row],[Equity Value]],0)</f>
        <v>0</v>
      </c>
      <c r="AO197" s="152">
        <f>IF(AND(ISNUMBER( SnapshotTable[[#This Row],[Long Term Target]]), ISNUMBER(SnapshotTable[[#This Row],[Last Price]])),(SnapshotTable[[#This Row],[Long Term Target]] - SnapshotTable[[#This Row],[Last Price]]) / SnapshotTable[[#This Row],[Last Price]], "")</f>
        <v>42.391304347826093</v>
      </c>
      <c r="AP197" s="5"/>
      <c r="AQ197" s="38"/>
      <c r="AR197" s="5"/>
      <c r="AS197" s="38"/>
      <c r="AT197" s="146"/>
      <c r="AU197" s="187" t="str">
        <f>IF(OR(SnapshotTable[[#This Row],[LP No Fill]]="Y",SnapshotTable[[#This Row],[SP Is Filled]],SnapshotTable[[#This Row],[LC Not Filled]]="Y",SnapshotTable[[#This Row],[SC Is Filled]]),"Y","")</f>
        <v/>
      </c>
      <c r="AV197" s="219"/>
      <c r="AW197" s="225"/>
      <c r="AX197" s="220"/>
      <c r="AY197" s="219" t="str">
        <f>IF(SnapshotTable[[#This Row],[Implied Move]]&gt;0, SnapshotTable[[#This Row],[Last Price]]-SnapshotTable[[#This Row],[Implied Move]],"")</f>
        <v/>
      </c>
      <c r="AZ197" s="219" t="str">
        <f>IF(SnapshotTable[[#This Row],[Implied Move]]&gt;0, SnapshotTable[[#This Row],[Last Price]] + SnapshotTable[[#This Row],[Implied Move]],"")</f>
        <v/>
      </c>
      <c r="BA197" s="331">
        <v>41.45</v>
      </c>
      <c r="BB197" s="347"/>
      <c r="BC19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7" s="351"/>
      <c r="BE197" s="138"/>
      <c r="BF197" s="166"/>
      <c r="BG197" s="167"/>
      <c r="BH197" s="167"/>
      <c r="BI197" s="221"/>
      <c r="BJ197" s="153">
        <f>IF(SnapshotTable[[#This Row],[LP Qty]] &gt; 0, SnapshotTable[[#This Row],[LP Qty]] * SnapshotTable[[#This Row],[LP Book Price]] * 100,0)</f>
        <v>0</v>
      </c>
      <c r="BK197" s="136">
        <f>IF(SnapshotTable[[#This Row],[LP Premium]] &gt; 0, SnapshotTable[[#This Row],[LP Qty]] * SnapshotTable[[#This Row],[LP Strike Price]] * 100,0)</f>
        <v>0</v>
      </c>
      <c r="BL197" s="154"/>
      <c r="BM197" s="385" t="str">
        <f>IF(SnapshotTable[[#This Row],[LP Premium]] &gt; 0,SnapshotTable[[#This Row],[LP Exp Date]]-MAX(SnapshotTable[[#This Row],[LP Book Date]], SnapshotTable[[#This Row],[LP Fill Date]]),"")</f>
        <v/>
      </c>
      <c r="BN197" s="385" t="str">
        <f>IF(ISNUMBER( SnapshotTable[[#This Row],[LP Term]]), SnapshotTable[[#This Row],[LP Exp Date]] - MockToday,"")</f>
        <v/>
      </c>
      <c r="BO197" s="163" t="str">
        <f>IF(AND(SnapshotTable[[#This Row],[LP Exp Date]]&gt;0, SnapshotTable[[#This Row],[LP Strike Price]]&gt;0,SnapshotTable[[#This Row],[LP Qty]]&gt;0,SnapshotTable[[#This Row],[LP Book Date]]&gt;0,SnapshotTable[[#This Row],[LP Book Price]]&gt;0,SnapshotTable[[#This Row],[LP Fill Date]]=0),"Y","")</f>
        <v/>
      </c>
      <c r="BP197" s="31" t="str">
        <f>IF(AND(SnapshotTable[[#This Row],[LP No Fill]]&lt;&gt;"Y",SnapshotTable[[#This Row],[LP Contract Value]]&gt;0, SnapshotTable[[#This Row],[LP Qty]]&gt;0), SnapshotTable[[#This Row],[LP Contract Value]]*SnapshotTable[[#This Row],[LP Qty]]*100,"")</f>
        <v/>
      </c>
      <c r="BQ197" s="13"/>
      <c r="BR197" s="5" t="str">
        <f>IF(SnapshotTable[[#This Row],[SP Exp Date]]&lt;&gt;"",TRUNC(SnapshotTable[[#This Row],[Last Price]]),"")</f>
        <v/>
      </c>
      <c r="BS197" s="36"/>
      <c r="BT197" s="147"/>
      <c r="BU197" s="13"/>
      <c r="BV197" s="5"/>
      <c r="BW197" s="419" t="b">
        <f>AND(ISNUMBER(SnapshotTable[[#This Row],[SP Exp Date]]), ISNUMBER(SnapshotTable[[#This Row],[SP Strike Price]]), ISNUMBER(SnapshotTable[[#This Row],[SP Qty]]), ISNUMBER(SnapshotTable[[#This Row],[SP Book Date]]), ISNUMBER(SnapshotTable[[#This Row],[SP Book Price]]))</f>
        <v>0</v>
      </c>
      <c r="BX197" s="419" t="b">
        <f>AND(SnapshotTable[[#This Row],[SP Is Booked]], NOT(ISBLANK(SnapshotTable[[#This Row],[SP Fill Date]])))</f>
        <v>0</v>
      </c>
      <c r="BY197" s="33">
        <f>IF(SnapshotTable[[#This Row],[SP Is Booked]], SnapshotTable[[#This Row],[SP Qty]] * SnapshotTable[[#This Row],[SP Book Price]] * 100, 0)</f>
        <v>0</v>
      </c>
      <c r="BZ197" s="369"/>
      <c r="CA197" s="368">
        <f>SnapshotTable[[#This Row],[LP Qty]]</f>
        <v>0</v>
      </c>
      <c r="CB197" s="4" t="str">
        <f>IF(SnapshotTable[[#This Row],[SP Is Booked]], SnapshotTable[[#This Row],[SP Strike Price]] - SnapshotTable[[#This Row],[SP Book Price]], "")</f>
        <v/>
      </c>
      <c r="CC197" s="19" t="str">
        <f>IF(SnapshotTable[[#This Row],[SP Is Booked]],SnapshotTable[[#This Row],[SP Exp Date]]-MAX(SnapshotTable[[#This Row],[SP Book Date]], SnapshotTable[[#This Row],[SP Fill Date]]),"")</f>
        <v/>
      </c>
      <c r="CD197" s="7" t="str">
        <f>IF(SnapshotTable[[#This Row],[SP Is Booked]], SnapshotTable[[#This Row],[SP Book Price]]/SnapshotTable[[#This Row],[SP Strike Price]], "")</f>
        <v/>
      </c>
      <c r="CE197" s="7" t="str">
        <f>IF(ISNUMBER(SnapshotTable[[#This Row],[SP ROO Term]]),SnapshotTable[[#This Row],[SP ROO Term]]*(365/SnapshotTable[[#This Row],[SP Term]]),"")</f>
        <v/>
      </c>
      <c r="CF197" s="236">
        <f>SnapshotTable[[#This Row],[LP Strike Price]] * SnapshotTable[[#This Row],[LP Qty]] * 100</f>
        <v>0</v>
      </c>
      <c r="CG197" s="31" t="e">
        <f>IF(ISNUMBER(SnapshotTable[[#This Row],[SP Premium]]), (SnapshotTable[[#This Row],[SP Qty]] * SnapshotTable[[#This Row],[SP Strike Price]]* 100) - SnapshotTable[[#This Row],[LP Protection]], 0)</f>
        <v>#VALUE!</v>
      </c>
      <c r="CH197" s="7" t="str">
        <f>IF(ISNUMBER(SnapshotTable[[#This Row],[SP Break Even]]),-1 * (SnapshotTable[[#This Row],[SP Break Even]] - SnapshotTable[[#This Row],[Last Price]]) / SnapshotTable[[#This Row],[Last Price]], "")</f>
        <v/>
      </c>
      <c r="CI197" s="31">
        <f>IF(AND(ISNUMBER((SnapshotTable[[#This Row],[SP Potential Spend]])), SnapshotTable[[#This Row],[SP Strike Price]] &gt; SnapshotTable[[#This Row],[Last Price]], SnapshotTable[[#This Row],[SP Is Filled]]), SnapshotTable[[#This Row],[SP Potential Spend]] -  SnapshotTable[[#This Row],[LP Max Value]], 0)</f>
        <v>0</v>
      </c>
      <c r="CJ197" s="244"/>
      <c r="CK197" s="31" t="str">
        <f>IF(ISNUMBER(SnapshotTable[[#This Row],[SP Potential Spend]]),IF(ISNUMBER(SnapshotTable[[#This Row],[SP POW]]), SnapshotTable[[#This Row],[SP POW]] * SnapshotTable[[#This Row],[SP Potential Spend]], SnapshotTable[[#This Row],[SP Potential Spend]]), "")</f>
        <v/>
      </c>
      <c r="CL197" s="164" t="e">
        <f>IF(NOT(SnapshotTable[[#This Row],[SP Is Filled]]),(SnapshotTable[[#This Row],[SP Qty]] * SnapshotTable[[#This Row],[SP Strike Price]] * 100) - SnapshotTable[[#This Row],[LP Max Value]],"")</f>
        <v>#VALUE!</v>
      </c>
      <c r="CM197" s="31" t="str">
        <f>IF(SnapshotTable[[#This Row],[SP Actual Spend]]&lt;&gt;0, ((SnapshotTable[[#This Row],[SP Strike Price]]-SnapshotTable[[#This Row],[Last Price]]) *(SnapshotTable[[#This Row],[SP Qty]]*100) - SnapshotTable[[#This Row],[SP Premium]]) * - 1, "")</f>
        <v/>
      </c>
      <c r="CN197" s="154"/>
      <c r="CO197" s="369"/>
      <c r="CP197" s="4" t="str">
        <f>IF(SnapshotTable[[#This Row],[SP Is Filled]], btc_max_buyback_amount(SnapshotTable[[#This Row],[SP Fill Date]],SnapshotTable[[#This Row],[SP Exp Date]], SnapshotTable[[#This Row],[SP Book Price]]),"")</f>
        <v/>
      </c>
      <c r="CQ197" s="78"/>
      <c r="CR19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7" s="155" t="str">
        <f>IF(SnapshotTable[[#This Row],[SP Is Filled]], btc_next_cutoff_date(SnapshotTable[[#This Row],[SP Fill Date]],SnapshotTable[[#This Row],[SP Exp Date]]),"")</f>
        <v/>
      </c>
      <c r="CT197" s="235" t="str" cm="1">
        <f t="array" ref="CT197">IF(SnapshotTable[[#This Row],[SP Is Filled]], btc_should_buy_back(SnapshotTable[[#This Row],[SP Fill Date]], SnapshotTable[[#This Row],[SP Exp Date]], SnapshotTable[[#This Row],[SP Book Price]], SnapshotTable[[#This Row],[SP Current Ask]], MockToday, SnapshotTable[[#This Row],[SP Buyback Override]]),"")</f>
        <v/>
      </c>
      <c r="CU197" s="143"/>
      <c r="CV197" s="235"/>
      <c r="CW197" s="378" t="str">
        <f>IF(ISNUMBER( SnapshotTable[[#This Row],[SP Term]]), SnapshotTable[[#This Row],[SP Exp Date]] - MockToday,"")</f>
        <v/>
      </c>
      <c r="CX197" s="31" t="str">
        <f>IF(SnapshotTable[[#This Row],[SP Is Filled]],SnapshotTable[[#This Row],[SP Buyback Price to Use]] * 100 * SnapshotTable[[#This Row],[SP Qty]], "")</f>
        <v/>
      </c>
      <c r="CY197" s="4" t="str">
        <f>IF(ISNUMBER(SnapshotTable[[#This Row],[SP Strike Price]]), SnapshotTable[[#This Row],[SP Strike Price]] * (1 - SP_MaxLoss_StrikePct), "")</f>
        <v/>
      </c>
      <c r="CZ197" s="31" t="str">
        <f>IF(ISNUMBER(SnapshotTable[[#This Row],[SP Strike  Stop Per Share]]),SnapshotTable[[#This Row],[SP Premium]] - ((SnapshotTable[[#This Row],[SP Strike Price]]-SnapshotTable[[#This Row],[SP Strike  Stop Per Share]]) *(SnapshotTable[[#This Row],[SP Qty]] * 100)),"")</f>
        <v/>
      </c>
      <c r="DA197" s="4" t="str">
        <f>IF(AND(ISNUMBER(SnapshotTable[[#This Row],[SP Premium]]),SnapshotTable[[#This Row],[SP Premium]]&gt;0), SnapshotTable[[#This Row],[SP Book Price]] * (1 + SP_MaxLoss_OptionPct), "")</f>
        <v/>
      </c>
      <c r="DB197" s="31" t="str">
        <f>IF(ISNUMBER(SnapshotTable[[#This Row],[SP Option  Stop Contract]]),(SnapshotTable[[#This Row],[SP Option  Stop Contract]] *(SnapshotTable[[#This Row],[SP Qty]] * 100) - SnapshotTable[[#This Row],[SP Premium]]),"")</f>
        <v/>
      </c>
      <c r="DC197" s="4"/>
      <c r="DD197" s="4"/>
      <c r="DE197" s="4" t="str">
        <f>IF(AND(SnapshotTable[[#This Row],[SP Qty]]&gt;0, SnapshotTable[[#This Row],[SP Stop To Use]]&gt;0),SnapshotTable[[#This Row],[SP Premium]] - ( SnapshotTable[[#This Row],[SP Qty]] * SnapshotTable[[#This Row],[SP Stop To Use]] * 100), "")</f>
        <v/>
      </c>
      <c r="DF197" s="31" t="str">
        <f>IF(AND(SnapshotTable[[#This Row],[SP Qty]]&gt;0,SnapshotTable[[#This Row],[SP Current Ask]]&gt;0), SnapshotTable[[#This Row],[SP Qty]] * SnapshotTable[[#This Row],[SP Current Ask]] * -100, "")</f>
        <v/>
      </c>
      <c r="DG197" s="31" t="str">
        <f>IF(ISNUMBER((SnapshotTable[[#This Row],[SP Total Value]])), SnapshotTable[[#This Row],[SP Premium]] + SnapshotTable[[#This Row],[SP Total Value]], "")</f>
        <v/>
      </c>
      <c r="DH197" s="294" t="str">
        <f>IF(ISNUMBER((SnapshotTable[[#This Row],[SP Total Value]])), SnapshotTable[[#This Row],[SP Gain Loss]] / SnapshotTable[[#This Row],[SP Premium]], "")</f>
        <v/>
      </c>
      <c r="DI197" s="406"/>
      <c r="DJ197" s="138"/>
      <c r="DK197" s="148"/>
      <c r="DL197" s="147"/>
      <c r="DM197" s="147"/>
      <c r="DO197" s="31">
        <f>IF(SnapshotTable[[#This Row],[LC Symbol Count]]=1, SnapshotTable[[#This Row],[LC Qty]] * SnapshotTable[[#This Row],[LC Book Price]] * 100, 0)</f>
        <v>0</v>
      </c>
      <c r="DP197" s="163" t="str">
        <f>IF(AND(SnapshotTable[[#This Row],[LC Exp Date]]&gt;0, SnapshotTable[[#This Row],[LC Strike Price]]&gt;0,SnapshotTable[[#This Row],[LC Qty]]&gt;0,SnapshotTable[[#This Row],[LC Book Date]]&gt;0,SnapshotTable[[#This Row],[LC Book Price]]&gt;0,SnapshotTable[[#This Row],[LC Fill Date]]=0),"Y","")</f>
        <v/>
      </c>
      <c r="DQ197" s="386" t="str">
        <f>IF(SnapshotTable[[#This Row],[LC Premium]] &gt; 0,SnapshotTable[[#This Row],[LC Exp Date]]-MAX(SnapshotTable[[#This Row],[LC Book Date]], SnapshotTable[[#This Row],[LC Fill Date]]),"")</f>
        <v/>
      </c>
      <c r="DR197" s="386" t="str">
        <f>IF(ISNUMBER(SnapshotTable[[#This Row],[LC Term]]), SnapshotTable[[#This Row],[LC Exp Date]] - MockToday, "")</f>
        <v/>
      </c>
      <c r="DS197" s="234" t="str">
        <f>IF(SnapshotTable[[#This Row],[LC Premium]]&gt;0,SnapshotTable[[#This Row],[LC Strike Price]] + SnapshotTable[[#This Row],[LC Book Price]],"")</f>
        <v/>
      </c>
      <c r="DU197" s="9" t="str">
        <f>IF(AND(SnapshotTable[[#This Row],[LC Symbol Count]]&gt;0, SnapshotTable[[#This Row],[LC Contract Value]]&gt;0), SnapshotTable[[#This Row],[LC Contract Value]] * SnapshotTable[[#This Row],[LC Qty]] * 100, "")</f>
        <v/>
      </c>
      <c r="DV197" s="9" t="str">
        <f>IF(AND(ISNUMBER(SnapshotTable[[#This Row],[LC Total Value]]), SnapshotTable[[#This Row],[LC Not Filled]]&lt;&gt;"Y"), SnapshotTable[[#This Row],[LC Total Value]]-SnapshotTable[[#This Row],[LC Premium]],"")</f>
        <v/>
      </c>
      <c r="DW197" s="240" t="str">
        <f>IF(ISNUMBER(SnapshotTable[[#This Row],[LC Actual Gain Loss]]), SnapshotTable[[#This Row],[LC Actual Gain Loss]] / SnapshotTable[[#This Row],[LC Premium]],"")</f>
        <v/>
      </c>
      <c r="DX197" s="284" t="str">
        <f>IF(ISNUMBER(SnapshotTable[[#This Row],[LC Book Price]]),SnapshotTable[[#This Row],[LC Book Price]] * 1.5,"")</f>
        <v/>
      </c>
      <c r="DY197" s="265" t="str">
        <f>IF(SnapshotTable[[#This Row],[LC Premium]]&gt;0, SnapshotTable[[#This Row],[LC Next Target]] * SnapshotTable[[#This Row],[LC Qty]] * 100,"")</f>
        <v/>
      </c>
      <c r="DZ197" s="265" t="str">
        <f>IF(ISNUMBER(SnapshotTable[[#This Row],[LC Target Gross]]), SnapshotTable[[#This Row],[LC Target Gross]] - SnapshotTable[[#This Row],[LC Premium]], "")</f>
        <v/>
      </c>
      <c r="EA197" s="305" t="str">
        <f>IF(ISNUMBER(SnapshotTable[[#This Row],[LC Target Gain Loss]]), SnapshotTable[[#This Row],[LC Target Gain Loss]]/SnapshotTable[[#This Row],[LC Premium]], "")</f>
        <v/>
      </c>
      <c r="EB197" s="262"/>
      <c r="EC197" s="283" t="str">
        <f>IF(SnapshotTable[[#This Row],[LC Premium]]&gt;0, SnapshotTable[[#This Row],[LC Book Price]] * (1 - LC_StopLoss_Pct),"")</f>
        <v/>
      </c>
      <c r="ED197" s="284"/>
      <c r="EE197" s="283" t="str">
        <f>IF(ISNUMBER(SnapshotTable[[#This Row],[LC Contract Value]]),IF(ISNUMBER(SnapshotTable[[#This Row],[LC Stop Loss Override]]), SnapshotTable[[#This Row],[LC Stop Loss Override]],SnapshotTable[[#This Row],[LC Stop Loss Calc Target]]),"")</f>
        <v/>
      </c>
      <c r="EF197" s="31" t="str">
        <f>IF(ISNUMBER(SnapshotTable[[#This Row],[LC Stop  To Use]]), (SnapshotTable[[#This Row],[LC Stop  To Use]] * SnapshotTable[[#This Row],[LC Qty]] * 100),"")</f>
        <v/>
      </c>
      <c r="EG197" s="9" t="str">
        <f>IF(ISNUMBER(SnapshotTable[[#This Row],[LC Total Value]]),SnapshotTable[[#This Row],[LC Stop Loss Amount]] - SnapshotTable[[#This Row],[LC Premium]],"")</f>
        <v/>
      </c>
      <c r="EH197" s="9">
        <f>IF(ISNUMBER(SnapshotTable[[#This Row],[LC Premium]]), SnapshotTable[[#This Row],[LC Qty]] * 100 * SnapshotTable[[#This Row],[LC Strike Price]], "")</f>
        <v>0</v>
      </c>
      <c r="EI197" s="240" t="str">
        <f>IF(AND(ISNUMBER(SnapshotTable[[#This Row],[LC Total Value]]),SnapshotTable[[#This Row],[LC Total Value]]&gt;0),SnapshotTable[[#This Row],[LC Stop Gain Loss]]  / SnapshotTable[[#This Row],[LC Premium]],"")</f>
        <v/>
      </c>
      <c r="EJ197" s="35">
        <f>IF(ISNUMBER(SnapshotTable[[#This Row],[Equity Shares]]),TRUNC(SnapshotTable[[#This Row],[Equity Shares]] / 100),0) + SnapshotTable[[#This Row],[LC Qty]]</f>
        <v>0</v>
      </c>
      <c r="EK197" s="147"/>
      <c r="EL197" s="138" t="str">
        <f>IF(SnapshotTable[[#This Row],[SC Exp Date]]&lt;&gt;"",TRUNC(SnapshotTable[[#This Row],[Last Price]]),"")</f>
        <v/>
      </c>
      <c r="EM197" s="148"/>
      <c r="EN197" s="147"/>
      <c r="EO197" s="147"/>
      <c r="EP197" s="138"/>
      <c r="EQ197" s="419" t="b">
        <f>AND(ISNUMBER(SnapshotTable[[#This Row],[SC Exp Date]]), ISNUMBER(SnapshotTable[[#This Row],[SC Strike Price]]), ISNUMBER(SnapshotTable[[#This Row],[SC Qty]]), ISNUMBER(SnapshotTable[[#This Row],[SC Book Date]]), ISNUMBER(SnapshotTable[[#This Row],[SC Book Price]]))</f>
        <v>0</v>
      </c>
      <c r="ER197" s="419" t="b">
        <f>AND(SnapshotTable[[#This Row],[SC Is Booked]], NOT(ISBLANK(SnapshotTable[[#This Row],[SC Fill Date]])))</f>
        <v>0</v>
      </c>
      <c r="ES197" s="370"/>
      <c r="ET197" s="34" t="str">
        <f>IF(AND(ISNUMBER(SnapshotTable[[#This Row],[SC Exp Date]]), ISNUMBER(SnapshotTable[[#This Row],[SC Book Date]])), SnapshotTable[[#This Row],[SC Exp Date]] - MAX(SnapshotTable[[#This Row],[SC Book Date]], SnapshotTable[[#This Row],[SC Fill Date]]) + 1, "")</f>
        <v/>
      </c>
      <c r="EU197" s="34" t="str">
        <f>IF(ISNUMBER(SnapshotTable[[#This Row],[SC Term]]), SnapshotTable[[#This Row],[SC Exp Date]]- MockToday, "")</f>
        <v/>
      </c>
      <c r="EV197" s="31">
        <f>IF(SnapshotTable[[#This Row],[SC Is Booked]], SnapshotTable[[#This Row],[SC Qty]] * SnapshotTable[[#This Row],[SC Book Price]] * 100, 0)</f>
        <v>0</v>
      </c>
      <c r="EW197" s="4" t="str">
        <f>IF(AND(ISNUMBER(SnapshotTable[[#This Row],[Last Price]]), ISNUMBER( SnapshotTable[[#This Row],[SC Book Price]])), SnapshotTable[[#This Row],[Last Price]] - SnapshotTable[[#This Row],[SC Book Price]],"")</f>
        <v/>
      </c>
      <c r="EX197" s="234" t="str">
        <f>IF(SnapshotTable[[#This Row],[SC Is Booked]],IF(SnapshotTable[[#This Row],[SC Intrinsic Value]] &gt; 0, SnapshotTable[[#This Row],[SC Strike Price]], SnapshotTable[[#This Row],[Last Price]]), "")</f>
        <v/>
      </c>
      <c r="EY197" s="4">
        <f>IF(SnapshotTable[[#This Row],[SC Is Booked]], (MinimumPremiumRequired * SnapshotTable[[#This Row],[SC Basis]] * SnapshotTable[[#This Row],[SC Term]]), 0)</f>
        <v>0</v>
      </c>
      <c r="EZ197" s="283"/>
      <c r="FA197" s="218"/>
      <c r="FB197" s="370"/>
      <c r="FC197" s="4">
        <f>IF(SnapshotTable[[#This Row],[SC Is Filled]], btc_max_buyback_amount(SnapshotTable[[#This Row],[SC Fill Date]],SnapshotTable[[#This Row],[SC Exp Date]], SnapshotTable[[#This Row],[SC Book Price]]),0)</f>
        <v>0</v>
      </c>
      <c r="FD197" s="5"/>
      <c r="FE197" s="144" t="str">
        <f>IF(SnapshotTable[[#This Row],[SC Is Filled]], btc_next_cutoff_date(SnapshotTable[[#This Row],[SC Fill Date]],SnapshotTable[[#This Row],[SC Exp Date]]),"")</f>
        <v/>
      </c>
      <c r="FF197" s="4" t="str" cm="1">
        <f t="array" ref="FF197">IF(SnapshotTable[[#This Row],[SC Is Filled]], btc_should_buy_back(SnapshotTable[[#This Row],[SC Fill Date]], SnapshotTable[[#This Row],[SC Exp Date]], SnapshotTable[[#This Row],[SC Book Price]], SnapshotTable[[#This Row],[SC Current Ask]], MockToday, SnapshotTable[[#This Row],[SC Buyback Override]]),"")</f>
        <v/>
      </c>
      <c r="FG197" s="4">
        <f>IF(SnapshotTable[[#This Row],[SC Is Filled]], MAX(0,SnapshotTable[[#This Row],[Last Price]]  - SnapshotTable[[#This Row],[SC Strike Price]]), 0)</f>
        <v>0</v>
      </c>
      <c r="FH197" s="382">
        <f>IF(SnapshotTable[[#This Row],[SC Is Filled]], IF(ISNUMBER(SnapshotTable[[#This Row],[SC Current Ask]]), SnapshotTable[[#This Row],[SC Current Ask]], SnapshotTable[[#This Row],[SC Book Price]]) - SnapshotTable[[#This Row],[SC Intrinsic Value]], 0)</f>
        <v>0</v>
      </c>
      <c r="FI197" s="143"/>
      <c r="FJ197" s="32" t="str">
        <f>IF(SnapshotTable[[#This Row],[SC Is Filled]],100 * SnapshotTable[[#This Row],[SC Qty]] * IF(ISNUMBER(SnapshotTable[[#This Row],[SC Buyback Override]]), SnapshotTable[[#This Row],[SC Buyback Override]], SnapshotTable[[#This Row],[SC Current Ask]]), "")</f>
        <v/>
      </c>
      <c r="FK197" s="250" t="str">
        <f>IF(SnapshotTable[[#This Row],[SC Time Val]]&gt;0, SnapshotTable[[#This Row],[SC Time Val]] / SnapshotTable[[#This Row],[Last Price]],"")</f>
        <v/>
      </c>
      <c r="FL197" s="302" t="str">
        <f>IF(SnapshotTable[[#This Row],[SC Is Booked]], ((SnapshotTable[[#This Row],[Last Price]] -SnapshotTable[[#This Row],[SC Strike Price]]) / SnapshotTable[[#This Row],[Last Price]]) * -1, "")</f>
        <v/>
      </c>
      <c r="FM197" s="157" t="str">
        <f>IF(SnapshotTable[[#This Row],[SC Is Booked]],  (SnapshotTable[[#This Row],[SC Qty]] * 100 * SnapshotTable[[#This Row],[SC Strike Price]]) - SnapshotTable[[#This Row],[SC Current Ask]], "")</f>
        <v/>
      </c>
      <c r="FN197"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7" s="157" t="str">
        <f>IF(AND(ISNUMBER(SnapshotTable[[#This Row],[SC Exercise Gross]]), ISNUMBER(SnapshotTable[[#This Row],[Equity Basis Per Share]] )), SnapshotTable[[#This Row],[SC Exercise Gross]] - SnapshotTable[[#This Row],[Equity Basis Total]] +  SnapshotTable[[#This Row],[SC Premium]], "")</f>
        <v/>
      </c>
      <c r="FP197" s="5" t="str">
        <f>IF(ISNUMBER(SnapshotTable[[#This Row],[SC Exercise Gross]]), (SnapshotTable[[#This Row],[SC Exercise Gross]]) / (SnapshotTable[[#This Row],[SC Qty]] * 100), "")</f>
        <v/>
      </c>
      <c r="FQ197" s="27" t="str">
        <f>IF(SnapshotTable[[#This Row],[SC Is Booked]],SnapshotTable[[#This Row],[SC Time Val]] /SnapshotTable[[#This Row],[SC Basis]], "")</f>
        <v/>
      </c>
      <c r="FR197" s="27" t="str" cm="1">
        <f t="array" ref="FR197">IF(AND(ISNUMBER(SnapshotTable[[#This Row],[SC Term]]),ISNUMBER(SnapshotTable[[#This Row],[SC Simple ROO]])), EllmanAnnualize(SnapshotTable[[#This Row],[SC DTE]], SnapshotTable[[#This Row],[SC Simple ROO]] ),"")</f>
        <v/>
      </c>
      <c r="FS197" s="4" t="e">
        <f>IF(SnapshotTable[[#This Row],[SC Strike Price]] &gt; SnapshotTable[[#This Row],[Last Price]], SnapshotTable[[#This Row],[SC Strike Price]] - SnapshotTable[[#This Row],[Last Price]],0)</f>
        <v>#VALUE!</v>
      </c>
      <c r="FT197" s="27" t="e">
        <f>IF(AND(ISNUMBER(SnapshotTable[[#This Row],[SC Upside Potential]]), SnapshotTable[[#This Row],[SC Upside Potential]] &gt; 0),(SnapshotTable[[#This Row],[SC Upside Potential]]/ SnapshotTable[[#This Row],[ACB]]),"")</f>
        <v>#VALUE!</v>
      </c>
      <c r="FU197" s="333" t="str">
        <f>IF(SnapshotTable[[#This Row],[SC Intrinsic Value]] &gt; 0,SnapshotTable[[#This Row],[SC Intrinsic Value]],"")</f>
        <v/>
      </c>
      <c r="FV197" s="27" t="str">
        <f>IF(AND( ISNUMBER( SnapshotTable[[#This Row],[ACB]]),ISNUMBER(SnapshotTable[[#This Row],[SC Downside Protect]])),SnapshotTable[[#This Row],[SC Downside Protect]] / SnapshotTable[[#This Row],[ACB]],"")</f>
        <v/>
      </c>
      <c r="FW197" s="236" t="str">
        <f>IF(AND(ISNUMBER(SnapshotTable[[#This Row],[SC Simple ROO]]),SnapshotTable[[#This Row],[SC Simple ROO]] &gt; 0), SnapshotTable[[#This Row],[SC Premium]] + (SnapshotTable[[#This Row],[SC Qty]] * SnapshotTable[[#This Row],[SC Upside Potential]]), "")</f>
        <v/>
      </c>
      <c r="FX197" s="302" t="str" cm="1">
        <f t="array" ref="FX197">IF(ISNUMBER(SnapshotTable[[#This Row],[SC Max Dollars]]), annualize(SnapshotTable[[#This Row],[SC Term]],(SnapshotTable[[#This Row],[SC Max Dollars]]/SnapshotTable[[#This Row],[SC Basis]])),"")</f>
        <v/>
      </c>
      <c r="FY197" s="236" t="str">
        <f>IF(AND(SnapshotTable[[#This Row],[SC Qty]]&gt;0,SnapshotTable[[#This Row],[SC Current Ask]]&gt;0), SnapshotTable[[#This Row],[SC Qty]] * SnapshotTable[[#This Row],[SC Current Ask]] * -100, "")</f>
        <v/>
      </c>
      <c r="FZ197" s="235" t="str">
        <f>IF(ISNUMBER((SnapshotTable[[#This Row],[SC Current Value]])), SnapshotTable[[#This Row],[SC Premium]] + SnapshotTable[[#This Row],[SC Current Value]], "")</f>
        <v/>
      </c>
      <c r="GA197" s="294" t="str">
        <f>IFERROR( IF(ISNUMBER((SnapshotTable[[#This Row],[SC Current Value]])), SnapshotTable[[#This Row],[SC Gain Loss]] / SnapshotTable[[#This Row],[SC Premium]], ""), "")</f>
        <v/>
      </c>
      <c r="GB197" s="42">
        <f>SnapshotTable[[#This Row],[Equity Shares]] * SaleSharesToConsiderPercentage</f>
        <v>0</v>
      </c>
      <c r="GC197" s="40">
        <f>SnapshotTable[[#This Row],[Long Term Target]] * SellingPriceToConsiderBasedOnTargetPercentage</f>
        <v>56.886000000000003</v>
      </c>
      <c r="GD197" s="40">
        <f>SnapshotTable[[#This Row],[Last Price]] * (1+ SellingPriceToConsiderBasedOnTargetPercentage)</f>
        <v>2.6909999999999998</v>
      </c>
      <c r="GE197" s="41"/>
      <c r="GF197" s="40"/>
      <c r="GG197" s="31">
        <f>SnapshotTable[[#This Row],[Booked Sale Shares]] * SnapshotTable[[#This Row],[Booked Sale Price]]</f>
        <v>0</v>
      </c>
      <c r="GH197" s="31" t="str">
        <f>IF(SnapshotTable[[#This Row],[Equity Basis Total]] &gt; 0, SnapshotTable[[#This Row],[Equity Basis Per Share]] * SnapshotTable[[#This Row],[Booked Sale Shares]], "")</f>
        <v/>
      </c>
      <c r="GI197" s="31">
        <f>IF(SnapshotTable[[#This Row],[Sale Proceeds]]&gt;0, SnapshotTable[[#This Row],[Sale Proceeds]] - SnapshotTable[[#This Row],[Sale Basis]], 0)</f>
        <v>0</v>
      </c>
      <c r="GJ197" s="158" t="str">
        <f>IF(SnapshotTable[[#This Row],[Sale G/L]]&gt;0, SnapshotTable[[#This Row],[Sale G/L]] / SnapshotTable[[#This Row],[Sale Basis]], IF(ISNUMBER(SnapshotTable[[#This Row],[SC Exercise P&amp;L (TAX)]]), SnapshotTable[[#This Row],[SC Exercise P&amp;L (TAX)]] / SnapshotTable[[#This Row],[SC Basis]], ""))</f>
        <v/>
      </c>
      <c r="GK197" s="27"/>
      <c r="GL197" s="159" t="str">
        <f>IF(AND(SnapshotTable[[#This Row],[LP Exp Date]]&gt;0,SnapshotTable[[#This Row],[LP Strike Price]]&gt;0), [1]!ToOptionSymbol(SnapshotTable[[#This Row],[Symbol]], SnapshotTable[[#This Row],[LP Strike Price]],SnapshotTable[[#This Row],[LP Exp Date]],1), "")</f>
        <v/>
      </c>
      <c r="GM197" s="30" t="str">
        <f>IF(LEN(SnapshotTable[[#This Row],[LP Symbol]])&gt;0, 1, "")</f>
        <v/>
      </c>
      <c r="GN197" s="43" t="str">
        <f>IF(AND(SnapshotTable[[#This Row],[SP Exp Date]]&gt;0,SnapshotTable[[#This Row],[SP Strike Price]]&gt;0), [1]!ToOptionSymbol(SnapshotTable[[#This Row],[Symbol]], SnapshotTable[[#This Row],[SP Strike Price]],SnapshotTable[[#This Row],[SP Exp Date]],1), "")</f>
        <v/>
      </c>
      <c r="GO197" s="30" t="str">
        <f>IF(LEN(SnapshotTable[[#This Row],[SP Symbol]])&gt;0, 1, "")</f>
        <v/>
      </c>
      <c r="GP197" s="159" t="str">
        <f>IF(AND(SnapshotTable[[#This Row],[LC Exp Date]]&gt;0,SnapshotTable[[#This Row],[LC Strike Price]]&gt;0), [1]!ToOptionSymbol(SnapshotTable[[#This Row],[Symbol]], SnapshotTable[[#This Row],[LC Strike Price]],SnapshotTable[[#This Row],[LC Exp Date]],0), "")</f>
        <v/>
      </c>
      <c r="GQ197" s="160" t="str">
        <f>IF(LEN(SnapshotTable[[#This Row],[LC Symbol]])&gt;0, 1, "")</f>
        <v/>
      </c>
      <c r="GR197" s="159" t="str">
        <f>IF(AND(SnapshotTable[[#This Row],[SC Exp Date]]&gt;0,SnapshotTable[[#This Row],[SC Strike Price]]&gt;0), [1]!ToOptionSymbol(SnapshotTable[[#This Row],[Symbol]], SnapshotTable[[#This Row],[SC Strike Price]],SnapshotTable[[#This Row],[SC Exp Date]],0), "")</f>
        <v/>
      </c>
      <c r="GS197" s="160" t="str">
        <f>IF(LEN(SnapshotTable[[#This Row],[SC Symbol]])&gt;0, 1, "")</f>
        <v/>
      </c>
      <c r="GT197" s="161" t="str">
        <f>IF(COUNT(SnapshotTable[[#This Row],[LP Symbol Count]],SnapshotTable[[#This Row],[SP Symbol Count]],SnapshotTable[[#This Row],[LC Symbol Count]],SnapshotTable[[#This Row],[SC Symbol Count]])&gt;0, "Y", "")</f>
        <v/>
      </c>
      <c r="GU19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7" s="231" t="e">
        <f>MAX(SnapshotTable[[#This Row],[Equity Basis Total]],SnapshotTable[[#This Row],[Equity Value]]) + (SnapshotTable[[#This Row],[SP Potential Spend]]- SnapshotTable[[#This Row],[SP Premium]] + SnapshotTable[[#This Row],[LP Premium]])+ (SnapshotTable[[#This Row],[LC Premium]] - SnapshotTable[[#This Row],[SC Premium]])</f>
        <v>#VALUE!</v>
      </c>
      <c r="GW197" s="139" t="e">
        <f>IF(AND(SnapshotTable[[#This Row],[Exposure]] &lt;&gt; 0),SnapshotTable[[#This Row],[Exposure]] / SnapshotTable[[#Totals],[Exposure]], "")</f>
        <v>#VALUE!</v>
      </c>
      <c r="HE197" s="268"/>
      <c r="HF197" s="268"/>
      <c r="HK197" s="1"/>
      <c r="HL197" s="1"/>
      <c r="HM197" s="1"/>
      <c r="HN197" s="1"/>
      <c r="HO197" s="1"/>
      <c r="HP197" s="1"/>
    </row>
    <row r="198" spans="2:224" ht="12.75" hidden="1" customHeight="1" x14ac:dyDescent="0.25">
      <c r="B198" s="12" t="s">
        <v>527</v>
      </c>
      <c r="C198" s="422">
        <v>139.63999999999999</v>
      </c>
      <c r="D198" s="208"/>
      <c r="E198" s="39">
        <f>SnapshotTable[[#This Row],[Last Price]]*(1 -CrashDiscount)</f>
        <v>118.69399999999999</v>
      </c>
      <c r="F198" s="26" t="s">
        <v>570</v>
      </c>
      <c r="G198" s="26" t="s">
        <v>41</v>
      </c>
      <c r="H198" s="149"/>
      <c r="I198" s="194">
        <v>44775.25</v>
      </c>
      <c r="J198" s="195">
        <v>44775.25</v>
      </c>
      <c r="K198" s="196"/>
      <c r="L198" s="326"/>
      <c r="M198" s="140">
        <v>1</v>
      </c>
      <c r="N198" s="140"/>
      <c r="O198" s="140"/>
      <c r="P198" s="22"/>
      <c r="Q198" s="25"/>
      <c r="R198" s="4" t="str">
        <f>IF(SnapshotTable[[#This Row],[Equity Basis Total]] &gt; 0, SnapshotTable[[#This Row],[Equity Basis Total]] / SnapshotTable[[#This Row],[Equity Shares]], "")</f>
        <v/>
      </c>
      <c r="S198" s="269">
        <f>SnapshotTable[[#This Row],[Last Price]] * SnapshotTable[[#This Row],[Equity Shares]]</f>
        <v>0</v>
      </c>
      <c r="T198" s="269">
        <f>SnapshotTable[[#This Row],[Equity Value]] - SnapshotTable[[#This Row],[Equity Basis Total]]</f>
        <v>0</v>
      </c>
      <c r="U198" s="270" t="str">
        <f>IF(SnapshotTable[[#This Row],[Equity Basis Total]] &gt; 0, SnapshotTable[[#This Row],[Equity G/L]] / SnapshotTable[[#This Row],[Equity Basis Total]], "")</f>
        <v/>
      </c>
      <c r="V198" s="268"/>
      <c r="W198" s="268"/>
      <c r="X198" s="4" t="str">
        <f>IF(AND(ISNUMBER(SnapshotTable[[#This Row],[Equity Basis Per Share]]),ISNUMBER(SnapshotTable[[#This Row],[Equity Target]])),SnapshotTable[[#This Row],[Equity Target]]-SnapshotTable[[#This Row],[Equity Basis Per Share]],"")</f>
        <v/>
      </c>
      <c r="Y198" s="4" t="str">
        <f>IF(AND(ISNUMBER(SnapshotTable[[#This Row],[Equity Basis Per Share]]),ISNUMBER(SnapshotTable[[#This Row],[Equity Stop Loss]])),SnapshotTable[[#This Row],[Equity Stop Loss]]-SnapshotTable[[#This Row],[Equity Basis Per Share]],"")</f>
        <v/>
      </c>
      <c r="Z198" s="275" t="str">
        <f>IFERROR( TEXT(SnapshotTable[[#This Row],[Equity Max Gain Per Share]] /ABS( SnapshotTable[[#This Row],[Equity Max Loss Per Share]]),"0.0 " ) &amp; " : 1", "")</f>
        <v/>
      </c>
      <c r="AA198" s="31" t="str">
        <f>IF(ISNUMBER(SnapshotTable[[#This Row],[Equity Max Gain Per Share]]),SnapshotTable[[#This Row],[Equity Max Gain Per Share]] * SnapshotTable[[#This Row],[Equity Shares]],"")</f>
        <v/>
      </c>
      <c r="AB198" s="31" t="str">
        <f>IF(ISNUMBER(SnapshotTable[[#This Row],[Equity Max Loss Per Share]]),SnapshotTable[[#This Row],[Equity Max Loss Per Share]] * SnapshotTable[[#This Row],[Equity Shares]],"")</f>
        <v/>
      </c>
      <c r="AC198" s="150">
        <v>1.2</v>
      </c>
      <c r="AD198" s="151">
        <v>43812</v>
      </c>
      <c r="AE198" s="31">
        <f>(SnapshotTable[[#This Row],[Annual Dividend Per Share]] / 4) * SnapshotTable[[#This Row],[Equity Shares]]</f>
        <v>0</v>
      </c>
      <c r="AF198" s="31">
        <f>SnapshotTable[[#This Row],[Quarterly Div $]] * 4</f>
        <v>0</v>
      </c>
      <c r="AG198" s="7">
        <f>IF(SnapshotTable[[#This Row],[Annual Dividend Per Share]]&gt;0, SnapshotTable[[#This Row],[Annual Dividend Per Share]]  / SnapshotTable[[#This Row],[Last Price]], 0)</f>
        <v>8.5935262102549426E-3</v>
      </c>
      <c r="AH198" s="151">
        <v>43768</v>
      </c>
      <c r="AI198" s="5">
        <v>64</v>
      </c>
      <c r="AJ198" s="138">
        <v>67.2</v>
      </c>
      <c r="AK198" s="152">
        <f>IF(ISNUMBER( SnapshotTable[[#This Row],[EBF Target]]),(SnapshotTable[[#This Row],[EBF Target]] - SnapshotTable[[#This Row],[Last Price]]) / SnapshotTable[[#This Row],[Last Price]], "")</f>
        <v>-0.5416786021197364</v>
      </c>
      <c r="AL198" s="152" t="str">
        <f>IF(AND(SnapshotTable[[#This Row],[Equity Basis Total]] &gt; 0,ISNUMBER( SnapshotTable[[#This Row],[Long Term Target]])), SnapshotTable[[#This Row],[From Basis $]] / SnapshotTable[[#This Row],[Equity Basis Total]], "")</f>
        <v/>
      </c>
      <c r="AM198" s="9">
        <f>IF( AND(SnapshotTable[[#This Row],[Equity Shares]] &gt;0,ISNUMBER( SnapshotTable[[#This Row],[Long Term Target]])),(SnapshotTable[[#This Row],[Equity Shares]] * SnapshotTable[[#This Row],[Long Term Target]]) - SnapshotTable[[#This Row],[Equity Basis Total]],0)</f>
        <v>0</v>
      </c>
      <c r="AN198" s="9">
        <f>IF( AND(SnapshotTable[[#This Row],[Equity Shares]] &gt;0,ISNUMBER( SnapshotTable[[#This Row],[Long Term Target]])),(SnapshotTable[[#This Row],[Equity Shares]]*SnapshotTable[[#This Row],[Long Term Target]]) - SnapshotTable[[#This Row],[Equity Value]],0)</f>
        <v>0</v>
      </c>
      <c r="AO198" s="152">
        <f>IF(AND(ISNUMBER( SnapshotTable[[#This Row],[Long Term Target]]), ISNUMBER(SnapshotTable[[#This Row],[Last Price]])),(SnapshotTable[[#This Row],[Long Term Target]] - SnapshotTable[[#This Row],[Last Price]]) / SnapshotTable[[#This Row],[Last Price]], "")</f>
        <v>-0.51876253222572322</v>
      </c>
      <c r="AP198" s="5"/>
      <c r="AQ198" s="38"/>
      <c r="AR198" s="5"/>
      <c r="AS198" s="38"/>
      <c r="AT198" s="146"/>
      <c r="AU198" s="187" t="str">
        <f>IF(OR(SnapshotTable[[#This Row],[LP No Fill]]="Y",SnapshotTable[[#This Row],[SP Is Filled]],SnapshotTable[[#This Row],[LC Not Filled]]="Y",SnapshotTable[[#This Row],[SC Is Filled]]),"Y","")</f>
        <v/>
      </c>
      <c r="AV198" s="219"/>
      <c r="AW198" s="225"/>
      <c r="AX198" s="220"/>
      <c r="AY198" s="219" t="str">
        <f>IF(SnapshotTable[[#This Row],[Implied Move]]&gt;0, SnapshotTable[[#This Row],[Last Price]]-SnapshotTable[[#This Row],[Implied Move]],"")</f>
        <v/>
      </c>
      <c r="AZ198" s="219" t="str">
        <f>IF(SnapshotTable[[#This Row],[Implied Move]]&gt;0, SnapshotTable[[#This Row],[Last Price]] + SnapshotTable[[#This Row],[Implied Move]],"")</f>
        <v/>
      </c>
      <c r="BA198" s="331"/>
      <c r="BB198" s="347"/>
      <c r="BC19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8" s="351"/>
      <c r="BE198" s="5"/>
      <c r="BF198" s="14"/>
      <c r="BG198" s="13"/>
      <c r="BH198" s="13"/>
      <c r="BI198" s="5"/>
      <c r="BJ198" s="136">
        <f>IF(SnapshotTable[[#This Row],[LP Qty]] &gt; 0, SnapshotTable[[#This Row],[LP Qty]] * SnapshotTable[[#This Row],[LP Book Price]] * 100,0)</f>
        <v>0</v>
      </c>
      <c r="BK198" s="136">
        <f>IF(SnapshotTable[[#This Row],[LP Premium]] &gt; 0, SnapshotTable[[#This Row],[LP Qty]] * SnapshotTable[[#This Row],[LP Strike Price]] * 100,0)</f>
        <v>0</v>
      </c>
      <c r="BL198" s="154"/>
      <c r="BM198" s="385" t="str">
        <f>IF(SnapshotTable[[#This Row],[LP Premium]] &gt; 0,SnapshotTable[[#This Row],[LP Exp Date]]-MAX(SnapshotTable[[#This Row],[LP Book Date]], SnapshotTable[[#This Row],[LP Fill Date]]),"")</f>
        <v/>
      </c>
      <c r="BN198" s="385" t="str">
        <f>IF(ISNUMBER( SnapshotTable[[#This Row],[LP Term]]), SnapshotTable[[#This Row],[LP Exp Date]] - MockToday,"")</f>
        <v/>
      </c>
      <c r="BO198" s="163" t="str">
        <f>IF(AND(SnapshotTable[[#This Row],[LP Exp Date]]&gt;0, SnapshotTable[[#This Row],[LP Strike Price]]&gt;0,SnapshotTable[[#This Row],[LP Qty]]&gt;0,SnapshotTable[[#This Row],[LP Book Date]]&gt;0,SnapshotTable[[#This Row],[LP Book Price]]&gt;0,SnapshotTable[[#This Row],[LP Fill Date]]=0),"Y","")</f>
        <v/>
      </c>
      <c r="BP198" s="31" t="str">
        <f>IF(AND(SnapshotTable[[#This Row],[LP No Fill]]&lt;&gt;"Y",SnapshotTable[[#This Row],[LP Contract Value]]&gt;0, SnapshotTable[[#This Row],[LP Qty]]&gt;0), SnapshotTable[[#This Row],[LP Contract Value]]*SnapshotTable[[#This Row],[LP Qty]]*100,"")</f>
        <v/>
      </c>
      <c r="BQ198" s="13"/>
      <c r="BR198" s="5" t="str">
        <f>IF(SnapshotTable[[#This Row],[SP Exp Date]]&lt;&gt;"",TRUNC(SnapshotTable[[#This Row],[Last Price]]),"")</f>
        <v/>
      </c>
      <c r="BS198" s="36"/>
      <c r="BT198" s="147"/>
      <c r="BU198" s="13"/>
      <c r="BV198" s="5"/>
      <c r="BW198" s="419" t="b">
        <f>AND(ISNUMBER(SnapshotTable[[#This Row],[SP Exp Date]]), ISNUMBER(SnapshotTable[[#This Row],[SP Strike Price]]), ISNUMBER(SnapshotTable[[#This Row],[SP Qty]]), ISNUMBER(SnapshotTable[[#This Row],[SP Book Date]]), ISNUMBER(SnapshotTable[[#This Row],[SP Book Price]]))</f>
        <v>0</v>
      </c>
      <c r="BX198" s="419" t="b">
        <f>AND(SnapshotTable[[#This Row],[SP Is Booked]], NOT(ISBLANK(SnapshotTable[[#This Row],[SP Fill Date]])))</f>
        <v>0</v>
      </c>
      <c r="BY198" s="33">
        <f>IF(SnapshotTable[[#This Row],[SP Is Booked]], SnapshotTable[[#This Row],[SP Qty]] * SnapshotTable[[#This Row],[SP Book Price]] * 100, 0)</f>
        <v>0</v>
      </c>
      <c r="BZ198" s="369"/>
      <c r="CA198" s="368">
        <f>SnapshotTable[[#This Row],[LP Qty]]</f>
        <v>0</v>
      </c>
      <c r="CB198" s="4" t="str">
        <f>IF(SnapshotTable[[#This Row],[SP Is Booked]], SnapshotTable[[#This Row],[SP Strike Price]] - SnapshotTable[[#This Row],[SP Book Price]], "")</f>
        <v/>
      </c>
      <c r="CC198" s="19" t="str">
        <f>IF(SnapshotTable[[#This Row],[SP Is Booked]],SnapshotTable[[#This Row],[SP Exp Date]]-MAX(SnapshotTable[[#This Row],[SP Book Date]], SnapshotTable[[#This Row],[SP Fill Date]]),"")</f>
        <v/>
      </c>
      <c r="CD198" s="7" t="str">
        <f>IF(SnapshotTable[[#This Row],[SP Is Booked]], SnapshotTable[[#This Row],[SP Book Price]]/SnapshotTable[[#This Row],[SP Strike Price]], "")</f>
        <v/>
      </c>
      <c r="CE198" s="7" t="str">
        <f>IF(ISNUMBER(SnapshotTable[[#This Row],[SP ROO Term]]),SnapshotTable[[#This Row],[SP ROO Term]]*(365/SnapshotTable[[#This Row],[SP Term]]),"")</f>
        <v/>
      </c>
      <c r="CF198" s="236">
        <f>SnapshotTable[[#This Row],[LP Strike Price]] * SnapshotTable[[#This Row],[LP Qty]] * 100</f>
        <v>0</v>
      </c>
      <c r="CG198" s="31" t="e">
        <f>IF(ISNUMBER(SnapshotTable[[#This Row],[SP Premium]]), (SnapshotTable[[#This Row],[SP Qty]] * SnapshotTable[[#This Row],[SP Strike Price]]* 100) - SnapshotTable[[#This Row],[LP Protection]], 0)</f>
        <v>#VALUE!</v>
      </c>
      <c r="CH198" s="7" t="str">
        <f>IF(ISNUMBER(SnapshotTable[[#This Row],[SP Break Even]]),-1 * (SnapshotTable[[#This Row],[SP Break Even]] - SnapshotTable[[#This Row],[Last Price]]) / SnapshotTable[[#This Row],[Last Price]], "")</f>
        <v/>
      </c>
      <c r="CI198" s="31">
        <f>IF(AND(ISNUMBER((SnapshotTable[[#This Row],[SP Potential Spend]])), SnapshotTable[[#This Row],[SP Strike Price]] &gt; SnapshotTable[[#This Row],[Last Price]], SnapshotTable[[#This Row],[SP Is Filled]]), SnapshotTable[[#This Row],[SP Potential Spend]] -  SnapshotTable[[#This Row],[LP Max Value]], 0)</f>
        <v>0</v>
      </c>
      <c r="CJ198" s="244"/>
      <c r="CK198" s="31" t="str">
        <f>IF(ISNUMBER(SnapshotTable[[#This Row],[SP Potential Spend]]),IF(ISNUMBER(SnapshotTable[[#This Row],[SP POW]]), SnapshotTable[[#This Row],[SP POW]] * SnapshotTable[[#This Row],[SP Potential Spend]], SnapshotTable[[#This Row],[SP Potential Spend]]), "")</f>
        <v/>
      </c>
      <c r="CL198" s="164" t="e">
        <f>IF(NOT(SnapshotTable[[#This Row],[SP Is Filled]]),(SnapshotTable[[#This Row],[SP Qty]] * SnapshotTable[[#This Row],[SP Strike Price]] * 100) - SnapshotTable[[#This Row],[LP Max Value]],"")</f>
        <v>#VALUE!</v>
      </c>
      <c r="CM198" s="31" t="str">
        <f>IF(SnapshotTable[[#This Row],[SP Actual Spend]]&lt;&gt;0, ((SnapshotTable[[#This Row],[SP Strike Price]]-SnapshotTable[[#This Row],[Last Price]]) *(SnapshotTable[[#This Row],[SP Qty]]*100) - SnapshotTable[[#This Row],[SP Premium]]) * - 1, "")</f>
        <v/>
      </c>
      <c r="CN198" s="78"/>
      <c r="CO198" s="369"/>
      <c r="CP198" s="4" t="str">
        <f>IF(SnapshotTable[[#This Row],[SP Is Filled]], btc_max_buyback_amount(SnapshotTable[[#This Row],[SP Fill Date]],SnapshotTable[[#This Row],[SP Exp Date]], SnapshotTable[[#This Row],[SP Book Price]]),"")</f>
        <v/>
      </c>
      <c r="CQ198" s="78"/>
      <c r="CR19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8" s="155" t="str">
        <f>IF(SnapshotTable[[#This Row],[SP Is Filled]], btc_next_cutoff_date(SnapshotTable[[#This Row],[SP Fill Date]],SnapshotTable[[#This Row],[SP Exp Date]]),"")</f>
        <v/>
      </c>
      <c r="CT198" s="235" t="str" cm="1">
        <f t="array" ref="CT198">IF(SnapshotTable[[#This Row],[SP Is Filled]], btc_should_buy_back(SnapshotTable[[#This Row],[SP Fill Date]], SnapshotTable[[#This Row],[SP Exp Date]], SnapshotTable[[#This Row],[SP Book Price]], SnapshotTable[[#This Row],[SP Current Ask]], MockToday, SnapshotTable[[#This Row],[SP Buyback Override]]),"")</f>
        <v/>
      </c>
      <c r="CU198" s="143"/>
      <c r="CV198" s="235"/>
      <c r="CW198" s="378" t="str">
        <f>IF(ISNUMBER( SnapshotTable[[#This Row],[SP Term]]), SnapshotTable[[#This Row],[SP Exp Date]] - MockToday,"")</f>
        <v/>
      </c>
      <c r="CX198" s="31" t="str">
        <f>IF(SnapshotTable[[#This Row],[SP Is Filled]],SnapshotTable[[#This Row],[SP Buyback Price to Use]] * 100 * SnapshotTable[[#This Row],[SP Qty]], "")</f>
        <v/>
      </c>
      <c r="CY198" s="4" t="str">
        <f>IF(ISNUMBER(SnapshotTable[[#This Row],[SP Strike Price]]), SnapshotTable[[#This Row],[SP Strike Price]] * (1 - SP_MaxLoss_StrikePct), "")</f>
        <v/>
      </c>
      <c r="CZ198" s="31" t="str">
        <f>IF(ISNUMBER(SnapshotTable[[#This Row],[SP Strike  Stop Per Share]]),SnapshotTable[[#This Row],[SP Premium]] - ((SnapshotTable[[#This Row],[SP Strike Price]]-SnapshotTable[[#This Row],[SP Strike  Stop Per Share]]) *(SnapshotTable[[#This Row],[SP Qty]] * 100)),"")</f>
        <v/>
      </c>
      <c r="DA198" s="4" t="str">
        <f>IF(AND(ISNUMBER(SnapshotTable[[#This Row],[SP Premium]]),SnapshotTable[[#This Row],[SP Premium]]&gt;0), SnapshotTable[[#This Row],[SP Book Price]] * (1 + SP_MaxLoss_OptionPct), "")</f>
        <v/>
      </c>
      <c r="DB198" s="31" t="str">
        <f>IF(ISNUMBER(SnapshotTable[[#This Row],[SP Option  Stop Contract]]),(SnapshotTable[[#This Row],[SP Option  Stop Contract]] *(SnapshotTable[[#This Row],[SP Qty]] * 100) - SnapshotTable[[#This Row],[SP Premium]]),"")</f>
        <v/>
      </c>
      <c r="DC198" s="4"/>
      <c r="DD198" s="4"/>
      <c r="DE198" s="4" t="str">
        <f>IF(AND(SnapshotTable[[#This Row],[SP Qty]]&gt;0, SnapshotTable[[#This Row],[SP Stop To Use]]&gt;0),SnapshotTable[[#This Row],[SP Premium]] - ( SnapshotTable[[#This Row],[SP Qty]] * SnapshotTable[[#This Row],[SP Stop To Use]] * 100), "")</f>
        <v/>
      </c>
      <c r="DF198" s="31" t="str">
        <f>IF(AND(SnapshotTable[[#This Row],[SP Qty]]&gt;0,SnapshotTable[[#This Row],[SP Current Ask]]&gt;0), SnapshotTable[[#This Row],[SP Qty]] * SnapshotTable[[#This Row],[SP Current Ask]] * -100, "")</f>
        <v/>
      </c>
      <c r="DG198" s="31" t="str">
        <f>IF(ISNUMBER((SnapshotTable[[#This Row],[SP Total Value]])), SnapshotTable[[#This Row],[SP Premium]] + SnapshotTable[[#This Row],[SP Total Value]], "")</f>
        <v/>
      </c>
      <c r="DH198" s="294" t="str">
        <f>IF(ISNUMBER((SnapshotTable[[#This Row],[SP Total Value]])), SnapshotTable[[#This Row],[SP Gain Loss]] / SnapshotTable[[#This Row],[SP Premium]], "")</f>
        <v/>
      </c>
      <c r="DI198" s="406"/>
      <c r="DJ198" s="138"/>
      <c r="DK198" s="148"/>
      <c r="DL198" s="13"/>
      <c r="DM198" s="13"/>
      <c r="DO198" s="31">
        <f>IF(SnapshotTable[[#This Row],[LC Symbol Count]]=1, SnapshotTable[[#This Row],[LC Qty]] * SnapshotTable[[#This Row],[LC Book Price]] * 100, 0)</f>
        <v>0</v>
      </c>
      <c r="DP198" s="163" t="str">
        <f>IF(AND(SnapshotTable[[#This Row],[LC Exp Date]]&gt;0, SnapshotTable[[#This Row],[LC Strike Price]]&gt;0,SnapshotTable[[#This Row],[LC Qty]]&gt;0,SnapshotTable[[#This Row],[LC Book Date]]&gt;0,SnapshotTable[[#This Row],[LC Book Price]]&gt;0,SnapshotTable[[#This Row],[LC Fill Date]]=0),"Y","")</f>
        <v/>
      </c>
      <c r="DQ198" s="386" t="str">
        <f>IF(SnapshotTable[[#This Row],[LC Premium]] &gt; 0,SnapshotTable[[#This Row],[LC Exp Date]]-MAX(SnapshotTable[[#This Row],[LC Book Date]], SnapshotTable[[#This Row],[LC Fill Date]]),"")</f>
        <v/>
      </c>
      <c r="DR198" s="386" t="str">
        <f>IF(ISNUMBER(SnapshotTable[[#This Row],[LC Term]]), SnapshotTable[[#This Row],[LC Exp Date]] - MockToday, "")</f>
        <v/>
      </c>
      <c r="DS198" s="234" t="str">
        <f>IF(SnapshotTable[[#This Row],[LC Premium]]&gt;0,SnapshotTable[[#This Row],[LC Strike Price]] + SnapshotTable[[#This Row],[LC Book Price]],"")</f>
        <v/>
      </c>
      <c r="DU198" s="9" t="str">
        <f>IF(AND(SnapshotTable[[#This Row],[LC Symbol Count]]&gt;0, SnapshotTable[[#This Row],[LC Contract Value]]&gt;0), SnapshotTable[[#This Row],[LC Contract Value]] * SnapshotTable[[#This Row],[LC Qty]] * 100, "")</f>
        <v/>
      </c>
      <c r="DV198" s="9" t="str">
        <f>IF(AND(ISNUMBER(SnapshotTable[[#This Row],[LC Total Value]]), SnapshotTable[[#This Row],[LC Not Filled]]&lt;&gt;"Y"), SnapshotTable[[#This Row],[LC Total Value]]-SnapshotTable[[#This Row],[LC Premium]],"")</f>
        <v/>
      </c>
      <c r="DW198" s="240" t="str">
        <f>IF(ISNUMBER(SnapshotTable[[#This Row],[LC Actual Gain Loss]]), SnapshotTable[[#This Row],[LC Actual Gain Loss]] / SnapshotTable[[#This Row],[LC Premium]],"")</f>
        <v/>
      </c>
      <c r="DX198" s="284" t="str">
        <f>IF(ISNUMBER(SnapshotTable[[#This Row],[LC Book Price]]),SnapshotTable[[#This Row],[LC Book Price]] * 1.5,"")</f>
        <v/>
      </c>
      <c r="DY198" s="265" t="str">
        <f>IF(SnapshotTable[[#This Row],[LC Premium]]&gt;0, SnapshotTable[[#This Row],[LC Next Target]] * SnapshotTable[[#This Row],[LC Qty]] * 100,"")</f>
        <v/>
      </c>
      <c r="DZ198" s="265" t="str">
        <f>IF(ISNUMBER(SnapshotTable[[#This Row],[LC Target Gross]]), SnapshotTable[[#This Row],[LC Target Gross]] - SnapshotTable[[#This Row],[LC Premium]], "")</f>
        <v/>
      </c>
      <c r="EA198" s="305" t="str">
        <f>IF(ISNUMBER(SnapshotTable[[#This Row],[LC Target Gain Loss]]), SnapshotTable[[#This Row],[LC Target Gain Loss]]/SnapshotTable[[#This Row],[LC Premium]], "")</f>
        <v/>
      </c>
      <c r="EB198" s="262"/>
      <c r="EC198" s="283" t="str">
        <f>IF(SnapshotTable[[#This Row],[LC Premium]]&gt;0, SnapshotTable[[#This Row],[LC Book Price]] * (1 - LC_StopLoss_Pct),"")</f>
        <v/>
      </c>
      <c r="ED198" s="284"/>
      <c r="EE198" s="283" t="str">
        <f>IF(ISNUMBER(SnapshotTable[[#This Row],[LC Contract Value]]),IF(ISNUMBER(SnapshotTable[[#This Row],[LC Stop Loss Override]]), SnapshotTable[[#This Row],[LC Stop Loss Override]],SnapshotTable[[#This Row],[LC Stop Loss Calc Target]]),"")</f>
        <v/>
      </c>
      <c r="EF198" s="31" t="str">
        <f>IF(ISNUMBER(SnapshotTable[[#This Row],[LC Stop  To Use]]), (SnapshotTable[[#This Row],[LC Stop  To Use]] * SnapshotTable[[#This Row],[LC Qty]] * 100),"")</f>
        <v/>
      </c>
      <c r="EG198" s="9" t="str">
        <f>IF(ISNUMBER(SnapshotTable[[#This Row],[LC Total Value]]),SnapshotTable[[#This Row],[LC Stop Loss Amount]] - SnapshotTable[[#This Row],[LC Premium]],"")</f>
        <v/>
      </c>
      <c r="EH198" s="9">
        <f>IF(ISNUMBER(SnapshotTable[[#This Row],[LC Premium]]), SnapshotTable[[#This Row],[LC Qty]] * 100 * SnapshotTable[[#This Row],[LC Strike Price]], "")</f>
        <v>0</v>
      </c>
      <c r="EI198" s="240" t="str">
        <f>IF(AND(ISNUMBER(SnapshotTable[[#This Row],[LC Total Value]]),SnapshotTable[[#This Row],[LC Total Value]]&gt;0),SnapshotTable[[#This Row],[LC Stop Gain Loss]]  / SnapshotTable[[#This Row],[LC Premium]],"")</f>
        <v/>
      </c>
      <c r="EJ198" s="35">
        <f>IF(ISNUMBER(SnapshotTable[[#This Row],[Equity Shares]]),TRUNC(SnapshotTable[[#This Row],[Equity Shares]] / 100),0) + SnapshotTable[[#This Row],[LC Qty]]</f>
        <v>0</v>
      </c>
      <c r="EK198" s="147"/>
      <c r="EL198" s="138" t="str">
        <f>IF(SnapshotTable[[#This Row],[SC Exp Date]]&lt;&gt;"",TRUNC(SnapshotTable[[#This Row],[Last Price]]),"")</f>
        <v/>
      </c>
      <c r="EM198" s="148"/>
      <c r="EN198" s="147"/>
      <c r="EO198" s="147"/>
      <c r="EP198" s="138"/>
      <c r="EQ198" s="419" t="b">
        <f>AND(ISNUMBER(SnapshotTable[[#This Row],[SC Exp Date]]), ISNUMBER(SnapshotTable[[#This Row],[SC Strike Price]]), ISNUMBER(SnapshotTable[[#This Row],[SC Qty]]), ISNUMBER(SnapshotTable[[#This Row],[SC Book Date]]), ISNUMBER(SnapshotTable[[#This Row],[SC Book Price]]))</f>
        <v>0</v>
      </c>
      <c r="ER198" s="419" t="b">
        <f>AND(SnapshotTable[[#This Row],[SC Is Booked]], NOT(ISBLANK(SnapshotTable[[#This Row],[SC Fill Date]])))</f>
        <v>0</v>
      </c>
      <c r="ES198" s="370"/>
      <c r="ET198" s="34" t="str">
        <f>IF(AND(ISNUMBER(SnapshotTable[[#This Row],[SC Exp Date]]), ISNUMBER(SnapshotTable[[#This Row],[SC Book Date]])), SnapshotTable[[#This Row],[SC Exp Date]] - MAX(SnapshotTable[[#This Row],[SC Book Date]], SnapshotTable[[#This Row],[SC Fill Date]]) + 1, "")</f>
        <v/>
      </c>
      <c r="EU198" s="34" t="str">
        <f>IF(ISNUMBER(SnapshotTable[[#This Row],[SC Term]]), SnapshotTable[[#This Row],[SC Exp Date]]- MockToday, "")</f>
        <v/>
      </c>
      <c r="EV198" s="31">
        <f>IF(SnapshotTable[[#This Row],[SC Is Booked]], SnapshotTable[[#This Row],[SC Qty]] * SnapshotTable[[#This Row],[SC Book Price]] * 100, 0)</f>
        <v>0</v>
      </c>
      <c r="EW198" s="4" t="str">
        <f>IF(AND(ISNUMBER(SnapshotTable[[#This Row],[Last Price]]), ISNUMBER( SnapshotTable[[#This Row],[SC Book Price]])), SnapshotTable[[#This Row],[Last Price]] - SnapshotTable[[#This Row],[SC Book Price]],"")</f>
        <v/>
      </c>
      <c r="EX198" s="234" t="str">
        <f>IF(SnapshotTable[[#This Row],[SC Is Booked]],IF(SnapshotTable[[#This Row],[SC Intrinsic Value]] &gt; 0, SnapshotTable[[#This Row],[SC Strike Price]], SnapshotTable[[#This Row],[Last Price]]), "")</f>
        <v/>
      </c>
      <c r="EY198" s="4">
        <f>IF(SnapshotTable[[#This Row],[SC Is Booked]], (MinimumPremiumRequired * SnapshotTable[[#This Row],[SC Basis]] * SnapshotTable[[#This Row],[SC Term]]), 0)</f>
        <v>0</v>
      </c>
      <c r="EZ198" s="283"/>
      <c r="FA198" s="218"/>
      <c r="FB198" s="370"/>
      <c r="FC198" s="4">
        <f>IF(SnapshotTable[[#This Row],[SC Is Filled]], btc_max_buyback_amount(SnapshotTable[[#This Row],[SC Fill Date]],SnapshotTable[[#This Row],[SC Exp Date]], SnapshotTable[[#This Row],[SC Book Price]]),0)</f>
        <v>0</v>
      </c>
      <c r="FD198" s="5"/>
      <c r="FE198" s="144" t="str">
        <f>IF(SnapshotTable[[#This Row],[SC Is Filled]], btc_next_cutoff_date(SnapshotTable[[#This Row],[SC Fill Date]],SnapshotTable[[#This Row],[SC Exp Date]]),"")</f>
        <v/>
      </c>
      <c r="FF198" s="4" t="str" cm="1">
        <f t="array" ref="FF198">IF(SnapshotTable[[#This Row],[SC Is Filled]], btc_should_buy_back(SnapshotTable[[#This Row],[SC Fill Date]], SnapshotTable[[#This Row],[SC Exp Date]], SnapshotTable[[#This Row],[SC Book Price]], SnapshotTable[[#This Row],[SC Current Ask]], MockToday, SnapshotTable[[#This Row],[SC Buyback Override]]),"")</f>
        <v/>
      </c>
      <c r="FG198" s="4">
        <f>IF(SnapshotTable[[#This Row],[SC Is Filled]], MAX(0,SnapshotTable[[#This Row],[Last Price]]  - SnapshotTable[[#This Row],[SC Strike Price]]), 0)</f>
        <v>0</v>
      </c>
      <c r="FH198" s="382">
        <f>IF(SnapshotTable[[#This Row],[SC Is Filled]], IF(ISNUMBER(SnapshotTable[[#This Row],[SC Current Ask]]), SnapshotTable[[#This Row],[SC Current Ask]], SnapshotTable[[#This Row],[SC Book Price]]) - SnapshotTable[[#This Row],[SC Intrinsic Value]], 0)</f>
        <v>0</v>
      </c>
      <c r="FI198" s="143"/>
      <c r="FJ198" s="32" t="str">
        <f>IF(SnapshotTable[[#This Row],[SC Is Filled]],100 * SnapshotTable[[#This Row],[SC Qty]] * IF(ISNUMBER(SnapshotTable[[#This Row],[SC Buyback Override]]), SnapshotTable[[#This Row],[SC Buyback Override]], SnapshotTable[[#This Row],[SC Current Ask]]), "")</f>
        <v/>
      </c>
      <c r="FK198" s="250" t="str">
        <f>IF(SnapshotTable[[#This Row],[SC Time Val]]&gt;0, SnapshotTable[[#This Row],[SC Time Val]] / SnapshotTable[[#This Row],[Last Price]],"")</f>
        <v/>
      </c>
      <c r="FL198" s="302" t="str">
        <f>IF(SnapshotTable[[#This Row],[SC Is Booked]], ((SnapshotTable[[#This Row],[Last Price]] -SnapshotTable[[#This Row],[SC Strike Price]]) / SnapshotTable[[#This Row],[Last Price]]) * -1, "")</f>
        <v/>
      </c>
      <c r="FM198" s="157" t="str">
        <f>IF(SnapshotTable[[#This Row],[SC Is Booked]],  (SnapshotTable[[#This Row],[SC Qty]] * 100 * SnapshotTable[[#This Row],[SC Strike Price]]) - SnapshotTable[[#This Row],[SC Current Ask]], "")</f>
        <v/>
      </c>
      <c r="FN19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8" s="31" t="str">
        <f>IF(AND(ISNUMBER(SnapshotTable[[#This Row],[SC Exercise Gross]]), ISNUMBER(SnapshotTable[[#This Row],[Equity Basis Per Share]] )), SnapshotTable[[#This Row],[SC Exercise Gross]] - SnapshotTable[[#This Row],[Equity Basis Total]] +  SnapshotTable[[#This Row],[SC Premium]], "")</f>
        <v/>
      </c>
      <c r="FP198" s="5" t="str">
        <f>IF(ISNUMBER(SnapshotTable[[#This Row],[SC Exercise Gross]]), (SnapshotTable[[#This Row],[SC Exercise Gross]]) / (SnapshotTable[[#This Row],[SC Qty]] * 100), "")</f>
        <v/>
      </c>
      <c r="FQ198" s="27" t="str">
        <f>IF(SnapshotTable[[#This Row],[SC Is Booked]],SnapshotTable[[#This Row],[SC Time Val]] /SnapshotTable[[#This Row],[SC Basis]], "")</f>
        <v/>
      </c>
      <c r="FR198" s="27" t="str" cm="1">
        <f t="array" ref="FR198">IF(AND(ISNUMBER(SnapshotTable[[#This Row],[SC Term]]),ISNUMBER(SnapshotTable[[#This Row],[SC Simple ROO]])), EllmanAnnualize(SnapshotTable[[#This Row],[SC DTE]], SnapshotTable[[#This Row],[SC Simple ROO]] ),"")</f>
        <v/>
      </c>
      <c r="FS198" s="4" t="e">
        <f>IF(SnapshotTable[[#This Row],[SC Strike Price]] &gt; SnapshotTable[[#This Row],[Last Price]], SnapshotTable[[#This Row],[SC Strike Price]] - SnapshotTable[[#This Row],[Last Price]],0)</f>
        <v>#VALUE!</v>
      </c>
      <c r="FT198" s="27" t="e">
        <f>IF(AND(ISNUMBER(SnapshotTable[[#This Row],[SC Upside Potential]]), SnapshotTable[[#This Row],[SC Upside Potential]] &gt; 0),(SnapshotTable[[#This Row],[SC Upside Potential]]/ SnapshotTable[[#This Row],[ACB]]),"")</f>
        <v>#VALUE!</v>
      </c>
      <c r="FU198" s="333" t="str">
        <f>IF(SnapshotTable[[#This Row],[SC Intrinsic Value]] &gt; 0,SnapshotTable[[#This Row],[SC Intrinsic Value]],"")</f>
        <v/>
      </c>
      <c r="FV198" s="27" t="str">
        <f>IF(AND( ISNUMBER( SnapshotTable[[#This Row],[ACB]]),ISNUMBER(SnapshotTable[[#This Row],[SC Downside Protect]])),SnapshotTable[[#This Row],[SC Downside Protect]] / SnapshotTable[[#This Row],[ACB]],"")</f>
        <v/>
      </c>
      <c r="FW198" s="236" t="str">
        <f>IF(AND(ISNUMBER(SnapshotTable[[#This Row],[SC Simple ROO]]),SnapshotTable[[#This Row],[SC Simple ROO]] &gt; 0), SnapshotTable[[#This Row],[SC Premium]] + (SnapshotTable[[#This Row],[SC Qty]] * SnapshotTable[[#This Row],[SC Upside Potential]]), "")</f>
        <v/>
      </c>
      <c r="FX198" s="302" t="str" cm="1">
        <f t="array" ref="FX198">IF(ISNUMBER(SnapshotTable[[#This Row],[SC Max Dollars]]), annualize(SnapshotTable[[#This Row],[SC Term]],(SnapshotTable[[#This Row],[SC Max Dollars]]/SnapshotTable[[#This Row],[SC Basis]])),"")</f>
        <v/>
      </c>
      <c r="FY198" s="236" t="str">
        <f>IF(AND(SnapshotTable[[#This Row],[SC Qty]]&gt;0,SnapshotTable[[#This Row],[SC Current Ask]]&gt;0), SnapshotTable[[#This Row],[SC Qty]] * SnapshotTable[[#This Row],[SC Current Ask]] * -100, "")</f>
        <v/>
      </c>
      <c r="FZ198" s="31" t="str">
        <f>IF(ISNUMBER((SnapshotTable[[#This Row],[SC Current Value]])), SnapshotTable[[#This Row],[SC Premium]] + SnapshotTable[[#This Row],[SC Current Value]], "")</f>
        <v/>
      </c>
      <c r="GA198" s="294" t="str">
        <f>IFERROR( IF(ISNUMBER((SnapshotTable[[#This Row],[SC Current Value]])), SnapshotTable[[#This Row],[SC Gain Loss]] / SnapshotTable[[#This Row],[SC Premium]], ""), "")</f>
        <v/>
      </c>
      <c r="GB198" s="42">
        <f>SnapshotTable[[#This Row],[Equity Shares]] * SaleSharesToConsiderPercentage</f>
        <v>0</v>
      </c>
      <c r="GC198" s="40">
        <f>SnapshotTable[[#This Row],[Long Term Target]] * SellingPriceToConsiderBasedOnTargetPercentage</f>
        <v>63.839999999999996</v>
      </c>
      <c r="GD198" s="40">
        <f>SnapshotTable[[#This Row],[Last Price]] * (1+ SellingPriceToConsiderBasedOnTargetPercentage)</f>
        <v>272.29799999999994</v>
      </c>
      <c r="GE198" s="41"/>
      <c r="GF198" s="40"/>
      <c r="GG198" s="31">
        <f>SnapshotTable[[#This Row],[Booked Sale Shares]] * SnapshotTable[[#This Row],[Booked Sale Price]]</f>
        <v>0</v>
      </c>
      <c r="GH198" s="31" t="str">
        <f>IF(SnapshotTable[[#This Row],[Equity Basis Total]] &gt; 0, SnapshotTable[[#This Row],[Equity Basis Per Share]] * SnapshotTable[[#This Row],[Booked Sale Shares]], "")</f>
        <v/>
      </c>
      <c r="GI198" s="31">
        <f>IF(SnapshotTable[[#This Row],[Sale Proceeds]]&gt;0, SnapshotTable[[#This Row],[Sale Proceeds]] - SnapshotTable[[#This Row],[Sale Basis]], 0)</f>
        <v>0</v>
      </c>
      <c r="GJ198" s="27" t="str">
        <f>IF(SnapshotTable[[#This Row],[Sale G/L]]&gt;0, SnapshotTable[[#This Row],[Sale G/L]] / SnapshotTable[[#This Row],[Sale Basis]], IF(ISNUMBER(SnapshotTable[[#This Row],[SC Exercise P&amp;L (TAX)]]), SnapshotTable[[#This Row],[SC Exercise P&amp;L (TAX)]] / SnapshotTable[[#This Row],[SC Basis]], ""))</f>
        <v/>
      </c>
      <c r="GK198" s="27" t="s">
        <v>679</v>
      </c>
      <c r="GL198" s="43" t="str">
        <f>IF(AND(SnapshotTable[[#This Row],[LP Exp Date]]&gt;0,SnapshotTable[[#This Row],[LP Strike Price]]&gt;0), [1]!ToOptionSymbol(SnapshotTable[[#This Row],[Symbol]], SnapshotTable[[#This Row],[LP Strike Price]],SnapshotTable[[#This Row],[LP Exp Date]],1), "")</f>
        <v/>
      </c>
      <c r="GM198" s="30" t="str">
        <f>IF(LEN(SnapshotTable[[#This Row],[LP Symbol]])&gt;0, 1, "")</f>
        <v/>
      </c>
      <c r="GN198" s="43" t="str">
        <f>IF(AND(SnapshotTable[[#This Row],[SP Exp Date]]&gt;0,SnapshotTable[[#This Row],[SP Strike Price]]&gt;0), [1]!ToOptionSymbol(SnapshotTable[[#This Row],[Symbol]], SnapshotTable[[#This Row],[SP Strike Price]],SnapshotTable[[#This Row],[SP Exp Date]],1), "")</f>
        <v/>
      </c>
      <c r="GO198" s="30" t="str">
        <f>IF(LEN(SnapshotTable[[#This Row],[SP Symbol]])&gt;0, 1, "")</f>
        <v/>
      </c>
      <c r="GP198" s="43" t="str">
        <f>IF(AND(SnapshotTable[[#This Row],[LC Exp Date]]&gt;0,SnapshotTable[[#This Row],[LC Strike Price]]&gt;0), [1]!ToOptionSymbol(SnapshotTable[[#This Row],[Symbol]], SnapshotTable[[#This Row],[LC Strike Price]],SnapshotTable[[#This Row],[LC Exp Date]],0), "")</f>
        <v/>
      </c>
      <c r="GQ198" s="30" t="str">
        <f>IF(LEN(SnapshotTable[[#This Row],[LC Symbol]])&gt;0, 1, "")</f>
        <v/>
      </c>
      <c r="GR198" s="43" t="str">
        <f>IF(AND(SnapshotTable[[#This Row],[SC Exp Date]]&gt;0,SnapshotTable[[#This Row],[SC Strike Price]]&gt;0), [1]!ToOptionSymbol(SnapshotTable[[#This Row],[Symbol]], SnapshotTable[[#This Row],[SC Strike Price]],SnapshotTable[[#This Row],[SC Exp Date]],0), "")</f>
        <v/>
      </c>
      <c r="GS198" s="30" t="str">
        <f>IF(LEN(SnapshotTable[[#This Row],[SC Symbol]])&gt;0, 1, "")</f>
        <v/>
      </c>
      <c r="GT198" s="29" t="str">
        <f>IF(COUNT(SnapshotTable[[#This Row],[LP Symbol Count]],SnapshotTable[[#This Row],[SP Symbol Count]],SnapshotTable[[#This Row],[LC Symbol Count]],SnapshotTable[[#This Row],[SC Symbol Count]])&gt;0, "Y", "")</f>
        <v/>
      </c>
      <c r="GU19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8" s="231" t="e">
        <f>MAX(SnapshotTable[[#This Row],[Equity Basis Total]],SnapshotTable[[#This Row],[Equity Value]]) + (SnapshotTable[[#This Row],[SP Potential Spend]]- SnapshotTable[[#This Row],[SP Premium]] + SnapshotTable[[#This Row],[LP Premium]])+ (SnapshotTable[[#This Row],[LC Premium]] - SnapshotTable[[#This Row],[SC Premium]])</f>
        <v>#VALUE!</v>
      </c>
      <c r="GW198" s="139" t="e">
        <f>IF(AND(SnapshotTable[[#This Row],[Exposure]] &lt;&gt; 0),SnapshotTable[[#This Row],[Exposure]] / SnapshotTable[[#Totals],[Exposure]], "")</f>
        <v>#VALUE!</v>
      </c>
      <c r="HE198" s="268"/>
      <c r="HF198" s="268"/>
      <c r="HK198" s="1"/>
      <c r="HL198" s="1"/>
      <c r="HM198" s="1"/>
      <c r="HN198" s="1"/>
      <c r="HO198" s="1"/>
      <c r="HP198" s="1"/>
    </row>
    <row r="199" spans="2:224" ht="12.75" hidden="1" customHeight="1" x14ac:dyDescent="0.25">
      <c r="B199" s="12" t="s">
        <v>189</v>
      </c>
      <c r="C199" s="422">
        <v>50.76</v>
      </c>
      <c r="D199" s="208"/>
      <c r="E199" s="39">
        <f>SnapshotTable[[#This Row],[Last Price]]*(1 -CrashDiscount)</f>
        <v>43.145999999999994</v>
      </c>
      <c r="F199" s="26" t="s">
        <v>85</v>
      </c>
      <c r="G199" s="26" t="s">
        <v>49</v>
      </c>
      <c r="H199" s="149"/>
      <c r="I199" s="194">
        <v>44769</v>
      </c>
      <c r="J199" s="195">
        <v>44769</v>
      </c>
      <c r="K199" s="196"/>
      <c r="L199" s="326"/>
      <c r="M199" s="140"/>
      <c r="N199" s="140"/>
      <c r="O199" s="140"/>
      <c r="P199" s="22"/>
      <c r="Q199" s="25"/>
      <c r="R199" s="4" t="str">
        <f>IF(SnapshotTable[[#This Row],[Equity Basis Total]] &gt; 0, SnapshotTable[[#This Row],[Equity Basis Total]] / SnapshotTable[[#This Row],[Equity Shares]], "")</f>
        <v/>
      </c>
      <c r="S199" s="269">
        <f>SnapshotTable[[#This Row],[Last Price]] * SnapshotTable[[#This Row],[Equity Shares]]</f>
        <v>0</v>
      </c>
      <c r="T199" s="269">
        <f>SnapshotTable[[#This Row],[Equity Value]] - SnapshotTable[[#This Row],[Equity Basis Total]]</f>
        <v>0</v>
      </c>
      <c r="U199" s="270" t="str">
        <f>IF(SnapshotTable[[#This Row],[Equity Basis Total]] &gt; 0, SnapshotTable[[#This Row],[Equity G/L]] / SnapshotTable[[#This Row],[Equity Basis Total]], "")</f>
        <v/>
      </c>
      <c r="V199" s="268"/>
      <c r="W199" s="268"/>
      <c r="X199" s="4" t="str">
        <f>IF(AND(ISNUMBER(SnapshotTable[[#This Row],[Equity Basis Per Share]]),ISNUMBER(SnapshotTable[[#This Row],[Equity Target]])),SnapshotTable[[#This Row],[Equity Target]]-SnapshotTable[[#This Row],[Equity Basis Per Share]],"")</f>
        <v/>
      </c>
      <c r="Y199" s="4" t="str">
        <f>IF(AND(ISNUMBER(SnapshotTable[[#This Row],[Equity Basis Per Share]]),ISNUMBER(SnapshotTable[[#This Row],[Equity Stop Loss]])),SnapshotTable[[#This Row],[Equity Stop Loss]]-SnapshotTable[[#This Row],[Equity Basis Per Share]],"")</f>
        <v/>
      </c>
      <c r="Z199" s="275" t="str">
        <f>IFERROR( TEXT(SnapshotTable[[#This Row],[Equity Max Gain Per Share]] /ABS( SnapshotTable[[#This Row],[Equity Max Loss Per Share]]),"0.0 " ) &amp; " : 1", "")</f>
        <v/>
      </c>
      <c r="AA199" s="31" t="str">
        <f>IF(ISNUMBER(SnapshotTable[[#This Row],[Equity Max Gain Per Share]]),SnapshotTable[[#This Row],[Equity Max Gain Per Share]] * SnapshotTable[[#This Row],[Equity Shares]],"")</f>
        <v/>
      </c>
      <c r="AB199" s="31" t="str">
        <f>IF(ISNUMBER(SnapshotTable[[#This Row],[Equity Max Loss Per Share]]),SnapshotTable[[#This Row],[Equity Max Loss Per Share]] * SnapshotTable[[#This Row],[Equity Shares]],"")</f>
        <v/>
      </c>
      <c r="AC199" s="150">
        <v>2.31</v>
      </c>
      <c r="AD199" s="151">
        <v>42370</v>
      </c>
      <c r="AE199" s="31">
        <f>(SnapshotTable[[#This Row],[Annual Dividend Per Share]] / 4) * SnapshotTable[[#This Row],[Equity Shares]]</f>
        <v>0</v>
      </c>
      <c r="AF199" s="31">
        <f>SnapshotTable[[#This Row],[Quarterly Div $]] * 4</f>
        <v>0</v>
      </c>
      <c r="AG199" s="7">
        <f>IF(SnapshotTable[[#This Row],[Annual Dividend Per Share]]&gt;0, SnapshotTable[[#This Row],[Annual Dividend Per Share]]  / SnapshotTable[[#This Row],[Last Price]], 0)</f>
        <v>4.550827423167849E-2</v>
      </c>
      <c r="AH199" s="151">
        <v>42226</v>
      </c>
      <c r="AI199" s="5"/>
      <c r="AJ199" s="138">
        <v>48.25</v>
      </c>
      <c r="AK199" s="152" t="str">
        <f>IF(ISNUMBER( SnapshotTable[[#This Row],[EBF Target]]),(SnapshotTable[[#This Row],[EBF Target]] - SnapshotTable[[#This Row],[Last Price]]) / SnapshotTable[[#This Row],[Last Price]], "")</f>
        <v/>
      </c>
      <c r="AL199" s="152" t="str">
        <f>IF(AND(SnapshotTable[[#This Row],[Equity Basis Total]] &gt; 0,ISNUMBER( SnapshotTable[[#This Row],[Long Term Target]])), SnapshotTable[[#This Row],[From Basis $]] / SnapshotTable[[#This Row],[Equity Basis Total]], "")</f>
        <v/>
      </c>
      <c r="AM199" s="9">
        <f>IF( AND(SnapshotTable[[#This Row],[Equity Shares]] &gt;0,ISNUMBER( SnapshotTable[[#This Row],[Long Term Target]])),(SnapshotTable[[#This Row],[Equity Shares]] * SnapshotTable[[#This Row],[Long Term Target]]) - SnapshotTable[[#This Row],[Equity Basis Total]],0)</f>
        <v>0</v>
      </c>
      <c r="AN199" s="9">
        <f>IF( AND(SnapshotTable[[#This Row],[Equity Shares]] &gt;0,ISNUMBER( SnapshotTable[[#This Row],[Long Term Target]])),(SnapshotTable[[#This Row],[Equity Shares]]*SnapshotTable[[#This Row],[Long Term Target]]) - SnapshotTable[[#This Row],[Equity Value]],0)</f>
        <v>0</v>
      </c>
      <c r="AO199" s="152">
        <f>IF(AND(ISNUMBER( SnapshotTable[[#This Row],[Long Term Target]]), ISNUMBER(SnapshotTable[[#This Row],[Last Price]])),(SnapshotTable[[#This Row],[Long Term Target]] - SnapshotTable[[#This Row],[Last Price]]) / SnapshotTable[[#This Row],[Last Price]], "")</f>
        <v>-4.9448384554767494E-2</v>
      </c>
      <c r="AP199" s="5"/>
      <c r="AQ199" s="38"/>
      <c r="AR199" s="5"/>
      <c r="AS199" s="38"/>
      <c r="AT199" s="146"/>
      <c r="AU199" s="187" t="str">
        <f>IF(OR(SnapshotTable[[#This Row],[LP No Fill]]="Y",SnapshotTable[[#This Row],[SP Is Filled]],SnapshotTable[[#This Row],[LC Not Filled]]="Y",SnapshotTable[[#This Row],[SC Is Filled]]),"Y","")</f>
        <v/>
      </c>
      <c r="AV199" s="219"/>
      <c r="AW199" s="225"/>
      <c r="AX199" s="220"/>
      <c r="AY199" s="219" t="str">
        <f>IF(SnapshotTable[[#This Row],[Implied Move]]&gt;0, SnapshotTable[[#This Row],[Last Price]]-SnapshotTable[[#This Row],[Implied Move]],"")</f>
        <v/>
      </c>
      <c r="AZ199" s="219" t="str">
        <f>IF(SnapshotTable[[#This Row],[Implied Move]]&gt;0, SnapshotTable[[#This Row],[Last Price]] + SnapshotTable[[#This Row],[Implied Move]],"")</f>
        <v/>
      </c>
      <c r="BA199" s="331"/>
      <c r="BB199" s="347"/>
      <c r="BC19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9" s="351"/>
      <c r="BE199" s="5"/>
      <c r="BF199" s="14"/>
      <c r="BG199" s="13"/>
      <c r="BH199" s="13"/>
      <c r="BI199" s="5"/>
      <c r="BJ199" s="136">
        <f>IF(SnapshotTable[[#This Row],[LP Qty]] &gt; 0, SnapshotTable[[#This Row],[LP Qty]] * SnapshotTable[[#This Row],[LP Book Price]] * 100,0)</f>
        <v>0</v>
      </c>
      <c r="BK199" s="136">
        <f>IF(SnapshotTable[[#This Row],[LP Premium]] &gt; 0, SnapshotTable[[#This Row],[LP Qty]] * SnapshotTable[[#This Row],[LP Strike Price]] * 100,0)</f>
        <v>0</v>
      </c>
      <c r="BL199" s="154"/>
      <c r="BM199" s="385" t="str">
        <f>IF(SnapshotTable[[#This Row],[LP Premium]] &gt; 0,SnapshotTable[[#This Row],[LP Exp Date]]-MAX(SnapshotTable[[#This Row],[LP Book Date]], SnapshotTable[[#This Row],[LP Fill Date]]),"")</f>
        <v/>
      </c>
      <c r="BN199" s="385" t="str">
        <f>IF(ISNUMBER( SnapshotTable[[#This Row],[LP Term]]), SnapshotTable[[#This Row],[LP Exp Date]] - MockToday,"")</f>
        <v/>
      </c>
      <c r="BO199" s="163" t="str">
        <f>IF(AND(SnapshotTable[[#This Row],[LP Exp Date]]&gt;0, SnapshotTable[[#This Row],[LP Strike Price]]&gt;0,SnapshotTable[[#This Row],[LP Qty]]&gt;0,SnapshotTable[[#This Row],[LP Book Date]]&gt;0,SnapshotTable[[#This Row],[LP Book Price]]&gt;0,SnapshotTable[[#This Row],[LP Fill Date]]=0),"Y","")</f>
        <v/>
      </c>
      <c r="BP199" s="31" t="str">
        <f>IF(AND(SnapshotTable[[#This Row],[LP No Fill]]&lt;&gt;"Y",SnapshotTable[[#This Row],[LP Contract Value]]&gt;0, SnapshotTable[[#This Row],[LP Qty]]&gt;0), SnapshotTable[[#This Row],[LP Contract Value]]*SnapshotTable[[#This Row],[LP Qty]]*100,"")</f>
        <v/>
      </c>
      <c r="BQ199" s="13"/>
      <c r="BR199" s="5" t="str">
        <f>IF(SnapshotTable[[#This Row],[SP Exp Date]]&lt;&gt;"",TRUNC(SnapshotTable[[#This Row],[Last Price]]),"")</f>
        <v/>
      </c>
      <c r="BS199" s="36"/>
      <c r="BT199" s="147"/>
      <c r="BU199" s="13"/>
      <c r="BV199" s="5"/>
      <c r="BW199" s="419" t="b">
        <f>AND(ISNUMBER(SnapshotTable[[#This Row],[SP Exp Date]]), ISNUMBER(SnapshotTable[[#This Row],[SP Strike Price]]), ISNUMBER(SnapshotTable[[#This Row],[SP Qty]]), ISNUMBER(SnapshotTable[[#This Row],[SP Book Date]]), ISNUMBER(SnapshotTable[[#This Row],[SP Book Price]]))</f>
        <v>0</v>
      </c>
      <c r="BX199" s="419" t="b">
        <f>AND(SnapshotTable[[#This Row],[SP Is Booked]], NOT(ISBLANK(SnapshotTable[[#This Row],[SP Fill Date]])))</f>
        <v>0</v>
      </c>
      <c r="BY199" s="33">
        <f>IF(SnapshotTable[[#This Row],[SP Is Booked]], SnapshotTable[[#This Row],[SP Qty]] * SnapshotTable[[#This Row],[SP Book Price]] * 100, 0)</f>
        <v>0</v>
      </c>
      <c r="BZ199" s="369"/>
      <c r="CA199" s="368">
        <f>SnapshotTable[[#This Row],[LP Qty]]</f>
        <v>0</v>
      </c>
      <c r="CB199" s="4" t="str">
        <f>IF(SnapshotTable[[#This Row],[SP Is Booked]], SnapshotTable[[#This Row],[SP Strike Price]] - SnapshotTable[[#This Row],[SP Book Price]], "")</f>
        <v/>
      </c>
      <c r="CC199" s="19" t="str">
        <f>IF(SnapshotTable[[#This Row],[SP Is Booked]],SnapshotTable[[#This Row],[SP Exp Date]]-MAX(SnapshotTable[[#This Row],[SP Book Date]], SnapshotTable[[#This Row],[SP Fill Date]]),"")</f>
        <v/>
      </c>
      <c r="CD199" s="7" t="str">
        <f>IF(SnapshotTable[[#This Row],[SP Is Booked]], SnapshotTable[[#This Row],[SP Book Price]]/SnapshotTable[[#This Row],[SP Strike Price]], "")</f>
        <v/>
      </c>
      <c r="CE199" s="7" t="str">
        <f>IF(ISNUMBER(SnapshotTable[[#This Row],[SP ROO Term]]),SnapshotTable[[#This Row],[SP ROO Term]]*(365/SnapshotTable[[#This Row],[SP Term]]),"")</f>
        <v/>
      </c>
      <c r="CF199" s="236">
        <f>SnapshotTable[[#This Row],[LP Strike Price]] * SnapshotTable[[#This Row],[LP Qty]] * 100</f>
        <v>0</v>
      </c>
      <c r="CG199" s="31" t="e">
        <f>IF(ISNUMBER(SnapshotTable[[#This Row],[SP Premium]]), (SnapshotTable[[#This Row],[SP Qty]] * SnapshotTable[[#This Row],[SP Strike Price]]* 100) - SnapshotTable[[#This Row],[LP Protection]], 0)</f>
        <v>#VALUE!</v>
      </c>
      <c r="CH199" s="7" t="str">
        <f>IF(ISNUMBER(SnapshotTable[[#This Row],[SP Break Even]]),-1 * (SnapshotTable[[#This Row],[SP Break Even]] - SnapshotTable[[#This Row],[Last Price]]) / SnapshotTable[[#This Row],[Last Price]], "")</f>
        <v/>
      </c>
      <c r="CI199" s="31">
        <f>IF(AND(ISNUMBER((SnapshotTable[[#This Row],[SP Potential Spend]])), SnapshotTable[[#This Row],[SP Strike Price]] &gt; SnapshotTable[[#This Row],[Last Price]], SnapshotTable[[#This Row],[SP Is Filled]]), SnapshotTable[[#This Row],[SP Potential Spend]] -  SnapshotTable[[#This Row],[LP Max Value]], 0)</f>
        <v>0</v>
      </c>
      <c r="CJ199" s="244"/>
      <c r="CK199" s="31" t="str">
        <f>IF(ISNUMBER(SnapshotTable[[#This Row],[SP Potential Spend]]),IF(ISNUMBER(SnapshotTable[[#This Row],[SP POW]]), SnapshotTable[[#This Row],[SP POW]] * SnapshotTable[[#This Row],[SP Potential Spend]], SnapshotTable[[#This Row],[SP Potential Spend]]), "")</f>
        <v/>
      </c>
      <c r="CL199" s="164" t="e">
        <f>IF(NOT(SnapshotTable[[#This Row],[SP Is Filled]]),(SnapshotTable[[#This Row],[SP Qty]] * SnapshotTable[[#This Row],[SP Strike Price]] * 100) - SnapshotTable[[#This Row],[LP Max Value]],"")</f>
        <v>#VALUE!</v>
      </c>
      <c r="CM199" s="31" t="str">
        <f>IF(SnapshotTable[[#This Row],[SP Actual Spend]]&lt;&gt;0, ((SnapshotTable[[#This Row],[SP Strike Price]]-SnapshotTable[[#This Row],[Last Price]]) *(SnapshotTable[[#This Row],[SP Qty]]*100) - SnapshotTable[[#This Row],[SP Premium]]) * - 1, "")</f>
        <v/>
      </c>
      <c r="CN199" s="78"/>
      <c r="CO199" s="369"/>
      <c r="CP199" s="4" t="str">
        <f>IF(SnapshotTable[[#This Row],[SP Is Filled]], btc_max_buyback_amount(SnapshotTable[[#This Row],[SP Fill Date]],SnapshotTable[[#This Row],[SP Exp Date]], SnapshotTable[[#This Row],[SP Book Price]]),"")</f>
        <v/>
      </c>
      <c r="CQ199" s="78"/>
      <c r="CR19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9" s="155" t="str">
        <f>IF(SnapshotTable[[#This Row],[SP Is Filled]], btc_next_cutoff_date(SnapshotTable[[#This Row],[SP Fill Date]],SnapshotTable[[#This Row],[SP Exp Date]]),"")</f>
        <v/>
      </c>
      <c r="CT199" s="235" t="str" cm="1">
        <f t="array" ref="CT199">IF(SnapshotTable[[#This Row],[SP Is Filled]], btc_should_buy_back(SnapshotTable[[#This Row],[SP Fill Date]], SnapshotTable[[#This Row],[SP Exp Date]], SnapshotTable[[#This Row],[SP Book Price]], SnapshotTable[[#This Row],[SP Current Ask]], MockToday, SnapshotTable[[#This Row],[SP Buyback Override]]),"")</f>
        <v/>
      </c>
      <c r="CU199" s="143"/>
      <c r="CV199" s="235"/>
      <c r="CW199" s="378" t="str">
        <f>IF(ISNUMBER( SnapshotTable[[#This Row],[SP Term]]), SnapshotTable[[#This Row],[SP Exp Date]] - MockToday,"")</f>
        <v/>
      </c>
      <c r="CX199" s="31" t="str">
        <f>IF(SnapshotTable[[#This Row],[SP Is Filled]],SnapshotTable[[#This Row],[SP Buyback Price to Use]] * 100 * SnapshotTable[[#This Row],[SP Qty]], "")</f>
        <v/>
      </c>
      <c r="CY199" s="4" t="str">
        <f>IF(ISNUMBER(SnapshotTable[[#This Row],[SP Strike Price]]), SnapshotTable[[#This Row],[SP Strike Price]] * (1 - SP_MaxLoss_StrikePct), "")</f>
        <v/>
      </c>
      <c r="CZ199" s="31" t="str">
        <f>IF(ISNUMBER(SnapshotTable[[#This Row],[SP Strike  Stop Per Share]]),SnapshotTable[[#This Row],[SP Premium]] - ((SnapshotTable[[#This Row],[SP Strike Price]]-SnapshotTable[[#This Row],[SP Strike  Stop Per Share]]) *(SnapshotTable[[#This Row],[SP Qty]] * 100)),"")</f>
        <v/>
      </c>
      <c r="DA199" s="4" t="str">
        <f>IF(AND(ISNUMBER(SnapshotTable[[#This Row],[SP Premium]]),SnapshotTable[[#This Row],[SP Premium]]&gt;0), SnapshotTable[[#This Row],[SP Book Price]] * (1 + SP_MaxLoss_OptionPct), "")</f>
        <v/>
      </c>
      <c r="DB199" s="31" t="str">
        <f>IF(ISNUMBER(SnapshotTable[[#This Row],[SP Option  Stop Contract]]),(SnapshotTable[[#This Row],[SP Option  Stop Contract]] *(SnapshotTable[[#This Row],[SP Qty]] * 100) - SnapshotTable[[#This Row],[SP Premium]]),"")</f>
        <v/>
      </c>
      <c r="DC199" s="4"/>
      <c r="DD199" s="4"/>
      <c r="DE199" s="4" t="str">
        <f>IF(AND(SnapshotTable[[#This Row],[SP Qty]]&gt;0, SnapshotTable[[#This Row],[SP Stop To Use]]&gt;0),SnapshotTable[[#This Row],[SP Premium]] - ( SnapshotTable[[#This Row],[SP Qty]] * SnapshotTable[[#This Row],[SP Stop To Use]] * 100), "")</f>
        <v/>
      </c>
      <c r="DF199" s="31" t="str">
        <f>IF(AND(SnapshotTable[[#This Row],[SP Qty]]&gt;0,SnapshotTable[[#This Row],[SP Current Ask]]&gt;0), SnapshotTable[[#This Row],[SP Qty]] * SnapshotTable[[#This Row],[SP Current Ask]] * -100, "")</f>
        <v/>
      </c>
      <c r="DG199" s="31" t="str">
        <f>IF(ISNUMBER((SnapshotTable[[#This Row],[SP Total Value]])), SnapshotTable[[#This Row],[SP Premium]] + SnapshotTable[[#This Row],[SP Total Value]], "")</f>
        <v/>
      </c>
      <c r="DH199" s="294" t="str">
        <f>IF(ISNUMBER((SnapshotTable[[#This Row],[SP Total Value]])), SnapshotTable[[#This Row],[SP Gain Loss]] / SnapshotTable[[#This Row],[SP Premium]], "")</f>
        <v/>
      </c>
      <c r="DI199" s="406"/>
      <c r="DJ199" s="138"/>
      <c r="DK199" s="148"/>
      <c r="DL199" s="13"/>
      <c r="DM199" s="13"/>
      <c r="DO199" s="31">
        <f>IF(SnapshotTable[[#This Row],[LC Symbol Count]]=1, SnapshotTable[[#This Row],[LC Qty]] * SnapshotTable[[#This Row],[LC Book Price]] * 100, 0)</f>
        <v>0</v>
      </c>
      <c r="DP199" s="163" t="str">
        <f>IF(AND(SnapshotTable[[#This Row],[LC Exp Date]]&gt;0, SnapshotTable[[#This Row],[LC Strike Price]]&gt;0,SnapshotTable[[#This Row],[LC Qty]]&gt;0,SnapshotTable[[#This Row],[LC Book Date]]&gt;0,SnapshotTable[[#This Row],[LC Book Price]]&gt;0,SnapshotTable[[#This Row],[LC Fill Date]]=0),"Y","")</f>
        <v/>
      </c>
      <c r="DQ199" s="386" t="str">
        <f>IF(SnapshotTable[[#This Row],[LC Premium]] &gt; 0,SnapshotTable[[#This Row],[LC Exp Date]]-MAX(SnapshotTable[[#This Row],[LC Book Date]], SnapshotTable[[#This Row],[LC Fill Date]]),"")</f>
        <v/>
      </c>
      <c r="DR199" s="386" t="str">
        <f>IF(ISNUMBER(SnapshotTable[[#This Row],[LC Term]]), SnapshotTable[[#This Row],[LC Exp Date]] - MockToday, "")</f>
        <v/>
      </c>
      <c r="DS199" s="234" t="str">
        <f>IF(SnapshotTable[[#This Row],[LC Premium]]&gt;0,SnapshotTable[[#This Row],[LC Strike Price]] + SnapshotTable[[#This Row],[LC Book Price]],"")</f>
        <v/>
      </c>
      <c r="DU199" s="9" t="str">
        <f>IF(AND(SnapshotTable[[#This Row],[LC Symbol Count]]&gt;0, SnapshotTable[[#This Row],[LC Contract Value]]&gt;0), SnapshotTable[[#This Row],[LC Contract Value]] * SnapshotTable[[#This Row],[LC Qty]] * 100, "")</f>
        <v/>
      </c>
      <c r="DV199" s="9" t="str">
        <f>IF(AND(ISNUMBER(SnapshotTable[[#This Row],[LC Total Value]]), SnapshotTable[[#This Row],[LC Not Filled]]&lt;&gt;"Y"), SnapshotTable[[#This Row],[LC Total Value]]-SnapshotTable[[#This Row],[LC Premium]],"")</f>
        <v/>
      </c>
      <c r="DW199" s="240" t="str">
        <f>IF(ISNUMBER(SnapshotTable[[#This Row],[LC Actual Gain Loss]]), SnapshotTable[[#This Row],[LC Actual Gain Loss]] / SnapshotTable[[#This Row],[LC Premium]],"")</f>
        <v/>
      </c>
      <c r="DX199" s="284" t="str">
        <f>IF(ISNUMBER(SnapshotTable[[#This Row],[LC Book Price]]),SnapshotTable[[#This Row],[LC Book Price]] * 1.5,"")</f>
        <v/>
      </c>
      <c r="DY199" s="265" t="str">
        <f>IF(SnapshotTable[[#This Row],[LC Premium]]&gt;0, SnapshotTable[[#This Row],[LC Next Target]] * SnapshotTable[[#This Row],[LC Qty]] * 100,"")</f>
        <v/>
      </c>
      <c r="DZ199" s="265" t="str">
        <f>IF(ISNUMBER(SnapshotTable[[#This Row],[LC Target Gross]]), SnapshotTable[[#This Row],[LC Target Gross]] - SnapshotTable[[#This Row],[LC Premium]], "")</f>
        <v/>
      </c>
      <c r="EA199" s="305" t="str">
        <f>IF(ISNUMBER(SnapshotTable[[#This Row],[LC Target Gain Loss]]), SnapshotTable[[#This Row],[LC Target Gain Loss]]/SnapshotTable[[#This Row],[LC Premium]], "")</f>
        <v/>
      </c>
      <c r="EB199" s="262"/>
      <c r="EC199" s="283" t="str">
        <f>IF(SnapshotTable[[#This Row],[LC Premium]]&gt;0, SnapshotTable[[#This Row],[LC Book Price]] * (1 - LC_StopLoss_Pct),"")</f>
        <v/>
      </c>
      <c r="ED199" s="284"/>
      <c r="EE199" s="283" t="str">
        <f>IF(ISNUMBER(SnapshotTable[[#This Row],[LC Contract Value]]),IF(ISNUMBER(SnapshotTable[[#This Row],[LC Stop Loss Override]]), SnapshotTable[[#This Row],[LC Stop Loss Override]],SnapshotTable[[#This Row],[LC Stop Loss Calc Target]]),"")</f>
        <v/>
      </c>
      <c r="EF199" s="31" t="str">
        <f>IF(ISNUMBER(SnapshotTable[[#This Row],[LC Stop  To Use]]), (SnapshotTable[[#This Row],[LC Stop  To Use]] * SnapshotTable[[#This Row],[LC Qty]] * 100),"")</f>
        <v/>
      </c>
      <c r="EG199" s="9" t="str">
        <f>IF(ISNUMBER(SnapshotTable[[#This Row],[LC Total Value]]),SnapshotTable[[#This Row],[LC Stop Loss Amount]] - SnapshotTable[[#This Row],[LC Premium]],"")</f>
        <v/>
      </c>
      <c r="EH199" s="9">
        <f>IF(ISNUMBER(SnapshotTable[[#This Row],[LC Premium]]), SnapshotTable[[#This Row],[LC Qty]] * 100 * SnapshotTable[[#This Row],[LC Strike Price]], "")</f>
        <v>0</v>
      </c>
      <c r="EI199" s="240" t="str">
        <f>IF(AND(ISNUMBER(SnapshotTable[[#This Row],[LC Total Value]]),SnapshotTable[[#This Row],[LC Total Value]]&gt;0),SnapshotTable[[#This Row],[LC Stop Gain Loss]]  / SnapshotTable[[#This Row],[LC Premium]],"")</f>
        <v/>
      </c>
      <c r="EJ199" s="35">
        <f>IF(ISNUMBER(SnapshotTable[[#This Row],[Equity Shares]]),TRUNC(SnapshotTable[[#This Row],[Equity Shares]] / 100),0) + SnapshotTable[[#This Row],[LC Qty]]</f>
        <v>0</v>
      </c>
      <c r="EK199" s="147"/>
      <c r="EL199" s="138" t="str">
        <f>IF(SnapshotTable[[#This Row],[SC Exp Date]]&lt;&gt;"",TRUNC(SnapshotTable[[#This Row],[Last Price]]),"")</f>
        <v/>
      </c>
      <c r="EM199" s="148"/>
      <c r="EN199" s="147"/>
      <c r="EO199" s="147"/>
      <c r="EP199" s="138"/>
      <c r="EQ199" s="419" t="b">
        <f>AND(ISNUMBER(SnapshotTable[[#This Row],[SC Exp Date]]), ISNUMBER(SnapshotTable[[#This Row],[SC Strike Price]]), ISNUMBER(SnapshotTable[[#This Row],[SC Qty]]), ISNUMBER(SnapshotTable[[#This Row],[SC Book Date]]), ISNUMBER(SnapshotTable[[#This Row],[SC Book Price]]))</f>
        <v>0</v>
      </c>
      <c r="ER199" s="419" t="b">
        <f>AND(SnapshotTable[[#This Row],[SC Is Booked]], NOT(ISBLANK(SnapshotTable[[#This Row],[SC Fill Date]])))</f>
        <v>0</v>
      </c>
      <c r="ES199" s="370"/>
      <c r="ET199" s="34" t="str">
        <f>IF(AND(ISNUMBER(SnapshotTable[[#This Row],[SC Exp Date]]), ISNUMBER(SnapshotTable[[#This Row],[SC Book Date]])), SnapshotTable[[#This Row],[SC Exp Date]] - MAX(SnapshotTable[[#This Row],[SC Book Date]], SnapshotTable[[#This Row],[SC Fill Date]]) + 1, "")</f>
        <v/>
      </c>
      <c r="EU199" s="34" t="str">
        <f>IF(ISNUMBER(SnapshotTable[[#This Row],[SC Term]]), SnapshotTable[[#This Row],[SC Exp Date]]- MockToday, "")</f>
        <v/>
      </c>
      <c r="EV199" s="31">
        <f>IF(SnapshotTable[[#This Row],[SC Is Booked]], SnapshotTable[[#This Row],[SC Qty]] * SnapshotTable[[#This Row],[SC Book Price]] * 100, 0)</f>
        <v>0</v>
      </c>
      <c r="EW199" s="4" t="str">
        <f>IF(AND(ISNUMBER(SnapshotTable[[#This Row],[Last Price]]), ISNUMBER( SnapshotTable[[#This Row],[SC Book Price]])), SnapshotTable[[#This Row],[Last Price]] - SnapshotTable[[#This Row],[SC Book Price]],"")</f>
        <v/>
      </c>
      <c r="EX199" s="234" t="str">
        <f>IF(SnapshotTable[[#This Row],[SC Is Booked]],IF(SnapshotTable[[#This Row],[SC Intrinsic Value]] &gt; 0, SnapshotTable[[#This Row],[SC Strike Price]], SnapshotTable[[#This Row],[Last Price]]), "")</f>
        <v/>
      </c>
      <c r="EY199" s="4">
        <f>IF(SnapshotTable[[#This Row],[SC Is Booked]], (MinimumPremiumRequired * SnapshotTable[[#This Row],[SC Basis]] * SnapshotTable[[#This Row],[SC Term]]), 0)</f>
        <v>0</v>
      </c>
      <c r="EZ199" s="283"/>
      <c r="FA199" s="218"/>
      <c r="FB199" s="370"/>
      <c r="FC199" s="4">
        <f>IF(SnapshotTable[[#This Row],[SC Is Filled]], btc_max_buyback_amount(SnapshotTable[[#This Row],[SC Fill Date]],SnapshotTable[[#This Row],[SC Exp Date]], SnapshotTable[[#This Row],[SC Book Price]]),0)</f>
        <v>0</v>
      </c>
      <c r="FD199" s="5"/>
      <c r="FE199" s="144" t="str">
        <f>IF(SnapshotTable[[#This Row],[SC Is Filled]], btc_next_cutoff_date(SnapshotTable[[#This Row],[SC Fill Date]],SnapshotTable[[#This Row],[SC Exp Date]]),"")</f>
        <v/>
      </c>
      <c r="FF199" s="4" t="str" cm="1">
        <f t="array" ref="FF199">IF(SnapshotTable[[#This Row],[SC Is Filled]], btc_should_buy_back(SnapshotTable[[#This Row],[SC Fill Date]], SnapshotTable[[#This Row],[SC Exp Date]], SnapshotTable[[#This Row],[SC Book Price]], SnapshotTable[[#This Row],[SC Current Ask]], MockToday, SnapshotTable[[#This Row],[SC Buyback Override]]),"")</f>
        <v/>
      </c>
      <c r="FG199" s="4">
        <f>IF(SnapshotTable[[#This Row],[SC Is Filled]], MAX(0,SnapshotTable[[#This Row],[Last Price]]  - SnapshotTable[[#This Row],[SC Strike Price]]), 0)</f>
        <v>0</v>
      </c>
      <c r="FH199" s="382">
        <f>IF(SnapshotTable[[#This Row],[SC Is Filled]], IF(ISNUMBER(SnapshotTable[[#This Row],[SC Current Ask]]), SnapshotTable[[#This Row],[SC Current Ask]], SnapshotTable[[#This Row],[SC Book Price]]) - SnapshotTable[[#This Row],[SC Intrinsic Value]], 0)</f>
        <v>0</v>
      </c>
      <c r="FI199" s="143"/>
      <c r="FJ199" s="32" t="str">
        <f>IF(SnapshotTable[[#This Row],[SC Is Filled]],100 * SnapshotTable[[#This Row],[SC Qty]] * IF(ISNUMBER(SnapshotTable[[#This Row],[SC Buyback Override]]), SnapshotTable[[#This Row],[SC Buyback Override]], SnapshotTable[[#This Row],[SC Current Ask]]), "")</f>
        <v/>
      </c>
      <c r="FK199" s="250" t="str">
        <f>IF(SnapshotTable[[#This Row],[SC Time Val]]&gt;0, SnapshotTable[[#This Row],[SC Time Val]] / SnapshotTable[[#This Row],[Last Price]],"")</f>
        <v/>
      </c>
      <c r="FL199" s="302" t="str">
        <f>IF(SnapshotTable[[#This Row],[SC Is Booked]], ((SnapshotTable[[#This Row],[Last Price]] -SnapshotTable[[#This Row],[SC Strike Price]]) / SnapshotTable[[#This Row],[Last Price]]) * -1, "")</f>
        <v/>
      </c>
      <c r="FM199" s="157" t="str">
        <f>IF(SnapshotTable[[#This Row],[SC Is Booked]],  (SnapshotTable[[#This Row],[SC Qty]] * 100 * SnapshotTable[[#This Row],[SC Strike Price]]) - SnapshotTable[[#This Row],[SC Current Ask]], "")</f>
        <v/>
      </c>
      <c r="FN19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9" s="31" t="str">
        <f>IF(AND(ISNUMBER(SnapshotTable[[#This Row],[SC Exercise Gross]]), ISNUMBER(SnapshotTable[[#This Row],[Equity Basis Per Share]] )), SnapshotTable[[#This Row],[SC Exercise Gross]] - SnapshotTable[[#This Row],[Equity Basis Total]] +  SnapshotTable[[#This Row],[SC Premium]], "")</f>
        <v/>
      </c>
      <c r="FP199" s="5" t="str">
        <f>IF(ISNUMBER(SnapshotTable[[#This Row],[SC Exercise Gross]]), (SnapshotTable[[#This Row],[SC Exercise Gross]]) / (SnapshotTable[[#This Row],[SC Qty]] * 100), "")</f>
        <v/>
      </c>
      <c r="FQ199" s="27" t="str">
        <f>IF(SnapshotTable[[#This Row],[SC Is Booked]],SnapshotTable[[#This Row],[SC Time Val]] /SnapshotTable[[#This Row],[SC Basis]], "")</f>
        <v/>
      </c>
      <c r="FR199" s="27" t="str" cm="1">
        <f t="array" ref="FR199">IF(AND(ISNUMBER(SnapshotTable[[#This Row],[SC Term]]),ISNUMBER(SnapshotTable[[#This Row],[SC Simple ROO]])), EllmanAnnualize(SnapshotTable[[#This Row],[SC DTE]], SnapshotTable[[#This Row],[SC Simple ROO]] ),"")</f>
        <v/>
      </c>
      <c r="FS199" s="4" t="e">
        <f>IF(SnapshotTable[[#This Row],[SC Strike Price]] &gt; SnapshotTable[[#This Row],[Last Price]], SnapshotTable[[#This Row],[SC Strike Price]] - SnapshotTable[[#This Row],[Last Price]],0)</f>
        <v>#VALUE!</v>
      </c>
      <c r="FT199" s="27" t="e">
        <f>IF(AND(ISNUMBER(SnapshotTable[[#This Row],[SC Upside Potential]]), SnapshotTable[[#This Row],[SC Upside Potential]] &gt; 0),(SnapshotTable[[#This Row],[SC Upside Potential]]/ SnapshotTable[[#This Row],[ACB]]),"")</f>
        <v>#VALUE!</v>
      </c>
      <c r="FU199" s="333" t="str">
        <f>IF(SnapshotTable[[#This Row],[SC Intrinsic Value]] &gt; 0,SnapshotTable[[#This Row],[SC Intrinsic Value]],"")</f>
        <v/>
      </c>
      <c r="FV199" s="27" t="str">
        <f>IF(AND( ISNUMBER( SnapshotTable[[#This Row],[ACB]]),ISNUMBER(SnapshotTable[[#This Row],[SC Downside Protect]])),SnapshotTable[[#This Row],[SC Downside Protect]] / SnapshotTable[[#This Row],[ACB]],"")</f>
        <v/>
      </c>
      <c r="FW199" s="236" t="str">
        <f>IF(AND(ISNUMBER(SnapshotTable[[#This Row],[SC Simple ROO]]),SnapshotTable[[#This Row],[SC Simple ROO]] &gt; 0), SnapshotTable[[#This Row],[SC Premium]] + (SnapshotTable[[#This Row],[SC Qty]] * SnapshotTable[[#This Row],[SC Upside Potential]]), "")</f>
        <v/>
      </c>
      <c r="FX199" s="302" t="str" cm="1">
        <f t="array" ref="FX199">IF(ISNUMBER(SnapshotTable[[#This Row],[SC Max Dollars]]), annualize(SnapshotTable[[#This Row],[SC Term]],(SnapshotTable[[#This Row],[SC Max Dollars]]/SnapshotTable[[#This Row],[SC Basis]])),"")</f>
        <v/>
      </c>
      <c r="FY199" s="236" t="str">
        <f>IF(AND(SnapshotTable[[#This Row],[SC Qty]]&gt;0,SnapshotTable[[#This Row],[SC Current Ask]]&gt;0), SnapshotTable[[#This Row],[SC Qty]] * SnapshotTable[[#This Row],[SC Current Ask]] * -100, "")</f>
        <v/>
      </c>
      <c r="FZ199" s="31" t="str">
        <f>IF(ISNUMBER((SnapshotTable[[#This Row],[SC Current Value]])), SnapshotTable[[#This Row],[SC Premium]] + SnapshotTable[[#This Row],[SC Current Value]], "")</f>
        <v/>
      </c>
      <c r="GA199" s="294" t="str">
        <f>IFERROR( IF(ISNUMBER((SnapshotTable[[#This Row],[SC Current Value]])), SnapshotTable[[#This Row],[SC Gain Loss]] / SnapshotTable[[#This Row],[SC Premium]], ""), "")</f>
        <v/>
      </c>
      <c r="GB199" s="42">
        <f>SnapshotTable[[#This Row],[Equity Shares]] * SaleSharesToConsiderPercentage</f>
        <v>0</v>
      </c>
      <c r="GC199" s="40">
        <f>SnapshotTable[[#This Row],[Long Term Target]] * SellingPriceToConsiderBasedOnTargetPercentage</f>
        <v>45.837499999999999</v>
      </c>
      <c r="GD199" s="40">
        <f>SnapshotTable[[#This Row],[Last Price]] * (1+ SellingPriceToConsiderBasedOnTargetPercentage)</f>
        <v>98.981999999999999</v>
      </c>
      <c r="GE199" s="41"/>
      <c r="GF199" s="40"/>
      <c r="GG199" s="31">
        <f>SnapshotTable[[#This Row],[Booked Sale Shares]] * SnapshotTable[[#This Row],[Booked Sale Price]]</f>
        <v>0</v>
      </c>
      <c r="GH199" s="31" t="str">
        <f>IF(SnapshotTable[[#This Row],[Equity Basis Total]] &gt; 0, SnapshotTable[[#This Row],[Equity Basis Per Share]] * SnapshotTable[[#This Row],[Booked Sale Shares]], "")</f>
        <v/>
      </c>
      <c r="GI199" s="31">
        <f>IF(SnapshotTable[[#This Row],[Sale Proceeds]]&gt;0, SnapshotTable[[#This Row],[Sale Proceeds]] - SnapshotTable[[#This Row],[Sale Basis]], 0)</f>
        <v>0</v>
      </c>
      <c r="GJ199" s="27" t="str">
        <f>IF(SnapshotTable[[#This Row],[Sale G/L]]&gt;0, SnapshotTable[[#This Row],[Sale G/L]] / SnapshotTable[[#This Row],[Sale Basis]], IF(ISNUMBER(SnapshotTable[[#This Row],[SC Exercise P&amp;L (TAX)]]), SnapshotTable[[#This Row],[SC Exercise P&amp;L (TAX)]] / SnapshotTable[[#This Row],[SC Basis]], ""))</f>
        <v/>
      </c>
      <c r="GK199" s="27" t="s">
        <v>716</v>
      </c>
      <c r="GL199" s="43" t="str">
        <f>IF(AND(SnapshotTable[[#This Row],[LP Exp Date]]&gt;0,SnapshotTable[[#This Row],[LP Strike Price]]&gt;0), [1]!ToOptionSymbol(SnapshotTable[[#This Row],[Symbol]], SnapshotTable[[#This Row],[LP Strike Price]],SnapshotTable[[#This Row],[LP Exp Date]],1), "")</f>
        <v/>
      </c>
      <c r="GM199" s="30" t="str">
        <f>IF(LEN(SnapshotTable[[#This Row],[LP Symbol]])&gt;0, 1, "")</f>
        <v/>
      </c>
      <c r="GN199" s="43" t="str">
        <f>IF(AND(SnapshotTable[[#This Row],[SP Exp Date]]&gt;0,SnapshotTable[[#This Row],[SP Strike Price]]&gt;0), [1]!ToOptionSymbol(SnapshotTable[[#This Row],[Symbol]], SnapshotTable[[#This Row],[SP Strike Price]],SnapshotTable[[#This Row],[SP Exp Date]],1), "")</f>
        <v/>
      </c>
      <c r="GO199" s="30" t="str">
        <f>IF(LEN(SnapshotTable[[#This Row],[SP Symbol]])&gt;0, 1, "")</f>
        <v/>
      </c>
      <c r="GP199" s="43" t="str">
        <f>IF(AND(SnapshotTable[[#This Row],[LC Exp Date]]&gt;0,SnapshotTable[[#This Row],[LC Strike Price]]&gt;0), [1]!ToOptionSymbol(SnapshotTable[[#This Row],[Symbol]], SnapshotTable[[#This Row],[LC Strike Price]],SnapshotTable[[#This Row],[LC Exp Date]],0), "")</f>
        <v/>
      </c>
      <c r="GQ199" s="30" t="str">
        <f>IF(LEN(SnapshotTable[[#This Row],[LC Symbol]])&gt;0, 1, "")</f>
        <v/>
      </c>
      <c r="GR199" s="43" t="str">
        <f>IF(AND(SnapshotTable[[#This Row],[SC Exp Date]]&gt;0,SnapshotTable[[#This Row],[SC Strike Price]]&gt;0), [1]!ToOptionSymbol(SnapshotTable[[#This Row],[Symbol]], SnapshotTable[[#This Row],[SC Strike Price]],SnapshotTable[[#This Row],[SC Exp Date]],0), "")</f>
        <v/>
      </c>
      <c r="GS199" s="30" t="str">
        <f>IF(LEN(SnapshotTable[[#This Row],[SC Symbol]])&gt;0, 1, "")</f>
        <v/>
      </c>
      <c r="GT199" s="29" t="str">
        <f>IF(COUNT(SnapshotTable[[#This Row],[LP Symbol Count]],SnapshotTable[[#This Row],[SP Symbol Count]],SnapshotTable[[#This Row],[LC Symbol Count]],SnapshotTable[[#This Row],[SC Symbol Count]])&gt;0, "Y", "")</f>
        <v/>
      </c>
      <c r="GU19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9" s="231" t="e">
        <f>MAX(SnapshotTable[[#This Row],[Equity Basis Total]],SnapshotTable[[#This Row],[Equity Value]]) + (SnapshotTable[[#This Row],[SP Potential Spend]]- SnapshotTable[[#This Row],[SP Premium]] + SnapshotTable[[#This Row],[LP Premium]])+ (SnapshotTable[[#This Row],[LC Premium]] - SnapshotTable[[#This Row],[SC Premium]])</f>
        <v>#VALUE!</v>
      </c>
      <c r="GW199" s="139" t="e">
        <f>IF(AND(SnapshotTable[[#This Row],[Exposure]] &lt;&gt; 0),SnapshotTable[[#This Row],[Exposure]] / SnapshotTable[[#Totals],[Exposure]], "")</f>
        <v>#VALUE!</v>
      </c>
      <c r="HE199" s="268"/>
      <c r="HF199" s="268"/>
      <c r="HK199" s="1"/>
      <c r="HL199" s="1"/>
      <c r="HM199" s="1"/>
      <c r="HN199" s="1"/>
      <c r="HO199" s="1"/>
      <c r="HP199" s="1"/>
    </row>
    <row r="200" spans="2:224" ht="12.75" hidden="1" customHeight="1" x14ac:dyDescent="0.25">
      <c r="B200" s="12" t="s">
        <v>1064</v>
      </c>
      <c r="C200" s="422">
        <v>39.96</v>
      </c>
      <c r="D200" s="208" t="s">
        <v>578</v>
      </c>
      <c r="E200" s="39">
        <f>SnapshotTable[[#This Row],[Last Price]]*(1 -CrashDiscount)</f>
        <v>33.966000000000001</v>
      </c>
      <c r="F200" s="26" t="s">
        <v>5</v>
      </c>
      <c r="G200" s="26" t="s">
        <v>4</v>
      </c>
      <c r="H200" s="149"/>
      <c r="I200" s="194"/>
      <c r="J200" s="195"/>
      <c r="K200" s="196"/>
      <c r="L200" s="327"/>
      <c r="M200" s="140"/>
      <c r="N200" s="140"/>
      <c r="O200" s="140"/>
      <c r="P200" s="22"/>
      <c r="Q200" s="25"/>
      <c r="R200" s="4" t="str">
        <f>IF(SnapshotTable[[#This Row],[Equity Basis Total]] &gt; 0, SnapshotTable[[#This Row],[Equity Basis Total]] / SnapshotTable[[#This Row],[Equity Shares]], "")</f>
        <v/>
      </c>
      <c r="S200" s="329">
        <f>SnapshotTable[[#This Row],[Last Price]] * SnapshotTable[[#This Row],[Equity Shares]]</f>
        <v>0</v>
      </c>
      <c r="T200" s="269">
        <f>SnapshotTable[[#This Row],[Equity Value]] - SnapshotTable[[#This Row],[Equity Basis Total]]</f>
        <v>0</v>
      </c>
      <c r="U200" s="270" t="str">
        <f>IF(SnapshotTable[[#This Row],[Equity Basis Total]] &gt; 0, SnapshotTable[[#This Row],[Equity G/L]] / SnapshotTable[[#This Row],[Equity Basis Total]], "")</f>
        <v/>
      </c>
      <c r="V200" s="268"/>
      <c r="W200" s="268"/>
      <c r="X200" s="4" t="str">
        <f>IF(AND(ISNUMBER(SnapshotTable[[#This Row],[Equity Basis Per Share]]),ISNUMBER(SnapshotTable[[#This Row],[Equity Target]])),SnapshotTable[[#This Row],[Equity Target]]-SnapshotTable[[#This Row],[Equity Basis Per Share]],"")</f>
        <v/>
      </c>
      <c r="Y200" s="4" t="str">
        <f>IF(AND(ISNUMBER(SnapshotTable[[#This Row],[Equity Basis Per Share]]),ISNUMBER(SnapshotTable[[#This Row],[Equity Stop Loss]])),SnapshotTable[[#This Row],[Equity Stop Loss]]-SnapshotTable[[#This Row],[Equity Basis Per Share]],"")</f>
        <v/>
      </c>
      <c r="Z200" s="275" t="str">
        <f>IFERROR( TEXT(SnapshotTable[[#This Row],[Equity Max Gain Per Share]] /ABS( SnapshotTable[[#This Row],[Equity Max Loss Per Share]]),"0.0 " ) &amp; " : 1", "")</f>
        <v/>
      </c>
      <c r="AA200" s="31" t="str">
        <f>IF(ISNUMBER(SnapshotTable[[#This Row],[Equity Max Gain Per Share]]),SnapshotTable[[#This Row],[Equity Max Gain Per Share]] * SnapshotTable[[#This Row],[Equity Shares]],"")</f>
        <v/>
      </c>
      <c r="AB200" s="31" t="str">
        <f>IF(ISNUMBER(SnapshotTable[[#This Row],[Equity Max Loss Per Share]]),SnapshotTable[[#This Row],[Equity Max Loss Per Share]] * SnapshotTable[[#This Row],[Equity Shares]],"")</f>
        <v/>
      </c>
      <c r="AC200" s="150"/>
      <c r="AD200" s="151"/>
      <c r="AE200" s="31">
        <f>(SnapshotTable[[#This Row],[Annual Dividend Per Share]] / 4) * SnapshotTable[[#This Row],[Equity Shares]]</f>
        <v>0</v>
      </c>
      <c r="AF200" s="31">
        <f>SnapshotTable[[#This Row],[Quarterly Div $]] * 4</f>
        <v>0</v>
      </c>
      <c r="AG200" s="7">
        <f>IF(SnapshotTable[[#This Row],[Annual Dividend Per Share]]&gt;0, SnapshotTable[[#This Row],[Annual Dividend Per Share]]  / SnapshotTable[[#This Row],[Last Price]], 0)</f>
        <v>0</v>
      </c>
      <c r="AH200" s="151"/>
      <c r="AI200" s="330"/>
      <c r="AJ200" s="138"/>
      <c r="AK200" s="152" t="str">
        <f>IF(ISNUMBER( SnapshotTable[[#This Row],[EBF Target]]),(SnapshotTable[[#This Row],[EBF Target]] - SnapshotTable[[#This Row],[Last Price]]) / SnapshotTable[[#This Row],[Last Price]], "")</f>
        <v/>
      </c>
      <c r="AL200" s="152" t="str">
        <f>IF(AND(SnapshotTable[[#This Row],[Equity Basis Total]] &gt; 0,ISNUMBER( SnapshotTable[[#This Row],[Long Term Target]])), SnapshotTable[[#This Row],[From Basis $]] / SnapshotTable[[#This Row],[Equity Basis Total]], "")</f>
        <v/>
      </c>
      <c r="AM200" s="9">
        <f>IF( AND(SnapshotTable[[#This Row],[Equity Shares]] &gt;0,ISNUMBER( SnapshotTable[[#This Row],[Long Term Target]])),(SnapshotTable[[#This Row],[Equity Shares]] * SnapshotTable[[#This Row],[Long Term Target]]) - SnapshotTable[[#This Row],[Equity Basis Total]],0)</f>
        <v>0</v>
      </c>
      <c r="AN200" s="9">
        <f>IF( AND(SnapshotTable[[#This Row],[Equity Shares]] &gt;0,ISNUMBER( SnapshotTable[[#This Row],[Long Term Target]])),(SnapshotTable[[#This Row],[Equity Shares]]*SnapshotTable[[#This Row],[Long Term Target]]) - SnapshotTable[[#This Row],[Equity Value]],0)</f>
        <v>0</v>
      </c>
      <c r="AO200" s="152" t="str">
        <f>IF(AND(ISNUMBER( SnapshotTable[[#This Row],[Long Term Target]]), ISNUMBER(SnapshotTable[[#This Row],[Last Price]])),(SnapshotTable[[#This Row],[Long Term Target]] - SnapshotTable[[#This Row],[Last Price]]) / SnapshotTable[[#This Row],[Last Price]], "")</f>
        <v/>
      </c>
      <c r="AP200" s="5">
        <v>32</v>
      </c>
      <c r="AQ200" s="38" t="s">
        <v>27</v>
      </c>
      <c r="AR200" s="5">
        <v>32</v>
      </c>
      <c r="AS200" s="38" t="s">
        <v>38</v>
      </c>
      <c r="AT200" s="146" t="s">
        <v>542</v>
      </c>
      <c r="AU200" s="187" t="str">
        <f>IF(OR(SnapshotTable[[#This Row],[LP No Fill]]="Y",SnapshotTable[[#This Row],[SP Is Filled]],SnapshotTable[[#This Row],[LC Not Filled]]="Y",SnapshotTable[[#This Row],[SC Is Filled]]),"Y","")</f>
        <v/>
      </c>
      <c r="AV200" s="338"/>
      <c r="AW200" s="339"/>
      <c r="AX200" s="220"/>
      <c r="AY200" s="219" t="str">
        <f>IF(SnapshotTable[[#This Row],[Implied Move]]&gt;0, SnapshotTable[[#This Row],[Last Price]]-SnapshotTable[[#This Row],[Implied Move]],"")</f>
        <v/>
      </c>
      <c r="AZ200" s="219" t="str">
        <f>IF(SnapshotTable[[#This Row],[Implied Move]]&gt;0, SnapshotTable[[#This Row],[Last Price]] + SnapshotTable[[#This Row],[Implied Move]],"")</f>
        <v/>
      </c>
      <c r="BA200" s="331">
        <v>32.17</v>
      </c>
      <c r="BB200" s="347" t="s">
        <v>1193</v>
      </c>
      <c r="BC20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0" s="351"/>
      <c r="BE200" s="138"/>
      <c r="BF200" s="166"/>
      <c r="BG200" s="167"/>
      <c r="BH200" s="167"/>
      <c r="BI200" s="221"/>
      <c r="BJ200" s="153">
        <f>IF(SnapshotTable[[#This Row],[LP Qty]] &gt; 0, SnapshotTable[[#This Row],[LP Qty]] * SnapshotTable[[#This Row],[LP Book Price]] * 100,0)</f>
        <v>0</v>
      </c>
      <c r="BK200" s="136">
        <f>IF(SnapshotTable[[#This Row],[LP Premium]] &gt; 0, SnapshotTable[[#This Row],[LP Qty]] * SnapshotTable[[#This Row],[LP Strike Price]] * 100,0)</f>
        <v>0</v>
      </c>
      <c r="BL200" s="154"/>
      <c r="BM200" s="385" t="str">
        <f>IF(SnapshotTable[[#This Row],[LP Premium]] &gt; 0,SnapshotTable[[#This Row],[LP Exp Date]]-MAX(SnapshotTable[[#This Row],[LP Book Date]], SnapshotTable[[#This Row],[LP Fill Date]]),"")</f>
        <v/>
      </c>
      <c r="BN200" s="385" t="str">
        <f>IF(ISNUMBER( SnapshotTable[[#This Row],[LP Term]]), SnapshotTable[[#This Row],[LP Exp Date]] - MockToday,"")</f>
        <v/>
      </c>
      <c r="BO200" s="163" t="str">
        <f>IF(AND(SnapshotTable[[#This Row],[LP Exp Date]]&gt;0, SnapshotTable[[#This Row],[LP Strike Price]]&gt;0,SnapshotTable[[#This Row],[LP Qty]]&gt;0,SnapshotTable[[#This Row],[LP Book Date]]&gt;0,SnapshotTable[[#This Row],[LP Book Price]]&gt;0,SnapshotTable[[#This Row],[LP Fill Date]]=0),"Y","")</f>
        <v/>
      </c>
      <c r="BP200" s="31" t="str">
        <f>IF(AND(SnapshotTable[[#This Row],[LP No Fill]]&lt;&gt;"Y",SnapshotTable[[#This Row],[LP Contract Value]]&gt;0, SnapshotTable[[#This Row],[LP Qty]]&gt;0), SnapshotTable[[#This Row],[LP Contract Value]]*SnapshotTable[[#This Row],[LP Qty]]*100,"")</f>
        <v/>
      </c>
      <c r="BQ200" s="13"/>
      <c r="BR200" s="5" t="str">
        <f>IF(SnapshotTable[[#This Row],[SP Exp Date]]&lt;&gt;"",TRUNC(SnapshotTable[[#This Row],[Last Price]]),"")</f>
        <v/>
      </c>
      <c r="BS200" s="36"/>
      <c r="BT200" s="147"/>
      <c r="BU200" s="13"/>
      <c r="BV200" s="5"/>
      <c r="BW200" s="419" t="b">
        <f>AND(ISNUMBER(SnapshotTable[[#This Row],[SP Exp Date]]), ISNUMBER(SnapshotTable[[#This Row],[SP Strike Price]]), ISNUMBER(SnapshotTable[[#This Row],[SP Qty]]), ISNUMBER(SnapshotTable[[#This Row],[SP Book Date]]), ISNUMBER(SnapshotTable[[#This Row],[SP Book Price]]))</f>
        <v>0</v>
      </c>
      <c r="BX200" s="419" t="b">
        <f>AND(SnapshotTable[[#This Row],[SP Is Booked]], NOT(ISBLANK(SnapshotTable[[#This Row],[SP Fill Date]])))</f>
        <v>0</v>
      </c>
      <c r="BY200" s="33">
        <f>IF(SnapshotTable[[#This Row],[SP Is Booked]], SnapshotTable[[#This Row],[SP Qty]] * SnapshotTable[[#This Row],[SP Book Price]] * 100, 0)</f>
        <v>0</v>
      </c>
      <c r="BZ200" s="369"/>
      <c r="CA200" s="368">
        <f>SnapshotTable[[#This Row],[LP Qty]]</f>
        <v>0</v>
      </c>
      <c r="CB200" s="4" t="str">
        <f>IF(SnapshotTable[[#This Row],[SP Is Booked]], SnapshotTable[[#This Row],[SP Strike Price]] - SnapshotTable[[#This Row],[SP Book Price]], "")</f>
        <v/>
      </c>
      <c r="CC200" s="19" t="str">
        <f>IF(SnapshotTable[[#This Row],[SP Is Booked]],SnapshotTable[[#This Row],[SP Exp Date]]-MAX(SnapshotTable[[#This Row],[SP Book Date]], SnapshotTable[[#This Row],[SP Fill Date]]),"")</f>
        <v/>
      </c>
      <c r="CD200" s="7" t="str">
        <f>IF(SnapshotTable[[#This Row],[SP Is Booked]], SnapshotTable[[#This Row],[SP Book Price]]/SnapshotTable[[#This Row],[SP Strike Price]], "")</f>
        <v/>
      </c>
      <c r="CE200" s="7" t="str">
        <f>IF(ISNUMBER(SnapshotTable[[#This Row],[SP ROO Term]]),SnapshotTable[[#This Row],[SP ROO Term]]*(365/SnapshotTable[[#This Row],[SP Term]]),"")</f>
        <v/>
      </c>
      <c r="CF200" s="236">
        <f>SnapshotTable[[#This Row],[LP Strike Price]] * SnapshotTable[[#This Row],[LP Qty]] * 100</f>
        <v>0</v>
      </c>
      <c r="CG200" s="31" t="e">
        <f>IF(ISNUMBER(SnapshotTable[[#This Row],[SP Premium]]), (SnapshotTable[[#This Row],[SP Qty]] * SnapshotTable[[#This Row],[SP Strike Price]]* 100) - SnapshotTable[[#This Row],[LP Protection]], 0)</f>
        <v>#VALUE!</v>
      </c>
      <c r="CH200" s="7" t="str">
        <f>IF(ISNUMBER(SnapshotTable[[#This Row],[SP Break Even]]),-1 * (SnapshotTable[[#This Row],[SP Break Even]] - SnapshotTable[[#This Row],[Last Price]]) / SnapshotTable[[#This Row],[Last Price]], "")</f>
        <v/>
      </c>
      <c r="CI200" s="31">
        <f>IF(AND(ISNUMBER((SnapshotTable[[#This Row],[SP Potential Spend]])), SnapshotTable[[#This Row],[SP Strike Price]] &gt; SnapshotTable[[#This Row],[Last Price]], SnapshotTable[[#This Row],[SP Is Filled]]), SnapshotTable[[#This Row],[SP Potential Spend]] -  SnapshotTable[[#This Row],[LP Max Value]], 0)</f>
        <v>0</v>
      </c>
      <c r="CJ200" s="244">
        <v>0.01</v>
      </c>
      <c r="CK200" s="31" t="str">
        <f>IF(ISNUMBER(SnapshotTable[[#This Row],[SP Potential Spend]]),IF(ISNUMBER(SnapshotTable[[#This Row],[SP POW]]), SnapshotTable[[#This Row],[SP POW]] * SnapshotTable[[#This Row],[SP Potential Spend]], SnapshotTable[[#This Row],[SP Potential Spend]]), "")</f>
        <v/>
      </c>
      <c r="CL200" s="164" t="e">
        <f>IF(NOT(SnapshotTable[[#This Row],[SP Is Filled]]),(SnapshotTable[[#This Row],[SP Qty]] * SnapshotTable[[#This Row],[SP Strike Price]] * 100) - SnapshotTable[[#This Row],[LP Max Value]],"")</f>
        <v>#VALUE!</v>
      </c>
      <c r="CM200" s="31" t="str">
        <f>IF(SnapshotTable[[#This Row],[SP Actual Spend]]&lt;&gt;0, ((SnapshotTable[[#This Row],[SP Strike Price]]-SnapshotTable[[#This Row],[Last Price]]) *(SnapshotTable[[#This Row],[SP Qty]]*100) - SnapshotTable[[#This Row],[SP Premium]]) * - 1, "")</f>
        <v/>
      </c>
      <c r="CN200" s="154"/>
      <c r="CO200" s="369"/>
      <c r="CP200" s="320" t="str">
        <f>IF(SnapshotTable[[#This Row],[SP Is Filled]], btc_max_buyback_amount(SnapshotTable[[#This Row],[SP Fill Date]],SnapshotTable[[#This Row],[SP Exp Date]], SnapshotTable[[#This Row],[SP Book Price]]),"")</f>
        <v/>
      </c>
      <c r="CQ200" s="78"/>
      <c r="CR200" s="76"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0" s="155" t="str">
        <f>IF(SnapshotTable[[#This Row],[SP Is Filled]], btc_next_cutoff_date(SnapshotTable[[#This Row],[SP Fill Date]],SnapshotTable[[#This Row],[SP Exp Date]]),"")</f>
        <v/>
      </c>
      <c r="CT200" s="235" t="str" cm="1">
        <f t="array" ref="CT200">IF(SnapshotTable[[#This Row],[SP Is Filled]], btc_should_buy_back(SnapshotTable[[#This Row],[SP Fill Date]], SnapshotTable[[#This Row],[SP Exp Date]], SnapshotTable[[#This Row],[SP Book Price]], SnapshotTable[[#This Row],[SP Current Ask]], MockToday, SnapshotTable[[#This Row],[SP Buyback Override]]),"")</f>
        <v/>
      </c>
      <c r="CU200" s="143"/>
      <c r="CV200" s="235"/>
      <c r="CW200" s="378" t="str">
        <f>IF(ISNUMBER( SnapshotTable[[#This Row],[SP Term]]), SnapshotTable[[#This Row],[SP Exp Date]] - MockToday,"")</f>
        <v/>
      </c>
      <c r="CX200" s="31" t="str">
        <f>IF(SnapshotTable[[#This Row],[SP Is Filled]],SnapshotTable[[#This Row],[SP Buyback Price to Use]] * 100 * SnapshotTable[[#This Row],[SP Qty]], "")</f>
        <v/>
      </c>
      <c r="CY200" s="4" t="str">
        <f>IF(ISNUMBER(SnapshotTable[[#This Row],[SP Strike Price]]), SnapshotTable[[#This Row],[SP Strike Price]] * (1 - SP_MaxLoss_StrikePct), "")</f>
        <v/>
      </c>
      <c r="CZ200" s="31" t="str">
        <f>IF(ISNUMBER(SnapshotTable[[#This Row],[SP Strike  Stop Per Share]]),SnapshotTable[[#This Row],[SP Premium]] - ((SnapshotTable[[#This Row],[SP Strike Price]]-SnapshotTable[[#This Row],[SP Strike  Stop Per Share]]) *(SnapshotTable[[#This Row],[SP Qty]] * 100)),"")</f>
        <v/>
      </c>
      <c r="DA200" s="4" t="str">
        <f>IF(AND(ISNUMBER(SnapshotTable[[#This Row],[SP Premium]]),SnapshotTable[[#This Row],[SP Premium]]&gt;0), SnapshotTable[[#This Row],[SP Book Price]] * (1 + SP_MaxLoss_OptionPct), "")</f>
        <v/>
      </c>
      <c r="DB200" s="31" t="str">
        <f>IF(ISNUMBER(SnapshotTable[[#This Row],[SP Option  Stop Contract]]),(SnapshotTable[[#This Row],[SP Option  Stop Contract]] *(SnapshotTable[[#This Row],[SP Qty]] * 100) - SnapshotTable[[#This Row],[SP Premium]]),"")</f>
        <v/>
      </c>
      <c r="DC200" s="4"/>
      <c r="DD200" s="4"/>
      <c r="DE200" s="4" t="str">
        <f>IF(AND(SnapshotTable[[#This Row],[SP Qty]]&gt;0, SnapshotTable[[#This Row],[SP Stop To Use]]&gt;0),SnapshotTable[[#This Row],[SP Premium]] - ( SnapshotTable[[#This Row],[SP Qty]] * SnapshotTable[[#This Row],[SP Stop To Use]] * 100), "")</f>
        <v/>
      </c>
      <c r="DF200" s="31" t="str">
        <f>IF(AND(SnapshotTable[[#This Row],[SP Qty]]&gt;0,SnapshotTable[[#This Row],[SP Current Ask]]&gt;0), SnapshotTable[[#This Row],[SP Qty]] * SnapshotTable[[#This Row],[SP Current Ask]] * -100, "")</f>
        <v/>
      </c>
      <c r="DG200" s="31" t="str">
        <f>IF(ISNUMBER((SnapshotTable[[#This Row],[SP Total Value]])), SnapshotTable[[#This Row],[SP Premium]] + SnapshotTable[[#This Row],[SP Total Value]], "")</f>
        <v/>
      </c>
      <c r="DH200" s="294" t="str">
        <f>IF(ISNUMBER((SnapshotTable[[#This Row],[SP Total Value]])), SnapshotTable[[#This Row],[SP Gain Loss]] / SnapshotTable[[#This Row],[SP Premium]], "")</f>
        <v/>
      </c>
      <c r="DI200" s="406"/>
      <c r="DJ200" s="138"/>
      <c r="DK200" s="148"/>
      <c r="DL200" s="147"/>
      <c r="DM200" s="147"/>
      <c r="DO200" s="31">
        <f>IF(SnapshotTable[[#This Row],[LC Symbol Count]]=1, SnapshotTable[[#This Row],[LC Qty]] * SnapshotTable[[#This Row],[LC Book Price]] * 100, 0)</f>
        <v>0</v>
      </c>
      <c r="DP200" s="289" t="str">
        <f>IF(AND(SnapshotTable[[#This Row],[LC Exp Date]]&gt;0, SnapshotTable[[#This Row],[LC Strike Price]]&gt;0,SnapshotTable[[#This Row],[LC Qty]]&gt;0,SnapshotTable[[#This Row],[LC Book Date]]&gt;0,SnapshotTable[[#This Row],[LC Book Price]]&gt;0,SnapshotTable[[#This Row],[LC Fill Date]]=0),"Y","")</f>
        <v/>
      </c>
      <c r="DQ200" s="386" t="str">
        <f>IF(SnapshotTable[[#This Row],[LC Premium]] &gt; 0,SnapshotTable[[#This Row],[LC Exp Date]]-MAX(SnapshotTable[[#This Row],[LC Book Date]], SnapshotTable[[#This Row],[LC Fill Date]]),"")</f>
        <v/>
      </c>
      <c r="DR200" s="386" t="str">
        <f>IF(ISNUMBER(SnapshotTable[[#This Row],[LC Term]]), SnapshotTable[[#This Row],[LC Exp Date]] - MockToday, "")</f>
        <v/>
      </c>
      <c r="DS200" s="234" t="str">
        <f>IF(SnapshotTable[[#This Row],[LC Premium]]&gt;0,SnapshotTable[[#This Row],[LC Strike Price]] + SnapshotTable[[#This Row],[LC Book Price]],"")</f>
        <v/>
      </c>
      <c r="DU200" s="9" t="str">
        <f>IF(AND(SnapshotTable[[#This Row],[LC Symbol Count]]&gt;0, SnapshotTable[[#This Row],[LC Contract Value]]&gt;0), SnapshotTable[[#This Row],[LC Contract Value]] * SnapshotTable[[#This Row],[LC Qty]] * 100, "")</f>
        <v/>
      </c>
      <c r="DV200" s="9" t="str">
        <f>IF(AND(ISNUMBER(SnapshotTable[[#This Row],[LC Total Value]]), SnapshotTable[[#This Row],[LC Not Filled]]&lt;&gt;"Y"), SnapshotTable[[#This Row],[LC Total Value]]-SnapshotTable[[#This Row],[LC Premium]],"")</f>
        <v/>
      </c>
      <c r="DW200" s="240" t="str">
        <f>IF(ISNUMBER(SnapshotTable[[#This Row],[LC Actual Gain Loss]]), SnapshotTable[[#This Row],[LC Actual Gain Loss]] / SnapshotTable[[#This Row],[LC Premium]],"")</f>
        <v/>
      </c>
      <c r="DX200" s="284" t="str">
        <f>IF(ISNUMBER(SnapshotTable[[#This Row],[LC Book Price]]),SnapshotTable[[#This Row],[LC Book Price]] * 1.5,"")</f>
        <v/>
      </c>
      <c r="DY200" s="265" t="str">
        <f>IF(SnapshotTable[[#This Row],[LC Premium]]&gt;0, SnapshotTable[[#This Row],[LC Next Target]] * SnapshotTable[[#This Row],[LC Qty]] * 100,"")</f>
        <v/>
      </c>
      <c r="DZ200" s="265" t="str">
        <f>IF(ISNUMBER(SnapshotTable[[#This Row],[LC Target Gross]]), SnapshotTable[[#This Row],[LC Target Gross]] - SnapshotTable[[#This Row],[LC Premium]], "")</f>
        <v/>
      </c>
      <c r="EA200" s="305" t="str">
        <f>IF(ISNUMBER(SnapshotTable[[#This Row],[LC Target Gain Loss]]), SnapshotTable[[#This Row],[LC Target Gain Loss]]/SnapshotTable[[#This Row],[LC Premium]], "")</f>
        <v/>
      </c>
      <c r="EB200" s="262"/>
      <c r="EC200" s="290" t="str">
        <f>IF(SnapshotTable[[#This Row],[LC Premium]]&gt;0, SnapshotTable[[#This Row],[LC Book Price]] * (1 - LC_StopLoss_Pct),"")</f>
        <v/>
      </c>
      <c r="ED200" s="284"/>
      <c r="EE200" s="290" t="str">
        <f>IF(ISNUMBER(SnapshotTable[[#This Row],[LC Contract Value]]),IF(ISNUMBER(SnapshotTable[[#This Row],[LC Stop Loss Override]]), SnapshotTable[[#This Row],[LC Stop Loss Override]],SnapshotTable[[#This Row],[LC Stop Loss Calc Target]]),"")</f>
        <v/>
      </c>
      <c r="EF200" s="321" t="str">
        <f>IF(ISNUMBER(SnapshotTable[[#This Row],[LC Stop  To Use]]), (SnapshotTable[[#This Row],[LC Stop  To Use]] * SnapshotTable[[#This Row],[LC Qty]] * 100),"")</f>
        <v/>
      </c>
      <c r="EG200" s="9" t="str">
        <f>IF(ISNUMBER(SnapshotTable[[#This Row],[LC Total Value]]),SnapshotTable[[#This Row],[LC Stop Loss Amount]] - SnapshotTable[[#This Row],[LC Premium]],"")</f>
        <v/>
      </c>
      <c r="EH200" s="9">
        <f>IF(ISNUMBER(SnapshotTable[[#This Row],[LC Premium]]), SnapshotTable[[#This Row],[LC Qty]] * 100 * SnapshotTable[[#This Row],[LC Strike Price]], "")</f>
        <v>0</v>
      </c>
      <c r="EI200" s="240" t="str">
        <f>IF(AND(ISNUMBER(SnapshotTable[[#This Row],[LC Total Value]]),SnapshotTable[[#This Row],[LC Total Value]]&gt;0),SnapshotTable[[#This Row],[LC Stop Gain Loss]]  / SnapshotTable[[#This Row],[LC Premium]],"")</f>
        <v/>
      </c>
      <c r="EJ200" s="35">
        <f>IF(ISNUMBER(SnapshotTable[[#This Row],[Equity Shares]]),TRUNC(SnapshotTable[[#This Row],[Equity Shares]] / 100),0) + SnapshotTable[[#This Row],[LC Qty]]</f>
        <v>0</v>
      </c>
      <c r="EK200" s="147"/>
      <c r="EL200" s="138" t="str">
        <f>IF(SnapshotTable[[#This Row],[SC Exp Date]]&lt;&gt;"",TRUNC(SnapshotTable[[#This Row],[Last Price]]),"")</f>
        <v/>
      </c>
      <c r="EM200" s="148"/>
      <c r="EN200" s="147"/>
      <c r="EO200" s="147"/>
      <c r="EP200" s="138"/>
      <c r="EQ200" s="419" t="b">
        <f>AND(ISNUMBER(SnapshotTable[[#This Row],[SC Exp Date]]), ISNUMBER(SnapshotTable[[#This Row],[SC Strike Price]]), ISNUMBER(SnapshotTable[[#This Row],[SC Qty]]), ISNUMBER(SnapshotTable[[#This Row],[SC Book Date]]), ISNUMBER(SnapshotTable[[#This Row],[SC Book Price]]))</f>
        <v>0</v>
      </c>
      <c r="ER200" s="419" t="b">
        <f>AND(SnapshotTable[[#This Row],[SC Is Booked]], NOT(ISBLANK(SnapshotTable[[#This Row],[SC Fill Date]])))</f>
        <v>0</v>
      </c>
      <c r="ES200" s="370"/>
      <c r="ET200" s="34" t="str">
        <f>IF(AND(ISNUMBER(SnapshotTable[[#This Row],[SC Exp Date]]), ISNUMBER(SnapshotTable[[#This Row],[SC Book Date]])), SnapshotTable[[#This Row],[SC Exp Date]] - MAX(SnapshotTable[[#This Row],[SC Book Date]], SnapshotTable[[#This Row],[SC Fill Date]]) + 1, "")</f>
        <v/>
      </c>
      <c r="EU200" s="34" t="str">
        <f>IF(ISNUMBER(SnapshotTable[[#This Row],[SC Term]]), SnapshotTable[[#This Row],[SC Exp Date]]- MockToday, "")</f>
        <v/>
      </c>
      <c r="EV200" s="31">
        <f>IF(SnapshotTable[[#This Row],[SC Is Booked]], SnapshotTable[[#This Row],[SC Qty]] * SnapshotTable[[#This Row],[SC Book Price]] * 100, 0)</f>
        <v>0</v>
      </c>
      <c r="EW200" s="4" t="str">
        <f>IF(AND(ISNUMBER(SnapshotTable[[#This Row],[Last Price]]), ISNUMBER( SnapshotTable[[#This Row],[SC Book Price]])), SnapshotTable[[#This Row],[Last Price]] - SnapshotTable[[#This Row],[SC Book Price]],"")</f>
        <v/>
      </c>
      <c r="EX200" s="234" t="str">
        <f>IF(SnapshotTable[[#This Row],[SC Is Booked]],IF(SnapshotTable[[#This Row],[SC Intrinsic Value]] &gt; 0, SnapshotTable[[#This Row],[SC Strike Price]], SnapshotTable[[#This Row],[Last Price]]), "")</f>
        <v/>
      </c>
      <c r="EY200" s="4">
        <f>IF(SnapshotTable[[#This Row],[SC Is Booked]], (MinimumPremiumRequired * SnapshotTable[[#This Row],[SC Basis]] * SnapshotTable[[#This Row],[SC Term]]), 0)</f>
        <v>0</v>
      </c>
      <c r="EZ200" s="283"/>
      <c r="FA200" s="218"/>
      <c r="FB200" s="370"/>
      <c r="FC200" s="4">
        <f>IF(SnapshotTable[[#This Row],[SC Is Filled]], btc_max_buyback_amount(SnapshotTable[[#This Row],[SC Fill Date]],SnapshotTable[[#This Row],[SC Exp Date]], SnapshotTable[[#This Row],[SC Book Price]]),0)</f>
        <v>0</v>
      </c>
      <c r="FD200" s="5"/>
      <c r="FE200" s="144" t="str">
        <f>IF(SnapshotTable[[#This Row],[SC Is Filled]], btc_next_cutoff_date(SnapshotTable[[#This Row],[SC Fill Date]],SnapshotTable[[#This Row],[SC Exp Date]]),"")</f>
        <v/>
      </c>
      <c r="FF200" s="4" t="str" cm="1">
        <f t="array" ref="FF200">IF(SnapshotTable[[#This Row],[SC Is Filled]], btc_should_buy_back(SnapshotTable[[#This Row],[SC Fill Date]], SnapshotTable[[#This Row],[SC Exp Date]], SnapshotTable[[#This Row],[SC Book Price]], SnapshotTable[[#This Row],[SC Current Ask]], MockToday, SnapshotTable[[#This Row],[SC Buyback Override]]),"")</f>
        <v/>
      </c>
      <c r="FG200" s="4">
        <f>IF(SnapshotTable[[#This Row],[SC Is Filled]], MAX(0,SnapshotTable[[#This Row],[Last Price]]  - SnapshotTable[[#This Row],[SC Strike Price]]), 0)</f>
        <v>0</v>
      </c>
      <c r="FH200" s="382">
        <f>IF(SnapshotTable[[#This Row],[SC Is Filled]], IF(ISNUMBER(SnapshotTable[[#This Row],[SC Current Ask]]), SnapshotTable[[#This Row],[SC Current Ask]], SnapshotTable[[#This Row],[SC Book Price]]) - SnapshotTable[[#This Row],[SC Intrinsic Value]], 0)</f>
        <v>0</v>
      </c>
      <c r="FI200" s="143"/>
      <c r="FJ200" s="32" t="str">
        <f>IF(SnapshotTable[[#This Row],[SC Is Filled]],100 * SnapshotTable[[#This Row],[SC Qty]] * IF(ISNUMBER(SnapshotTable[[#This Row],[SC Buyback Override]]), SnapshotTable[[#This Row],[SC Buyback Override]], SnapshotTable[[#This Row],[SC Current Ask]]), "")</f>
        <v/>
      </c>
      <c r="FK200" s="250" t="str">
        <f>IF(SnapshotTable[[#This Row],[SC Time Val]]&gt;0, SnapshotTable[[#This Row],[SC Time Val]] / SnapshotTable[[#This Row],[Last Price]],"")</f>
        <v/>
      </c>
      <c r="FL200" s="302" t="str">
        <f>IF(SnapshotTable[[#This Row],[SC Is Booked]], ((SnapshotTable[[#This Row],[Last Price]] -SnapshotTable[[#This Row],[SC Strike Price]]) / SnapshotTable[[#This Row],[Last Price]]) * -1, "")</f>
        <v/>
      </c>
      <c r="FM200" s="157" t="str">
        <f>IF(SnapshotTable[[#This Row],[SC Is Booked]],  (SnapshotTable[[#This Row],[SC Qty]] * 100 * SnapshotTable[[#This Row],[SC Strike Price]]) - SnapshotTable[[#This Row],[SC Current Ask]], "")</f>
        <v/>
      </c>
      <c r="FN200"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0" s="157" t="str">
        <f>IF(AND(ISNUMBER(SnapshotTable[[#This Row],[SC Exercise Gross]]), ISNUMBER(SnapshotTable[[#This Row],[Equity Basis Per Share]] )), SnapshotTable[[#This Row],[SC Exercise Gross]] - SnapshotTable[[#This Row],[Equity Basis Total]] +  SnapshotTable[[#This Row],[SC Premium]], "")</f>
        <v/>
      </c>
      <c r="FP200" s="5" t="str">
        <f>IF(ISNUMBER(SnapshotTable[[#This Row],[SC Exercise Gross]]), (SnapshotTable[[#This Row],[SC Exercise Gross]]) / (SnapshotTable[[#This Row],[SC Qty]] * 100), "")</f>
        <v/>
      </c>
      <c r="FQ200" s="27" t="str">
        <f>IF(SnapshotTable[[#This Row],[SC Is Booked]],SnapshotTable[[#This Row],[SC Time Val]] /SnapshotTable[[#This Row],[SC Basis]], "")</f>
        <v/>
      </c>
      <c r="FR200" s="27" t="str" cm="1">
        <f t="array" ref="FR200">IF(AND(ISNUMBER(SnapshotTable[[#This Row],[SC Term]]),ISNUMBER(SnapshotTable[[#This Row],[SC Simple ROO]])), EllmanAnnualize(SnapshotTable[[#This Row],[SC DTE]], SnapshotTable[[#This Row],[SC Simple ROO]] ),"")</f>
        <v/>
      </c>
      <c r="FS200" s="4" t="e">
        <f>IF(SnapshotTable[[#This Row],[SC Strike Price]] &gt; SnapshotTable[[#This Row],[Last Price]], SnapshotTable[[#This Row],[SC Strike Price]] - SnapshotTable[[#This Row],[Last Price]],0)</f>
        <v>#VALUE!</v>
      </c>
      <c r="FT200" s="27" t="e">
        <f>IF(AND(ISNUMBER(SnapshotTable[[#This Row],[SC Upside Potential]]), SnapshotTable[[#This Row],[SC Upside Potential]] &gt; 0),(SnapshotTable[[#This Row],[SC Upside Potential]]/ SnapshotTable[[#This Row],[ACB]]),"")</f>
        <v>#VALUE!</v>
      </c>
      <c r="FU200" s="333" t="str">
        <f>IF(SnapshotTable[[#This Row],[SC Intrinsic Value]] &gt; 0,SnapshotTable[[#This Row],[SC Intrinsic Value]],"")</f>
        <v/>
      </c>
      <c r="FV200" s="27" t="str">
        <f>IF(AND( ISNUMBER( SnapshotTable[[#This Row],[ACB]]),ISNUMBER(SnapshotTable[[#This Row],[SC Downside Protect]])),SnapshotTable[[#This Row],[SC Downside Protect]] / SnapshotTable[[#This Row],[ACB]],"")</f>
        <v/>
      </c>
      <c r="FW200" s="236" t="str">
        <f>IF(AND(ISNUMBER(SnapshotTable[[#This Row],[SC Simple ROO]]),SnapshotTable[[#This Row],[SC Simple ROO]] &gt; 0), SnapshotTable[[#This Row],[SC Premium]] + (SnapshotTable[[#This Row],[SC Qty]] * SnapshotTable[[#This Row],[SC Upside Potential]]), "")</f>
        <v/>
      </c>
      <c r="FX200" s="302" t="str" cm="1">
        <f t="array" ref="FX200">IF(ISNUMBER(SnapshotTable[[#This Row],[SC Max Dollars]]), annualize(SnapshotTable[[#This Row],[SC Term]],(SnapshotTable[[#This Row],[SC Max Dollars]]/SnapshotTable[[#This Row],[SC Basis]])),"")</f>
        <v/>
      </c>
      <c r="FY200" s="236" t="str">
        <f>IF(AND(SnapshotTable[[#This Row],[SC Qty]]&gt;0,SnapshotTable[[#This Row],[SC Current Ask]]&gt;0), SnapshotTable[[#This Row],[SC Qty]] * SnapshotTable[[#This Row],[SC Current Ask]] * -100, "")</f>
        <v/>
      </c>
      <c r="FZ200" s="235" t="str">
        <f>IF(ISNUMBER((SnapshotTable[[#This Row],[SC Current Value]])), SnapshotTable[[#This Row],[SC Premium]] + SnapshotTable[[#This Row],[SC Current Value]], "")</f>
        <v/>
      </c>
      <c r="GA200" s="294" t="str">
        <f>IFERROR( IF(ISNUMBER((SnapshotTable[[#This Row],[SC Current Value]])), SnapshotTable[[#This Row],[SC Gain Loss]] / SnapshotTable[[#This Row],[SC Premium]], ""), "")</f>
        <v/>
      </c>
      <c r="GB200" s="42">
        <f>SnapshotTable[[#This Row],[Equity Shares]] * SaleSharesToConsiderPercentage</f>
        <v>0</v>
      </c>
      <c r="GC200" s="40">
        <f>SnapshotTable[[#This Row],[Long Term Target]] * SellingPriceToConsiderBasedOnTargetPercentage</f>
        <v>0</v>
      </c>
      <c r="GD200" s="40">
        <f>SnapshotTable[[#This Row],[Last Price]] * (1+ SellingPriceToConsiderBasedOnTargetPercentage)</f>
        <v>77.921999999999997</v>
      </c>
      <c r="GE200" s="41"/>
      <c r="GF200" s="40"/>
      <c r="GG200" s="31">
        <f>SnapshotTable[[#This Row],[Booked Sale Shares]] * SnapshotTable[[#This Row],[Booked Sale Price]]</f>
        <v>0</v>
      </c>
      <c r="GH200" s="31" t="str">
        <f>IF(SnapshotTable[[#This Row],[Equity Basis Total]] &gt; 0, SnapshotTable[[#This Row],[Equity Basis Per Share]] * SnapshotTable[[#This Row],[Booked Sale Shares]], "")</f>
        <v/>
      </c>
      <c r="GI200" s="31">
        <f>IF(SnapshotTable[[#This Row],[Sale Proceeds]]&gt;0, SnapshotTable[[#This Row],[Sale Proceeds]] - SnapshotTable[[#This Row],[Sale Basis]], 0)</f>
        <v>0</v>
      </c>
      <c r="GJ200" s="158" t="str">
        <f>IF(SnapshotTable[[#This Row],[Sale G/L]]&gt;0, SnapshotTable[[#This Row],[Sale G/L]] / SnapshotTable[[#This Row],[Sale Basis]], IF(ISNUMBER(SnapshotTable[[#This Row],[SC Exercise P&amp;L (TAX)]]), SnapshotTable[[#This Row],[SC Exercise P&amp;L (TAX)]] / SnapshotTable[[#This Row],[SC Basis]], ""))</f>
        <v/>
      </c>
      <c r="GK200" s="27" t="s">
        <v>1181</v>
      </c>
      <c r="GL200" s="159" t="str">
        <f>IF(AND(SnapshotTable[[#This Row],[LP Exp Date]]&gt;0,SnapshotTable[[#This Row],[LP Strike Price]]&gt;0), [1]!ToOptionSymbol(SnapshotTable[[#This Row],[Symbol]], SnapshotTable[[#This Row],[LP Strike Price]],SnapshotTable[[#This Row],[LP Exp Date]],1), "")</f>
        <v/>
      </c>
      <c r="GM200" s="30" t="str">
        <f>IF(LEN(SnapshotTable[[#This Row],[LP Symbol]])&gt;0, 1, "")</f>
        <v/>
      </c>
      <c r="GN200" s="43" t="str">
        <f>IF(AND(SnapshotTable[[#This Row],[SP Exp Date]]&gt;0,SnapshotTable[[#This Row],[SP Strike Price]]&gt;0), [1]!ToOptionSymbol(SnapshotTable[[#This Row],[Symbol]], SnapshotTable[[#This Row],[SP Strike Price]],SnapshotTable[[#This Row],[SP Exp Date]],1), "")</f>
        <v/>
      </c>
      <c r="GO200" s="30" t="str">
        <f>IF(LEN(SnapshotTable[[#This Row],[SP Symbol]])&gt;0, 1, "")</f>
        <v/>
      </c>
      <c r="GP200" s="159" t="str">
        <f>IF(AND(SnapshotTable[[#This Row],[LC Exp Date]]&gt;0,SnapshotTable[[#This Row],[LC Strike Price]]&gt;0), [1]!ToOptionSymbol(SnapshotTable[[#This Row],[Symbol]], SnapshotTable[[#This Row],[LC Strike Price]],SnapshotTable[[#This Row],[LC Exp Date]],0), "")</f>
        <v/>
      </c>
      <c r="GQ200" s="160" t="str">
        <f>IF(LEN(SnapshotTable[[#This Row],[LC Symbol]])&gt;0, 1, "")</f>
        <v/>
      </c>
      <c r="GR200" s="159" t="str">
        <f>IF(AND(SnapshotTable[[#This Row],[SC Exp Date]]&gt;0,SnapshotTable[[#This Row],[SC Strike Price]]&gt;0), [1]!ToOptionSymbol(SnapshotTable[[#This Row],[Symbol]], SnapshotTable[[#This Row],[SC Strike Price]],SnapshotTable[[#This Row],[SC Exp Date]],0), "")</f>
        <v/>
      </c>
      <c r="GS200" s="160" t="str">
        <f>IF(LEN(SnapshotTable[[#This Row],[SC Symbol]])&gt;0, 1, "")</f>
        <v/>
      </c>
      <c r="GT200" s="161" t="str">
        <f>IF(COUNT(SnapshotTable[[#This Row],[LP Symbol Count]],SnapshotTable[[#This Row],[SP Symbol Count]],SnapshotTable[[#This Row],[LC Symbol Count]],SnapshotTable[[#This Row],[SC Symbol Count]])&gt;0, "Y", "")</f>
        <v/>
      </c>
      <c r="GU20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0" s="231" t="e">
        <f>MAX(SnapshotTable[[#This Row],[Equity Basis Total]],SnapshotTable[[#This Row],[Equity Value]]) + (SnapshotTable[[#This Row],[SP Potential Spend]]- SnapshotTable[[#This Row],[SP Premium]] + SnapshotTable[[#This Row],[LP Premium]])+ (SnapshotTable[[#This Row],[LC Premium]] - SnapshotTable[[#This Row],[SC Premium]])</f>
        <v>#VALUE!</v>
      </c>
      <c r="GW200" s="139" t="e">
        <f>IF(AND(SnapshotTable[[#This Row],[Exposure]] &lt;&gt; 0),SnapshotTable[[#This Row],[Exposure]] / SnapshotTable[[#Totals],[Exposure]], "")</f>
        <v>#VALUE!</v>
      </c>
      <c r="HE200" s="268"/>
      <c r="HF200" s="268"/>
      <c r="HK200" s="1"/>
      <c r="HL200" s="1"/>
      <c r="HM200" s="1"/>
      <c r="HN200" s="1"/>
      <c r="HO200" s="1"/>
      <c r="HP200" s="1"/>
    </row>
    <row r="201" spans="2:224" ht="12.75" hidden="1" customHeight="1" x14ac:dyDescent="0.25">
      <c r="B201" s="12" t="s">
        <v>820</v>
      </c>
      <c r="C201" s="422">
        <v>214.68</v>
      </c>
      <c r="D201" s="208"/>
      <c r="E201" s="39">
        <f>SnapshotTable[[#This Row],[Last Price]]*(1 -CrashDiscount)</f>
        <v>182.47800000000001</v>
      </c>
      <c r="F201" s="26" t="s">
        <v>550</v>
      </c>
      <c r="G201" s="26" t="s">
        <v>41</v>
      </c>
      <c r="H201" s="149"/>
      <c r="I201" s="194">
        <v>44776.708333333336</v>
      </c>
      <c r="J201" s="195">
        <v>44776.708333333336</v>
      </c>
      <c r="K201" s="196"/>
      <c r="L201" s="326"/>
      <c r="M201" s="140"/>
      <c r="N201" s="140"/>
      <c r="O201" s="140"/>
      <c r="P201" s="22"/>
      <c r="Q201" s="25"/>
      <c r="R201" s="4" t="str">
        <f>IF(SnapshotTable[[#This Row],[Equity Basis Total]] &gt; 0, SnapshotTable[[#This Row],[Equity Basis Total]] / SnapshotTable[[#This Row],[Equity Shares]], "")</f>
        <v/>
      </c>
      <c r="S201" s="269">
        <f>SnapshotTable[[#This Row],[Last Price]] * SnapshotTable[[#This Row],[Equity Shares]]</f>
        <v>0</v>
      </c>
      <c r="T201" s="269">
        <f>SnapshotTable[[#This Row],[Equity Value]] - SnapshotTable[[#This Row],[Equity Basis Total]]</f>
        <v>0</v>
      </c>
      <c r="U201" s="270" t="str">
        <f>IF(SnapshotTable[[#This Row],[Equity Basis Total]] &gt; 0, SnapshotTable[[#This Row],[Equity G/L]] / SnapshotTable[[#This Row],[Equity Basis Total]], "")</f>
        <v/>
      </c>
      <c r="V201" s="268">
        <v>175</v>
      </c>
      <c r="W201" s="268">
        <v>139.9</v>
      </c>
      <c r="X201" s="4" t="str">
        <f>IF(AND(ISNUMBER(SnapshotTable[[#This Row],[Equity Basis Per Share]]),ISNUMBER(SnapshotTable[[#This Row],[Equity Target]])),SnapshotTable[[#This Row],[Equity Target]]-SnapshotTable[[#This Row],[Equity Basis Per Share]],"")</f>
        <v/>
      </c>
      <c r="Y201" s="4" t="str">
        <f>IF(AND(ISNUMBER(SnapshotTable[[#This Row],[Equity Basis Per Share]]),ISNUMBER(SnapshotTable[[#This Row],[Equity Stop Loss]])),SnapshotTable[[#This Row],[Equity Stop Loss]]-SnapshotTable[[#This Row],[Equity Basis Per Share]],"")</f>
        <v/>
      </c>
      <c r="Z201" s="275" t="str">
        <f>IFERROR( TEXT(SnapshotTable[[#This Row],[Equity Max Gain Per Share]] /ABS( SnapshotTable[[#This Row],[Equity Max Loss Per Share]]),"0.0 " ) &amp; " : 1", "")</f>
        <v/>
      </c>
      <c r="AA201" s="31" t="str">
        <f>IF(ISNUMBER(SnapshotTable[[#This Row],[Equity Max Gain Per Share]]),SnapshotTable[[#This Row],[Equity Max Gain Per Share]] * SnapshotTable[[#This Row],[Equity Shares]],"")</f>
        <v/>
      </c>
      <c r="AB201" s="31" t="str">
        <f>IF(ISNUMBER(SnapshotTable[[#This Row],[Equity Max Loss Per Share]]),SnapshotTable[[#This Row],[Equity Max Loss Per Share]] * SnapshotTable[[#This Row],[Equity Shares]],"")</f>
        <v/>
      </c>
      <c r="AC201" s="150"/>
      <c r="AD201" s="151"/>
      <c r="AE201" s="31">
        <f>(SnapshotTable[[#This Row],[Annual Dividend Per Share]] / 4) * SnapshotTable[[#This Row],[Equity Shares]]</f>
        <v>0</v>
      </c>
      <c r="AF201" s="31">
        <f>SnapshotTable[[#This Row],[Quarterly Div $]] * 4</f>
        <v>0</v>
      </c>
      <c r="AG201" s="7">
        <f>IF(SnapshotTable[[#This Row],[Annual Dividend Per Share]]&gt;0, SnapshotTable[[#This Row],[Annual Dividend Per Share]]  / SnapshotTable[[#This Row],[Last Price]], 0)</f>
        <v>0</v>
      </c>
      <c r="AH201" s="151"/>
      <c r="AI201" s="5"/>
      <c r="AJ201" s="138">
        <v>81.27</v>
      </c>
      <c r="AK201" s="152" t="str">
        <f>IF(ISNUMBER( SnapshotTable[[#This Row],[EBF Target]]),(SnapshotTable[[#This Row],[EBF Target]] - SnapshotTable[[#This Row],[Last Price]]) / SnapshotTable[[#This Row],[Last Price]], "")</f>
        <v/>
      </c>
      <c r="AL201" s="152" t="str">
        <f>IF(AND(SnapshotTable[[#This Row],[Equity Basis Total]] &gt; 0,ISNUMBER( SnapshotTable[[#This Row],[Long Term Target]])), SnapshotTable[[#This Row],[From Basis $]] / SnapshotTable[[#This Row],[Equity Basis Total]], "")</f>
        <v/>
      </c>
      <c r="AM201" s="9">
        <f>IF( AND(SnapshotTable[[#This Row],[Equity Shares]] &gt;0,ISNUMBER( SnapshotTable[[#This Row],[Long Term Target]])),(SnapshotTable[[#This Row],[Equity Shares]] * SnapshotTable[[#This Row],[Long Term Target]]) - SnapshotTable[[#This Row],[Equity Basis Total]],0)</f>
        <v>0</v>
      </c>
      <c r="AN201" s="9">
        <f>IF( AND(SnapshotTable[[#This Row],[Equity Shares]] &gt;0,ISNUMBER( SnapshotTable[[#This Row],[Long Term Target]])),(SnapshotTable[[#This Row],[Equity Shares]]*SnapshotTable[[#This Row],[Long Term Target]]) - SnapshotTable[[#This Row],[Equity Value]],0)</f>
        <v>0</v>
      </c>
      <c r="AO201" s="152">
        <f>IF(AND(ISNUMBER( SnapshotTable[[#This Row],[Long Term Target]]), ISNUMBER(SnapshotTable[[#This Row],[Last Price]])),(SnapshotTable[[#This Row],[Long Term Target]] - SnapshotTable[[#This Row],[Last Price]]) / SnapshotTable[[#This Row],[Last Price]], "")</f>
        <v>-0.6214365567356066</v>
      </c>
      <c r="AP201" s="5">
        <v>160</v>
      </c>
      <c r="AQ201" s="38" t="s">
        <v>89</v>
      </c>
      <c r="AR201" s="5">
        <v>132.80000000000001</v>
      </c>
      <c r="AS201" s="38" t="s">
        <v>32</v>
      </c>
      <c r="AT201" s="146"/>
      <c r="AU201" s="187" t="str">
        <f ca="1">IF(OR(SnapshotTable[[#This Row],[LP No Fill]]="Y",SnapshotTable[[#This Row],[SP Is Filled]],SnapshotTable[[#This Row],[LC Not Filled]]="Y",SnapshotTable[[#This Row],[SC Is Filled]]),"Y","")</f>
        <v>Y</v>
      </c>
      <c r="AV201" s="219"/>
      <c r="AW201" s="225"/>
      <c r="AX201" s="220"/>
      <c r="AY201" s="219" t="str">
        <f>IF(SnapshotTable[[#This Row],[Implied Move]]&gt;0, SnapshotTable[[#This Row],[Last Price]]-SnapshotTable[[#This Row],[Implied Move]],"")</f>
        <v/>
      </c>
      <c r="AZ201" s="219" t="str">
        <f>IF(SnapshotTable[[#This Row],[Implied Move]]&gt;0, SnapshotTable[[#This Row],[Last Price]] + SnapshotTable[[#This Row],[Implied Move]],"")</f>
        <v/>
      </c>
      <c r="BA201" s="331">
        <v>195.11</v>
      </c>
      <c r="BB201" s="347"/>
      <c r="BC201"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46283</v>
      </c>
      <c r="BD201" s="351"/>
      <c r="BE201" s="138"/>
      <c r="BF201" s="166"/>
      <c r="BG201" s="167"/>
      <c r="BH201" s="167"/>
      <c r="BI201" s="221"/>
      <c r="BJ201" s="153">
        <f>IF(SnapshotTable[[#This Row],[LP Qty]] &gt; 0, SnapshotTable[[#This Row],[LP Qty]] * SnapshotTable[[#This Row],[LP Book Price]] * 100,0)</f>
        <v>0</v>
      </c>
      <c r="BK201" s="136">
        <f>IF(SnapshotTable[[#This Row],[LP Premium]] &gt; 0, SnapshotTable[[#This Row],[LP Qty]] * SnapshotTable[[#This Row],[LP Strike Price]] * 100,0)</f>
        <v>0</v>
      </c>
      <c r="BL201" s="154"/>
      <c r="BM201" s="385" t="str">
        <f>IF(SnapshotTable[[#This Row],[LP Premium]] &gt; 0,SnapshotTable[[#This Row],[LP Exp Date]]-MAX(SnapshotTable[[#This Row],[LP Book Date]], SnapshotTable[[#This Row],[LP Fill Date]]),"")</f>
        <v/>
      </c>
      <c r="BN201" s="385" t="str">
        <f>IF(ISNUMBER( SnapshotTable[[#This Row],[LP Term]]), SnapshotTable[[#This Row],[LP Exp Date]] - MockToday,"")</f>
        <v/>
      </c>
      <c r="BO201" s="163" t="str">
        <f>IF(AND(SnapshotTable[[#This Row],[LP Exp Date]]&gt;0, SnapshotTable[[#This Row],[LP Strike Price]]&gt;0,SnapshotTable[[#This Row],[LP Qty]]&gt;0,SnapshotTable[[#This Row],[LP Book Date]]&gt;0,SnapshotTable[[#This Row],[LP Book Price]]&gt;0,SnapshotTable[[#This Row],[LP Fill Date]]=0),"Y","")</f>
        <v/>
      </c>
      <c r="BP201" s="31" t="str">
        <f>IF(AND(SnapshotTable[[#This Row],[LP No Fill]]&lt;&gt;"Y",SnapshotTable[[#This Row],[LP Contract Value]]&gt;0, SnapshotTable[[#This Row],[LP Qty]]&gt;0), SnapshotTable[[#This Row],[LP Contract Value]]*SnapshotTable[[#This Row],[LP Qty]]*100,"")</f>
        <v/>
      </c>
      <c r="BQ201" s="13">
        <f ca="1">NextMonthlyOpex</f>
        <v>46283</v>
      </c>
      <c r="BR201" s="5">
        <f ca="1">IF(SnapshotTable[[#This Row],[SP Exp Date]]&lt;&gt;"",TRUNC(SnapshotTable[[#This Row],[Last Price]]),"")</f>
        <v>214</v>
      </c>
      <c r="BS201" s="36">
        <v>1</v>
      </c>
      <c r="BT201" s="147">
        <f ca="1">WORKDAY(MockToday, 0)</f>
        <v>46235</v>
      </c>
      <c r="BU201" s="13">
        <f ca="1">WORKDAY(MockToday, 0)</f>
        <v>46235</v>
      </c>
      <c r="BV201" s="5">
        <v>14.9</v>
      </c>
      <c r="BW201" s="419" t="b">
        <f ca="1">AND(ISNUMBER(SnapshotTable[[#This Row],[SP Exp Date]]), ISNUMBER(SnapshotTable[[#This Row],[SP Strike Price]]), ISNUMBER(SnapshotTable[[#This Row],[SP Qty]]), ISNUMBER(SnapshotTable[[#This Row],[SP Book Date]]), ISNUMBER(SnapshotTable[[#This Row],[SP Book Price]]))</f>
        <v>1</v>
      </c>
      <c r="BX201" s="419" t="b">
        <f ca="1">AND(SnapshotTable[[#This Row],[SP Is Booked]], NOT(ISBLANK(SnapshotTable[[#This Row],[SP Fill Date]])))</f>
        <v>1</v>
      </c>
      <c r="BY201" s="33">
        <f ca="1">IF(SnapshotTable[[#This Row],[SP Is Booked]], SnapshotTable[[#This Row],[SP Qty]] * SnapshotTable[[#This Row],[SP Book Price]] * 100, 0)</f>
        <v>1490</v>
      </c>
      <c r="BZ201" s="369">
        <v>0.46</v>
      </c>
      <c r="CA201" s="368">
        <f>SnapshotTable[[#This Row],[LP Qty]]</f>
        <v>0</v>
      </c>
      <c r="CB201" s="4">
        <f ca="1">IF(SnapshotTable[[#This Row],[SP Is Booked]], SnapshotTable[[#This Row],[SP Strike Price]] - SnapshotTable[[#This Row],[SP Book Price]], "")</f>
        <v>199.1</v>
      </c>
      <c r="CC201" s="19">
        <f ca="1">IF(SnapshotTable[[#This Row],[SP Is Booked]],SnapshotTable[[#This Row],[SP Exp Date]]-MAX(SnapshotTable[[#This Row],[SP Book Date]], SnapshotTable[[#This Row],[SP Fill Date]]),"")</f>
        <v>48</v>
      </c>
      <c r="CD201" s="7">
        <f ca="1">IF(SnapshotTable[[#This Row],[SP Is Booked]], SnapshotTable[[#This Row],[SP Book Price]]/SnapshotTable[[#This Row],[SP Strike Price]], "")</f>
        <v>6.9626168224299068E-2</v>
      </c>
      <c r="CE201" s="7">
        <f ca="1">IF(ISNUMBER(SnapshotTable[[#This Row],[SP ROO Term]]),SnapshotTable[[#This Row],[SP ROO Term]]*(365/SnapshotTable[[#This Row],[SP Term]]),"")</f>
        <v>0.52944898753894087</v>
      </c>
      <c r="CF201" s="236">
        <f>SnapshotTable[[#This Row],[LP Strike Price]] * SnapshotTable[[#This Row],[LP Qty]] * 100</f>
        <v>0</v>
      </c>
      <c r="CG201" s="31">
        <f ca="1">IF(ISNUMBER(SnapshotTable[[#This Row],[SP Premium]]), (SnapshotTable[[#This Row],[SP Qty]] * SnapshotTable[[#This Row],[SP Strike Price]]* 100) - SnapshotTable[[#This Row],[LP Protection]], 0)</f>
        <v>21400</v>
      </c>
      <c r="CH201" s="7">
        <f ca="1">IF(ISNUMBER(SnapshotTable[[#This Row],[SP Break Even]]),-1 * (SnapshotTable[[#This Row],[SP Break Even]] - SnapshotTable[[#This Row],[Last Price]]) / SnapshotTable[[#This Row],[Last Price]], "")</f>
        <v>7.2573132103596102E-2</v>
      </c>
      <c r="CI201" s="31">
        <f ca="1">IF(AND(ISNUMBER((SnapshotTable[[#This Row],[SP Potential Spend]])), SnapshotTable[[#This Row],[SP Strike Price]] &gt; SnapshotTable[[#This Row],[Last Price]], SnapshotTable[[#This Row],[SP Is Filled]]), SnapshotTable[[#This Row],[SP Potential Spend]] -  SnapshotTable[[#This Row],[LP Max Value]], 0)</f>
        <v>0</v>
      </c>
      <c r="CJ201" s="244"/>
      <c r="CK201" s="31">
        <f ca="1">IF(ISNUMBER(SnapshotTable[[#This Row],[SP Potential Spend]]),IF(ISNUMBER(SnapshotTable[[#This Row],[SP POW]]), SnapshotTable[[#This Row],[SP POW]] * SnapshotTable[[#This Row],[SP Potential Spend]], SnapshotTable[[#This Row],[SP Potential Spend]]), "")</f>
        <v>21400</v>
      </c>
      <c r="CL201" s="164" t="str">
        <f ca="1">IF(NOT(SnapshotTable[[#This Row],[SP Is Filled]]),(SnapshotTable[[#This Row],[SP Qty]] * SnapshotTable[[#This Row],[SP Strike Price]] * 100) - SnapshotTable[[#This Row],[LP Max Value]],"")</f>
        <v/>
      </c>
      <c r="CM201" s="31" t="str">
        <f ca="1">IF(SnapshotTable[[#This Row],[SP Actual Spend]]&lt;&gt;0, ((SnapshotTable[[#This Row],[SP Strike Price]]-SnapshotTable[[#This Row],[Last Price]]) *(SnapshotTable[[#This Row],[SP Qty]]*100) - SnapshotTable[[#This Row],[SP Premium]]) * - 1, "")</f>
        <v/>
      </c>
      <c r="CN201" s="154">
        <v>15.9</v>
      </c>
      <c r="CO201" s="369">
        <v>0.47</v>
      </c>
      <c r="CP201" s="4" t="e">
        <f ca="1">IF(SnapshotTable[[#This Row],[SP Is Filled]], btc_max_buyback_amount(SnapshotTable[[#This Row],[SP Fill Date]],SnapshotTable[[#This Row],[SP Exp Date]], SnapshotTable[[#This Row],[SP Book Price]]),"")</f>
        <v>#NAME?</v>
      </c>
      <c r="CQ201" s="78"/>
      <c r="CR201"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01" s="155" t="e">
        <f ca="1">IF(SnapshotTable[[#This Row],[SP Is Filled]], btc_next_cutoff_date(SnapshotTable[[#This Row],[SP Fill Date]],SnapshotTable[[#This Row],[SP Exp Date]]),"")</f>
        <v>#NAME?</v>
      </c>
      <c r="CT201" s="235" t="e" cm="1">
        <f t="array" aca="1" ref="CT201" ca="1">IF(SnapshotTable[[#This Row],[SP Is Filled]], btc_should_buy_back(SnapshotTable[[#This Row],[SP Fill Date]], SnapshotTable[[#This Row],[SP Exp Date]], SnapshotTable[[#This Row],[SP Book Price]], SnapshotTable[[#This Row],[SP Current Ask]], MockToday, SnapshotTable[[#This Row],[SP Buyback Override]]),"")</f>
        <v>#NAME?</v>
      </c>
      <c r="CU201" s="156">
        <v>46218</v>
      </c>
      <c r="CV201" s="235"/>
      <c r="CW201" s="378">
        <f ca="1">IF(ISNUMBER( SnapshotTable[[#This Row],[SP Term]]), SnapshotTable[[#This Row],[SP Exp Date]] - MockToday,"")</f>
        <v>48</v>
      </c>
      <c r="CX201" s="31" t="e">
        <f ca="1">IF(SnapshotTable[[#This Row],[SP Is Filled]],SnapshotTable[[#This Row],[SP Buyback Price to Use]] * 100 * SnapshotTable[[#This Row],[SP Qty]], "")</f>
        <v>#NAME?</v>
      </c>
      <c r="CY201" s="4">
        <f ca="1">IF(ISNUMBER(SnapshotTable[[#This Row],[SP Strike Price]]), SnapshotTable[[#This Row],[SP Strike Price]] * (1 - SP_MaxLoss_StrikePct), "")</f>
        <v>207.57999999999998</v>
      </c>
      <c r="CZ201" s="31">
        <f ca="1">IF(ISNUMBER(SnapshotTable[[#This Row],[SP Strike  Stop Per Share]]),SnapshotTable[[#This Row],[SP Premium]] - ((SnapshotTable[[#This Row],[SP Strike Price]]-SnapshotTable[[#This Row],[SP Strike  Stop Per Share]]) *(SnapshotTable[[#This Row],[SP Qty]] * 100)),"")</f>
        <v>847.99999999999841</v>
      </c>
      <c r="DA201" s="4">
        <f ca="1">IF(AND(ISNUMBER(SnapshotTable[[#This Row],[SP Premium]]),SnapshotTable[[#This Row],[SP Premium]]&gt;0), SnapshotTable[[#This Row],[SP Book Price]] * (1 + SP_MaxLoss_OptionPct), "")</f>
        <v>22.35</v>
      </c>
      <c r="DB201" s="31">
        <f ca="1">IF(ISNUMBER(SnapshotTable[[#This Row],[SP Option  Stop Contract]]),(SnapshotTable[[#This Row],[SP Option  Stop Contract]] *(SnapshotTable[[#This Row],[SP Qty]] * 100) - SnapshotTable[[#This Row],[SP Premium]]),"")</f>
        <v>745</v>
      </c>
      <c r="DC201" s="4"/>
      <c r="DD201" s="4"/>
      <c r="DE201" s="4" t="str">
        <f>IF(AND(SnapshotTable[[#This Row],[SP Qty]]&gt;0, SnapshotTable[[#This Row],[SP Stop To Use]]&gt;0),SnapshotTable[[#This Row],[SP Premium]] - ( SnapshotTable[[#This Row],[SP Qty]] * SnapshotTable[[#This Row],[SP Stop To Use]] * 100), "")</f>
        <v/>
      </c>
      <c r="DF201" s="31">
        <f>IF(AND(SnapshotTable[[#This Row],[SP Qty]]&gt;0,SnapshotTable[[#This Row],[SP Current Ask]]&gt;0), SnapshotTable[[#This Row],[SP Qty]] * SnapshotTable[[#This Row],[SP Current Ask]] * -100, "")</f>
        <v>-1590</v>
      </c>
      <c r="DG201" s="31">
        <f ca="1">IF(ISNUMBER((SnapshotTable[[#This Row],[SP Total Value]])), SnapshotTable[[#This Row],[SP Premium]] + SnapshotTable[[#This Row],[SP Total Value]], "")</f>
        <v>-100</v>
      </c>
      <c r="DH201" s="294">
        <f ca="1">IF(ISNUMBER((SnapshotTable[[#This Row],[SP Total Value]])), SnapshotTable[[#This Row],[SP Gain Loss]] / SnapshotTable[[#This Row],[SP Premium]], "")</f>
        <v>-6.7114093959731544E-2</v>
      </c>
      <c r="DI201" s="406"/>
      <c r="DJ201" s="138"/>
      <c r="DK201" s="148"/>
      <c r="DL201" s="147"/>
      <c r="DM201" s="147"/>
      <c r="DO201" s="31">
        <f>IF(SnapshotTable[[#This Row],[LC Symbol Count]]=1, SnapshotTable[[#This Row],[LC Qty]] * SnapshotTable[[#This Row],[LC Book Price]] * 100, 0)</f>
        <v>0</v>
      </c>
      <c r="DP201" s="163" t="str">
        <f>IF(AND(SnapshotTable[[#This Row],[LC Exp Date]]&gt;0, SnapshotTable[[#This Row],[LC Strike Price]]&gt;0,SnapshotTable[[#This Row],[LC Qty]]&gt;0,SnapshotTable[[#This Row],[LC Book Date]]&gt;0,SnapshotTable[[#This Row],[LC Book Price]]&gt;0,SnapshotTable[[#This Row],[LC Fill Date]]=0),"Y","")</f>
        <v/>
      </c>
      <c r="DQ201" s="386" t="str">
        <f>IF(SnapshotTable[[#This Row],[LC Premium]] &gt; 0,SnapshotTable[[#This Row],[LC Exp Date]]-MAX(SnapshotTable[[#This Row],[LC Book Date]], SnapshotTable[[#This Row],[LC Fill Date]]),"")</f>
        <v/>
      </c>
      <c r="DR201" s="386" t="str">
        <f>IF(ISNUMBER(SnapshotTable[[#This Row],[LC Term]]), SnapshotTable[[#This Row],[LC Exp Date]] - MockToday, "")</f>
        <v/>
      </c>
      <c r="DS201" s="234" t="str">
        <f>IF(SnapshotTable[[#This Row],[LC Premium]]&gt;0,SnapshotTable[[#This Row],[LC Strike Price]] + SnapshotTable[[#This Row],[LC Book Price]],"")</f>
        <v/>
      </c>
      <c r="DU201" s="9" t="str">
        <f>IF(AND(SnapshotTable[[#This Row],[LC Symbol Count]]&gt;0, SnapshotTable[[#This Row],[LC Contract Value]]&gt;0), SnapshotTable[[#This Row],[LC Contract Value]] * SnapshotTable[[#This Row],[LC Qty]] * 100, "")</f>
        <v/>
      </c>
      <c r="DV201" s="9" t="str">
        <f>IF(AND(ISNUMBER(SnapshotTable[[#This Row],[LC Total Value]]), SnapshotTable[[#This Row],[LC Not Filled]]&lt;&gt;"Y"), SnapshotTable[[#This Row],[LC Total Value]]-SnapshotTable[[#This Row],[LC Premium]],"")</f>
        <v/>
      </c>
      <c r="DW201" s="240" t="str">
        <f>IF(ISNUMBER(SnapshotTable[[#This Row],[LC Actual Gain Loss]]), SnapshotTable[[#This Row],[LC Actual Gain Loss]] / SnapshotTable[[#This Row],[LC Premium]],"")</f>
        <v/>
      </c>
      <c r="DX201" s="284" t="str">
        <f>IF(ISNUMBER(SnapshotTable[[#This Row],[LC Book Price]]),SnapshotTable[[#This Row],[LC Book Price]] * 1.5,"")</f>
        <v/>
      </c>
      <c r="DY201" s="265" t="str">
        <f>IF(SnapshotTable[[#This Row],[LC Premium]]&gt;0, SnapshotTable[[#This Row],[LC Next Target]] * SnapshotTable[[#This Row],[LC Qty]] * 100,"")</f>
        <v/>
      </c>
      <c r="DZ201" s="265" t="str">
        <f>IF(ISNUMBER(SnapshotTable[[#This Row],[LC Target Gross]]), SnapshotTable[[#This Row],[LC Target Gross]] - SnapshotTable[[#This Row],[LC Premium]], "")</f>
        <v/>
      </c>
      <c r="EA201" s="305" t="str">
        <f>IF(ISNUMBER(SnapshotTable[[#This Row],[LC Target Gain Loss]]), SnapshotTable[[#This Row],[LC Target Gain Loss]]/SnapshotTable[[#This Row],[LC Premium]], "")</f>
        <v/>
      </c>
      <c r="EB201" s="262"/>
      <c r="EC201" s="283" t="str">
        <f>IF(SnapshotTable[[#This Row],[LC Premium]]&gt;0, SnapshotTable[[#This Row],[LC Book Price]] * (1 - LC_StopLoss_Pct),"")</f>
        <v/>
      </c>
      <c r="ED201" s="284"/>
      <c r="EE201" s="283" t="str">
        <f>IF(ISNUMBER(SnapshotTable[[#This Row],[LC Contract Value]]),IF(ISNUMBER(SnapshotTable[[#This Row],[LC Stop Loss Override]]), SnapshotTable[[#This Row],[LC Stop Loss Override]],SnapshotTable[[#This Row],[LC Stop Loss Calc Target]]),"")</f>
        <v/>
      </c>
      <c r="EF201" s="31" t="str">
        <f>IF(ISNUMBER(SnapshotTable[[#This Row],[LC Stop  To Use]]), (SnapshotTable[[#This Row],[LC Stop  To Use]] * SnapshotTable[[#This Row],[LC Qty]] * 100),"")</f>
        <v/>
      </c>
      <c r="EG201" s="9" t="str">
        <f>IF(ISNUMBER(SnapshotTable[[#This Row],[LC Total Value]]),SnapshotTable[[#This Row],[LC Stop Loss Amount]] - SnapshotTable[[#This Row],[LC Premium]],"")</f>
        <v/>
      </c>
      <c r="EH201" s="9">
        <f>IF(ISNUMBER(SnapshotTable[[#This Row],[LC Premium]]), SnapshotTable[[#This Row],[LC Qty]] * 100 * SnapshotTable[[#This Row],[LC Strike Price]], "")</f>
        <v>0</v>
      </c>
      <c r="EI201" s="240" t="str">
        <f>IF(AND(ISNUMBER(SnapshotTable[[#This Row],[LC Total Value]]),SnapshotTable[[#This Row],[LC Total Value]]&gt;0),SnapshotTable[[#This Row],[LC Stop Gain Loss]]  / SnapshotTable[[#This Row],[LC Premium]],"")</f>
        <v/>
      </c>
      <c r="EJ201" s="35">
        <f>IF(ISNUMBER(SnapshotTable[[#This Row],[Equity Shares]]),TRUNC(SnapshotTable[[#This Row],[Equity Shares]] / 100),0) + SnapshotTable[[#This Row],[LC Qty]]</f>
        <v>0</v>
      </c>
      <c r="EK201" s="147"/>
      <c r="EL201" s="138" t="str">
        <f>IF(SnapshotTable[[#This Row],[SC Exp Date]]&lt;&gt;"",TRUNC(SnapshotTable[[#This Row],[Last Price]]),"")</f>
        <v/>
      </c>
      <c r="EM201" s="148"/>
      <c r="EN201" s="147"/>
      <c r="EO201" s="147"/>
      <c r="EP201" s="138"/>
      <c r="EQ201" s="419" t="b">
        <f>AND(ISNUMBER(SnapshotTable[[#This Row],[SC Exp Date]]), ISNUMBER(SnapshotTable[[#This Row],[SC Strike Price]]), ISNUMBER(SnapshotTable[[#This Row],[SC Qty]]), ISNUMBER(SnapshotTable[[#This Row],[SC Book Date]]), ISNUMBER(SnapshotTable[[#This Row],[SC Book Price]]))</f>
        <v>0</v>
      </c>
      <c r="ER201" s="419" t="b">
        <f>AND(SnapshotTable[[#This Row],[SC Is Booked]], NOT(ISBLANK(SnapshotTable[[#This Row],[SC Fill Date]])))</f>
        <v>0</v>
      </c>
      <c r="ES201" s="370"/>
      <c r="ET201" s="34" t="str">
        <f>IF(AND(ISNUMBER(SnapshotTable[[#This Row],[SC Exp Date]]), ISNUMBER(SnapshotTable[[#This Row],[SC Book Date]])), SnapshotTable[[#This Row],[SC Exp Date]] - MAX(SnapshotTable[[#This Row],[SC Book Date]], SnapshotTable[[#This Row],[SC Fill Date]]) + 1, "")</f>
        <v/>
      </c>
      <c r="EU201" s="34" t="str">
        <f>IF(ISNUMBER(SnapshotTable[[#This Row],[SC Term]]), SnapshotTable[[#This Row],[SC Exp Date]]- MockToday, "")</f>
        <v/>
      </c>
      <c r="EV201" s="31">
        <f>IF(SnapshotTable[[#This Row],[SC Is Booked]], SnapshotTable[[#This Row],[SC Qty]] * SnapshotTable[[#This Row],[SC Book Price]] * 100, 0)</f>
        <v>0</v>
      </c>
      <c r="EW201" s="4" t="str">
        <f>IF(AND(ISNUMBER(SnapshotTable[[#This Row],[Last Price]]), ISNUMBER( SnapshotTable[[#This Row],[SC Book Price]])), SnapshotTable[[#This Row],[Last Price]] - SnapshotTable[[#This Row],[SC Book Price]],"")</f>
        <v/>
      </c>
      <c r="EX201" s="234" t="str">
        <f>IF(SnapshotTable[[#This Row],[SC Is Booked]],IF(SnapshotTable[[#This Row],[SC Intrinsic Value]] &gt; 0, SnapshotTable[[#This Row],[SC Strike Price]], SnapshotTable[[#This Row],[Last Price]]), "")</f>
        <v/>
      </c>
      <c r="EY201" s="4">
        <f>IF(SnapshotTable[[#This Row],[SC Is Booked]], (MinimumPremiumRequired * SnapshotTable[[#This Row],[SC Basis]] * SnapshotTable[[#This Row],[SC Term]]), 0)</f>
        <v>0</v>
      </c>
      <c r="EZ201" s="283"/>
      <c r="FA201" s="218"/>
      <c r="FB201" s="370"/>
      <c r="FC201" s="4">
        <f>IF(SnapshotTable[[#This Row],[SC Is Filled]], btc_max_buyback_amount(SnapshotTable[[#This Row],[SC Fill Date]],SnapshotTable[[#This Row],[SC Exp Date]], SnapshotTable[[#This Row],[SC Book Price]]),0)</f>
        <v>0</v>
      </c>
      <c r="FD201" s="5"/>
      <c r="FE201" s="144" t="str">
        <f>IF(SnapshotTable[[#This Row],[SC Is Filled]], btc_next_cutoff_date(SnapshotTable[[#This Row],[SC Fill Date]],SnapshotTable[[#This Row],[SC Exp Date]]),"")</f>
        <v/>
      </c>
      <c r="FF201" s="4" t="str" cm="1">
        <f t="array" ref="FF201">IF(SnapshotTable[[#This Row],[SC Is Filled]], btc_should_buy_back(SnapshotTable[[#This Row],[SC Fill Date]], SnapshotTable[[#This Row],[SC Exp Date]], SnapshotTable[[#This Row],[SC Book Price]], SnapshotTable[[#This Row],[SC Current Ask]], MockToday, SnapshotTable[[#This Row],[SC Buyback Override]]),"")</f>
        <v/>
      </c>
      <c r="FG201" s="4">
        <f>IF(SnapshotTable[[#This Row],[SC Is Filled]], MAX(0,SnapshotTable[[#This Row],[Last Price]]  - SnapshotTable[[#This Row],[SC Strike Price]]), 0)</f>
        <v>0</v>
      </c>
      <c r="FH201" s="382">
        <f>IF(SnapshotTable[[#This Row],[SC Is Filled]], IF(ISNUMBER(SnapshotTable[[#This Row],[SC Current Ask]]), SnapshotTable[[#This Row],[SC Current Ask]], SnapshotTable[[#This Row],[SC Book Price]]) - SnapshotTable[[#This Row],[SC Intrinsic Value]], 0)</f>
        <v>0</v>
      </c>
      <c r="FI201" s="143"/>
      <c r="FJ201" s="32" t="str">
        <f>IF(SnapshotTable[[#This Row],[SC Is Filled]],100 * SnapshotTable[[#This Row],[SC Qty]] * IF(ISNUMBER(SnapshotTable[[#This Row],[SC Buyback Override]]), SnapshotTable[[#This Row],[SC Buyback Override]], SnapshotTable[[#This Row],[SC Current Ask]]), "")</f>
        <v/>
      </c>
      <c r="FK201" s="250" t="str">
        <f>IF(SnapshotTable[[#This Row],[SC Time Val]]&gt;0, SnapshotTable[[#This Row],[SC Time Val]] / SnapshotTable[[#This Row],[Last Price]],"")</f>
        <v/>
      </c>
      <c r="FL201" s="302" t="str">
        <f>IF(SnapshotTable[[#This Row],[SC Is Booked]], ((SnapshotTable[[#This Row],[Last Price]] -SnapshotTable[[#This Row],[SC Strike Price]]) / SnapshotTable[[#This Row],[Last Price]]) * -1, "")</f>
        <v/>
      </c>
      <c r="FM201" s="157" t="str">
        <f>IF(SnapshotTable[[#This Row],[SC Is Booked]],  (SnapshotTable[[#This Row],[SC Qty]] * 100 * SnapshotTable[[#This Row],[SC Strike Price]]) - SnapshotTable[[#This Row],[SC Current Ask]], "")</f>
        <v/>
      </c>
      <c r="FN201"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1" s="157" t="str">
        <f>IF(AND(ISNUMBER(SnapshotTable[[#This Row],[SC Exercise Gross]]), ISNUMBER(SnapshotTable[[#This Row],[Equity Basis Per Share]] )), SnapshotTable[[#This Row],[SC Exercise Gross]] - SnapshotTable[[#This Row],[Equity Basis Total]] +  SnapshotTable[[#This Row],[SC Premium]], "")</f>
        <v/>
      </c>
      <c r="FP201" s="5" t="str">
        <f>IF(ISNUMBER(SnapshotTable[[#This Row],[SC Exercise Gross]]), (SnapshotTable[[#This Row],[SC Exercise Gross]]) / (SnapshotTable[[#This Row],[SC Qty]] * 100), "")</f>
        <v/>
      </c>
      <c r="FQ201" s="27" t="str">
        <f>IF(SnapshotTable[[#This Row],[SC Is Booked]],SnapshotTable[[#This Row],[SC Time Val]] /SnapshotTable[[#This Row],[SC Basis]], "")</f>
        <v/>
      </c>
      <c r="FR201" s="27" t="str" cm="1">
        <f t="array" ref="FR201">IF(AND(ISNUMBER(SnapshotTable[[#This Row],[SC Term]]),ISNUMBER(SnapshotTable[[#This Row],[SC Simple ROO]])), EllmanAnnualize(SnapshotTable[[#This Row],[SC DTE]], SnapshotTable[[#This Row],[SC Simple ROO]] ),"")</f>
        <v/>
      </c>
      <c r="FS201" s="4" t="e">
        <f>IF(SnapshotTable[[#This Row],[SC Strike Price]] &gt; SnapshotTable[[#This Row],[Last Price]], SnapshotTable[[#This Row],[SC Strike Price]] - SnapshotTable[[#This Row],[Last Price]],0)</f>
        <v>#VALUE!</v>
      </c>
      <c r="FT201" s="27" t="e">
        <f>IF(AND(ISNUMBER(SnapshotTable[[#This Row],[SC Upside Potential]]), SnapshotTable[[#This Row],[SC Upside Potential]] &gt; 0),(SnapshotTable[[#This Row],[SC Upside Potential]]/ SnapshotTable[[#This Row],[ACB]]),"")</f>
        <v>#VALUE!</v>
      </c>
      <c r="FU201" s="333" t="str">
        <f>IF(SnapshotTable[[#This Row],[SC Intrinsic Value]] &gt; 0,SnapshotTable[[#This Row],[SC Intrinsic Value]],"")</f>
        <v/>
      </c>
      <c r="FV201" s="27" t="str">
        <f>IF(AND( ISNUMBER( SnapshotTable[[#This Row],[ACB]]),ISNUMBER(SnapshotTable[[#This Row],[SC Downside Protect]])),SnapshotTable[[#This Row],[SC Downside Protect]] / SnapshotTable[[#This Row],[ACB]],"")</f>
        <v/>
      </c>
      <c r="FW201" s="236" t="str">
        <f>IF(AND(ISNUMBER(SnapshotTable[[#This Row],[SC Simple ROO]]),SnapshotTable[[#This Row],[SC Simple ROO]] &gt; 0), SnapshotTable[[#This Row],[SC Premium]] + (SnapshotTable[[#This Row],[SC Qty]] * SnapshotTable[[#This Row],[SC Upside Potential]]), "")</f>
        <v/>
      </c>
      <c r="FX201" s="302" t="str" cm="1">
        <f t="array" ref="FX201">IF(ISNUMBER(SnapshotTable[[#This Row],[SC Max Dollars]]), annualize(SnapshotTable[[#This Row],[SC Term]],(SnapshotTable[[#This Row],[SC Max Dollars]]/SnapshotTable[[#This Row],[SC Basis]])),"")</f>
        <v/>
      </c>
      <c r="FY201" s="236" t="str">
        <f>IF(AND(SnapshotTable[[#This Row],[SC Qty]]&gt;0,SnapshotTable[[#This Row],[SC Current Ask]]&gt;0), SnapshotTable[[#This Row],[SC Qty]] * SnapshotTable[[#This Row],[SC Current Ask]] * -100, "")</f>
        <v/>
      </c>
      <c r="FZ201" s="31" t="str">
        <f>IF(ISNUMBER((SnapshotTable[[#This Row],[SC Current Value]])), SnapshotTable[[#This Row],[SC Premium]] + SnapshotTable[[#This Row],[SC Current Value]], "")</f>
        <v/>
      </c>
      <c r="GA201" s="294" t="str">
        <f>IFERROR( IF(ISNUMBER((SnapshotTable[[#This Row],[SC Current Value]])), SnapshotTable[[#This Row],[SC Gain Loss]] / SnapshotTable[[#This Row],[SC Premium]], ""), "")</f>
        <v/>
      </c>
      <c r="GB201" s="42">
        <f>SnapshotTable[[#This Row],[Equity Shares]] * SaleSharesToConsiderPercentage</f>
        <v>0</v>
      </c>
      <c r="GC201" s="40">
        <f>SnapshotTable[[#This Row],[Long Term Target]] * SellingPriceToConsiderBasedOnTargetPercentage</f>
        <v>77.206499999999991</v>
      </c>
      <c r="GD201" s="40">
        <f>SnapshotTable[[#This Row],[Last Price]] * (1+ SellingPriceToConsiderBasedOnTargetPercentage)</f>
        <v>418.62599999999998</v>
      </c>
      <c r="GE201" s="41"/>
      <c r="GF201" s="40"/>
      <c r="GG201" s="31">
        <f>SnapshotTable[[#This Row],[Booked Sale Shares]] * SnapshotTable[[#This Row],[Booked Sale Price]]</f>
        <v>0</v>
      </c>
      <c r="GH201" s="31" t="str">
        <f>IF(SnapshotTable[[#This Row],[Equity Basis Total]] &gt; 0, SnapshotTable[[#This Row],[Equity Basis Per Share]] * SnapshotTable[[#This Row],[Booked Sale Shares]], "")</f>
        <v/>
      </c>
      <c r="GI201" s="31">
        <f>IF(SnapshotTable[[#This Row],[Sale Proceeds]]&gt;0, SnapshotTable[[#This Row],[Sale Proceeds]] - SnapshotTable[[#This Row],[Sale Basis]], 0)</f>
        <v>0</v>
      </c>
      <c r="GJ201" s="158" t="str">
        <f>IF(SnapshotTable[[#This Row],[Sale G/L]]&gt;0, SnapshotTable[[#This Row],[Sale G/L]] / SnapshotTable[[#This Row],[Sale Basis]], IF(ISNUMBER(SnapshotTable[[#This Row],[SC Exercise P&amp;L (TAX)]]), SnapshotTable[[#This Row],[SC Exercise P&amp;L (TAX)]] / SnapshotTable[[#This Row],[SC Basis]], ""))</f>
        <v/>
      </c>
      <c r="GK201" s="158"/>
      <c r="GL201" s="159" t="str">
        <f>IF(AND(SnapshotTable[[#This Row],[LP Exp Date]]&gt;0,SnapshotTable[[#This Row],[LP Strike Price]]&gt;0), [1]!ToOptionSymbol(SnapshotTable[[#This Row],[Symbol]], SnapshotTable[[#This Row],[LP Strike Price]],SnapshotTable[[#This Row],[LP Exp Date]],1), "")</f>
        <v/>
      </c>
      <c r="GM201" s="30" t="str">
        <f>IF(LEN(SnapshotTable[[#This Row],[LP Symbol]])&gt;0, 1, "")</f>
        <v/>
      </c>
      <c r="GN201" s="43" t="str">
        <f ca="1">IF(AND(SnapshotTable[[#This Row],[SP Exp Date]]&gt;0,SnapshotTable[[#This Row],[SP Strike Price]]&gt;0), [1]!ToOptionSymbol(SnapshotTable[[#This Row],[Symbol]], SnapshotTable[[#This Row],[SP Strike Price]],SnapshotTable[[#This Row],[SP Exp Date]],1), "")</f>
        <v>FNV260918P00214000</v>
      </c>
      <c r="GO201" s="30">
        <f ca="1">IF(LEN(SnapshotTable[[#This Row],[SP Symbol]])&gt;0, 1, "")</f>
        <v>1</v>
      </c>
      <c r="GP201" s="159" t="str">
        <f>IF(AND(SnapshotTable[[#This Row],[LC Exp Date]]&gt;0,SnapshotTable[[#This Row],[LC Strike Price]]&gt;0), [1]!ToOptionSymbol(SnapshotTable[[#This Row],[Symbol]], SnapshotTable[[#This Row],[LC Strike Price]],SnapshotTable[[#This Row],[LC Exp Date]],0), "")</f>
        <v/>
      </c>
      <c r="GQ201" s="160" t="str">
        <f>IF(LEN(SnapshotTable[[#This Row],[LC Symbol]])&gt;0, 1, "")</f>
        <v/>
      </c>
      <c r="GR201" s="159" t="str">
        <f>IF(AND(SnapshotTable[[#This Row],[SC Exp Date]]&gt;0,SnapshotTable[[#This Row],[SC Strike Price]]&gt;0), [1]!ToOptionSymbol(SnapshotTable[[#This Row],[Symbol]], SnapshotTable[[#This Row],[SC Strike Price]],SnapshotTable[[#This Row],[SC Exp Date]],0), "")</f>
        <v/>
      </c>
      <c r="GS201" s="160" t="str">
        <f>IF(LEN(SnapshotTable[[#This Row],[SC Symbol]])&gt;0, 1, "")</f>
        <v/>
      </c>
      <c r="GT201" s="161" t="str">
        <f ca="1">IF(COUNT(SnapshotTable[[#This Row],[LP Symbol Count]],SnapshotTable[[#This Row],[SP Symbol Count]],SnapshotTable[[#This Row],[LC Symbol Count]],SnapshotTable[[#This Row],[SC Symbol Count]])&gt;0, "Y", "")</f>
        <v>Y</v>
      </c>
      <c r="GU201"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SP </v>
      </c>
      <c r="GV201" s="231">
        <f ca="1">MAX(SnapshotTable[[#This Row],[Equity Basis Total]],SnapshotTable[[#This Row],[Equity Value]]) + (SnapshotTable[[#This Row],[SP Potential Spend]]- SnapshotTable[[#This Row],[SP Premium]] + SnapshotTable[[#This Row],[LP Premium]])+ (SnapshotTable[[#This Row],[LC Premium]] - SnapshotTable[[#This Row],[SC Premium]])</f>
        <v>19910</v>
      </c>
      <c r="GW201" s="139" t="e">
        <f ca="1">IF(AND(SnapshotTable[[#This Row],[Exposure]] &lt;&gt; 0),SnapshotTable[[#This Row],[Exposure]] / SnapshotTable[[#Totals],[Exposure]], "")</f>
        <v>#VALUE!</v>
      </c>
      <c r="HE201" s="268"/>
      <c r="HF201" s="268"/>
      <c r="HK201" s="1"/>
      <c r="HL201" s="1"/>
      <c r="HM201" s="1"/>
      <c r="HN201" s="1"/>
      <c r="HO201" s="1"/>
      <c r="HP201" s="1"/>
    </row>
    <row r="202" spans="2:224" ht="12.75" hidden="1" customHeight="1" x14ac:dyDescent="0.25">
      <c r="B202" s="12" t="s">
        <v>1046</v>
      </c>
      <c r="C202" s="422">
        <v>77.819999999999993</v>
      </c>
      <c r="D202" s="208"/>
      <c r="E202" s="39">
        <f>SnapshotTable[[#This Row],[Last Price]]*(1 -CrashDiscount)</f>
        <v>66.146999999999991</v>
      </c>
      <c r="F202" s="26" t="s">
        <v>223</v>
      </c>
      <c r="G202" s="26" t="s">
        <v>49</v>
      </c>
      <c r="H202" s="149"/>
      <c r="I202" s="194">
        <v>44760.3125</v>
      </c>
      <c r="J202" s="195">
        <v>44760.3125</v>
      </c>
      <c r="K202" s="196" t="s">
        <v>3</v>
      </c>
      <c r="L202" s="326"/>
      <c r="M202" s="140"/>
      <c r="N202" s="140"/>
      <c r="O202" s="140"/>
      <c r="P202" s="22"/>
      <c r="Q202" s="25"/>
      <c r="R202" s="4" t="str">
        <f>IF(SnapshotTable[[#This Row],[Equity Basis Total]] &gt; 0, SnapshotTable[[#This Row],[Equity Basis Total]] / SnapshotTable[[#This Row],[Equity Shares]], "")</f>
        <v/>
      </c>
      <c r="S202" s="269">
        <f>SnapshotTable[[#This Row],[Last Price]] * SnapshotTable[[#This Row],[Equity Shares]]</f>
        <v>0</v>
      </c>
      <c r="T202" s="269">
        <f>SnapshotTable[[#This Row],[Equity Value]] - SnapshotTable[[#This Row],[Equity Basis Total]]</f>
        <v>0</v>
      </c>
      <c r="U202" s="270" t="str">
        <f>IF(SnapshotTable[[#This Row],[Equity Basis Total]] &gt; 0, SnapshotTable[[#This Row],[Equity G/L]] / SnapshotTable[[#This Row],[Equity Basis Total]], "")</f>
        <v/>
      </c>
      <c r="V202" s="268">
        <v>60</v>
      </c>
      <c r="W202" s="268">
        <v>43</v>
      </c>
      <c r="X202" s="4" t="str">
        <f>IF(AND(ISNUMBER(SnapshotTable[[#This Row],[Equity Basis Per Share]]),ISNUMBER(SnapshotTable[[#This Row],[Equity Target]])),SnapshotTable[[#This Row],[Equity Target]]-SnapshotTable[[#This Row],[Equity Basis Per Share]],"")</f>
        <v/>
      </c>
      <c r="Y202" s="4" t="str">
        <f>IF(AND(ISNUMBER(SnapshotTable[[#This Row],[Equity Basis Per Share]]),ISNUMBER(SnapshotTable[[#This Row],[Equity Stop Loss]])),SnapshotTable[[#This Row],[Equity Stop Loss]]-SnapshotTable[[#This Row],[Equity Basis Per Share]],"")</f>
        <v/>
      </c>
      <c r="Z202" s="275" t="str">
        <f>IFERROR( TEXT(SnapshotTable[[#This Row],[Equity Max Gain Per Share]] /ABS( SnapshotTable[[#This Row],[Equity Max Loss Per Share]]),"0.0 " ) &amp; " : 1", "")</f>
        <v/>
      </c>
      <c r="AA202" s="31" t="str">
        <f>IF(ISNUMBER(SnapshotTable[[#This Row],[Equity Max Gain Per Share]]),SnapshotTable[[#This Row],[Equity Max Gain Per Share]] * SnapshotTable[[#This Row],[Equity Shares]],"")</f>
        <v/>
      </c>
      <c r="AB202" s="31" t="str">
        <f>IF(ISNUMBER(SnapshotTable[[#This Row],[Equity Max Loss Per Share]]),SnapshotTable[[#This Row],[Equity Max Loss Per Share]] * SnapshotTable[[#This Row],[Equity Shares]],"")</f>
        <v/>
      </c>
      <c r="AC202" s="150"/>
      <c r="AD202" s="151"/>
      <c r="AE202" s="31">
        <f>(SnapshotTable[[#This Row],[Annual Dividend Per Share]] / 4) * SnapshotTable[[#This Row],[Equity Shares]]</f>
        <v>0</v>
      </c>
      <c r="AF202" s="31">
        <f>SnapshotTable[[#This Row],[Quarterly Div $]] * 4</f>
        <v>0</v>
      </c>
      <c r="AG202" s="7">
        <f>IF(SnapshotTable[[#This Row],[Annual Dividend Per Share]]&gt;0, SnapshotTable[[#This Row],[Annual Dividend Per Share]]  / SnapshotTable[[#This Row],[Last Price]], 0)</f>
        <v>0</v>
      </c>
      <c r="AH202" s="151"/>
      <c r="AI202" s="5"/>
      <c r="AJ202" s="138">
        <v>47.67</v>
      </c>
      <c r="AK202" s="152" t="str">
        <f>IF(ISNUMBER( SnapshotTable[[#This Row],[EBF Target]]),(SnapshotTable[[#This Row],[EBF Target]] - SnapshotTable[[#This Row],[Last Price]]) / SnapshotTable[[#This Row],[Last Price]], "")</f>
        <v/>
      </c>
      <c r="AL202" s="152" t="str">
        <f>IF(AND(SnapshotTable[[#This Row],[Equity Basis Total]] &gt; 0,ISNUMBER( SnapshotTable[[#This Row],[Long Term Target]])), SnapshotTable[[#This Row],[From Basis $]] / SnapshotTable[[#This Row],[Equity Basis Total]], "")</f>
        <v/>
      </c>
      <c r="AM202" s="9">
        <f>IF( AND(SnapshotTable[[#This Row],[Equity Shares]] &gt;0,ISNUMBER( SnapshotTable[[#This Row],[Long Term Target]])),(SnapshotTable[[#This Row],[Equity Shares]] * SnapshotTable[[#This Row],[Long Term Target]]) - SnapshotTable[[#This Row],[Equity Basis Total]],0)</f>
        <v>0</v>
      </c>
      <c r="AN202" s="9">
        <f>IF( AND(SnapshotTable[[#This Row],[Equity Shares]] &gt;0,ISNUMBER( SnapshotTable[[#This Row],[Long Term Target]])),(SnapshotTable[[#This Row],[Equity Shares]]*SnapshotTable[[#This Row],[Long Term Target]]) - SnapshotTable[[#This Row],[Equity Value]],0)</f>
        <v>0</v>
      </c>
      <c r="AO202" s="152">
        <f>IF(AND(ISNUMBER( SnapshotTable[[#This Row],[Long Term Target]]), ISNUMBER(SnapshotTable[[#This Row],[Last Price]])),(SnapshotTable[[#This Row],[Long Term Target]] - SnapshotTable[[#This Row],[Last Price]]) / SnapshotTable[[#This Row],[Last Price]], "")</f>
        <v>-0.387432536622976</v>
      </c>
      <c r="AP202" s="5"/>
      <c r="AQ202" s="38"/>
      <c r="AR202" s="5"/>
      <c r="AS202" s="38"/>
      <c r="AT202" s="146"/>
      <c r="AU202" s="187" t="str">
        <f>IF(OR(SnapshotTable[[#This Row],[LP No Fill]]="Y",SnapshotTable[[#This Row],[SP Is Filled]],SnapshotTable[[#This Row],[LC Not Filled]]="Y",SnapshotTable[[#This Row],[SC Is Filled]]),"Y","")</f>
        <v/>
      </c>
      <c r="AV202" s="219"/>
      <c r="AW202" s="225"/>
      <c r="AX202" s="220"/>
      <c r="AY202" s="219" t="str">
        <f>IF(SnapshotTable[[#This Row],[Implied Move]]&gt;0, SnapshotTable[[#This Row],[Last Price]]-SnapshotTable[[#This Row],[Implied Move]],"")</f>
        <v/>
      </c>
      <c r="AZ202" s="219" t="str">
        <f>IF(SnapshotTable[[#This Row],[Implied Move]]&gt;0, SnapshotTable[[#This Row],[Last Price]] + SnapshotTable[[#This Row],[Implied Move]],"")</f>
        <v/>
      </c>
      <c r="BA202" s="331">
        <v>48.42</v>
      </c>
      <c r="BB202" s="347"/>
      <c r="BC20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2" s="351"/>
      <c r="BE202" s="138"/>
      <c r="BF202" s="166"/>
      <c r="BG202" s="167"/>
      <c r="BH202" s="167"/>
      <c r="BI202" s="221"/>
      <c r="BJ202" s="153">
        <f>IF(SnapshotTable[[#This Row],[LP Qty]] &gt; 0, SnapshotTable[[#This Row],[LP Qty]] * SnapshotTable[[#This Row],[LP Book Price]] * 100,0)</f>
        <v>0</v>
      </c>
      <c r="BK202" s="136">
        <f>IF(SnapshotTable[[#This Row],[LP Premium]] &gt; 0, SnapshotTable[[#This Row],[LP Qty]] * SnapshotTable[[#This Row],[LP Strike Price]] * 100,0)</f>
        <v>0</v>
      </c>
      <c r="BL202" s="154"/>
      <c r="BM202" s="385" t="str">
        <f>IF(SnapshotTable[[#This Row],[LP Premium]] &gt; 0,SnapshotTable[[#This Row],[LP Exp Date]]-MAX(SnapshotTable[[#This Row],[LP Book Date]], SnapshotTable[[#This Row],[LP Fill Date]]),"")</f>
        <v/>
      </c>
      <c r="BN202" s="385" t="str">
        <f>IF(ISNUMBER( SnapshotTable[[#This Row],[LP Term]]), SnapshotTable[[#This Row],[LP Exp Date]] - MockToday,"")</f>
        <v/>
      </c>
      <c r="BO202" s="163" t="str">
        <f>IF(AND(SnapshotTable[[#This Row],[LP Exp Date]]&gt;0, SnapshotTable[[#This Row],[LP Strike Price]]&gt;0,SnapshotTable[[#This Row],[LP Qty]]&gt;0,SnapshotTable[[#This Row],[LP Book Date]]&gt;0,SnapshotTable[[#This Row],[LP Book Price]]&gt;0,SnapshotTable[[#This Row],[LP Fill Date]]=0),"Y","")</f>
        <v/>
      </c>
      <c r="BP202" s="31" t="str">
        <f>IF(AND(SnapshotTable[[#This Row],[LP No Fill]]&lt;&gt;"Y",SnapshotTable[[#This Row],[LP Contract Value]]&gt;0, SnapshotTable[[#This Row],[LP Qty]]&gt;0), SnapshotTable[[#This Row],[LP Contract Value]]*SnapshotTable[[#This Row],[LP Qty]]*100,"")</f>
        <v/>
      </c>
      <c r="BQ202" s="13"/>
      <c r="BR202" s="5" t="str">
        <f>IF(SnapshotTable[[#This Row],[SP Exp Date]]&lt;&gt;"",TRUNC(SnapshotTable[[#This Row],[Last Price]]),"")</f>
        <v/>
      </c>
      <c r="BS202" s="36"/>
      <c r="BT202" s="147"/>
      <c r="BU202" s="13"/>
      <c r="BV202" s="5"/>
      <c r="BW202" s="419" t="b">
        <f>AND(ISNUMBER(SnapshotTable[[#This Row],[SP Exp Date]]), ISNUMBER(SnapshotTable[[#This Row],[SP Strike Price]]), ISNUMBER(SnapshotTable[[#This Row],[SP Qty]]), ISNUMBER(SnapshotTable[[#This Row],[SP Book Date]]), ISNUMBER(SnapshotTable[[#This Row],[SP Book Price]]))</f>
        <v>0</v>
      </c>
      <c r="BX202" s="419" t="b">
        <f>AND(SnapshotTable[[#This Row],[SP Is Booked]], NOT(ISBLANK(SnapshotTable[[#This Row],[SP Fill Date]])))</f>
        <v>0</v>
      </c>
      <c r="BY202" s="33">
        <f>IF(SnapshotTable[[#This Row],[SP Is Booked]], SnapshotTable[[#This Row],[SP Qty]] * SnapshotTable[[#This Row],[SP Book Price]] * 100, 0)</f>
        <v>0</v>
      </c>
      <c r="BZ202" s="369"/>
      <c r="CA202" s="368">
        <f>SnapshotTable[[#This Row],[LP Qty]]</f>
        <v>0</v>
      </c>
      <c r="CB202" s="4" t="str">
        <f>IF(SnapshotTable[[#This Row],[SP Is Booked]], SnapshotTable[[#This Row],[SP Strike Price]] - SnapshotTable[[#This Row],[SP Book Price]], "")</f>
        <v/>
      </c>
      <c r="CC202" s="19" t="str">
        <f>IF(SnapshotTable[[#This Row],[SP Is Booked]],SnapshotTable[[#This Row],[SP Exp Date]]-MAX(SnapshotTable[[#This Row],[SP Book Date]], SnapshotTable[[#This Row],[SP Fill Date]]),"")</f>
        <v/>
      </c>
      <c r="CD202" s="7" t="str">
        <f>IF(SnapshotTable[[#This Row],[SP Is Booked]], SnapshotTable[[#This Row],[SP Book Price]]/SnapshotTable[[#This Row],[SP Strike Price]], "")</f>
        <v/>
      </c>
      <c r="CE202" s="7" t="str">
        <f>IF(ISNUMBER(SnapshotTable[[#This Row],[SP ROO Term]]),SnapshotTable[[#This Row],[SP ROO Term]]*(365/SnapshotTable[[#This Row],[SP Term]]),"")</f>
        <v/>
      </c>
      <c r="CF202" s="236">
        <f>SnapshotTable[[#This Row],[LP Strike Price]] * SnapshotTable[[#This Row],[LP Qty]] * 100</f>
        <v>0</v>
      </c>
      <c r="CG202" s="31" t="e">
        <f>IF(ISNUMBER(SnapshotTable[[#This Row],[SP Premium]]), (SnapshotTable[[#This Row],[SP Qty]] * SnapshotTable[[#This Row],[SP Strike Price]]* 100) - SnapshotTable[[#This Row],[LP Protection]], 0)</f>
        <v>#VALUE!</v>
      </c>
      <c r="CH202" s="7" t="str">
        <f>IF(ISNUMBER(SnapshotTable[[#This Row],[SP Break Even]]),-1 * (SnapshotTable[[#This Row],[SP Break Even]] - SnapshotTable[[#This Row],[Last Price]]) / SnapshotTable[[#This Row],[Last Price]], "")</f>
        <v/>
      </c>
      <c r="CI202" s="31">
        <f>IF(AND(ISNUMBER((SnapshotTable[[#This Row],[SP Potential Spend]])), SnapshotTable[[#This Row],[SP Strike Price]] &gt; SnapshotTable[[#This Row],[Last Price]], SnapshotTable[[#This Row],[SP Is Filled]]), SnapshotTable[[#This Row],[SP Potential Spend]] -  SnapshotTable[[#This Row],[LP Max Value]], 0)</f>
        <v>0</v>
      </c>
      <c r="CJ202" s="244"/>
      <c r="CK202" s="31" t="str">
        <f>IF(ISNUMBER(SnapshotTable[[#This Row],[SP Potential Spend]]),IF(ISNUMBER(SnapshotTable[[#This Row],[SP POW]]), SnapshotTable[[#This Row],[SP POW]] * SnapshotTable[[#This Row],[SP Potential Spend]], SnapshotTable[[#This Row],[SP Potential Spend]]), "")</f>
        <v/>
      </c>
      <c r="CL202" s="164" t="e">
        <f>IF(NOT(SnapshotTable[[#This Row],[SP Is Filled]]),(SnapshotTable[[#This Row],[SP Qty]] * SnapshotTable[[#This Row],[SP Strike Price]] * 100) - SnapshotTable[[#This Row],[LP Max Value]],"")</f>
        <v>#VALUE!</v>
      </c>
      <c r="CM202" s="31" t="str">
        <f>IF(SnapshotTable[[#This Row],[SP Actual Spend]]&lt;&gt;0, ((SnapshotTable[[#This Row],[SP Strike Price]]-SnapshotTable[[#This Row],[Last Price]]) *(SnapshotTable[[#This Row],[SP Qty]]*100) - SnapshotTable[[#This Row],[SP Premium]]) * - 1, "")</f>
        <v/>
      </c>
      <c r="CN202" s="154"/>
      <c r="CO202" s="369"/>
      <c r="CP202" s="4" t="str">
        <f>IF(SnapshotTable[[#This Row],[SP Is Filled]], btc_max_buyback_amount(SnapshotTable[[#This Row],[SP Fill Date]],SnapshotTable[[#This Row],[SP Exp Date]], SnapshotTable[[#This Row],[SP Book Price]]),"")</f>
        <v/>
      </c>
      <c r="CQ202" s="78"/>
      <c r="CR20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2" s="155" t="str">
        <f>IF(SnapshotTable[[#This Row],[SP Is Filled]], btc_next_cutoff_date(SnapshotTable[[#This Row],[SP Fill Date]],SnapshotTable[[#This Row],[SP Exp Date]]),"")</f>
        <v/>
      </c>
      <c r="CT202" s="235" t="str" cm="1">
        <f t="array" ref="CT202">IF(SnapshotTable[[#This Row],[SP Is Filled]], btc_should_buy_back(SnapshotTable[[#This Row],[SP Fill Date]], SnapshotTable[[#This Row],[SP Exp Date]], SnapshotTable[[#This Row],[SP Book Price]], SnapshotTable[[#This Row],[SP Current Ask]], MockToday, SnapshotTable[[#This Row],[SP Buyback Override]]),"")</f>
        <v/>
      </c>
      <c r="CU202" s="156"/>
      <c r="CV202" s="235"/>
      <c r="CW202" s="378" t="str">
        <f>IF(ISNUMBER( SnapshotTable[[#This Row],[SP Term]]), SnapshotTable[[#This Row],[SP Exp Date]] - MockToday,"")</f>
        <v/>
      </c>
      <c r="CX202" s="31" t="str">
        <f>IF(SnapshotTable[[#This Row],[SP Is Filled]],SnapshotTable[[#This Row],[SP Buyback Price to Use]] * 100 * SnapshotTable[[#This Row],[SP Qty]], "")</f>
        <v/>
      </c>
      <c r="CY202" s="4" t="str">
        <f>IF(ISNUMBER(SnapshotTable[[#This Row],[SP Strike Price]]), SnapshotTable[[#This Row],[SP Strike Price]] * (1 - SP_MaxLoss_StrikePct), "")</f>
        <v/>
      </c>
      <c r="CZ202" s="31" t="str">
        <f>IF(ISNUMBER(SnapshotTable[[#This Row],[SP Strike  Stop Per Share]]),SnapshotTable[[#This Row],[SP Premium]] - ((SnapshotTable[[#This Row],[SP Strike Price]]-SnapshotTable[[#This Row],[SP Strike  Stop Per Share]]) *(SnapshotTable[[#This Row],[SP Qty]] * 100)),"")</f>
        <v/>
      </c>
      <c r="DA202" s="4" t="str">
        <f>IF(AND(ISNUMBER(SnapshotTable[[#This Row],[SP Premium]]),SnapshotTable[[#This Row],[SP Premium]]&gt;0), SnapshotTable[[#This Row],[SP Book Price]] * (1 + SP_MaxLoss_OptionPct), "")</f>
        <v/>
      </c>
      <c r="DB202" s="31" t="str">
        <f>IF(ISNUMBER(SnapshotTable[[#This Row],[SP Option  Stop Contract]]),(SnapshotTable[[#This Row],[SP Option  Stop Contract]] *(SnapshotTable[[#This Row],[SP Qty]] * 100) - SnapshotTable[[#This Row],[SP Premium]]),"")</f>
        <v/>
      </c>
      <c r="DC202" s="4"/>
      <c r="DD202" s="4"/>
      <c r="DE202" s="4" t="str">
        <f>IF(AND(SnapshotTable[[#This Row],[SP Qty]]&gt;0, SnapshotTable[[#This Row],[SP Stop To Use]]&gt;0),SnapshotTable[[#This Row],[SP Premium]] - ( SnapshotTable[[#This Row],[SP Qty]] * SnapshotTable[[#This Row],[SP Stop To Use]] * 100), "")</f>
        <v/>
      </c>
      <c r="DF202" s="31" t="str">
        <f>IF(AND(SnapshotTable[[#This Row],[SP Qty]]&gt;0,SnapshotTable[[#This Row],[SP Current Ask]]&gt;0), SnapshotTable[[#This Row],[SP Qty]] * SnapshotTable[[#This Row],[SP Current Ask]] * -100, "")</f>
        <v/>
      </c>
      <c r="DG202" s="31" t="str">
        <f>IF(ISNUMBER((SnapshotTable[[#This Row],[SP Total Value]])), SnapshotTable[[#This Row],[SP Premium]] + SnapshotTable[[#This Row],[SP Total Value]], "")</f>
        <v/>
      </c>
      <c r="DH202" s="294" t="str">
        <f>IF(ISNUMBER((SnapshotTable[[#This Row],[SP Total Value]])), SnapshotTable[[#This Row],[SP Gain Loss]] / SnapshotTable[[#This Row],[SP Premium]], "")</f>
        <v/>
      </c>
      <c r="DI202" s="406"/>
      <c r="DJ202" s="138"/>
      <c r="DK202" s="148"/>
      <c r="DL202" s="147"/>
      <c r="DM202" s="147"/>
      <c r="DO202" s="31">
        <f>IF(SnapshotTable[[#This Row],[LC Symbol Count]]=1, SnapshotTable[[#This Row],[LC Qty]] * SnapshotTable[[#This Row],[LC Book Price]] * 100, 0)</f>
        <v>0</v>
      </c>
      <c r="DP202" s="289" t="str">
        <f>IF(AND(SnapshotTable[[#This Row],[LC Exp Date]]&gt;0, SnapshotTable[[#This Row],[LC Strike Price]]&gt;0,SnapshotTable[[#This Row],[LC Qty]]&gt;0,SnapshotTable[[#This Row],[LC Book Date]]&gt;0,SnapshotTable[[#This Row],[LC Book Price]]&gt;0,SnapshotTable[[#This Row],[LC Fill Date]]=0),"Y","")</f>
        <v/>
      </c>
      <c r="DQ202" s="386" t="str">
        <f>IF(SnapshotTable[[#This Row],[LC Premium]] &gt; 0,SnapshotTable[[#This Row],[LC Exp Date]]-MAX(SnapshotTable[[#This Row],[LC Book Date]], SnapshotTable[[#This Row],[LC Fill Date]]),"")</f>
        <v/>
      </c>
      <c r="DR202" s="386" t="str">
        <f>IF(ISNUMBER(SnapshotTable[[#This Row],[LC Term]]), SnapshotTable[[#This Row],[LC Exp Date]] - MockToday, "")</f>
        <v/>
      </c>
      <c r="DS202" s="234" t="str">
        <f>IF(SnapshotTable[[#This Row],[LC Premium]]&gt;0,SnapshotTable[[#This Row],[LC Strike Price]] + SnapshotTable[[#This Row],[LC Book Price]],"")</f>
        <v/>
      </c>
      <c r="DU202" s="9" t="str">
        <f>IF(AND(SnapshotTable[[#This Row],[LC Symbol Count]]&gt;0, SnapshotTable[[#This Row],[LC Contract Value]]&gt;0), SnapshotTable[[#This Row],[LC Contract Value]] * SnapshotTable[[#This Row],[LC Qty]] * 100, "")</f>
        <v/>
      </c>
      <c r="DV202" s="9" t="str">
        <f>IF(AND(ISNUMBER(SnapshotTable[[#This Row],[LC Total Value]]), SnapshotTable[[#This Row],[LC Not Filled]]&lt;&gt;"Y"), SnapshotTable[[#This Row],[LC Total Value]]-SnapshotTable[[#This Row],[LC Premium]],"")</f>
        <v/>
      </c>
      <c r="DW202" s="240" t="str">
        <f>IF(ISNUMBER(SnapshotTable[[#This Row],[LC Actual Gain Loss]]), SnapshotTable[[#This Row],[LC Actual Gain Loss]] / SnapshotTable[[#This Row],[LC Premium]],"")</f>
        <v/>
      </c>
      <c r="DX202" s="284" t="str">
        <f>IF(ISNUMBER(SnapshotTable[[#This Row],[LC Book Price]]),SnapshotTable[[#This Row],[LC Book Price]] * 1.5,"")</f>
        <v/>
      </c>
      <c r="DY202" s="265" t="str">
        <f>IF(SnapshotTable[[#This Row],[LC Premium]]&gt;0, SnapshotTable[[#This Row],[LC Next Target]] * SnapshotTable[[#This Row],[LC Qty]] * 100,"")</f>
        <v/>
      </c>
      <c r="DZ202" s="265" t="str">
        <f>IF(ISNUMBER(SnapshotTable[[#This Row],[LC Target Gross]]), SnapshotTable[[#This Row],[LC Target Gross]] - SnapshotTable[[#This Row],[LC Premium]], "")</f>
        <v/>
      </c>
      <c r="EA202" s="305" t="str">
        <f>IF(ISNUMBER(SnapshotTable[[#This Row],[LC Target Gain Loss]]), SnapshotTable[[#This Row],[LC Target Gain Loss]]/SnapshotTable[[#This Row],[LC Premium]], "")</f>
        <v/>
      </c>
      <c r="EB202" s="262"/>
      <c r="EC202" s="283" t="str">
        <f>IF(SnapshotTable[[#This Row],[LC Premium]]&gt;0, SnapshotTable[[#This Row],[LC Book Price]] * (1 - LC_StopLoss_Pct),"")</f>
        <v/>
      </c>
      <c r="ED202" s="284"/>
      <c r="EE202" s="283" t="str">
        <f>IF(ISNUMBER(SnapshotTable[[#This Row],[LC Contract Value]]),IF(ISNUMBER(SnapshotTable[[#This Row],[LC Stop Loss Override]]), SnapshotTable[[#This Row],[LC Stop Loss Override]],SnapshotTable[[#This Row],[LC Stop Loss Calc Target]]),"")</f>
        <v/>
      </c>
      <c r="EF202" s="31" t="str">
        <f>IF(ISNUMBER(SnapshotTable[[#This Row],[LC Stop  To Use]]), (SnapshotTable[[#This Row],[LC Stop  To Use]] * SnapshotTable[[#This Row],[LC Qty]] * 100),"")</f>
        <v/>
      </c>
      <c r="EG202" s="9" t="str">
        <f>IF(ISNUMBER(SnapshotTable[[#This Row],[LC Total Value]]),SnapshotTable[[#This Row],[LC Stop Loss Amount]] - SnapshotTable[[#This Row],[LC Premium]],"")</f>
        <v/>
      </c>
      <c r="EH202" s="9">
        <f>IF(ISNUMBER(SnapshotTable[[#This Row],[LC Premium]]), SnapshotTable[[#This Row],[LC Qty]] * 100 * SnapshotTable[[#This Row],[LC Strike Price]], "")</f>
        <v>0</v>
      </c>
      <c r="EI202" s="240" t="str">
        <f>IF(AND(ISNUMBER(SnapshotTable[[#This Row],[LC Total Value]]),SnapshotTable[[#This Row],[LC Total Value]]&gt;0),SnapshotTable[[#This Row],[LC Stop Gain Loss]]  / SnapshotTable[[#This Row],[LC Premium]],"")</f>
        <v/>
      </c>
      <c r="EJ202" s="35">
        <f>IF(ISNUMBER(SnapshotTable[[#This Row],[Equity Shares]]),TRUNC(SnapshotTable[[#This Row],[Equity Shares]] / 100),0) + SnapshotTable[[#This Row],[LC Qty]]</f>
        <v>0</v>
      </c>
      <c r="EK202" s="147"/>
      <c r="EL202" s="138" t="str">
        <f>IF(SnapshotTable[[#This Row],[SC Exp Date]]&lt;&gt;"",TRUNC(SnapshotTable[[#This Row],[Last Price]]),"")</f>
        <v/>
      </c>
      <c r="EM202" s="148"/>
      <c r="EN202" s="147"/>
      <c r="EO202" s="147"/>
      <c r="EP202" s="138"/>
      <c r="EQ202" s="419" t="b">
        <f>AND(ISNUMBER(SnapshotTable[[#This Row],[SC Exp Date]]), ISNUMBER(SnapshotTable[[#This Row],[SC Strike Price]]), ISNUMBER(SnapshotTable[[#This Row],[SC Qty]]), ISNUMBER(SnapshotTable[[#This Row],[SC Book Date]]), ISNUMBER(SnapshotTable[[#This Row],[SC Book Price]]))</f>
        <v>0</v>
      </c>
      <c r="ER202" s="419" t="b">
        <f>AND(SnapshotTable[[#This Row],[SC Is Booked]], NOT(ISBLANK(SnapshotTable[[#This Row],[SC Fill Date]])))</f>
        <v>0</v>
      </c>
      <c r="ES202" s="370"/>
      <c r="ET202" s="34" t="str">
        <f>IF(AND(ISNUMBER(SnapshotTable[[#This Row],[SC Exp Date]]), ISNUMBER(SnapshotTable[[#This Row],[SC Book Date]])), SnapshotTable[[#This Row],[SC Exp Date]] - MAX(SnapshotTable[[#This Row],[SC Book Date]], SnapshotTable[[#This Row],[SC Fill Date]]) + 1, "")</f>
        <v/>
      </c>
      <c r="EU202" s="34" t="str">
        <f>IF(ISNUMBER(SnapshotTable[[#This Row],[SC Term]]), SnapshotTable[[#This Row],[SC Exp Date]]- MockToday, "")</f>
        <v/>
      </c>
      <c r="EV202" s="31">
        <f>IF(SnapshotTable[[#This Row],[SC Is Booked]], SnapshotTable[[#This Row],[SC Qty]] * SnapshotTable[[#This Row],[SC Book Price]] * 100, 0)</f>
        <v>0</v>
      </c>
      <c r="EW202" s="4" t="str">
        <f>IF(AND(ISNUMBER(SnapshotTable[[#This Row],[Last Price]]), ISNUMBER( SnapshotTable[[#This Row],[SC Book Price]])), SnapshotTable[[#This Row],[Last Price]] - SnapshotTable[[#This Row],[SC Book Price]],"")</f>
        <v/>
      </c>
      <c r="EX202" s="234" t="str">
        <f>IF(SnapshotTable[[#This Row],[SC Is Booked]],IF(SnapshotTable[[#This Row],[SC Intrinsic Value]] &gt; 0, SnapshotTable[[#This Row],[SC Strike Price]], SnapshotTable[[#This Row],[Last Price]]), "")</f>
        <v/>
      </c>
      <c r="EY202" s="4">
        <f>IF(SnapshotTable[[#This Row],[SC Is Booked]], (MinimumPremiumRequired * SnapshotTable[[#This Row],[SC Basis]] * SnapshotTable[[#This Row],[SC Term]]), 0)</f>
        <v>0</v>
      </c>
      <c r="EZ202" s="283"/>
      <c r="FA202" s="218"/>
      <c r="FB202" s="370"/>
      <c r="FC202" s="4">
        <f>IF(SnapshotTable[[#This Row],[SC Is Filled]], btc_max_buyback_amount(SnapshotTable[[#This Row],[SC Fill Date]],SnapshotTable[[#This Row],[SC Exp Date]], SnapshotTable[[#This Row],[SC Book Price]]),0)</f>
        <v>0</v>
      </c>
      <c r="FD202" s="5"/>
      <c r="FE202" s="144" t="str">
        <f>IF(SnapshotTable[[#This Row],[SC Is Filled]], btc_next_cutoff_date(SnapshotTable[[#This Row],[SC Fill Date]],SnapshotTable[[#This Row],[SC Exp Date]]),"")</f>
        <v/>
      </c>
      <c r="FF202" s="4" t="str" cm="1">
        <f t="array" ref="FF202">IF(SnapshotTable[[#This Row],[SC Is Filled]], btc_should_buy_back(SnapshotTable[[#This Row],[SC Fill Date]], SnapshotTable[[#This Row],[SC Exp Date]], SnapshotTable[[#This Row],[SC Book Price]], SnapshotTable[[#This Row],[SC Current Ask]], MockToday, SnapshotTable[[#This Row],[SC Buyback Override]]),"")</f>
        <v/>
      </c>
      <c r="FG202" s="4">
        <f>IF(SnapshotTable[[#This Row],[SC Is Filled]], MAX(0,SnapshotTable[[#This Row],[Last Price]]  - SnapshotTable[[#This Row],[SC Strike Price]]), 0)</f>
        <v>0</v>
      </c>
      <c r="FH202" s="382">
        <f>IF(SnapshotTable[[#This Row],[SC Is Filled]], IF(ISNUMBER(SnapshotTable[[#This Row],[SC Current Ask]]), SnapshotTable[[#This Row],[SC Current Ask]], SnapshotTable[[#This Row],[SC Book Price]]) - SnapshotTable[[#This Row],[SC Intrinsic Value]], 0)</f>
        <v>0</v>
      </c>
      <c r="FI202" s="143"/>
      <c r="FJ202" s="32" t="str">
        <f>IF(SnapshotTable[[#This Row],[SC Is Filled]],100 * SnapshotTable[[#This Row],[SC Qty]] * IF(ISNUMBER(SnapshotTable[[#This Row],[SC Buyback Override]]), SnapshotTable[[#This Row],[SC Buyback Override]], SnapshotTable[[#This Row],[SC Current Ask]]), "")</f>
        <v/>
      </c>
      <c r="FK202" s="250" t="str">
        <f>IF(SnapshotTable[[#This Row],[SC Time Val]]&gt;0, SnapshotTable[[#This Row],[SC Time Val]] / SnapshotTable[[#This Row],[Last Price]],"")</f>
        <v/>
      </c>
      <c r="FL202" s="302" t="str">
        <f>IF(SnapshotTable[[#This Row],[SC Is Booked]], ((SnapshotTable[[#This Row],[Last Price]] -SnapshotTable[[#This Row],[SC Strike Price]]) / SnapshotTable[[#This Row],[Last Price]]) * -1, "")</f>
        <v/>
      </c>
      <c r="FM202" s="157" t="str">
        <f>IF(SnapshotTable[[#This Row],[SC Is Booked]],  (SnapshotTable[[#This Row],[SC Qty]] * 100 * SnapshotTable[[#This Row],[SC Strike Price]]) - SnapshotTable[[#This Row],[SC Current Ask]], "")</f>
        <v/>
      </c>
      <c r="FN202"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2" s="157" t="str">
        <f>IF(AND(ISNUMBER(SnapshotTable[[#This Row],[SC Exercise Gross]]), ISNUMBER(SnapshotTable[[#This Row],[Equity Basis Per Share]] )), SnapshotTable[[#This Row],[SC Exercise Gross]] - SnapshotTable[[#This Row],[Equity Basis Total]] +  SnapshotTable[[#This Row],[SC Premium]], "")</f>
        <v/>
      </c>
      <c r="FP202" s="5" t="str">
        <f>IF(ISNUMBER(SnapshotTable[[#This Row],[SC Exercise Gross]]), (SnapshotTable[[#This Row],[SC Exercise Gross]]) / (SnapshotTable[[#This Row],[SC Qty]] * 100), "")</f>
        <v/>
      </c>
      <c r="FQ202" s="27" t="str">
        <f>IF(SnapshotTable[[#This Row],[SC Is Booked]],SnapshotTable[[#This Row],[SC Time Val]] /SnapshotTable[[#This Row],[SC Basis]], "")</f>
        <v/>
      </c>
      <c r="FR202" s="27" t="str" cm="1">
        <f t="array" ref="FR202">IF(AND(ISNUMBER(SnapshotTable[[#This Row],[SC Term]]),ISNUMBER(SnapshotTable[[#This Row],[SC Simple ROO]])), EllmanAnnualize(SnapshotTable[[#This Row],[SC DTE]], SnapshotTable[[#This Row],[SC Simple ROO]] ),"")</f>
        <v/>
      </c>
      <c r="FS202" s="4" t="e">
        <f>IF(SnapshotTable[[#This Row],[SC Strike Price]] &gt; SnapshotTable[[#This Row],[Last Price]], SnapshotTable[[#This Row],[SC Strike Price]] - SnapshotTable[[#This Row],[Last Price]],0)</f>
        <v>#VALUE!</v>
      </c>
      <c r="FT202" s="27" t="e">
        <f>IF(AND(ISNUMBER(SnapshotTable[[#This Row],[SC Upside Potential]]), SnapshotTable[[#This Row],[SC Upside Potential]] &gt; 0),(SnapshotTable[[#This Row],[SC Upside Potential]]/ SnapshotTable[[#This Row],[ACB]]),"")</f>
        <v>#VALUE!</v>
      </c>
      <c r="FU202" s="333" t="str">
        <f>IF(SnapshotTable[[#This Row],[SC Intrinsic Value]] &gt; 0,SnapshotTable[[#This Row],[SC Intrinsic Value]],"")</f>
        <v/>
      </c>
      <c r="FV202" s="27" t="str">
        <f>IF(AND( ISNUMBER( SnapshotTable[[#This Row],[ACB]]),ISNUMBER(SnapshotTable[[#This Row],[SC Downside Protect]])),SnapshotTable[[#This Row],[SC Downside Protect]] / SnapshotTable[[#This Row],[ACB]],"")</f>
        <v/>
      </c>
      <c r="FW202" s="236" t="str">
        <f>IF(AND(ISNUMBER(SnapshotTable[[#This Row],[SC Simple ROO]]),SnapshotTable[[#This Row],[SC Simple ROO]] &gt; 0), SnapshotTable[[#This Row],[SC Premium]] + (SnapshotTable[[#This Row],[SC Qty]] * SnapshotTable[[#This Row],[SC Upside Potential]]), "")</f>
        <v/>
      </c>
      <c r="FX202" s="302" t="str" cm="1">
        <f t="array" ref="FX202">IF(ISNUMBER(SnapshotTable[[#This Row],[SC Max Dollars]]), annualize(SnapshotTable[[#This Row],[SC Term]],(SnapshotTable[[#This Row],[SC Max Dollars]]/SnapshotTable[[#This Row],[SC Basis]])),"")</f>
        <v/>
      </c>
      <c r="FY202" s="236" t="str">
        <f>IF(AND(SnapshotTable[[#This Row],[SC Qty]]&gt;0,SnapshotTable[[#This Row],[SC Current Ask]]&gt;0), SnapshotTable[[#This Row],[SC Qty]] * SnapshotTable[[#This Row],[SC Current Ask]] * -100, "")</f>
        <v/>
      </c>
      <c r="FZ202" s="235" t="str">
        <f>IF(ISNUMBER((SnapshotTable[[#This Row],[SC Current Value]])), SnapshotTable[[#This Row],[SC Premium]] + SnapshotTable[[#This Row],[SC Current Value]], "")</f>
        <v/>
      </c>
      <c r="GA202" s="294" t="str">
        <f>IFERROR( IF(ISNUMBER((SnapshotTable[[#This Row],[SC Current Value]])), SnapshotTable[[#This Row],[SC Gain Loss]] / SnapshotTable[[#This Row],[SC Premium]], ""), "")</f>
        <v/>
      </c>
      <c r="GB202" s="42">
        <f>SnapshotTable[[#This Row],[Equity Shares]] * SaleSharesToConsiderPercentage</f>
        <v>0</v>
      </c>
      <c r="GC202" s="40">
        <f>SnapshotTable[[#This Row],[Long Term Target]] * SellingPriceToConsiderBasedOnTargetPercentage</f>
        <v>45.286499999999997</v>
      </c>
      <c r="GD202" s="40">
        <f>SnapshotTable[[#This Row],[Last Price]] * (1+ SellingPriceToConsiderBasedOnTargetPercentage)</f>
        <v>151.749</v>
      </c>
      <c r="GE202" s="41"/>
      <c r="GF202" s="40"/>
      <c r="GG202" s="31">
        <f>SnapshotTable[[#This Row],[Booked Sale Shares]] * SnapshotTable[[#This Row],[Booked Sale Price]]</f>
        <v>0</v>
      </c>
      <c r="GH202" s="31" t="str">
        <f>IF(SnapshotTable[[#This Row],[Equity Basis Total]] &gt; 0, SnapshotTable[[#This Row],[Equity Basis Per Share]] * SnapshotTable[[#This Row],[Booked Sale Shares]], "")</f>
        <v/>
      </c>
      <c r="GI202" s="31">
        <f>IF(SnapshotTable[[#This Row],[Sale Proceeds]]&gt;0, SnapshotTable[[#This Row],[Sale Proceeds]] - SnapshotTable[[#This Row],[Sale Basis]], 0)</f>
        <v>0</v>
      </c>
      <c r="GJ202" s="158" t="str">
        <f>IF(SnapshotTable[[#This Row],[Sale G/L]]&gt;0, SnapshotTable[[#This Row],[Sale G/L]] / SnapshotTable[[#This Row],[Sale Basis]], IF(ISNUMBER(SnapshotTable[[#This Row],[SC Exercise P&amp;L (TAX)]]), SnapshotTable[[#This Row],[SC Exercise P&amp;L (TAX)]] / SnapshotTable[[#This Row],[SC Basis]], ""))</f>
        <v/>
      </c>
      <c r="GK202" s="158"/>
      <c r="GL202" s="159" t="str">
        <f>IF(AND(SnapshotTable[[#This Row],[LP Exp Date]]&gt;0,SnapshotTable[[#This Row],[LP Strike Price]]&gt;0), [1]!ToOptionSymbol(SnapshotTable[[#This Row],[Symbol]], SnapshotTable[[#This Row],[LP Strike Price]],SnapshotTable[[#This Row],[LP Exp Date]],1), "")</f>
        <v/>
      </c>
      <c r="GM202" s="30" t="str">
        <f>IF(LEN(SnapshotTable[[#This Row],[LP Symbol]])&gt;0, 1, "")</f>
        <v/>
      </c>
      <c r="GN202" s="43" t="str">
        <f>IF(AND(SnapshotTable[[#This Row],[SP Exp Date]]&gt;0,SnapshotTable[[#This Row],[SP Strike Price]]&gt;0), [1]!ToOptionSymbol(SnapshotTable[[#This Row],[Symbol]], SnapshotTable[[#This Row],[SP Strike Price]],SnapshotTable[[#This Row],[SP Exp Date]],1), "")</f>
        <v/>
      </c>
      <c r="GO202" s="30" t="str">
        <f>IF(LEN(SnapshotTable[[#This Row],[SP Symbol]])&gt;0, 1, "")</f>
        <v/>
      </c>
      <c r="GP202" s="159" t="str">
        <f>IF(AND(SnapshotTable[[#This Row],[LC Exp Date]]&gt;0,SnapshotTable[[#This Row],[LC Strike Price]]&gt;0), [1]!ToOptionSymbol(SnapshotTable[[#This Row],[Symbol]], SnapshotTable[[#This Row],[LC Strike Price]],SnapshotTable[[#This Row],[LC Exp Date]],0), "")</f>
        <v/>
      </c>
      <c r="GQ202" s="160" t="str">
        <f>IF(LEN(SnapshotTable[[#This Row],[LC Symbol]])&gt;0, 1, "")</f>
        <v/>
      </c>
      <c r="GR202" s="159" t="str">
        <f>IF(AND(SnapshotTable[[#This Row],[SC Exp Date]]&gt;0,SnapshotTable[[#This Row],[SC Strike Price]]&gt;0), [1]!ToOptionSymbol(SnapshotTable[[#This Row],[Symbol]], SnapshotTable[[#This Row],[SC Strike Price]],SnapshotTable[[#This Row],[SC Exp Date]],0), "")</f>
        <v/>
      </c>
      <c r="GS202" s="160" t="str">
        <f>IF(LEN(SnapshotTable[[#This Row],[SC Symbol]])&gt;0, 1, "")</f>
        <v/>
      </c>
      <c r="GT202" s="161" t="str">
        <f>IF(COUNT(SnapshotTable[[#This Row],[LP Symbol Count]],SnapshotTable[[#This Row],[SP Symbol Count]],SnapshotTable[[#This Row],[LC Symbol Count]],SnapshotTable[[#This Row],[SC Symbol Count]])&gt;0, "Y", "")</f>
        <v/>
      </c>
      <c r="GU20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2" s="231" t="e">
        <f>MAX(SnapshotTable[[#This Row],[Equity Basis Total]],SnapshotTable[[#This Row],[Equity Value]]) + (SnapshotTable[[#This Row],[SP Potential Spend]]- SnapshotTable[[#This Row],[SP Premium]] + SnapshotTable[[#This Row],[LP Premium]])+ (SnapshotTable[[#This Row],[LC Premium]] - SnapshotTable[[#This Row],[SC Premium]])</f>
        <v>#VALUE!</v>
      </c>
      <c r="GW202" s="139" t="e">
        <f>IF(AND(SnapshotTable[[#This Row],[Exposure]] &lt;&gt; 0),SnapshotTable[[#This Row],[Exposure]] / SnapshotTable[[#Totals],[Exposure]], "")</f>
        <v>#VALUE!</v>
      </c>
      <c r="HE202" s="268"/>
      <c r="HF202" s="268"/>
      <c r="HK202" s="1"/>
      <c r="HL202" s="1"/>
      <c r="HM202" s="1"/>
      <c r="HN202" s="1"/>
      <c r="HO202" s="1"/>
      <c r="HP202" s="1"/>
    </row>
    <row r="203" spans="2:224" s="47" customFormat="1" ht="12.75" hidden="1" customHeight="1" x14ac:dyDescent="0.25">
      <c r="B203" s="12" t="s">
        <v>530</v>
      </c>
      <c r="C203" s="422">
        <v>89.04</v>
      </c>
      <c r="D203" s="208"/>
      <c r="E203" s="39">
        <f>SnapshotTable[[#This Row],[Last Price]]*(1 -CrashDiscount)</f>
        <v>75.683999999999997</v>
      </c>
      <c r="F203" s="26" t="s">
        <v>531</v>
      </c>
      <c r="G203" s="26" t="s">
        <v>17</v>
      </c>
      <c r="H203" s="149"/>
      <c r="I203" s="194">
        <v>44761.270833333336</v>
      </c>
      <c r="J203" s="195">
        <v>44761.270833333336</v>
      </c>
      <c r="K203" s="196"/>
      <c r="L203" s="326"/>
      <c r="M203" s="140"/>
      <c r="N203" s="140"/>
      <c r="O203" s="140"/>
      <c r="P203" s="22"/>
      <c r="Q203" s="25"/>
      <c r="R203" s="4" t="str">
        <f>IF(SnapshotTable[[#This Row],[Equity Basis Total]] &gt; 0, SnapshotTable[[#This Row],[Equity Basis Total]] / SnapshotTable[[#This Row],[Equity Shares]], "")</f>
        <v/>
      </c>
      <c r="S203" s="269">
        <f>SnapshotTable[[#This Row],[Last Price]] * SnapshotTable[[#This Row],[Equity Shares]]</f>
        <v>0</v>
      </c>
      <c r="T203" s="269">
        <f>SnapshotTable[[#This Row],[Equity Value]] - SnapshotTable[[#This Row],[Equity Basis Total]]</f>
        <v>0</v>
      </c>
      <c r="U203" s="270" t="str">
        <f>IF(SnapshotTable[[#This Row],[Equity Basis Total]] &gt; 0, SnapshotTable[[#This Row],[Equity G/L]] / SnapshotTable[[#This Row],[Equity Basis Total]], "")</f>
        <v/>
      </c>
      <c r="V203" s="268"/>
      <c r="W203" s="268"/>
      <c r="X203" s="4" t="str">
        <f>IF(AND(ISNUMBER(SnapshotTable[[#This Row],[Equity Basis Per Share]]),ISNUMBER(SnapshotTable[[#This Row],[Equity Target]])),SnapshotTable[[#This Row],[Equity Target]]-SnapshotTable[[#This Row],[Equity Basis Per Share]],"")</f>
        <v/>
      </c>
      <c r="Y203" s="4" t="str">
        <f>IF(AND(ISNUMBER(SnapshotTable[[#This Row],[Equity Basis Per Share]]),ISNUMBER(SnapshotTable[[#This Row],[Equity Stop Loss]])),SnapshotTable[[#This Row],[Equity Stop Loss]]-SnapshotTable[[#This Row],[Equity Basis Per Share]],"")</f>
        <v/>
      </c>
      <c r="Z203" s="275" t="str">
        <f>IFERROR( TEXT(SnapshotTable[[#This Row],[Equity Max Gain Per Share]] /ABS( SnapshotTable[[#This Row],[Equity Max Loss Per Share]]),"0.0 " ) &amp; " : 1", "")</f>
        <v/>
      </c>
      <c r="AA203" s="31" t="str">
        <f>IF(ISNUMBER(SnapshotTable[[#This Row],[Equity Max Gain Per Share]]),SnapshotTable[[#This Row],[Equity Max Gain Per Share]] * SnapshotTable[[#This Row],[Equity Shares]],"")</f>
        <v/>
      </c>
      <c r="AB203" s="31" t="str">
        <f>IF(ISNUMBER(SnapshotTable[[#This Row],[Equity Max Loss Per Share]]),SnapshotTable[[#This Row],[Equity Max Loss Per Share]] * SnapshotTable[[#This Row],[Equity Shares]],"")</f>
        <v/>
      </c>
      <c r="AC203" s="150"/>
      <c r="AD203" s="151"/>
      <c r="AE203" s="31">
        <f>(SnapshotTable[[#This Row],[Annual Dividend Per Share]] / 4) * SnapshotTable[[#This Row],[Equity Shares]]</f>
        <v>0</v>
      </c>
      <c r="AF203" s="31">
        <f>SnapshotTable[[#This Row],[Quarterly Div $]] * 4</f>
        <v>0</v>
      </c>
      <c r="AG203" s="7">
        <f>IF(SnapshotTable[[#This Row],[Annual Dividend Per Share]]&gt;0, SnapshotTable[[#This Row],[Annual Dividend Per Share]]  / SnapshotTable[[#This Row],[Last Price]], 0)</f>
        <v>0</v>
      </c>
      <c r="AH203" s="151"/>
      <c r="AI203" s="5"/>
      <c r="AJ203" s="138">
        <v>91.67</v>
      </c>
      <c r="AK203" s="152" t="str">
        <f>IF(ISNUMBER( SnapshotTable[[#This Row],[EBF Target]]),(SnapshotTable[[#This Row],[EBF Target]] - SnapshotTable[[#This Row],[Last Price]]) / SnapshotTable[[#This Row],[Last Price]], "")</f>
        <v/>
      </c>
      <c r="AL203" s="152" t="str">
        <f>IF(AND(SnapshotTable[[#This Row],[Equity Basis Total]] &gt; 0,ISNUMBER( SnapshotTable[[#This Row],[Long Term Target]])), SnapshotTable[[#This Row],[From Basis $]] / SnapshotTable[[#This Row],[Equity Basis Total]], "")</f>
        <v/>
      </c>
      <c r="AM203" s="9">
        <f>IF( AND(SnapshotTable[[#This Row],[Equity Shares]] &gt;0,ISNUMBER( SnapshotTable[[#This Row],[Long Term Target]])),(SnapshotTable[[#This Row],[Equity Shares]] * SnapshotTable[[#This Row],[Long Term Target]]) - SnapshotTable[[#This Row],[Equity Basis Total]],0)</f>
        <v>0</v>
      </c>
      <c r="AN203" s="9">
        <f>IF( AND(SnapshotTable[[#This Row],[Equity Shares]] &gt;0,ISNUMBER( SnapshotTable[[#This Row],[Long Term Target]])),(SnapshotTable[[#This Row],[Equity Shares]]*SnapshotTable[[#This Row],[Long Term Target]]) - SnapshotTable[[#This Row],[Equity Value]],0)</f>
        <v>0</v>
      </c>
      <c r="AO203" s="152">
        <f>IF(AND(ISNUMBER( SnapshotTable[[#This Row],[Long Term Target]]), ISNUMBER(SnapshotTable[[#This Row],[Last Price]])),(SnapshotTable[[#This Row],[Long Term Target]] - SnapshotTable[[#This Row],[Last Price]]) / SnapshotTable[[#This Row],[Last Price]], "")</f>
        <v>2.9537286612758257E-2</v>
      </c>
      <c r="AP203" s="5">
        <v>115</v>
      </c>
      <c r="AQ203" s="38" t="s">
        <v>110</v>
      </c>
      <c r="AR203" s="5">
        <v>105</v>
      </c>
      <c r="AS203" s="38" t="s">
        <v>109</v>
      </c>
      <c r="AT203" s="146" t="s">
        <v>533</v>
      </c>
      <c r="AU203" s="187" t="str">
        <f>IF(OR(SnapshotTable[[#This Row],[LP No Fill]]="Y",SnapshotTable[[#This Row],[SP Is Filled]],SnapshotTable[[#This Row],[LC Not Filled]]="Y",SnapshotTable[[#This Row],[SC Is Filled]]),"Y","")</f>
        <v/>
      </c>
      <c r="AV203" s="219"/>
      <c r="AW203" s="225"/>
      <c r="AX203" s="220"/>
      <c r="AY203" s="219" t="str">
        <f>IF(SnapshotTable[[#This Row],[Implied Move]]&gt;0, SnapshotTable[[#This Row],[Last Price]]-SnapshotTable[[#This Row],[Implied Move]],"")</f>
        <v/>
      </c>
      <c r="AZ203" s="219" t="str">
        <f>IF(SnapshotTable[[#This Row],[Implied Move]]&gt;0, SnapshotTable[[#This Row],[Last Price]] + SnapshotTable[[#This Row],[Implied Move]],"")</f>
        <v/>
      </c>
      <c r="BA203" s="331"/>
      <c r="BB203" s="347"/>
      <c r="BC20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3" s="351"/>
      <c r="BE203" s="5"/>
      <c r="BF203" s="14"/>
      <c r="BG203" s="13"/>
      <c r="BH203" s="13"/>
      <c r="BI203" s="5"/>
      <c r="BJ203" s="136">
        <f>IF(SnapshotTable[[#This Row],[LP Qty]] &gt; 0, SnapshotTable[[#This Row],[LP Qty]] * SnapshotTable[[#This Row],[LP Book Price]] * 100,0)</f>
        <v>0</v>
      </c>
      <c r="BK203" s="136">
        <f>IF(SnapshotTable[[#This Row],[LP Premium]] &gt; 0, SnapshotTable[[#This Row],[LP Qty]] * SnapshotTable[[#This Row],[LP Strike Price]] * 100,0)</f>
        <v>0</v>
      </c>
      <c r="BL203" s="154"/>
      <c r="BM203" s="385" t="str">
        <f>IF(SnapshotTable[[#This Row],[LP Premium]] &gt; 0,SnapshotTable[[#This Row],[LP Exp Date]]-MAX(SnapshotTable[[#This Row],[LP Book Date]], SnapshotTable[[#This Row],[LP Fill Date]]),"")</f>
        <v/>
      </c>
      <c r="BN203" s="385" t="str">
        <f>IF(ISNUMBER( SnapshotTable[[#This Row],[LP Term]]), SnapshotTable[[#This Row],[LP Exp Date]] - MockToday,"")</f>
        <v/>
      </c>
      <c r="BO203" s="163" t="str">
        <f>IF(AND(SnapshotTable[[#This Row],[LP Exp Date]]&gt;0, SnapshotTable[[#This Row],[LP Strike Price]]&gt;0,SnapshotTable[[#This Row],[LP Qty]]&gt;0,SnapshotTable[[#This Row],[LP Book Date]]&gt;0,SnapshotTable[[#This Row],[LP Book Price]]&gt;0,SnapshotTable[[#This Row],[LP Fill Date]]=0),"Y","")</f>
        <v/>
      </c>
      <c r="BP203" s="31" t="str">
        <f>IF(AND(SnapshotTable[[#This Row],[LP No Fill]]&lt;&gt;"Y",SnapshotTable[[#This Row],[LP Contract Value]]&gt;0, SnapshotTable[[#This Row],[LP Qty]]&gt;0), SnapshotTable[[#This Row],[LP Contract Value]]*SnapshotTable[[#This Row],[LP Qty]]*100,"")</f>
        <v/>
      </c>
      <c r="BQ203" s="13"/>
      <c r="BR203" s="5" t="str">
        <f>IF(SnapshotTable[[#This Row],[SP Exp Date]]&lt;&gt;"",TRUNC(SnapshotTable[[#This Row],[Last Price]]),"")</f>
        <v/>
      </c>
      <c r="BS203" s="36"/>
      <c r="BT203" s="147"/>
      <c r="BU203" s="13"/>
      <c r="BV203" s="5"/>
      <c r="BW203" s="419" t="b">
        <f>AND(ISNUMBER(SnapshotTable[[#This Row],[SP Exp Date]]), ISNUMBER(SnapshotTable[[#This Row],[SP Strike Price]]), ISNUMBER(SnapshotTable[[#This Row],[SP Qty]]), ISNUMBER(SnapshotTable[[#This Row],[SP Book Date]]), ISNUMBER(SnapshotTable[[#This Row],[SP Book Price]]))</f>
        <v>0</v>
      </c>
      <c r="BX203" s="419" t="b">
        <f>AND(SnapshotTable[[#This Row],[SP Is Booked]], NOT(ISBLANK(SnapshotTable[[#This Row],[SP Fill Date]])))</f>
        <v>0</v>
      </c>
      <c r="BY203" s="33">
        <f>IF(SnapshotTable[[#This Row],[SP Is Booked]], SnapshotTable[[#This Row],[SP Qty]] * SnapshotTable[[#This Row],[SP Book Price]] * 100, 0)</f>
        <v>0</v>
      </c>
      <c r="BZ203" s="369"/>
      <c r="CA203" s="368">
        <f>SnapshotTable[[#This Row],[LP Qty]]</f>
        <v>0</v>
      </c>
      <c r="CB203" s="4" t="str">
        <f>IF(SnapshotTable[[#This Row],[SP Is Booked]], SnapshotTable[[#This Row],[SP Strike Price]] - SnapshotTable[[#This Row],[SP Book Price]], "")</f>
        <v/>
      </c>
      <c r="CC203" s="19" t="str">
        <f>IF(SnapshotTable[[#This Row],[SP Is Booked]],SnapshotTable[[#This Row],[SP Exp Date]]-MAX(SnapshotTable[[#This Row],[SP Book Date]], SnapshotTable[[#This Row],[SP Fill Date]]),"")</f>
        <v/>
      </c>
      <c r="CD203" s="7" t="str">
        <f>IF(SnapshotTable[[#This Row],[SP Is Booked]], SnapshotTable[[#This Row],[SP Book Price]]/SnapshotTable[[#This Row],[SP Strike Price]], "")</f>
        <v/>
      </c>
      <c r="CE203" s="7" t="str">
        <f>IF(ISNUMBER(SnapshotTable[[#This Row],[SP ROO Term]]),SnapshotTable[[#This Row],[SP ROO Term]]*(365/SnapshotTable[[#This Row],[SP Term]]),"")</f>
        <v/>
      </c>
      <c r="CF203" s="236">
        <f>SnapshotTable[[#This Row],[LP Strike Price]] * SnapshotTable[[#This Row],[LP Qty]] * 100</f>
        <v>0</v>
      </c>
      <c r="CG203" s="31" t="e">
        <f>IF(ISNUMBER(SnapshotTable[[#This Row],[SP Premium]]), (SnapshotTable[[#This Row],[SP Qty]] * SnapshotTable[[#This Row],[SP Strike Price]]* 100) - SnapshotTable[[#This Row],[LP Protection]], 0)</f>
        <v>#VALUE!</v>
      </c>
      <c r="CH203" s="7" t="str">
        <f>IF(ISNUMBER(SnapshotTable[[#This Row],[SP Break Even]]),-1 * (SnapshotTable[[#This Row],[SP Break Even]] - SnapshotTable[[#This Row],[Last Price]]) / SnapshotTable[[#This Row],[Last Price]], "")</f>
        <v/>
      </c>
      <c r="CI203" s="31">
        <f>IF(AND(ISNUMBER((SnapshotTable[[#This Row],[SP Potential Spend]])), SnapshotTable[[#This Row],[SP Strike Price]] &gt; SnapshotTable[[#This Row],[Last Price]], SnapshotTable[[#This Row],[SP Is Filled]]), SnapshotTable[[#This Row],[SP Potential Spend]] -  SnapshotTable[[#This Row],[LP Max Value]], 0)</f>
        <v>0</v>
      </c>
      <c r="CJ203" s="244"/>
      <c r="CK203" s="31" t="str">
        <f>IF(ISNUMBER(SnapshotTable[[#This Row],[SP Potential Spend]]),IF(ISNUMBER(SnapshotTable[[#This Row],[SP POW]]), SnapshotTable[[#This Row],[SP POW]] * SnapshotTable[[#This Row],[SP Potential Spend]], SnapshotTable[[#This Row],[SP Potential Spend]]), "")</f>
        <v/>
      </c>
      <c r="CL203" s="164" t="e">
        <f>IF(NOT(SnapshotTable[[#This Row],[SP Is Filled]]),(SnapshotTable[[#This Row],[SP Qty]] * SnapshotTable[[#This Row],[SP Strike Price]] * 100) - SnapshotTable[[#This Row],[LP Max Value]],"")</f>
        <v>#VALUE!</v>
      </c>
      <c r="CM203" s="31" t="str">
        <f>IF(SnapshotTable[[#This Row],[SP Actual Spend]]&lt;&gt;0, ((SnapshotTable[[#This Row],[SP Strike Price]]-SnapshotTable[[#This Row],[Last Price]]) *(SnapshotTable[[#This Row],[SP Qty]]*100) - SnapshotTable[[#This Row],[SP Premium]]) * - 1, "")</f>
        <v/>
      </c>
      <c r="CN203" s="78"/>
      <c r="CO203" s="369"/>
      <c r="CP203" s="4" t="str">
        <f>IF(SnapshotTable[[#This Row],[SP Is Filled]], btc_max_buyback_amount(SnapshotTable[[#This Row],[SP Fill Date]],SnapshotTable[[#This Row],[SP Exp Date]], SnapshotTable[[#This Row],[SP Book Price]]),"")</f>
        <v/>
      </c>
      <c r="CQ203" s="78"/>
      <c r="CR20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3" s="155" t="str">
        <f>IF(SnapshotTable[[#This Row],[SP Is Filled]], btc_next_cutoff_date(SnapshotTable[[#This Row],[SP Fill Date]],SnapshotTable[[#This Row],[SP Exp Date]]),"")</f>
        <v/>
      </c>
      <c r="CT203" s="235" t="str" cm="1">
        <f t="array" ref="CT203">IF(SnapshotTable[[#This Row],[SP Is Filled]], btc_should_buy_back(SnapshotTable[[#This Row],[SP Fill Date]], SnapshotTable[[#This Row],[SP Exp Date]], SnapshotTable[[#This Row],[SP Book Price]], SnapshotTable[[#This Row],[SP Current Ask]], MockToday, SnapshotTable[[#This Row],[SP Buyback Override]]),"")</f>
        <v/>
      </c>
      <c r="CU203" s="143"/>
      <c r="CV203" s="235"/>
      <c r="CW203" s="378" t="str">
        <f>IF(ISNUMBER( SnapshotTable[[#This Row],[SP Term]]), SnapshotTable[[#This Row],[SP Exp Date]] - MockToday,"")</f>
        <v/>
      </c>
      <c r="CX203" s="31" t="str">
        <f>IF(SnapshotTable[[#This Row],[SP Is Filled]],SnapshotTable[[#This Row],[SP Buyback Price to Use]] * 100 * SnapshotTable[[#This Row],[SP Qty]], "")</f>
        <v/>
      </c>
      <c r="CY203" s="4" t="str">
        <f>IF(ISNUMBER(SnapshotTable[[#This Row],[SP Strike Price]]), SnapshotTable[[#This Row],[SP Strike Price]] * (1 - SP_MaxLoss_StrikePct), "")</f>
        <v/>
      </c>
      <c r="CZ203" s="31" t="str">
        <f>IF(ISNUMBER(SnapshotTable[[#This Row],[SP Strike  Stop Per Share]]),SnapshotTable[[#This Row],[SP Premium]] - ((SnapshotTable[[#This Row],[SP Strike Price]]-SnapshotTable[[#This Row],[SP Strike  Stop Per Share]]) *(SnapshotTable[[#This Row],[SP Qty]] * 100)),"")</f>
        <v/>
      </c>
      <c r="DA203" s="4" t="str">
        <f>IF(AND(ISNUMBER(SnapshotTable[[#This Row],[SP Premium]]),SnapshotTable[[#This Row],[SP Premium]]&gt;0), SnapshotTable[[#This Row],[SP Book Price]] * (1 + SP_MaxLoss_OptionPct), "")</f>
        <v/>
      </c>
      <c r="DB203" s="31" t="str">
        <f>IF(ISNUMBER(SnapshotTable[[#This Row],[SP Option  Stop Contract]]),(SnapshotTable[[#This Row],[SP Option  Stop Contract]] *(SnapshotTable[[#This Row],[SP Qty]] * 100) - SnapshotTable[[#This Row],[SP Premium]]),"")</f>
        <v/>
      </c>
      <c r="DC203" s="4"/>
      <c r="DD203" s="4"/>
      <c r="DE203" s="4" t="str">
        <f>IF(AND(SnapshotTable[[#This Row],[SP Qty]]&gt;0, SnapshotTable[[#This Row],[SP Stop To Use]]&gt;0),SnapshotTable[[#This Row],[SP Premium]] - ( SnapshotTable[[#This Row],[SP Qty]] * SnapshotTable[[#This Row],[SP Stop To Use]] * 100), "")</f>
        <v/>
      </c>
      <c r="DF203" s="31" t="str">
        <f>IF(AND(SnapshotTable[[#This Row],[SP Qty]]&gt;0,SnapshotTable[[#This Row],[SP Current Ask]]&gt;0), SnapshotTable[[#This Row],[SP Qty]] * SnapshotTable[[#This Row],[SP Current Ask]] * -100, "")</f>
        <v/>
      </c>
      <c r="DG203" s="31" t="str">
        <f>IF(ISNUMBER((SnapshotTable[[#This Row],[SP Total Value]])), SnapshotTable[[#This Row],[SP Premium]] + SnapshotTable[[#This Row],[SP Total Value]], "")</f>
        <v/>
      </c>
      <c r="DH203" s="294" t="str">
        <f>IF(ISNUMBER((SnapshotTable[[#This Row],[SP Total Value]])), SnapshotTable[[#This Row],[SP Gain Loss]] / SnapshotTable[[#This Row],[SP Premium]], "")</f>
        <v/>
      </c>
      <c r="DI203" s="406"/>
      <c r="DJ203" s="138"/>
      <c r="DK203" s="148"/>
      <c r="DL203" s="13"/>
      <c r="DM203" s="13"/>
      <c r="DN203" s="5"/>
      <c r="DO203" s="31">
        <f>IF(SnapshotTable[[#This Row],[LC Symbol Count]]=1, SnapshotTable[[#This Row],[LC Qty]] * SnapshotTable[[#This Row],[LC Book Price]] * 100, 0)</f>
        <v>0</v>
      </c>
      <c r="DP203" s="163" t="str">
        <f>IF(AND(SnapshotTable[[#This Row],[LC Exp Date]]&gt;0, SnapshotTable[[#This Row],[LC Strike Price]]&gt;0,SnapshotTable[[#This Row],[LC Qty]]&gt;0,SnapshotTable[[#This Row],[LC Book Date]]&gt;0,SnapshotTable[[#This Row],[LC Book Price]]&gt;0,SnapshotTable[[#This Row],[LC Fill Date]]=0),"Y","")</f>
        <v/>
      </c>
      <c r="DQ203" s="386" t="str">
        <f>IF(SnapshotTable[[#This Row],[LC Premium]] &gt; 0,SnapshotTable[[#This Row],[LC Exp Date]]-MAX(SnapshotTable[[#This Row],[LC Book Date]], SnapshotTable[[#This Row],[LC Fill Date]]),"")</f>
        <v/>
      </c>
      <c r="DR203" s="386" t="str">
        <f>IF(ISNUMBER(SnapshotTable[[#This Row],[LC Term]]), SnapshotTable[[#This Row],[LC Exp Date]] - MockToday, "")</f>
        <v/>
      </c>
      <c r="DS203" s="234" t="str">
        <f>IF(SnapshotTable[[#This Row],[LC Premium]]&gt;0,SnapshotTable[[#This Row],[LC Strike Price]] + SnapshotTable[[#This Row],[LC Book Price]],"")</f>
        <v/>
      </c>
      <c r="DT203" s="5"/>
      <c r="DU203" s="9" t="str">
        <f>IF(AND(SnapshotTable[[#This Row],[LC Symbol Count]]&gt;0, SnapshotTable[[#This Row],[LC Contract Value]]&gt;0), SnapshotTable[[#This Row],[LC Contract Value]] * SnapshotTable[[#This Row],[LC Qty]] * 100, "")</f>
        <v/>
      </c>
      <c r="DV203" s="9" t="str">
        <f>IF(AND(ISNUMBER(SnapshotTable[[#This Row],[LC Total Value]]), SnapshotTable[[#This Row],[LC Not Filled]]&lt;&gt;"Y"), SnapshotTable[[#This Row],[LC Total Value]]-SnapshotTable[[#This Row],[LC Premium]],"")</f>
        <v/>
      </c>
      <c r="DW203" s="240" t="str">
        <f>IF(ISNUMBER(SnapshotTable[[#This Row],[LC Actual Gain Loss]]), SnapshotTable[[#This Row],[LC Actual Gain Loss]] / SnapshotTable[[#This Row],[LC Premium]],"")</f>
        <v/>
      </c>
      <c r="DX203" s="284" t="str">
        <f>IF(ISNUMBER(SnapshotTable[[#This Row],[LC Book Price]]),SnapshotTable[[#This Row],[LC Book Price]] * 1.5,"")</f>
        <v/>
      </c>
      <c r="DY203" s="265" t="str">
        <f>IF(SnapshotTable[[#This Row],[LC Premium]]&gt;0, SnapshotTable[[#This Row],[LC Next Target]] * SnapshotTable[[#This Row],[LC Qty]] * 100,"")</f>
        <v/>
      </c>
      <c r="DZ203" s="265" t="str">
        <f>IF(ISNUMBER(SnapshotTable[[#This Row],[LC Target Gross]]), SnapshotTable[[#This Row],[LC Target Gross]] - SnapshotTable[[#This Row],[LC Premium]], "")</f>
        <v/>
      </c>
      <c r="EA203" s="305" t="str">
        <f>IF(ISNUMBER(SnapshotTable[[#This Row],[LC Target Gain Loss]]), SnapshotTable[[#This Row],[LC Target Gain Loss]]/SnapshotTable[[#This Row],[LC Premium]], "")</f>
        <v/>
      </c>
      <c r="EB203" s="262"/>
      <c r="EC203" s="283" t="str">
        <f>IF(SnapshotTable[[#This Row],[LC Premium]]&gt;0, SnapshotTable[[#This Row],[LC Book Price]] * (1 - LC_StopLoss_Pct),"")</f>
        <v/>
      </c>
      <c r="ED203" s="284"/>
      <c r="EE203" s="283" t="str">
        <f>IF(ISNUMBER(SnapshotTable[[#This Row],[LC Contract Value]]),IF(ISNUMBER(SnapshotTable[[#This Row],[LC Stop Loss Override]]), SnapshotTable[[#This Row],[LC Stop Loss Override]],SnapshotTable[[#This Row],[LC Stop Loss Calc Target]]),"")</f>
        <v/>
      </c>
      <c r="EF203" s="31" t="str">
        <f>IF(ISNUMBER(SnapshotTable[[#This Row],[LC Stop  To Use]]), (SnapshotTable[[#This Row],[LC Stop  To Use]] * SnapshotTable[[#This Row],[LC Qty]] * 100),"")</f>
        <v/>
      </c>
      <c r="EG203" s="9" t="str">
        <f>IF(ISNUMBER(SnapshotTable[[#This Row],[LC Total Value]]),SnapshotTable[[#This Row],[LC Stop Loss Amount]] - SnapshotTable[[#This Row],[LC Premium]],"")</f>
        <v/>
      </c>
      <c r="EH203" s="9">
        <f>IF(ISNUMBER(SnapshotTable[[#This Row],[LC Premium]]), SnapshotTable[[#This Row],[LC Qty]] * 100 * SnapshotTable[[#This Row],[LC Strike Price]], "")</f>
        <v>0</v>
      </c>
      <c r="EI203" s="240" t="str">
        <f>IF(AND(ISNUMBER(SnapshotTable[[#This Row],[LC Total Value]]),SnapshotTable[[#This Row],[LC Total Value]]&gt;0),SnapshotTable[[#This Row],[LC Stop Gain Loss]]  / SnapshotTable[[#This Row],[LC Premium]],"")</f>
        <v/>
      </c>
      <c r="EJ203" s="35">
        <f>IF(ISNUMBER(SnapshotTable[[#This Row],[Equity Shares]]),TRUNC(SnapshotTable[[#This Row],[Equity Shares]] / 100),0) + SnapshotTable[[#This Row],[LC Qty]]</f>
        <v>0</v>
      </c>
      <c r="EK203" s="147"/>
      <c r="EL203" s="138" t="str">
        <f>IF(SnapshotTable[[#This Row],[SC Exp Date]]&lt;&gt;"",TRUNC(SnapshotTable[[#This Row],[Last Price]]),"")</f>
        <v/>
      </c>
      <c r="EM203" s="148"/>
      <c r="EN203" s="147"/>
      <c r="EO203" s="147"/>
      <c r="EP203" s="138"/>
      <c r="EQ203" s="419" t="b">
        <f>AND(ISNUMBER(SnapshotTable[[#This Row],[SC Exp Date]]), ISNUMBER(SnapshotTable[[#This Row],[SC Strike Price]]), ISNUMBER(SnapshotTable[[#This Row],[SC Qty]]), ISNUMBER(SnapshotTable[[#This Row],[SC Book Date]]), ISNUMBER(SnapshotTable[[#This Row],[SC Book Price]]))</f>
        <v>0</v>
      </c>
      <c r="ER203" s="419" t="b">
        <f>AND(SnapshotTable[[#This Row],[SC Is Booked]], NOT(ISBLANK(SnapshotTable[[#This Row],[SC Fill Date]])))</f>
        <v>0</v>
      </c>
      <c r="ES203" s="370"/>
      <c r="ET203" s="34" t="str">
        <f>IF(AND(ISNUMBER(SnapshotTable[[#This Row],[SC Exp Date]]), ISNUMBER(SnapshotTable[[#This Row],[SC Book Date]])), SnapshotTable[[#This Row],[SC Exp Date]] - MAX(SnapshotTable[[#This Row],[SC Book Date]], SnapshotTable[[#This Row],[SC Fill Date]]) + 1, "")</f>
        <v/>
      </c>
      <c r="EU203" s="34" t="str">
        <f>IF(ISNUMBER(SnapshotTable[[#This Row],[SC Term]]), SnapshotTable[[#This Row],[SC Exp Date]]- MockToday, "")</f>
        <v/>
      </c>
      <c r="EV203" s="31">
        <f>IF(SnapshotTable[[#This Row],[SC Is Booked]], SnapshotTable[[#This Row],[SC Qty]] * SnapshotTable[[#This Row],[SC Book Price]] * 100, 0)</f>
        <v>0</v>
      </c>
      <c r="EW203" s="4" t="str">
        <f>IF(AND(ISNUMBER(SnapshotTable[[#This Row],[Last Price]]), ISNUMBER( SnapshotTable[[#This Row],[SC Book Price]])), SnapshotTable[[#This Row],[Last Price]] - SnapshotTable[[#This Row],[SC Book Price]],"")</f>
        <v/>
      </c>
      <c r="EX203" s="234" t="str">
        <f>IF(SnapshotTable[[#This Row],[SC Is Booked]],IF(SnapshotTable[[#This Row],[SC Intrinsic Value]] &gt; 0, SnapshotTable[[#This Row],[SC Strike Price]], SnapshotTable[[#This Row],[Last Price]]), "")</f>
        <v/>
      </c>
      <c r="EY203" s="4">
        <f>IF(SnapshotTable[[#This Row],[SC Is Booked]], (MinimumPremiumRequired * SnapshotTable[[#This Row],[SC Basis]] * SnapshotTable[[#This Row],[SC Term]]), 0)</f>
        <v>0</v>
      </c>
      <c r="EZ203" s="283"/>
      <c r="FA203" s="218"/>
      <c r="FB203" s="370"/>
      <c r="FC203" s="4">
        <f>IF(SnapshotTable[[#This Row],[SC Is Filled]], btc_max_buyback_amount(SnapshotTable[[#This Row],[SC Fill Date]],SnapshotTable[[#This Row],[SC Exp Date]], SnapshotTable[[#This Row],[SC Book Price]]),0)</f>
        <v>0</v>
      </c>
      <c r="FD203" s="5"/>
      <c r="FE203" s="144" t="str">
        <f>IF(SnapshotTable[[#This Row],[SC Is Filled]], btc_next_cutoff_date(SnapshotTable[[#This Row],[SC Fill Date]],SnapshotTable[[#This Row],[SC Exp Date]]),"")</f>
        <v/>
      </c>
      <c r="FF203" s="4" t="str" cm="1">
        <f t="array" ref="FF203">IF(SnapshotTable[[#This Row],[SC Is Filled]], btc_should_buy_back(SnapshotTable[[#This Row],[SC Fill Date]], SnapshotTable[[#This Row],[SC Exp Date]], SnapshotTable[[#This Row],[SC Book Price]], SnapshotTable[[#This Row],[SC Current Ask]], MockToday, SnapshotTable[[#This Row],[SC Buyback Override]]),"")</f>
        <v/>
      </c>
      <c r="FG203" s="4">
        <f>IF(SnapshotTable[[#This Row],[SC Is Filled]], MAX(0,SnapshotTable[[#This Row],[Last Price]]  - SnapshotTable[[#This Row],[SC Strike Price]]), 0)</f>
        <v>0</v>
      </c>
      <c r="FH203" s="382">
        <f>IF(SnapshotTable[[#This Row],[SC Is Filled]], IF(ISNUMBER(SnapshotTable[[#This Row],[SC Current Ask]]), SnapshotTable[[#This Row],[SC Current Ask]], SnapshotTable[[#This Row],[SC Book Price]]) - SnapshotTable[[#This Row],[SC Intrinsic Value]], 0)</f>
        <v>0</v>
      </c>
      <c r="FI203" s="143"/>
      <c r="FJ203" s="32" t="str">
        <f>IF(SnapshotTable[[#This Row],[SC Is Filled]],100 * SnapshotTable[[#This Row],[SC Qty]] * IF(ISNUMBER(SnapshotTable[[#This Row],[SC Buyback Override]]), SnapshotTable[[#This Row],[SC Buyback Override]], SnapshotTable[[#This Row],[SC Current Ask]]), "")</f>
        <v/>
      </c>
      <c r="FK203" s="250" t="str">
        <f>IF(SnapshotTable[[#This Row],[SC Time Val]]&gt;0, SnapshotTable[[#This Row],[SC Time Val]] / SnapshotTable[[#This Row],[Last Price]],"")</f>
        <v/>
      </c>
      <c r="FL203" s="302" t="str">
        <f>IF(SnapshotTable[[#This Row],[SC Is Booked]], ((SnapshotTable[[#This Row],[Last Price]] -SnapshotTable[[#This Row],[SC Strike Price]]) / SnapshotTable[[#This Row],[Last Price]]) * -1, "")</f>
        <v/>
      </c>
      <c r="FM203" s="157" t="str">
        <f>IF(SnapshotTable[[#This Row],[SC Is Booked]],  (SnapshotTable[[#This Row],[SC Qty]] * 100 * SnapshotTable[[#This Row],[SC Strike Price]]) - SnapshotTable[[#This Row],[SC Current Ask]], "")</f>
        <v/>
      </c>
      <c r="FN20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3" s="31" t="str">
        <f>IF(AND(ISNUMBER(SnapshotTable[[#This Row],[SC Exercise Gross]]), ISNUMBER(SnapshotTable[[#This Row],[Equity Basis Per Share]] )), SnapshotTable[[#This Row],[SC Exercise Gross]] - SnapshotTable[[#This Row],[Equity Basis Total]] +  SnapshotTable[[#This Row],[SC Premium]], "")</f>
        <v/>
      </c>
      <c r="FP203" s="5" t="str">
        <f>IF(ISNUMBER(SnapshotTable[[#This Row],[SC Exercise Gross]]), (SnapshotTable[[#This Row],[SC Exercise Gross]]) / (SnapshotTable[[#This Row],[SC Qty]] * 100), "")</f>
        <v/>
      </c>
      <c r="FQ203" s="27" t="str">
        <f>IF(SnapshotTable[[#This Row],[SC Is Booked]],SnapshotTable[[#This Row],[SC Time Val]] /SnapshotTable[[#This Row],[SC Basis]], "")</f>
        <v/>
      </c>
      <c r="FR203" s="27" t="str" cm="1">
        <f t="array" ref="FR203">IF(AND(ISNUMBER(SnapshotTable[[#This Row],[SC Term]]),ISNUMBER(SnapshotTable[[#This Row],[SC Simple ROO]])), EllmanAnnualize(SnapshotTable[[#This Row],[SC DTE]], SnapshotTable[[#This Row],[SC Simple ROO]] ),"")</f>
        <v/>
      </c>
      <c r="FS203" s="4" t="e">
        <f>IF(SnapshotTable[[#This Row],[SC Strike Price]] &gt; SnapshotTable[[#This Row],[Last Price]], SnapshotTable[[#This Row],[SC Strike Price]] - SnapshotTable[[#This Row],[Last Price]],0)</f>
        <v>#VALUE!</v>
      </c>
      <c r="FT203" s="27" t="e">
        <f>IF(AND(ISNUMBER(SnapshotTable[[#This Row],[SC Upside Potential]]), SnapshotTable[[#This Row],[SC Upside Potential]] &gt; 0),(SnapshotTable[[#This Row],[SC Upside Potential]]/ SnapshotTable[[#This Row],[ACB]]),"")</f>
        <v>#VALUE!</v>
      </c>
      <c r="FU203" s="333" t="str">
        <f>IF(SnapshotTable[[#This Row],[SC Intrinsic Value]] &gt; 0,SnapshotTable[[#This Row],[SC Intrinsic Value]],"")</f>
        <v/>
      </c>
      <c r="FV203" s="27" t="str">
        <f>IF(AND( ISNUMBER( SnapshotTable[[#This Row],[ACB]]),ISNUMBER(SnapshotTable[[#This Row],[SC Downside Protect]])),SnapshotTable[[#This Row],[SC Downside Protect]] / SnapshotTable[[#This Row],[ACB]],"")</f>
        <v/>
      </c>
      <c r="FW203" s="236" t="str">
        <f>IF(AND(ISNUMBER(SnapshotTable[[#This Row],[SC Simple ROO]]),SnapshotTable[[#This Row],[SC Simple ROO]] &gt; 0), SnapshotTable[[#This Row],[SC Premium]] + (SnapshotTable[[#This Row],[SC Qty]] * SnapshotTable[[#This Row],[SC Upside Potential]]), "")</f>
        <v/>
      </c>
      <c r="FX203" s="302" t="str" cm="1">
        <f t="array" ref="FX203">IF(ISNUMBER(SnapshotTable[[#This Row],[SC Max Dollars]]), annualize(SnapshotTable[[#This Row],[SC Term]],(SnapshotTable[[#This Row],[SC Max Dollars]]/SnapshotTable[[#This Row],[SC Basis]])),"")</f>
        <v/>
      </c>
      <c r="FY203" s="236" t="str">
        <f>IF(AND(SnapshotTable[[#This Row],[SC Qty]]&gt;0,SnapshotTable[[#This Row],[SC Current Ask]]&gt;0), SnapshotTable[[#This Row],[SC Qty]] * SnapshotTable[[#This Row],[SC Current Ask]] * -100, "")</f>
        <v/>
      </c>
      <c r="FZ203" s="31" t="str">
        <f>IF(ISNUMBER((SnapshotTable[[#This Row],[SC Current Value]])), SnapshotTable[[#This Row],[SC Premium]] + SnapshotTable[[#This Row],[SC Current Value]], "")</f>
        <v/>
      </c>
      <c r="GA203" s="294" t="str">
        <f>IFERROR( IF(ISNUMBER((SnapshotTable[[#This Row],[SC Current Value]])), SnapshotTable[[#This Row],[SC Gain Loss]] / SnapshotTable[[#This Row],[SC Premium]], ""), "")</f>
        <v/>
      </c>
      <c r="GB203" s="42">
        <f>SnapshotTable[[#This Row],[Equity Shares]] * SaleSharesToConsiderPercentage</f>
        <v>0</v>
      </c>
      <c r="GC203" s="40">
        <f>SnapshotTable[[#This Row],[Long Term Target]] * SellingPriceToConsiderBasedOnTargetPercentage</f>
        <v>87.086500000000001</v>
      </c>
      <c r="GD203" s="40">
        <f>SnapshotTable[[#This Row],[Last Price]] * (1+ SellingPriceToConsiderBasedOnTargetPercentage)</f>
        <v>173.62800000000001</v>
      </c>
      <c r="GE203" s="41"/>
      <c r="GF203" s="40"/>
      <c r="GG203" s="31">
        <f>SnapshotTable[[#This Row],[Booked Sale Shares]] * SnapshotTable[[#This Row],[Booked Sale Price]]</f>
        <v>0</v>
      </c>
      <c r="GH203" s="31" t="str">
        <f>IF(SnapshotTable[[#This Row],[Equity Basis Total]] &gt; 0, SnapshotTable[[#This Row],[Equity Basis Per Share]] * SnapshotTable[[#This Row],[Booked Sale Shares]], "")</f>
        <v/>
      </c>
      <c r="GI203" s="31">
        <f>IF(SnapshotTable[[#This Row],[Sale Proceeds]]&gt;0, SnapshotTable[[#This Row],[Sale Proceeds]] - SnapshotTable[[#This Row],[Sale Basis]], 0)</f>
        <v>0</v>
      </c>
      <c r="GJ203" s="27" t="str">
        <f>IF(SnapshotTable[[#This Row],[Sale G/L]]&gt;0, SnapshotTable[[#This Row],[Sale G/L]] / SnapshotTable[[#This Row],[Sale Basis]], IF(ISNUMBER(SnapshotTable[[#This Row],[SC Exercise P&amp;L (TAX)]]), SnapshotTable[[#This Row],[SC Exercise P&amp;L (TAX)]] / SnapshotTable[[#This Row],[SC Basis]], ""))</f>
        <v/>
      </c>
      <c r="GK203" s="27" t="s">
        <v>720</v>
      </c>
      <c r="GL203" s="43" t="str">
        <f>IF(AND(SnapshotTable[[#This Row],[LP Exp Date]]&gt;0,SnapshotTable[[#This Row],[LP Strike Price]]&gt;0), [1]!ToOptionSymbol(SnapshotTable[[#This Row],[Symbol]], SnapshotTable[[#This Row],[LP Strike Price]],SnapshotTable[[#This Row],[LP Exp Date]],1), "")</f>
        <v/>
      </c>
      <c r="GM203" s="30" t="str">
        <f>IF(LEN(SnapshotTable[[#This Row],[LP Symbol]])&gt;0, 1, "")</f>
        <v/>
      </c>
      <c r="GN203" s="43" t="str">
        <f>IF(AND(SnapshotTable[[#This Row],[SP Exp Date]]&gt;0,SnapshotTable[[#This Row],[SP Strike Price]]&gt;0), [1]!ToOptionSymbol(SnapshotTable[[#This Row],[Symbol]], SnapshotTable[[#This Row],[SP Strike Price]],SnapshotTable[[#This Row],[SP Exp Date]],1), "")</f>
        <v/>
      </c>
      <c r="GO203" s="30" t="str">
        <f>IF(LEN(SnapshotTable[[#This Row],[SP Symbol]])&gt;0, 1, "")</f>
        <v/>
      </c>
      <c r="GP203" s="43" t="str">
        <f>IF(AND(SnapshotTable[[#This Row],[LC Exp Date]]&gt;0,SnapshotTable[[#This Row],[LC Strike Price]]&gt;0), [1]!ToOptionSymbol(SnapshotTable[[#This Row],[Symbol]], SnapshotTable[[#This Row],[LC Strike Price]],SnapshotTable[[#This Row],[LC Exp Date]],0), "")</f>
        <v/>
      </c>
      <c r="GQ203" s="30" t="str">
        <f>IF(LEN(SnapshotTable[[#This Row],[LC Symbol]])&gt;0, 1, "")</f>
        <v/>
      </c>
      <c r="GR203" s="43" t="str">
        <f>IF(AND(SnapshotTable[[#This Row],[SC Exp Date]]&gt;0,SnapshotTable[[#This Row],[SC Strike Price]]&gt;0), [1]!ToOptionSymbol(SnapshotTable[[#This Row],[Symbol]], SnapshotTable[[#This Row],[SC Strike Price]],SnapshotTable[[#This Row],[SC Exp Date]],0), "")</f>
        <v/>
      </c>
      <c r="GS203" s="30" t="str">
        <f>IF(LEN(SnapshotTable[[#This Row],[SC Symbol]])&gt;0, 1, "")</f>
        <v/>
      </c>
      <c r="GT203" s="29" t="str">
        <f>IF(COUNT(SnapshotTable[[#This Row],[LP Symbol Count]],SnapshotTable[[#This Row],[SP Symbol Count]],SnapshotTable[[#This Row],[LC Symbol Count]],SnapshotTable[[#This Row],[SC Symbol Count]])&gt;0, "Y", "")</f>
        <v/>
      </c>
      <c r="GU20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3" s="231" t="e">
        <f>MAX(SnapshotTable[[#This Row],[Equity Basis Total]],SnapshotTable[[#This Row],[Equity Value]]) + (SnapshotTable[[#This Row],[SP Potential Spend]]- SnapshotTable[[#This Row],[SP Premium]] + SnapshotTable[[#This Row],[LP Premium]])+ (SnapshotTable[[#This Row],[LC Premium]] - SnapshotTable[[#This Row],[SC Premium]])</f>
        <v>#VALUE!</v>
      </c>
      <c r="GW203" s="139" t="e">
        <f>IF(AND(SnapshotTable[[#This Row],[Exposure]] &lt;&gt; 0),SnapshotTable[[#This Row],[Exposure]] / SnapshotTable[[#Totals],[Exposure]], "")</f>
        <v>#VALUE!</v>
      </c>
      <c r="GY203" s="381"/>
      <c r="HE203" s="268"/>
      <c r="HF203" s="268"/>
      <c r="HG203" s="381"/>
      <c r="HH203" s="381"/>
      <c r="HI203" s="381"/>
      <c r="HJ203" s="381"/>
    </row>
    <row r="204" spans="2:224" ht="12.75" hidden="1" customHeight="1" x14ac:dyDescent="0.25">
      <c r="B204" s="12" t="s">
        <v>143</v>
      </c>
      <c r="C204" s="422">
        <v>331.45</v>
      </c>
      <c r="D204" s="208"/>
      <c r="E204" s="39">
        <f>SnapshotTable[[#This Row],[Last Price]]*(1 -CrashDiscount)</f>
        <v>281.73249999999996</v>
      </c>
      <c r="F204" s="26" t="s">
        <v>141</v>
      </c>
      <c r="G204" s="26" t="s">
        <v>14</v>
      </c>
      <c r="H204" s="149"/>
      <c r="I204" s="194">
        <v>44789.25</v>
      </c>
      <c r="J204" s="195">
        <v>44789.25</v>
      </c>
      <c r="K204" s="196"/>
      <c r="L204" s="326"/>
      <c r="M204" s="140"/>
      <c r="N204" s="140" t="b">
        <v>1</v>
      </c>
      <c r="O204" s="140"/>
      <c r="P204" s="22"/>
      <c r="Q204" s="25"/>
      <c r="R204" s="4" t="str">
        <f>IF(SnapshotTable[[#This Row],[Equity Basis Total]] &gt; 0, SnapshotTable[[#This Row],[Equity Basis Total]] / SnapshotTable[[#This Row],[Equity Shares]], "")</f>
        <v/>
      </c>
      <c r="S204" s="269">
        <f>SnapshotTable[[#This Row],[Last Price]] * SnapshotTable[[#This Row],[Equity Shares]]</f>
        <v>0</v>
      </c>
      <c r="T204" s="269">
        <f>SnapshotTable[[#This Row],[Equity Value]] - SnapshotTable[[#This Row],[Equity Basis Total]]</f>
        <v>0</v>
      </c>
      <c r="U204" s="270" t="str">
        <f>IF(SnapshotTable[[#This Row],[Equity Basis Total]] &gt; 0, SnapshotTable[[#This Row],[Equity G/L]] / SnapshotTable[[#This Row],[Equity Basis Total]], "")</f>
        <v/>
      </c>
      <c r="V204" s="268"/>
      <c r="W204" s="268"/>
      <c r="X204" s="4" t="str">
        <f>IF(AND(ISNUMBER(SnapshotTable[[#This Row],[Equity Basis Per Share]]),ISNUMBER(SnapshotTable[[#This Row],[Equity Target]])),SnapshotTable[[#This Row],[Equity Target]]-SnapshotTable[[#This Row],[Equity Basis Per Share]],"")</f>
        <v/>
      </c>
      <c r="Y204" s="4" t="str">
        <f>IF(AND(ISNUMBER(SnapshotTable[[#This Row],[Equity Basis Per Share]]),ISNUMBER(SnapshotTable[[#This Row],[Equity Stop Loss]])),SnapshotTable[[#This Row],[Equity Stop Loss]]-SnapshotTable[[#This Row],[Equity Basis Per Share]],"")</f>
        <v/>
      </c>
      <c r="Z204" s="275" t="str">
        <f>IFERROR( TEXT(SnapshotTable[[#This Row],[Equity Max Gain Per Share]] /ABS( SnapshotTable[[#This Row],[Equity Max Loss Per Share]]),"0.0 " ) &amp; " : 1", "")</f>
        <v/>
      </c>
      <c r="AA204" s="31" t="str">
        <f>IF(ISNUMBER(SnapshotTable[[#This Row],[Equity Max Gain Per Share]]),SnapshotTable[[#This Row],[Equity Max Gain Per Share]] * SnapshotTable[[#This Row],[Equity Shares]],"")</f>
        <v/>
      </c>
      <c r="AB204" s="31" t="str">
        <f>IF(ISNUMBER(SnapshotTable[[#This Row],[Equity Max Loss Per Share]]),SnapshotTable[[#This Row],[Equity Max Loss Per Share]] * SnapshotTable[[#This Row],[Equity Shares]],"")</f>
        <v/>
      </c>
      <c r="AC204" s="150">
        <v>2.76</v>
      </c>
      <c r="AD204" s="151">
        <v>42809</v>
      </c>
      <c r="AE204" s="31">
        <f>(SnapshotTable[[#This Row],[Annual Dividend Per Share]] / 4) * SnapshotTable[[#This Row],[Equity Shares]]</f>
        <v>0</v>
      </c>
      <c r="AF204" s="31">
        <f>SnapshotTable[[#This Row],[Quarterly Div $]] * 4</f>
        <v>0</v>
      </c>
      <c r="AG204" s="7">
        <f>IF(SnapshotTable[[#This Row],[Annual Dividend Per Share]]&gt;0, SnapshotTable[[#This Row],[Annual Dividend Per Share]]  / SnapshotTable[[#This Row],[Last Price]], 0)</f>
        <v>8.3270478201840394E-3</v>
      </c>
      <c r="AH204" s="151">
        <v>43612</v>
      </c>
      <c r="AI204" s="5">
        <v>230</v>
      </c>
      <c r="AJ204" s="138">
        <v>255.74</v>
      </c>
      <c r="AK204" s="152">
        <f>IF(ISNUMBER( SnapshotTable[[#This Row],[EBF Target]]),(SnapshotTable[[#This Row],[EBF Target]] - SnapshotTable[[#This Row],[Last Price]]) / SnapshotTable[[#This Row],[Last Price]], "")</f>
        <v>-0.30607934831799666</v>
      </c>
      <c r="AL204" s="152" t="str">
        <f>IF(AND(SnapshotTable[[#This Row],[Equity Basis Total]] &gt; 0,ISNUMBER( SnapshotTable[[#This Row],[Long Term Target]])), SnapshotTable[[#This Row],[From Basis $]] / SnapshotTable[[#This Row],[Equity Basis Total]], "")</f>
        <v/>
      </c>
      <c r="AM204" s="9">
        <f>IF( AND(SnapshotTable[[#This Row],[Equity Shares]] &gt;0,ISNUMBER( SnapshotTable[[#This Row],[Long Term Target]])),(SnapshotTable[[#This Row],[Equity Shares]] * SnapshotTable[[#This Row],[Long Term Target]]) - SnapshotTable[[#This Row],[Equity Basis Total]],0)</f>
        <v>0</v>
      </c>
      <c r="AN204" s="9">
        <f>IF( AND(SnapshotTable[[#This Row],[Equity Shares]] &gt;0,ISNUMBER( SnapshotTable[[#This Row],[Long Term Target]])),(SnapshotTable[[#This Row],[Equity Shares]]*SnapshotTable[[#This Row],[Long Term Target]]) - SnapshotTable[[#This Row],[Equity Value]],0)</f>
        <v>0</v>
      </c>
      <c r="AO204" s="152">
        <f>IF(AND(ISNUMBER( SnapshotTable[[#This Row],[Long Term Target]]), ISNUMBER(SnapshotTable[[#This Row],[Last Price]])),(SnapshotTable[[#This Row],[Long Term Target]] - SnapshotTable[[#This Row],[Last Price]]) / SnapshotTable[[#This Row],[Last Price]], "")</f>
        <v>-0.22842057625584547</v>
      </c>
      <c r="AP204" s="5"/>
      <c r="AQ204" s="38"/>
      <c r="AR204" s="5"/>
      <c r="AS204" s="38"/>
      <c r="AT204" s="146"/>
      <c r="AU204" s="187" t="str">
        <f>IF(OR(SnapshotTable[[#This Row],[LP No Fill]]="Y",SnapshotTable[[#This Row],[SP Is Filled]],SnapshotTable[[#This Row],[LC Not Filled]]="Y",SnapshotTable[[#This Row],[SC Is Filled]]),"Y","")</f>
        <v/>
      </c>
      <c r="AV204" s="219"/>
      <c r="AW204" s="225"/>
      <c r="AX204" s="220"/>
      <c r="AY204" s="219" t="str">
        <f>IF(SnapshotTable[[#This Row],[Implied Move]]&gt;0, SnapshotTable[[#This Row],[Last Price]]-SnapshotTable[[#This Row],[Implied Move]],"")</f>
        <v/>
      </c>
      <c r="AZ204" s="219" t="str">
        <f>IF(SnapshotTable[[#This Row],[Implied Move]]&gt;0, SnapshotTable[[#This Row],[Last Price]] + SnapshotTable[[#This Row],[Implied Move]],"")</f>
        <v/>
      </c>
      <c r="BA204" s="331"/>
      <c r="BB204" s="347"/>
      <c r="BC20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4" s="351"/>
      <c r="BE204" s="5"/>
      <c r="BF204" s="14"/>
      <c r="BG204" s="13"/>
      <c r="BH204" s="13"/>
      <c r="BI204" s="5"/>
      <c r="BJ204" s="136">
        <f>IF(SnapshotTable[[#This Row],[LP Qty]] &gt; 0, SnapshotTable[[#This Row],[LP Qty]] * SnapshotTable[[#This Row],[LP Book Price]] * 100,0)</f>
        <v>0</v>
      </c>
      <c r="BK204" s="136">
        <f>IF(SnapshotTable[[#This Row],[LP Premium]] &gt; 0, SnapshotTable[[#This Row],[LP Qty]] * SnapshotTable[[#This Row],[LP Strike Price]] * 100,0)</f>
        <v>0</v>
      </c>
      <c r="BL204" s="154"/>
      <c r="BM204" s="385" t="str">
        <f>IF(SnapshotTable[[#This Row],[LP Premium]] &gt; 0,SnapshotTable[[#This Row],[LP Exp Date]]-MAX(SnapshotTable[[#This Row],[LP Book Date]], SnapshotTable[[#This Row],[LP Fill Date]]),"")</f>
        <v/>
      </c>
      <c r="BN204" s="385" t="str">
        <f>IF(ISNUMBER( SnapshotTable[[#This Row],[LP Term]]), SnapshotTable[[#This Row],[LP Exp Date]] - MockToday,"")</f>
        <v/>
      </c>
      <c r="BO204" s="163" t="str">
        <f>IF(AND(SnapshotTable[[#This Row],[LP Exp Date]]&gt;0, SnapshotTable[[#This Row],[LP Strike Price]]&gt;0,SnapshotTable[[#This Row],[LP Qty]]&gt;0,SnapshotTable[[#This Row],[LP Book Date]]&gt;0,SnapshotTable[[#This Row],[LP Book Price]]&gt;0,SnapshotTable[[#This Row],[LP Fill Date]]=0),"Y","")</f>
        <v/>
      </c>
      <c r="BP204" s="31" t="str">
        <f>IF(AND(SnapshotTable[[#This Row],[LP No Fill]]&lt;&gt;"Y",SnapshotTable[[#This Row],[LP Contract Value]]&gt;0, SnapshotTable[[#This Row],[LP Qty]]&gt;0), SnapshotTable[[#This Row],[LP Contract Value]]*SnapshotTable[[#This Row],[LP Qty]]*100,"")</f>
        <v/>
      </c>
      <c r="BQ204" s="13"/>
      <c r="BR204" s="5" t="str">
        <f>IF(SnapshotTable[[#This Row],[SP Exp Date]]&lt;&gt;"",TRUNC(SnapshotTable[[#This Row],[Last Price]]),"")</f>
        <v/>
      </c>
      <c r="BS204" s="36"/>
      <c r="BT204" s="147"/>
      <c r="BU204" s="13"/>
      <c r="BV204" s="5"/>
      <c r="BW204" s="419" t="b">
        <f>AND(ISNUMBER(SnapshotTable[[#This Row],[SP Exp Date]]), ISNUMBER(SnapshotTable[[#This Row],[SP Strike Price]]), ISNUMBER(SnapshotTable[[#This Row],[SP Qty]]), ISNUMBER(SnapshotTable[[#This Row],[SP Book Date]]), ISNUMBER(SnapshotTable[[#This Row],[SP Book Price]]))</f>
        <v>0</v>
      </c>
      <c r="BX204" s="419" t="b">
        <f>AND(SnapshotTable[[#This Row],[SP Is Booked]], NOT(ISBLANK(SnapshotTable[[#This Row],[SP Fill Date]])))</f>
        <v>0</v>
      </c>
      <c r="BY204" s="33">
        <f>IF(SnapshotTable[[#This Row],[SP Is Booked]], SnapshotTable[[#This Row],[SP Qty]] * SnapshotTable[[#This Row],[SP Book Price]] * 100, 0)</f>
        <v>0</v>
      </c>
      <c r="BZ204" s="369"/>
      <c r="CA204" s="368">
        <f>SnapshotTable[[#This Row],[LP Qty]]</f>
        <v>0</v>
      </c>
      <c r="CB204" s="4" t="str">
        <f>IF(SnapshotTable[[#This Row],[SP Is Booked]], SnapshotTable[[#This Row],[SP Strike Price]] - SnapshotTable[[#This Row],[SP Book Price]], "")</f>
        <v/>
      </c>
      <c r="CC204" s="19" t="str">
        <f>IF(SnapshotTable[[#This Row],[SP Is Booked]],SnapshotTable[[#This Row],[SP Exp Date]]-MAX(SnapshotTable[[#This Row],[SP Book Date]], SnapshotTable[[#This Row],[SP Fill Date]]),"")</f>
        <v/>
      </c>
      <c r="CD204" s="7" t="str">
        <f>IF(SnapshotTable[[#This Row],[SP Is Booked]], SnapshotTable[[#This Row],[SP Book Price]]/SnapshotTable[[#This Row],[SP Strike Price]], "")</f>
        <v/>
      </c>
      <c r="CE204" s="7" t="str">
        <f>IF(ISNUMBER(SnapshotTable[[#This Row],[SP ROO Term]]),SnapshotTable[[#This Row],[SP ROO Term]]*(365/SnapshotTable[[#This Row],[SP Term]]),"")</f>
        <v/>
      </c>
      <c r="CF204" s="236">
        <f>SnapshotTable[[#This Row],[LP Strike Price]] * SnapshotTable[[#This Row],[LP Qty]] * 100</f>
        <v>0</v>
      </c>
      <c r="CG204" s="31" t="e">
        <f>IF(ISNUMBER(SnapshotTable[[#This Row],[SP Premium]]), (SnapshotTable[[#This Row],[SP Qty]] * SnapshotTable[[#This Row],[SP Strike Price]]* 100) - SnapshotTable[[#This Row],[LP Protection]], 0)</f>
        <v>#VALUE!</v>
      </c>
      <c r="CH204" s="7" t="str">
        <f>IF(ISNUMBER(SnapshotTable[[#This Row],[SP Break Even]]),-1 * (SnapshotTable[[#This Row],[SP Break Even]] - SnapshotTable[[#This Row],[Last Price]]) / SnapshotTable[[#This Row],[Last Price]], "")</f>
        <v/>
      </c>
      <c r="CI204" s="31">
        <f>IF(AND(ISNUMBER((SnapshotTable[[#This Row],[SP Potential Spend]])), SnapshotTable[[#This Row],[SP Strike Price]] &gt; SnapshotTable[[#This Row],[Last Price]], SnapshotTable[[#This Row],[SP Is Filled]]), SnapshotTable[[#This Row],[SP Potential Spend]] -  SnapshotTable[[#This Row],[LP Max Value]], 0)</f>
        <v>0</v>
      </c>
      <c r="CJ204" s="244"/>
      <c r="CK204" s="31" t="str">
        <f>IF(ISNUMBER(SnapshotTable[[#This Row],[SP Potential Spend]]),IF(ISNUMBER(SnapshotTable[[#This Row],[SP POW]]), SnapshotTable[[#This Row],[SP POW]] * SnapshotTable[[#This Row],[SP Potential Spend]], SnapshotTable[[#This Row],[SP Potential Spend]]), "")</f>
        <v/>
      </c>
      <c r="CL204" s="164" t="e">
        <f>IF(NOT(SnapshotTable[[#This Row],[SP Is Filled]]),(SnapshotTable[[#This Row],[SP Qty]] * SnapshotTable[[#This Row],[SP Strike Price]] * 100) - SnapshotTable[[#This Row],[LP Max Value]],"")</f>
        <v>#VALUE!</v>
      </c>
      <c r="CM204" s="31" t="str">
        <f>IF(SnapshotTable[[#This Row],[SP Actual Spend]]&lt;&gt;0, ((SnapshotTable[[#This Row],[SP Strike Price]]-SnapshotTable[[#This Row],[Last Price]]) *(SnapshotTable[[#This Row],[SP Qty]]*100) - SnapshotTable[[#This Row],[SP Premium]]) * - 1, "")</f>
        <v/>
      </c>
      <c r="CN204" s="78"/>
      <c r="CO204" s="369"/>
      <c r="CP204" s="4" t="str">
        <f>IF(SnapshotTable[[#This Row],[SP Is Filled]], btc_max_buyback_amount(SnapshotTable[[#This Row],[SP Fill Date]],SnapshotTable[[#This Row],[SP Exp Date]], SnapshotTable[[#This Row],[SP Book Price]]),"")</f>
        <v/>
      </c>
      <c r="CQ204" s="78"/>
      <c r="CR20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4" s="155" t="str">
        <f>IF(SnapshotTable[[#This Row],[SP Is Filled]], btc_next_cutoff_date(SnapshotTable[[#This Row],[SP Fill Date]],SnapshotTable[[#This Row],[SP Exp Date]]),"")</f>
        <v/>
      </c>
      <c r="CT204" s="235" t="str" cm="1">
        <f t="array" ref="CT204">IF(SnapshotTable[[#This Row],[SP Is Filled]], btc_should_buy_back(SnapshotTable[[#This Row],[SP Fill Date]], SnapshotTable[[#This Row],[SP Exp Date]], SnapshotTable[[#This Row],[SP Book Price]], SnapshotTable[[#This Row],[SP Current Ask]], MockToday, SnapshotTable[[#This Row],[SP Buyback Override]]),"")</f>
        <v/>
      </c>
      <c r="CU204" s="143"/>
      <c r="CV204" s="235"/>
      <c r="CW204" s="378" t="str">
        <f>IF(ISNUMBER( SnapshotTable[[#This Row],[SP Term]]), SnapshotTable[[#This Row],[SP Exp Date]] - MockToday,"")</f>
        <v/>
      </c>
      <c r="CX204" s="31" t="str">
        <f>IF(SnapshotTable[[#This Row],[SP Is Filled]],SnapshotTable[[#This Row],[SP Buyback Price to Use]] * 100 * SnapshotTable[[#This Row],[SP Qty]], "")</f>
        <v/>
      </c>
      <c r="CY204" s="4" t="str">
        <f>IF(ISNUMBER(SnapshotTable[[#This Row],[SP Strike Price]]), SnapshotTable[[#This Row],[SP Strike Price]] * (1 - SP_MaxLoss_StrikePct), "")</f>
        <v/>
      </c>
      <c r="CZ204" s="31" t="str">
        <f>IF(ISNUMBER(SnapshotTable[[#This Row],[SP Strike  Stop Per Share]]),SnapshotTable[[#This Row],[SP Premium]] - ((SnapshotTable[[#This Row],[SP Strike Price]]-SnapshotTable[[#This Row],[SP Strike  Stop Per Share]]) *(SnapshotTable[[#This Row],[SP Qty]] * 100)),"")</f>
        <v/>
      </c>
      <c r="DA204" s="4" t="str">
        <f>IF(AND(ISNUMBER(SnapshotTable[[#This Row],[SP Premium]]),SnapshotTable[[#This Row],[SP Premium]]&gt;0), SnapshotTable[[#This Row],[SP Book Price]] * (1 + SP_MaxLoss_OptionPct), "")</f>
        <v/>
      </c>
      <c r="DB204" s="31" t="str">
        <f>IF(ISNUMBER(SnapshotTable[[#This Row],[SP Option  Stop Contract]]),(SnapshotTable[[#This Row],[SP Option  Stop Contract]] *(SnapshotTable[[#This Row],[SP Qty]] * 100) - SnapshotTable[[#This Row],[SP Premium]]),"")</f>
        <v/>
      </c>
      <c r="DC204" s="4"/>
      <c r="DD204" s="4"/>
      <c r="DE204" s="4" t="str">
        <f>IF(AND(SnapshotTable[[#This Row],[SP Qty]]&gt;0, SnapshotTable[[#This Row],[SP Stop To Use]]&gt;0),SnapshotTable[[#This Row],[SP Premium]] - ( SnapshotTable[[#This Row],[SP Qty]] * SnapshotTable[[#This Row],[SP Stop To Use]] * 100), "")</f>
        <v/>
      </c>
      <c r="DF204" s="31" t="str">
        <f>IF(AND(SnapshotTable[[#This Row],[SP Qty]]&gt;0,SnapshotTable[[#This Row],[SP Current Ask]]&gt;0), SnapshotTable[[#This Row],[SP Qty]] * SnapshotTable[[#This Row],[SP Current Ask]] * -100, "")</f>
        <v/>
      </c>
      <c r="DG204" s="31" t="str">
        <f>IF(ISNUMBER((SnapshotTable[[#This Row],[SP Total Value]])), SnapshotTable[[#This Row],[SP Premium]] + SnapshotTable[[#This Row],[SP Total Value]], "")</f>
        <v/>
      </c>
      <c r="DH204" s="294" t="str">
        <f>IF(ISNUMBER((SnapshotTable[[#This Row],[SP Total Value]])), SnapshotTable[[#This Row],[SP Gain Loss]] / SnapshotTable[[#This Row],[SP Premium]], "")</f>
        <v/>
      </c>
      <c r="DI204" s="406"/>
      <c r="DJ204" s="138"/>
      <c r="DK204" s="148"/>
      <c r="DL204" s="13"/>
      <c r="DM204" s="13"/>
      <c r="DO204" s="31">
        <f>IF(SnapshotTable[[#This Row],[LC Symbol Count]]=1, SnapshotTable[[#This Row],[LC Qty]] * SnapshotTable[[#This Row],[LC Book Price]] * 100, 0)</f>
        <v>0</v>
      </c>
      <c r="DP204" s="163" t="str">
        <f>IF(AND(SnapshotTable[[#This Row],[LC Exp Date]]&gt;0, SnapshotTable[[#This Row],[LC Strike Price]]&gt;0,SnapshotTable[[#This Row],[LC Qty]]&gt;0,SnapshotTable[[#This Row],[LC Book Date]]&gt;0,SnapshotTable[[#This Row],[LC Book Price]]&gt;0,SnapshotTable[[#This Row],[LC Fill Date]]=0),"Y","")</f>
        <v/>
      </c>
      <c r="DQ204" s="386" t="str">
        <f>IF(SnapshotTable[[#This Row],[LC Premium]] &gt; 0,SnapshotTable[[#This Row],[LC Exp Date]]-MAX(SnapshotTable[[#This Row],[LC Book Date]], SnapshotTable[[#This Row],[LC Fill Date]]),"")</f>
        <v/>
      </c>
      <c r="DR204" s="386" t="str">
        <f>IF(ISNUMBER(SnapshotTable[[#This Row],[LC Term]]), SnapshotTable[[#This Row],[LC Exp Date]] - MockToday, "")</f>
        <v/>
      </c>
      <c r="DS204" s="234" t="str">
        <f>IF(SnapshotTable[[#This Row],[LC Premium]]&gt;0,SnapshotTable[[#This Row],[LC Strike Price]] + SnapshotTable[[#This Row],[LC Book Price]],"")</f>
        <v/>
      </c>
      <c r="DU204" s="9" t="str">
        <f>IF(AND(SnapshotTable[[#This Row],[LC Symbol Count]]&gt;0, SnapshotTable[[#This Row],[LC Contract Value]]&gt;0), SnapshotTable[[#This Row],[LC Contract Value]] * SnapshotTable[[#This Row],[LC Qty]] * 100, "")</f>
        <v/>
      </c>
      <c r="DV204" s="9" t="str">
        <f>IF(AND(ISNUMBER(SnapshotTable[[#This Row],[LC Total Value]]), SnapshotTable[[#This Row],[LC Not Filled]]&lt;&gt;"Y"), SnapshotTable[[#This Row],[LC Total Value]]-SnapshotTable[[#This Row],[LC Premium]],"")</f>
        <v/>
      </c>
      <c r="DW204" s="240" t="str">
        <f>IF(ISNUMBER(SnapshotTable[[#This Row],[LC Actual Gain Loss]]), SnapshotTable[[#This Row],[LC Actual Gain Loss]] / SnapshotTable[[#This Row],[LC Premium]],"")</f>
        <v/>
      </c>
      <c r="DX204" s="284" t="str">
        <f>IF(ISNUMBER(SnapshotTable[[#This Row],[LC Book Price]]),SnapshotTable[[#This Row],[LC Book Price]] * 1.5,"")</f>
        <v/>
      </c>
      <c r="DY204" s="265" t="str">
        <f>IF(SnapshotTable[[#This Row],[LC Premium]]&gt;0, SnapshotTable[[#This Row],[LC Next Target]] * SnapshotTable[[#This Row],[LC Qty]] * 100,"")</f>
        <v/>
      </c>
      <c r="DZ204" s="265" t="str">
        <f>IF(ISNUMBER(SnapshotTable[[#This Row],[LC Target Gross]]), SnapshotTable[[#This Row],[LC Target Gross]] - SnapshotTable[[#This Row],[LC Premium]], "")</f>
        <v/>
      </c>
      <c r="EA204" s="305" t="str">
        <f>IF(ISNUMBER(SnapshotTable[[#This Row],[LC Target Gain Loss]]), SnapshotTable[[#This Row],[LC Target Gain Loss]]/SnapshotTable[[#This Row],[LC Premium]], "")</f>
        <v/>
      </c>
      <c r="EB204" s="262"/>
      <c r="EC204" s="283" t="str">
        <f>IF(SnapshotTable[[#This Row],[LC Premium]]&gt;0, SnapshotTable[[#This Row],[LC Book Price]] * (1 - LC_StopLoss_Pct),"")</f>
        <v/>
      </c>
      <c r="ED204" s="284"/>
      <c r="EE204" s="283" t="str">
        <f>IF(ISNUMBER(SnapshotTable[[#This Row],[LC Contract Value]]),IF(ISNUMBER(SnapshotTable[[#This Row],[LC Stop Loss Override]]), SnapshotTable[[#This Row],[LC Stop Loss Override]],SnapshotTable[[#This Row],[LC Stop Loss Calc Target]]),"")</f>
        <v/>
      </c>
      <c r="EF204" s="31" t="str">
        <f>IF(ISNUMBER(SnapshotTable[[#This Row],[LC Stop  To Use]]), (SnapshotTable[[#This Row],[LC Stop  To Use]] * SnapshotTable[[#This Row],[LC Qty]] * 100),"")</f>
        <v/>
      </c>
      <c r="EG204" s="9" t="str">
        <f>IF(ISNUMBER(SnapshotTable[[#This Row],[LC Total Value]]),SnapshotTable[[#This Row],[LC Stop Loss Amount]] - SnapshotTable[[#This Row],[LC Premium]],"")</f>
        <v/>
      </c>
      <c r="EH204" s="9">
        <f>IF(ISNUMBER(SnapshotTable[[#This Row],[LC Premium]]), SnapshotTable[[#This Row],[LC Qty]] * 100 * SnapshotTable[[#This Row],[LC Strike Price]], "")</f>
        <v>0</v>
      </c>
      <c r="EI204" s="240" t="str">
        <f>IF(AND(ISNUMBER(SnapshotTable[[#This Row],[LC Total Value]]),SnapshotTable[[#This Row],[LC Total Value]]&gt;0),SnapshotTable[[#This Row],[LC Stop Gain Loss]]  / SnapshotTable[[#This Row],[LC Premium]],"")</f>
        <v/>
      </c>
      <c r="EJ204" s="35">
        <f>IF(ISNUMBER(SnapshotTable[[#This Row],[Equity Shares]]),TRUNC(SnapshotTable[[#This Row],[Equity Shares]] / 100),0) + SnapshotTable[[#This Row],[LC Qty]]</f>
        <v>0</v>
      </c>
      <c r="EK204" s="147"/>
      <c r="EL204" s="138" t="str">
        <f>IF(SnapshotTable[[#This Row],[SC Exp Date]]&lt;&gt;"",TRUNC(SnapshotTable[[#This Row],[Last Price]]),"")</f>
        <v/>
      </c>
      <c r="EM204" s="148"/>
      <c r="EN204" s="147"/>
      <c r="EO204" s="147"/>
      <c r="EP204" s="138"/>
      <c r="EQ204" s="419" t="b">
        <f>AND(ISNUMBER(SnapshotTable[[#This Row],[SC Exp Date]]), ISNUMBER(SnapshotTable[[#This Row],[SC Strike Price]]), ISNUMBER(SnapshotTable[[#This Row],[SC Qty]]), ISNUMBER(SnapshotTable[[#This Row],[SC Book Date]]), ISNUMBER(SnapshotTable[[#This Row],[SC Book Price]]))</f>
        <v>0</v>
      </c>
      <c r="ER204" s="419" t="b">
        <f>AND(SnapshotTable[[#This Row],[SC Is Booked]], NOT(ISBLANK(SnapshotTable[[#This Row],[SC Fill Date]])))</f>
        <v>0</v>
      </c>
      <c r="ES204" s="370"/>
      <c r="ET204" s="34" t="str">
        <f>IF(AND(ISNUMBER(SnapshotTable[[#This Row],[SC Exp Date]]), ISNUMBER(SnapshotTable[[#This Row],[SC Book Date]])), SnapshotTable[[#This Row],[SC Exp Date]] - MAX(SnapshotTable[[#This Row],[SC Book Date]], SnapshotTable[[#This Row],[SC Fill Date]]) + 1, "")</f>
        <v/>
      </c>
      <c r="EU204" s="34" t="str">
        <f>IF(ISNUMBER(SnapshotTable[[#This Row],[SC Term]]), SnapshotTable[[#This Row],[SC Exp Date]]- MockToday, "")</f>
        <v/>
      </c>
      <c r="EV204" s="31">
        <f>IF(SnapshotTable[[#This Row],[SC Is Booked]], SnapshotTable[[#This Row],[SC Qty]] * SnapshotTable[[#This Row],[SC Book Price]] * 100, 0)</f>
        <v>0</v>
      </c>
      <c r="EW204" s="4" t="str">
        <f>IF(AND(ISNUMBER(SnapshotTable[[#This Row],[Last Price]]), ISNUMBER( SnapshotTable[[#This Row],[SC Book Price]])), SnapshotTable[[#This Row],[Last Price]] - SnapshotTable[[#This Row],[SC Book Price]],"")</f>
        <v/>
      </c>
      <c r="EX204" s="234" t="str">
        <f>IF(SnapshotTable[[#This Row],[SC Is Booked]],IF(SnapshotTable[[#This Row],[SC Intrinsic Value]] &gt; 0, SnapshotTable[[#This Row],[SC Strike Price]], SnapshotTable[[#This Row],[Last Price]]), "")</f>
        <v/>
      </c>
      <c r="EY204" s="4">
        <f>IF(SnapshotTable[[#This Row],[SC Is Booked]], (MinimumPremiumRequired * SnapshotTable[[#This Row],[SC Basis]] * SnapshotTable[[#This Row],[SC Term]]), 0)</f>
        <v>0</v>
      </c>
      <c r="EZ204" s="283"/>
      <c r="FA204" s="218"/>
      <c r="FB204" s="370"/>
      <c r="FC204" s="4">
        <f>IF(SnapshotTable[[#This Row],[SC Is Filled]], btc_max_buyback_amount(SnapshotTable[[#This Row],[SC Fill Date]],SnapshotTable[[#This Row],[SC Exp Date]], SnapshotTable[[#This Row],[SC Book Price]]),0)</f>
        <v>0</v>
      </c>
      <c r="FD204" s="5"/>
      <c r="FE204" s="144" t="str">
        <f>IF(SnapshotTable[[#This Row],[SC Is Filled]], btc_next_cutoff_date(SnapshotTable[[#This Row],[SC Fill Date]],SnapshotTable[[#This Row],[SC Exp Date]]),"")</f>
        <v/>
      </c>
      <c r="FF204" s="4" t="str" cm="1">
        <f t="array" ref="FF204">IF(SnapshotTable[[#This Row],[SC Is Filled]], btc_should_buy_back(SnapshotTable[[#This Row],[SC Fill Date]], SnapshotTable[[#This Row],[SC Exp Date]], SnapshotTable[[#This Row],[SC Book Price]], SnapshotTable[[#This Row],[SC Current Ask]], MockToday, SnapshotTable[[#This Row],[SC Buyback Override]]),"")</f>
        <v/>
      </c>
      <c r="FG204" s="4">
        <f>IF(SnapshotTable[[#This Row],[SC Is Filled]], MAX(0,SnapshotTable[[#This Row],[Last Price]]  - SnapshotTable[[#This Row],[SC Strike Price]]), 0)</f>
        <v>0</v>
      </c>
      <c r="FH204" s="382">
        <f>IF(SnapshotTable[[#This Row],[SC Is Filled]], IF(ISNUMBER(SnapshotTable[[#This Row],[SC Current Ask]]), SnapshotTable[[#This Row],[SC Current Ask]], SnapshotTable[[#This Row],[SC Book Price]]) - SnapshotTable[[#This Row],[SC Intrinsic Value]], 0)</f>
        <v>0</v>
      </c>
      <c r="FI204" s="143"/>
      <c r="FJ204" s="32" t="str">
        <f>IF(SnapshotTable[[#This Row],[SC Is Filled]],100 * SnapshotTable[[#This Row],[SC Qty]] * IF(ISNUMBER(SnapshotTable[[#This Row],[SC Buyback Override]]), SnapshotTable[[#This Row],[SC Buyback Override]], SnapshotTable[[#This Row],[SC Current Ask]]), "")</f>
        <v/>
      </c>
      <c r="FK204" s="250" t="str">
        <f>IF(SnapshotTable[[#This Row],[SC Time Val]]&gt;0, SnapshotTable[[#This Row],[SC Time Val]] / SnapshotTable[[#This Row],[Last Price]],"")</f>
        <v/>
      </c>
      <c r="FL204" s="302" t="str">
        <f>IF(SnapshotTable[[#This Row],[SC Is Booked]], ((SnapshotTable[[#This Row],[Last Price]] -SnapshotTable[[#This Row],[SC Strike Price]]) / SnapshotTable[[#This Row],[Last Price]]) * -1, "")</f>
        <v/>
      </c>
      <c r="FM204" s="157" t="str">
        <f>IF(SnapshotTable[[#This Row],[SC Is Booked]],  (SnapshotTable[[#This Row],[SC Qty]] * 100 * SnapshotTable[[#This Row],[SC Strike Price]]) - SnapshotTable[[#This Row],[SC Current Ask]], "")</f>
        <v/>
      </c>
      <c r="FN20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4" s="31" t="str">
        <f>IF(AND(ISNUMBER(SnapshotTable[[#This Row],[SC Exercise Gross]]), ISNUMBER(SnapshotTable[[#This Row],[Equity Basis Per Share]] )), SnapshotTable[[#This Row],[SC Exercise Gross]] - SnapshotTable[[#This Row],[Equity Basis Total]] +  SnapshotTable[[#This Row],[SC Premium]], "")</f>
        <v/>
      </c>
      <c r="FP204" s="5" t="str">
        <f>IF(ISNUMBER(SnapshotTable[[#This Row],[SC Exercise Gross]]), (SnapshotTable[[#This Row],[SC Exercise Gross]]) / (SnapshotTable[[#This Row],[SC Qty]] * 100), "")</f>
        <v/>
      </c>
      <c r="FQ204" s="27" t="str">
        <f>IF(SnapshotTable[[#This Row],[SC Is Booked]],SnapshotTable[[#This Row],[SC Time Val]] /SnapshotTable[[#This Row],[SC Basis]], "")</f>
        <v/>
      </c>
      <c r="FR204" s="27" t="str" cm="1">
        <f t="array" ref="FR204">IF(AND(ISNUMBER(SnapshotTable[[#This Row],[SC Term]]),ISNUMBER(SnapshotTable[[#This Row],[SC Simple ROO]])), EllmanAnnualize(SnapshotTable[[#This Row],[SC DTE]], SnapshotTable[[#This Row],[SC Simple ROO]] ),"")</f>
        <v/>
      </c>
      <c r="FS204" s="4" t="e">
        <f>IF(SnapshotTable[[#This Row],[SC Strike Price]] &gt; SnapshotTable[[#This Row],[Last Price]], SnapshotTable[[#This Row],[SC Strike Price]] - SnapshotTable[[#This Row],[Last Price]],0)</f>
        <v>#VALUE!</v>
      </c>
      <c r="FT204" s="27" t="e">
        <f>IF(AND(ISNUMBER(SnapshotTable[[#This Row],[SC Upside Potential]]), SnapshotTable[[#This Row],[SC Upside Potential]] &gt; 0),(SnapshotTable[[#This Row],[SC Upside Potential]]/ SnapshotTable[[#This Row],[ACB]]),"")</f>
        <v>#VALUE!</v>
      </c>
      <c r="FU204" s="333" t="str">
        <f>IF(SnapshotTable[[#This Row],[SC Intrinsic Value]] &gt; 0,SnapshotTable[[#This Row],[SC Intrinsic Value]],"")</f>
        <v/>
      </c>
      <c r="FV204" s="27" t="str">
        <f>IF(AND( ISNUMBER( SnapshotTable[[#This Row],[ACB]]),ISNUMBER(SnapshotTable[[#This Row],[SC Downside Protect]])),SnapshotTable[[#This Row],[SC Downside Protect]] / SnapshotTable[[#This Row],[ACB]],"")</f>
        <v/>
      </c>
      <c r="FW204" s="236" t="str">
        <f>IF(AND(ISNUMBER(SnapshotTable[[#This Row],[SC Simple ROO]]),SnapshotTable[[#This Row],[SC Simple ROO]] &gt; 0), SnapshotTable[[#This Row],[SC Premium]] + (SnapshotTable[[#This Row],[SC Qty]] * SnapshotTable[[#This Row],[SC Upside Potential]]), "")</f>
        <v/>
      </c>
      <c r="FX204" s="302" t="str" cm="1">
        <f t="array" ref="FX204">IF(ISNUMBER(SnapshotTable[[#This Row],[SC Max Dollars]]), annualize(SnapshotTable[[#This Row],[SC Term]],(SnapshotTable[[#This Row],[SC Max Dollars]]/SnapshotTable[[#This Row],[SC Basis]])),"")</f>
        <v/>
      </c>
      <c r="FY204" s="236" t="str">
        <f>IF(AND(SnapshotTable[[#This Row],[SC Qty]]&gt;0,SnapshotTable[[#This Row],[SC Current Ask]]&gt;0), SnapshotTable[[#This Row],[SC Qty]] * SnapshotTable[[#This Row],[SC Current Ask]] * -100, "")</f>
        <v/>
      </c>
      <c r="FZ204" s="31" t="str">
        <f>IF(ISNUMBER((SnapshotTable[[#This Row],[SC Current Value]])), SnapshotTable[[#This Row],[SC Premium]] + SnapshotTable[[#This Row],[SC Current Value]], "")</f>
        <v/>
      </c>
      <c r="GA204" s="294" t="str">
        <f>IFERROR( IF(ISNUMBER((SnapshotTable[[#This Row],[SC Current Value]])), SnapshotTable[[#This Row],[SC Gain Loss]] / SnapshotTable[[#This Row],[SC Premium]], ""), "")</f>
        <v/>
      </c>
      <c r="GB204" s="42">
        <f>SnapshotTable[[#This Row],[Equity Shares]] * SaleSharesToConsiderPercentage</f>
        <v>0</v>
      </c>
      <c r="GC204" s="40">
        <f>SnapshotTable[[#This Row],[Long Term Target]] * SellingPriceToConsiderBasedOnTargetPercentage</f>
        <v>242.953</v>
      </c>
      <c r="GD204" s="40">
        <f>SnapshotTable[[#This Row],[Last Price]] * (1+ SellingPriceToConsiderBasedOnTargetPercentage)</f>
        <v>646.32749999999999</v>
      </c>
      <c r="GE204" s="41"/>
      <c r="GF204" s="40"/>
      <c r="GG204" s="31">
        <f>SnapshotTable[[#This Row],[Booked Sale Shares]] * SnapshotTable[[#This Row],[Booked Sale Price]]</f>
        <v>0</v>
      </c>
      <c r="GH204" s="31" t="str">
        <f>IF(SnapshotTable[[#This Row],[Equity Basis Total]] &gt; 0, SnapshotTable[[#This Row],[Equity Basis Per Share]] * SnapshotTable[[#This Row],[Booked Sale Shares]], "")</f>
        <v/>
      </c>
      <c r="GI204" s="31">
        <f>IF(SnapshotTable[[#This Row],[Sale Proceeds]]&gt;0, SnapshotTable[[#This Row],[Sale Proceeds]] - SnapshotTable[[#This Row],[Sale Basis]], 0)</f>
        <v>0</v>
      </c>
      <c r="GJ204" s="27" t="str">
        <f>IF(SnapshotTable[[#This Row],[Sale G/L]]&gt;0, SnapshotTable[[#This Row],[Sale G/L]] / SnapshotTable[[#This Row],[Sale Basis]], IF(ISNUMBER(SnapshotTable[[#This Row],[SC Exercise P&amp;L (TAX)]]), SnapshotTable[[#This Row],[SC Exercise P&amp;L (TAX)]] / SnapshotTable[[#This Row],[SC Basis]], ""))</f>
        <v/>
      </c>
      <c r="GK204" s="27" t="s">
        <v>721</v>
      </c>
      <c r="GL204" s="43" t="str">
        <f>IF(AND(SnapshotTable[[#This Row],[LP Exp Date]]&gt;0,SnapshotTable[[#This Row],[LP Strike Price]]&gt;0), [1]!ToOptionSymbol(SnapshotTable[[#This Row],[Symbol]], SnapshotTable[[#This Row],[LP Strike Price]],SnapshotTable[[#This Row],[LP Exp Date]],1), "")</f>
        <v/>
      </c>
      <c r="GM204" s="30" t="str">
        <f>IF(LEN(SnapshotTable[[#This Row],[LP Symbol]])&gt;0, 1, "")</f>
        <v/>
      </c>
      <c r="GN204" s="43" t="str">
        <f>IF(AND(SnapshotTable[[#This Row],[SP Exp Date]]&gt;0,SnapshotTable[[#This Row],[SP Strike Price]]&gt;0), [1]!ToOptionSymbol(SnapshotTable[[#This Row],[Symbol]], SnapshotTable[[#This Row],[SP Strike Price]],SnapshotTable[[#This Row],[SP Exp Date]],1), "")</f>
        <v/>
      </c>
      <c r="GO204" s="30" t="str">
        <f>IF(LEN(SnapshotTable[[#This Row],[SP Symbol]])&gt;0, 1, "")</f>
        <v/>
      </c>
      <c r="GP204" s="43" t="str">
        <f>IF(AND(SnapshotTable[[#This Row],[LC Exp Date]]&gt;0,SnapshotTable[[#This Row],[LC Strike Price]]&gt;0), [1]!ToOptionSymbol(SnapshotTable[[#This Row],[Symbol]], SnapshotTable[[#This Row],[LC Strike Price]],SnapshotTable[[#This Row],[LC Exp Date]],0), "")</f>
        <v/>
      </c>
      <c r="GQ204" s="30" t="str">
        <f>IF(LEN(SnapshotTable[[#This Row],[LC Symbol]])&gt;0, 1, "")</f>
        <v/>
      </c>
      <c r="GR204" s="43" t="str">
        <f>IF(AND(SnapshotTable[[#This Row],[SC Exp Date]]&gt;0,SnapshotTable[[#This Row],[SC Strike Price]]&gt;0), [1]!ToOptionSymbol(SnapshotTable[[#This Row],[Symbol]], SnapshotTable[[#This Row],[SC Strike Price]],SnapshotTable[[#This Row],[SC Exp Date]],0), "")</f>
        <v/>
      </c>
      <c r="GS204" s="30" t="str">
        <f>IF(LEN(SnapshotTable[[#This Row],[SC Symbol]])&gt;0, 1, "")</f>
        <v/>
      </c>
      <c r="GT204" s="29" t="str">
        <f>IF(COUNT(SnapshotTable[[#This Row],[LP Symbol Count]],SnapshotTable[[#This Row],[SP Symbol Count]],SnapshotTable[[#This Row],[LC Symbol Count]],SnapshotTable[[#This Row],[SC Symbol Count]])&gt;0, "Y", "")</f>
        <v/>
      </c>
      <c r="GU20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4" s="231" t="e">
        <f>MAX(SnapshotTable[[#This Row],[Equity Basis Total]],SnapshotTable[[#This Row],[Equity Value]]) + (SnapshotTable[[#This Row],[SP Potential Spend]]- SnapshotTable[[#This Row],[SP Premium]] + SnapshotTable[[#This Row],[LP Premium]])+ (SnapshotTable[[#This Row],[LC Premium]] - SnapshotTable[[#This Row],[SC Premium]])</f>
        <v>#VALUE!</v>
      </c>
      <c r="GW204" s="139" t="e">
        <f>IF(AND(SnapshotTable[[#This Row],[Exposure]] &lt;&gt; 0),SnapshotTable[[#This Row],[Exposure]] / SnapshotTable[[#Totals],[Exposure]], "")</f>
        <v>#VALUE!</v>
      </c>
      <c r="HE204" s="268"/>
      <c r="HF204" s="268"/>
      <c r="HK204" s="1"/>
      <c r="HL204" s="1"/>
      <c r="HM204" s="1"/>
      <c r="HN204" s="1"/>
      <c r="HO204" s="1"/>
      <c r="HP204" s="1"/>
    </row>
    <row r="205" spans="2:224" ht="12.75" hidden="1" customHeight="1" x14ac:dyDescent="0.25">
      <c r="B205" s="12" t="s">
        <v>901</v>
      </c>
      <c r="C205" s="422">
        <v>33.07</v>
      </c>
      <c r="D205" s="208"/>
      <c r="E205" s="39">
        <f>SnapshotTable[[#This Row],[Last Price]]*(1 -CrashDiscount)</f>
        <v>28.109500000000001</v>
      </c>
      <c r="F205" s="26" t="s">
        <v>907</v>
      </c>
      <c r="G205" s="26" t="s">
        <v>610</v>
      </c>
      <c r="H205" s="149"/>
      <c r="I205" s="194">
        <v>44799.270833333336</v>
      </c>
      <c r="J205" s="195">
        <v>44799.270833333336</v>
      </c>
      <c r="K205" s="196"/>
      <c r="L205" s="326"/>
      <c r="M205" s="140"/>
      <c r="N205" s="140"/>
      <c r="O205" s="140"/>
      <c r="P205" s="22"/>
      <c r="Q205" s="25"/>
      <c r="R205" s="4" t="str">
        <f>IF(SnapshotTable[[#This Row],[Equity Basis Total]] &gt; 0, SnapshotTable[[#This Row],[Equity Basis Total]] / SnapshotTable[[#This Row],[Equity Shares]], "")</f>
        <v/>
      </c>
      <c r="S205" s="269">
        <f>SnapshotTable[[#This Row],[Last Price]] * SnapshotTable[[#This Row],[Equity Shares]]</f>
        <v>0</v>
      </c>
      <c r="T205" s="269">
        <f>SnapshotTable[[#This Row],[Equity Value]] - SnapshotTable[[#This Row],[Equity Basis Total]]</f>
        <v>0</v>
      </c>
      <c r="U205" s="270" t="str">
        <f>IF(SnapshotTable[[#This Row],[Equity Basis Total]] &gt; 0, SnapshotTable[[#This Row],[Equity G/L]] / SnapshotTable[[#This Row],[Equity Basis Total]], "")</f>
        <v/>
      </c>
      <c r="V205" s="268"/>
      <c r="W205" s="268"/>
      <c r="X205" s="4" t="str">
        <f>IF(AND(ISNUMBER(SnapshotTable[[#This Row],[Equity Basis Per Share]]),ISNUMBER(SnapshotTable[[#This Row],[Equity Target]])),SnapshotTable[[#This Row],[Equity Target]]-SnapshotTable[[#This Row],[Equity Basis Per Share]],"")</f>
        <v/>
      </c>
      <c r="Y205" s="4" t="str">
        <f>IF(AND(ISNUMBER(SnapshotTable[[#This Row],[Equity Basis Per Share]]),ISNUMBER(SnapshotTable[[#This Row],[Equity Stop Loss]])),SnapshotTable[[#This Row],[Equity Stop Loss]]-SnapshotTable[[#This Row],[Equity Basis Per Share]],"")</f>
        <v/>
      </c>
      <c r="Z205" s="275" t="str">
        <f>IFERROR( TEXT(SnapshotTable[[#This Row],[Equity Max Gain Per Share]] /ABS( SnapshotTable[[#This Row],[Equity Max Loss Per Share]]),"0.0 " ) &amp; " : 1", "")</f>
        <v/>
      </c>
      <c r="AA205" s="31" t="str">
        <f>IF(ISNUMBER(SnapshotTable[[#This Row],[Equity Max Gain Per Share]]),SnapshotTable[[#This Row],[Equity Max Gain Per Share]] * SnapshotTable[[#This Row],[Equity Shares]],"")</f>
        <v/>
      </c>
      <c r="AB205" s="31" t="str">
        <f>IF(ISNUMBER(SnapshotTable[[#This Row],[Equity Max Loss Per Share]]),SnapshotTable[[#This Row],[Equity Max Loss Per Share]] * SnapshotTable[[#This Row],[Equity Shares]],"")</f>
        <v/>
      </c>
      <c r="AC205" s="150"/>
      <c r="AD205" s="151"/>
      <c r="AE205" s="31">
        <f>(SnapshotTable[[#This Row],[Annual Dividend Per Share]] / 4) * SnapshotTable[[#This Row],[Equity Shares]]</f>
        <v>0</v>
      </c>
      <c r="AF205" s="31">
        <f>SnapshotTable[[#This Row],[Quarterly Div $]] * 4</f>
        <v>0</v>
      </c>
      <c r="AG205" s="7">
        <f>IF(SnapshotTable[[#This Row],[Annual Dividend Per Share]]&gt;0, SnapshotTable[[#This Row],[Annual Dividend Per Share]]  / SnapshotTable[[#This Row],[Last Price]], 0)</f>
        <v>0</v>
      </c>
      <c r="AH205" s="151"/>
      <c r="AI205" s="5"/>
      <c r="AJ205" s="138">
        <v>29.5</v>
      </c>
      <c r="AK205" s="152" t="str">
        <f>IF(ISNUMBER( SnapshotTable[[#This Row],[EBF Target]]),(SnapshotTable[[#This Row],[EBF Target]] - SnapshotTable[[#This Row],[Last Price]]) / SnapshotTable[[#This Row],[Last Price]], "")</f>
        <v/>
      </c>
      <c r="AL205" s="152" t="str">
        <f>IF(AND(SnapshotTable[[#This Row],[Equity Basis Total]] &gt; 0,ISNUMBER( SnapshotTable[[#This Row],[Long Term Target]])), SnapshotTable[[#This Row],[From Basis $]] / SnapshotTable[[#This Row],[Equity Basis Total]], "")</f>
        <v/>
      </c>
      <c r="AM205" s="9">
        <f>IF( AND(SnapshotTable[[#This Row],[Equity Shares]] &gt;0,ISNUMBER( SnapshotTable[[#This Row],[Long Term Target]])),(SnapshotTable[[#This Row],[Equity Shares]] * SnapshotTable[[#This Row],[Long Term Target]]) - SnapshotTable[[#This Row],[Equity Basis Total]],0)</f>
        <v>0</v>
      </c>
      <c r="AN205" s="9">
        <f>IF( AND(SnapshotTable[[#This Row],[Equity Shares]] &gt;0,ISNUMBER( SnapshotTable[[#This Row],[Long Term Target]])),(SnapshotTable[[#This Row],[Equity Shares]]*SnapshotTable[[#This Row],[Long Term Target]]) - SnapshotTable[[#This Row],[Equity Value]],0)</f>
        <v>0</v>
      </c>
      <c r="AO205" s="152">
        <f>IF(AND(ISNUMBER( SnapshotTable[[#This Row],[Long Term Target]]), ISNUMBER(SnapshotTable[[#This Row],[Last Price]])),(SnapshotTable[[#This Row],[Long Term Target]] - SnapshotTable[[#This Row],[Last Price]]) / SnapshotTable[[#This Row],[Last Price]], "")</f>
        <v>-0.10795282733595404</v>
      </c>
      <c r="AP205" s="5"/>
      <c r="AQ205" s="38"/>
      <c r="AR205" s="5"/>
      <c r="AS205" s="38"/>
      <c r="AT205" s="146"/>
      <c r="AU205" s="187" t="str">
        <f>IF(OR(SnapshotTable[[#This Row],[LP No Fill]]="Y",SnapshotTable[[#This Row],[SP Is Filled]],SnapshotTable[[#This Row],[LC Not Filled]]="Y",SnapshotTable[[#This Row],[SC Is Filled]]),"Y","")</f>
        <v/>
      </c>
      <c r="AV205" s="219"/>
      <c r="AW205" s="225"/>
      <c r="AX205" s="220"/>
      <c r="AY205" s="219" t="str">
        <f>IF(SnapshotTable[[#This Row],[Implied Move]]&gt;0, SnapshotTable[[#This Row],[Last Price]]-SnapshotTable[[#This Row],[Implied Move]],"")</f>
        <v/>
      </c>
      <c r="AZ205" s="219" t="str">
        <f>IF(SnapshotTable[[#This Row],[Implied Move]]&gt;0, SnapshotTable[[#This Row],[Last Price]] + SnapshotTable[[#This Row],[Implied Move]],"")</f>
        <v/>
      </c>
      <c r="BA205" s="331"/>
      <c r="BB205" s="347"/>
      <c r="BC20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5" s="351"/>
      <c r="BE205" s="138"/>
      <c r="BF205" s="166"/>
      <c r="BG205" s="167"/>
      <c r="BH205" s="167"/>
      <c r="BI205" s="221"/>
      <c r="BJ205" s="153">
        <f>IF(SnapshotTable[[#This Row],[LP Qty]] &gt; 0, SnapshotTable[[#This Row],[LP Qty]] * SnapshotTable[[#This Row],[LP Book Price]] * 100,0)</f>
        <v>0</v>
      </c>
      <c r="BK205" s="136">
        <f>IF(SnapshotTable[[#This Row],[LP Premium]] &gt; 0, SnapshotTable[[#This Row],[LP Qty]] * SnapshotTable[[#This Row],[LP Strike Price]] * 100,0)</f>
        <v>0</v>
      </c>
      <c r="BL205" s="154"/>
      <c r="BM205" s="385" t="str">
        <f>IF(SnapshotTable[[#This Row],[LP Premium]] &gt; 0,SnapshotTable[[#This Row],[LP Exp Date]]-MAX(SnapshotTable[[#This Row],[LP Book Date]], SnapshotTable[[#This Row],[LP Fill Date]]),"")</f>
        <v/>
      </c>
      <c r="BN205" s="385" t="str">
        <f>IF(ISNUMBER( SnapshotTable[[#This Row],[LP Term]]), SnapshotTable[[#This Row],[LP Exp Date]] - MockToday,"")</f>
        <v/>
      </c>
      <c r="BO205" s="163" t="str">
        <f>IF(AND(SnapshotTable[[#This Row],[LP Exp Date]]&gt;0, SnapshotTable[[#This Row],[LP Strike Price]]&gt;0,SnapshotTable[[#This Row],[LP Qty]]&gt;0,SnapshotTable[[#This Row],[LP Book Date]]&gt;0,SnapshotTable[[#This Row],[LP Book Price]]&gt;0,SnapshotTable[[#This Row],[LP Fill Date]]=0),"Y","")</f>
        <v/>
      </c>
      <c r="BP205" s="31" t="str">
        <f>IF(AND(SnapshotTable[[#This Row],[LP No Fill]]&lt;&gt;"Y",SnapshotTable[[#This Row],[LP Contract Value]]&gt;0, SnapshotTable[[#This Row],[LP Qty]]&gt;0), SnapshotTable[[#This Row],[LP Contract Value]]*SnapshotTable[[#This Row],[LP Qty]]*100,"")</f>
        <v/>
      </c>
      <c r="BQ205" s="13"/>
      <c r="BR205" s="5" t="str">
        <f>IF(SnapshotTable[[#This Row],[SP Exp Date]]&lt;&gt;"",TRUNC(SnapshotTable[[#This Row],[Last Price]]),"")</f>
        <v/>
      </c>
      <c r="BS205" s="36"/>
      <c r="BT205" s="147"/>
      <c r="BU205" s="13"/>
      <c r="BV205" s="5"/>
      <c r="BW205" s="419" t="b">
        <f>AND(ISNUMBER(SnapshotTable[[#This Row],[SP Exp Date]]), ISNUMBER(SnapshotTable[[#This Row],[SP Strike Price]]), ISNUMBER(SnapshotTable[[#This Row],[SP Qty]]), ISNUMBER(SnapshotTable[[#This Row],[SP Book Date]]), ISNUMBER(SnapshotTable[[#This Row],[SP Book Price]]))</f>
        <v>0</v>
      </c>
      <c r="BX205" s="419" t="b">
        <f>AND(SnapshotTable[[#This Row],[SP Is Booked]], NOT(ISBLANK(SnapshotTable[[#This Row],[SP Fill Date]])))</f>
        <v>0</v>
      </c>
      <c r="BY205" s="33">
        <f>IF(SnapshotTable[[#This Row],[SP Is Booked]], SnapshotTable[[#This Row],[SP Qty]] * SnapshotTable[[#This Row],[SP Book Price]] * 100, 0)</f>
        <v>0</v>
      </c>
      <c r="BZ205" s="369"/>
      <c r="CA205" s="368">
        <f>SnapshotTable[[#This Row],[LP Qty]]</f>
        <v>0</v>
      </c>
      <c r="CB205" s="4" t="str">
        <f>IF(SnapshotTable[[#This Row],[SP Is Booked]], SnapshotTable[[#This Row],[SP Strike Price]] - SnapshotTable[[#This Row],[SP Book Price]], "")</f>
        <v/>
      </c>
      <c r="CC205" s="19" t="str">
        <f>IF(SnapshotTable[[#This Row],[SP Is Booked]],SnapshotTable[[#This Row],[SP Exp Date]]-MAX(SnapshotTable[[#This Row],[SP Book Date]], SnapshotTable[[#This Row],[SP Fill Date]]),"")</f>
        <v/>
      </c>
      <c r="CD205" s="7" t="str">
        <f>IF(SnapshotTable[[#This Row],[SP Is Booked]], SnapshotTable[[#This Row],[SP Book Price]]/SnapshotTable[[#This Row],[SP Strike Price]], "")</f>
        <v/>
      </c>
      <c r="CE205" s="7" t="str">
        <f>IF(ISNUMBER(SnapshotTable[[#This Row],[SP ROO Term]]),SnapshotTable[[#This Row],[SP ROO Term]]*(365/SnapshotTable[[#This Row],[SP Term]]),"")</f>
        <v/>
      </c>
      <c r="CF205" s="236">
        <f>SnapshotTable[[#This Row],[LP Strike Price]] * SnapshotTable[[#This Row],[LP Qty]] * 100</f>
        <v>0</v>
      </c>
      <c r="CG205" s="31" t="e">
        <f>IF(ISNUMBER(SnapshotTable[[#This Row],[SP Premium]]), (SnapshotTable[[#This Row],[SP Qty]] * SnapshotTable[[#This Row],[SP Strike Price]]* 100) - SnapshotTable[[#This Row],[LP Protection]], 0)</f>
        <v>#VALUE!</v>
      </c>
      <c r="CH205" s="7" t="str">
        <f>IF(ISNUMBER(SnapshotTable[[#This Row],[SP Break Even]]),-1 * (SnapshotTable[[#This Row],[SP Break Even]] - SnapshotTable[[#This Row],[Last Price]]) / SnapshotTable[[#This Row],[Last Price]], "")</f>
        <v/>
      </c>
      <c r="CI205" s="31">
        <f>IF(AND(ISNUMBER((SnapshotTable[[#This Row],[SP Potential Spend]])), SnapshotTable[[#This Row],[SP Strike Price]] &gt; SnapshotTable[[#This Row],[Last Price]], SnapshotTable[[#This Row],[SP Is Filled]]), SnapshotTable[[#This Row],[SP Potential Spend]] -  SnapshotTable[[#This Row],[LP Max Value]], 0)</f>
        <v>0</v>
      </c>
      <c r="CJ205" s="244"/>
      <c r="CK205" s="31" t="str">
        <f>IF(ISNUMBER(SnapshotTable[[#This Row],[SP Potential Spend]]),IF(ISNUMBER(SnapshotTable[[#This Row],[SP POW]]), SnapshotTable[[#This Row],[SP POW]] * SnapshotTable[[#This Row],[SP Potential Spend]], SnapshotTable[[#This Row],[SP Potential Spend]]), "")</f>
        <v/>
      </c>
      <c r="CL205" s="164" t="e">
        <f>IF(NOT(SnapshotTable[[#This Row],[SP Is Filled]]),(SnapshotTable[[#This Row],[SP Qty]] * SnapshotTable[[#This Row],[SP Strike Price]] * 100) - SnapshotTable[[#This Row],[LP Max Value]],"")</f>
        <v>#VALUE!</v>
      </c>
      <c r="CM205" s="31" t="str">
        <f>IF(SnapshotTable[[#This Row],[SP Actual Spend]]&lt;&gt;0, ((SnapshotTable[[#This Row],[SP Strike Price]]-SnapshotTable[[#This Row],[Last Price]]) *(SnapshotTable[[#This Row],[SP Qty]]*100) - SnapshotTable[[#This Row],[SP Premium]]) * - 1, "")</f>
        <v/>
      </c>
      <c r="CN205" s="154"/>
      <c r="CO205" s="369"/>
      <c r="CP205" s="4" t="str">
        <f>IF(SnapshotTable[[#This Row],[SP Is Filled]], btc_max_buyback_amount(SnapshotTable[[#This Row],[SP Fill Date]],SnapshotTable[[#This Row],[SP Exp Date]], SnapshotTable[[#This Row],[SP Book Price]]),"")</f>
        <v/>
      </c>
      <c r="CQ205" s="78"/>
      <c r="CR20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5" s="155" t="str">
        <f>IF(SnapshotTable[[#This Row],[SP Is Filled]], btc_next_cutoff_date(SnapshotTable[[#This Row],[SP Fill Date]],SnapshotTable[[#This Row],[SP Exp Date]]),"")</f>
        <v/>
      </c>
      <c r="CT205" s="235" t="str" cm="1">
        <f t="array" ref="CT205">IF(SnapshotTable[[#This Row],[SP Is Filled]], btc_should_buy_back(SnapshotTable[[#This Row],[SP Fill Date]], SnapshotTable[[#This Row],[SP Exp Date]], SnapshotTable[[#This Row],[SP Book Price]], SnapshotTable[[#This Row],[SP Current Ask]], MockToday, SnapshotTable[[#This Row],[SP Buyback Override]]),"")</f>
        <v/>
      </c>
      <c r="CU205" s="156"/>
      <c r="CV205" s="235"/>
      <c r="CW205" s="378" t="str">
        <f>IF(ISNUMBER( SnapshotTable[[#This Row],[SP Term]]), SnapshotTable[[#This Row],[SP Exp Date]] - MockToday,"")</f>
        <v/>
      </c>
      <c r="CX205" s="31" t="str">
        <f>IF(SnapshotTable[[#This Row],[SP Is Filled]],SnapshotTable[[#This Row],[SP Buyback Price to Use]] * 100 * SnapshotTable[[#This Row],[SP Qty]], "")</f>
        <v/>
      </c>
      <c r="CY205" s="4" t="str">
        <f>IF(ISNUMBER(SnapshotTable[[#This Row],[SP Strike Price]]), SnapshotTable[[#This Row],[SP Strike Price]] * (1 - SP_MaxLoss_StrikePct), "")</f>
        <v/>
      </c>
      <c r="CZ205" s="31" t="str">
        <f>IF(ISNUMBER(SnapshotTable[[#This Row],[SP Strike  Stop Per Share]]),SnapshotTable[[#This Row],[SP Premium]] - ((SnapshotTable[[#This Row],[SP Strike Price]]-SnapshotTable[[#This Row],[SP Strike  Stop Per Share]]) *(SnapshotTable[[#This Row],[SP Qty]] * 100)),"")</f>
        <v/>
      </c>
      <c r="DA205" s="4" t="str">
        <f>IF(AND(ISNUMBER(SnapshotTable[[#This Row],[SP Premium]]),SnapshotTable[[#This Row],[SP Premium]]&gt;0), SnapshotTable[[#This Row],[SP Book Price]] * (1 + SP_MaxLoss_OptionPct), "")</f>
        <v/>
      </c>
      <c r="DB205" s="31" t="str">
        <f>IF(ISNUMBER(SnapshotTable[[#This Row],[SP Option  Stop Contract]]),(SnapshotTable[[#This Row],[SP Option  Stop Contract]] *(SnapshotTable[[#This Row],[SP Qty]] * 100) - SnapshotTable[[#This Row],[SP Premium]]),"")</f>
        <v/>
      </c>
      <c r="DC205" s="4"/>
      <c r="DD205" s="4"/>
      <c r="DE205" s="4" t="str">
        <f>IF(AND(SnapshotTable[[#This Row],[SP Qty]]&gt;0, SnapshotTable[[#This Row],[SP Stop To Use]]&gt;0),SnapshotTable[[#This Row],[SP Premium]] - ( SnapshotTable[[#This Row],[SP Qty]] * SnapshotTable[[#This Row],[SP Stop To Use]] * 100), "")</f>
        <v/>
      </c>
      <c r="DF205" s="31" t="str">
        <f>IF(AND(SnapshotTable[[#This Row],[SP Qty]]&gt;0,SnapshotTable[[#This Row],[SP Current Ask]]&gt;0), SnapshotTable[[#This Row],[SP Qty]] * SnapshotTable[[#This Row],[SP Current Ask]] * -100, "")</f>
        <v/>
      </c>
      <c r="DG205" s="31" t="str">
        <f>IF(ISNUMBER((SnapshotTable[[#This Row],[SP Total Value]])), SnapshotTable[[#This Row],[SP Premium]] + SnapshotTable[[#This Row],[SP Total Value]], "")</f>
        <v/>
      </c>
      <c r="DH205" s="294" t="str">
        <f>IF(ISNUMBER((SnapshotTable[[#This Row],[SP Total Value]])), SnapshotTable[[#This Row],[SP Gain Loss]] / SnapshotTable[[#This Row],[SP Premium]], "")</f>
        <v/>
      </c>
      <c r="DI205" s="406"/>
      <c r="DJ205" s="138"/>
      <c r="DK205" s="148"/>
      <c r="DL205" s="147"/>
      <c r="DM205" s="147"/>
      <c r="DO205" s="31">
        <f>IF(SnapshotTable[[#This Row],[LC Symbol Count]]=1, SnapshotTable[[#This Row],[LC Qty]] * SnapshotTable[[#This Row],[LC Book Price]] * 100, 0)</f>
        <v>0</v>
      </c>
      <c r="DP205" s="289" t="str">
        <f>IF(AND(SnapshotTable[[#This Row],[LC Exp Date]]&gt;0, SnapshotTable[[#This Row],[LC Strike Price]]&gt;0,SnapshotTable[[#This Row],[LC Qty]]&gt;0,SnapshotTable[[#This Row],[LC Book Date]]&gt;0,SnapshotTable[[#This Row],[LC Book Price]]&gt;0,SnapshotTable[[#This Row],[LC Fill Date]]=0),"Y","")</f>
        <v/>
      </c>
      <c r="DQ205" s="386" t="str">
        <f>IF(SnapshotTable[[#This Row],[LC Premium]] &gt; 0,SnapshotTable[[#This Row],[LC Exp Date]]-MAX(SnapshotTable[[#This Row],[LC Book Date]], SnapshotTable[[#This Row],[LC Fill Date]]),"")</f>
        <v/>
      </c>
      <c r="DR205" s="386" t="str">
        <f>IF(ISNUMBER(SnapshotTable[[#This Row],[LC Term]]), SnapshotTable[[#This Row],[LC Exp Date]] - MockToday, "")</f>
        <v/>
      </c>
      <c r="DS205" s="234" t="str">
        <f>IF(SnapshotTable[[#This Row],[LC Premium]]&gt;0,SnapshotTable[[#This Row],[LC Strike Price]] + SnapshotTable[[#This Row],[LC Book Price]],"")</f>
        <v/>
      </c>
      <c r="DU205" s="9" t="str">
        <f>IF(AND(SnapshotTable[[#This Row],[LC Symbol Count]]&gt;0, SnapshotTable[[#This Row],[LC Contract Value]]&gt;0), SnapshotTable[[#This Row],[LC Contract Value]] * SnapshotTable[[#This Row],[LC Qty]] * 100, "")</f>
        <v/>
      </c>
      <c r="DV205" s="9" t="str">
        <f>IF(AND(ISNUMBER(SnapshotTable[[#This Row],[LC Total Value]]), SnapshotTable[[#This Row],[LC Not Filled]]&lt;&gt;"Y"), SnapshotTable[[#This Row],[LC Total Value]]-SnapshotTable[[#This Row],[LC Premium]],"")</f>
        <v/>
      </c>
      <c r="DW205" s="240" t="str">
        <f>IF(ISNUMBER(SnapshotTable[[#This Row],[LC Actual Gain Loss]]), SnapshotTable[[#This Row],[LC Actual Gain Loss]] / SnapshotTable[[#This Row],[LC Premium]],"")</f>
        <v/>
      </c>
      <c r="DX205" s="284" t="str">
        <f>IF(ISNUMBER(SnapshotTable[[#This Row],[LC Book Price]]),SnapshotTable[[#This Row],[LC Book Price]] * 1.5,"")</f>
        <v/>
      </c>
      <c r="DY205" s="265" t="str">
        <f>IF(SnapshotTable[[#This Row],[LC Premium]]&gt;0, SnapshotTable[[#This Row],[LC Next Target]] * SnapshotTable[[#This Row],[LC Qty]] * 100,"")</f>
        <v/>
      </c>
      <c r="DZ205" s="265" t="str">
        <f>IF(ISNUMBER(SnapshotTable[[#This Row],[LC Target Gross]]), SnapshotTable[[#This Row],[LC Target Gross]] - SnapshotTable[[#This Row],[LC Premium]], "")</f>
        <v/>
      </c>
      <c r="EA205" s="305" t="str">
        <f>IF(ISNUMBER(SnapshotTable[[#This Row],[LC Target Gain Loss]]), SnapshotTable[[#This Row],[LC Target Gain Loss]]/SnapshotTable[[#This Row],[LC Premium]], "")</f>
        <v/>
      </c>
      <c r="EB205" s="262"/>
      <c r="EC205" s="283" t="str">
        <f>IF(SnapshotTable[[#This Row],[LC Premium]]&gt;0, SnapshotTable[[#This Row],[LC Book Price]] * (1 - LC_StopLoss_Pct),"")</f>
        <v/>
      </c>
      <c r="ED205" s="284"/>
      <c r="EE205" s="283" t="str">
        <f>IF(ISNUMBER(SnapshotTable[[#This Row],[LC Contract Value]]),IF(ISNUMBER(SnapshotTable[[#This Row],[LC Stop Loss Override]]), SnapshotTable[[#This Row],[LC Stop Loss Override]],SnapshotTable[[#This Row],[LC Stop Loss Calc Target]]),"")</f>
        <v/>
      </c>
      <c r="EF205" s="31" t="str">
        <f>IF(ISNUMBER(SnapshotTable[[#This Row],[LC Stop  To Use]]), (SnapshotTable[[#This Row],[LC Stop  To Use]] * SnapshotTable[[#This Row],[LC Qty]] * 100),"")</f>
        <v/>
      </c>
      <c r="EG205" s="9" t="str">
        <f>IF(ISNUMBER(SnapshotTable[[#This Row],[LC Total Value]]),SnapshotTable[[#This Row],[LC Stop Loss Amount]] - SnapshotTable[[#This Row],[LC Premium]],"")</f>
        <v/>
      </c>
      <c r="EH205" s="9">
        <f>IF(ISNUMBER(SnapshotTable[[#This Row],[LC Premium]]), SnapshotTable[[#This Row],[LC Qty]] * 100 * SnapshotTable[[#This Row],[LC Strike Price]], "")</f>
        <v>0</v>
      </c>
      <c r="EI205" s="240" t="str">
        <f>IF(AND(ISNUMBER(SnapshotTable[[#This Row],[LC Total Value]]),SnapshotTable[[#This Row],[LC Total Value]]&gt;0),SnapshotTable[[#This Row],[LC Stop Gain Loss]]  / SnapshotTable[[#This Row],[LC Premium]],"")</f>
        <v/>
      </c>
      <c r="EJ205" s="35">
        <f>IF(ISNUMBER(SnapshotTable[[#This Row],[Equity Shares]]),TRUNC(SnapshotTable[[#This Row],[Equity Shares]] / 100),0) + SnapshotTable[[#This Row],[LC Qty]]</f>
        <v>0</v>
      </c>
      <c r="EK205" s="147"/>
      <c r="EL205" s="138" t="str">
        <f>IF(SnapshotTable[[#This Row],[SC Exp Date]]&lt;&gt;"",TRUNC(SnapshotTable[[#This Row],[Last Price]]),"")</f>
        <v/>
      </c>
      <c r="EM205" s="148"/>
      <c r="EN205" s="147"/>
      <c r="EO205" s="147"/>
      <c r="EP205" s="138"/>
      <c r="EQ205" s="419" t="b">
        <f>AND(ISNUMBER(SnapshotTable[[#This Row],[SC Exp Date]]), ISNUMBER(SnapshotTable[[#This Row],[SC Strike Price]]), ISNUMBER(SnapshotTable[[#This Row],[SC Qty]]), ISNUMBER(SnapshotTable[[#This Row],[SC Book Date]]), ISNUMBER(SnapshotTable[[#This Row],[SC Book Price]]))</f>
        <v>0</v>
      </c>
      <c r="ER205" s="419" t="b">
        <f>AND(SnapshotTable[[#This Row],[SC Is Booked]], NOT(ISBLANK(SnapshotTable[[#This Row],[SC Fill Date]])))</f>
        <v>0</v>
      </c>
      <c r="ES205" s="370"/>
      <c r="ET205" s="34" t="str">
        <f>IF(AND(ISNUMBER(SnapshotTable[[#This Row],[SC Exp Date]]), ISNUMBER(SnapshotTable[[#This Row],[SC Book Date]])), SnapshotTable[[#This Row],[SC Exp Date]] - MAX(SnapshotTable[[#This Row],[SC Book Date]], SnapshotTable[[#This Row],[SC Fill Date]]) + 1, "")</f>
        <v/>
      </c>
      <c r="EU205" s="34" t="str">
        <f>IF(ISNUMBER(SnapshotTable[[#This Row],[SC Term]]), SnapshotTable[[#This Row],[SC Exp Date]]- MockToday, "")</f>
        <v/>
      </c>
      <c r="EV205" s="31">
        <f>IF(SnapshotTable[[#This Row],[SC Is Booked]], SnapshotTable[[#This Row],[SC Qty]] * SnapshotTable[[#This Row],[SC Book Price]] * 100, 0)</f>
        <v>0</v>
      </c>
      <c r="EW205" s="4" t="str">
        <f>IF(AND(ISNUMBER(SnapshotTable[[#This Row],[Last Price]]), ISNUMBER( SnapshotTable[[#This Row],[SC Book Price]])), SnapshotTable[[#This Row],[Last Price]] - SnapshotTable[[#This Row],[SC Book Price]],"")</f>
        <v/>
      </c>
      <c r="EX205" s="234" t="str">
        <f>IF(SnapshotTable[[#This Row],[SC Is Booked]],IF(SnapshotTable[[#This Row],[SC Intrinsic Value]] &gt; 0, SnapshotTable[[#This Row],[SC Strike Price]], SnapshotTable[[#This Row],[Last Price]]), "")</f>
        <v/>
      </c>
      <c r="EY205" s="4">
        <f>IF(SnapshotTable[[#This Row],[SC Is Booked]], (MinimumPremiumRequired * SnapshotTable[[#This Row],[SC Basis]] * SnapshotTable[[#This Row],[SC Term]]), 0)</f>
        <v>0</v>
      </c>
      <c r="EZ205" s="283"/>
      <c r="FA205" s="218"/>
      <c r="FB205" s="370"/>
      <c r="FC205" s="4">
        <f>IF(SnapshotTable[[#This Row],[SC Is Filled]], btc_max_buyback_amount(SnapshotTable[[#This Row],[SC Fill Date]],SnapshotTable[[#This Row],[SC Exp Date]], SnapshotTable[[#This Row],[SC Book Price]]),0)</f>
        <v>0</v>
      </c>
      <c r="FD205" s="5"/>
      <c r="FE205" s="144" t="str">
        <f>IF(SnapshotTable[[#This Row],[SC Is Filled]], btc_next_cutoff_date(SnapshotTable[[#This Row],[SC Fill Date]],SnapshotTable[[#This Row],[SC Exp Date]]),"")</f>
        <v/>
      </c>
      <c r="FF205" s="4" t="str" cm="1">
        <f t="array" ref="FF205">IF(SnapshotTable[[#This Row],[SC Is Filled]], btc_should_buy_back(SnapshotTable[[#This Row],[SC Fill Date]], SnapshotTable[[#This Row],[SC Exp Date]], SnapshotTable[[#This Row],[SC Book Price]], SnapshotTable[[#This Row],[SC Current Ask]], MockToday, SnapshotTable[[#This Row],[SC Buyback Override]]),"")</f>
        <v/>
      </c>
      <c r="FG205" s="4">
        <f>IF(SnapshotTable[[#This Row],[SC Is Filled]], MAX(0,SnapshotTable[[#This Row],[Last Price]]  - SnapshotTable[[#This Row],[SC Strike Price]]), 0)</f>
        <v>0</v>
      </c>
      <c r="FH205" s="382">
        <f>IF(SnapshotTable[[#This Row],[SC Is Filled]], IF(ISNUMBER(SnapshotTable[[#This Row],[SC Current Ask]]), SnapshotTable[[#This Row],[SC Current Ask]], SnapshotTable[[#This Row],[SC Book Price]]) - SnapshotTable[[#This Row],[SC Intrinsic Value]], 0)</f>
        <v>0</v>
      </c>
      <c r="FI205" s="143"/>
      <c r="FJ205" s="32" t="str">
        <f>IF(SnapshotTable[[#This Row],[SC Is Filled]],100 * SnapshotTable[[#This Row],[SC Qty]] * IF(ISNUMBER(SnapshotTable[[#This Row],[SC Buyback Override]]), SnapshotTable[[#This Row],[SC Buyback Override]], SnapshotTable[[#This Row],[SC Current Ask]]), "")</f>
        <v/>
      </c>
      <c r="FK205" s="250" t="str">
        <f>IF(SnapshotTable[[#This Row],[SC Time Val]]&gt;0, SnapshotTable[[#This Row],[SC Time Val]] / SnapshotTable[[#This Row],[Last Price]],"")</f>
        <v/>
      </c>
      <c r="FL205" s="302" t="str">
        <f>IF(SnapshotTable[[#This Row],[SC Is Booked]], ((SnapshotTable[[#This Row],[Last Price]] -SnapshotTable[[#This Row],[SC Strike Price]]) / SnapshotTable[[#This Row],[Last Price]]) * -1, "")</f>
        <v/>
      </c>
      <c r="FM205" s="157" t="str">
        <f>IF(SnapshotTable[[#This Row],[SC Is Booked]],  (SnapshotTable[[#This Row],[SC Qty]] * 100 * SnapshotTable[[#This Row],[SC Strike Price]]) - SnapshotTable[[#This Row],[SC Current Ask]], "")</f>
        <v/>
      </c>
      <c r="FN205"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5" s="157" t="str">
        <f>IF(AND(ISNUMBER(SnapshotTable[[#This Row],[SC Exercise Gross]]), ISNUMBER(SnapshotTable[[#This Row],[Equity Basis Per Share]] )), SnapshotTable[[#This Row],[SC Exercise Gross]] - SnapshotTable[[#This Row],[Equity Basis Total]] +  SnapshotTable[[#This Row],[SC Premium]], "")</f>
        <v/>
      </c>
      <c r="FP205" s="5" t="str">
        <f>IF(ISNUMBER(SnapshotTable[[#This Row],[SC Exercise Gross]]), (SnapshotTable[[#This Row],[SC Exercise Gross]]) / (SnapshotTable[[#This Row],[SC Qty]] * 100), "")</f>
        <v/>
      </c>
      <c r="FQ205" s="27" t="str">
        <f>IF(SnapshotTable[[#This Row],[SC Is Booked]],SnapshotTable[[#This Row],[SC Time Val]] /SnapshotTable[[#This Row],[SC Basis]], "")</f>
        <v/>
      </c>
      <c r="FR205" s="27" t="str" cm="1">
        <f t="array" ref="FR205">IF(AND(ISNUMBER(SnapshotTable[[#This Row],[SC Term]]),ISNUMBER(SnapshotTable[[#This Row],[SC Simple ROO]])), EllmanAnnualize(SnapshotTable[[#This Row],[SC DTE]], SnapshotTable[[#This Row],[SC Simple ROO]] ),"")</f>
        <v/>
      </c>
      <c r="FS205" s="4" t="e">
        <f>IF(SnapshotTable[[#This Row],[SC Strike Price]] &gt; SnapshotTable[[#This Row],[Last Price]], SnapshotTable[[#This Row],[SC Strike Price]] - SnapshotTable[[#This Row],[Last Price]],0)</f>
        <v>#VALUE!</v>
      </c>
      <c r="FT205" s="27" t="e">
        <f>IF(AND(ISNUMBER(SnapshotTable[[#This Row],[SC Upside Potential]]), SnapshotTable[[#This Row],[SC Upside Potential]] &gt; 0),(SnapshotTable[[#This Row],[SC Upside Potential]]/ SnapshotTable[[#This Row],[ACB]]),"")</f>
        <v>#VALUE!</v>
      </c>
      <c r="FU205" s="333" t="str">
        <f>IF(SnapshotTable[[#This Row],[SC Intrinsic Value]] &gt; 0,SnapshotTable[[#This Row],[SC Intrinsic Value]],"")</f>
        <v/>
      </c>
      <c r="FV205" s="27" t="str">
        <f>IF(AND( ISNUMBER( SnapshotTable[[#This Row],[ACB]]),ISNUMBER(SnapshotTable[[#This Row],[SC Downside Protect]])),SnapshotTable[[#This Row],[SC Downside Protect]] / SnapshotTable[[#This Row],[ACB]],"")</f>
        <v/>
      </c>
      <c r="FW205" s="236" t="str">
        <f>IF(AND(ISNUMBER(SnapshotTable[[#This Row],[SC Simple ROO]]),SnapshotTable[[#This Row],[SC Simple ROO]] &gt; 0), SnapshotTable[[#This Row],[SC Premium]] + (SnapshotTable[[#This Row],[SC Qty]] * SnapshotTable[[#This Row],[SC Upside Potential]]), "")</f>
        <v/>
      </c>
      <c r="FX205" s="302" t="str" cm="1">
        <f t="array" ref="FX205">IF(ISNUMBER(SnapshotTable[[#This Row],[SC Max Dollars]]), annualize(SnapshotTable[[#This Row],[SC Term]],(SnapshotTable[[#This Row],[SC Max Dollars]]/SnapshotTable[[#This Row],[SC Basis]])),"")</f>
        <v/>
      </c>
      <c r="FY205" s="236" t="str">
        <f>IF(AND(SnapshotTable[[#This Row],[SC Qty]]&gt;0,SnapshotTable[[#This Row],[SC Current Ask]]&gt;0), SnapshotTable[[#This Row],[SC Qty]] * SnapshotTable[[#This Row],[SC Current Ask]] * -100, "")</f>
        <v/>
      </c>
      <c r="FZ205" s="235" t="str">
        <f>IF(ISNUMBER((SnapshotTable[[#This Row],[SC Current Value]])), SnapshotTable[[#This Row],[SC Premium]] + SnapshotTable[[#This Row],[SC Current Value]], "")</f>
        <v/>
      </c>
      <c r="GA205" s="294" t="str">
        <f>IFERROR( IF(ISNUMBER((SnapshotTable[[#This Row],[SC Current Value]])), SnapshotTable[[#This Row],[SC Gain Loss]] / SnapshotTable[[#This Row],[SC Premium]], ""), "")</f>
        <v/>
      </c>
      <c r="GB205" s="42">
        <f>SnapshotTable[[#This Row],[Equity Shares]] * SaleSharesToConsiderPercentage</f>
        <v>0</v>
      </c>
      <c r="GC205" s="40">
        <f>SnapshotTable[[#This Row],[Long Term Target]] * SellingPriceToConsiderBasedOnTargetPercentage</f>
        <v>28.024999999999999</v>
      </c>
      <c r="GD205" s="40">
        <f>SnapshotTable[[#This Row],[Last Price]] * (1+ SellingPriceToConsiderBasedOnTargetPercentage)</f>
        <v>64.486499999999992</v>
      </c>
      <c r="GE205" s="41"/>
      <c r="GF205" s="40"/>
      <c r="GG205" s="31">
        <f>SnapshotTable[[#This Row],[Booked Sale Shares]] * SnapshotTable[[#This Row],[Booked Sale Price]]</f>
        <v>0</v>
      </c>
      <c r="GH205" s="31" t="str">
        <f>IF(SnapshotTable[[#This Row],[Equity Basis Total]] &gt; 0, SnapshotTable[[#This Row],[Equity Basis Per Share]] * SnapshotTable[[#This Row],[Booked Sale Shares]], "")</f>
        <v/>
      </c>
      <c r="GI205" s="31">
        <f>IF(SnapshotTable[[#This Row],[Sale Proceeds]]&gt;0, SnapshotTable[[#This Row],[Sale Proceeds]] - SnapshotTable[[#This Row],[Sale Basis]], 0)</f>
        <v>0</v>
      </c>
      <c r="GJ205" s="158" t="str">
        <f>IF(SnapshotTable[[#This Row],[Sale G/L]]&gt;0, SnapshotTable[[#This Row],[Sale G/L]] / SnapshotTable[[#This Row],[Sale Basis]], IF(ISNUMBER(SnapshotTable[[#This Row],[SC Exercise P&amp;L (TAX)]]), SnapshotTable[[#This Row],[SC Exercise P&amp;L (TAX)]] / SnapshotTable[[#This Row],[SC Basis]], ""))</f>
        <v/>
      </c>
      <c r="GK205" s="158"/>
      <c r="GL205" s="159" t="str">
        <f>IF(AND(SnapshotTable[[#This Row],[LP Exp Date]]&gt;0,SnapshotTable[[#This Row],[LP Strike Price]]&gt;0), [1]!ToOptionSymbol(SnapshotTable[[#This Row],[Symbol]], SnapshotTable[[#This Row],[LP Strike Price]],SnapshotTable[[#This Row],[LP Exp Date]],1), "")</f>
        <v/>
      </c>
      <c r="GM205" s="30" t="str">
        <f>IF(LEN(SnapshotTable[[#This Row],[LP Symbol]])&gt;0, 1, "")</f>
        <v/>
      </c>
      <c r="GN205" s="43" t="str">
        <f>IF(AND(SnapshotTable[[#This Row],[SP Exp Date]]&gt;0,SnapshotTable[[#This Row],[SP Strike Price]]&gt;0), [1]!ToOptionSymbol(SnapshotTable[[#This Row],[Symbol]], SnapshotTable[[#This Row],[SP Strike Price]],SnapshotTable[[#This Row],[SP Exp Date]],1), "")</f>
        <v/>
      </c>
      <c r="GO205" s="30" t="str">
        <f>IF(LEN(SnapshotTable[[#This Row],[SP Symbol]])&gt;0, 1, "")</f>
        <v/>
      </c>
      <c r="GP205" s="159" t="str">
        <f>IF(AND(SnapshotTable[[#This Row],[LC Exp Date]]&gt;0,SnapshotTable[[#This Row],[LC Strike Price]]&gt;0), [1]!ToOptionSymbol(SnapshotTable[[#This Row],[Symbol]], SnapshotTable[[#This Row],[LC Strike Price]],SnapshotTable[[#This Row],[LC Exp Date]],0), "")</f>
        <v/>
      </c>
      <c r="GQ205" s="160" t="str">
        <f>IF(LEN(SnapshotTable[[#This Row],[LC Symbol]])&gt;0, 1, "")</f>
        <v/>
      </c>
      <c r="GR205" s="159" t="str">
        <f>IF(AND(SnapshotTable[[#This Row],[SC Exp Date]]&gt;0,SnapshotTable[[#This Row],[SC Strike Price]]&gt;0), [1]!ToOptionSymbol(SnapshotTable[[#This Row],[Symbol]], SnapshotTable[[#This Row],[SC Strike Price]],SnapshotTable[[#This Row],[SC Exp Date]],0), "")</f>
        <v/>
      </c>
      <c r="GS205" s="160" t="str">
        <f>IF(LEN(SnapshotTable[[#This Row],[SC Symbol]])&gt;0, 1, "")</f>
        <v/>
      </c>
      <c r="GT205" s="161" t="str">
        <f>IF(COUNT(SnapshotTable[[#This Row],[LP Symbol Count]],SnapshotTable[[#This Row],[SP Symbol Count]],SnapshotTable[[#This Row],[LC Symbol Count]],SnapshotTable[[#This Row],[SC Symbol Count]])&gt;0, "Y", "")</f>
        <v/>
      </c>
      <c r="GU20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5" s="231" t="e">
        <f>MAX(SnapshotTable[[#This Row],[Equity Basis Total]],SnapshotTable[[#This Row],[Equity Value]]) + (SnapshotTable[[#This Row],[SP Potential Spend]]- SnapshotTable[[#This Row],[SP Premium]] + SnapshotTable[[#This Row],[LP Premium]])+ (SnapshotTable[[#This Row],[LC Premium]] - SnapshotTable[[#This Row],[SC Premium]])</f>
        <v>#VALUE!</v>
      </c>
      <c r="GW205" s="139" t="e">
        <f>IF(AND(SnapshotTable[[#This Row],[Exposure]] &lt;&gt; 0),SnapshotTable[[#This Row],[Exposure]] / SnapshotTable[[#Totals],[Exposure]], "")</f>
        <v>#VALUE!</v>
      </c>
      <c r="HE205" s="268"/>
      <c r="HF205" s="268"/>
      <c r="HK205" s="1"/>
      <c r="HL205" s="1"/>
      <c r="HM205" s="1"/>
      <c r="HN205" s="1"/>
      <c r="HO205" s="1"/>
      <c r="HP205" s="1"/>
    </row>
    <row r="206" spans="2:224" ht="12.75" hidden="1" customHeight="1" x14ac:dyDescent="0.25">
      <c r="B206" s="12" t="s">
        <v>78</v>
      </c>
      <c r="C206" s="422">
        <v>140.84</v>
      </c>
      <c r="D206" s="208"/>
      <c r="E206" s="39">
        <f>SnapshotTable[[#This Row],[Last Price]]*(1 -CrashDiscount)</f>
        <v>119.714</v>
      </c>
      <c r="F206" s="26" t="s">
        <v>77</v>
      </c>
      <c r="G206" s="26" t="s">
        <v>4</v>
      </c>
      <c r="H206" s="149"/>
      <c r="I206" s="194">
        <v>44770.677083333336</v>
      </c>
      <c r="J206" s="195">
        <v>44770.677083333336</v>
      </c>
      <c r="K206" s="196"/>
      <c r="L206" s="326"/>
      <c r="M206" s="140"/>
      <c r="N206" s="140"/>
      <c r="O206" s="140"/>
      <c r="P206" s="22"/>
      <c r="Q206" s="25"/>
      <c r="R206" s="4" t="str">
        <f>IF(SnapshotTable[[#This Row],[Equity Basis Total]] &gt; 0, SnapshotTable[[#This Row],[Equity Basis Total]] / SnapshotTable[[#This Row],[Equity Shares]], "")</f>
        <v/>
      </c>
      <c r="S206" s="269">
        <f>SnapshotTable[[#This Row],[Last Price]] * SnapshotTable[[#This Row],[Equity Shares]]</f>
        <v>0</v>
      </c>
      <c r="T206" s="269">
        <f>SnapshotTable[[#This Row],[Equity Value]] - SnapshotTable[[#This Row],[Equity Basis Total]]</f>
        <v>0</v>
      </c>
      <c r="U206" s="270" t="str">
        <f>IF(SnapshotTable[[#This Row],[Equity Basis Total]] &gt; 0, SnapshotTable[[#This Row],[Equity G/L]] / SnapshotTable[[#This Row],[Equity Basis Total]], "")</f>
        <v/>
      </c>
      <c r="V206" s="268"/>
      <c r="W206" s="268"/>
      <c r="X206" s="4" t="str">
        <f>IF(AND(ISNUMBER(SnapshotTable[[#This Row],[Equity Basis Per Share]]),ISNUMBER(SnapshotTable[[#This Row],[Equity Target]])),SnapshotTable[[#This Row],[Equity Target]]-SnapshotTable[[#This Row],[Equity Basis Per Share]],"")</f>
        <v/>
      </c>
      <c r="Y206" s="4" t="str">
        <f>IF(AND(ISNUMBER(SnapshotTable[[#This Row],[Equity Basis Per Share]]),ISNUMBER(SnapshotTable[[#This Row],[Equity Stop Loss]])),SnapshotTable[[#This Row],[Equity Stop Loss]]-SnapshotTable[[#This Row],[Equity Basis Per Share]],"")</f>
        <v/>
      </c>
      <c r="Z206" s="275" t="str">
        <f>IFERROR( TEXT(SnapshotTable[[#This Row],[Equity Max Gain Per Share]] /ABS( SnapshotTable[[#This Row],[Equity Max Loss Per Share]]),"0.0 " ) &amp; " : 1", "")</f>
        <v/>
      </c>
      <c r="AA206" s="31" t="str">
        <f>IF(ISNUMBER(SnapshotTable[[#This Row],[Equity Max Gain Per Share]]),SnapshotTable[[#This Row],[Equity Max Gain Per Share]] * SnapshotTable[[#This Row],[Equity Shares]],"")</f>
        <v/>
      </c>
      <c r="AB206" s="31" t="str">
        <f>IF(ISNUMBER(SnapshotTable[[#This Row],[Equity Max Loss Per Share]]),SnapshotTable[[#This Row],[Equity Max Loss Per Share]] * SnapshotTable[[#This Row],[Equity Shares]],"")</f>
        <v/>
      </c>
      <c r="AC206" s="150">
        <v>0.84</v>
      </c>
      <c r="AD206" s="151">
        <v>42370</v>
      </c>
      <c r="AE206" s="31">
        <f>(SnapshotTable[[#This Row],[Annual Dividend Per Share]] / 4) * SnapshotTable[[#This Row],[Equity Shares]]</f>
        <v>0</v>
      </c>
      <c r="AF206" s="31">
        <f>SnapshotTable[[#This Row],[Quarterly Div $]] * 4</f>
        <v>0</v>
      </c>
      <c r="AG206" s="7">
        <f>IF(SnapshotTable[[#This Row],[Annual Dividend Per Share]]&gt;0, SnapshotTable[[#This Row],[Annual Dividend Per Share]]  / SnapshotTable[[#This Row],[Last Price]], 0)</f>
        <v>5.9642147117296221E-3</v>
      </c>
      <c r="AH206" s="151">
        <v>42242</v>
      </c>
      <c r="AI206" s="5"/>
      <c r="AJ206" s="138">
        <v>54.5</v>
      </c>
      <c r="AK206" s="152" t="str">
        <f>IF(ISNUMBER( SnapshotTable[[#This Row],[EBF Target]]),(SnapshotTable[[#This Row],[EBF Target]] - SnapshotTable[[#This Row],[Last Price]]) / SnapshotTable[[#This Row],[Last Price]], "")</f>
        <v/>
      </c>
      <c r="AL206" s="152" t="str">
        <f>IF(AND(SnapshotTable[[#This Row],[Equity Basis Total]] &gt; 0,ISNUMBER( SnapshotTable[[#This Row],[Long Term Target]])), SnapshotTable[[#This Row],[From Basis $]] / SnapshotTable[[#This Row],[Equity Basis Total]], "")</f>
        <v/>
      </c>
      <c r="AM206" s="9">
        <f>IF( AND(SnapshotTable[[#This Row],[Equity Shares]] &gt;0,ISNUMBER( SnapshotTable[[#This Row],[Long Term Target]])),(SnapshotTable[[#This Row],[Equity Shares]] * SnapshotTable[[#This Row],[Long Term Target]]) - SnapshotTable[[#This Row],[Equity Basis Total]],0)</f>
        <v>0</v>
      </c>
      <c r="AN206" s="9">
        <f>IF( AND(SnapshotTable[[#This Row],[Equity Shares]] &gt;0,ISNUMBER( SnapshotTable[[#This Row],[Long Term Target]])),(SnapshotTable[[#This Row],[Equity Shares]]*SnapshotTable[[#This Row],[Long Term Target]]) - SnapshotTable[[#This Row],[Equity Value]],0)</f>
        <v>0</v>
      </c>
      <c r="AO206" s="152">
        <f>IF(AND(ISNUMBER( SnapshotTable[[#This Row],[Long Term Target]]), ISNUMBER(SnapshotTable[[#This Row],[Last Price]])),(SnapshotTable[[#This Row],[Long Term Target]] - SnapshotTable[[#This Row],[Last Price]]) / SnapshotTable[[#This Row],[Last Price]], "")</f>
        <v>-0.61303606929849475</v>
      </c>
      <c r="AP206" s="5"/>
      <c r="AQ206" s="38"/>
      <c r="AR206" s="5"/>
      <c r="AS206" s="38"/>
      <c r="AT206" s="146"/>
      <c r="AU206" s="187" t="str">
        <f>IF(OR(SnapshotTable[[#This Row],[LP No Fill]]="Y",SnapshotTable[[#This Row],[SP Is Filled]],SnapshotTable[[#This Row],[LC Not Filled]]="Y",SnapshotTable[[#This Row],[SC Is Filled]]),"Y","")</f>
        <v/>
      </c>
      <c r="AV206" s="219"/>
      <c r="AW206" s="225"/>
      <c r="AX206" s="220"/>
      <c r="AY206" s="219" t="str">
        <f>IF(SnapshotTable[[#This Row],[Implied Move]]&gt;0, SnapshotTable[[#This Row],[Last Price]]-SnapshotTable[[#This Row],[Implied Move]],"")</f>
        <v/>
      </c>
      <c r="AZ206" s="219" t="str">
        <f>IF(SnapshotTable[[#This Row],[Implied Move]]&gt;0, SnapshotTable[[#This Row],[Last Price]] + SnapshotTable[[#This Row],[Implied Move]],"")</f>
        <v/>
      </c>
      <c r="BA206" s="331"/>
      <c r="BB206" s="347"/>
      <c r="BC20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6" s="351"/>
      <c r="BE206" s="5"/>
      <c r="BF206" s="14"/>
      <c r="BG206" s="13"/>
      <c r="BH206" s="13"/>
      <c r="BI206" s="5"/>
      <c r="BJ206" s="136">
        <f>IF(SnapshotTable[[#This Row],[LP Qty]] &gt; 0, SnapshotTable[[#This Row],[LP Qty]] * SnapshotTable[[#This Row],[LP Book Price]] * 100,0)</f>
        <v>0</v>
      </c>
      <c r="BK206" s="136">
        <f>IF(SnapshotTable[[#This Row],[LP Premium]] &gt; 0, SnapshotTable[[#This Row],[LP Qty]] * SnapshotTable[[#This Row],[LP Strike Price]] * 100,0)</f>
        <v>0</v>
      </c>
      <c r="BL206" s="154"/>
      <c r="BM206" s="385" t="str">
        <f>IF(SnapshotTable[[#This Row],[LP Premium]] &gt; 0,SnapshotTable[[#This Row],[LP Exp Date]]-MAX(SnapshotTable[[#This Row],[LP Book Date]], SnapshotTable[[#This Row],[LP Fill Date]]),"")</f>
        <v/>
      </c>
      <c r="BN206" s="385" t="str">
        <f>IF(ISNUMBER( SnapshotTable[[#This Row],[LP Term]]), SnapshotTable[[#This Row],[LP Exp Date]] - MockToday,"")</f>
        <v/>
      </c>
      <c r="BO206" s="163" t="str">
        <f>IF(AND(SnapshotTable[[#This Row],[LP Exp Date]]&gt;0, SnapshotTable[[#This Row],[LP Strike Price]]&gt;0,SnapshotTable[[#This Row],[LP Qty]]&gt;0,SnapshotTable[[#This Row],[LP Book Date]]&gt;0,SnapshotTable[[#This Row],[LP Book Price]]&gt;0,SnapshotTable[[#This Row],[LP Fill Date]]=0),"Y","")</f>
        <v/>
      </c>
      <c r="BP206" s="31" t="str">
        <f>IF(AND(SnapshotTable[[#This Row],[LP No Fill]]&lt;&gt;"Y",SnapshotTable[[#This Row],[LP Contract Value]]&gt;0, SnapshotTable[[#This Row],[LP Qty]]&gt;0), SnapshotTable[[#This Row],[LP Contract Value]]*SnapshotTable[[#This Row],[LP Qty]]*100,"")</f>
        <v/>
      </c>
      <c r="BQ206" s="13"/>
      <c r="BR206" s="5" t="str">
        <f>IF(SnapshotTable[[#This Row],[SP Exp Date]]&lt;&gt;"",TRUNC(SnapshotTable[[#This Row],[Last Price]]),"")</f>
        <v/>
      </c>
      <c r="BS206" s="36"/>
      <c r="BT206" s="147"/>
      <c r="BU206" s="13"/>
      <c r="BV206" s="5"/>
      <c r="BW206" s="419" t="b">
        <f>AND(ISNUMBER(SnapshotTable[[#This Row],[SP Exp Date]]), ISNUMBER(SnapshotTable[[#This Row],[SP Strike Price]]), ISNUMBER(SnapshotTable[[#This Row],[SP Qty]]), ISNUMBER(SnapshotTable[[#This Row],[SP Book Date]]), ISNUMBER(SnapshotTable[[#This Row],[SP Book Price]]))</f>
        <v>0</v>
      </c>
      <c r="BX206" s="419" t="b">
        <f>AND(SnapshotTable[[#This Row],[SP Is Booked]], NOT(ISBLANK(SnapshotTable[[#This Row],[SP Fill Date]])))</f>
        <v>0</v>
      </c>
      <c r="BY206" s="33">
        <f>IF(SnapshotTable[[#This Row],[SP Is Booked]], SnapshotTable[[#This Row],[SP Qty]] * SnapshotTable[[#This Row],[SP Book Price]] * 100, 0)</f>
        <v>0</v>
      </c>
      <c r="BZ206" s="369"/>
      <c r="CA206" s="368">
        <f>SnapshotTable[[#This Row],[LP Qty]]</f>
        <v>0</v>
      </c>
      <c r="CB206" s="4" t="str">
        <f>IF(SnapshotTable[[#This Row],[SP Is Booked]], SnapshotTable[[#This Row],[SP Strike Price]] - SnapshotTable[[#This Row],[SP Book Price]], "")</f>
        <v/>
      </c>
      <c r="CC206" s="19" t="str">
        <f>IF(SnapshotTable[[#This Row],[SP Is Booked]],SnapshotTable[[#This Row],[SP Exp Date]]-MAX(SnapshotTable[[#This Row],[SP Book Date]], SnapshotTable[[#This Row],[SP Fill Date]]),"")</f>
        <v/>
      </c>
      <c r="CD206" s="7" t="str">
        <f>IF(SnapshotTable[[#This Row],[SP Is Booked]], SnapshotTable[[#This Row],[SP Book Price]]/SnapshotTable[[#This Row],[SP Strike Price]], "")</f>
        <v/>
      </c>
      <c r="CE206" s="7" t="str">
        <f>IF(ISNUMBER(SnapshotTable[[#This Row],[SP ROO Term]]),SnapshotTable[[#This Row],[SP ROO Term]]*(365/SnapshotTable[[#This Row],[SP Term]]),"")</f>
        <v/>
      </c>
      <c r="CF206" s="236">
        <f>SnapshotTable[[#This Row],[LP Strike Price]] * SnapshotTable[[#This Row],[LP Qty]] * 100</f>
        <v>0</v>
      </c>
      <c r="CG206" s="31" t="e">
        <f>IF(ISNUMBER(SnapshotTable[[#This Row],[SP Premium]]), (SnapshotTable[[#This Row],[SP Qty]] * SnapshotTable[[#This Row],[SP Strike Price]]* 100) - SnapshotTable[[#This Row],[LP Protection]], 0)</f>
        <v>#VALUE!</v>
      </c>
      <c r="CH206" s="7" t="str">
        <f>IF(ISNUMBER(SnapshotTable[[#This Row],[SP Break Even]]),-1 * (SnapshotTable[[#This Row],[SP Break Even]] - SnapshotTable[[#This Row],[Last Price]]) / SnapshotTable[[#This Row],[Last Price]], "")</f>
        <v/>
      </c>
      <c r="CI206" s="31">
        <f>IF(AND(ISNUMBER((SnapshotTable[[#This Row],[SP Potential Spend]])), SnapshotTable[[#This Row],[SP Strike Price]] &gt; SnapshotTable[[#This Row],[Last Price]], SnapshotTable[[#This Row],[SP Is Filled]]), SnapshotTable[[#This Row],[SP Potential Spend]] -  SnapshotTable[[#This Row],[LP Max Value]], 0)</f>
        <v>0</v>
      </c>
      <c r="CJ206" s="244"/>
      <c r="CK206" s="31" t="str">
        <f>IF(ISNUMBER(SnapshotTable[[#This Row],[SP Potential Spend]]),IF(ISNUMBER(SnapshotTable[[#This Row],[SP POW]]), SnapshotTable[[#This Row],[SP POW]] * SnapshotTable[[#This Row],[SP Potential Spend]], SnapshotTable[[#This Row],[SP Potential Spend]]), "")</f>
        <v/>
      </c>
      <c r="CL206" s="164" t="e">
        <f>IF(NOT(SnapshotTable[[#This Row],[SP Is Filled]]),(SnapshotTable[[#This Row],[SP Qty]] * SnapshotTable[[#This Row],[SP Strike Price]] * 100) - SnapshotTable[[#This Row],[LP Max Value]],"")</f>
        <v>#VALUE!</v>
      </c>
      <c r="CM206" s="31" t="str">
        <f>IF(SnapshotTable[[#This Row],[SP Actual Spend]]&lt;&gt;0, ((SnapshotTable[[#This Row],[SP Strike Price]]-SnapshotTable[[#This Row],[Last Price]]) *(SnapshotTable[[#This Row],[SP Qty]]*100) - SnapshotTable[[#This Row],[SP Premium]]) * - 1, "")</f>
        <v/>
      </c>
      <c r="CN206" s="78"/>
      <c r="CO206" s="369"/>
      <c r="CP206" s="4" t="str">
        <f>IF(SnapshotTable[[#This Row],[SP Is Filled]], btc_max_buyback_amount(SnapshotTable[[#This Row],[SP Fill Date]],SnapshotTable[[#This Row],[SP Exp Date]], SnapshotTable[[#This Row],[SP Book Price]]),"")</f>
        <v/>
      </c>
      <c r="CQ206" s="78"/>
      <c r="CR20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6" s="155" t="str">
        <f>IF(SnapshotTable[[#This Row],[SP Is Filled]], btc_next_cutoff_date(SnapshotTable[[#This Row],[SP Fill Date]],SnapshotTable[[#This Row],[SP Exp Date]]),"")</f>
        <v/>
      </c>
      <c r="CT206" s="235" t="str" cm="1">
        <f t="array" ref="CT206">IF(SnapshotTable[[#This Row],[SP Is Filled]], btc_should_buy_back(SnapshotTable[[#This Row],[SP Fill Date]], SnapshotTable[[#This Row],[SP Exp Date]], SnapshotTable[[#This Row],[SP Book Price]], SnapshotTable[[#This Row],[SP Current Ask]], MockToday, SnapshotTable[[#This Row],[SP Buyback Override]]),"")</f>
        <v/>
      </c>
      <c r="CU206" s="143"/>
      <c r="CV206" s="235"/>
      <c r="CW206" s="378" t="str">
        <f>IF(ISNUMBER( SnapshotTable[[#This Row],[SP Term]]), SnapshotTable[[#This Row],[SP Exp Date]] - MockToday,"")</f>
        <v/>
      </c>
      <c r="CX206" s="31" t="str">
        <f>IF(SnapshotTable[[#This Row],[SP Is Filled]],SnapshotTable[[#This Row],[SP Buyback Price to Use]] * 100 * SnapshotTable[[#This Row],[SP Qty]], "")</f>
        <v/>
      </c>
      <c r="CY206" s="4" t="str">
        <f>IF(ISNUMBER(SnapshotTable[[#This Row],[SP Strike Price]]), SnapshotTable[[#This Row],[SP Strike Price]] * (1 - SP_MaxLoss_StrikePct), "")</f>
        <v/>
      </c>
      <c r="CZ206" s="31" t="str">
        <f>IF(ISNUMBER(SnapshotTable[[#This Row],[SP Strike  Stop Per Share]]),SnapshotTable[[#This Row],[SP Premium]] - ((SnapshotTable[[#This Row],[SP Strike Price]]-SnapshotTable[[#This Row],[SP Strike  Stop Per Share]]) *(SnapshotTable[[#This Row],[SP Qty]] * 100)),"")</f>
        <v/>
      </c>
      <c r="DA206" s="4" t="str">
        <f>IF(AND(ISNUMBER(SnapshotTable[[#This Row],[SP Premium]]),SnapshotTable[[#This Row],[SP Premium]]&gt;0), SnapshotTable[[#This Row],[SP Book Price]] * (1 + SP_MaxLoss_OptionPct), "")</f>
        <v/>
      </c>
      <c r="DB206" s="31" t="str">
        <f>IF(ISNUMBER(SnapshotTable[[#This Row],[SP Option  Stop Contract]]),(SnapshotTable[[#This Row],[SP Option  Stop Contract]] *(SnapshotTable[[#This Row],[SP Qty]] * 100) - SnapshotTable[[#This Row],[SP Premium]]),"")</f>
        <v/>
      </c>
      <c r="DC206" s="4"/>
      <c r="DD206" s="4"/>
      <c r="DE206" s="4" t="str">
        <f>IF(AND(SnapshotTable[[#This Row],[SP Qty]]&gt;0, SnapshotTable[[#This Row],[SP Stop To Use]]&gt;0),SnapshotTable[[#This Row],[SP Premium]] - ( SnapshotTable[[#This Row],[SP Qty]] * SnapshotTable[[#This Row],[SP Stop To Use]] * 100), "")</f>
        <v/>
      </c>
      <c r="DF206" s="31" t="str">
        <f>IF(AND(SnapshotTable[[#This Row],[SP Qty]]&gt;0,SnapshotTable[[#This Row],[SP Current Ask]]&gt;0), SnapshotTable[[#This Row],[SP Qty]] * SnapshotTable[[#This Row],[SP Current Ask]] * -100, "")</f>
        <v/>
      </c>
      <c r="DG206" s="31" t="str">
        <f>IF(ISNUMBER((SnapshotTable[[#This Row],[SP Total Value]])), SnapshotTable[[#This Row],[SP Premium]] + SnapshotTable[[#This Row],[SP Total Value]], "")</f>
        <v/>
      </c>
      <c r="DH206" s="294" t="str">
        <f>IF(ISNUMBER((SnapshotTable[[#This Row],[SP Total Value]])), SnapshotTable[[#This Row],[SP Gain Loss]] / SnapshotTable[[#This Row],[SP Premium]], "")</f>
        <v/>
      </c>
      <c r="DI206" s="406"/>
      <c r="DJ206" s="138"/>
      <c r="DK206" s="148"/>
      <c r="DL206" s="13"/>
      <c r="DM206" s="13"/>
      <c r="DO206" s="31">
        <f>IF(SnapshotTable[[#This Row],[LC Symbol Count]]=1, SnapshotTable[[#This Row],[LC Qty]] * SnapshotTable[[#This Row],[LC Book Price]] * 100, 0)</f>
        <v>0</v>
      </c>
      <c r="DP206" s="163" t="str">
        <f>IF(AND(SnapshotTable[[#This Row],[LC Exp Date]]&gt;0, SnapshotTable[[#This Row],[LC Strike Price]]&gt;0,SnapshotTable[[#This Row],[LC Qty]]&gt;0,SnapshotTable[[#This Row],[LC Book Date]]&gt;0,SnapshotTable[[#This Row],[LC Book Price]]&gt;0,SnapshotTable[[#This Row],[LC Fill Date]]=0),"Y","")</f>
        <v/>
      </c>
      <c r="DQ206" s="386" t="str">
        <f>IF(SnapshotTable[[#This Row],[LC Premium]] &gt; 0,SnapshotTable[[#This Row],[LC Exp Date]]-MAX(SnapshotTable[[#This Row],[LC Book Date]], SnapshotTable[[#This Row],[LC Fill Date]]),"")</f>
        <v/>
      </c>
      <c r="DR206" s="386" t="str">
        <f>IF(ISNUMBER(SnapshotTable[[#This Row],[LC Term]]), SnapshotTable[[#This Row],[LC Exp Date]] - MockToday, "")</f>
        <v/>
      </c>
      <c r="DS206" s="234" t="str">
        <f>IF(SnapshotTable[[#This Row],[LC Premium]]&gt;0,SnapshotTable[[#This Row],[LC Strike Price]] + SnapshotTable[[#This Row],[LC Book Price]],"")</f>
        <v/>
      </c>
      <c r="DU206" s="9" t="str">
        <f>IF(AND(SnapshotTable[[#This Row],[LC Symbol Count]]&gt;0, SnapshotTable[[#This Row],[LC Contract Value]]&gt;0), SnapshotTable[[#This Row],[LC Contract Value]] * SnapshotTable[[#This Row],[LC Qty]] * 100, "")</f>
        <v/>
      </c>
      <c r="DV206" s="9" t="str">
        <f>IF(AND(ISNUMBER(SnapshotTable[[#This Row],[LC Total Value]]), SnapshotTable[[#This Row],[LC Not Filled]]&lt;&gt;"Y"), SnapshotTable[[#This Row],[LC Total Value]]-SnapshotTable[[#This Row],[LC Premium]],"")</f>
        <v/>
      </c>
      <c r="DW206" s="240" t="str">
        <f>IF(ISNUMBER(SnapshotTable[[#This Row],[LC Actual Gain Loss]]), SnapshotTable[[#This Row],[LC Actual Gain Loss]] / SnapshotTable[[#This Row],[LC Premium]],"")</f>
        <v/>
      </c>
      <c r="DX206" s="284" t="str">
        <f>IF(ISNUMBER(SnapshotTable[[#This Row],[LC Book Price]]),SnapshotTable[[#This Row],[LC Book Price]] * 1.5,"")</f>
        <v/>
      </c>
      <c r="DY206" s="265" t="str">
        <f>IF(SnapshotTable[[#This Row],[LC Premium]]&gt;0, SnapshotTable[[#This Row],[LC Next Target]] * SnapshotTable[[#This Row],[LC Qty]] * 100,"")</f>
        <v/>
      </c>
      <c r="DZ206" s="265" t="str">
        <f>IF(ISNUMBER(SnapshotTable[[#This Row],[LC Target Gross]]), SnapshotTable[[#This Row],[LC Target Gross]] - SnapshotTable[[#This Row],[LC Premium]], "")</f>
        <v/>
      </c>
      <c r="EA206" s="305" t="str">
        <f>IF(ISNUMBER(SnapshotTable[[#This Row],[LC Target Gain Loss]]), SnapshotTable[[#This Row],[LC Target Gain Loss]]/SnapshotTable[[#This Row],[LC Premium]], "")</f>
        <v/>
      </c>
      <c r="EB206" s="262"/>
      <c r="EC206" s="283" t="str">
        <f>IF(SnapshotTable[[#This Row],[LC Premium]]&gt;0, SnapshotTable[[#This Row],[LC Book Price]] * (1 - LC_StopLoss_Pct),"")</f>
        <v/>
      </c>
      <c r="ED206" s="284"/>
      <c r="EE206" s="283" t="str">
        <f>IF(ISNUMBER(SnapshotTable[[#This Row],[LC Contract Value]]),IF(ISNUMBER(SnapshotTable[[#This Row],[LC Stop Loss Override]]), SnapshotTable[[#This Row],[LC Stop Loss Override]],SnapshotTable[[#This Row],[LC Stop Loss Calc Target]]),"")</f>
        <v/>
      </c>
      <c r="EF206" s="31" t="str">
        <f>IF(ISNUMBER(SnapshotTable[[#This Row],[LC Stop  To Use]]), (SnapshotTable[[#This Row],[LC Stop  To Use]] * SnapshotTable[[#This Row],[LC Qty]] * 100),"")</f>
        <v/>
      </c>
      <c r="EG206" s="9" t="str">
        <f>IF(ISNUMBER(SnapshotTable[[#This Row],[LC Total Value]]),SnapshotTable[[#This Row],[LC Stop Loss Amount]] - SnapshotTable[[#This Row],[LC Premium]],"")</f>
        <v/>
      </c>
      <c r="EH206" s="9">
        <f>IF(ISNUMBER(SnapshotTable[[#This Row],[LC Premium]]), SnapshotTable[[#This Row],[LC Qty]] * 100 * SnapshotTable[[#This Row],[LC Strike Price]], "")</f>
        <v>0</v>
      </c>
      <c r="EI206" s="240" t="str">
        <f>IF(AND(ISNUMBER(SnapshotTable[[#This Row],[LC Total Value]]),SnapshotTable[[#This Row],[LC Total Value]]&gt;0),SnapshotTable[[#This Row],[LC Stop Gain Loss]]  / SnapshotTable[[#This Row],[LC Premium]],"")</f>
        <v/>
      </c>
      <c r="EJ206" s="35">
        <f>IF(ISNUMBER(SnapshotTable[[#This Row],[Equity Shares]]),TRUNC(SnapshotTable[[#This Row],[Equity Shares]] / 100),0) + SnapshotTable[[#This Row],[LC Qty]]</f>
        <v>0</v>
      </c>
      <c r="EK206" s="147"/>
      <c r="EL206" s="138" t="str">
        <f>IF(SnapshotTable[[#This Row],[SC Exp Date]]&lt;&gt;"",TRUNC(SnapshotTable[[#This Row],[Last Price]]),"")</f>
        <v/>
      </c>
      <c r="EM206" s="148"/>
      <c r="EN206" s="147"/>
      <c r="EO206" s="147"/>
      <c r="EP206" s="138"/>
      <c r="EQ206" s="419" t="b">
        <f>AND(ISNUMBER(SnapshotTable[[#This Row],[SC Exp Date]]), ISNUMBER(SnapshotTable[[#This Row],[SC Strike Price]]), ISNUMBER(SnapshotTable[[#This Row],[SC Qty]]), ISNUMBER(SnapshotTable[[#This Row],[SC Book Date]]), ISNUMBER(SnapshotTable[[#This Row],[SC Book Price]]))</f>
        <v>0</v>
      </c>
      <c r="ER206" s="419" t="b">
        <f>AND(SnapshotTable[[#This Row],[SC Is Booked]], NOT(ISBLANK(SnapshotTable[[#This Row],[SC Fill Date]])))</f>
        <v>0</v>
      </c>
      <c r="ES206" s="370"/>
      <c r="ET206" s="34" t="str">
        <f>IF(AND(ISNUMBER(SnapshotTable[[#This Row],[SC Exp Date]]), ISNUMBER(SnapshotTable[[#This Row],[SC Book Date]])), SnapshotTable[[#This Row],[SC Exp Date]] - MAX(SnapshotTable[[#This Row],[SC Book Date]], SnapshotTable[[#This Row],[SC Fill Date]]) + 1, "")</f>
        <v/>
      </c>
      <c r="EU206" s="34" t="str">
        <f>IF(ISNUMBER(SnapshotTable[[#This Row],[SC Term]]), SnapshotTable[[#This Row],[SC Exp Date]]- MockToday, "")</f>
        <v/>
      </c>
      <c r="EV206" s="31">
        <f>IF(SnapshotTable[[#This Row],[SC Is Booked]], SnapshotTable[[#This Row],[SC Qty]] * SnapshotTable[[#This Row],[SC Book Price]] * 100, 0)</f>
        <v>0</v>
      </c>
      <c r="EW206" s="4" t="str">
        <f>IF(AND(ISNUMBER(SnapshotTable[[#This Row],[Last Price]]), ISNUMBER( SnapshotTable[[#This Row],[SC Book Price]])), SnapshotTable[[#This Row],[Last Price]] - SnapshotTable[[#This Row],[SC Book Price]],"")</f>
        <v/>
      </c>
      <c r="EX206" s="234" t="str">
        <f>IF(SnapshotTable[[#This Row],[SC Is Booked]],IF(SnapshotTable[[#This Row],[SC Intrinsic Value]] &gt; 0, SnapshotTable[[#This Row],[SC Strike Price]], SnapshotTable[[#This Row],[Last Price]]), "")</f>
        <v/>
      </c>
      <c r="EY206" s="4">
        <f>IF(SnapshotTable[[#This Row],[SC Is Booked]], (MinimumPremiumRequired * SnapshotTable[[#This Row],[SC Basis]] * SnapshotTable[[#This Row],[SC Term]]), 0)</f>
        <v>0</v>
      </c>
      <c r="EZ206" s="283"/>
      <c r="FA206" s="218"/>
      <c r="FB206" s="370"/>
      <c r="FC206" s="4">
        <f>IF(SnapshotTable[[#This Row],[SC Is Filled]], btc_max_buyback_amount(SnapshotTable[[#This Row],[SC Fill Date]],SnapshotTable[[#This Row],[SC Exp Date]], SnapshotTable[[#This Row],[SC Book Price]]),0)</f>
        <v>0</v>
      </c>
      <c r="FD206" s="5"/>
      <c r="FE206" s="144" t="str">
        <f>IF(SnapshotTable[[#This Row],[SC Is Filled]], btc_next_cutoff_date(SnapshotTable[[#This Row],[SC Fill Date]],SnapshotTable[[#This Row],[SC Exp Date]]),"")</f>
        <v/>
      </c>
      <c r="FF206" s="4" t="str" cm="1">
        <f t="array" ref="FF206">IF(SnapshotTable[[#This Row],[SC Is Filled]], btc_should_buy_back(SnapshotTable[[#This Row],[SC Fill Date]], SnapshotTable[[#This Row],[SC Exp Date]], SnapshotTable[[#This Row],[SC Book Price]], SnapshotTable[[#This Row],[SC Current Ask]], MockToday, SnapshotTable[[#This Row],[SC Buyback Override]]),"")</f>
        <v/>
      </c>
      <c r="FG206" s="4">
        <f>IF(SnapshotTable[[#This Row],[SC Is Filled]], MAX(0,SnapshotTable[[#This Row],[Last Price]]  - SnapshotTable[[#This Row],[SC Strike Price]]), 0)</f>
        <v>0</v>
      </c>
      <c r="FH206" s="382">
        <f>IF(SnapshotTable[[#This Row],[SC Is Filled]], IF(ISNUMBER(SnapshotTable[[#This Row],[SC Current Ask]]), SnapshotTable[[#This Row],[SC Current Ask]], SnapshotTable[[#This Row],[SC Book Price]]) - SnapshotTable[[#This Row],[SC Intrinsic Value]], 0)</f>
        <v>0</v>
      </c>
      <c r="FI206" s="143"/>
      <c r="FJ206" s="32" t="str">
        <f>IF(SnapshotTable[[#This Row],[SC Is Filled]],100 * SnapshotTable[[#This Row],[SC Qty]] * IF(ISNUMBER(SnapshotTable[[#This Row],[SC Buyback Override]]), SnapshotTable[[#This Row],[SC Buyback Override]], SnapshotTable[[#This Row],[SC Current Ask]]), "")</f>
        <v/>
      </c>
      <c r="FK206" s="250" t="str">
        <f>IF(SnapshotTable[[#This Row],[SC Time Val]]&gt;0, SnapshotTable[[#This Row],[SC Time Val]] / SnapshotTable[[#This Row],[Last Price]],"")</f>
        <v/>
      </c>
      <c r="FL206" s="302" t="str">
        <f>IF(SnapshotTable[[#This Row],[SC Is Booked]], ((SnapshotTable[[#This Row],[Last Price]] -SnapshotTable[[#This Row],[SC Strike Price]]) / SnapshotTable[[#This Row],[Last Price]]) * -1, "")</f>
        <v/>
      </c>
      <c r="FM206" s="157" t="str">
        <f>IF(SnapshotTable[[#This Row],[SC Is Booked]],  (SnapshotTable[[#This Row],[SC Qty]] * 100 * SnapshotTable[[#This Row],[SC Strike Price]]) - SnapshotTable[[#This Row],[SC Current Ask]], "")</f>
        <v/>
      </c>
      <c r="FN20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6" s="31" t="str">
        <f>IF(AND(ISNUMBER(SnapshotTable[[#This Row],[SC Exercise Gross]]), ISNUMBER(SnapshotTable[[#This Row],[Equity Basis Per Share]] )), SnapshotTable[[#This Row],[SC Exercise Gross]] - SnapshotTable[[#This Row],[Equity Basis Total]] +  SnapshotTable[[#This Row],[SC Premium]], "")</f>
        <v/>
      </c>
      <c r="FP206" s="5" t="str">
        <f>IF(ISNUMBER(SnapshotTable[[#This Row],[SC Exercise Gross]]), (SnapshotTable[[#This Row],[SC Exercise Gross]]) / (SnapshotTable[[#This Row],[SC Qty]] * 100), "")</f>
        <v/>
      </c>
      <c r="FQ206" s="27" t="str">
        <f>IF(SnapshotTable[[#This Row],[SC Is Booked]],SnapshotTable[[#This Row],[SC Time Val]] /SnapshotTable[[#This Row],[SC Basis]], "")</f>
        <v/>
      </c>
      <c r="FR206" s="27" t="str" cm="1">
        <f t="array" ref="FR206">IF(AND(ISNUMBER(SnapshotTable[[#This Row],[SC Term]]),ISNUMBER(SnapshotTable[[#This Row],[SC Simple ROO]])), EllmanAnnualize(SnapshotTable[[#This Row],[SC DTE]], SnapshotTable[[#This Row],[SC Simple ROO]] ),"")</f>
        <v/>
      </c>
      <c r="FS206" s="4" t="e">
        <f>IF(SnapshotTable[[#This Row],[SC Strike Price]] &gt; SnapshotTable[[#This Row],[Last Price]], SnapshotTable[[#This Row],[SC Strike Price]] - SnapshotTable[[#This Row],[Last Price]],0)</f>
        <v>#VALUE!</v>
      </c>
      <c r="FT206" s="27" t="e">
        <f>IF(AND(ISNUMBER(SnapshotTable[[#This Row],[SC Upside Potential]]), SnapshotTable[[#This Row],[SC Upside Potential]] &gt; 0),(SnapshotTable[[#This Row],[SC Upside Potential]]/ SnapshotTable[[#This Row],[ACB]]),"")</f>
        <v>#VALUE!</v>
      </c>
      <c r="FU206" s="333" t="str">
        <f>IF(SnapshotTable[[#This Row],[SC Intrinsic Value]] &gt; 0,SnapshotTable[[#This Row],[SC Intrinsic Value]],"")</f>
        <v/>
      </c>
      <c r="FV206" s="27" t="str">
        <f>IF(AND( ISNUMBER( SnapshotTable[[#This Row],[ACB]]),ISNUMBER(SnapshotTable[[#This Row],[SC Downside Protect]])),SnapshotTable[[#This Row],[SC Downside Protect]] / SnapshotTable[[#This Row],[ACB]],"")</f>
        <v/>
      </c>
      <c r="FW206" s="236" t="str">
        <f>IF(AND(ISNUMBER(SnapshotTable[[#This Row],[SC Simple ROO]]),SnapshotTable[[#This Row],[SC Simple ROO]] &gt; 0), SnapshotTable[[#This Row],[SC Premium]] + (SnapshotTable[[#This Row],[SC Qty]] * SnapshotTable[[#This Row],[SC Upside Potential]]), "")</f>
        <v/>
      </c>
      <c r="FX206" s="302" t="str" cm="1">
        <f t="array" ref="FX206">IF(ISNUMBER(SnapshotTable[[#This Row],[SC Max Dollars]]), annualize(SnapshotTable[[#This Row],[SC Term]],(SnapshotTable[[#This Row],[SC Max Dollars]]/SnapshotTable[[#This Row],[SC Basis]])),"")</f>
        <v/>
      </c>
      <c r="FY206" s="236" t="str">
        <f>IF(AND(SnapshotTable[[#This Row],[SC Qty]]&gt;0,SnapshotTable[[#This Row],[SC Current Ask]]&gt;0), SnapshotTable[[#This Row],[SC Qty]] * SnapshotTable[[#This Row],[SC Current Ask]] * -100, "")</f>
        <v/>
      </c>
      <c r="FZ206" s="31" t="str">
        <f>IF(ISNUMBER((SnapshotTable[[#This Row],[SC Current Value]])), SnapshotTable[[#This Row],[SC Premium]] + SnapshotTable[[#This Row],[SC Current Value]], "")</f>
        <v/>
      </c>
      <c r="GA206" s="294" t="str">
        <f>IFERROR( IF(ISNUMBER((SnapshotTable[[#This Row],[SC Current Value]])), SnapshotTable[[#This Row],[SC Gain Loss]] / SnapshotTable[[#This Row],[SC Premium]], ""), "")</f>
        <v/>
      </c>
      <c r="GB206" s="42">
        <f>SnapshotTable[[#This Row],[Equity Shares]] * SaleSharesToConsiderPercentage</f>
        <v>0</v>
      </c>
      <c r="GC206" s="40">
        <f>SnapshotTable[[#This Row],[Long Term Target]] * SellingPriceToConsiderBasedOnTargetPercentage</f>
        <v>51.774999999999999</v>
      </c>
      <c r="GD206" s="40">
        <f>SnapshotTable[[#This Row],[Last Price]] * (1+ SellingPriceToConsiderBasedOnTargetPercentage)</f>
        <v>274.63799999999998</v>
      </c>
      <c r="GE206" s="41"/>
      <c r="GF206" s="40">
        <v>38.880000000000003</v>
      </c>
      <c r="GG206" s="31">
        <f>SnapshotTable[[#This Row],[Booked Sale Shares]] * SnapshotTable[[#This Row],[Booked Sale Price]]</f>
        <v>0</v>
      </c>
      <c r="GH206" s="31" t="str">
        <f>IF(SnapshotTable[[#This Row],[Equity Basis Total]] &gt; 0, SnapshotTable[[#This Row],[Equity Basis Per Share]] * SnapshotTable[[#This Row],[Booked Sale Shares]], "")</f>
        <v/>
      </c>
      <c r="GI206" s="31">
        <f>IF(SnapshotTable[[#This Row],[Sale Proceeds]]&gt;0, SnapshotTable[[#This Row],[Sale Proceeds]] - SnapshotTable[[#This Row],[Sale Basis]], 0)</f>
        <v>0</v>
      </c>
      <c r="GJ206" s="27" t="str">
        <f>IF(SnapshotTable[[#This Row],[Sale G/L]]&gt;0, SnapshotTable[[#This Row],[Sale G/L]] / SnapshotTable[[#This Row],[Sale Basis]], IF(ISNUMBER(SnapshotTable[[#This Row],[SC Exercise P&amp;L (TAX)]]), SnapshotTable[[#This Row],[SC Exercise P&amp;L (TAX)]] / SnapshotTable[[#This Row],[SC Basis]], ""))</f>
        <v/>
      </c>
      <c r="GK206" s="27" t="s">
        <v>722</v>
      </c>
      <c r="GL206" s="43" t="str">
        <f>IF(AND(SnapshotTable[[#This Row],[LP Exp Date]]&gt;0,SnapshotTable[[#This Row],[LP Strike Price]]&gt;0), [1]!ToOptionSymbol(SnapshotTable[[#This Row],[Symbol]], SnapshotTable[[#This Row],[LP Strike Price]],SnapshotTable[[#This Row],[LP Exp Date]],1), "")</f>
        <v/>
      </c>
      <c r="GM206" s="30" t="str">
        <f>IF(LEN(SnapshotTable[[#This Row],[LP Symbol]])&gt;0, 1, "")</f>
        <v/>
      </c>
      <c r="GN206" s="43" t="str">
        <f>IF(AND(SnapshotTable[[#This Row],[SP Exp Date]]&gt;0,SnapshotTable[[#This Row],[SP Strike Price]]&gt;0), [1]!ToOptionSymbol(SnapshotTable[[#This Row],[Symbol]], SnapshotTable[[#This Row],[SP Strike Price]],SnapshotTable[[#This Row],[SP Exp Date]],1), "")</f>
        <v/>
      </c>
      <c r="GO206" s="30" t="str">
        <f>IF(LEN(SnapshotTable[[#This Row],[SP Symbol]])&gt;0, 1, "")</f>
        <v/>
      </c>
      <c r="GP206" s="43" t="str">
        <f>IF(AND(SnapshotTable[[#This Row],[LC Exp Date]]&gt;0,SnapshotTable[[#This Row],[LC Strike Price]]&gt;0), [1]!ToOptionSymbol(SnapshotTable[[#This Row],[Symbol]], SnapshotTable[[#This Row],[LC Strike Price]],SnapshotTable[[#This Row],[LC Exp Date]],0), "")</f>
        <v/>
      </c>
      <c r="GQ206" s="30" t="str">
        <f>IF(LEN(SnapshotTable[[#This Row],[LC Symbol]])&gt;0, 1, "")</f>
        <v/>
      </c>
      <c r="GR206" s="43" t="str">
        <f>IF(AND(SnapshotTable[[#This Row],[SC Exp Date]]&gt;0,SnapshotTable[[#This Row],[SC Strike Price]]&gt;0), [1]!ToOptionSymbol(SnapshotTable[[#This Row],[Symbol]], SnapshotTable[[#This Row],[SC Strike Price]],SnapshotTable[[#This Row],[SC Exp Date]],0), "")</f>
        <v/>
      </c>
      <c r="GS206" s="30" t="str">
        <f>IF(LEN(SnapshotTable[[#This Row],[SC Symbol]])&gt;0, 1, "")</f>
        <v/>
      </c>
      <c r="GT206" s="29" t="str">
        <f>IF(COUNT(SnapshotTable[[#This Row],[LP Symbol Count]],SnapshotTable[[#This Row],[SP Symbol Count]],SnapshotTable[[#This Row],[LC Symbol Count]],SnapshotTable[[#This Row],[SC Symbol Count]])&gt;0, "Y", "")</f>
        <v/>
      </c>
      <c r="GU20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6" s="231" t="e">
        <f>MAX(SnapshotTable[[#This Row],[Equity Basis Total]],SnapshotTable[[#This Row],[Equity Value]]) + (SnapshotTable[[#This Row],[SP Potential Spend]]- SnapshotTable[[#This Row],[SP Premium]] + SnapshotTable[[#This Row],[LP Premium]])+ (SnapshotTable[[#This Row],[LC Premium]] - SnapshotTable[[#This Row],[SC Premium]])</f>
        <v>#VALUE!</v>
      </c>
      <c r="GW206" s="139" t="e">
        <f>IF(AND(SnapshotTable[[#This Row],[Exposure]] &lt;&gt; 0),SnapshotTable[[#This Row],[Exposure]] / SnapshotTable[[#Totals],[Exposure]], "")</f>
        <v>#VALUE!</v>
      </c>
      <c r="HE206" s="268"/>
      <c r="HF206" s="268"/>
      <c r="HK206" s="1"/>
      <c r="HL206" s="1"/>
      <c r="HM206" s="1"/>
      <c r="HN206" s="1"/>
      <c r="HO206" s="1"/>
      <c r="HP206" s="1"/>
    </row>
    <row r="207" spans="2:224" ht="12.75" hidden="1" customHeight="1" x14ac:dyDescent="0.25">
      <c r="B207" s="12" t="s">
        <v>1152</v>
      </c>
      <c r="C207" s="422">
        <v>15.69</v>
      </c>
      <c r="D207" s="208"/>
      <c r="E207" s="39">
        <f>SnapshotTable[[#This Row],[Last Price]]*(1 -CrashDiscount)</f>
        <v>13.336499999999999</v>
      </c>
      <c r="F207" s="26" t="s">
        <v>1137</v>
      </c>
      <c r="G207" s="26" t="s">
        <v>41</v>
      </c>
      <c r="H207" s="149"/>
      <c r="I207" s="194"/>
      <c r="J207" s="195"/>
      <c r="K207" s="196"/>
      <c r="L207" s="326"/>
      <c r="M207" s="140"/>
      <c r="N207" s="140"/>
      <c r="O207" s="140"/>
      <c r="P207" s="22"/>
      <c r="Q207" s="25"/>
      <c r="R207" s="4" t="str">
        <f>IF(SnapshotTable[[#This Row],[Equity Basis Total]] &gt; 0, SnapshotTable[[#This Row],[Equity Basis Total]] / SnapshotTable[[#This Row],[Equity Shares]], "")</f>
        <v/>
      </c>
      <c r="S207" s="269">
        <f>SnapshotTable[[#This Row],[Last Price]] * SnapshotTable[[#This Row],[Equity Shares]]</f>
        <v>0</v>
      </c>
      <c r="T207" s="269">
        <f>SnapshotTable[[#This Row],[Equity Value]] - SnapshotTable[[#This Row],[Equity Basis Total]]</f>
        <v>0</v>
      </c>
      <c r="U207" s="270" t="str">
        <f>IF(SnapshotTable[[#This Row],[Equity Basis Total]] &gt; 0, SnapshotTable[[#This Row],[Equity G/L]] / SnapshotTable[[#This Row],[Equity Basis Total]], "")</f>
        <v/>
      </c>
      <c r="V207" s="268"/>
      <c r="W207" s="268"/>
      <c r="X207" s="4" t="str">
        <f>IF(AND(ISNUMBER(SnapshotTable[[#This Row],[Equity Basis Per Share]]),ISNUMBER(SnapshotTable[[#This Row],[Equity Target]])),SnapshotTable[[#This Row],[Equity Target]]-SnapshotTable[[#This Row],[Equity Basis Per Share]],"")</f>
        <v/>
      </c>
      <c r="Y207" s="4" t="str">
        <f>IF(AND(ISNUMBER(SnapshotTable[[#This Row],[Equity Basis Per Share]]),ISNUMBER(SnapshotTable[[#This Row],[Equity Stop Loss]])),SnapshotTable[[#This Row],[Equity Stop Loss]]-SnapshotTable[[#This Row],[Equity Basis Per Share]],"")</f>
        <v/>
      </c>
      <c r="Z207" s="275" t="str">
        <f>IFERROR( TEXT(SnapshotTable[[#This Row],[Equity Max Gain Per Share]] /ABS( SnapshotTable[[#This Row],[Equity Max Loss Per Share]]),"0.0 " ) &amp; " : 1", "")</f>
        <v/>
      </c>
      <c r="AA207" s="31" t="str">
        <f>IF(ISNUMBER(SnapshotTable[[#This Row],[Equity Max Gain Per Share]]),SnapshotTable[[#This Row],[Equity Max Gain Per Share]] * SnapshotTable[[#This Row],[Equity Shares]],"")</f>
        <v/>
      </c>
      <c r="AB207" s="31" t="str">
        <f>IF(ISNUMBER(SnapshotTable[[#This Row],[Equity Max Loss Per Share]]),SnapshotTable[[#This Row],[Equity Max Loss Per Share]] * SnapshotTable[[#This Row],[Equity Shares]],"")</f>
        <v/>
      </c>
      <c r="AC207" s="150"/>
      <c r="AD207" s="151"/>
      <c r="AE207" s="31">
        <f>(SnapshotTable[[#This Row],[Annual Dividend Per Share]] / 4) * SnapshotTable[[#This Row],[Equity Shares]]</f>
        <v>0</v>
      </c>
      <c r="AF207" s="31">
        <f>SnapshotTable[[#This Row],[Quarterly Div $]] * 4</f>
        <v>0</v>
      </c>
      <c r="AG207" s="7">
        <f>IF(SnapshotTable[[#This Row],[Annual Dividend Per Share]]&gt;0, SnapshotTable[[#This Row],[Annual Dividend Per Share]]  / SnapshotTable[[#This Row],[Last Price]], 0)</f>
        <v>0</v>
      </c>
      <c r="AH207" s="151"/>
      <c r="AI207" s="5"/>
      <c r="AJ207" s="138"/>
      <c r="AK207" s="152" t="str">
        <f>IF(ISNUMBER( SnapshotTable[[#This Row],[EBF Target]]),(SnapshotTable[[#This Row],[EBF Target]] - SnapshotTable[[#This Row],[Last Price]]) / SnapshotTable[[#This Row],[Last Price]], "")</f>
        <v/>
      </c>
      <c r="AL207" s="152" t="str">
        <f>IF(AND(SnapshotTable[[#This Row],[Equity Basis Total]] &gt; 0,ISNUMBER( SnapshotTable[[#This Row],[Long Term Target]])), SnapshotTable[[#This Row],[From Basis $]] / SnapshotTable[[#This Row],[Equity Basis Total]], "")</f>
        <v/>
      </c>
      <c r="AM207" s="9">
        <f>IF( AND(SnapshotTable[[#This Row],[Equity Shares]] &gt;0,ISNUMBER( SnapshotTable[[#This Row],[Long Term Target]])),(SnapshotTable[[#This Row],[Equity Shares]] * SnapshotTable[[#This Row],[Long Term Target]]) - SnapshotTable[[#This Row],[Equity Basis Total]],0)</f>
        <v>0</v>
      </c>
      <c r="AN207" s="9">
        <f>IF( AND(SnapshotTable[[#This Row],[Equity Shares]] &gt;0,ISNUMBER( SnapshotTable[[#This Row],[Long Term Target]])),(SnapshotTable[[#This Row],[Equity Shares]]*SnapshotTable[[#This Row],[Long Term Target]]) - SnapshotTable[[#This Row],[Equity Value]],0)</f>
        <v>0</v>
      </c>
      <c r="AO207" s="152" t="str">
        <f>IF(AND(ISNUMBER( SnapshotTable[[#This Row],[Long Term Target]]), ISNUMBER(SnapshotTable[[#This Row],[Last Price]])),(SnapshotTable[[#This Row],[Long Term Target]] - SnapshotTable[[#This Row],[Last Price]]) / SnapshotTable[[#This Row],[Last Price]], "")</f>
        <v/>
      </c>
      <c r="AP207" s="5">
        <v>4.5</v>
      </c>
      <c r="AQ207" s="38" t="s">
        <v>27</v>
      </c>
      <c r="AR207" s="5">
        <v>3.5</v>
      </c>
      <c r="AS207" s="38" t="s">
        <v>26</v>
      </c>
      <c r="AT207" s="146" t="s">
        <v>553</v>
      </c>
      <c r="AU207" s="187" t="str">
        <f>IF(OR(SnapshotTable[[#This Row],[LP No Fill]]="Y",SnapshotTable[[#This Row],[SP Is Filled]],SnapshotTable[[#This Row],[LC Not Filled]]="Y",SnapshotTable[[#This Row],[SC Is Filled]]),"Y","")</f>
        <v/>
      </c>
      <c r="AV207" s="219"/>
      <c r="AW207" s="225"/>
      <c r="AX207" s="220"/>
      <c r="AY207" s="219" t="str">
        <f>IF(SnapshotTable[[#This Row],[Implied Move]]&gt;0, SnapshotTable[[#This Row],[Last Price]]-SnapshotTable[[#This Row],[Implied Move]],"")</f>
        <v/>
      </c>
      <c r="AZ207" s="219" t="str">
        <f>IF(SnapshotTable[[#This Row],[Implied Move]]&gt;0, SnapshotTable[[#This Row],[Last Price]] + SnapshotTable[[#This Row],[Implied Move]],"")</f>
        <v/>
      </c>
      <c r="BA207" s="331">
        <v>3.57</v>
      </c>
      <c r="BB207" s="347"/>
      <c r="BC20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7" s="351"/>
      <c r="BE207" s="5"/>
      <c r="BF207" s="14"/>
      <c r="BG207" s="13"/>
      <c r="BH207" s="13"/>
      <c r="BI207" s="5"/>
      <c r="BJ207" s="136">
        <f>IF(SnapshotTable[[#This Row],[LP Qty]] &gt; 0, SnapshotTable[[#This Row],[LP Qty]] * SnapshotTable[[#This Row],[LP Book Price]] * 100,0)</f>
        <v>0</v>
      </c>
      <c r="BK207" s="136">
        <f>IF(SnapshotTable[[#This Row],[LP Premium]] &gt; 0, SnapshotTable[[#This Row],[LP Qty]] * SnapshotTable[[#This Row],[LP Strike Price]] * 100,0)</f>
        <v>0</v>
      </c>
      <c r="BL207" s="154"/>
      <c r="BM207" s="385" t="str">
        <f>IF(SnapshotTable[[#This Row],[LP Premium]] &gt; 0,SnapshotTable[[#This Row],[LP Exp Date]]-MAX(SnapshotTable[[#This Row],[LP Book Date]], SnapshotTable[[#This Row],[LP Fill Date]]),"")</f>
        <v/>
      </c>
      <c r="BN207" s="385" t="str">
        <f>IF(ISNUMBER( SnapshotTable[[#This Row],[LP Term]]), SnapshotTable[[#This Row],[LP Exp Date]] - MockToday,"")</f>
        <v/>
      </c>
      <c r="BO207" s="163" t="str">
        <f>IF(AND(SnapshotTable[[#This Row],[LP Exp Date]]&gt;0, SnapshotTable[[#This Row],[LP Strike Price]]&gt;0,SnapshotTable[[#This Row],[LP Qty]]&gt;0,SnapshotTable[[#This Row],[LP Book Date]]&gt;0,SnapshotTable[[#This Row],[LP Book Price]]&gt;0,SnapshotTable[[#This Row],[LP Fill Date]]=0),"Y","")</f>
        <v/>
      </c>
      <c r="BP207" s="31" t="str">
        <f>IF(AND(SnapshotTable[[#This Row],[LP No Fill]]&lt;&gt;"Y",SnapshotTable[[#This Row],[LP Contract Value]]&gt;0, SnapshotTable[[#This Row],[LP Qty]]&gt;0), SnapshotTable[[#This Row],[LP Contract Value]]*SnapshotTable[[#This Row],[LP Qty]]*100,"")</f>
        <v/>
      </c>
      <c r="BQ207" s="13"/>
      <c r="BR207" s="5" t="str">
        <f>IF(SnapshotTable[[#This Row],[SP Exp Date]]&lt;&gt;"",TRUNC(SnapshotTable[[#This Row],[Last Price]]),"")</f>
        <v/>
      </c>
      <c r="BS207" s="36"/>
      <c r="BT207" s="147"/>
      <c r="BU207" s="13"/>
      <c r="BV207" s="5"/>
      <c r="BW207" s="419" t="b">
        <f>AND(ISNUMBER(SnapshotTable[[#This Row],[SP Exp Date]]), ISNUMBER(SnapshotTable[[#This Row],[SP Strike Price]]), ISNUMBER(SnapshotTable[[#This Row],[SP Qty]]), ISNUMBER(SnapshotTable[[#This Row],[SP Book Date]]), ISNUMBER(SnapshotTable[[#This Row],[SP Book Price]]))</f>
        <v>0</v>
      </c>
      <c r="BX207" s="419" t="b">
        <f>AND(SnapshotTable[[#This Row],[SP Is Booked]], NOT(ISBLANK(SnapshotTable[[#This Row],[SP Fill Date]])))</f>
        <v>0</v>
      </c>
      <c r="BY207" s="33">
        <f>IF(SnapshotTable[[#This Row],[SP Is Booked]], SnapshotTable[[#This Row],[SP Qty]] * SnapshotTable[[#This Row],[SP Book Price]] * 100, 0)</f>
        <v>0</v>
      </c>
      <c r="BZ207" s="369"/>
      <c r="CA207" s="368">
        <f>SnapshotTable[[#This Row],[LP Qty]]</f>
        <v>0</v>
      </c>
      <c r="CB207" s="4" t="str">
        <f>IF(SnapshotTable[[#This Row],[SP Is Booked]], SnapshotTable[[#This Row],[SP Strike Price]] - SnapshotTable[[#This Row],[SP Book Price]], "")</f>
        <v/>
      </c>
      <c r="CC207" s="19" t="str">
        <f>IF(SnapshotTable[[#This Row],[SP Is Booked]],SnapshotTable[[#This Row],[SP Exp Date]]-MAX(SnapshotTable[[#This Row],[SP Book Date]], SnapshotTable[[#This Row],[SP Fill Date]]),"")</f>
        <v/>
      </c>
      <c r="CD207" s="7" t="str">
        <f>IF(SnapshotTable[[#This Row],[SP Is Booked]], SnapshotTable[[#This Row],[SP Book Price]]/SnapshotTable[[#This Row],[SP Strike Price]], "")</f>
        <v/>
      </c>
      <c r="CE207" s="7" t="str">
        <f>IF(ISNUMBER(SnapshotTable[[#This Row],[SP ROO Term]]),SnapshotTable[[#This Row],[SP ROO Term]]*(365/SnapshotTable[[#This Row],[SP Term]]),"")</f>
        <v/>
      </c>
      <c r="CF207" s="236">
        <f>SnapshotTable[[#This Row],[LP Strike Price]] * SnapshotTable[[#This Row],[LP Qty]] * 100</f>
        <v>0</v>
      </c>
      <c r="CG207" s="31" t="e">
        <f>IF(ISNUMBER(SnapshotTable[[#This Row],[SP Premium]]), (SnapshotTable[[#This Row],[SP Qty]] * SnapshotTable[[#This Row],[SP Strike Price]]* 100) - SnapshotTable[[#This Row],[LP Protection]], 0)</f>
        <v>#VALUE!</v>
      </c>
      <c r="CH207" s="7" t="str">
        <f>IF(ISNUMBER(SnapshotTable[[#This Row],[SP Break Even]]),-1 * (SnapshotTable[[#This Row],[SP Break Even]] - SnapshotTable[[#This Row],[Last Price]]) / SnapshotTable[[#This Row],[Last Price]], "")</f>
        <v/>
      </c>
      <c r="CI207" s="31">
        <f>IF(AND(ISNUMBER((SnapshotTable[[#This Row],[SP Potential Spend]])), SnapshotTable[[#This Row],[SP Strike Price]] &gt; SnapshotTable[[#This Row],[Last Price]], SnapshotTable[[#This Row],[SP Is Filled]]), SnapshotTable[[#This Row],[SP Potential Spend]] -  SnapshotTable[[#This Row],[LP Max Value]], 0)</f>
        <v>0</v>
      </c>
      <c r="CJ207" s="244">
        <v>0.01</v>
      </c>
      <c r="CK207" s="31" t="str">
        <f>IF(ISNUMBER(SnapshotTable[[#This Row],[SP Potential Spend]]),IF(ISNUMBER(SnapshotTable[[#This Row],[SP POW]]), SnapshotTable[[#This Row],[SP POW]] * SnapshotTable[[#This Row],[SP Potential Spend]], SnapshotTable[[#This Row],[SP Potential Spend]]), "")</f>
        <v/>
      </c>
      <c r="CL207" s="164" t="e">
        <f>IF(NOT(SnapshotTable[[#This Row],[SP Is Filled]]),(SnapshotTable[[#This Row],[SP Qty]] * SnapshotTable[[#This Row],[SP Strike Price]] * 100) - SnapshotTable[[#This Row],[LP Max Value]],"")</f>
        <v>#VALUE!</v>
      </c>
      <c r="CM207" s="31" t="str">
        <f>IF(SnapshotTable[[#This Row],[SP Actual Spend]]&lt;&gt;0, ((SnapshotTable[[#This Row],[SP Strike Price]]-SnapshotTable[[#This Row],[Last Price]]) *(SnapshotTable[[#This Row],[SP Qty]]*100) - SnapshotTable[[#This Row],[SP Premium]]) * - 1, "")</f>
        <v/>
      </c>
      <c r="CN207" s="78"/>
      <c r="CO207" s="369"/>
      <c r="CP207" s="4" t="str">
        <f>IF(SnapshotTable[[#This Row],[SP Is Filled]], btc_max_buyback_amount(SnapshotTable[[#This Row],[SP Fill Date]],SnapshotTable[[#This Row],[SP Exp Date]], SnapshotTable[[#This Row],[SP Book Price]]),"")</f>
        <v/>
      </c>
      <c r="CQ207" s="78"/>
      <c r="CR20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7" s="155" t="str">
        <f>IF(SnapshotTable[[#This Row],[SP Is Filled]], btc_next_cutoff_date(SnapshotTable[[#This Row],[SP Fill Date]],SnapshotTable[[#This Row],[SP Exp Date]]),"")</f>
        <v/>
      </c>
      <c r="CT207" s="235" t="str" cm="1">
        <f t="array" ref="CT207">IF(SnapshotTable[[#This Row],[SP Is Filled]], btc_should_buy_back(SnapshotTable[[#This Row],[SP Fill Date]], SnapshotTable[[#This Row],[SP Exp Date]], SnapshotTable[[#This Row],[SP Book Price]], SnapshotTable[[#This Row],[SP Current Ask]], MockToday, SnapshotTable[[#This Row],[SP Buyback Override]]),"")</f>
        <v/>
      </c>
      <c r="CU207" s="156"/>
      <c r="CV207" s="235"/>
      <c r="CW207" s="378" t="str">
        <f>IF(ISNUMBER( SnapshotTable[[#This Row],[SP Term]]), SnapshotTable[[#This Row],[SP Exp Date]] - MockToday,"")</f>
        <v/>
      </c>
      <c r="CX207" s="31" t="str">
        <f>IF(SnapshotTable[[#This Row],[SP Is Filled]],SnapshotTable[[#This Row],[SP Buyback Price to Use]] * 100 * SnapshotTable[[#This Row],[SP Qty]], "")</f>
        <v/>
      </c>
      <c r="CY207" s="4" t="str">
        <f>IF(ISNUMBER(SnapshotTable[[#This Row],[SP Strike Price]]), SnapshotTable[[#This Row],[SP Strike Price]] * (1 - SP_MaxLoss_StrikePct), "")</f>
        <v/>
      </c>
      <c r="CZ207" s="31" t="str">
        <f>IF(ISNUMBER(SnapshotTable[[#This Row],[SP Strike  Stop Per Share]]),SnapshotTable[[#This Row],[SP Premium]] - ((SnapshotTable[[#This Row],[SP Strike Price]]-SnapshotTable[[#This Row],[SP Strike  Stop Per Share]]) *(SnapshotTable[[#This Row],[SP Qty]] * 100)),"")</f>
        <v/>
      </c>
      <c r="DA207" s="4" t="str">
        <f>IF(AND(ISNUMBER(SnapshotTable[[#This Row],[SP Premium]]),SnapshotTable[[#This Row],[SP Premium]]&gt;0), SnapshotTable[[#This Row],[SP Book Price]] * (1 + SP_MaxLoss_OptionPct), "")</f>
        <v/>
      </c>
      <c r="DB207" s="31" t="str">
        <f>IF(ISNUMBER(SnapshotTable[[#This Row],[SP Option  Stop Contract]]),(SnapshotTable[[#This Row],[SP Option  Stop Contract]] *(SnapshotTable[[#This Row],[SP Qty]] * 100) - SnapshotTable[[#This Row],[SP Premium]]),"")</f>
        <v/>
      </c>
      <c r="DC207" s="4"/>
      <c r="DD207" s="4"/>
      <c r="DE207" s="4" t="str">
        <f>IF(AND(SnapshotTable[[#This Row],[SP Qty]]&gt;0, SnapshotTable[[#This Row],[SP Stop To Use]]&gt;0),SnapshotTable[[#This Row],[SP Premium]] - ( SnapshotTable[[#This Row],[SP Qty]] * SnapshotTable[[#This Row],[SP Stop To Use]] * 100), "")</f>
        <v/>
      </c>
      <c r="DF207" s="31" t="str">
        <f>IF(AND(SnapshotTable[[#This Row],[SP Qty]]&gt;0,SnapshotTable[[#This Row],[SP Current Ask]]&gt;0), SnapshotTable[[#This Row],[SP Qty]] * SnapshotTable[[#This Row],[SP Current Ask]] * -100, "")</f>
        <v/>
      </c>
      <c r="DG207" s="31" t="str">
        <f>IF(ISNUMBER((SnapshotTable[[#This Row],[SP Total Value]])), SnapshotTable[[#This Row],[SP Premium]] + SnapshotTable[[#This Row],[SP Total Value]], "")</f>
        <v/>
      </c>
      <c r="DH207" s="294" t="str">
        <f>IF(ISNUMBER((SnapshotTable[[#This Row],[SP Total Value]])), SnapshotTable[[#This Row],[SP Gain Loss]] / SnapshotTable[[#This Row],[SP Premium]], "")</f>
        <v/>
      </c>
      <c r="DI207" s="406"/>
      <c r="DJ207" s="138"/>
      <c r="DK207" s="148"/>
      <c r="DL207" s="13"/>
      <c r="DM207" s="13"/>
      <c r="DO207" s="31">
        <f>IF(SnapshotTable[[#This Row],[LC Symbol Count]]=1, SnapshotTable[[#This Row],[LC Qty]] * SnapshotTable[[#This Row],[LC Book Price]] * 100, 0)</f>
        <v>0</v>
      </c>
      <c r="DP207" s="163" t="str">
        <f>IF(AND(SnapshotTable[[#This Row],[LC Exp Date]]&gt;0, SnapshotTable[[#This Row],[LC Strike Price]]&gt;0,SnapshotTable[[#This Row],[LC Qty]]&gt;0,SnapshotTable[[#This Row],[LC Book Date]]&gt;0,SnapshotTable[[#This Row],[LC Book Price]]&gt;0,SnapshotTable[[#This Row],[LC Fill Date]]=0),"Y","")</f>
        <v/>
      </c>
      <c r="DQ207" s="386" t="str">
        <f>IF(SnapshotTable[[#This Row],[LC Premium]] &gt; 0,SnapshotTable[[#This Row],[LC Exp Date]]-MAX(SnapshotTable[[#This Row],[LC Book Date]], SnapshotTable[[#This Row],[LC Fill Date]]),"")</f>
        <v/>
      </c>
      <c r="DR207" s="386" t="str">
        <f>IF(ISNUMBER(SnapshotTable[[#This Row],[LC Term]]), SnapshotTable[[#This Row],[LC Exp Date]] - MockToday, "")</f>
        <v/>
      </c>
      <c r="DS207" s="234" t="str">
        <f>IF(SnapshotTable[[#This Row],[LC Premium]]&gt;0,SnapshotTable[[#This Row],[LC Strike Price]] + SnapshotTable[[#This Row],[LC Book Price]],"")</f>
        <v/>
      </c>
      <c r="DU207" s="9" t="str">
        <f>IF(AND(SnapshotTable[[#This Row],[LC Symbol Count]]&gt;0, SnapshotTable[[#This Row],[LC Contract Value]]&gt;0), SnapshotTable[[#This Row],[LC Contract Value]] * SnapshotTable[[#This Row],[LC Qty]] * 100, "")</f>
        <v/>
      </c>
      <c r="DV207" s="9" t="str">
        <f>IF(AND(ISNUMBER(SnapshotTable[[#This Row],[LC Total Value]]), SnapshotTable[[#This Row],[LC Not Filled]]&lt;&gt;"Y"), SnapshotTable[[#This Row],[LC Total Value]]-SnapshotTable[[#This Row],[LC Premium]],"")</f>
        <v/>
      </c>
      <c r="DW207" s="240" t="str">
        <f>IF(ISNUMBER(SnapshotTable[[#This Row],[LC Actual Gain Loss]]), SnapshotTable[[#This Row],[LC Actual Gain Loss]] / SnapshotTable[[#This Row],[LC Premium]],"")</f>
        <v/>
      </c>
      <c r="DX207" s="284" t="str">
        <f>IF(ISNUMBER(SnapshotTable[[#This Row],[LC Book Price]]),SnapshotTable[[#This Row],[LC Book Price]] * 1.5,"")</f>
        <v/>
      </c>
      <c r="DY207" s="265" t="str">
        <f>IF(SnapshotTable[[#This Row],[LC Premium]]&gt;0, SnapshotTable[[#This Row],[LC Next Target]] * SnapshotTable[[#This Row],[LC Qty]] * 100,"")</f>
        <v/>
      </c>
      <c r="DZ207" s="265" t="str">
        <f>IF(ISNUMBER(SnapshotTable[[#This Row],[LC Target Gross]]), SnapshotTable[[#This Row],[LC Target Gross]] - SnapshotTable[[#This Row],[LC Premium]], "")</f>
        <v/>
      </c>
      <c r="EA207" s="305" t="str">
        <f>IF(ISNUMBER(SnapshotTable[[#This Row],[LC Target Gain Loss]]), SnapshotTable[[#This Row],[LC Target Gain Loss]]/SnapshotTable[[#This Row],[LC Premium]], "")</f>
        <v/>
      </c>
      <c r="EB207" s="262"/>
      <c r="EC207" s="283" t="str">
        <f>IF(SnapshotTable[[#This Row],[LC Premium]]&gt;0, SnapshotTable[[#This Row],[LC Book Price]] * (1 - LC_StopLoss_Pct),"")</f>
        <v/>
      </c>
      <c r="ED207" s="284"/>
      <c r="EE207" s="283" t="str">
        <f>IF(ISNUMBER(SnapshotTable[[#This Row],[LC Contract Value]]),IF(ISNUMBER(SnapshotTable[[#This Row],[LC Stop Loss Override]]), SnapshotTable[[#This Row],[LC Stop Loss Override]],SnapshotTable[[#This Row],[LC Stop Loss Calc Target]]),"")</f>
        <v/>
      </c>
      <c r="EF207" s="31" t="str">
        <f>IF(ISNUMBER(SnapshotTable[[#This Row],[LC Stop  To Use]]), (SnapshotTable[[#This Row],[LC Stop  To Use]] * SnapshotTable[[#This Row],[LC Qty]] * 100),"")</f>
        <v/>
      </c>
      <c r="EG207" s="9" t="str">
        <f>IF(ISNUMBER(SnapshotTable[[#This Row],[LC Total Value]]),SnapshotTable[[#This Row],[LC Stop Loss Amount]] - SnapshotTable[[#This Row],[LC Premium]],"")</f>
        <v/>
      </c>
      <c r="EH207" s="9">
        <f>IF(ISNUMBER(SnapshotTable[[#This Row],[LC Premium]]), SnapshotTable[[#This Row],[LC Qty]] * 100 * SnapshotTable[[#This Row],[LC Strike Price]], "")</f>
        <v>0</v>
      </c>
      <c r="EI207" s="240" t="str">
        <f>IF(AND(ISNUMBER(SnapshotTable[[#This Row],[LC Total Value]]),SnapshotTable[[#This Row],[LC Total Value]]&gt;0),SnapshotTable[[#This Row],[LC Stop Gain Loss]]  / SnapshotTable[[#This Row],[LC Premium]],"")</f>
        <v/>
      </c>
      <c r="EJ207" s="35">
        <f>IF(ISNUMBER(SnapshotTable[[#This Row],[Equity Shares]]),TRUNC(SnapshotTable[[#This Row],[Equity Shares]] / 100),0) + SnapshotTable[[#This Row],[LC Qty]]</f>
        <v>0</v>
      </c>
      <c r="EK207" s="147"/>
      <c r="EL207" s="138" t="str">
        <f>IF(SnapshotTable[[#This Row],[SC Exp Date]]&lt;&gt;"",TRUNC(SnapshotTable[[#This Row],[Last Price]]),"")</f>
        <v/>
      </c>
      <c r="EM207" s="148"/>
      <c r="EN207" s="147"/>
      <c r="EO207" s="147"/>
      <c r="EP207" s="138"/>
      <c r="EQ207" s="419" t="b">
        <f>AND(ISNUMBER(SnapshotTable[[#This Row],[SC Exp Date]]), ISNUMBER(SnapshotTable[[#This Row],[SC Strike Price]]), ISNUMBER(SnapshotTable[[#This Row],[SC Qty]]), ISNUMBER(SnapshotTable[[#This Row],[SC Book Date]]), ISNUMBER(SnapshotTable[[#This Row],[SC Book Price]]))</f>
        <v>0</v>
      </c>
      <c r="ER207" s="419" t="b">
        <f>AND(SnapshotTable[[#This Row],[SC Is Booked]], NOT(ISBLANK(SnapshotTable[[#This Row],[SC Fill Date]])))</f>
        <v>0</v>
      </c>
      <c r="ES207" s="370"/>
      <c r="ET207" s="34" t="str">
        <f>IF(AND(ISNUMBER(SnapshotTable[[#This Row],[SC Exp Date]]), ISNUMBER(SnapshotTable[[#This Row],[SC Book Date]])), SnapshotTable[[#This Row],[SC Exp Date]] - MAX(SnapshotTable[[#This Row],[SC Book Date]], SnapshotTable[[#This Row],[SC Fill Date]]) + 1, "")</f>
        <v/>
      </c>
      <c r="EU207" s="34" t="str">
        <f>IF(ISNUMBER(SnapshotTable[[#This Row],[SC Term]]), SnapshotTable[[#This Row],[SC Exp Date]]- MockToday, "")</f>
        <v/>
      </c>
      <c r="EV207" s="31">
        <f>IF(SnapshotTable[[#This Row],[SC Is Booked]], SnapshotTable[[#This Row],[SC Qty]] * SnapshotTable[[#This Row],[SC Book Price]] * 100, 0)</f>
        <v>0</v>
      </c>
      <c r="EW207" s="4" t="str">
        <f>IF(AND(ISNUMBER(SnapshotTable[[#This Row],[Last Price]]), ISNUMBER( SnapshotTable[[#This Row],[SC Book Price]])), SnapshotTable[[#This Row],[Last Price]] - SnapshotTable[[#This Row],[SC Book Price]],"")</f>
        <v/>
      </c>
      <c r="EX207" s="234" t="str">
        <f>IF(SnapshotTable[[#This Row],[SC Is Booked]],IF(SnapshotTable[[#This Row],[SC Intrinsic Value]] &gt; 0, SnapshotTable[[#This Row],[SC Strike Price]], SnapshotTable[[#This Row],[Last Price]]), "")</f>
        <v/>
      </c>
      <c r="EY207" s="4">
        <f>IF(SnapshotTable[[#This Row],[SC Is Booked]], (MinimumPremiumRequired * SnapshotTable[[#This Row],[SC Basis]] * SnapshotTable[[#This Row],[SC Term]]), 0)</f>
        <v>0</v>
      </c>
      <c r="EZ207" s="283"/>
      <c r="FA207" s="218"/>
      <c r="FB207" s="370"/>
      <c r="FC207" s="4">
        <f>IF(SnapshotTable[[#This Row],[SC Is Filled]], btc_max_buyback_amount(SnapshotTable[[#This Row],[SC Fill Date]],SnapshotTable[[#This Row],[SC Exp Date]], SnapshotTable[[#This Row],[SC Book Price]]),0)</f>
        <v>0</v>
      </c>
      <c r="FD207" s="5"/>
      <c r="FE207" s="144" t="str">
        <f>IF(SnapshotTable[[#This Row],[SC Is Filled]], btc_next_cutoff_date(SnapshotTable[[#This Row],[SC Fill Date]],SnapshotTable[[#This Row],[SC Exp Date]]),"")</f>
        <v/>
      </c>
      <c r="FF207" s="4" t="str" cm="1">
        <f t="array" ref="FF207">IF(SnapshotTable[[#This Row],[SC Is Filled]], btc_should_buy_back(SnapshotTable[[#This Row],[SC Fill Date]], SnapshotTable[[#This Row],[SC Exp Date]], SnapshotTable[[#This Row],[SC Book Price]], SnapshotTable[[#This Row],[SC Current Ask]], MockToday, SnapshotTable[[#This Row],[SC Buyback Override]]),"")</f>
        <v/>
      </c>
      <c r="FG207" s="4">
        <f>IF(SnapshotTable[[#This Row],[SC Is Filled]], MAX(0,SnapshotTable[[#This Row],[Last Price]]  - SnapshotTable[[#This Row],[SC Strike Price]]), 0)</f>
        <v>0</v>
      </c>
      <c r="FH207" s="382">
        <f>IF(SnapshotTable[[#This Row],[SC Is Filled]], IF(ISNUMBER(SnapshotTable[[#This Row],[SC Current Ask]]), SnapshotTable[[#This Row],[SC Current Ask]], SnapshotTable[[#This Row],[SC Book Price]]) - SnapshotTable[[#This Row],[SC Intrinsic Value]], 0)</f>
        <v>0</v>
      </c>
      <c r="FI207" s="143"/>
      <c r="FJ207" s="32" t="str">
        <f>IF(SnapshotTable[[#This Row],[SC Is Filled]],100 * SnapshotTable[[#This Row],[SC Qty]] * IF(ISNUMBER(SnapshotTable[[#This Row],[SC Buyback Override]]), SnapshotTable[[#This Row],[SC Buyback Override]], SnapshotTable[[#This Row],[SC Current Ask]]), "")</f>
        <v/>
      </c>
      <c r="FK207" s="250" t="str">
        <f>IF(SnapshotTable[[#This Row],[SC Time Val]]&gt;0, SnapshotTable[[#This Row],[SC Time Val]] / SnapshotTable[[#This Row],[Last Price]],"")</f>
        <v/>
      </c>
      <c r="FL207" s="302" t="str">
        <f>IF(SnapshotTable[[#This Row],[SC Is Booked]], ((SnapshotTable[[#This Row],[Last Price]] -SnapshotTable[[#This Row],[SC Strike Price]]) / SnapshotTable[[#This Row],[Last Price]]) * -1, "")</f>
        <v/>
      </c>
      <c r="FM207" s="157" t="str">
        <f>IF(SnapshotTable[[#This Row],[SC Is Booked]],  (SnapshotTable[[#This Row],[SC Qty]] * 100 * SnapshotTable[[#This Row],[SC Strike Price]]) - SnapshotTable[[#This Row],[SC Current Ask]], "")</f>
        <v/>
      </c>
      <c r="FN20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7" s="31" t="str">
        <f>IF(AND(ISNUMBER(SnapshotTable[[#This Row],[SC Exercise Gross]]), ISNUMBER(SnapshotTable[[#This Row],[Equity Basis Per Share]] )), SnapshotTable[[#This Row],[SC Exercise Gross]] - SnapshotTable[[#This Row],[Equity Basis Total]] +  SnapshotTable[[#This Row],[SC Premium]], "")</f>
        <v/>
      </c>
      <c r="FP207" s="5" t="str">
        <f>IF(ISNUMBER(SnapshotTable[[#This Row],[SC Exercise Gross]]), (SnapshotTable[[#This Row],[SC Exercise Gross]]) / (SnapshotTable[[#This Row],[SC Qty]] * 100), "")</f>
        <v/>
      </c>
      <c r="FQ207" s="27" t="str">
        <f>IF(SnapshotTable[[#This Row],[SC Is Booked]],SnapshotTable[[#This Row],[SC Time Val]] /SnapshotTable[[#This Row],[SC Basis]], "")</f>
        <v/>
      </c>
      <c r="FR207" s="27" t="str" cm="1">
        <f t="array" ref="FR207">IF(AND(ISNUMBER(SnapshotTable[[#This Row],[SC Term]]),ISNUMBER(SnapshotTable[[#This Row],[SC Simple ROO]])), EllmanAnnualize(SnapshotTable[[#This Row],[SC DTE]], SnapshotTable[[#This Row],[SC Simple ROO]] ),"")</f>
        <v/>
      </c>
      <c r="FS207" s="4" t="e">
        <f>IF(SnapshotTable[[#This Row],[SC Strike Price]] &gt; SnapshotTable[[#This Row],[Last Price]], SnapshotTable[[#This Row],[SC Strike Price]] - SnapshotTable[[#This Row],[Last Price]],0)</f>
        <v>#VALUE!</v>
      </c>
      <c r="FT207" s="27" t="e">
        <f>IF(AND(ISNUMBER(SnapshotTable[[#This Row],[SC Upside Potential]]), SnapshotTable[[#This Row],[SC Upside Potential]] &gt; 0),(SnapshotTable[[#This Row],[SC Upside Potential]]/ SnapshotTable[[#This Row],[ACB]]),"")</f>
        <v>#VALUE!</v>
      </c>
      <c r="FU207" s="333" t="str">
        <f>IF(SnapshotTable[[#This Row],[SC Intrinsic Value]] &gt; 0,SnapshotTable[[#This Row],[SC Intrinsic Value]],"")</f>
        <v/>
      </c>
      <c r="FV207" s="27" t="str">
        <f>IF(AND( ISNUMBER( SnapshotTable[[#This Row],[ACB]]),ISNUMBER(SnapshotTable[[#This Row],[SC Downside Protect]])),SnapshotTable[[#This Row],[SC Downside Protect]] / SnapshotTable[[#This Row],[ACB]],"")</f>
        <v/>
      </c>
      <c r="FW207" s="236" t="str">
        <f>IF(AND(ISNUMBER(SnapshotTable[[#This Row],[SC Simple ROO]]),SnapshotTable[[#This Row],[SC Simple ROO]] &gt; 0), SnapshotTable[[#This Row],[SC Premium]] + (SnapshotTable[[#This Row],[SC Qty]] * SnapshotTable[[#This Row],[SC Upside Potential]]), "")</f>
        <v/>
      </c>
      <c r="FX207" s="302" t="str" cm="1">
        <f t="array" ref="FX207">IF(ISNUMBER(SnapshotTable[[#This Row],[SC Max Dollars]]), annualize(SnapshotTable[[#This Row],[SC Term]],(SnapshotTable[[#This Row],[SC Max Dollars]]/SnapshotTable[[#This Row],[SC Basis]])),"")</f>
        <v/>
      </c>
      <c r="FY207" s="236" t="str">
        <f>IF(AND(SnapshotTable[[#This Row],[SC Qty]]&gt;0,SnapshotTable[[#This Row],[SC Current Ask]]&gt;0), SnapshotTable[[#This Row],[SC Qty]] * SnapshotTable[[#This Row],[SC Current Ask]] * -100, "")</f>
        <v/>
      </c>
      <c r="FZ207" s="31" t="str">
        <f>IF(ISNUMBER((SnapshotTable[[#This Row],[SC Current Value]])), SnapshotTable[[#This Row],[SC Premium]] + SnapshotTable[[#This Row],[SC Current Value]], "")</f>
        <v/>
      </c>
      <c r="GA207" s="294" t="str">
        <f>IFERROR( IF(ISNUMBER((SnapshotTable[[#This Row],[SC Current Value]])), SnapshotTable[[#This Row],[SC Gain Loss]] / SnapshotTable[[#This Row],[SC Premium]], ""), "")</f>
        <v/>
      </c>
      <c r="GB207" s="42">
        <f>SnapshotTable[[#This Row],[Equity Shares]] * SaleSharesToConsiderPercentage</f>
        <v>0</v>
      </c>
      <c r="GC207" s="40">
        <f>SnapshotTable[[#This Row],[Long Term Target]] * SellingPriceToConsiderBasedOnTargetPercentage</f>
        <v>0</v>
      </c>
      <c r="GD207" s="40">
        <f>SnapshotTable[[#This Row],[Last Price]] * (1+ SellingPriceToConsiderBasedOnTargetPercentage)</f>
        <v>30.595499999999998</v>
      </c>
      <c r="GE207" s="41"/>
      <c r="GF207" s="40"/>
      <c r="GG207" s="31">
        <f>SnapshotTable[[#This Row],[Booked Sale Shares]] * SnapshotTable[[#This Row],[Booked Sale Price]]</f>
        <v>0</v>
      </c>
      <c r="GH207" s="31" t="str">
        <f>IF(SnapshotTable[[#This Row],[Equity Basis Total]] &gt; 0, SnapshotTable[[#This Row],[Equity Basis Per Share]] * SnapshotTable[[#This Row],[Booked Sale Shares]], "")</f>
        <v/>
      </c>
      <c r="GI207" s="31">
        <f>IF(SnapshotTable[[#This Row],[Sale Proceeds]]&gt;0, SnapshotTable[[#This Row],[Sale Proceeds]] - SnapshotTable[[#This Row],[Sale Basis]], 0)</f>
        <v>0</v>
      </c>
      <c r="GJ207" s="27" t="str">
        <f>IF(SnapshotTable[[#This Row],[Sale G/L]]&gt;0, SnapshotTable[[#This Row],[Sale G/L]] / SnapshotTable[[#This Row],[Sale Basis]], IF(ISNUMBER(SnapshotTable[[#This Row],[SC Exercise P&amp;L (TAX)]]), SnapshotTable[[#This Row],[SC Exercise P&amp;L (TAX)]] / SnapshotTable[[#This Row],[SC Basis]], ""))</f>
        <v/>
      </c>
      <c r="GK207" s="27"/>
      <c r="GL207" s="43" t="str">
        <f>IF(AND(SnapshotTable[[#This Row],[LP Exp Date]]&gt;0,SnapshotTable[[#This Row],[LP Strike Price]]&gt;0), [1]!ToOptionSymbol(SnapshotTable[[#This Row],[Symbol]], SnapshotTable[[#This Row],[LP Strike Price]],SnapshotTable[[#This Row],[LP Exp Date]],1), "")</f>
        <v/>
      </c>
      <c r="GM207" s="30" t="str">
        <f>IF(LEN(SnapshotTable[[#This Row],[LP Symbol]])&gt;0, 1, "")</f>
        <v/>
      </c>
      <c r="GN207" s="43" t="str">
        <f>IF(AND(SnapshotTable[[#This Row],[SP Exp Date]]&gt;0,SnapshotTable[[#This Row],[SP Strike Price]]&gt;0), [1]!ToOptionSymbol(SnapshotTable[[#This Row],[Symbol]], SnapshotTable[[#This Row],[SP Strike Price]],SnapshotTable[[#This Row],[SP Exp Date]],1), "")</f>
        <v/>
      </c>
      <c r="GO207" s="30" t="str">
        <f>IF(LEN(SnapshotTable[[#This Row],[SP Symbol]])&gt;0, 1, "")</f>
        <v/>
      </c>
      <c r="GP207" s="43" t="str">
        <f>IF(AND(SnapshotTable[[#This Row],[LC Exp Date]]&gt;0,SnapshotTable[[#This Row],[LC Strike Price]]&gt;0), [1]!ToOptionSymbol(SnapshotTable[[#This Row],[Symbol]], SnapshotTable[[#This Row],[LC Strike Price]],SnapshotTable[[#This Row],[LC Exp Date]],0), "")</f>
        <v/>
      </c>
      <c r="GQ207" s="30" t="str">
        <f>IF(LEN(SnapshotTable[[#This Row],[LC Symbol]])&gt;0, 1, "")</f>
        <v/>
      </c>
      <c r="GR207" s="43" t="str">
        <f>IF(AND(SnapshotTable[[#This Row],[SC Exp Date]]&gt;0,SnapshotTable[[#This Row],[SC Strike Price]]&gt;0), [1]!ToOptionSymbol(SnapshotTable[[#This Row],[Symbol]], SnapshotTable[[#This Row],[SC Strike Price]],SnapshotTable[[#This Row],[SC Exp Date]],0), "")</f>
        <v/>
      </c>
      <c r="GS207" s="30" t="str">
        <f>IF(LEN(SnapshotTable[[#This Row],[SC Symbol]])&gt;0, 1, "")</f>
        <v/>
      </c>
      <c r="GT207" s="29" t="str">
        <f>IF(COUNT(SnapshotTable[[#This Row],[LP Symbol Count]],SnapshotTable[[#This Row],[SP Symbol Count]],SnapshotTable[[#This Row],[LC Symbol Count]],SnapshotTable[[#This Row],[SC Symbol Count]])&gt;0, "Y", "")</f>
        <v/>
      </c>
      <c r="GU20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7" s="231" t="e">
        <f>MAX(SnapshotTable[[#This Row],[Equity Basis Total]],SnapshotTable[[#This Row],[Equity Value]]) + (SnapshotTable[[#This Row],[SP Potential Spend]]- SnapshotTable[[#This Row],[SP Premium]] + SnapshotTable[[#This Row],[LP Premium]])+ (SnapshotTable[[#This Row],[LC Premium]] - SnapshotTable[[#This Row],[SC Premium]])</f>
        <v>#VALUE!</v>
      </c>
      <c r="GW207" s="139" t="e">
        <f>IF(AND(SnapshotTable[[#This Row],[Exposure]] &lt;&gt; 0),SnapshotTable[[#This Row],[Exposure]] / SnapshotTable[[#Totals],[Exposure]], "")</f>
        <v>#VALUE!</v>
      </c>
      <c r="HE207" s="268"/>
      <c r="HF207" s="268"/>
      <c r="HK207" s="1"/>
      <c r="HL207" s="1"/>
      <c r="HM207" s="1"/>
      <c r="HN207" s="1"/>
      <c r="HO207" s="1"/>
      <c r="HP207" s="1"/>
    </row>
    <row r="208" spans="2:224" ht="12.75" hidden="1" customHeight="1" x14ac:dyDescent="0.25">
      <c r="B208" s="12" t="s">
        <v>30</v>
      </c>
      <c r="C208" s="422">
        <v>232.99</v>
      </c>
      <c r="D208" s="208"/>
      <c r="E208" s="39">
        <f>SnapshotTable[[#This Row],[Last Price]]*(1 -CrashDiscount)</f>
        <v>198.04150000000001</v>
      </c>
      <c r="F208" s="26" t="s">
        <v>29</v>
      </c>
      <c r="G208" s="26" t="s">
        <v>20</v>
      </c>
      <c r="H208" s="149"/>
      <c r="I208" s="194">
        <v>44771.270833333336</v>
      </c>
      <c r="J208" s="195">
        <v>44771.270833333336</v>
      </c>
      <c r="K208" s="196"/>
      <c r="L208" s="326" t="s">
        <v>28</v>
      </c>
      <c r="M208" s="140"/>
      <c r="N208" s="140" t="b">
        <v>1</v>
      </c>
      <c r="O208" s="140">
        <v>3</v>
      </c>
      <c r="P208" s="22"/>
      <c r="Q208" s="25"/>
      <c r="R208" s="4" t="str">
        <f>IF(SnapshotTable[[#This Row],[Equity Basis Total]] &gt; 0, SnapshotTable[[#This Row],[Equity Basis Total]] / SnapshotTable[[#This Row],[Equity Shares]], "")</f>
        <v/>
      </c>
      <c r="S208" s="269">
        <f>SnapshotTable[[#This Row],[Last Price]] * SnapshotTable[[#This Row],[Equity Shares]]</f>
        <v>0</v>
      </c>
      <c r="T208" s="269">
        <f>SnapshotTable[[#This Row],[Equity Value]] - SnapshotTable[[#This Row],[Equity Basis Total]]</f>
        <v>0</v>
      </c>
      <c r="U208" s="270" t="str">
        <f>IF(SnapshotTable[[#This Row],[Equity Basis Total]] &gt; 0, SnapshotTable[[#This Row],[Equity G/L]] / SnapshotTable[[#This Row],[Equity Basis Total]], "")</f>
        <v/>
      </c>
      <c r="V208" s="268"/>
      <c r="W208" s="268"/>
      <c r="X208" s="4" t="str">
        <f>IF(AND(ISNUMBER(SnapshotTable[[#This Row],[Equity Basis Per Share]]),ISNUMBER(SnapshotTable[[#This Row],[Equity Target]])),SnapshotTable[[#This Row],[Equity Target]]-SnapshotTable[[#This Row],[Equity Basis Per Share]],"")</f>
        <v/>
      </c>
      <c r="Y208" s="4" t="str">
        <f>IF(AND(ISNUMBER(SnapshotTable[[#This Row],[Equity Basis Per Share]]),ISNUMBER(SnapshotTable[[#This Row],[Equity Stop Loss]])),SnapshotTable[[#This Row],[Equity Stop Loss]]-SnapshotTable[[#This Row],[Equity Basis Per Share]],"")</f>
        <v/>
      </c>
      <c r="Z208" s="275" t="str">
        <f>IFERROR( TEXT(SnapshotTable[[#This Row],[Equity Max Gain Per Share]] /ABS( SnapshotTable[[#This Row],[Equity Max Loss Per Share]]),"0.0 " ) &amp; " : 1", "")</f>
        <v/>
      </c>
      <c r="AA208" s="31" t="str">
        <f>IF(ISNUMBER(SnapshotTable[[#This Row],[Equity Max Gain Per Share]]),SnapshotTable[[#This Row],[Equity Max Gain Per Share]] * SnapshotTable[[#This Row],[Equity Shares]],"")</f>
        <v/>
      </c>
      <c r="AB208" s="31" t="str">
        <f>IF(ISNUMBER(SnapshotTable[[#This Row],[Equity Max Loss Per Share]]),SnapshotTable[[#This Row],[Equity Max Loss Per Share]] * SnapshotTable[[#This Row],[Equity Shares]],"")</f>
        <v/>
      </c>
      <c r="AC208" s="150">
        <v>2.52</v>
      </c>
      <c r="AD208" s="151">
        <v>43805</v>
      </c>
      <c r="AE208" s="31">
        <f>(SnapshotTable[[#This Row],[Annual Dividend Per Share]] / 4) * SnapshotTable[[#This Row],[Equity Shares]]</f>
        <v>0</v>
      </c>
      <c r="AF208" s="31">
        <f>SnapshotTable[[#This Row],[Quarterly Div $]] * 4</f>
        <v>0</v>
      </c>
      <c r="AG208" s="7">
        <f>IF(SnapshotTable[[#This Row],[Annual Dividend Per Share]]&gt;0, SnapshotTable[[#This Row],[Annual Dividend Per Share]]  / SnapshotTable[[#This Row],[Last Price]], 0)</f>
        <v>1.0815914846130734E-2</v>
      </c>
      <c r="AH208" s="151">
        <v>43784</v>
      </c>
      <c r="AI208" s="5">
        <v>175</v>
      </c>
      <c r="AJ208" s="138">
        <v>157.85</v>
      </c>
      <c r="AK208" s="152">
        <f>IF(ISNUMBER( SnapshotTable[[#This Row],[EBF Target]]),(SnapshotTable[[#This Row],[EBF Target]] - SnapshotTable[[#This Row],[Last Price]]) / SnapshotTable[[#This Row],[Last Price]], "")</f>
        <v>-0.24889480235203232</v>
      </c>
      <c r="AL208" s="152" t="str">
        <f>IF(AND(SnapshotTable[[#This Row],[Equity Basis Total]] &gt; 0,ISNUMBER( SnapshotTable[[#This Row],[Long Term Target]])), SnapshotTable[[#This Row],[From Basis $]] / SnapshotTable[[#This Row],[Equity Basis Total]], "")</f>
        <v/>
      </c>
      <c r="AM208" s="9">
        <f>IF( AND(SnapshotTable[[#This Row],[Equity Shares]] &gt;0,ISNUMBER( SnapshotTable[[#This Row],[Long Term Target]])),(SnapshotTable[[#This Row],[Equity Shares]] * SnapshotTable[[#This Row],[Long Term Target]]) - SnapshotTable[[#This Row],[Equity Basis Total]],0)</f>
        <v>0</v>
      </c>
      <c r="AN208" s="9">
        <f>IF( AND(SnapshotTable[[#This Row],[Equity Shares]] &gt;0,ISNUMBER( SnapshotTable[[#This Row],[Long Term Target]])),(SnapshotTable[[#This Row],[Equity Shares]]*SnapshotTable[[#This Row],[Long Term Target]]) - SnapshotTable[[#This Row],[Equity Value]],0)</f>
        <v>0</v>
      </c>
      <c r="AO208" s="152">
        <f>IF(AND(ISNUMBER( SnapshotTable[[#This Row],[Long Term Target]]), ISNUMBER(SnapshotTable[[#This Row],[Last Price]])),(SnapshotTable[[#This Row],[Long Term Target]] - SnapshotTable[[#This Row],[Last Price]]) / SnapshotTable[[#This Row],[Last Price]], "")</f>
        <v>-0.32250311172153318</v>
      </c>
      <c r="AP208" s="5"/>
      <c r="AQ208" s="38"/>
      <c r="AR208" s="5"/>
      <c r="AS208" s="38"/>
      <c r="AT208" s="146"/>
      <c r="AU208" s="187" t="str">
        <f>IF(OR(SnapshotTable[[#This Row],[LP No Fill]]="Y",SnapshotTable[[#This Row],[SP Is Filled]],SnapshotTable[[#This Row],[LC Not Filled]]="Y",SnapshotTable[[#This Row],[SC Is Filled]]),"Y","")</f>
        <v/>
      </c>
      <c r="AV208" s="219"/>
      <c r="AW208" s="225"/>
      <c r="AX208" s="220"/>
      <c r="AY208" s="219" t="str">
        <f>IF(SnapshotTable[[#This Row],[Implied Move]]&gt;0, SnapshotTable[[#This Row],[Last Price]]-SnapshotTable[[#This Row],[Implied Move]],"")</f>
        <v/>
      </c>
      <c r="AZ208" s="219" t="str">
        <f>IF(SnapshotTable[[#This Row],[Implied Move]]&gt;0, SnapshotTable[[#This Row],[Last Price]] + SnapshotTable[[#This Row],[Implied Move]],"")</f>
        <v/>
      </c>
      <c r="BA208" s="331"/>
      <c r="BB208" s="347"/>
      <c r="BC20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8" s="351"/>
      <c r="BE208" s="5"/>
      <c r="BF208" s="14"/>
      <c r="BG208" s="13"/>
      <c r="BH208" s="13"/>
      <c r="BI208" s="5"/>
      <c r="BJ208" s="136">
        <f>IF(SnapshotTable[[#This Row],[LP Qty]] &gt; 0, SnapshotTable[[#This Row],[LP Qty]] * SnapshotTable[[#This Row],[LP Book Price]] * 100,0)</f>
        <v>0</v>
      </c>
      <c r="BK208" s="136">
        <f>IF(SnapshotTable[[#This Row],[LP Premium]] &gt; 0, SnapshotTable[[#This Row],[LP Qty]] * SnapshotTable[[#This Row],[LP Strike Price]] * 100,0)</f>
        <v>0</v>
      </c>
      <c r="BL208" s="154"/>
      <c r="BM208" s="385" t="str">
        <f>IF(SnapshotTable[[#This Row],[LP Premium]] &gt; 0,SnapshotTable[[#This Row],[LP Exp Date]]-MAX(SnapshotTable[[#This Row],[LP Book Date]], SnapshotTable[[#This Row],[LP Fill Date]]),"")</f>
        <v/>
      </c>
      <c r="BN208" s="385" t="str">
        <f>IF(ISNUMBER( SnapshotTable[[#This Row],[LP Term]]), SnapshotTable[[#This Row],[LP Exp Date]] - MockToday,"")</f>
        <v/>
      </c>
      <c r="BO208" s="163" t="str">
        <f>IF(AND(SnapshotTable[[#This Row],[LP Exp Date]]&gt;0, SnapshotTable[[#This Row],[LP Strike Price]]&gt;0,SnapshotTable[[#This Row],[LP Qty]]&gt;0,SnapshotTable[[#This Row],[LP Book Date]]&gt;0,SnapshotTable[[#This Row],[LP Book Price]]&gt;0,SnapshotTable[[#This Row],[LP Fill Date]]=0),"Y","")</f>
        <v/>
      </c>
      <c r="BP208" s="31" t="str">
        <f>IF(AND(SnapshotTable[[#This Row],[LP No Fill]]&lt;&gt;"Y",SnapshotTable[[#This Row],[LP Contract Value]]&gt;0, SnapshotTable[[#This Row],[LP Qty]]&gt;0), SnapshotTable[[#This Row],[LP Contract Value]]*SnapshotTable[[#This Row],[LP Qty]]*100,"")</f>
        <v/>
      </c>
      <c r="BQ208" s="13"/>
      <c r="BR208" s="5" t="str">
        <f>IF(SnapshotTable[[#This Row],[SP Exp Date]]&lt;&gt;"",TRUNC(SnapshotTable[[#This Row],[Last Price]]),"")</f>
        <v/>
      </c>
      <c r="BS208" s="36"/>
      <c r="BT208" s="147"/>
      <c r="BU208" s="13"/>
      <c r="BV208" s="5"/>
      <c r="BW208" s="419" t="b">
        <f>AND(ISNUMBER(SnapshotTable[[#This Row],[SP Exp Date]]), ISNUMBER(SnapshotTable[[#This Row],[SP Strike Price]]), ISNUMBER(SnapshotTable[[#This Row],[SP Qty]]), ISNUMBER(SnapshotTable[[#This Row],[SP Book Date]]), ISNUMBER(SnapshotTable[[#This Row],[SP Book Price]]))</f>
        <v>0</v>
      </c>
      <c r="BX208" s="419" t="b">
        <f>AND(SnapshotTable[[#This Row],[SP Is Booked]], NOT(ISBLANK(SnapshotTable[[#This Row],[SP Fill Date]])))</f>
        <v>0</v>
      </c>
      <c r="BY208" s="33">
        <f>IF(SnapshotTable[[#This Row],[SP Is Booked]], SnapshotTable[[#This Row],[SP Qty]] * SnapshotTable[[#This Row],[SP Book Price]] * 100, 0)</f>
        <v>0</v>
      </c>
      <c r="BZ208" s="369"/>
      <c r="CA208" s="368">
        <f>SnapshotTable[[#This Row],[LP Qty]]</f>
        <v>0</v>
      </c>
      <c r="CB208" s="4" t="str">
        <f>IF(SnapshotTable[[#This Row],[SP Is Booked]], SnapshotTable[[#This Row],[SP Strike Price]] - SnapshotTable[[#This Row],[SP Book Price]], "")</f>
        <v/>
      </c>
      <c r="CC208" s="19" t="str">
        <f>IF(SnapshotTable[[#This Row],[SP Is Booked]],SnapshotTable[[#This Row],[SP Exp Date]]-MAX(SnapshotTable[[#This Row],[SP Book Date]], SnapshotTable[[#This Row],[SP Fill Date]]),"")</f>
        <v/>
      </c>
      <c r="CD208" s="7" t="str">
        <f>IF(SnapshotTable[[#This Row],[SP Is Booked]], SnapshotTable[[#This Row],[SP Book Price]]/SnapshotTable[[#This Row],[SP Strike Price]], "")</f>
        <v/>
      </c>
      <c r="CE208" s="7" t="str">
        <f>IF(ISNUMBER(SnapshotTable[[#This Row],[SP ROO Term]]),SnapshotTable[[#This Row],[SP ROO Term]]*(365/SnapshotTable[[#This Row],[SP Term]]),"")</f>
        <v/>
      </c>
      <c r="CF208" s="236">
        <f>SnapshotTable[[#This Row],[LP Strike Price]] * SnapshotTable[[#This Row],[LP Qty]] * 100</f>
        <v>0</v>
      </c>
      <c r="CG208" s="31" t="e">
        <f>IF(ISNUMBER(SnapshotTable[[#This Row],[SP Premium]]), (SnapshotTable[[#This Row],[SP Qty]] * SnapshotTable[[#This Row],[SP Strike Price]]* 100) - SnapshotTable[[#This Row],[LP Protection]], 0)</f>
        <v>#VALUE!</v>
      </c>
      <c r="CH208" s="7" t="str">
        <f>IF(ISNUMBER(SnapshotTable[[#This Row],[SP Break Even]]),-1 * (SnapshotTable[[#This Row],[SP Break Even]] - SnapshotTable[[#This Row],[Last Price]]) / SnapshotTable[[#This Row],[Last Price]], "")</f>
        <v/>
      </c>
      <c r="CI208" s="31">
        <f>IF(AND(ISNUMBER((SnapshotTable[[#This Row],[SP Potential Spend]])), SnapshotTable[[#This Row],[SP Strike Price]] &gt; SnapshotTable[[#This Row],[Last Price]], SnapshotTable[[#This Row],[SP Is Filled]]), SnapshotTable[[#This Row],[SP Potential Spend]] -  SnapshotTable[[#This Row],[LP Max Value]], 0)</f>
        <v>0</v>
      </c>
      <c r="CJ208" s="244"/>
      <c r="CK208" s="31" t="str">
        <f>IF(ISNUMBER(SnapshotTable[[#This Row],[SP Potential Spend]]),IF(ISNUMBER(SnapshotTable[[#This Row],[SP POW]]), SnapshotTable[[#This Row],[SP POW]] * SnapshotTable[[#This Row],[SP Potential Spend]], SnapshotTable[[#This Row],[SP Potential Spend]]), "")</f>
        <v/>
      </c>
      <c r="CL208" s="164" t="e">
        <f>IF(NOT(SnapshotTable[[#This Row],[SP Is Filled]]),(SnapshotTable[[#This Row],[SP Qty]] * SnapshotTable[[#This Row],[SP Strike Price]] * 100) - SnapshotTable[[#This Row],[LP Max Value]],"")</f>
        <v>#VALUE!</v>
      </c>
      <c r="CM208" s="31" t="str">
        <f>IF(SnapshotTable[[#This Row],[SP Actual Spend]]&lt;&gt;0, ((SnapshotTable[[#This Row],[SP Strike Price]]-SnapshotTable[[#This Row],[Last Price]]) *(SnapshotTable[[#This Row],[SP Qty]]*100) - SnapshotTable[[#This Row],[SP Premium]]) * - 1, "")</f>
        <v/>
      </c>
      <c r="CN208" s="78"/>
      <c r="CO208" s="369"/>
      <c r="CP208" s="4" t="str">
        <f>IF(SnapshotTable[[#This Row],[SP Is Filled]], btc_max_buyback_amount(SnapshotTable[[#This Row],[SP Fill Date]],SnapshotTable[[#This Row],[SP Exp Date]], SnapshotTable[[#This Row],[SP Book Price]]),"")</f>
        <v/>
      </c>
      <c r="CQ208" s="78"/>
      <c r="CR20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8" s="155" t="str">
        <f>IF(SnapshotTable[[#This Row],[SP Is Filled]], btc_next_cutoff_date(SnapshotTable[[#This Row],[SP Fill Date]],SnapshotTable[[#This Row],[SP Exp Date]]),"")</f>
        <v/>
      </c>
      <c r="CT208" s="235" t="str" cm="1">
        <f t="array" ref="CT208">IF(SnapshotTable[[#This Row],[SP Is Filled]], btc_should_buy_back(SnapshotTable[[#This Row],[SP Fill Date]], SnapshotTable[[#This Row],[SP Exp Date]], SnapshotTable[[#This Row],[SP Book Price]], SnapshotTable[[#This Row],[SP Current Ask]], MockToday, SnapshotTable[[#This Row],[SP Buyback Override]]),"")</f>
        <v/>
      </c>
      <c r="CU208" s="143"/>
      <c r="CV208" s="235"/>
      <c r="CW208" s="378" t="str">
        <f>IF(ISNUMBER( SnapshotTable[[#This Row],[SP Term]]), SnapshotTable[[#This Row],[SP Exp Date]] - MockToday,"")</f>
        <v/>
      </c>
      <c r="CX208" s="31" t="str">
        <f>IF(SnapshotTable[[#This Row],[SP Is Filled]],SnapshotTable[[#This Row],[SP Buyback Price to Use]] * 100 * SnapshotTable[[#This Row],[SP Qty]], "")</f>
        <v/>
      </c>
      <c r="CY208" s="4" t="str">
        <f>IF(ISNUMBER(SnapshotTable[[#This Row],[SP Strike Price]]), SnapshotTable[[#This Row],[SP Strike Price]] * (1 - SP_MaxLoss_StrikePct), "")</f>
        <v/>
      </c>
      <c r="CZ208" s="31" t="str">
        <f>IF(ISNUMBER(SnapshotTable[[#This Row],[SP Strike  Stop Per Share]]),SnapshotTable[[#This Row],[SP Premium]] - ((SnapshotTable[[#This Row],[SP Strike Price]]-SnapshotTable[[#This Row],[SP Strike  Stop Per Share]]) *(SnapshotTable[[#This Row],[SP Qty]] * 100)),"")</f>
        <v/>
      </c>
      <c r="DA208" s="4" t="str">
        <f>IF(AND(ISNUMBER(SnapshotTable[[#This Row],[SP Premium]]),SnapshotTable[[#This Row],[SP Premium]]&gt;0), SnapshotTable[[#This Row],[SP Book Price]] * (1 + SP_MaxLoss_OptionPct), "")</f>
        <v/>
      </c>
      <c r="DB208" s="31" t="str">
        <f>IF(ISNUMBER(SnapshotTable[[#This Row],[SP Option  Stop Contract]]),(SnapshotTable[[#This Row],[SP Option  Stop Contract]] *(SnapshotTable[[#This Row],[SP Qty]] * 100) - SnapshotTable[[#This Row],[SP Premium]]),"")</f>
        <v/>
      </c>
      <c r="DC208" s="4"/>
      <c r="DD208" s="4"/>
      <c r="DE208" s="4" t="str">
        <f>IF(AND(SnapshotTable[[#This Row],[SP Qty]]&gt;0, SnapshotTable[[#This Row],[SP Stop To Use]]&gt;0),SnapshotTable[[#This Row],[SP Premium]] - ( SnapshotTable[[#This Row],[SP Qty]] * SnapshotTable[[#This Row],[SP Stop To Use]] * 100), "")</f>
        <v/>
      </c>
      <c r="DF208" s="31" t="str">
        <f>IF(AND(SnapshotTable[[#This Row],[SP Qty]]&gt;0,SnapshotTable[[#This Row],[SP Current Ask]]&gt;0), SnapshotTable[[#This Row],[SP Qty]] * SnapshotTable[[#This Row],[SP Current Ask]] * -100, "")</f>
        <v/>
      </c>
      <c r="DG208" s="31" t="str">
        <f>IF(ISNUMBER((SnapshotTable[[#This Row],[SP Total Value]])), SnapshotTable[[#This Row],[SP Premium]] + SnapshotTable[[#This Row],[SP Total Value]], "")</f>
        <v/>
      </c>
      <c r="DH208" s="294" t="str">
        <f>IF(ISNUMBER((SnapshotTable[[#This Row],[SP Total Value]])), SnapshotTable[[#This Row],[SP Gain Loss]] / SnapshotTable[[#This Row],[SP Premium]], "")</f>
        <v/>
      </c>
      <c r="DI208" s="406"/>
      <c r="DJ208" s="138"/>
      <c r="DK208" s="148"/>
      <c r="DL208" s="13"/>
      <c r="DM208" s="13"/>
      <c r="DO208" s="31">
        <f>IF(SnapshotTable[[#This Row],[LC Symbol Count]]=1, SnapshotTable[[#This Row],[LC Qty]] * SnapshotTable[[#This Row],[LC Book Price]] * 100, 0)</f>
        <v>0</v>
      </c>
      <c r="DP208" s="163" t="str">
        <f>IF(AND(SnapshotTable[[#This Row],[LC Exp Date]]&gt;0, SnapshotTable[[#This Row],[LC Strike Price]]&gt;0,SnapshotTable[[#This Row],[LC Qty]]&gt;0,SnapshotTable[[#This Row],[LC Book Date]]&gt;0,SnapshotTable[[#This Row],[LC Book Price]]&gt;0,SnapshotTable[[#This Row],[LC Fill Date]]=0),"Y","")</f>
        <v/>
      </c>
      <c r="DQ208" s="386" t="str">
        <f>IF(SnapshotTable[[#This Row],[LC Premium]] &gt; 0,SnapshotTable[[#This Row],[LC Exp Date]]-MAX(SnapshotTable[[#This Row],[LC Book Date]], SnapshotTable[[#This Row],[LC Fill Date]]),"")</f>
        <v/>
      </c>
      <c r="DR208" s="386" t="str">
        <f>IF(ISNUMBER(SnapshotTable[[#This Row],[LC Term]]), SnapshotTable[[#This Row],[LC Exp Date]] - MockToday, "")</f>
        <v/>
      </c>
      <c r="DS208" s="234" t="str">
        <f>IF(SnapshotTable[[#This Row],[LC Premium]]&gt;0,SnapshotTable[[#This Row],[LC Strike Price]] + SnapshotTable[[#This Row],[LC Book Price]],"")</f>
        <v/>
      </c>
      <c r="DU208" s="9" t="str">
        <f>IF(AND(SnapshotTable[[#This Row],[LC Symbol Count]]&gt;0, SnapshotTable[[#This Row],[LC Contract Value]]&gt;0), SnapshotTable[[#This Row],[LC Contract Value]] * SnapshotTable[[#This Row],[LC Qty]] * 100, "")</f>
        <v/>
      </c>
      <c r="DV208" s="9" t="str">
        <f>IF(AND(ISNUMBER(SnapshotTable[[#This Row],[LC Total Value]]), SnapshotTable[[#This Row],[LC Not Filled]]&lt;&gt;"Y"), SnapshotTable[[#This Row],[LC Total Value]]-SnapshotTable[[#This Row],[LC Premium]],"")</f>
        <v/>
      </c>
      <c r="DW208" s="240" t="str">
        <f>IF(ISNUMBER(SnapshotTable[[#This Row],[LC Actual Gain Loss]]), SnapshotTable[[#This Row],[LC Actual Gain Loss]] / SnapshotTable[[#This Row],[LC Premium]],"")</f>
        <v/>
      </c>
      <c r="DX208" s="284" t="str">
        <f>IF(ISNUMBER(SnapshotTable[[#This Row],[LC Book Price]]),SnapshotTable[[#This Row],[LC Book Price]] * 1.5,"")</f>
        <v/>
      </c>
      <c r="DY208" s="265" t="str">
        <f>IF(SnapshotTable[[#This Row],[LC Premium]]&gt;0, SnapshotTable[[#This Row],[LC Next Target]] * SnapshotTable[[#This Row],[LC Qty]] * 100,"")</f>
        <v/>
      </c>
      <c r="DZ208" s="265" t="str">
        <f>IF(ISNUMBER(SnapshotTable[[#This Row],[LC Target Gross]]), SnapshotTable[[#This Row],[LC Target Gross]] - SnapshotTable[[#This Row],[LC Premium]], "")</f>
        <v/>
      </c>
      <c r="EA208" s="305" t="str">
        <f>IF(ISNUMBER(SnapshotTable[[#This Row],[LC Target Gain Loss]]), SnapshotTable[[#This Row],[LC Target Gain Loss]]/SnapshotTable[[#This Row],[LC Premium]], "")</f>
        <v/>
      </c>
      <c r="EB208" s="262"/>
      <c r="EC208" s="283" t="str">
        <f>IF(SnapshotTable[[#This Row],[LC Premium]]&gt;0, SnapshotTable[[#This Row],[LC Book Price]] * (1 - LC_StopLoss_Pct),"")</f>
        <v/>
      </c>
      <c r="ED208" s="284"/>
      <c r="EE208" s="283" t="str">
        <f>IF(ISNUMBER(SnapshotTable[[#This Row],[LC Contract Value]]),IF(ISNUMBER(SnapshotTable[[#This Row],[LC Stop Loss Override]]), SnapshotTable[[#This Row],[LC Stop Loss Override]],SnapshotTable[[#This Row],[LC Stop Loss Calc Target]]),"")</f>
        <v/>
      </c>
      <c r="EF208" s="31" t="str">
        <f>IF(ISNUMBER(SnapshotTable[[#This Row],[LC Stop  To Use]]), (SnapshotTable[[#This Row],[LC Stop  To Use]] * SnapshotTable[[#This Row],[LC Qty]] * 100),"")</f>
        <v/>
      </c>
      <c r="EG208" s="9" t="str">
        <f>IF(ISNUMBER(SnapshotTable[[#This Row],[LC Total Value]]),SnapshotTable[[#This Row],[LC Stop Loss Amount]] - SnapshotTable[[#This Row],[LC Premium]],"")</f>
        <v/>
      </c>
      <c r="EH208" s="9">
        <f>IF(ISNUMBER(SnapshotTable[[#This Row],[LC Premium]]), SnapshotTable[[#This Row],[LC Qty]] * 100 * SnapshotTable[[#This Row],[LC Strike Price]], "")</f>
        <v>0</v>
      </c>
      <c r="EI208" s="240" t="str">
        <f>IF(AND(ISNUMBER(SnapshotTable[[#This Row],[LC Total Value]]),SnapshotTable[[#This Row],[LC Total Value]]&gt;0),SnapshotTable[[#This Row],[LC Stop Gain Loss]]  / SnapshotTable[[#This Row],[LC Premium]],"")</f>
        <v/>
      </c>
      <c r="EJ208" s="35">
        <f>IF(ISNUMBER(SnapshotTable[[#This Row],[Equity Shares]]),TRUNC(SnapshotTable[[#This Row],[Equity Shares]] / 100),0) + SnapshotTable[[#This Row],[LC Qty]]</f>
        <v>0</v>
      </c>
      <c r="EK208" s="147"/>
      <c r="EL208" s="138" t="str">
        <f>IF(SnapshotTable[[#This Row],[SC Exp Date]]&lt;&gt;"",TRUNC(SnapshotTable[[#This Row],[Last Price]]),"")</f>
        <v/>
      </c>
      <c r="EM208" s="148"/>
      <c r="EN208" s="147"/>
      <c r="EO208" s="147"/>
      <c r="EP208" s="138"/>
      <c r="EQ208" s="419" t="b">
        <f>AND(ISNUMBER(SnapshotTable[[#This Row],[SC Exp Date]]), ISNUMBER(SnapshotTable[[#This Row],[SC Strike Price]]), ISNUMBER(SnapshotTable[[#This Row],[SC Qty]]), ISNUMBER(SnapshotTable[[#This Row],[SC Book Date]]), ISNUMBER(SnapshotTable[[#This Row],[SC Book Price]]))</f>
        <v>0</v>
      </c>
      <c r="ER208" s="419" t="b">
        <f>AND(SnapshotTable[[#This Row],[SC Is Booked]], NOT(ISBLANK(SnapshotTable[[#This Row],[SC Fill Date]])))</f>
        <v>0</v>
      </c>
      <c r="ES208" s="370"/>
      <c r="ET208" s="34" t="str">
        <f>IF(AND(ISNUMBER(SnapshotTable[[#This Row],[SC Exp Date]]), ISNUMBER(SnapshotTable[[#This Row],[SC Book Date]])), SnapshotTable[[#This Row],[SC Exp Date]] - MAX(SnapshotTable[[#This Row],[SC Book Date]], SnapshotTable[[#This Row],[SC Fill Date]]) + 1, "")</f>
        <v/>
      </c>
      <c r="EU208" s="34" t="str">
        <f>IF(ISNUMBER(SnapshotTable[[#This Row],[SC Term]]), SnapshotTable[[#This Row],[SC Exp Date]]- MockToday, "")</f>
        <v/>
      </c>
      <c r="EV208" s="31">
        <f>IF(SnapshotTable[[#This Row],[SC Is Booked]], SnapshotTable[[#This Row],[SC Qty]] * SnapshotTable[[#This Row],[SC Book Price]] * 100, 0)</f>
        <v>0</v>
      </c>
      <c r="EW208" s="4" t="str">
        <f>IF(AND(ISNUMBER(SnapshotTable[[#This Row],[Last Price]]), ISNUMBER( SnapshotTable[[#This Row],[SC Book Price]])), SnapshotTable[[#This Row],[Last Price]] - SnapshotTable[[#This Row],[SC Book Price]],"")</f>
        <v/>
      </c>
      <c r="EX208" s="234" t="str">
        <f>IF(SnapshotTable[[#This Row],[SC Is Booked]],IF(SnapshotTable[[#This Row],[SC Intrinsic Value]] &gt; 0, SnapshotTable[[#This Row],[SC Strike Price]], SnapshotTable[[#This Row],[Last Price]]), "")</f>
        <v/>
      </c>
      <c r="EY208" s="4">
        <f>IF(SnapshotTable[[#This Row],[SC Is Booked]], (MinimumPremiumRequired * SnapshotTable[[#This Row],[SC Basis]] * SnapshotTable[[#This Row],[SC Term]]), 0)</f>
        <v>0</v>
      </c>
      <c r="EZ208" s="283"/>
      <c r="FA208" s="218"/>
      <c r="FB208" s="370"/>
      <c r="FC208" s="4">
        <f>IF(SnapshotTable[[#This Row],[SC Is Filled]], btc_max_buyback_amount(SnapshotTable[[#This Row],[SC Fill Date]],SnapshotTable[[#This Row],[SC Exp Date]], SnapshotTable[[#This Row],[SC Book Price]]),0)</f>
        <v>0</v>
      </c>
      <c r="FD208" s="5"/>
      <c r="FE208" s="144" t="str">
        <f>IF(SnapshotTable[[#This Row],[SC Is Filled]], btc_next_cutoff_date(SnapshotTable[[#This Row],[SC Fill Date]],SnapshotTable[[#This Row],[SC Exp Date]]),"")</f>
        <v/>
      </c>
      <c r="FF208" s="4" t="str" cm="1">
        <f t="array" ref="FF208">IF(SnapshotTable[[#This Row],[SC Is Filled]], btc_should_buy_back(SnapshotTable[[#This Row],[SC Fill Date]], SnapshotTable[[#This Row],[SC Exp Date]], SnapshotTable[[#This Row],[SC Book Price]], SnapshotTable[[#This Row],[SC Current Ask]], MockToday, SnapshotTable[[#This Row],[SC Buyback Override]]),"")</f>
        <v/>
      </c>
      <c r="FG208" s="4">
        <f>IF(SnapshotTable[[#This Row],[SC Is Filled]], MAX(0,SnapshotTable[[#This Row],[Last Price]]  - SnapshotTable[[#This Row],[SC Strike Price]]), 0)</f>
        <v>0</v>
      </c>
      <c r="FH208" s="382">
        <f>IF(SnapshotTable[[#This Row],[SC Is Filled]], IF(ISNUMBER(SnapshotTable[[#This Row],[SC Current Ask]]), SnapshotTable[[#This Row],[SC Current Ask]], SnapshotTable[[#This Row],[SC Book Price]]) - SnapshotTable[[#This Row],[SC Intrinsic Value]], 0)</f>
        <v>0</v>
      </c>
      <c r="FI208" s="143"/>
      <c r="FJ208" s="32" t="str">
        <f>IF(SnapshotTable[[#This Row],[SC Is Filled]],100 * SnapshotTable[[#This Row],[SC Qty]] * IF(ISNUMBER(SnapshotTable[[#This Row],[SC Buyback Override]]), SnapshotTable[[#This Row],[SC Buyback Override]], SnapshotTable[[#This Row],[SC Current Ask]]), "")</f>
        <v/>
      </c>
      <c r="FK208" s="250" t="str">
        <f>IF(SnapshotTable[[#This Row],[SC Time Val]]&gt;0, SnapshotTable[[#This Row],[SC Time Val]] / SnapshotTable[[#This Row],[Last Price]],"")</f>
        <v/>
      </c>
      <c r="FL208" s="302" t="str">
        <f>IF(SnapshotTable[[#This Row],[SC Is Booked]], ((SnapshotTable[[#This Row],[Last Price]] -SnapshotTable[[#This Row],[SC Strike Price]]) / SnapshotTable[[#This Row],[Last Price]]) * -1, "")</f>
        <v/>
      </c>
      <c r="FM208" s="157" t="str">
        <f>IF(SnapshotTable[[#This Row],[SC Is Booked]],  (SnapshotTable[[#This Row],[SC Qty]] * 100 * SnapshotTable[[#This Row],[SC Strike Price]]) - SnapshotTable[[#This Row],[SC Current Ask]], "")</f>
        <v/>
      </c>
      <c r="FN20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8" s="31" t="str">
        <f>IF(AND(ISNUMBER(SnapshotTable[[#This Row],[SC Exercise Gross]]), ISNUMBER(SnapshotTable[[#This Row],[Equity Basis Per Share]] )), SnapshotTable[[#This Row],[SC Exercise Gross]] - SnapshotTable[[#This Row],[Equity Basis Total]] +  SnapshotTable[[#This Row],[SC Premium]], "")</f>
        <v/>
      </c>
      <c r="FP208" s="5" t="str">
        <f>IF(ISNUMBER(SnapshotTable[[#This Row],[SC Exercise Gross]]), (SnapshotTable[[#This Row],[SC Exercise Gross]]) / (SnapshotTable[[#This Row],[SC Qty]] * 100), "")</f>
        <v/>
      </c>
      <c r="FQ208" s="27" t="str">
        <f>IF(SnapshotTable[[#This Row],[SC Is Booked]],SnapshotTable[[#This Row],[SC Time Val]] /SnapshotTable[[#This Row],[SC Basis]], "")</f>
        <v/>
      </c>
      <c r="FR208" s="27" t="str" cm="1">
        <f t="array" ref="FR208">IF(AND(ISNUMBER(SnapshotTable[[#This Row],[SC Term]]),ISNUMBER(SnapshotTable[[#This Row],[SC Simple ROO]])), EllmanAnnualize(SnapshotTable[[#This Row],[SC DTE]], SnapshotTable[[#This Row],[SC Simple ROO]] ),"")</f>
        <v/>
      </c>
      <c r="FS208" s="4" t="e">
        <f>IF(SnapshotTable[[#This Row],[SC Strike Price]] &gt; SnapshotTable[[#This Row],[Last Price]], SnapshotTable[[#This Row],[SC Strike Price]] - SnapshotTable[[#This Row],[Last Price]],0)</f>
        <v>#VALUE!</v>
      </c>
      <c r="FT208" s="27" t="e">
        <f>IF(AND(ISNUMBER(SnapshotTable[[#This Row],[SC Upside Potential]]), SnapshotTable[[#This Row],[SC Upside Potential]] &gt; 0),(SnapshotTable[[#This Row],[SC Upside Potential]]/ SnapshotTable[[#This Row],[ACB]]),"")</f>
        <v>#VALUE!</v>
      </c>
      <c r="FU208" s="333" t="str">
        <f>IF(SnapshotTable[[#This Row],[SC Intrinsic Value]] &gt; 0,SnapshotTable[[#This Row],[SC Intrinsic Value]],"")</f>
        <v/>
      </c>
      <c r="FV208" s="27" t="str">
        <f>IF(AND( ISNUMBER( SnapshotTable[[#This Row],[ACB]]),ISNUMBER(SnapshotTable[[#This Row],[SC Downside Protect]])),SnapshotTable[[#This Row],[SC Downside Protect]] / SnapshotTable[[#This Row],[ACB]],"")</f>
        <v/>
      </c>
      <c r="FW208" s="236" t="str">
        <f>IF(AND(ISNUMBER(SnapshotTable[[#This Row],[SC Simple ROO]]),SnapshotTable[[#This Row],[SC Simple ROO]] &gt; 0), SnapshotTable[[#This Row],[SC Premium]] + (SnapshotTable[[#This Row],[SC Qty]] * SnapshotTable[[#This Row],[SC Upside Potential]]), "")</f>
        <v/>
      </c>
      <c r="FX208" s="302" t="str" cm="1">
        <f t="array" ref="FX208">IF(ISNUMBER(SnapshotTable[[#This Row],[SC Max Dollars]]), annualize(SnapshotTable[[#This Row],[SC Term]],(SnapshotTable[[#This Row],[SC Max Dollars]]/SnapshotTable[[#This Row],[SC Basis]])),"")</f>
        <v/>
      </c>
      <c r="FY208" s="236" t="str">
        <f>IF(AND(SnapshotTable[[#This Row],[SC Qty]]&gt;0,SnapshotTable[[#This Row],[SC Current Ask]]&gt;0), SnapshotTable[[#This Row],[SC Qty]] * SnapshotTable[[#This Row],[SC Current Ask]] * -100, "")</f>
        <v/>
      </c>
      <c r="FZ208" s="31" t="str">
        <f>IF(ISNUMBER((SnapshotTable[[#This Row],[SC Current Value]])), SnapshotTable[[#This Row],[SC Premium]] + SnapshotTable[[#This Row],[SC Current Value]], "")</f>
        <v/>
      </c>
      <c r="GA208" s="294" t="str">
        <f>IFERROR( IF(ISNUMBER((SnapshotTable[[#This Row],[SC Current Value]])), SnapshotTable[[#This Row],[SC Gain Loss]] / SnapshotTable[[#This Row],[SC Premium]], ""), "")</f>
        <v/>
      </c>
      <c r="GB208" s="42">
        <f>SnapshotTable[[#This Row],[Equity Shares]] * SaleSharesToConsiderPercentage</f>
        <v>0</v>
      </c>
      <c r="GC208" s="40">
        <f>SnapshotTable[[#This Row],[Long Term Target]] * SellingPriceToConsiderBasedOnTargetPercentage</f>
        <v>149.95749999999998</v>
      </c>
      <c r="GD208" s="40">
        <f>SnapshotTable[[#This Row],[Last Price]] * (1+ SellingPriceToConsiderBasedOnTargetPercentage)</f>
        <v>454.33050000000003</v>
      </c>
      <c r="GE208" s="41"/>
      <c r="GF208" s="40"/>
      <c r="GG208" s="31">
        <f>SnapshotTable[[#This Row],[Booked Sale Shares]] * SnapshotTable[[#This Row],[Booked Sale Price]]</f>
        <v>0</v>
      </c>
      <c r="GH208" s="31" t="str">
        <f>IF(SnapshotTable[[#This Row],[Equity Basis Total]] &gt; 0, SnapshotTable[[#This Row],[Equity Basis Per Share]] * SnapshotTable[[#This Row],[Booked Sale Shares]], "")</f>
        <v/>
      </c>
      <c r="GI208" s="31">
        <f>IF(SnapshotTable[[#This Row],[Sale Proceeds]]&gt;0, SnapshotTable[[#This Row],[Sale Proceeds]] - SnapshotTable[[#This Row],[Sale Basis]], 0)</f>
        <v>0</v>
      </c>
      <c r="GJ208" s="27" t="str">
        <f>IF(SnapshotTable[[#This Row],[Sale G/L]]&gt;0, SnapshotTable[[#This Row],[Sale G/L]] / SnapshotTable[[#This Row],[Sale Basis]], IF(ISNUMBER(SnapshotTable[[#This Row],[SC Exercise P&amp;L (TAX)]]), SnapshotTable[[#This Row],[SC Exercise P&amp;L (TAX)]] / SnapshotTable[[#This Row],[SC Basis]], ""))</f>
        <v/>
      </c>
      <c r="GK208" s="27" t="s">
        <v>723</v>
      </c>
      <c r="GL208" s="43" t="str">
        <f>IF(AND(SnapshotTable[[#This Row],[LP Exp Date]]&gt;0,SnapshotTable[[#This Row],[LP Strike Price]]&gt;0), [1]!ToOptionSymbol(SnapshotTable[[#This Row],[Symbol]], SnapshotTable[[#This Row],[LP Strike Price]],SnapshotTable[[#This Row],[LP Exp Date]],1), "")</f>
        <v/>
      </c>
      <c r="GM208" s="30" t="str">
        <f>IF(LEN(SnapshotTable[[#This Row],[LP Symbol]])&gt;0, 1, "")</f>
        <v/>
      </c>
      <c r="GN208" s="43" t="str">
        <f>IF(AND(SnapshotTable[[#This Row],[SP Exp Date]]&gt;0,SnapshotTable[[#This Row],[SP Strike Price]]&gt;0), [1]!ToOptionSymbol(SnapshotTable[[#This Row],[Symbol]], SnapshotTable[[#This Row],[SP Strike Price]],SnapshotTable[[#This Row],[SP Exp Date]],1), "")</f>
        <v/>
      </c>
      <c r="GO208" s="30" t="str">
        <f>IF(LEN(SnapshotTable[[#This Row],[SP Symbol]])&gt;0, 1, "")</f>
        <v/>
      </c>
      <c r="GP208" s="43" t="str">
        <f>IF(AND(SnapshotTable[[#This Row],[LC Exp Date]]&gt;0,SnapshotTable[[#This Row],[LC Strike Price]]&gt;0), [1]!ToOptionSymbol(SnapshotTable[[#This Row],[Symbol]], SnapshotTable[[#This Row],[LC Strike Price]],SnapshotTable[[#This Row],[LC Exp Date]],0), "")</f>
        <v/>
      </c>
      <c r="GQ208" s="30" t="str">
        <f>IF(LEN(SnapshotTable[[#This Row],[LC Symbol]])&gt;0, 1, "")</f>
        <v/>
      </c>
      <c r="GR208" s="43" t="str">
        <f>IF(AND(SnapshotTable[[#This Row],[SC Exp Date]]&gt;0,SnapshotTable[[#This Row],[SC Strike Price]]&gt;0), [1]!ToOptionSymbol(SnapshotTable[[#This Row],[Symbol]], SnapshotTable[[#This Row],[SC Strike Price]],SnapshotTable[[#This Row],[SC Exp Date]],0), "")</f>
        <v/>
      </c>
      <c r="GS208" s="30" t="str">
        <f>IF(LEN(SnapshotTable[[#This Row],[SC Symbol]])&gt;0, 1, "")</f>
        <v/>
      </c>
      <c r="GT208" s="29" t="str">
        <f>IF(COUNT(SnapshotTable[[#This Row],[LP Symbol Count]],SnapshotTable[[#This Row],[SP Symbol Count]],SnapshotTable[[#This Row],[LC Symbol Count]],SnapshotTable[[#This Row],[SC Symbol Count]])&gt;0, "Y", "")</f>
        <v/>
      </c>
      <c r="GU20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8" s="231" t="e">
        <f>MAX(SnapshotTable[[#This Row],[Equity Basis Total]],SnapshotTable[[#This Row],[Equity Value]]) + (SnapshotTable[[#This Row],[SP Potential Spend]]- SnapshotTable[[#This Row],[SP Premium]] + SnapshotTable[[#This Row],[LP Premium]])+ (SnapshotTable[[#This Row],[LC Premium]] - SnapshotTable[[#This Row],[SC Premium]])</f>
        <v>#VALUE!</v>
      </c>
      <c r="GW208" s="139" t="e">
        <f>IF(AND(SnapshotTable[[#This Row],[Exposure]] &lt;&gt; 0),SnapshotTable[[#This Row],[Exposure]] / SnapshotTable[[#Totals],[Exposure]], "")</f>
        <v>#VALUE!</v>
      </c>
      <c r="GX208" s="2"/>
      <c r="HE208" s="268"/>
      <c r="HF208" s="268"/>
      <c r="HK208" s="1"/>
      <c r="HL208" s="1"/>
      <c r="HM208" s="1"/>
      <c r="HN208" s="1"/>
      <c r="HO208" s="1"/>
      <c r="HP208" s="1"/>
    </row>
    <row r="209" spans="2:224" ht="12.75" hidden="1" customHeight="1" x14ac:dyDescent="0.25">
      <c r="B209" s="12" t="s">
        <v>83</v>
      </c>
      <c r="C209" s="422">
        <v>39.549999999999997</v>
      </c>
      <c r="D209" s="208"/>
      <c r="E209" s="39">
        <f>SnapshotTable[[#This Row],[Last Price]]*(1 -CrashDiscount)</f>
        <v>33.6175</v>
      </c>
      <c r="F209" s="26" t="s">
        <v>82</v>
      </c>
      <c r="G209" s="26" t="s">
        <v>14</v>
      </c>
      <c r="H209" s="149"/>
      <c r="I209" s="194">
        <v>44771.270833333336</v>
      </c>
      <c r="J209" s="195">
        <v>44771.270833333336</v>
      </c>
      <c r="K209" s="196"/>
      <c r="L209" s="326"/>
      <c r="M209" s="140"/>
      <c r="N209" s="140"/>
      <c r="O209" s="140"/>
      <c r="P209" s="22"/>
      <c r="Q209" s="25"/>
      <c r="R209" s="4" t="str">
        <f>IF(SnapshotTable[[#This Row],[Equity Basis Total]] &gt; 0, SnapshotTable[[#This Row],[Equity Basis Total]] / SnapshotTable[[#This Row],[Equity Shares]], "")</f>
        <v/>
      </c>
      <c r="S209" s="269">
        <f>SnapshotTable[[#This Row],[Last Price]] * SnapshotTable[[#This Row],[Equity Shares]]</f>
        <v>0</v>
      </c>
      <c r="T209" s="269">
        <f>SnapshotTable[[#This Row],[Equity Value]] - SnapshotTable[[#This Row],[Equity Basis Total]]</f>
        <v>0</v>
      </c>
      <c r="U209" s="270" t="str">
        <f>IF(SnapshotTable[[#This Row],[Equity Basis Total]] &gt; 0, SnapshotTable[[#This Row],[Equity G/L]] / SnapshotTable[[#This Row],[Equity Basis Total]], "")</f>
        <v/>
      </c>
      <c r="V209" s="268"/>
      <c r="W209" s="268"/>
      <c r="X209" s="4" t="str">
        <f>IF(AND(ISNUMBER(SnapshotTable[[#This Row],[Equity Basis Per Share]]),ISNUMBER(SnapshotTable[[#This Row],[Equity Target]])),SnapshotTable[[#This Row],[Equity Target]]-SnapshotTable[[#This Row],[Equity Basis Per Share]],"")</f>
        <v/>
      </c>
      <c r="Y209" s="4" t="str">
        <f>IF(AND(ISNUMBER(SnapshotTable[[#This Row],[Equity Basis Per Share]]),ISNUMBER(SnapshotTable[[#This Row],[Equity Stop Loss]])),SnapshotTable[[#This Row],[Equity Stop Loss]]-SnapshotTable[[#This Row],[Equity Basis Per Share]],"")</f>
        <v/>
      </c>
      <c r="Z209" s="275" t="str">
        <f>IFERROR( TEXT(SnapshotTable[[#This Row],[Equity Max Gain Per Share]] /ABS( SnapshotTable[[#This Row],[Equity Max Loss Per Share]]),"0.0 " ) &amp; " : 1", "")</f>
        <v/>
      </c>
      <c r="AA209" s="31" t="str">
        <f>IF(ISNUMBER(SnapshotTable[[#This Row],[Equity Max Gain Per Share]]),SnapshotTable[[#This Row],[Equity Max Gain Per Share]] * SnapshotTable[[#This Row],[Equity Shares]],"")</f>
        <v/>
      </c>
      <c r="AB209" s="31" t="str">
        <f>IF(ISNUMBER(SnapshotTable[[#This Row],[Equity Max Loss Per Share]]),SnapshotTable[[#This Row],[Equity Max Loss Per Share]] * SnapshotTable[[#This Row],[Equity Shares]],"")</f>
        <v/>
      </c>
      <c r="AC209" s="150">
        <v>0.88</v>
      </c>
      <c r="AD209" s="151">
        <v>42738</v>
      </c>
      <c r="AE209" s="31">
        <f>(SnapshotTable[[#This Row],[Annual Dividend Per Share]] / 4) * SnapshotTable[[#This Row],[Equity Shares]]</f>
        <v>0</v>
      </c>
      <c r="AF209" s="31">
        <f>SnapshotTable[[#This Row],[Quarterly Div $]] * 4</f>
        <v>0</v>
      </c>
      <c r="AG209" s="7">
        <f>IF(SnapshotTable[[#This Row],[Annual Dividend Per Share]]&gt;0, SnapshotTable[[#This Row],[Annual Dividend Per Share]]  / SnapshotTable[[#This Row],[Last Price]], 0)</f>
        <v>2.2250316055625791E-2</v>
      </c>
      <c r="AH209" s="151">
        <v>42712</v>
      </c>
      <c r="AI209" s="5"/>
      <c r="AJ209" s="138">
        <v>17.329999999999998</v>
      </c>
      <c r="AK209" s="152" t="str">
        <f>IF(ISNUMBER( SnapshotTable[[#This Row],[EBF Target]]),(SnapshotTable[[#This Row],[EBF Target]] - SnapshotTable[[#This Row],[Last Price]]) / SnapshotTable[[#This Row],[Last Price]], "")</f>
        <v/>
      </c>
      <c r="AL209" s="152" t="str">
        <f>IF(AND(SnapshotTable[[#This Row],[Equity Basis Total]] &gt; 0,ISNUMBER( SnapshotTable[[#This Row],[Long Term Target]])), SnapshotTable[[#This Row],[From Basis $]] / SnapshotTable[[#This Row],[Equity Basis Total]], "")</f>
        <v/>
      </c>
      <c r="AM209" s="9">
        <f>IF( AND(SnapshotTable[[#This Row],[Equity Shares]] &gt;0,ISNUMBER( SnapshotTable[[#This Row],[Long Term Target]])),(SnapshotTable[[#This Row],[Equity Shares]] * SnapshotTable[[#This Row],[Long Term Target]]) - SnapshotTable[[#This Row],[Equity Basis Total]],0)</f>
        <v>0</v>
      </c>
      <c r="AN209" s="9">
        <f>IF( AND(SnapshotTable[[#This Row],[Equity Shares]] &gt;0,ISNUMBER( SnapshotTable[[#This Row],[Long Term Target]])),(SnapshotTable[[#This Row],[Equity Shares]]*SnapshotTable[[#This Row],[Long Term Target]]) - SnapshotTable[[#This Row],[Equity Value]],0)</f>
        <v>0</v>
      </c>
      <c r="AO209" s="152">
        <f>IF(AND(ISNUMBER( SnapshotTable[[#This Row],[Long Term Target]]), ISNUMBER(SnapshotTable[[#This Row],[Last Price]])),(SnapshotTable[[#This Row],[Long Term Target]] - SnapshotTable[[#This Row],[Last Price]]) / SnapshotTable[[#This Row],[Last Price]], "")</f>
        <v>-0.56182048040455124</v>
      </c>
      <c r="AP209" s="5">
        <v>26</v>
      </c>
      <c r="AQ209" s="38" t="s">
        <v>46</v>
      </c>
      <c r="AR209" s="5">
        <v>23</v>
      </c>
      <c r="AS209" s="38" t="s">
        <v>26</v>
      </c>
      <c r="AT209" s="146"/>
      <c r="AU209" s="187" t="str">
        <f>IF(OR(SnapshotTable[[#This Row],[LP No Fill]]="Y",SnapshotTable[[#This Row],[SP Is Filled]],SnapshotTable[[#This Row],[LC Not Filled]]="Y",SnapshotTable[[#This Row],[SC Is Filled]]),"Y","")</f>
        <v/>
      </c>
      <c r="AV209" s="219"/>
      <c r="AW209" s="225"/>
      <c r="AX209" s="220"/>
      <c r="AY209" s="219" t="str">
        <f>IF(SnapshotTable[[#This Row],[Implied Move]]&gt;0, SnapshotTable[[#This Row],[Last Price]]-SnapshotTable[[#This Row],[Implied Move]],"")</f>
        <v/>
      </c>
      <c r="AZ209" s="219" t="str">
        <f>IF(SnapshotTable[[#This Row],[Implied Move]]&gt;0, SnapshotTable[[#This Row],[Last Price]] + SnapshotTable[[#This Row],[Implied Move]],"")</f>
        <v/>
      </c>
      <c r="BA209" s="331"/>
      <c r="BB209" s="347"/>
      <c r="BC20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9" s="351"/>
      <c r="BE209" s="5"/>
      <c r="BF209" s="14"/>
      <c r="BG209" s="13"/>
      <c r="BH209" s="13"/>
      <c r="BI209" s="5"/>
      <c r="BJ209" s="136">
        <f>IF(SnapshotTable[[#This Row],[LP Qty]] &gt; 0, SnapshotTable[[#This Row],[LP Qty]] * SnapshotTable[[#This Row],[LP Book Price]] * 100,0)</f>
        <v>0</v>
      </c>
      <c r="BK209" s="136">
        <f>IF(SnapshotTable[[#This Row],[LP Premium]] &gt; 0, SnapshotTable[[#This Row],[LP Qty]] * SnapshotTable[[#This Row],[LP Strike Price]] * 100,0)</f>
        <v>0</v>
      </c>
      <c r="BL209" s="154"/>
      <c r="BM209" s="385" t="str">
        <f>IF(SnapshotTable[[#This Row],[LP Premium]] &gt; 0,SnapshotTable[[#This Row],[LP Exp Date]]-MAX(SnapshotTable[[#This Row],[LP Book Date]], SnapshotTable[[#This Row],[LP Fill Date]]),"")</f>
        <v/>
      </c>
      <c r="BN209" s="385" t="str">
        <f>IF(ISNUMBER( SnapshotTable[[#This Row],[LP Term]]), SnapshotTable[[#This Row],[LP Exp Date]] - MockToday,"")</f>
        <v/>
      </c>
      <c r="BO209" s="163" t="str">
        <f>IF(AND(SnapshotTable[[#This Row],[LP Exp Date]]&gt;0, SnapshotTable[[#This Row],[LP Strike Price]]&gt;0,SnapshotTable[[#This Row],[LP Qty]]&gt;0,SnapshotTable[[#This Row],[LP Book Date]]&gt;0,SnapshotTable[[#This Row],[LP Book Price]]&gt;0,SnapshotTable[[#This Row],[LP Fill Date]]=0),"Y","")</f>
        <v/>
      </c>
      <c r="BP209" s="31" t="str">
        <f>IF(AND(SnapshotTable[[#This Row],[LP No Fill]]&lt;&gt;"Y",SnapshotTable[[#This Row],[LP Contract Value]]&gt;0, SnapshotTable[[#This Row],[LP Qty]]&gt;0), SnapshotTable[[#This Row],[LP Contract Value]]*SnapshotTable[[#This Row],[LP Qty]]*100,"")</f>
        <v/>
      </c>
      <c r="BQ209" s="13"/>
      <c r="BR209" s="5" t="str">
        <f>IF(SnapshotTable[[#This Row],[SP Exp Date]]&lt;&gt;"",TRUNC(SnapshotTable[[#This Row],[Last Price]]),"")</f>
        <v/>
      </c>
      <c r="BS209" s="36"/>
      <c r="BT209" s="147"/>
      <c r="BU209" s="13"/>
      <c r="BV209" s="5"/>
      <c r="BW209" s="419" t="b">
        <f>AND(ISNUMBER(SnapshotTable[[#This Row],[SP Exp Date]]), ISNUMBER(SnapshotTable[[#This Row],[SP Strike Price]]), ISNUMBER(SnapshotTable[[#This Row],[SP Qty]]), ISNUMBER(SnapshotTable[[#This Row],[SP Book Date]]), ISNUMBER(SnapshotTable[[#This Row],[SP Book Price]]))</f>
        <v>0</v>
      </c>
      <c r="BX209" s="419" t="b">
        <f>AND(SnapshotTable[[#This Row],[SP Is Booked]], NOT(ISBLANK(SnapshotTable[[#This Row],[SP Fill Date]])))</f>
        <v>0</v>
      </c>
      <c r="BY209" s="33">
        <f>IF(SnapshotTable[[#This Row],[SP Is Booked]], SnapshotTable[[#This Row],[SP Qty]] * SnapshotTable[[#This Row],[SP Book Price]] * 100, 0)</f>
        <v>0</v>
      </c>
      <c r="BZ209" s="369"/>
      <c r="CA209" s="368">
        <f>SnapshotTable[[#This Row],[LP Qty]]</f>
        <v>0</v>
      </c>
      <c r="CB209" s="4" t="str">
        <f>IF(SnapshotTable[[#This Row],[SP Is Booked]], SnapshotTable[[#This Row],[SP Strike Price]] - SnapshotTable[[#This Row],[SP Book Price]], "")</f>
        <v/>
      </c>
      <c r="CC209" s="19" t="str">
        <f>IF(SnapshotTable[[#This Row],[SP Is Booked]],SnapshotTable[[#This Row],[SP Exp Date]]-MAX(SnapshotTable[[#This Row],[SP Book Date]], SnapshotTable[[#This Row],[SP Fill Date]]),"")</f>
        <v/>
      </c>
      <c r="CD209" s="7" t="str">
        <f>IF(SnapshotTable[[#This Row],[SP Is Booked]], SnapshotTable[[#This Row],[SP Book Price]]/SnapshotTable[[#This Row],[SP Strike Price]], "")</f>
        <v/>
      </c>
      <c r="CE209" s="7" t="str">
        <f>IF(ISNUMBER(SnapshotTable[[#This Row],[SP ROO Term]]),SnapshotTable[[#This Row],[SP ROO Term]]*(365/SnapshotTable[[#This Row],[SP Term]]),"")</f>
        <v/>
      </c>
      <c r="CF209" s="236">
        <f>SnapshotTable[[#This Row],[LP Strike Price]] * SnapshotTable[[#This Row],[LP Qty]] * 100</f>
        <v>0</v>
      </c>
      <c r="CG209" s="31" t="e">
        <f>IF(ISNUMBER(SnapshotTable[[#This Row],[SP Premium]]), (SnapshotTable[[#This Row],[SP Qty]] * SnapshotTable[[#This Row],[SP Strike Price]]* 100) - SnapshotTable[[#This Row],[LP Protection]], 0)</f>
        <v>#VALUE!</v>
      </c>
      <c r="CH209" s="7" t="str">
        <f>IF(ISNUMBER(SnapshotTable[[#This Row],[SP Break Even]]),-1 * (SnapshotTable[[#This Row],[SP Break Even]] - SnapshotTable[[#This Row],[Last Price]]) / SnapshotTable[[#This Row],[Last Price]], "")</f>
        <v/>
      </c>
      <c r="CI209" s="31">
        <f>IF(AND(ISNUMBER((SnapshotTable[[#This Row],[SP Potential Spend]])), SnapshotTable[[#This Row],[SP Strike Price]] &gt; SnapshotTable[[#This Row],[Last Price]], SnapshotTable[[#This Row],[SP Is Filled]]), SnapshotTable[[#This Row],[SP Potential Spend]] -  SnapshotTable[[#This Row],[LP Max Value]], 0)</f>
        <v>0</v>
      </c>
      <c r="CJ209" s="244"/>
      <c r="CK209" s="31" t="str">
        <f>IF(ISNUMBER(SnapshotTable[[#This Row],[SP Potential Spend]]),IF(ISNUMBER(SnapshotTable[[#This Row],[SP POW]]), SnapshotTable[[#This Row],[SP POW]] * SnapshotTable[[#This Row],[SP Potential Spend]], SnapshotTable[[#This Row],[SP Potential Spend]]), "")</f>
        <v/>
      </c>
      <c r="CL209" s="164" t="e">
        <f>IF(NOT(SnapshotTable[[#This Row],[SP Is Filled]]),(SnapshotTable[[#This Row],[SP Qty]] * SnapshotTable[[#This Row],[SP Strike Price]] * 100) - SnapshotTable[[#This Row],[LP Max Value]],"")</f>
        <v>#VALUE!</v>
      </c>
      <c r="CM209" s="31" t="str">
        <f>IF(SnapshotTable[[#This Row],[SP Actual Spend]]&lt;&gt;0, ((SnapshotTable[[#This Row],[SP Strike Price]]-SnapshotTable[[#This Row],[Last Price]]) *(SnapshotTable[[#This Row],[SP Qty]]*100) - SnapshotTable[[#This Row],[SP Premium]]) * - 1, "")</f>
        <v/>
      </c>
      <c r="CN209" s="78"/>
      <c r="CO209" s="369"/>
      <c r="CP209" s="4" t="str">
        <f>IF(SnapshotTable[[#This Row],[SP Is Filled]], btc_max_buyback_amount(SnapshotTable[[#This Row],[SP Fill Date]],SnapshotTable[[#This Row],[SP Exp Date]], SnapshotTable[[#This Row],[SP Book Price]]),"")</f>
        <v/>
      </c>
      <c r="CQ209" s="78"/>
      <c r="CR20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9" s="155" t="str">
        <f>IF(SnapshotTable[[#This Row],[SP Is Filled]], btc_next_cutoff_date(SnapshotTable[[#This Row],[SP Fill Date]],SnapshotTable[[#This Row],[SP Exp Date]]),"")</f>
        <v/>
      </c>
      <c r="CT209" s="235" t="str" cm="1">
        <f t="array" ref="CT209">IF(SnapshotTable[[#This Row],[SP Is Filled]], btc_should_buy_back(SnapshotTable[[#This Row],[SP Fill Date]], SnapshotTable[[#This Row],[SP Exp Date]], SnapshotTable[[#This Row],[SP Book Price]], SnapshotTable[[#This Row],[SP Current Ask]], MockToday, SnapshotTable[[#This Row],[SP Buyback Override]]),"")</f>
        <v/>
      </c>
      <c r="CU209" s="143"/>
      <c r="CV209" s="235"/>
      <c r="CW209" s="378" t="str">
        <f>IF(ISNUMBER( SnapshotTable[[#This Row],[SP Term]]), SnapshotTable[[#This Row],[SP Exp Date]] - MockToday,"")</f>
        <v/>
      </c>
      <c r="CX209" s="31" t="str">
        <f>IF(SnapshotTable[[#This Row],[SP Is Filled]],SnapshotTable[[#This Row],[SP Buyback Price to Use]] * 100 * SnapshotTable[[#This Row],[SP Qty]], "")</f>
        <v/>
      </c>
      <c r="CY209" s="4" t="str">
        <f>IF(ISNUMBER(SnapshotTable[[#This Row],[SP Strike Price]]), SnapshotTable[[#This Row],[SP Strike Price]] * (1 - SP_MaxLoss_StrikePct), "")</f>
        <v/>
      </c>
      <c r="CZ209" s="31" t="str">
        <f>IF(ISNUMBER(SnapshotTable[[#This Row],[SP Strike  Stop Per Share]]),SnapshotTable[[#This Row],[SP Premium]] - ((SnapshotTable[[#This Row],[SP Strike Price]]-SnapshotTable[[#This Row],[SP Strike  Stop Per Share]]) *(SnapshotTable[[#This Row],[SP Qty]] * 100)),"")</f>
        <v/>
      </c>
      <c r="DA209" s="4" t="str">
        <f>IF(AND(ISNUMBER(SnapshotTable[[#This Row],[SP Premium]]),SnapshotTable[[#This Row],[SP Premium]]&gt;0), SnapshotTable[[#This Row],[SP Book Price]] * (1 + SP_MaxLoss_OptionPct), "")</f>
        <v/>
      </c>
      <c r="DB209" s="31" t="str">
        <f>IF(ISNUMBER(SnapshotTable[[#This Row],[SP Option  Stop Contract]]),(SnapshotTable[[#This Row],[SP Option  Stop Contract]] *(SnapshotTable[[#This Row],[SP Qty]] * 100) - SnapshotTable[[#This Row],[SP Premium]]),"")</f>
        <v/>
      </c>
      <c r="DC209" s="4"/>
      <c r="DD209" s="4"/>
      <c r="DE209" s="4" t="str">
        <f>IF(AND(SnapshotTable[[#This Row],[SP Qty]]&gt;0, SnapshotTable[[#This Row],[SP Stop To Use]]&gt;0),SnapshotTable[[#This Row],[SP Premium]] - ( SnapshotTable[[#This Row],[SP Qty]] * SnapshotTable[[#This Row],[SP Stop To Use]] * 100), "")</f>
        <v/>
      </c>
      <c r="DF209" s="31" t="str">
        <f>IF(AND(SnapshotTable[[#This Row],[SP Qty]]&gt;0,SnapshotTable[[#This Row],[SP Current Ask]]&gt;0), SnapshotTable[[#This Row],[SP Qty]] * SnapshotTable[[#This Row],[SP Current Ask]] * -100, "")</f>
        <v/>
      </c>
      <c r="DG209" s="31" t="str">
        <f>IF(ISNUMBER((SnapshotTable[[#This Row],[SP Total Value]])), SnapshotTable[[#This Row],[SP Premium]] + SnapshotTable[[#This Row],[SP Total Value]], "")</f>
        <v/>
      </c>
      <c r="DH209" s="294" t="str">
        <f>IF(ISNUMBER((SnapshotTable[[#This Row],[SP Total Value]])), SnapshotTable[[#This Row],[SP Gain Loss]] / SnapshotTable[[#This Row],[SP Premium]], "")</f>
        <v/>
      </c>
      <c r="DI209" s="406"/>
      <c r="DJ209" s="138"/>
      <c r="DK209" s="148"/>
      <c r="DL209" s="13"/>
      <c r="DM209" s="13"/>
      <c r="DO209" s="31">
        <f>IF(SnapshotTable[[#This Row],[LC Symbol Count]]=1, SnapshotTable[[#This Row],[LC Qty]] * SnapshotTable[[#This Row],[LC Book Price]] * 100, 0)</f>
        <v>0</v>
      </c>
      <c r="DP209" s="163" t="str">
        <f>IF(AND(SnapshotTable[[#This Row],[LC Exp Date]]&gt;0, SnapshotTable[[#This Row],[LC Strike Price]]&gt;0,SnapshotTable[[#This Row],[LC Qty]]&gt;0,SnapshotTable[[#This Row],[LC Book Date]]&gt;0,SnapshotTable[[#This Row],[LC Book Price]]&gt;0,SnapshotTable[[#This Row],[LC Fill Date]]=0),"Y","")</f>
        <v/>
      </c>
      <c r="DQ209" s="386" t="str">
        <f>IF(SnapshotTable[[#This Row],[LC Premium]] &gt; 0,SnapshotTable[[#This Row],[LC Exp Date]]-MAX(SnapshotTable[[#This Row],[LC Book Date]], SnapshotTable[[#This Row],[LC Fill Date]]),"")</f>
        <v/>
      </c>
      <c r="DR209" s="386" t="str">
        <f>IF(ISNUMBER(SnapshotTable[[#This Row],[LC Term]]), SnapshotTable[[#This Row],[LC Exp Date]] - MockToday, "")</f>
        <v/>
      </c>
      <c r="DS209" s="234" t="str">
        <f>IF(SnapshotTable[[#This Row],[LC Premium]]&gt;0,SnapshotTable[[#This Row],[LC Strike Price]] + SnapshotTable[[#This Row],[LC Book Price]],"")</f>
        <v/>
      </c>
      <c r="DU209" s="9" t="str">
        <f>IF(AND(SnapshotTable[[#This Row],[LC Symbol Count]]&gt;0, SnapshotTable[[#This Row],[LC Contract Value]]&gt;0), SnapshotTable[[#This Row],[LC Contract Value]] * SnapshotTable[[#This Row],[LC Qty]] * 100, "")</f>
        <v/>
      </c>
      <c r="DV209" s="9" t="str">
        <f>IF(AND(ISNUMBER(SnapshotTable[[#This Row],[LC Total Value]]), SnapshotTable[[#This Row],[LC Not Filled]]&lt;&gt;"Y"), SnapshotTable[[#This Row],[LC Total Value]]-SnapshotTable[[#This Row],[LC Premium]],"")</f>
        <v/>
      </c>
      <c r="DW209" s="240" t="str">
        <f>IF(ISNUMBER(SnapshotTable[[#This Row],[LC Actual Gain Loss]]), SnapshotTable[[#This Row],[LC Actual Gain Loss]] / SnapshotTable[[#This Row],[LC Premium]],"")</f>
        <v/>
      </c>
      <c r="DX209" s="284" t="str">
        <f>IF(ISNUMBER(SnapshotTable[[#This Row],[LC Book Price]]),SnapshotTable[[#This Row],[LC Book Price]] * 1.5,"")</f>
        <v/>
      </c>
      <c r="DY209" s="265" t="str">
        <f>IF(SnapshotTable[[#This Row],[LC Premium]]&gt;0, SnapshotTable[[#This Row],[LC Next Target]] * SnapshotTable[[#This Row],[LC Qty]] * 100,"")</f>
        <v/>
      </c>
      <c r="DZ209" s="265" t="str">
        <f>IF(ISNUMBER(SnapshotTable[[#This Row],[LC Target Gross]]), SnapshotTable[[#This Row],[LC Target Gross]] - SnapshotTable[[#This Row],[LC Premium]], "")</f>
        <v/>
      </c>
      <c r="EA209" s="305" t="str">
        <f>IF(ISNUMBER(SnapshotTable[[#This Row],[LC Target Gain Loss]]), SnapshotTable[[#This Row],[LC Target Gain Loss]]/SnapshotTable[[#This Row],[LC Premium]], "")</f>
        <v/>
      </c>
      <c r="EB209" s="262"/>
      <c r="EC209" s="283" t="str">
        <f>IF(SnapshotTable[[#This Row],[LC Premium]]&gt;0, SnapshotTable[[#This Row],[LC Book Price]] * (1 - LC_StopLoss_Pct),"")</f>
        <v/>
      </c>
      <c r="ED209" s="284"/>
      <c r="EE209" s="283" t="str">
        <f>IF(ISNUMBER(SnapshotTable[[#This Row],[LC Contract Value]]),IF(ISNUMBER(SnapshotTable[[#This Row],[LC Stop Loss Override]]), SnapshotTable[[#This Row],[LC Stop Loss Override]],SnapshotTable[[#This Row],[LC Stop Loss Calc Target]]),"")</f>
        <v/>
      </c>
      <c r="EF209" s="31" t="str">
        <f>IF(ISNUMBER(SnapshotTable[[#This Row],[LC Stop  To Use]]), (SnapshotTable[[#This Row],[LC Stop  To Use]] * SnapshotTable[[#This Row],[LC Qty]] * 100),"")</f>
        <v/>
      </c>
      <c r="EG209" s="9" t="str">
        <f>IF(ISNUMBER(SnapshotTable[[#This Row],[LC Total Value]]),SnapshotTable[[#This Row],[LC Stop Loss Amount]] - SnapshotTable[[#This Row],[LC Premium]],"")</f>
        <v/>
      </c>
      <c r="EH209" s="9">
        <f>IF(ISNUMBER(SnapshotTable[[#This Row],[LC Premium]]), SnapshotTable[[#This Row],[LC Qty]] * 100 * SnapshotTable[[#This Row],[LC Strike Price]], "")</f>
        <v>0</v>
      </c>
      <c r="EI209" s="240" t="str">
        <f>IF(AND(ISNUMBER(SnapshotTable[[#This Row],[LC Total Value]]),SnapshotTable[[#This Row],[LC Total Value]]&gt;0),SnapshotTable[[#This Row],[LC Stop Gain Loss]]  / SnapshotTable[[#This Row],[LC Premium]],"")</f>
        <v/>
      </c>
      <c r="EJ209" s="35">
        <f>IF(ISNUMBER(SnapshotTable[[#This Row],[Equity Shares]]),TRUNC(SnapshotTable[[#This Row],[Equity Shares]] / 100),0) + SnapshotTable[[#This Row],[LC Qty]]</f>
        <v>0</v>
      </c>
      <c r="EK209" s="147"/>
      <c r="EL209" s="138" t="str">
        <f>IF(SnapshotTable[[#This Row],[SC Exp Date]]&lt;&gt;"",TRUNC(SnapshotTable[[#This Row],[Last Price]]),"")</f>
        <v/>
      </c>
      <c r="EM209" s="148"/>
      <c r="EN209" s="147"/>
      <c r="EO209" s="147"/>
      <c r="EP209" s="138"/>
      <c r="EQ209" s="419" t="b">
        <f>AND(ISNUMBER(SnapshotTable[[#This Row],[SC Exp Date]]), ISNUMBER(SnapshotTable[[#This Row],[SC Strike Price]]), ISNUMBER(SnapshotTable[[#This Row],[SC Qty]]), ISNUMBER(SnapshotTable[[#This Row],[SC Book Date]]), ISNUMBER(SnapshotTable[[#This Row],[SC Book Price]]))</f>
        <v>0</v>
      </c>
      <c r="ER209" s="419" t="b">
        <f>AND(SnapshotTable[[#This Row],[SC Is Booked]], NOT(ISBLANK(SnapshotTable[[#This Row],[SC Fill Date]])))</f>
        <v>0</v>
      </c>
      <c r="ES209" s="370"/>
      <c r="ET209" s="34" t="str">
        <f>IF(AND(ISNUMBER(SnapshotTable[[#This Row],[SC Exp Date]]), ISNUMBER(SnapshotTable[[#This Row],[SC Book Date]])), SnapshotTable[[#This Row],[SC Exp Date]] - MAX(SnapshotTable[[#This Row],[SC Book Date]], SnapshotTable[[#This Row],[SC Fill Date]]) + 1, "")</f>
        <v/>
      </c>
      <c r="EU209" s="34" t="str">
        <f>IF(ISNUMBER(SnapshotTable[[#This Row],[SC Term]]), SnapshotTable[[#This Row],[SC Exp Date]]- MockToday, "")</f>
        <v/>
      </c>
      <c r="EV209" s="31">
        <f>IF(SnapshotTable[[#This Row],[SC Is Booked]], SnapshotTable[[#This Row],[SC Qty]] * SnapshotTable[[#This Row],[SC Book Price]] * 100, 0)</f>
        <v>0</v>
      </c>
      <c r="EW209" s="4" t="str">
        <f>IF(AND(ISNUMBER(SnapshotTable[[#This Row],[Last Price]]), ISNUMBER( SnapshotTable[[#This Row],[SC Book Price]])), SnapshotTable[[#This Row],[Last Price]] - SnapshotTable[[#This Row],[SC Book Price]],"")</f>
        <v/>
      </c>
      <c r="EX209" s="234" t="str">
        <f>IF(SnapshotTable[[#This Row],[SC Is Booked]],IF(SnapshotTable[[#This Row],[SC Intrinsic Value]] &gt; 0, SnapshotTable[[#This Row],[SC Strike Price]], SnapshotTable[[#This Row],[Last Price]]), "")</f>
        <v/>
      </c>
      <c r="EY209" s="4">
        <f>IF(SnapshotTable[[#This Row],[SC Is Booked]], (MinimumPremiumRequired * SnapshotTable[[#This Row],[SC Basis]] * SnapshotTable[[#This Row],[SC Term]]), 0)</f>
        <v>0</v>
      </c>
      <c r="EZ209" s="283"/>
      <c r="FA209" s="218"/>
      <c r="FB209" s="370"/>
      <c r="FC209" s="4">
        <f>IF(SnapshotTable[[#This Row],[SC Is Filled]], btc_max_buyback_amount(SnapshotTable[[#This Row],[SC Fill Date]],SnapshotTable[[#This Row],[SC Exp Date]], SnapshotTable[[#This Row],[SC Book Price]]),0)</f>
        <v>0</v>
      </c>
      <c r="FD209" s="5"/>
      <c r="FE209" s="144" t="str">
        <f>IF(SnapshotTable[[#This Row],[SC Is Filled]], btc_next_cutoff_date(SnapshotTable[[#This Row],[SC Fill Date]],SnapshotTable[[#This Row],[SC Exp Date]]),"")</f>
        <v/>
      </c>
      <c r="FF209" s="4" t="str" cm="1">
        <f t="array" ref="FF209">IF(SnapshotTable[[#This Row],[SC Is Filled]], btc_should_buy_back(SnapshotTable[[#This Row],[SC Fill Date]], SnapshotTable[[#This Row],[SC Exp Date]], SnapshotTable[[#This Row],[SC Book Price]], SnapshotTable[[#This Row],[SC Current Ask]], MockToday, SnapshotTable[[#This Row],[SC Buyback Override]]),"")</f>
        <v/>
      </c>
      <c r="FG209" s="4">
        <f>IF(SnapshotTable[[#This Row],[SC Is Filled]], MAX(0,SnapshotTable[[#This Row],[Last Price]]  - SnapshotTable[[#This Row],[SC Strike Price]]), 0)</f>
        <v>0</v>
      </c>
      <c r="FH209" s="382">
        <f>IF(SnapshotTable[[#This Row],[SC Is Filled]], IF(ISNUMBER(SnapshotTable[[#This Row],[SC Current Ask]]), SnapshotTable[[#This Row],[SC Current Ask]], SnapshotTable[[#This Row],[SC Book Price]]) - SnapshotTable[[#This Row],[SC Intrinsic Value]], 0)</f>
        <v>0</v>
      </c>
      <c r="FI209" s="143"/>
      <c r="FJ209" s="32" t="str">
        <f>IF(SnapshotTable[[#This Row],[SC Is Filled]],100 * SnapshotTable[[#This Row],[SC Qty]] * IF(ISNUMBER(SnapshotTable[[#This Row],[SC Buyback Override]]), SnapshotTable[[#This Row],[SC Buyback Override]], SnapshotTable[[#This Row],[SC Current Ask]]), "")</f>
        <v/>
      </c>
      <c r="FK209" s="250" t="str">
        <f>IF(SnapshotTable[[#This Row],[SC Time Val]]&gt;0, SnapshotTable[[#This Row],[SC Time Val]] / SnapshotTable[[#This Row],[Last Price]],"")</f>
        <v/>
      </c>
      <c r="FL209" s="302" t="str">
        <f>IF(SnapshotTable[[#This Row],[SC Is Booked]], ((SnapshotTable[[#This Row],[Last Price]] -SnapshotTable[[#This Row],[SC Strike Price]]) / SnapshotTable[[#This Row],[Last Price]]) * -1, "")</f>
        <v/>
      </c>
      <c r="FM209" s="157" t="str">
        <f>IF(SnapshotTable[[#This Row],[SC Is Booked]],  (SnapshotTable[[#This Row],[SC Qty]] * 100 * SnapshotTable[[#This Row],[SC Strike Price]]) - SnapshotTable[[#This Row],[SC Current Ask]], "")</f>
        <v/>
      </c>
      <c r="FN20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9" s="31" t="str">
        <f>IF(AND(ISNUMBER(SnapshotTable[[#This Row],[SC Exercise Gross]]), ISNUMBER(SnapshotTable[[#This Row],[Equity Basis Per Share]] )), SnapshotTable[[#This Row],[SC Exercise Gross]] - SnapshotTable[[#This Row],[Equity Basis Total]] +  SnapshotTable[[#This Row],[SC Premium]], "")</f>
        <v/>
      </c>
      <c r="FP209" s="5" t="str">
        <f>IF(ISNUMBER(SnapshotTable[[#This Row],[SC Exercise Gross]]), (SnapshotTable[[#This Row],[SC Exercise Gross]]) / (SnapshotTable[[#This Row],[SC Qty]] * 100), "")</f>
        <v/>
      </c>
      <c r="FQ209" s="27" t="str">
        <f>IF(SnapshotTable[[#This Row],[SC Is Booked]],SnapshotTable[[#This Row],[SC Time Val]] /SnapshotTable[[#This Row],[SC Basis]], "")</f>
        <v/>
      </c>
      <c r="FR209" s="27" t="str" cm="1">
        <f t="array" ref="FR209">IF(AND(ISNUMBER(SnapshotTable[[#This Row],[SC Term]]),ISNUMBER(SnapshotTable[[#This Row],[SC Simple ROO]])), EllmanAnnualize(SnapshotTable[[#This Row],[SC DTE]], SnapshotTable[[#This Row],[SC Simple ROO]] ),"")</f>
        <v/>
      </c>
      <c r="FS209" s="4" t="e">
        <f>IF(SnapshotTable[[#This Row],[SC Strike Price]] &gt; SnapshotTable[[#This Row],[Last Price]], SnapshotTable[[#This Row],[SC Strike Price]] - SnapshotTable[[#This Row],[Last Price]],0)</f>
        <v>#VALUE!</v>
      </c>
      <c r="FT209" s="27" t="e">
        <f>IF(AND(ISNUMBER(SnapshotTable[[#This Row],[SC Upside Potential]]), SnapshotTable[[#This Row],[SC Upside Potential]] &gt; 0),(SnapshotTable[[#This Row],[SC Upside Potential]]/ SnapshotTable[[#This Row],[ACB]]),"")</f>
        <v>#VALUE!</v>
      </c>
      <c r="FU209" s="333" t="str">
        <f>IF(SnapshotTable[[#This Row],[SC Intrinsic Value]] &gt; 0,SnapshotTable[[#This Row],[SC Intrinsic Value]],"")</f>
        <v/>
      </c>
      <c r="FV209" s="27" t="str">
        <f>IF(AND( ISNUMBER( SnapshotTable[[#This Row],[ACB]]),ISNUMBER(SnapshotTable[[#This Row],[SC Downside Protect]])),SnapshotTable[[#This Row],[SC Downside Protect]] / SnapshotTable[[#This Row],[ACB]],"")</f>
        <v/>
      </c>
      <c r="FW209" s="236" t="str">
        <f>IF(AND(ISNUMBER(SnapshotTable[[#This Row],[SC Simple ROO]]),SnapshotTable[[#This Row],[SC Simple ROO]] &gt; 0), SnapshotTable[[#This Row],[SC Premium]] + (SnapshotTable[[#This Row],[SC Qty]] * SnapshotTable[[#This Row],[SC Upside Potential]]), "")</f>
        <v/>
      </c>
      <c r="FX209" s="302" t="str" cm="1">
        <f t="array" ref="FX209">IF(ISNUMBER(SnapshotTable[[#This Row],[SC Max Dollars]]), annualize(SnapshotTable[[#This Row],[SC Term]],(SnapshotTable[[#This Row],[SC Max Dollars]]/SnapshotTable[[#This Row],[SC Basis]])),"")</f>
        <v/>
      </c>
      <c r="FY209" s="236" t="str">
        <f>IF(AND(SnapshotTable[[#This Row],[SC Qty]]&gt;0,SnapshotTable[[#This Row],[SC Current Ask]]&gt;0), SnapshotTable[[#This Row],[SC Qty]] * SnapshotTable[[#This Row],[SC Current Ask]] * -100, "")</f>
        <v/>
      </c>
      <c r="FZ209" s="31" t="str">
        <f>IF(ISNUMBER((SnapshotTable[[#This Row],[SC Current Value]])), SnapshotTable[[#This Row],[SC Premium]] + SnapshotTable[[#This Row],[SC Current Value]], "")</f>
        <v/>
      </c>
      <c r="GA209" s="294" t="str">
        <f>IFERROR( IF(ISNUMBER((SnapshotTable[[#This Row],[SC Current Value]])), SnapshotTable[[#This Row],[SC Gain Loss]] / SnapshotTable[[#This Row],[SC Premium]], ""), "")</f>
        <v/>
      </c>
      <c r="GB209" s="42">
        <f>SnapshotTable[[#This Row],[Equity Shares]] * SaleSharesToConsiderPercentage</f>
        <v>0</v>
      </c>
      <c r="GC209" s="40">
        <f>SnapshotTable[[#This Row],[Long Term Target]] * SellingPriceToConsiderBasedOnTargetPercentage</f>
        <v>16.463499999999996</v>
      </c>
      <c r="GD209" s="40">
        <f>SnapshotTable[[#This Row],[Last Price]] * (1+ SellingPriceToConsiderBasedOnTargetPercentage)</f>
        <v>77.122499999999988</v>
      </c>
      <c r="GE209" s="41"/>
      <c r="GF209" s="40"/>
      <c r="GG209" s="31">
        <f>SnapshotTable[[#This Row],[Booked Sale Shares]] * SnapshotTable[[#This Row],[Booked Sale Price]]</f>
        <v>0</v>
      </c>
      <c r="GH209" s="31" t="str">
        <f>IF(SnapshotTable[[#This Row],[Equity Basis Total]] &gt; 0, SnapshotTable[[#This Row],[Equity Basis Per Share]] * SnapshotTable[[#This Row],[Booked Sale Shares]], "")</f>
        <v/>
      </c>
      <c r="GI209" s="31">
        <f>IF(SnapshotTable[[#This Row],[Sale Proceeds]]&gt;0, SnapshotTable[[#This Row],[Sale Proceeds]] - SnapshotTable[[#This Row],[Sale Basis]], 0)</f>
        <v>0</v>
      </c>
      <c r="GJ209" s="27" t="str">
        <f>IF(SnapshotTable[[#This Row],[Sale G/L]]&gt;0, SnapshotTable[[#This Row],[Sale G/L]] / SnapshotTable[[#This Row],[Sale Basis]], IF(ISNUMBER(SnapshotTable[[#This Row],[SC Exercise P&amp;L (TAX)]]), SnapshotTable[[#This Row],[SC Exercise P&amp;L (TAX)]] / SnapshotTable[[#This Row],[SC Basis]], ""))</f>
        <v/>
      </c>
      <c r="GK209" s="27" t="s">
        <v>724</v>
      </c>
      <c r="GL209" s="43" t="str">
        <f>IF(AND(SnapshotTable[[#This Row],[LP Exp Date]]&gt;0,SnapshotTable[[#This Row],[LP Strike Price]]&gt;0), [1]!ToOptionSymbol(SnapshotTable[[#This Row],[Symbol]], SnapshotTable[[#This Row],[LP Strike Price]],SnapshotTable[[#This Row],[LP Exp Date]],1), "")</f>
        <v/>
      </c>
      <c r="GM209" s="30" t="str">
        <f>IF(LEN(SnapshotTable[[#This Row],[LP Symbol]])&gt;0, 1, "")</f>
        <v/>
      </c>
      <c r="GN209" s="43" t="str">
        <f>IF(AND(SnapshotTable[[#This Row],[SP Exp Date]]&gt;0,SnapshotTable[[#This Row],[SP Strike Price]]&gt;0), [1]!ToOptionSymbol(SnapshotTable[[#This Row],[Symbol]], SnapshotTable[[#This Row],[SP Strike Price]],SnapshotTable[[#This Row],[SP Exp Date]],1), "")</f>
        <v/>
      </c>
      <c r="GO209" s="30" t="str">
        <f>IF(LEN(SnapshotTable[[#This Row],[SP Symbol]])&gt;0, 1, "")</f>
        <v/>
      </c>
      <c r="GP209" s="43" t="str">
        <f>IF(AND(SnapshotTable[[#This Row],[LC Exp Date]]&gt;0,SnapshotTable[[#This Row],[LC Strike Price]]&gt;0), [1]!ToOptionSymbol(SnapshotTable[[#This Row],[Symbol]], SnapshotTable[[#This Row],[LC Strike Price]],SnapshotTable[[#This Row],[LC Exp Date]],0), "")</f>
        <v/>
      </c>
      <c r="GQ209" s="30" t="str">
        <f>IF(LEN(SnapshotTable[[#This Row],[LC Symbol]])&gt;0, 1, "")</f>
        <v/>
      </c>
      <c r="GR209" s="43" t="str">
        <f>IF(AND(SnapshotTable[[#This Row],[SC Exp Date]]&gt;0,SnapshotTable[[#This Row],[SC Strike Price]]&gt;0), [1]!ToOptionSymbol(SnapshotTable[[#This Row],[Symbol]], SnapshotTable[[#This Row],[SC Strike Price]],SnapshotTable[[#This Row],[SC Exp Date]],0), "")</f>
        <v/>
      </c>
      <c r="GS209" s="30" t="str">
        <f>IF(LEN(SnapshotTable[[#This Row],[SC Symbol]])&gt;0, 1, "")</f>
        <v/>
      </c>
      <c r="GT209" s="29" t="str">
        <f>IF(COUNT(SnapshotTable[[#This Row],[LP Symbol Count]],SnapshotTable[[#This Row],[SP Symbol Count]],SnapshotTable[[#This Row],[LC Symbol Count]],SnapshotTable[[#This Row],[SC Symbol Count]])&gt;0, "Y", "")</f>
        <v/>
      </c>
      <c r="GU20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9" s="231" t="e">
        <f>MAX(SnapshotTable[[#This Row],[Equity Basis Total]],SnapshotTable[[#This Row],[Equity Value]]) + (SnapshotTable[[#This Row],[SP Potential Spend]]- SnapshotTable[[#This Row],[SP Premium]] + SnapshotTable[[#This Row],[LP Premium]])+ (SnapshotTable[[#This Row],[LC Premium]] - SnapshotTable[[#This Row],[SC Premium]])</f>
        <v>#VALUE!</v>
      </c>
      <c r="GW209" s="139" t="e">
        <f>IF(AND(SnapshotTable[[#This Row],[Exposure]] &lt;&gt; 0),SnapshotTable[[#This Row],[Exposure]] / SnapshotTable[[#Totals],[Exposure]], "")</f>
        <v>#VALUE!</v>
      </c>
      <c r="GX209" s="46"/>
      <c r="HE209" s="268"/>
      <c r="HF209" s="268"/>
      <c r="HK209" s="1"/>
      <c r="HL209" s="1"/>
      <c r="HM209" s="1"/>
      <c r="HN209" s="1"/>
      <c r="HO209" s="1"/>
      <c r="HP209" s="1"/>
    </row>
    <row r="210" spans="2:224" ht="12.75" hidden="1" customHeight="1" x14ac:dyDescent="0.25">
      <c r="B210" s="12" t="s">
        <v>156</v>
      </c>
      <c r="C210" s="422">
        <v>103.11</v>
      </c>
      <c r="D210" s="208"/>
      <c r="E210" s="39">
        <f>SnapshotTable[[#This Row],[Last Price]]*(1 -CrashDiscount)</f>
        <v>87.643500000000003</v>
      </c>
      <c r="F210" s="26" t="s">
        <v>155</v>
      </c>
      <c r="G210" s="26" t="s">
        <v>4</v>
      </c>
      <c r="H210" s="149"/>
      <c r="I210" s="194">
        <v>44768</v>
      </c>
      <c r="J210" s="195">
        <v>44768</v>
      </c>
      <c r="K210" s="196"/>
      <c r="L210" s="326"/>
      <c r="M210" s="140"/>
      <c r="N210" s="140"/>
      <c r="O210" s="140"/>
      <c r="P210" s="22"/>
      <c r="Q210" s="25"/>
      <c r="R210" s="4" t="str">
        <f>IF(SnapshotTable[[#This Row],[Equity Basis Total]] &gt; 0, SnapshotTable[[#This Row],[Equity Basis Total]] / SnapshotTable[[#This Row],[Equity Shares]], "")</f>
        <v/>
      </c>
      <c r="S210" s="269">
        <f>SnapshotTable[[#This Row],[Last Price]] * SnapshotTable[[#This Row],[Equity Shares]]</f>
        <v>0</v>
      </c>
      <c r="T210" s="269">
        <f>SnapshotTable[[#This Row],[Equity Value]] - SnapshotTable[[#This Row],[Equity Basis Total]]</f>
        <v>0</v>
      </c>
      <c r="U210" s="270" t="str">
        <f>IF(SnapshotTable[[#This Row],[Equity Basis Total]] &gt; 0, SnapshotTable[[#This Row],[Equity G/L]] / SnapshotTable[[#This Row],[Equity Basis Total]], "")</f>
        <v/>
      </c>
      <c r="V210" s="268"/>
      <c r="W210" s="268"/>
      <c r="X210" s="4" t="str">
        <f>IF(AND(ISNUMBER(SnapshotTable[[#This Row],[Equity Basis Per Share]]),ISNUMBER(SnapshotTable[[#This Row],[Equity Target]])),SnapshotTable[[#This Row],[Equity Target]]-SnapshotTable[[#This Row],[Equity Basis Per Share]],"")</f>
        <v/>
      </c>
      <c r="Y210" s="4" t="str">
        <f>IF(AND(ISNUMBER(SnapshotTable[[#This Row],[Equity Basis Per Share]]),ISNUMBER(SnapshotTable[[#This Row],[Equity Stop Loss]])),SnapshotTable[[#This Row],[Equity Stop Loss]]-SnapshotTable[[#This Row],[Equity Basis Per Share]],"")</f>
        <v/>
      </c>
      <c r="Z210" s="275" t="str">
        <f>IFERROR( TEXT(SnapshotTable[[#This Row],[Equity Max Gain Per Share]] /ABS( SnapshotTable[[#This Row],[Equity Max Loss Per Share]]),"0.0 " ) &amp; " : 1", "")</f>
        <v/>
      </c>
      <c r="AA210" s="31" t="str">
        <f>IF(ISNUMBER(SnapshotTable[[#This Row],[Equity Max Gain Per Share]]),SnapshotTable[[#This Row],[Equity Max Gain Per Share]] * SnapshotTable[[#This Row],[Equity Shares]],"")</f>
        <v/>
      </c>
      <c r="AB210" s="31" t="str">
        <f>IF(ISNUMBER(SnapshotTable[[#This Row],[Equity Max Loss Per Share]]),SnapshotTable[[#This Row],[Equity Max Loss Per Share]] * SnapshotTable[[#This Row],[Equity Shares]],"")</f>
        <v/>
      </c>
      <c r="AC210" s="150">
        <v>2</v>
      </c>
      <c r="AD210" s="151">
        <v>42641</v>
      </c>
      <c r="AE210" s="31">
        <f>(SnapshotTable[[#This Row],[Annual Dividend Per Share]] / 4) * SnapshotTable[[#This Row],[Equity Shares]]</f>
        <v>0</v>
      </c>
      <c r="AF210" s="31">
        <f>SnapshotTable[[#This Row],[Quarterly Div $]] * 4</f>
        <v>0</v>
      </c>
      <c r="AG210" s="7">
        <f>IF(SnapshotTable[[#This Row],[Annual Dividend Per Share]]&gt;0, SnapshotTable[[#This Row],[Annual Dividend Per Share]]  / SnapshotTable[[#This Row],[Last Price]], 0)</f>
        <v>1.9396760740956261E-2</v>
      </c>
      <c r="AH210" s="151">
        <v>42682</v>
      </c>
      <c r="AI210" s="5"/>
      <c r="AJ210" s="138">
        <v>28.47</v>
      </c>
      <c r="AK210" s="152" t="str">
        <f>IF(ISNUMBER( SnapshotTable[[#This Row],[EBF Target]]),(SnapshotTable[[#This Row],[EBF Target]] - SnapshotTable[[#This Row],[Last Price]]) / SnapshotTable[[#This Row],[Last Price]], "")</f>
        <v/>
      </c>
      <c r="AL210" s="152" t="str">
        <f>IF(AND(SnapshotTable[[#This Row],[Equity Basis Total]] &gt; 0,ISNUMBER( SnapshotTable[[#This Row],[Long Term Target]])), SnapshotTable[[#This Row],[From Basis $]] / SnapshotTable[[#This Row],[Equity Basis Total]], "")</f>
        <v/>
      </c>
      <c r="AM210" s="9">
        <f>IF( AND(SnapshotTable[[#This Row],[Equity Shares]] &gt;0,ISNUMBER( SnapshotTable[[#This Row],[Long Term Target]])),(SnapshotTable[[#This Row],[Equity Shares]] * SnapshotTable[[#This Row],[Long Term Target]]) - SnapshotTable[[#This Row],[Equity Basis Total]],0)</f>
        <v>0</v>
      </c>
      <c r="AN210" s="9">
        <f>IF( AND(SnapshotTable[[#This Row],[Equity Shares]] &gt;0,ISNUMBER( SnapshotTable[[#This Row],[Long Term Target]])),(SnapshotTable[[#This Row],[Equity Shares]]*SnapshotTable[[#This Row],[Long Term Target]]) - SnapshotTable[[#This Row],[Equity Value]],0)</f>
        <v>0</v>
      </c>
      <c r="AO210" s="152">
        <f>IF(AND(ISNUMBER( SnapshotTable[[#This Row],[Long Term Target]]), ISNUMBER(SnapshotTable[[#This Row],[Last Price]])),(SnapshotTable[[#This Row],[Long Term Target]] - SnapshotTable[[#This Row],[Last Price]]) / SnapshotTable[[#This Row],[Last Price]], "")</f>
        <v>-0.72388711085248769</v>
      </c>
      <c r="AP210" s="5"/>
      <c r="AQ210" s="38"/>
      <c r="AR210" s="5"/>
      <c r="AS210" s="38"/>
      <c r="AT210" s="146"/>
      <c r="AU210" s="187" t="str">
        <f>IF(OR(SnapshotTable[[#This Row],[LP No Fill]]="Y",SnapshotTable[[#This Row],[SP Is Filled]],SnapshotTable[[#This Row],[LC Not Filled]]="Y",SnapshotTable[[#This Row],[SC Is Filled]]),"Y","")</f>
        <v/>
      </c>
      <c r="AV210" s="219"/>
      <c r="AW210" s="225"/>
      <c r="AX210" s="220"/>
      <c r="AY210" s="219" t="str">
        <f>IF(SnapshotTable[[#This Row],[Implied Move]]&gt;0, SnapshotTable[[#This Row],[Last Price]]-SnapshotTable[[#This Row],[Implied Move]],"")</f>
        <v/>
      </c>
      <c r="AZ210" s="219" t="str">
        <f>IF(SnapshotTable[[#This Row],[Implied Move]]&gt;0, SnapshotTable[[#This Row],[Last Price]] + SnapshotTable[[#This Row],[Implied Move]],"")</f>
        <v/>
      </c>
      <c r="BA210" s="331"/>
      <c r="BB210" s="347"/>
      <c r="BC21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0" s="351"/>
      <c r="BE210" s="5"/>
      <c r="BF210" s="14"/>
      <c r="BG210" s="13"/>
      <c r="BH210" s="13"/>
      <c r="BI210" s="5"/>
      <c r="BJ210" s="136"/>
      <c r="BK210" s="136">
        <f>IF(SnapshotTable[[#This Row],[LP Premium]] &gt; 0, SnapshotTable[[#This Row],[LP Qty]] * SnapshotTable[[#This Row],[LP Strike Price]] * 100,0)</f>
        <v>0</v>
      </c>
      <c r="BL210" s="154"/>
      <c r="BM210" s="385" t="str">
        <f>IF(SnapshotTable[[#This Row],[LP Premium]] &gt; 0,SnapshotTable[[#This Row],[LP Exp Date]]-MAX(SnapshotTable[[#This Row],[LP Book Date]], SnapshotTable[[#This Row],[LP Fill Date]]),"")</f>
        <v/>
      </c>
      <c r="BN210" s="385" t="str">
        <f>IF(ISNUMBER( SnapshotTable[[#This Row],[LP Term]]), SnapshotTable[[#This Row],[LP Exp Date]] - MockToday,"")</f>
        <v/>
      </c>
      <c r="BO210" s="163" t="str">
        <f>IF(AND(SnapshotTable[[#This Row],[LP Exp Date]]&gt;0, SnapshotTable[[#This Row],[LP Strike Price]]&gt;0,SnapshotTable[[#This Row],[LP Qty]]&gt;0,SnapshotTable[[#This Row],[LP Book Date]]&gt;0,SnapshotTable[[#This Row],[LP Book Price]]&gt;0,SnapshotTable[[#This Row],[LP Fill Date]]=0),"Y","")</f>
        <v/>
      </c>
      <c r="BP210" s="31" t="str">
        <f>IF(AND(SnapshotTable[[#This Row],[LP No Fill]]&lt;&gt;"Y",SnapshotTable[[#This Row],[LP Contract Value]]&gt;0, SnapshotTable[[#This Row],[LP Qty]]&gt;0), SnapshotTable[[#This Row],[LP Contract Value]]*SnapshotTable[[#This Row],[LP Qty]]*100,"")</f>
        <v/>
      </c>
      <c r="BQ210" s="13"/>
      <c r="BR210" s="5" t="str">
        <f>IF(SnapshotTable[[#This Row],[SP Exp Date]]&lt;&gt;"",TRUNC(SnapshotTable[[#This Row],[Last Price]]),"")</f>
        <v/>
      </c>
      <c r="BS210" s="36"/>
      <c r="BT210" s="147"/>
      <c r="BU210" s="13"/>
      <c r="BV210" s="5"/>
      <c r="BW210" s="419" t="b">
        <f>AND(ISNUMBER(SnapshotTable[[#This Row],[SP Exp Date]]), ISNUMBER(SnapshotTable[[#This Row],[SP Strike Price]]), ISNUMBER(SnapshotTable[[#This Row],[SP Qty]]), ISNUMBER(SnapshotTable[[#This Row],[SP Book Date]]), ISNUMBER(SnapshotTable[[#This Row],[SP Book Price]]))</f>
        <v>0</v>
      </c>
      <c r="BX210" s="419" t="b">
        <f>AND(SnapshotTable[[#This Row],[SP Is Booked]], NOT(ISBLANK(SnapshotTable[[#This Row],[SP Fill Date]])))</f>
        <v>0</v>
      </c>
      <c r="BY210" s="33">
        <f>IF(SnapshotTable[[#This Row],[SP Is Booked]], SnapshotTable[[#This Row],[SP Qty]] * SnapshotTable[[#This Row],[SP Book Price]] * 100, 0)</f>
        <v>0</v>
      </c>
      <c r="BZ210" s="369"/>
      <c r="CA210" s="368">
        <f>SnapshotTable[[#This Row],[LP Qty]]</f>
        <v>0</v>
      </c>
      <c r="CB210" s="4" t="str">
        <f>IF(SnapshotTable[[#This Row],[SP Is Booked]], SnapshotTable[[#This Row],[SP Strike Price]] - SnapshotTable[[#This Row],[SP Book Price]], "")</f>
        <v/>
      </c>
      <c r="CC210" s="19" t="str">
        <f>IF(SnapshotTable[[#This Row],[SP Is Booked]],SnapshotTable[[#This Row],[SP Exp Date]]-MAX(SnapshotTable[[#This Row],[SP Book Date]], SnapshotTable[[#This Row],[SP Fill Date]]),"")</f>
        <v/>
      </c>
      <c r="CD210" s="7" t="str">
        <f>IF(SnapshotTable[[#This Row],[SP Is Booked]], SnapshotTable[[#This Row],[SP Book Price]]/SnapshotTable[[#This Row],[SP Strike Price]], "")</f>
        <v/>
      </c>
      <c r="CE210" s="7" t="str">
        <f>IF(ISNUMBER(SnapshotTable[[#This Row],[SP ROO Term]]),SnapshotTable[[#This Row],[SP ROO Term]]*(365/SnapshotTable[[#This Row],[SP Term]]),"")</f>
        <v/>
      </c>
      <c r="CF210" s="236">
        <f>SnapshotTable[[#This Row],[LP Strike Price]] * SnapshotTable[[#This Row],[LP Qty]] * 100</f>
        <v>0</v>
      </c>
      <c r="CG210" s="31" t="e">
        <f>IF(ISNUMBER(SnapshotTable[[#This Row],[SP Premium]]), (SnapshotTable[[#This Row],[SP Qty]] * SnapshotTable[[#This Row],[SP Strike Price]]* 100) - SnapshotTable[[#This Row],[LP Protection]], 0)</f>
        <v>#VALUE!</v>
      </c>
      <c r="CH210" s="7" t="str">
        <f>IF(ISNUMBER(SnapshotTable[[#This Row],[SP Break Even]]),-1 * (SnapshotTable[[#This Row],[SP Break Even]] - SnapshotTable[[#This Row],[Last Price]]) / SnapshotTable[[#This Row],[Last Price]], "")</f>
        <v/>
      </c>
      <c r="CI210" s="31">
        <f>IF(AND(ISNUMBER((SnapshotTable[[#This Row],[SP Potential Spend]])), SnapshotTable[[#This Row],[SP Strike Price]] &gt; SnapshotTable[[#This Row],[Last Price]], SnapshotTable[[#This Row],[SP Is Filled]]), SnapshotTable[[#This Row],[SP Potential Spend]] -  SnapshotTable[[#This Row],[LP Max Value]], 0)</f>
        <v>0</v>
      </c>
      <c r="CJ210" s="244"/>
      <c r="CK210" s="31" t="str">
        <f>IF(ISNUMBER(SnapshotTable[[#This Row],[SP Potential Spend]]),IF(ISNUMBER(SnapshotTable[[#This Row],[SP POW]]), SnapshotTable[[#This Row],[SP POW]] * SnapshotTable[[#This Row],[SP Potential Spend]], SnapshotTable[[#This Row],[SP Potential Spend]]), "")</f>
        <v/>
      </c>
      <c r="CL210" s="164" t="e">
        <f>IF(NOT(SnapshotTable[[#This Row],[SP Is Filled]]),(SnapshotTable[[#This Row],[SP Qty]] * SnapshotTable[[#This Row],[SP Strike Price]] * 100) - SnapshotTable[[#This Row],[LP Max Value]],"")</f>
        <v>#VALUE!</v>
      </c>
      <c r="CM210" s="31" t="str">
        <f>IF(SnapshotTable[[#This Row],[SP Actual Spend]]&lt;&gt;0, ((SnapshotTable[[#This Row],[SP Strike Price]]-SnapshotTable[[#This Row],[Last Price]]) *(SnapshotTable[[#This Row],[SP Qty]]*100) - SnapshotTable[[#This Row],[SP Premium]]) * - 1, "")</f>
        <v/>
      </c>
      <c r="CN210" s="78"/>
      <c r="CO210" s="369"/>
      <c r="CP210" s="4" t="str">
        <f>IF(SnapshotTable[[#This Row],[SP Is Filled]], btc_max_buyback_amount(SnapshotTable[[#This Row],[SP Fill Date]],SnapshotTable[[#This Row],[SP Exp Date]], SnapshotTable[[#This Row],[SP Book Price]]),"")</f>
        <v/>
      </c>
      <c r="CQ210" s="78"/>
      <c r="CR21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0" s="155" t="str">
        <f>IF(SnapshotTable[[#This Row],[SP Is Filled]], btc_next_cutoff_date(SnapshotTable[[#This Row],[SP Fill Date]],SnapshotTable[[#This Row],[SP Exp Date]]),"")</f>
        <v/>
      </c>
      <c r="CT210" s="235" t="str" cm="1">
        <f t="array" ref="CT210">IF(SnapshotTable[[#This Row],[SP Is Filled]], btc_should_buy_back(SnapshotTable[[#This Row],[SP Fill Date]], SnapshotTable[[#This Row],[SP Exp Date]], SnapshotTable[[#This Row],[SP Book Price]], SnapshotTable[[#This Row],[SP Current Ask]], MockToday, SnapshotTable[[#This Row],[SP Buyback Override]]),"")</f>
        <v/>
      </c>
      <c r="CU210" s="143"/>
      <c r="CV210" s="235"/>
      <c r="CW210" s="378" t="str">
        <f>IF(ISNUMBER( SnapshotTable[[#This Row],[SP Term]]), SnapshotTable[[#This Row],[SP Exp Date]] - MockToday,"")</f>
        <v/>
      </c>
      <c r="CX210" s="31" t="str">
        <f>IF(SnapshotTable[[#This Row],[SP Is Filled]],SnapshotTable[[#This Row],[SP Buyback Price to Use]] * 100 * SnapshotTable[[#This Row],[SP Qty]], "")</f>
        <v/>
      </c>
      <c r="CY210" s="4" t="str">
        <f>IF(ISNUMBER(SnapshotTable[[#This Row],[SP Strike Price]]), SnapshotTable[[#This Row],[SP Strike Price]] * (1 - SP_MaxLoss_StrikePct), "")</f>
        <v/>
      </c>
      <c r="CZ210" s="31" t="str">
        <f>IF(ISNUMBER(SnapshotTable[[#This Row],[SP Strike  Stop Per Share]]),SnapshotTable[[#This Row],[SP Premium]] - ((SnapshotTable[[#This Row],[SP Strike Price]]-SnapshotTable[[#This Row],[SP Strike  Stop Per Share]]) *(SnapshotTable[[#This Row],[SP Qty]] * 100)),"")</f>
        <v/>
      </c>
      <c r="DA210" s="4" t="str">
        <f>IF(AND(ISNUMBER(SnapshotTable[[#This Row],[SP Premium]]),SnapshotTable[[#This Row],[SP Premium]]&gt;0), SnapshotTable[[#This Row],[SP Book Price]] * (1 + SP_MaxLoss_OptionPct), "")</f>
        <v/>
      </c>
      <c r="DB210" s="31" t="str">
        <f>IF(ISNUMBER(SnapshotTable[[#This Row],[SP Option  Stop Contract]]),(SnapshotTable[[#This Row],[SP Option  Stop Contract]] *(SnapshotTable[[#This Row],[SP Qty]] * 100) - SnapshotTable[[#This Row],[SP Premium]]),"")</f>
        <v/>
      </c>
      <c r="DC210" s="4"/>
      <c r="DD210" s="4"/>
      <c r="DE210" s="4" t="str">
        <f>IF(AND(SnapshotTable[[#This Row],[SP Qty]]&gt;0, SnapshotTable[[#This Row],[SP Stop To Use]]&gt;0),SnapshotTable[[#This Row],[SP Premium]] - ( SnapshotTable[[#This Row],[SP Qty]] * SnapshotTable[[#This Row],[SP Stop To Use]] * 100), "")</f>
        <v/>
      </c>
      <c r="DF210" s="31" t="str">
        <f>IF(AND(SnapshotTable[[#This Row],[SP Qty]]&gt;0,SnapshotTable[[#This Row],[SP Current Ask]]&gt;0), SnapshotTable[[#This Row],[SP Qty]] * SnapshotTable[[#This Row],[SP Current Ask]] * -100, "")</f>
        <v/>
      </c>
      <c r="DG210" s="31" t="str">
        <f>IF(ISNUMBER((SnapshotTable[[#This Row],[SP Total Value]])), SnapshotTable[[#This Row],[SP Premium]] + SnapshotTable[[#This Row],[SP Total Value]], "")</f>
        <v/>
      </c>
      <c r="DH210" s="294" t="str">
        <f>IF(ISNUMBER((SnapshotTable[[#This Row],[SP Total Value]])), SnapshotTable[[#This Row],[SP Gain Loss]] / SnapshotTable[[#This Row],[SP Premium]], "")</f>
        <v/>
      </c>
      <c r="DI210" s="406"/>
      <c r="DJ210" s="138"/>
      <c r="DK210" s="148"/>
      <c r="DL210" s="13"/>
      <c r="DM210" s="13"/>
      <c r="DO210" s="31">
        <f>IF(SnapshotTable[[#This Row],[LC Symbol Count]]=1, SnapshotTable[[#This Row],[LC Qty]] * SnapshotTable[[#This Row],[LC Book Price]] * 100, 0)</f>
        <v>0</v>
      </c>
      <c r="DP210" s="163" t="str">
        <f>IF(AND(SnapshotTable[[#This Row],[LC Exp Date]]&gt;0, SnapshotTable[[#This Row],[LC Strike Price]]&gt;0,SnapshotTable[[#This Row],[LC Qty]]&gt;0,SnapshotTable[[#This Row],[LC Book Date]]&gt;0,SnapshotTable[[#This Row],[LC Book Price]]&gt;0,SnapshotTable[[#This Row],[LC Fill Date]]=0),"Y","")</f>
        <v/>
      </c>
      <c r="DQ210" s="386" t="str">
        <f>IF(SnapshotTable[[#This Row],[LC Premium]] &gt; 0,SnapshotTable[[#This Row],[LC Exp Date]]-MAX(SnapshotTable[[#This Row],[LC Book Date]], SnapshotTable[[#This Row],[LC Fill Date]]),"")</f>
        <v/>
      </c>
      <c r="DR210" s="386" t="str">
        <f>IF(ISNUMBER(SnapshotTable[[#This Row],[LC Term]]), SnapshotTable[[#This Row],[LC Exp Date]] - MockToday, "")</f>
        <v/>
      </c>
      <c r="DS210" s="234" t="str">
        <f>IF(SnapshotTable[[#This Row],[LC Premium]]&gt;0,SnapshotTable[[#This Row],[LC Strike Price]] + SnapshotTable[[#This Row],[LC Book Price]],"")</f>
        <v/>
      </c>
      <c r="DU210" s="9" t="str">
        <f>IF(AND(SnapshotTable[[#This Row],[LC Symbol Count]]&gt;0, SnapshotTable[[#This Row],[LC Contract Value]]&gt;0), SnapshotTable[[#This Row],[LC Contract Value]] * SnapshotTable[[#This Row],[LC Qty]] * 100, "")</f>
        <v/>
      </c>
      <c r="DV210" s="9" t="str">
        <f>IF(AND(ISNUMBER(SnapshotTable[[#This Row],[LC Total Value]]), SnapshotTable[[#This Row],[LC Not Filled]]&lt;&gt;"Y"), SnapshotTable[[#This Row],[LC Total Value]]-SnapshotTable[[#This Row],[LC Premium]],"")</f>
        <v/>
      </c>
      <c r="DW210" s="240" t="str">
        <f>IF(ISNUMBER(SnapshotTable[[#This Row],[LC Actual Gain Loss]]), SnapshotTable[[#This Row],[LC Actual Gain Loss]] / SnapshotTable[[#This Row],[LC Premium]],"")</f>
        <v/>
      </c>
      <c r="DX210" s="284" t="str">
        <f>IF(ISNUMBER(SnapshotTable[[#This Row],[LC Book Price]]),SnapshotTable[[#This Row],[LC Book Price]] * 1.5,"")</f>
        <v/>
      </c>
      <c r="DY210" s="265" t="str">
        <f>IF(SnapshotTable[[#This Row],[LC Premium]]&gt;0, SnapshotTable[[#This Row],[LC Next Target]] * SnapshotTable[[#This Row],[LC Qty]] * 100,"")</f>
        <v/>
      </c>
      <c r="DZ210" s="265" t="str">
        <f>IF(ISNUMBER(SnapshotTable[[#This Row],[LC Target Gross]]), SnapshotTable[[#This Row],[LC Target Gross]] - SnapshotTable[[#This Row],[LC Premium]], "")</f>
        <v/>
      </c>
      <c r="EA210" s="305" t="str">
        <f>IF(ISNUMBER(SnapshotTable[[#This Row],[LC Target Gain Loss]]), SnapshotTable[[#This Row],[LC Target Gain Loss]]/SnapshotTable[[#This Row],[LC Premium]], "")</f>
        <v/>
      </c>
      <c r="EB210" s="262"/>
      <c r="EC210" s="283" t="str">
        <f>IF(SnapshotTable[[#This Row],[LC Premium]]&gt;0, SnapshotTable[[#This Row],[LC Book Price]] * (1 - LC_StopLoss_Pct),"")</f>
        <v/>
      </c>
      <c r="ED210" s="284"/>
      <c r="EE210" s="283" t="str">
        <f>IF(ISNUMBER(SnapshotTable[[#This Row],[LC Contract Value]]),IF(ISNUMBER(SnapshotTable[[#This Row],[LC Stop Loss Override]]), SnapshotTable[[#This Row],[LC Stop Loss Override]],SnapshotTable[[#This Row],[LC Stop Loss Calc Target]]),"")</f>
        <v/>
      </c>
      <c r="EF210" s="31" t="str">
        <f>IF(ISNUMBER(SnapshotTable[[#This Row],[LC Stop  To Use]]), (SnapshotTable[[#This Row],[LC Stop  To Use]] * SnapshotTable[[#This Row],[LC Qty]] * 100),"")</f>
        <v/>
      </c>
      <c r="EG210" s="9" t="str">
        <f>IF(ISNUMBER(SnapshotTable[[#This Row],[LC Total Value]]),SnapshotTable[[#This Row],[LC Stop Loss Amount]] - SnapshotTable[[#This Row],[LC Premium]],"")</f>
        <v/>
      </c>
      <c r="EH210" s="9">
        <f>IF(ISNUMBER(SnapshotTable[[#This Row],[LC Premium]]), SnapshotTable[[#This Row],[LC Qty]] * 100 * SnapshotTable[[#This Row],[LC Strike Price]], "")</f>
        <v>0</v>
      </c>
      <c r="EI210" s="240" t="str">
        <f>IF(AND(ISNUMBER(SnapshotTable[[#This Row],[LC Total Value]]),SnapshotTable[[#This Row],[LC Total Value]]&gt;0),SnapshotTable[[#This Row],[LC Stop Gain Loss]]  / SnapshotTable[[#This Row],[LC Premium]],"")</f>
        <v/>
      </c>
      <c r="EJ210" s="35">
        <f>IF(ISNUMBER(SnapshotTable[[#This Row],[Equity Shares]]),TRUNC(SnapshotTable[[#This Row],[Equity Shares]] / 100),0) + SnapshotTable[[#This Row],[LC Qty]]</f>
        <v>0</v>
      </c>
      <c r="EK210" s="147"/>
      <c r="EL210" s="138" t="str">
        <f>IF(SnapshotTable[[#This Row],[SC Exp Date]]&lt;&gt;"",TRUNC(SnapshotTable[[#This Row],[Last Price]]),"")</f>
        <v/>
      </c>
      <c r="EM210" s="148"/>
      <c r="EN210" s="147"/>
      <c r="EO210" s="147"/>
      <c r="EP210" s="138"/>
      <c r="EQ210" s="419" t="b">
        <f>AND(ISNUMBER(SnapshotTable[[#This Row],[SC Exp Date]]), ISNUMBER(SnapshotTable[[#This Row],[SC Strike Price]]), ISNUMBER(SnapshotTable[[#This Row],[SC Qty]]), ISNUMBER(SnapshotTable[[#This Row],[SC Book Date]]), ISNUMBER(SnapshotTable[[#This Row],[SC Book Price]]))</f>
        <v>0</v>
      </c>
      <c r="ER210" s="419" t="b">
        <f>AND(SnapshotTable[[#This Row],[SC Is Booked]], NOT(ISBLANK(SnapshotTable[[#This Row],[SC Fill Date]])))</f>
        <v>0</v>
      </c>
      <c r="ES210" s="370"/>
      <c r="ET210" s="34" t="str">
        <f>IF(AND(ISNUMBER(SnapshotTable[[#This Row],[SC Exp Date]]), ISNUMBER(SnapshotTable[[#This Row],[SC Book Date]])), SnapshotTable[[#This Row],[SC Exp Date]] - MAX(SnapshotTable[[#This Row],[SC Book Date]], SnapshotTable[[#This Row],[SC Fill Date]]) + 1, "")</f>
        <v/>
      </c>
      <c r="EU210" s="34" t="str">
        <f>IF(ISNUMBER(SnapshotTable[[#This Row],[SC Term]]), SnapshotTable[[#This Row],[SC Exp Date]]- MockToday, "")</f>
        <v/>
      </c>
      <c r="EV210" s="31">
        <f>IF(SnapshotTable[[#This Row],[SC Is Booked]], SnapshotTable[[#This Row],[SC Qty]] * SnapshotTable[[#This Row],[SC Book Price]] * 100, 0)</f>
        <v>0</v>
      </c>
      <c r="EW210" s="4" t="str">
        <f>IF(AND(ISNUMBER(SnapshotTable[[#This Row],[Last Price]]), ISNUMBER( SnapshotTable[[#This Row],[SC Book Price]])), SnapshotTable[[#This Row],[Last Price]] - SnapshotTable[[#This Row],[SC Book Price]],"")</f>
        <v/>
      </c>
      <c r="EX210" s="234" t="str">
        <f>IF(SnapshotTable[[#This Row],[SC Is Booked]],IF(SnapshotTable[[#This Row],[SC Intrinsic Value]] &gt; 0, SnapshotTable[[#This Row],[SC Strike Price]], SnapshotTable[[#This Row],[Last Price]]), "")</f>
        <v/>
      </c>
      <c r="EY210" s="4">
        <f>IF(SnapshotTable[[#This Row],[SC Is Booked]], (MinimumPremiumRequired * SnapshotTable[[#This Row],[SC Basis]] * SnapshotTable[[#This Row],[SC Term]]), 0)</f>
        <v>0</v>
      </c>
      <c r="EZ210" s="283"/>
      <c r="FA210" s="218"/>
      <c r="FB210" s="370"/>
      <c r="FC210" s="4">
        <f>IF(SnapshotTable[[#This Row],[SC Is Filled]], btc_max_buyback_amount(SnapshotTable[[#This Row],[SC Fill Date]],SnapshotTable[[#This Row],[SC Exp Date]], SnapshotTable[[#This Row],[SC Book Price]]),0)</f>
        <v>0</v>
      </c>
      <c r="FD210" s="5"/>
      <c r="FE210" s="144" t="str">
        <f>IF(SnapshotTable[[#This Row],[SC Is Filled]], btc_next_cutoff_date(SnapshotTable[[#This Row],[SC Fill Date]],SnapshotTable[[#This Row],[SC Exp Date]]),"")</f>
        <v/>
      </c>
      <c r="FF210" s="4" t="str" cm="1">
        <f t="array" ref="FF210">IF(SnapshotTable[[#This Row],[SC Is Filled]], btc_should_buy_back(SnapshotTable[[#This Row],[SC Fill Date]], SnapshotTable[[#This Row],[SC Exp Date]], SnapshotTable[[#This Row],[SC Book Price]], SnapshotTable[[#This Row],[SC Current Ask]], MockToday, SnapshotTable[[#This Row],[SC Buyback Override]]),"")</f>
        <v/>
      </c>
      <c r="FG210" s="4">
        <f>IF(SnapshotTable[[#This Row],[SC Is Filled]], MAX(0,SnapshotTable[[#This Row],[Last Price]]  - SnapshotTable[[#This Row],[SC Strike Price]]), 0)</f>
        <v>0</v>
      </c>
      <c r="FH210" s="382">
        <f>IF(SnapshotTable[[#This Row],[SC Is Filled]], IF(ISNUMBER(SnapshotTable[[#This Row],[SC Current Ask]]), SnapshotTable[[#This Row],[SC Current Ask]], SnapshotTable[[#This Row],[SC Book Price]]) - SnapshotTable[[#This Row],[SC Intrinsic Value]], 0)</f>
        <v>0</v>
      </c>
      <c r="FI210" s="143"/>
      <c r="FJ210" s="32" t="str">
        <f>IF(SnapshotTable[[#This Row],[SC Is Filled]],100 * SnapshotTable[[#This Row],[SC Qty]] * IF(ISNUMBER(SnapshotTable[[#This Row],[SC Buyback Override]]), SnapshotTable[[#This Row],[SC Buyback Override]], SnapshotTable[[#This Row],[SC Current Ask]]), "")</f>
        <v/>
      </c>
      <c r="FK210" s="250" t="str">
        <f>IF(SnapshotTable[[#This Row],[SC Time Val]]&gt;0, SnapshotTable[[#This Row],[SC Time Val]] / SnapshotTable[[#This Row],[Last Price]],"")</f>
        <v/>
      </c>
      <c r="FL210" s="302" t="str">
        <f>IF(SnapshotTable[[#This Row],[SC Is Booked]], ((SnapshotTable[[#This Row],[Last Price]] -SnapshotTable[[#This Row],[SC Strike Price]]) / SnapshotTable[[#This Row],[Last Price]]) * -1, "")</f>
        <v/>
      </c>
      <c r="FM210" s="157" t="str">
        <f>IF(SnapshotTable[[#This Row],[SC Is Booked]],  (SnapshotTable[[#This Row],[SC Qty]] * 100 * SnapshotTable[[#This Row],[SC Strike Price]]) - SnapshotTable[[#This Row],[SC Current Ask]], "")</f>
        <v/>
      </c>
      <c r="FN21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0" s="31" t="str">
        <f>IF(AND(ISNUMBER(SnapshotTable[[#This Row],[SC Exercise Gross]]), ISNUMBER(SnapshotTable[[#This Row],[Equity Basis Per Share]] )), SnapshotTable[[#This Row],[SC Exercise Gross]] - SnapshotTable[[#This Row],[Equity Basis Total]] +  SnapshotTable[[#This Row],[SC Premium]], "")</f>
        <v/>
      </c>
      <c r="FP210" s="5" t="str">
        <f>IF(ISNUMBER(SnapshotTable[[#This Row],[SC Exercise Gross]]), (SnapshotTable[[#This Row],[SC Exercise Gross]]) / (SnapshotTable[[#This Row],[SC Qty]] * 100), "")</f>
        <v/>
      </c>
      <c r="FQ210" s="27" t="str">
        <f>IF(SnapshotTable[[#This Row],[SC Is Booked]],SnapshotTable[[#This Row],[SC Time Val]] /SnapshotTable[[#This Row],[SC Basis]], "")</f>
        <v/>
      </c>
      <c r="FR210" s="27" t="str" cm="1">
        <f t="array" ref="FR210">IF(AND(ISNUMBER(SnapshotTable[[#This Row],[SC Term]]),ISNUMBER(SnapshotTable[[#This Row],[SC Simple ROO]])), EllmanAnnualize(SnapshotTable[[#This Row],[SC DTE]], SnapshotTable[[#This Row],[SC Simple ROO]] ),"")</f>
        <v/>
      </c>
      <c r="FS210" s="4" t="e">
        <f>IF(SnapshotTable[[#This Row],[SC Strike Price]] &gt; SnapshotTable[[#This Row],[Last Price]], SnapshotTable[[#This Row],[SC Strike Price]] - SnapshotTable[[#This Row],[Last Price]],0)</f>
        <v>#VALUE!</v>
      </c>
      <c r="FT210" s="27" t="e">
        <f>IF(AND(ISNUMBER(SnapshotTable[[#This Row],[SC Upside Potential]]), SnapshotTable[[#This Row],[SC Upside Potential]] &gt; 0),(SnapshotTable[[#This Row],[SC Upside Potential]]/ SnapshotTable[[#This Row],[ACB]]),"")</f>
        <v>#VALUE!</v>
      </c>
      <c r="FU210" s="333" t="str">
        <f>IF(SnapshotTable[[#This Row],[SC Intrinsic Value]] &gt; 0,SnapshotTable[[#This Row],[SC Intrinsic Value]],"")</f>
        <v/>
      </c>
      <c r="FV210" s="27" t="str">
        <f>IF(AND( ISNUMBER( SnapshotTable[[#This Row],[ACB]]),ISNUMBER(SnapshotTable[[#This Row],[SC Downside Protect]])),SnapshotTable[[#This Row],[SC Downside Protect]] / SnapshotTable[[#This Row],[ACB]],"")</f>
        <v/>
      </c>
      <c r="FW210" s="236" t="str">
        <f>IF(AND(ISNUMBER(SnapshotTable[[#This Row],[SC Simple ROO]]),SnapshotTable[[#This Row],[SC Simple ROO]] &gt; 0), SnapshotTable[[#This Row],[SC Premium]] + (SnapshotTable[[#This Row],[SC Qty]] * SnapshotTable[[#This Row],[SC Upside Potential]]), "")</f>
        <v/>
      </c>
      <c r="FX210" s="302" t="str" cm="1">
        <f t="array" ref="FX210">IF(ISNUMBER(SnapshotTable[[#This Row],[SC Max Dollars]]), annualize(SnapshotTable[[#This Row],[SC Term]],(SnapshotTable[[#This Row],[SC Max Dollars]]/SnapshotTable[[#This Row],[SC Basis]])),"")</f>
        <v/>
      </c>
      <c r="FY210" s="236" t="str">
        <f>IF(AND(SnapshotTable[[#This Row],[SC Qty]]&gt;0,SnapshotTable[[#This Row],[SC Current Ask]]&gt;0), SnapshotTable[[#This Row],[SC Qty]] * SnapshotTable[[#This Row],[SC Current Ask]] * -100, "")</f>
        <v/>
      </c>
      <c r="FZ210" s="31" t="str">
        <f>IF(ISNUMBER((SnapshotTable[[#This Row],[SC Current Value]])), SnapshotTable[[#This Row],[SC Premium]] + SnapshotTable[[#This Row],[SC Current Value]], "")</f>
        <v/>
      </c>
      <c r="GA210" s="294" t="str">
        <f>IFERROR( IF(ISNUMBER((SnapshotTable[[#This Row],[SC Current Value]])), SnapshotTable[[#This Row],[SC Gain Loss]] / SnapshotTable[[#This Row],[SC Premium]], ""), "")</f>
        <v/>
      </c>
      <c r="GB210" s="42">
        <f>SnapshotTable[[#This Row],[Equity Shares]] * SaleSharesToConsiderPercentage</f>
        <v>0</v>
      </c>
      <c r="GC210" s="40">
        <f>SnapshotTable[[#This Row],[Long Term Target]] * SellingPriceToConsiderBasedOnTargetPercentage</f>
        <v>27.046499999999998</v>
      </c>
      <c r="GD210" s="40">
        <f>SnapshotTable[[#This Row],[Last Price]] * (1+ SellingPriceToConsiderBasedOnTargetPercentage)</f>
        <v>201.06449999999998</v>
      </c>
      <c r="GE210" s="41"/>
      <c r="GF210" s="40"/>
      <c r="GG210" s="31">
        <f>SnapshotTable[[#This Row],[Booked Sale Shares]] * SnapshotTable[[#This Row],[Booked Sale Price]]</f>
        <v>0</v>
      </c>
      <c r="GH210" s="31" t="str">
        <f>IF(SnapshotTable[[#This Row],[Equity Basis Total]] &gt; 0, SnapshotTable[[#This Row],[Equity Basis Per Share]] * SnapshotTable[[#This Row],[Booked Sale Shares]], "")</f>
        <v/>
      </c>
      <c r="GI210" s="31">
        <f>IF(SnapshotTable[[#This Row],[Sale Proceeds]]&gt;0, SnapshotTable[[#This Row],[Sale Proceeds]] - SnapshotTable[[#This Row],[Sale Basis]], 0)</f>
        <v>0</v>
      </c>
      <c r="GJ210" s="27" t="str">
        <f>IF(SnapshotTable[[#This Row],[Sale G/L]]&gt;0, SnapshotTable[[#This Row],[Sale G/L]] / SnapshotTable[[#This Row],[Sale Basis]], IF(ISNUMBER(SnapshotTable[[#This Row],[SC Exercise P&amp;L (TAX)]]), SnapshotTable[[#This Row],[SC Exercise P&amp;L (TAX)]] / SnapshotTable[[#This Row],[SC Basis]], ""))</f>
        <v/>
      </c>
      <c r="GK210" s="27" t="s">
        <v>725</v>
      </c>
      <c r="GL210" s="43" t="str">
        <f>IF(AND(SnapshotTable[[#This Row],[LP Exp Date]]&gt;0,SnapshotTable[[#This Row],[LP Strike Price]]&gt;0), [1]!ToOptionSymbol(SnapshotTable[[#This Row],[Symbol]], SnapshotTable[[#This Row],[LP Strike Price]],SnapshotTable[[#This Row],[LP Exp Date]],1), "")</f>
        <v/>
      </c>
      <c r="GM210" s="30" t="str">
        <f>IF(LEN(SnapshotTable[[#This Row],[LP Symbol]])&gt;0, 1, "")</f>
        <v/>
      </c>
      <c r="GN210" s="43" t="str">
        <f>IF(AND(SnapshotTable[[#This Row],[SP Exp Date]]&gt;0,SnapshotTable[[#This Row],[SP Strike Price]]&gt;0), [1]!ToOptionSymbol(SnapshotTable[[#This Row],[Symbol]], SnapshotTable[[#This Row],[SP Strike Price]],SnapshotTable[[#This Row],[SP Exp Date]],1), "")</f>
        <v/>
      </c>
      <c r="GO210" s="30" t="str">
        <f>IF(LEN(SnapshotTable[[#This Row],[SP Symbol]])&gt;0, 1, "")</f>
        <v/>
      </c>
      <c r="GP210" s="43" t="str">
        <f>IF(AND(SnapshotTable[[#This Row],[LC Exp Date]]&gt;0,SnapshotTable[[#This Row],[LC Strike Price]]&gt;0), [1]!ToOptionSymbol(SnapshotTable[[#This Row],[Symbol]], SnapshotTable[[#This Row],[LC Strike Price]],SnapshotTable[[#This Row],[LC Exp Date]],0), "")</f>
        <v/>
      </c>
      <c r="GQ210" s="30" t="str">
        <f>IF(LEN(SnapshotTable[[#This Row],[LC Symbol]])&gt;0, 1, "")</f>
        <v/>
      </c>
      <c r="GR210" s="43" t="str">
        <f>IF(AND(SnapshotTable[[#This Row],[SC Exp Date]]&gt;0,SnapshotTable[[#This Row],[SC Strike Price]]&gt;0), [1]!ToOptionSymbol(SnapshotTable[[#This Row],[Symbol]], SnapshotTable[[#This Row],[SC Strike Price]],SnapshotTable[[#This Row],[SC Exp Date]],0), "")</f>
        <v/>
      </c>
      <c r="GS210" s="30" t="str">
        <f>IF(LEN(SnapshotTable[[#This Row],[SC Symbol]])&gt;0, 1, "")</f>
        <v/>
      </c>
      <c r="GT210" s="29" t="str">
        <f>IF(COUNT(SnapshotTable[[#This Row],[LP Symbol Count]],SnapshotTable[[#This Row],[SP Symbol Count]],SnapshotTable[[#This Row],[LC Symbol Count]],SnapshotTable[[#This Row],[SC Symbol Count]])&gt;0, "Y", "")</f>
        <v/>
      </c>
      <c r="GU21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0" s="231" t="e">
        <f>MAX(SnapshotTable[[#This Row],[Equity Basis Total]],SnapshotTable[[#This Row],[Equity Value]]) + (SnapshotTable[[#This Row],[SP Potential Spend]]- SnapshotTable[[#This Row],[SP Premium]] + SnapshotTable[[#This Row],[LP Premium]])+ (SnapshotTable[[#This Row],[LC Premium]] - SnapshotTable[[#This Row],[SC Premium]])</f>
        <v>#VALUE!</v>
      </c>
      <c r="GW210" s="139" t="e">
        <f>IF(AND(SnapshotTable[[#This Row],[Exposure]] &lt;&gt; 0),SnapshotTable[[#This Row],[Exposure]] / SnapshotTable[[#Totals],[Exposure]], "")</f>
        <v>#VALUE!</v>
      </c>
      <c r="GX210" s="2"/>
      <c r="HE210" s="268"/>
      <c r="HF210" s="268"/>
      <c r="HK210" s="1"/>
      <c r="HL210" s="1"/>
      <c r="HM210" s="1"/>
      <c r="HN210" s="1"/>
      <c r="HO210" s="1"/>
      <c r="HP210" s="1"/>
    </row>
    <row r="211" spans="2:224" ht="12.75" hidden="1" customHeight="1" x14ac:dyDescent="0.25">
      <c r="B211" s="12" t="s">
        <v>1134</v>
      </c>
      <c r="C211" s="422">
        <v>172.33</v>
      </c>
      <c r="D211" s="208"/>
      <c r="E211" s="39">
        <f>SnapshotTable[[#This Row],[Last Price]]*(1 -CrashDiscount)</f>
        <v>146.48050000000001</v>
      </c>
      <c r="F211" s="26" t="s">
        <v>209</v>
      </c>
      <c r="G211" s="26" t="s">
        <v>821</v>
      </c>
      <c r="H211" s="149"/>
      <c r="I211" s="194"/>
      <c r="J211" s="195"/>
      <c r="K211" s="196"/>
      <c r="L211" s="326"/>
      <c r="M211" s="140"/>
      <c r="N211" s="140"/>
      <c r="O211" s="140"/>
      <c r="P211" s="22"/>
      <c r="Q211" s="25"/>
      <c r="R211" s="4" t="str">
        <f>IF(SnapshotTable[[#This Row],[Equity Basis Total]] &gt; 0, SnapshotTable[[#This Row],[Equity Basis Total]] / SnapshotTable[[#This Row],[Equity Shares]], "")</f>
        <v/>
      </c>
      <c r="S211" s="269">
        <f>SnapshotTable[[#This Row],[Last Price]] * SnapshotTable[[#This Row],[Equity Shares]]</f>
        <v>0</v>
      </c>
      <c r="T211" s="269">
        <f>SnapshotTable[[#This Row],[Equity Value]] - SnapshotTable[[#This Row],[Equity Basis Total]]</f>
        <v>0</v>
      </c>
      <c r="U211" s="270" t="str">
        <f>IF(SnapshotTable[[#This Row],[Equity Basis Total]] &gt; 0, SnapshotTable[[#This Row],[Equity G/L]] / SnapshotTable[[#This Row],[Equity Basis Total]], "")</f>
        <v/>
      </c>
      <c r="V211" s="268"/>
      <c r="W211" s="268"/>
      <c r="X211" s="4" t="str">
        <f>IF(AND(ISNUMBER(SnapshotTable[[#This Row],[Equity Basis Per Share]]),ISNUMBER(SnapshotTable[[#This Row],[Equity Target]])),SnapshotTable[[#This Row],[Equity Target]]-SnapshotTable[[#This Row],[Equity Basis Per Share]],"")</f>
        <v/>
      </c>
      <c r="Y211" s="4" t="str">
        <f>IF(AND(ISNUMBER(SnapshotTable[[#This Row],[Equity Basis Per Share]]),ISNUMBER(SnapshotTable[[#This Row],[Equity Stop Loss]])),SnapshotTable[[#This Row],[Equity Stop Loss]]-SnapshotTable[[#This Row],[Equity Basis Per Share]],"")</f>
        <v/>
      </c>
      <c r="Z211" s="275" t="str">
        <f>IFERROR( TEXT(SnapshotTable[[#This Row],[Equity Max Gain Per Share]] /ABS( SnapshotTable[[#This Row],[Equity Max Loss Per Share]]),"0.0 " ) &amp; " : 1", "")</f>
        <v/>
      </c>
      <c r="AA211" s="31" t="str">
        <f>IF(ISNUMBER(SnapshotTable[[#This Row],[Equity Max Gain Per Share]]),SnapshotTable[[#This Row],[Equity Max Gain Per Share]] * SnapshotTable[[#This Row],[Equity Shares]],"")</f>
        <v/>
      </c>
      <c r="AB211" s="31" t="str">
        <f>IF(ISNUMBER(SnapshotTable[[#This Row],[Equity Max Loss Per Share]]),SnapshotTable[[#This Row],[Equity Max Loss Per Share]] * SnapshotTable[[#This Row],[Equity Shares]],"")</f>
        <v/>
      </c>
      <c r="AC211" s="150"/>
      <c r="AD211" s="151"/>
      <c r="AE211" s="31">
        <f>(SnapshotTable[[#This Row],[Annual Dividend Per Share]] / 4) * SnapshotTable[[#This Row],[Equity Shares]]</f>
        <v>0</v>
      </c>
      <c r="AF211" s="31">
        <f>SnapshotTable[[#This Row],[Quarterly Div $]] * 4</f>
        <v>0</v>
      </c>
      <c r="AG211" s="7">
        <f>IF(SnapshotTable[[#This Row],[Annual Dividend Per Share]]&gt;0, SnapshotTable[[#This Row],[Annual Dividend Per Share]]  / SnapshotTable[[#This Row],[Last Price]], 0)</f>
        <v>0</v>
      </c>
      <c r="AH211" s="151"/>
      <c r="AI211" s="5"/>
      <c r="AJ211" s="138">
        <v>257.64999999999998</v>
      </c>
      <c r="AK211" s="152" t="str">
        <f>IF(ISNUMBER( SnapshotTable[[#This Row],[EBF Target]]),(SnapshotTable[[#This Row],[EBF Target]] - SnapshotTable[[#This Row],[Last Price]]) / SnapshotTable[[#This Row],[Last Price]], "")</f>
        <v/>
      </c>
      <c r="AL211" s="152" t="str">
        <f>IF(AND(SnapshotTable[[#This Row],[Equity Basis Total]] &gt; 0,ISNUMBER( SnapshotTable[[#This Row],[Long Term Target]])), SnapshotTable[[#This Row],[From Basis $]] / SnapshotTable[[#This Row],[Equity Basis Total]], "")</f>
        <v/>
      </c>
      <c r="AM211" s="9">
        <f>IF( AND(SnapshotTable[[#This Row],[Equity Shares]] &gt;0,ISNUMBER( SnapshotTable[[#This Row],[Long Term Target]])),(SnapshotTable[[#This Row],[Equity Shares]] * SnapshotTable[[#This Row],[Long Term Target]]) - SnapshotTable[[#This Row],[Equity Basis Total]],0)</f>
        <v>0</v>
      </c>
      <c r="AN211" s="9">
        <f>IF( AND(SnapshotTable[[#This Row],[Equity Shares]] &gt;0,ISNUMBER( SnapshotTable[[#This Row],[Long Term Target]])),(SnapshotTable[[#This Row],[Equity Shares]]*SnapshotTable[[#This Row],[Long Term Target]]) - SnapshotTable[[#This Row],[Equity Value]],0)</f>
        <v>0</v>
      </c>
      <c r="AO211" s="152">
        <f>IF(AND(ISNUMBER( SnapshotTable[[#This Row],[Long Term Target]]), ISNUMBER(SnapshotTable[[#This Row],[Last Price]])),(SnapshotTable[[#This Row],[Long Term Target]] - SnapshotTable[[#This Row],[Last Price]]) / SnapshotTable[[#This Row],[Last Price]], "")</f>
        <v>0.49509661695584029</v>
      </c>
      <c r="AP211" s="5"/>
      <c r="AQ211" s="38"/>
      <c r="AR211" s="5"/>
      <c r="AS211" s="38"/>
      <c r="AT211" s="146"/>
      <c r="AU211" s="187" t="str">
        <f>IF(OR(SnapshotTable[[#This Row],[LP No Fill]]="Y",SnapshotTable[[#This Row],[SP Is Filled]],SnapshotTable[[#This Row],[LC Not Filled]]="Y",SnapshotTable[[#This Row],[SC Is Filled]]),"Y","")</f>
        <v/>
      </c>
      <c r="AV211" s="219"/>
      <c r="AW211" s="225"/>
      <c r="AX211" s="220"/>
      <c r="AY211" s="219" t="str">
        <f>IF(SnapshotTable[[#This Row],[Implied Move]]&gt;0, SnapshotTable[[#This Row],[Last Price]]-SnapshotTable[[#This Row],[Implied Move]],"")</f>
        <v/>
      </c>
      <c r="AZ211" s="219" t="str">
        <f>IF(SnapshotTable[[#This Row],[Implied Move]]&gt;0, SnapshotTable[[#This Row],[Last Price]] + SnapshotTable[[#This Row],[Implied Move]],"")</f>
        <v/>
      </c>
      <c r="BA211" s="331"/>
      <c r="BB211" s="347" t="s">
        <v>2</v>
      </c>
      <c r="BC21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1" s="351"/>
      <c r="BE211" s="5"/>
      <c r="BF211" s="14"/>
      <c r="BG211" s="13"/>
      <c r="BH211" s="13"/>
      <c r="BI211" s="5"/>
      <c r="BJ211" s="136">
        <f>IF(SnapshotTable[[#This Row],[LP Qty]] &gt; 0, SnapshotTable[[#This Row],[LP Qty]] * SnapshotTable[[#This Row],[LP Book Price]] * 100,0)</f>
        <v>0</v>
      </c>
      <c r="BK211" s="136">
        <f>IF(SnapshotTable[[#This Row],[LP Premium]] &gt; 0, SnapshotTable[[#This Row],[LP Qty]] * SnapshotTable[[#This Row],[LP Strike Price]] * 100,0)</f>
        <v>0</v>
      </c>
      <c r="BL211" s="154"/>
      <c r="BM211" s="385" t="str">
        <f>IF(SnapshotTable[[#This Row],[LP Premium]] &gt; 0,SnapshotTable[[#This Row],[LP Exp Date]]-MAX(SnapshotTable[[#This Row],[LP Book Date]], SnapshotTable[[#This Row],[LP Fill Date]]),"")</f>
        <v/>
      </c>
      <c r="BN211" s="385" t="str">
        <f>IF(ISNUMBER( SnapshotTable[[#This Row],[LP Term]]), SnapshotTable[[#This Row],[LP Exp Date]] - MockToday,"")</f>
        <v/>
      </c>
      <c r="BO211" s="163" t="str">
        <f>IF(AND(SnapshotTable[[#This Row],[LP Exp Date]]&gt;0, SnapshotTable[[#This Row],[LP Strike Price]]&gt;0,SnapshotTable[[#This Row],[LP Qty]]&gt;0,SnapshotTable[[#This Row],[LP Book Date]]&gt;0,SnapshotTable[[#This Row],[LP Book Price]]&gt;0,SnapshotTable[[#This Row],[LP Fill Date]]=0),"Y","")</f>
        <v/>
      </c>
      <c r="BP211" s="31" t="str">
        <f>IF(AND(SnapshotTable[[#This Row],[LP No Fill]]&lt;&gt;"Y",SnapshotTable[[#This Row],[LP Contract Value]]&gt;0, SnapshotTable[[#This Row],[LP Qty]]&gt;0), SnapshotTable[[#This Row],[LP Contract Value]]*SnapshotTable[[#This Row],[LP Qty]]*100,"")</f>
        <v/>
      </c>
      <c r="BQ211" s="13"/>
      <c r="BR211" s="5" t="str">
        <f>IF(SnapshotTable[[#This Row],[SP Exp Date]]&lt;&gt;"",TRUNC(SnapshotTable[[#This Row],[Last Price]]),"")</f>
        <v/>
      </c>
      <c r="BS211" s="36"/>
      <c r="BT211" s="147"/>
      <c r="BU211" s="13"/>
      <c r="BV211" s="5"/>
      <c r="BW211" s="419" t="b">
        <f>AND(ISNUMBER(SnapshotTable[[#This Row],[SP Exp Date]]), ISNUMBER(SnapshotTable[[#This Row],[SP Strike Price]]), ISNUMBER(SnapshotTable[[#This Row],[SP Qty]]), ISNUMBER(SnapshotTable[[#This Row],[SP Book Date]]), ISNUMBER(SnapshotTable[[#This Row],[SP Book Price]]))</f>
        <v>0</v>
      </c>
      <c r="BX211" s="419" t="b">
        <f>AND(SnapshotTable[[#This Row],[SP Is Booked]], NOT(ISBLANK(SnapshotTable[[#This Row],[SP Fill Date]])))</f>
        <v>0</v>
      </c>
      <c r="BY211" s="33">
        <f>IF(SnapshotTable[[#This Row],[SP Is Booked]], SnapshotTable[[#This Row],[SP Qty]] * SnapshotTable[[#This Row],[SP Book Price]] * 100, 0)</f>
        <v>0</v>
      </c>
      <c r="BZ211" s="369"/>
      <c r="CA211" s="368">
        <f>SnapshotTable[[#This Row],[LP Qty]]</f>
        <v>0</v>
      </c>
      <c r="CB211" s="4" t="str">
        <f>IF(SnapshotTable[[#This Row],[SP Is Booked]], SnapshotTable[[#This Row],[SP Strike Price]] - SnapshotTable[[#This Row],[SP Book Price]], "")</f>
        <v/>
      </c>
      <c r="CC211" s="19" t="str">
        <f>IF(SnapshotTable[[#This Row],[SP Is Booked]],SnapshotTable[[#This Row],[SP Exp Date]]-MAX(SnapshotTable[[#This Row],[SP Book Date]], SnapshotTable[[#This Row],[SP Fill Date]]),"")</f>
        <v/>
      </c>
      <c r="CD211" s="7" t="str">
        <f>IF(SnapshotTable[[#This Row],[SP Is Booked]], SnapshotTable[[#This Row],[SP Book Price]]/SnapshotTable[[#This Row],[SP Strike Price]], "")</f>
        <v/>
      </c>
      <c r="CE211" s="7" t="str">
        <f>IF(ISNUMBER(SnapshotTable[[#This Row],[SP ROO Term]]),SnapshotTable[[#This Row],[SP ROO Term]]*(365/SnapshotTable[[#This Row],[SP Term]]),"")</f>
        <v/>
      </c>
      <c r="CF211" s="236">
        <f>SnapshotTable[[#This Row],[LP Strike Price]] * SnapshotTable[[#This Row],[LP Qty]] * 100</f>
        <v>0</v>
      </c>
      <c r="CG211" s="31" t="e">
        <f>IF(ISNUMBER(SnapshotTable[[#This Row],[SP Premium]]), (SnapshotTable[[#This Row],[SP Qty]] * SnapshotTable[[#This Row],[SP Strike Price]]* 100) - SnapshotTable[[#This Row],[LP Protection]], 0)</f>
        <v>#VALUE!</v>
      </c>
      <c r="CH211" s="7" t="str">
        <f>IF(ISNUMBER(SnapshotTable[[#This Row],[SP Break Even]]),-1 * (SnapshotTable[[#This Row],[SP Break Even]] - SnapshotTable[[#This Row],[Last Price]]) / SnapshotTable[[#This Row],[Last Price]], "")</f>
        <v/>
      </c>
      <c r="CI211" s="31">
        <f>IF(AND(ISNUMBER((SnapshotTable[[#This Row],[SP Potential Spend]])), SnapshotTable[[#This Row],[SP Strike Price]] &gt; SnapshotTable[[#This Row],[Last Price]], SnapshotTable[[#This Row],[SP Is Filled]]), SnapshotTable[[#This Row],[SP Potential Spend]] -  SnapshotTable[[#This Row],[LP Max Value]], 0)</f>
        <v>0</v>
      </c>
      <c r="CJ211" s="244"/>
      <c r="CK211" s="31" t="str">
        <f>IF(ISNUMBER(SnapshotTable[[#This Row],[SP Potential Spend]]),IF(ISNUMBER(SnapshotTable[[#This Row],[SP POW]]), SnapshotTable[[#This Row],[SP POW]] * SnapshotTable[[#This Row],[SP Potential Spend]], SnapshotTable[[#This Row],[SP Potential Spend]]), "")</f>
        <v/>
      </c>
      <c r="CL211" s="164" t="e">
        <f>IF(NOT(SnapshotTable[[#This Row],[SP Is Filled]]),(SnapshotTable[[#This Row],[SP Qty]] * SnapshotTable[[#This Row],[SP Strike Price]] * 100) - SnapshotTable[[#This Row],[LP Max Value]],"")</f>
        <v>#VALUE!</v>
      </c>
      <c r="CM211" s="31" t="str">
        <f>IF(SnapshotTable[[#This Row],[SP Actual Spend]]&lt;&gt;0, ((SnapshotTable[[#This Row],[SP Strike Price]]-SnapshotTable[[#This Row],[Last Price]]) *(SnapshotTable[[#This Row],[SP Qty]]*100) - SnapshotTable[[#This Row],[SP Premium]]) * - 1, "")</f>
        <v/>
      </c>
      <c r="CN211" s="78"/>
      <c r="CO211" s="369"/>
      <c r="CP211" s="4" t="str">
        <f>IF(SnapshotTable[[#This Row],[SP Is Filled]], btc_max_buyback_amount(SnapshotTable[[#This Row],[SP Fill Date]],SnapshotTable[[#This Row],[SP Exp Date]], SnapshotTable[[#This Row],[SP Book Price]]),"")</f>
        <v/>
      </c>
      <c r="CQ211" s="78"/>
      <c r="CR21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1" s="155" t="str">
        <f>IF(SnapshotTable[[#This Row],[SP Is Filled]], btc_next_cutoff_date(SnapshotTable[[#This Row],[SP Fill Date]],SnapshotTable[[#This Row],[SP Exp Date]]),"")</f>
        <v/>
      </c>
      <c r="CT211" s="235" t="str" cm="1">
        <f t="array" ref="CT211">IF(SnapshotTable[[#This Row],[SP Is Filled]], btc_should_buy_back(SnapshotTable[[#This Row],[SP Fill Date]], SnapshotTable[[#This Row],[SP Exp Date]], SnapshotTable[[#This Row],[SP Book Price]], SnapshotTable[[#This Row],[SP Current Ask]], MockToday, SnapshotTable[[#This Row],[SP Buyback Override]]),"")</f>
        <v/>
      </c>
      <c r="CU211" s="156"/>
      <c r="CV211" s="235"/>
      <c r="CW211" s="378" t="str">
        <f>IF(ISNUMBER( SnapshotTable[[#This Row],[SP Term]]), SnapshotTable[[#This Row],[SP Exp Date]] - MockToday,"")</f>
        <v/>
      </c>
      <c r="CX211" s="31" t="str">
        <f>IF(SnapshotTable[[#This Row],[SP Is Filled]],SnapshotTable[[#This Row],[SP Buyback Price to Use]] * 100 * SnapshotTable[[#This Row],[SP Qty]], "")</f>
        <v/>
      </c>
      <c r="CY211" s="4" t="str">
        <f>IF(ISNUMBER(SnapshotTable[[#This Row],[SP Strike Price]]), SnapshotTable[[#This Row],[SP Strike Price]] * (1 - SP_MaxLoss_StrikePct), "")</f>
        <v/>
      </c>
      <c r="CZ211" s="31" t="str">
        <f>IF(ISNUMBER(SnapshotTable[[#This Row],[SP Strike  Stop Per Share]]),SnapshotTable[[#This Row],[SP Premium]] - ((SnapshotTable[[#This Row],[SP Strike Price]]-SnapshotTable[[#This Row],[SP Strike  Stop Per Share]]) *(SnapshotTable[[#This Row],[SP Qty]] * 100)),"")</f>
        <v/>
      </c>
      <c r="DA211" s="4" t="str">
        <f>IF(AND(ISNUMBER(SnapshotTable[[#This Row],[SP Premium]]),SnapshotTable[[#This Row],[SP Premium]]&gt;0), SnapshotTable[[#This Row],[SP Book Price]] * (1 + SP_MaxLoss_OptionPct), "")</f>
        <v/>
      </c>
      <c r="DB211" s="31" t="str">
        <f>IF(ISNUMBER(SnapshotTable[[#This Row],[SP Option  Stop Contract]]),(SnapshotTable[[#This Row],[SP Option  Stop Contract]] *(SnapshotTable[[#This Row],[SP Qty]] * 100) - SnapshotTable[[#This Row],[SP Premium]]),"")</f>
        <v/>
      </c>
      <c r="DC211" s="4"/>
      <c r="DD211" s="4"/>
      <c r="DE211" s="4" t="str">
        <f>IF(AND(SnapshotTable[[#This Row],[SP Qty]]&gt;0, SnapshotTable[[#This Row],[SP Stop To Use]]&gt;0),SnapshotTable[[#This Row],[SP Premium]] - ( SnapshotTable[[#This Row],[SP Qty]] * SnapshotTable[[#This Row],[SP Stop To Use]] * 100), "")</f>
        <v/>
      </c>
      <c r="DF211" s="31" t="str">
        <f>IF(AND(SnapshotTable[[#This Row],[SP Qty]]&gt;0,SnapshotTable[[#This Row],[SP Current Ask]]&gt;0), SnapshotTable[[#This Row],[SP Qty]] * SnapshotTable[[#This Row],[SP Current Ask]] * -100, "")</f>
        <v/>
      </c>
      <c r="DG211" s="31" t="str">
        <f>IF(ISNUMBER((SnapshotTable[[#This Row],[SP Total Value]])), SnapshotTable[[#This Row],[SP Premium]] + SnapshotTable[[#This Row],[SP Total Value]], "")</f>
        <v/>
      </c>
      <c r="DH211" s="294" t="str">
        <f>IF(ISNUMBER((SnapshotTable[[#This Row],[SP Total Value]])), SnapshotTable[[#This Row],[SP Gain Loss]] / SnapshotTable[[#This Row],[SP Premium]], "")</f>
        <v/>
      </c>
      <c r="DI211" s="406"/>
      <c r="DJ211" s="138"/>
      <c r="DK211" s="148"/>
      <c r="DL211" s="13"/>
      <c r="DM211" s="13"/>
      <c r="DO211" s="31">
        <f>IF(SnapshotTable[[#This Row],[LC Symbol Count]]=1, SnapshotTable[[#This Row],[LC Qty]] * SnapshotTable[[#This Row],[LC Book Price]] * 100, 0)</f>
        <v>0</v>
      </c>
      <c r="DP211" s="163" t="str">
        <f>IF(AND(SnapshotTable[[#This Row],[LC Exp Date]]&gt;0, SnapshotTable[[#This Row],[LC Strike Price]]&gt;0,SnapshotTable[[#This Row],[LC Qty]]&gt;0,SnapshotTable[[#This Row],[LC Book Date]]&gt;0,SnapshotTable[[#This Row],[LC Book Price]]&gt;0,SnapshotTable[[#This Row],[LC Fill Date]]=0),"Y","")</f>
        <v/>
      </c>
      <c r="DQ211" s="386" t="str">
        <f>IF(SnapshotTable[[#This Row],[LC Premium]] &gt; 0,SnapshotTable[[#This Row],[LC Exp Date]]-MAX(SnapshotTable[[#This Row],[LC Book Date]], SnapshotTable[[#This Row],[LC Fill Date]]),"")</f>
        <v/>
      </c>
      <c r="DR211" s="386" t="str">
        <f>IF(ISNUMBER(SnapshotTable[[#This Row],[LC Term]]), SnapshotTable[[#This Row],[LC Exp Date]] - MockToday, "")</f>
        <v/>
      </c>
      <c r="DS211" s="234" t="str">
        <f>IF(SnapshotTable[[#This Row],[LC Premium]]&gt;0,SnapshotTable[[#This Row],[LC Strike Price]] + SnapshotTable[[#This Row],[LC Book Price]],"")</f>
        <v/>
      </c>
      <c r="DU211" s="9" t="str">
        <f>IF(AND(SnapshotTable[[#This Row],[LC Symbol Count]]&gt;0, SnapshotTable[[#This Row],[LC Contract Value]]&gt;0), SnapshotTable[[#This Row],[LC Contract Value]] * SnapshotTable[[#This Row],[LC Qty]] * 100, "")</f>
        <v/>
      </c>
      <c r="DV211" s="9" t="str">
        <f>IF(AND(ISNUMBER(SnapshotTable[[#This Row],[LC Total Value]]), SnapshotTable[[#This Row],[LC Not Filled]]&lt;&gt;"Y"), SnapshotTable[[#This Row],[LC Total Value]]-SnapshotTable[[#This Row],[LC Premium]],"")</f>
        <v/>
      </c>
      <c r="DW211" s="240" t="str">
        <f>IF(ISNUMBER(SnapshotTable[[#This Row],[LC Actual Gain Loss]]), SnapshotTable[[#This Row],[LC Actual Gain Loss]] / SnapshotTable[[#This Row],[LC Premium]],"")</f>
        <v/>
      </c>
      <c r="DX211" s="284" t="str">
        <f>IF(ISNUMBER(SnapshotTable[[#This Row],[LC Book Price]]),SnapshotTable[[#This Row],[LC Book Price]] * 1.5,"")</f>
        <v/>
      </c>
      <c r="DY211" s="265" t="str">
        <f>IF(SnapshotTable[[#This Row],[LC Premium]]&gt;0, SnapshotTable[[#This Row],[LC Next Target]] * SnapshotTable[[#This Row],[LC Qty]] * 100,"")</f>
        <v/>
      </c>
      <c r="DZ211" s="265" t="str">
        <f>IF(ISNUMBER(SnapshotTable[[#This Row],[LC Target Gross]]), SnapshotTable[[#This Row],[LC Target Gross]] - SnapshotTable[[#This Row],[LC Premium]], "")</f>
        <v/>
      </c>
      <c r="EA211" s="305" t="str">
        <f>IF(ISNUMBER(SnapshotTable[[#This Row],[LC Target Gain Loss]]), SnapshotTable[[#This Row],[LC Target Gain Loss]]/SnapshotTable[[#This Row],[LC Premium]], "")</f>
        <v/>
      </c>
      <c r="EB211" s="262"/>
      <c r="EC211" s="283" t="str">
        <f>IF(SnapshotTable[[#This Row],[LC Premium]]&gt;0, SnapshotTable[[#This Row],[LC Book Price]] * (1 - LC_StopLoss_Pct),"")</f>
        <v/>
      </c>
      <c r="ED211" s="284"/>
      <c r="EE211" s="283" t="str">
        <f>IF(ISNUMBER(SnapshotTable[[#This Row],[LC Contract Value]]),IF(ISNUMBER(SnapshotTable[[#This Row],[LC Stop Loss Override]]), SnapshotTable[[#This Row],[LC Stop Loss Override]],SnapshotTable[[#This Row],[LC Stop Loss Calc Target]]),"")</f>
        <v/>
      </c>
      <c r="EF211" s="31" t="str">
        <f>IF(ISNUMBER(SnapshotTable[[#This Row],[LC Stop  To Use]]), (SnapshotTable[[#This Row],[LC Stop  To Use]] * SnapshotTable[[#This Row],[LC Qty]] * 100),"")</f>
        <v/>
      </c>
      <c r="EG211" s="9" t="str">
        <f>IF(ISNUMBER(SnapshotTable[[#This Row],[LC Total Value]]),SnapshotTable[[#This Row],[LC Stop Loss Amount]] - SnapshotTable[[#This Row],[LC Premium]],"")</f>
        <v/>
      </c>
      <c r="EH211" s="9">
        <f>IF(ISNUMBER(SnapshotTable[[#This Row],[LC Premium]]), SnapshotTable[[#This Row],[LC Qty]] * 100 * SnapshotTable[[#This Row],[LC Strike Price]], "")</f>
        <v>0</v>
      </c>
      <c r="EI211" s="240" t="str">
        <f>IF(AND(ISNUMBER(SnapshotTable[[#This Row],[LC Total Value]]),SnapshotTable[[#This Row],[LC Total Value]]&gt;0),SnapshotTable[[#This Row],[LC Stop Gain Loss]]  / SnapshotTable[[#This Row],[LC Premium]],"")</f>
        <v/>
      </c>
      <c r="EJ211" s="35">
        <f>IF(ISNUMBER(SnapshotTable[[#This Row],[Equity Shares]]),TRUNC(SnapshotTable[[#This Row],[Equity Shares]] / 100),0) + SnapshotTable[[#This Row],[LC Qty]]</f>
        <v>0</v>
      </c>
      <c r="EK211" s="147"/>
      <c r="EL211" s="138" t="str">
        <f>IF(SnapshotTable[[#This Row],[SC Exp Date]]&lt;&gt;"",TRUNC(SnapshotTable[[#This Row],[Last Price]]),"")</f>
        <v/>
      </c>
      <c r="EM211" s="148"/>
      <c r="EN211" s="147"/>
      <c r="EO211" s="147"/>
      <c r="EP211" s="138"/>
      <c r="EQ211" s="419" t="b">
        <f>AND(ISNUMBER(SnapshotTable[[#This Row],[SC Exp Date]]), ISNUMBER(SnapshotTable[[#This Row],[SC Strike Price]]), ISNUMBER(SnapshotTable[[#This Row],[SC Qty]]), ISNUMBER(SnapshotTable[[#This Row],[SC Book Date]]), ISNUMBER(SnapshotTable[[#This Row],[SC Book Price]]))</f>
        <v>0</v>
      </c>
      <c r="ER211" s="419" t="b">
        <f>AND(SnapshotTable[[#This Row],[SC Is Booked]], NOT(ISBLANK(SnapshotTable[[#This Row],[SC Fill Date]])))</f>
        <v>0</v>
      </c>
      <c r="ES211" s="370"/>
      <c r="ET211" s="34" t="str">
        <f>IF(AND(ISNUMBER(SnapshotTable[[#This Row],[SC Exp Date]]), ISNUMBER(SnapshotTable[[#This Row],[SC Book Date]])), SnapshotTable[[#This Row],[SC Exp Date]] - MAX(SnapshotTable[[#This Row],[SC Book Date]], SnapshotTable[[#This Row],[SC Fill Date]]) + 1, "")</f>
        <v/>
      </c>
      <c r="EU211" s="34" t="str">
        <f>IF(ISNUMBER(SnapshotTable[[#This Row],[SC Term]]), SnapshotTable[[#This Row],[SC Exp Date]]- MockToday, "")</f>
        <v/>
      </c>
      <c r="EV211" s="31">
        <f>IF(SnapshotTable[[#This Row],[SC Is Booked]], SnapshotTable[[#This Row],[SC Qty]] * SnapshotTable[[#This Row],[SC Book Price]] * 100, 0)</f>
        <v>0</v>
      </c>
      <c r="EW211" s="4" t="str">
        <f>IF(AND(ISNUMBER(SnapshotTable[[#This Row],[Last Price]]), ISNUMBER( SnapshotTable[[#This Row],[SC Book Price]])), SnapshotTable[[#This Row],[Last Price]] - SnapshotTable[[#This Row],[SC Book Price]],"")</f>
        <v/>
      </c>
      <c r="EX211" s="234" t="str">
        <f>IF(SnapshotTable[[#This Row],[SC Is Booked]],IF(SnapshotTable[[#This Row],[SC Intrinsic Value]] &gt; 0, SnapshotTable[[#This Row],[SC Strike Price]], SnapshotTable[[#This Row],[Last Price]]), "")</f>
        <v/>
      </c>
      <c r="EY211" s="4">
        <f>IF(SnapshotTable[[#This Row],[SC Is Booked]], (MinimumPremiumRequired * SnapshotTable[[#This Row],[SC Basis]] * SnapshotTable[[#This Row],[SC Term]]), 0)</f>
        <v>0</v>
      </c>
      <c r="EZ211" s="283"/>
      <c r="FA211" s="218"/>
      <c r="FB211" s="370"/>
      <c r="FC211" s="4">
        <f>IF(SnapshotTable[[#This Row],[SC Is Filled]], btc_max_buyback_amount(SnapshotTable[[#This Row],[SC Fill Date]],SnapshotTable[[#This Row],[SC Exp Date]], SnapshotTable[[#This Row],[SC Book Price]]),0)</f>
        <v>0</v>
      </c>
      <c r="FD211" s="5"/>
      <c r="FE211" s="144" t="str">
        <f>IF(SnapshotTable[[#This Row],[SC Is Filled]], btc_next_cutoff_date(SnapshotTable[[#This Row],[SC Fill Date]],SnapshotTable[[#This Row],[SC Exp Date]]),"")</f>
        <v/>
      </c>
      <c r="FF211" s="4" t="str" cm="1">
        <f t="array" ref="FF211">IF(SnapshotTable[[#This Row],[SC Is Filled]], btc_should_buy_back(SnapshotTable[[#This Row],[SC Fill Date]], SnapshotTable[[#This Row],[SC Exp Date]], SnapshotTable[[#This Row],[SC Book Price]], SnapshotTable[[#This Row],[SC Current Ask]], MockToday, SnapshotTable[[#This Row],[SC Buyback Override]]),"")</f>
        <v/>
      </c>
      <c r="FG211" s="4">
        <f>IF(SnapshotTable[[#This Row],[SC Is Filled]], MAX(0,SnapshotTable[[#This Row],[Last Price]]  - SnapshotTable[[#This Row],[SC Strike Price]]), 0)</f>
        <v>0</v>
      </c>
      <c r="FH211" s="382">
        <f>IF(SnapshotTable[[#This Row],[SC Is Filled]], IF(ISNUMBER(SnapshotTable[[#This Row],[SC Current Ask]]), SnapshotTable[[#This Row],[SC Current Ask]], SnapshotTable[[#This Row],[SC Book Price]]) - SnapshotTable[[#This Row],[SC Intrinsic Value]], 0)</f>
        <v>0</v>
      </c>
      <c r="FI211" s="143"/>
      <c r="FJ211" s="32" t="str">
        <f>IF(SnapshotTable[[#This Row],[SC Is Filled]],100 * SnapshotTable[[#This Row],[SC Qty]] * IF(ISNUMBER(SnapshotTable[[#This Row],[SC Buyback Override]]), SnapshotTable[[#This Row],[SC Buyback Override]], SnapshotTable[[#This Row],[SC Current Ask]]), "")</f>
        <v/>
      </c>
      <c r="FK211" s="250" t="str">
        <f>IF(SnapshotTable[[#This Row],[SC Time Val]]&gt;0, SnapshotTable[[#This Row],[SC Time Val]] / SnapshotTable[[#This Row],[Last Price]],"")</f>
        <v/>
      </c>
      <c r="FL211" s="302" t="str">
        <f>IF(SnapshotTable[[#This Row],[SC Is Booked]], ((SnapshotTable[[#This Row],[Last Price]] -SnapshotTable[[#This Row],[SC Strike Price]]) / SnapshotTable[[#This Row],[Last Price]]) * -1, "")</f>
        <v/>
      </c>
      <c r="FM211" s="157" t="str">
        <f>IF(SnapshotTable[[#This Row],[SC Is Booked]],  (SnapshotTable[[#This Row],[SC Qty]] * 100 * SnapshotTable[[#This Row],[SC Strike Price]]) - SnapshotTable[[#This Row],[SC Current Ask]], "")</f>
        <v/>
      </c>
      <c r="FN21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1" s="31" t="str">
        <f>IF(AND(ISNUMBER(SnapshotTable[[#This Row],[SC Exercise Gross]]), ISNUMBER(SnapshotTable[[#This Row],[Equity Basis Per Share]] )), SnapshotTable[[#This Row],[SC Exercise Gross]] - SnapshotTable[[#This Row],[Equity Basis Total]] +  SnapshotTable[[#This Row],[SC Premium]], "")</f>
        <v/>
      </c>
      <c r="FP211" s="5" t="str">
        <f>IF(ISNUMBER(SnapshotTable[[#This Row],[SC Exercise Gross]]), (SnapshotTable[[#This Row],[SC Exercise Gross]]) / (SnapshotTable[[#This Row],[SC Qty]] * 100), "")</f>
        <v/>
      </c>
      <c r="FQ211" s="27" t="str">
        <f>IF(SnapshotTable[[#This Row],[SC Is Booked]],SnapshotTable[[#This Row],[SC Time Val]] /SnapshotTable[[#This Row],[SC Basis]], "")</f>
        <v/>
      </c>
      <c r="FR211" s="27" t="str" cm="1">
        <f t="array" ref="FR211">IF(AND(ISNUMBER(SnapshotTable[[#This Row],[SC Term]]),ISNUMBER(SnapshotTable[[#This Row],[SC Simple ROO]])), EllmanAnnualize(SnapshotTable[[#This Row],[SC DTE]], SnapshotTable[[#This Row],[SC Simple ROO]] ),"")</f>
        <v/>
      </c>
      <c r="FS211" s="4" t="e">
        <f>IF(SnapshotTable[[#This Row],[SC Strike Price]] &gt; SnapshotTable[[#This Row],[Last Price]], SnapshotTable[[#This Row],[SC Strike Price]] - SnapshotTable[[#This Row],[Last Price]],0)</f>
        <v>#VALUE!</v>
      </c>
      <c r="FT211" s="27" t="e">
        <f>IF(AND(ISNUMBER(SnapshotTable[[#This Row],[SC Upside Potential]]), SnapshotTable[[#This Row],[SC Upside Potential]] &gt; 0),(SnapshotTable[[#This Row],[SC Upside Potential]]/ SnapshotTable[[#This Row],[ACB]]),"")</f>
        <v>#VALUE!</v>
      </c>
      <c r="FU211" s="333" t="str">
        <f>IF(SnapshotTable[[#This Row],[SC Intrinsic Value]] &gt; 0,SnapshotTable[[#This Row],[SC Intrinsic Value]],"")</f>
        <v/>
      </c>
      <c r="FV211" s="27" t="str">
        <f>IF(AND( ISNUMBER( SnapshotTable[[#This Row],[ACB]]),ISNUMBER(SnapshotTable[[#This Row],[SC Downside Protect]])),SnapshotTable[[#This Row],[SC Downside Protect]] / SnapshotTable[[#This Row],[ACB]],"")</f>
        <v/>
      </c>
      <c r="FW211" s="236" t="str">
        <f>IF(AND(ISNUMBER(SnapshotTable[[#This Row],[SC Simple ROO]]),SnapshotTable[[#This Row],[SC Simple ROO]] &gt; 0), SnapshotTable[[#This Row],[SC Premium]] + (SnapshotTable[[#This Row],[SC Qty]] * SnapshotTable[[#This Row],[SC Upside Potential]]), "")</f>
        <v/>
      </c>
      <c r="FX211" s="302" t="str" cm="1">
        <f t="array" ref="FX211">IF(ISNUMBER(SnapshotTable[[#This Row],[SC Max Dollars]]), annualize(SnapshotTable[[#This Row],[SC Term]],(SnapshotTable[[#This Row],[SC Max Dollars]]/SnapshotTable[[#This Row],[SC Basis]])),"")</f>
        <v/>
      </c>
      <c r="FY211" s="236" t="str">
        <f>IF(AND(SnapshotTable[[#This Row],[SC Qty]]&gt;0,SnapshotTable[[#This Row],[SC Current Ask]]&gt;0), SnapshotTable[[#This Row],[SC Qty]] * SnapshotTable[[#This Row],[SC Current Ask]] * -100, "")</f>
        <v/>
      </c>
      <c r="FZ211" s="31" t="str">
        <f>IF(ISNUMBER((SnapshotTable[[#This Row],[SC Current Value]])), SnapshotTable[[#This Row],[SC Premium]] + SnapshotTable[[#This Row],[SC Current Value]], "")</f>
        <v/>
      </c>
      <c r="GA211" s="294" t="str">
        <f>IFERROR( IF(ISNUMBER((SnapshotTable[[#This Row],[SC Current Value]])), SnapshotTable[[#This Row],[SC Gain Loss]] / SnapshotTable[[#This Row],[SC Premium]], ""), "")</f>
        <v/>
      </c>
      <c r="GB211" s="42">
        <f>SnapshotTable[[#This Row],[Equity Shares]] * SaleSharesToConsiderPercentage</f>
        <v>0</v>
      </c>
      <c r="GC211" s="40">
        <f>SnapshotTable[[#This Row],[Long Term Target]] * SellingPriceToConsiderBasedOnTargetPercentage</f>
        <v>244.76749999999996</v>
      </c>
      <c r="GD211" s="40">
        <f>SnapshotTable[[#This Row],[Last Price]] * (1+ SellingPriceToConsiderBasedOnTargetPercentage)</f>
        <v>336.04349999999999</v>
      </c>
      <c r="GE211" s="41"/>
      <c r="GF211" s="40"/>
      <c r="GG211" s="31">
        <f>SnapshotTable[[#This Row],[Booked Sale Shares]] * SnapshotTable[[#This Row],[Booked Sale Price]]</f>
        <v>0</v>
      </c>
      <c r="GH211" s="31" t="str">
        <f>IF(SnapshotTable[[#This Row],[Equity Basis Total]] &gt; 0, SnapshotTable[[#This Row],[Equity Basis Per Share]] * SnapshotTable[[#This Row],[Booked Sale Shares]], "")</f>
        <v/>
      </c>
      <c r="GI211" s="31">
        <f>IF(SnapshotTable[[#This Row],[Sale Proceeds]]&gt;0, SnapshotTable[[#This Row],[Sale Proceeds]] - SnapshotTable[[#This Row],[Sale Basis]], 0)</f>
        <v>0</v>
      </c>
      <c r="GJ211" s="27" t="str">
        <f>IF(SnapshotTable[[#This Row],[Sale G/L]]&gt;0, SnapshotTable[[#This Row],[Sale G/L]] / SnapshotTable[[#This Row],[Sale Basis]], IF(ISNUMBER(SnapshotTable[[#This Row],[SC Exercise P&amp;L (TAX)]]), SnapshotTable[[#This Row],[SC Exercise P&amp;L (TAX)]] / SnapshotTable[[#This Row],[SC Basis]], ""))</f>
        <v/>
      </c>
      <c r="GK211" s="27"/>
      <c r="GL211" s="43" t="str">
        <f>IF(AND(SnapshotTable[[#This Row],[LP Exp Date]]&gt;0,SnapshotTable[[#This Row],[LP Strike Price]]&gt;0), [1]!ToOptionSymbol(SnapshotTable[[#This Row],[Symbol]], SnapshotTable[[#This Row],[LP Strike Price]],SnapshotTable[[#This Row],[LP Exp Date]],1), "")</f>
        <v/>
      </c>
      <c r="GM211" s="30" t="str">
        <f>IF(LEN(SnapshotTable[[#This Row],[LP Symbol]])&gt;0, 1, "")</f>
        <v/>
      </c>
      <c r="GN211" s="43" t="str">
        <f>IF(AND(SnapshotTable[[#This Row],[SP Exp Date]]&gt;0,SnapshotTable[[#This Row],[SP Strike Price]]&gt;0), [1]!ToOptionSymbol(SnapshotTable[[#This Row],[Symbol]], SnapshotTable[[#This Row],[SP Strike Price]],SnapshotTable[[#This Row],[SP Exp Date]],1), "")</f>
        <v/>
      </c>
      <c r="GO211" s="30" t="str">
        <f>IF(LEN(SnapshotTable[[#This Row],[SP Symbol]])&gt;0, 1, "")</f>
        <v/>
      </c>
      <c r="GP211" s="43" t="str">
        <f>IF(AND(SnapshotTable[[#This Row],[LC Exp Date]]&gt;0,SnapshotTable[[#This Row],[LC Strike Price]]&gt;0), [1]!ToOptionSymbol(SnapshotTable[[#This Row],[Symbol]], SnapshotTable[[#This Row],[LC Strike Price]],SnapshotTable[[#This Row],[LC Exp Date]],0), "")</f>
        <v/>
      </c>
      <c r="GQ211" s="30" t="str">
        <f>IF(LEN(SnapshotTable[[#This Row],[LC Symbol]])&gt;0, 1, "")</f>
        <v/>
      </c>
      <c r="GR211" s="43" t="str">
        <f>IF(AND(SnapshotTable[[#This Row],[SC Exp Date]]&gt;0,SnapshotTable[[#This Row],[SC Strike Price]]&gt;0), [1]!ToOptionSymbol(SnapshotTable[[#This Row],[Symbol]], SnapshotTable[[#This Row],[SC Strike Price]],SnapshotTable[[#This Row],[SC Exp Date]],0), "")</f>
        <v/>
      </c>
      <c r="GS211" s="30" t="str">
        <f>IF(LEN(SnapshotTable[[#This Row],[SC Symbol]])&gt;0, 1, "")</f>
        <v/>
      </c>
      <c r="GT211" s="29" t="str">
        <f>IF(COUNT(SnapshotTable[[#This Row],[LP Symbol Count]],SnapshotTable[[#This Row],[SP Symbol Count]],SnapshotTable[[#This Row],[LC Symbol Count]],SnapshotTable[[#This Row],[SC Symbol Count]])&gt;0, "Y", "")</f>
        <v/>
      </c>
      <c r="GU21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1" s="231" t="e">
        <f>MAX(SnapshotTable[[#This Row],[Equity Basis Total]],SnapshotTable[[#This Row],[Equity Value]]) + (SnapshotTable[[#This Row],[SP Potential Spend]]- SnapshotTable[[#This Row],[SP Premium]] + SnapshotTable[[#This Row],[LP Premium]])+ (SnapshotTable[[#This Row],[LC Premium]] - SnapshotTable[[#This Row],[SC Premium]])</f>
        <v>#VALUE!</v>
      </c>
      <c r="GW211" s="139" t="e">
        <f>IF(AND(SnapshotTable[[#This Row],[Exposure]] &lt;&gt; 0),SnapshotTable[[#This Row],[Exposure]] / SnapshotTable[[#Totals],[Exposure]], "")</f>
        <v>#VALUE!</v>
      </c>
      <c r="GX211" s="2"/>
      <c r="HE211" s="268"/>
      <c r="HF211" s="268"/>
      <c r="HK211" s="1"/>
      <c r="HL211" s="1"/>
      <c r="HM211" s="1"/>
      <c r="HN211" s="1"/>
      <c r="HO211" s="1"/>
      <c r="HP211" s="1"/>
    </row>
    <row r="212" spans="2:224" ht="12.75" hidden="1" customHeight="1" x14ac:dyDescent="0.25">
      <c r="B212" s="12" t="s">
        <v>188</v>
      </c>
      <c r="C212" s="422">
        <v>255.63</v>
      </c>
      <c r="D212" s="208" t="s">
        <v>578</v>
      </c>
      <c r="E212" s="39">
        <f>SnapshotTable[[#This Row],[Last Price]]*(1 -CrashDiscount)</f>
        <v>217.28549999999998</v>
      </c>
      <c r="F212" s="26" t="s">
        <v>85</v>
      </c>
      <c r="G212" s="26" t="s">
        <v>49</v>
      </c>
      <c r="H212" s="149"/>
      <c r="I212" s="194">
        <v>44761.267361111109</v>
      </c>
      <c r="J212" s="195">
        <v>44761.267361111109</v>
      </c>
      <c r="K212" s="196"/>
      <c r="L212" s="326"/>
      <c r="M212" s="140">
        <v>2</v>
      </c>
      <c r="N212" s="140"/>
      <c r="O212" s="140"/>
      <c r="P212" s="22"/>
      <c r="Q212" s="25"/>
      <c r="R212" s="4" t="str">
        <f>IF(SnapshotTable[[#This Row],[Equity Basis Total]] &gt; 0, SnapshotTable[[#This Row],[Equity Basis Total]] / SnapshotTable[[#This Row],[Equity Shares]], "")</f>
        <v/>
      </c>
      <c r="S212" s="269">
        <f>SnapshotTable[[#This Row],[Last Price]] * SnapshotTable[[#This Row],[Equity Shares]]</f>
        <v>0</v>
      </c>
      <c r="T212" s="269">
        <f>SnapshotTable[[#This Row],[Equity Value]] - SnapshotTable[[#This Row],[Equity Basis Total]]</f>
        <v>0</v>
      </c>
      <c r="U212" s="270" t="str">
        <f>IF(SnapshotTable[[#This Row],[Equity Basis Total]] &gt; 0, SnapshotTable[[#This Row],[Equity G/L]] / SnapshotTable[[#This Row],[Equity Basis Total]], "")</f>
        <v/>
      </c>
      <c r="V212" s="268"/>
      <c r="W212" s="268"/>
      <c r="X212" s="4" t="str">
        <f>IF(AND(ISNUMBER(SnapshotTable[[#This Row],[Equity Basis Per Share]]),ISNUMBER(SnapshotTable[[#This Row],[Equity Target]])),SnapshotTable[[#This Row],[Equity Target]]-SnapshotTable[[#This Row],[Equity Basis Per Share]],"")</f>
        <v/>
      </c>
      <c r="Y212" s="4" t="str">
        <f>IF(AND(ISNUMBER(SnapshotTable[[#This Row],[Equity Basis Per Share]]),ISNUMBER(SnapshotTable[[#This Row],[Equity Stop Loss]])),SnapshotTable[[#This Row],[Equity Stop Loss]]-SnapshotTable[[#This Row],[Equity Basis Per Share]],"")</f>
        <v/>
      </c>
      <c r="Z212" s="275" t="str">
        <f>IFERROR( TEXT(SnapshotTable[[#This Row],[Equity Max Gain Per Share]] /ABS( SnapshotTable[[#This Row],[Equity Max Loss Per Share]]),"0.0 " ) &amp; " : 1", "")</f>
        <v/>
      </c>
      <c r="AA212" s="31" t="str">
        <f>IF(ISNUMBER(SnapshotTable[[#This Row],[Equity Max Gain Per Share]]),SnapshotTable[[#This Row],[Equity Max Gain Per Share]] * SnapshotTable[[#This Row],[Equity Shares]],"")</f>
        <v/>
      </c>
      <c r="AB212" s="31" t="str">
        <f>IF(ISNUMBER(SnapshotTable[[#This Row],[Equity Max Loss Per Share]]),SnapshotTable[[#This Row],[Equity Max Loss Per Share]] * SnapshotTable[[#This Row],[Equity Shares]],"")</f>
        <v/>
      </c>
      <c r="AC212" s="150">
        <v>3.8</v>
      </c>
      <c r="AD212" s="151">
        <v>43809</v>
      </c>
      <c r="AE212" s="31">
        <f>(SnapshotTable[[#This Row],[Annual Dividend Per Share]] / 4) * SnapshotTable[[#This Row],[Equity Shares]]</f>
        <v>0</v>
      </c>
      <c r="AF212" s="31">
        <f>SnapshotTable[[#This Row],[Quarterly Div $]] * 4</f>
        <v>0</v>
      </c>
      <c r="AG212" s="7">
        <f>IF(SnapshotTable[[#This Row],[Annual Dividend Per Share]]&gt;0, SnapshotTable[[#This Row],[Annual Dividend Per Share]]  / SnapshotTable[[#This Row],[Last Price]], 0)</f>
        <v>1.4865234909830613E-2</v>
      </c>
      <c r="AH212" s="151">
        <v>43795</v>
      </c>
      <c r="AI212" s="5">
        <v>160</v>
      </c>
      <c r="AJ212" s="138">
        <v>166.06</v>
      </c>
      <c r="AK212" s="152">
        <f>IF(ISNUMBER( SnapshotTable[[#This Row],[EBF Target]]),(SnapshotTable[[#This Row],[EBF Target]] - SnapshotTable[[#This Row],[Last Price]]) / SnapshotTable[[#This Row],[Last Price]], "")</f>
        <v>-0.37409537221765832</v>
      </c>
      <c r="AL212" s="152" t="str">
        <f>IF(AND(SnapshotTable[[#This Row],[Equity Basis Total]] &gt; 0,ISNUMBER( SnapshotTable[[#This Row],[Long Term Target]])), SnapshotTable[[#This Row],[From Basis $]] / SnapshotTable[[#This Row],[Equity Basis Total]], "")</f>
        <v/>
      </c>
      <c r="AM212" s="9">
        <f>IF( AND(SnapshotTable[[#This Row],[Equity Shares]] &gt;0,ISNUMBER( SnapshotTable[[#This Row],[Long Term Target]])),(SnapshotTable[[#This Row],[Equity Shares]] * SnapshotTable[[#This Row],[Long Term Target]]) - SnapshotTable[[#This Row],[Equity Basis Total]],0)</f>
        <v>0</v>
      </c>
      <c r="AN212" s="9">
        <f>IF( AND(SnapshotTable[[#This Row],[Equity Shares]] &gt;0,ISNUMBER( SnapshotTable[[#This Row],[Long Term Target]])),(SnapshotTable[[#This Row],[Equity Shares]]*SnapshotTable[[#This Row],[Long Term Target]]) - SnapshotTable[[#This Row],[Equity Value]],0)</f>
        <v>0</v>
      </c>
      <c r="AO212" s="152">
        <f>IF(AND(ISNUMBER( SnapshotTable[[#This Row],[Long Term Target]]), ISNUMBER(SnapshotTable[[#This Row],[Last Price]])),(SnapshotTable[[#This Row],[Long Term Target]] - SnapshotTable[[#This Row],[Last Price]]) / SnapshotTable[[#This Row],[Last Price]], "")</f>
        <v>-0.3503892344404021</v>
      </c>
      <c r="AP212" s="5"/>
      <c r="AQ212" s="38"/>
      <c r="AR212" s="5"/>
      <c r="AS212" s="38"/>
      <c r="AT212" s="146"/>
      <c r="AU212" s="187" t="str">
        <f>IF(OR(SnapshotTable[[#This Row],[LP No Fill]]="Y",SnapshotTable[[#This Row],[SP Is Filled]],SnapshotTable[[#This Row],[LC Not Filled]]="Y",SnapshotTable[[#This Row],[SC Is Filled]]),"Y","")</f>
        <v/>
      </c>
      <c r="AV212" s="219"/>
      <c r="AW212" s="225"/>
      <c r="AX212" s="220"/>
      <c r="AY212" s="219" t="str">
        <f>IF(SnapshotTable[[#This Row],[Implied Move]]&gt;0, SnapshotTable[[#This Row],[Last Price]]-SnapshotTable[[#This Row],[Implied Move]],"")</f>
        <v/>
      </c>
      <c r="AZ212" s="219" t="str">
        <f>IF(SnapshotTable[[#This Row],[Implied Move]]&gt;0, SnapshotTable[[#This Row],[Last Price]] + SnapshotTable[[#This Row],[Implied Move]],"")</f>
        <v/>
      </c>
      <c r="BA212" s="331"/>
      <c r="BB212" s="347"/>
      <c r="BC21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2" s="351"/>
      <c r="BE212" s="5"/>
      <c r="BF212" s="14"/>
      <c r="BG212" s="13"/>
      <c r="BH212" s="13"/>
      <c r="BI212" s="5"/>
      <c r="BJ212" s="136">
        <f>IF(SnapshotTable[[#This Row],[LP Qty]] &gt; 0, SnapshotTable[[#This Row],[LP Qty]] * SnapshotTable[[#This Row],[LP Book Price]] * 100,0)</f>
        <v>0</v>
      </c>
      <c r="BK212" s="136">
        <f>IF(SnapshotTable[[#This Row],[LP Premium]] &gt; 0, SnapshotTable[[#This Row],[LP Qty]] * SnapshotTable[[#This Row],[LP Strike Price]] * 100,0)</f>
        <v>0</v>
      </c>
      <c r="BL212" s="154"/>
      <c r="BM212" s="385" t="str">
        <f>IF(SnapshotTable[[#This Row],[LP Premium]] &gt; 0,SnapshotTable[[#This Row],[LP Exp Date]]-MAX(SnapshotTable[[#This Row],[LP Book Date]], SnapshotTable[[#This Row],[LP Fill Date]]),"")</f>
        <v/>
      </c>
      <c r="BN212" s="385" t="str">
        <f>IF(ISNUMBER( SnapshotTable[[#This Row],[LP Term]]), SnapshotTable[[#This Row],[LP Exp Date]] - MockToday,"")</f>
        <v/>
      </c>
      <c r="BO212" s="163" t="str">
        <f>IF(AND(SnapshotTable[[#This Row],[LP Exp Date]]&gt;0, SnapshotTable[[#This Row],[LP Strike Price]]&gt;0,SnapshotTable[[#This Row],[LP Qty]]&gt;0,SnapshotTable[[#This Row],[LP Book Date]]&gt;0,SnapshotTable[[#This Row],[LP Book Price]]&gt;0,SnapshotTable[[#This Row],[LP Fill Date]]=0),"Y","")</f>
        <v/>
      </c>
      <c r="BP212" s="31" t="str">
        <f>IF(AND(SnapshotTable[[#This Row],[LP No Fill]]&lt;&gt;"Y",SnapshotTable[[#This Row],[LP Contract Value]]&gt;0, SnapshotTable[[#This Row],[LP Qty]]&gt;0), SnapshotTable[[#This Row],[LP Contract Value]]*SnapshotTable[[#This Row],[LP Qty]]*100,"")</f>
        <v/>
      </c>
      <c r="BQ212" s="13"/>
      <c r="BR212" s="5" t="str">
        <f>IF(SnapshotTable[[#This Row],[SP Exp Date]]&lt;&gt;"",TRUNC(SnapshotTable[[#This Row],[Last Price]]),"")</f>
        <v/>
      </c>
      <c r="BS212" s="36"/>
      <c r="BT212" s="147"/>
      <c r="BU212" s="13"/>
      <c r="BV212" s="5"/>
      <c r="BW212" s="419" t="b">
        <f>AND(ISNUMBER(SnapshotTable[[#This Row],[SP Exp Date]]), ISNUMBER(SnapshotTable[[#This Row],[SP Strike Price]]), ISNUMBER(SnapshotTable[[#This Row],[SP Qty]]), ISNUMBER(SnapshotTable[[#This Row],[SP Book Date]]), ISNUMBER(SnapshotTable[[#This Row],[SP Book Price]]))</f>
        <v>0</v>
      </c>
      <c r="BX212" s="419" t="b">
        <f>AND(SnapshotTable[[#This Row],[SP Is Booked]], NOT(ISBLANK(SnapshotTable[[#This Row],[SP Fill Date]])))</f>
        <v>0</v>
      </c>
      <c r="BY212" s="33">
        <f>IF(SnapshotTable[[#This Row],[SP Is Booked]], SnapshotTable[[#This Row],[SP Qty]] * SnapshotTable[[#This Row],[SP Book Price]] * 100, 0)</f>
        <v>0</v>
      </c>
      <c r="BZ212" s="369"/>
      <c r="CA212" s="368">
        <f>SnapshotTable[[#This Row],[LP Qty]]</f>
        <v>0</v>
      </c>
      <c r="CB212" s="4" t="str">
        <f>IF(SnapshotTable[[#This Row],[SP Is Booked]], SnapshotTable[[#This Row],[SP Strike Price]] - SnapshotTable[[#This Row],[SP Book Price]], "")</f>
        <v/>
      </c>
      <c r="CC212" s="19" t="str">
        <f>IF(SnapshotTable[[#This Row],[SP Is Booked]],SnapshotTable[[#This Row],[SP Exp Date]]-MAX(SnapshotTable[[#This Row],[SP Book Date]], SnapshotTable[[#This Row],[SP Fill Date]]),"")</f>
        <v/>
      </c>
      <c r="CD212" s="7" t="str">
        <f>IF(SnapshotTable[[#This Row],[SP Is Booked]], SnapshotTable[[#This Row],[SP Book Price]]/SnapshotTable[[#This Row],[SP Strike Price]], "")</f>
        <v/>
      </c>
      <c r="CE212" s="7" t="str">
        <f>IF(ISNUMBER(SnapshotTable[[#This Row],[SP ROO Term]]),SnapshotTable[[#This Row],[SP ROO Term]]*(365/SnapshotTable[[#This Row],[SP Term]]),"")</f>
        <v/>
      </c>
      <c r="CF212" s="236">
        <f>SnapshotTable[[#This Row],[LP Strike Price]] * SnapshotTable[[#This Row],[LP Qty]] * 100</f>
        <v>0</v>
      </c>
      <c r="CG212" s="31" t="e">
        <f>IF(ISNUMBER(SnapshotTable[[#This Row],[SP Premium]]), (SnapshotTable[[#This Row],[SP Qty]] * SnapshotTable[[#This Row],[SP Strike Price]]* 100) - SnapshotTable[[#This Row],[LP Protection]], 0)</f>
        <v>#VALUE!</v>
      </c>
      <c r="CH212" s="7" t="str">
        <f>IF(ISNUMBER(SnapshotTable[[#This Row],[SP Break Even]]),-1 * (SnapshotTable[[#This Row],[SP Break Even]] - SnapshotTable[[#This Row],[Last Price]]) / SnapshotTable[[#This Row],[Last Price]], "")</f>
        <v/>
      </c>
      <c r="CI212" s="31">
        <f>IF(AND(ISNUMBER((SnapshotTable[[#This Row],[SP Potential Spend]])), SnapshotTable[[#This Row],[SP Strike Price]] &gt; SnapshotTable[[#This Row],[Last Price]], SnapshotTable[[#This Row],[SP Is Filled]]), SnapshotTable[[#This Row],[SP Potential Spend]] -  SnapshotTable[[#This Row],[LP Max Value]], 0)</f>
        <v>0</v>
      </c>
      <c r="CJ212" s="244"/>
      <c r="CK212" s="31" t="str">
        <f>IF(ISNUMBER(SnapshotTable[[#This Row],[SP Potential Spend]]),IF(ISNUMBER(SnapshotTable[[#This Row],[SP POW]]), SnapshotTable[[#This Row],[SP POW]] * SnapshotTable[[#This Row],[SP Potential Spend]], SnapshotTable[[#This Row],[SP Potential Spend]]), "")</f>
        <v/>
      </c>
      <c r="CL212" s="164" t="e">
        <f>IF(NOT(SnapshotTable[[#This Row],[SP Is Filled]]),(SnapshotTable[[#This Row],[SP Qty]] * SnapshotTable[[#This Row],[SP Strike Price]] * 100) - SnapshotTable[[#This Row],[LP Max Value]],"")</f>
        <v>#VALUE!</v>
      </c>
      <c r="CM212" s="31" t="str">
        <f>IF(SnapshotTable[[#This Row],[SP Actual Spend]]&lt;&gt;0, ((SnapshotTable[[#This Row],[SP Strike Price]]-SnapshotTable[[#This Row],[Last Price]]) *(SnapshotTable[[#This Row],[SP Qty]]*100) - SnapshotTable[[#This Row],[SP Premium]]) * - 1, "")</f>
        <v/>
      </c>
      <c r="CN212" s="78"/>
      <c r="CO212" s="369"/>
      <c r="CP212" s="4" t="str">
        <f>IF(SnapshotTable[[#This Row],[SP Is Filled]], btc_max_buyback_amount(SnapshotTable[[#This Row],[SP Fill Date]],SnapshotTable[[#This Row],[SP Exp Date]], SnapshotTable[[#This Row],[SP Book Price]]),"")</f>
        <v/>
      </c>
      <c r="CQ212" s="78"/>
      <c r="CR21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2" s="155" t="str">
        <f>IF(SnapshotTable[[#This Row],[SP Is Filled]], btc_next_cutoff_date(SnapshotTable[[#This Row],[SP Fill Date]],SnapshotTable[[#This Row],[SP Exp Date]]),"")</f>
        <v/>
      </c>
      <c r="CT212" s="235" t="str" cm="1">
        <f t="array" ref="CT212">IF(SnapshotTable[[#This Row],[SP Is Filled]], btc_should_buy_back(SnapshotTable[[#This Row],[SP Fill Date]], SnapshotTable[[#This Row],[SP Exp Date]], SnapshotTable[[#This Row],[SP Book Price]], SnapshotTable[[#This Row],[SP Current Ask]], MockToday, SnapshotTable[[#This Row],[SP Buyback Override]]),"")</f>
        <v/>
      </c>
      <c r="CU212" s="143"/>
      <c r="CV212" s="235"/>
      <c r="CW212" s="378" t="str">
        <f>IF(ISNUMBER( SnapshotTable[[#This Row],[SP Term]]), SnapshotTable[[#This Row],[SP Exp Date]] - MockToday,"")</f>
        <v/>
      </c>
      <c r="CX212" s="31" t="str">
        <f>IF(SnapshotTable[[#This Row],[SP Is Filled]],SnapshotTable[[#This Row],[SP Buyback Price to Use]] * 100 * SnapshotTable[[#This Row],[SP Qty]], "")</f>
        <v/>
      </c>
      <c r="CY212" s="4" t="str">
        <f>IF(ISNUMBER(SnapshotTable[[#This Row],[SP Strike Price]]), SnapshotTable[[#This Row],[SP Strike Price]] * (1 - SP_MaxLoss_StrikePct), "")</f>
        <v/>
      </c>
      <c r="CZ212" s="31" t="str">
        <f>IF(ISNUMBER(SnapshotTable[[#This Row],[SP Strike  Stop Per Share]]),SnapshotTable[[#This Row],[SP Premium]] - ((SnapshotTable[[#This Row],[SP Strike Price]]-SnapshotTable[[#This Row],[SP Strike  Stop Per Share]]) *(SnapshotTable[[#This Row],[SP Qty]] * 100)),"")</f>
        <v/>
      </c>
      <c r="DA212" s="4" t="str">
        <f>IF(AND(ISNUMBER(SnapshotTable[[#This Row],[SP Premium]]),SnapshotTable[[#This Row],[SP Premium]]&gt;0), SnapshotTable[[#This Row],[SP Book Price]] * (1 + SP_MaxLoss_OptionPct), "")</f>
        <v/>
      </c>
      <c r="DB212" s="31" t="str">
        <f>IF(ISNUMBER(SnapshotTable[[#This Row],[SP Option  Stop Contract]]),(SnapshotTable[[#This Row],[SP Option  Stop Contract]] *(SnapshotTable[[#This Row],[SP Qty]] * 100) - SnapshotTable[[#This Row],[SP Premium]]),"")</f>
        <v/>
      </c>
      <c r="DC212" s="4"/>
      <c r="DD212" s="4"/>
      <c r="DE212" s="4" t="str">
        <f>IF(AND(SnapshotTable[[#This Row],[SP Qty]]&gt;0, SnapshotTable[[#This Row],[SP Stop To Use]]&gt;0),SnapshotTable[[#This Row],[SP Premium]] - ( SnapshotTable[[#This Row],[SP Qty]] * SnapshotTable[[#This Row],[SP Stop To Use]] * 100), "")</f>
        <v/>
      </c>
      <c r="DF212" s="31" t="str">
        <f>IF(AND(SnapshotTable[[#This Row],[SP Qty]]&gt;0,SnapshotTable[[#This Row],[SP Current Ask]]&gt;0), SnapshotTable[[#This Row],[SP Qty]] * SnapshotTable[[#This Row],[SP Current Ask]] * -100, "")</f>
        <v/>
      </c>
      <c r="DG212" s="31" t="str">
        <f>IF(ISNUMBER((SnapshotTable[[#This Row],[SP Total Value]])), SnapshotTable[[#This Row],[SP Premium]] + SnapshotTable[[#This Row],[SP Total Value]], "")</f>
        <v/>
      </c>
      <c r="DH212" s="294" t="str">
        <f>IF(ISNUMBER((SnapshotTable[[#This Row],[SP Total Value]])), SnapshotTable[[#This Row],[SP Gain Loss]] / SnapshotTable[[#This Row],[SP Premium]], "")</f>
        <v/>
      </c>
      <c r="DI212" s="406"/>
      <c r="DJ212" s="138"/>
      <c r="DK212" s="148"/>
      <c r="DL212" s="13"/>
      <c r="DM212" s="13"/>
      <c r="DO212" s="31">
        <f>IF(SnapshotTable[[#This Row],[LC Symbol Count]]=1, SnapshotTable[[#This Row],[LC Qty]] * SnapshotTable[[#This Row],[LC Book Price]] * 100, 0)</f>
        <v>0</v>
      </c>
      <c r="DP212" s="163" t="str">
        <f>IF(AND(SnapshotTable[[#This Row],[LC Exp Date]]&gt;0, SnapshotTable[[#This Row],[LC Strike Price]]&gt;0,SnapshotTable[[#This Row],[LC Qty]]&gt;0,SnapshotTable[[#This Row],[LC Book Date]]&gt;0,SnapshotTable[[#This Row],[LC Book Price]]&gt;0,SnapshotTable[[#This Row],[LC Fill Date]]=0),"Y","")</f>
        <v/>
      </c>
      <c r="DQ212" s="386" t="str">
        <f>IF(SnapshotTable[[#This Row],[LC Premium]] &gt; 0,SnapshotTable[[#This Row],[LC Exp Date]]-MAX(SnapshotTable[[#This Row],[LC Book Date]], SnapshotTable[[#This Row],[LC Fill Date]]),"")</f>
        <v/>
      </c>
      <c r="DR212" s="386" t="str">
        <f>IF(ISNUMBER(SnapshotTable[[#This Row],[LC Term]]), SnapshotTable[[#This Row],[LC Exp Date]] - MockToday, "")</f>
        <v/>
      </c>
      <c r="DS212" s="234" t="str">
        <f>IF(SnapshotTable[[#This Row],[LC Premium]]&gt;0,SnapshotTable[[#This Row],[LC Strike Price]] + SnapshotTable[[#This Row],[LC Book Price]],"")</f>
        <v/>
      </c>
      <c r="DU212" s="9" t="str">
        <f>IF(AND(SnapshotTable[[#This Row],[LC Symbol Count]]&gt;0, SnapshotTable[[#This Row],[LC Contract Value]]&gt;0), SnapshotTable[[#This Row],[LC Contract Value]] * SnapshotTable[[#This Row],[LC Qty]] * 100, "")</f>
        <v/>
      </c>
      <c r="DV212" s="9" t="str">
        <f>IF(AND(ISNUMBER(SnapshotTable[[#This Row],[LC Total Value]]), SnapshotTable[[#This Row],[LC Not Filled]]&lt;&gt;"Y"), SnapshotTable[[#This Row],[LC Total Value]]-SnapshotTable[[#This Row],[LC Premium]],"")</f>
        <v/>
      </c>
      <c r="DW212" s="240" t="str">
        <f>IF(ISNUMBER(SnapshotTable[[#This Row],[LC Actual Gain Loss]]), SnapshotTable[[#This Row],[LC Actual Gain Loss]] / SnapshotTable[[#This Row],[LC Premium]],"")</f>
        <v/>
      </c>
      <c r="DX212" s="284" t="str">
        <f>IF(ISNUMBER(SnapshotTable[[#This Row],[LC Book Price]]),SnapshotTable[[#This Row],[LC Book Price]] * 1.5,"")</f>
        <v/>
      </c>
      <c r="DY212" s="265" t="str">
        <f>IF(SnapshotTable[[#This Row],[LC Premium]]&gt;0, SnapshotTable[[#This Row],[LC Next Target]] * SnapshotTable[[#This Row],[LC Qty]] * 100,"")</f>
        <v/>
      </c>
      <c r="DZ212" s="265" t="str">
        <f>IF(ISNUMBER(SnapshotTable[[#This Row],[LC Target Gross]]), SnapshotTable[[#This Row],[LC Target Gross]] - SnapshotTable[[#This Row],[LC Premium]], "")</f>
        <v/>
      </c>
      <c r="EA212" s="305" t="str">
        <f>IF(ISNUMBER(SnapshotTable[[#This Row],[LC Target Gain Loss]]), SnapshotTable[[#This Row],[LC Target Gain Loss]]/SnapshotTable[[#This Row],[LC Premium]], "")</f>
        <v/>
      </c>
      <c r="EB212" s="262"/>
      <c r="EC212" s="283" t="str">
        <f>IF(SnapshotTable[[#This Row],[LC Premium]]&gt;0, SnapshotTable[[#This Row],[LC Book Price]] * (1 - LC_StopLoss_Pct),"")</f>
        <v/>
      </c>
      <c r="ED212" s="284"/>
      <c r="EE212" s="283" t="str">
        <f>IF(ISNUMBER(SnapshotTable[[#This Row],[LC Contract Value]]),IF(ISNUMBER(SnapshotTable[[#This Row],[LC Stop Loss Override]]), SnapshotTable[[#This Row],[LC Stop Loss Override]],SnapshotTable[[#This Row],[LC Stop Loss Calc Target]]),"")</f>
        <v/>
      </c>
      <c r="EF212" s="31" t="str">
        <f>IF(ISNUMBER(SnapshotTable[[#This Row],[LC Stop  To Use]]), (SnapshotTable[[#This Row],[LC Stop  To Use]] * SnapshotTable[[#This Row],[LC Qty]] * 100),"")</f>
        <v/>
      </c>
      <c r="EG212" s="9" t="str">
        <f>IF(ISNUMBER(SnapshotTable[[#This Row],[LC Total Value]]),SnapshotTable[[#This Row],[LC Stop Loss Amount]] - SnapshotTable[[#This Row],[LC Premium]],"")</f>
        <v/>
      </c>
      <c r="EH212" s="9">
        <f>IF(ISNUMBER(SnapshotTable[[#This Row],[LC Premium]]), SnapshotTable[[#This Row],[LC Qty]] * 100 * SnapshotTable[[#This Row],[LC Strike Price]], "")</f>
        <v>0</v>
      </c>
      <c r="EI212" s="240" t="str">
        <f>IF(AND(ISNUMBER(SnapshotTable[[#This Row],[LC Total Value]]),SnapshotTable[[#This Row],[LC Total Value]]&gt;0),SnapshotTable[[#This Row],[LC Stop Gain Loss]]  / SnapshotTable[[#This Row],[LC Premium]],"")</f>
        <v/>
      </c>
      <c r="EJ212" s="35">
        <f>IF(ISNUMBER(SnapshotTable[[#This Row],[Equity Shares]]),TRUNC(SnapshotTable[[#This Row],[Equity Shares]] / 100),0) + SnapshotTable[[#This Row],[LC Qty]]</f>
        <v>0</v>
      </c>
      <c r="EK212" s="147"/>
      <c r="EL212" s="138" t="str">
        <f>IF(SnapshotTable[[#This Row],[SC Exp Date]]&lt;&gt;"",TRUNC(SnapshotTable[[#This Row],[Last Price]]),"")</f>
        <v/>
      </c>
      <c r="EM212" s="148"/>
      <c r="EN212" s="147"/>
      <c r="EO212" s="147"/>
      <c r="EP212" s="138"/>
      <c r="EQ212" s="419" t="b">
        <f>AND(ISNUMBER(SnapshotTable[[#This Row],[SC Exp Date]]), ISNUMBER(SnapshotTable[[#This Row],[SC Strike Price]]), ISNUMBER(SnapshotTable[[#This Row],[SC Qty]]), ISNUMBER(SnapshotTable[[#This Row],[SC Book Date]]), ISNUMBER(SnapshotTable[[#This Row],[SC Book Price]]))</f>
        <v>0</v>
      </c>
      <c r="ER212" s="419" t="b">
        <f>AND(SnapshotTable[[#This Row],[SC Is Booked]], NOT(ISBLANK(SnapshotTable[[#This Row],[SC Fill Date]])))</f>
        <v>0</v>
      </c>
      <c r="ES212" s="370"/>
      <c r="ET212" s="34" t="str">
        <f>IF(AND(ISNUMBER(SnapshotTable[[#This Row],[SC Exp Date]]), ISNUMBER(SnapshotTable[[#This Row],[SC Book Date]])), SnapshotTable[[#This Row],[SC Exp Date]] - MAX(SnapshotTable[[#This Row],[SC Book Date]], SnapshotTable[[#This Row],[SC Fill Date]]) + 1, "")</f>
        <v/>
      </c>
      <c r="EU212" s="34" t="str">
        <f>IF(ISNUMBER(SnapshotTable[[#This Row],[SC Term]]), SnapshotTable[[#This Row],[SC Exp Date]]- MockToday, "")</f>
        <v/>
      </c>
      <c r="EV212" s="31">
        <f>IF(SnapshotTable[[#This Row],[SC Is Booked]], SnapshotTable[[#This Row],[SC Qty]] * SnapshotTable[[#This Row],[SC Book Price]] * 100, 0)</f>
        <v>0</v>
      </c>
      <c r="EW212" s="4" t="str">
        <f>IF(AND(ISNUMBER(SnapshotTable[[#This Row],[Last Price]]), ISNUMBER( SnapshotTable[[#This Row],[SC Book Price]])), SnapshotTable[[#This Row],[Last Price]] - SnapshotTable[[#This Row],[SC Book Price]],"")</f>
        <v/>
      </c>
      <c r="EX212" s="234" t="str">
        <f>IF(SnapshotTable[[#This Row],[SC Is Booked]],IF(SnapshotTable[[#This Row],[SC Intrinsic Value]] &gt; 0, SnapshotTable[[#This Row],[SC Strike Price]], SnapshotTable[[#This Row],[Last Price]]), "")</f>
        <v/>
      </c>
      <c r="EY212" s="4">
        <f>IF(SnapshotTable[[#This Row],[SC Is Booked]], (MinimumPremiumRequired * SnapshotTable[[#This Row],[SC Basis]] * SnapshotTable[[#This Row],[SC Term]]), 0)</f>
        <v>0</v>
      </c>
      <c r="EZ212" s="283"/>
      <c r="FA212" s="218"/>
      <c r="FB212" s="370"/>
      <c r="FC212" s="4">
        <f>IF(SnapshotTable[[#This Row],[SC Is Filled]], btc_max_buyback_amount(SnapshotTable[[#This Row],[SC Fill Date]],SnapshotTable[[#This Row],[SC Exp Date]], SnapshotTable[[#This Row],[SC Book Price]]),0)</f>
        <v>0</v>
      </c>
      <c r="FD212" s="5"/>
      <c r="FE212" s="144" t="str">
        <f>IF(SnapshotTable[[#This Row],[SC Is Filled]], btc_next_cutoff_date(SnapshotTable[[#This Row],[SC Fill Date]],SnapshotTable[[#This Row],[SC Exp Date]]),"")</f>
        <v/>
      </c>
      <c r="FF212" s="4" t="str" cm="1">
        <f t="array" ref="FF212">IF(SnapshotTable[[#This Row],[SC Is Filled]], btc_should_buy_back(SnapshotTable[[#This Row],[SC Fill Date]], SnapshotTable[[#This Row],[SC Exp Date]], SnapshotTable[[#This Row],[SC Book Price]], SnapshotTable[[#This Row],[SC Current Ask]], MockToday, SnapshotTable[[#This Row],[SC Buyback Override]]),"")</f>
        <v/>
      </c>
      <c r="FG212" s="4">
        <f>IF(SnapshotTable[[#This Row],[SC Is Filled]], MAX(0,SnapshotTable[[#This Row],[Last Price]]  - SnapshotTable[[#This Row],[SC Strike Price]]), 0)</f>
        <v>0</v>
      </c>
      <c r="FH212" s="382">
        <f>IF(SnapshotTable[[#This Row],[SC Is Filled]], IF(ISNUMBER(SnapshotTable[[#This Row],[SC Current Ask]]), SnapshotTable[[#This Row],[SC Current Ask]], SnapshotTable[[#This Row],[SC Book Price]]) - SnapshotTable[[#This Row],[SC Intrinsic Value]], 0)</f>
        <v>0</v>
      </c>
      <c r="FI212" s="143"/>
      <c r="FJ212" s="32" t="str">
        <f>IF(SnapshotTable[[#This Row],[SC Is Filled]],100 * SnapshotTable[[#This Row],[SC Qty]] * IF(ISNUMBER(SnapshotTable[[#This Row],[SC Buyback Override]]), SnapshotTable[[#This Row],[SC Buyback Override]], SnapshotTable[[#This Row],[SC Current Ask]]), "")</f>
        <v/>
      </c>
      <c r="FK212" s="250" t="str">
        <f>IF(SnapshotTable[[#This Row],[SC Time Val]]&gt;0, SnapshotTable[[#This Row],[SC Time Val]] / SnapshotTable[[#This Row],[Last Price]],"")</f>
        <v/>
      </c>
      <c r="FL212" s="302" t="str">
        <f>IF(SnapshotTable[[#This Row],[SC Is Booked]], ((SnapshotTable[[#This Row],[Last Price]] -SnapshotTable[[#This Row],[SC Strike Price]]) / SnapshotTable[[#This Row],[Last Price]]) * -1, "")</f>
        <v/>
      </c>
      <c r="FM212" s="157" t="str">
        <f>IF(SnapshotTable[[#This Row],[SC Is Booked]],  (SnapshotTable[[#This Row],[SC Qty]] * 100 * SnapshotTable[[#This Row],[SC Strike Price]]) - SnapshotTable[[#This Row],[SC Current Ask]], "")</f>
        <v/>
      </c>
      <c r="FN21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2" s="31" t="str">
        <f>IF(AND(ISNUMBER(SnapshotTable[[#This Row],[SC Exercise Gross]]), ISNUMBER(SnapshotTable[[#This Row],[Equity Basis Per Share]] )), SnapshotTable[[#This Row],[SC Exercise Gross]] - SnapshotTable[[#This Row],[Equity Basis Total]] +  SnapshotTable[[#This Row],[SC Premium]], "")</f>
        <v/>
      </c>
      <c r="FP212" s="5" t="str">
        <f>IF(ISNUMBER(SnapshotTable[[#This Row],[SC Exercise Gross]]), (SnapshotTable[[#This Row],[SC Exercise Gross]]) / (SnapshotTable[[#This Row],[SC Qty]] * 100), "")</f>
        <v/>
      </c>
      <c r="FQ212" s="27" t="str">
        <f>IF(SnapshotTable[[#This Row],[SC Is Booked]],SnapshotTable[[#This Row],[SC Time Val]] /SnapshotTable[[#This Row],[SC Basis]], "")</f>
        <v/>
      </c>
      <c r="FR212" s="27" t="str" cm="1">
        <f t="array" ref="FR212">IF(AND(ISNUMBER(SnapshotTable[[#This Row],[SC Term]]),ISNUMBER(SnapshotTable[[#This Row],[SC Simple ROO]])), EllmanAnnualize(SnapshotTable[[#This Row],[SC DTE]], SnapshotTable[[#This Row],[SC Simple ROO]] ),"")</f>
        <v/>
      </c>
      <c r="FS212" s="4" t="e">
        <f>IF(SnapshotTable[[#This Row],[SC Strike Price]] &gt; SnapshotTable[[#This Row],[Last Price]], SnapshotTable[[#This Row],[SC Strike Price]] - SnapshotTable[[#This Row],[Last Price]],0)</f>
        <v>#VALUE!</v>
      </c>
      <c r="FT212" s="27" t="e">
        <f>IF(AND(ISNUMBER(SnapshotTable[[#This Row],[SC Upside Potential]]), SnapshotTable[[#This Row],[SC Upside Potential]] &gt; 0),(SnapshotTable[[#This Row],[SC Upside Potential]]/ SnapshotTable[[#This Row],[ACB]]),"")</f>
        <v>#VALUE!</v>
      </c>
      <c r="FU212" s="333" t="str">
        <f>IF(SnapshotTable[[#This Row],[SC Intrinsic Value]] &gt; 0,SnapshotTable[[#This Row],[SC Intrinsic Value]],"")</f>
        <v/>
      </c>
      <c r="FV212" s="27" t="str">
        <f>IF(AND( ISNUMBER( SnapshotTable[[#This Row],[ACB]]),ISNUMBER(SnapshotTable[[#This Row],[SC Downside Protect]])),SnapshotTable[[#This Row],[SC Downside Protect]] / SnapshotTable[[#This Row],[ACB]],"")</f>
        <v/>
      </c>
      <c r="FW212" s="236" t="str">
        <f>IF(AND(ISNUMBER(SnapshotTable[[#This Row],[SC Simple ROO]]),SnapshotTable[[#This Row],[SC Simple ROO]] &gt; 0), SnapshotTable[[#This Row],[SC Premium]] + (SnapshotTable[[#This Row],[SC Qty]] * SnapshotTable[[#This Row],[SC Upside Potential]]), "")</f>
        <v/>
      </c>
      <c r="FX212" s="302" t="str" cm="1">
        <f t="array" ref="FX212">IF(ISNUMBER(SnapshotTable[[#This Row],[SC Max Dollars]]), annualize(SnapshotTable[[#This Row],[SC Term]],(SnapshotTable[[#This Row],[SC Max Dollars]]/SnapshotTable[[#This Row],[SC Basis]])),"")</f>
        <v/>
      </c>
      <c r="FY212" s="236" t="str">
        <f>IF(AND(SnapshotTable[[#This Row],[SC Qty]]&gt;0,SnapshotTable[[#This Row],[SC Current Ask]]&gt;0), SnapshotTable[[#This Row],[SC Qty]] * SnapshotTable[[#This Row],[SC Current Ask]] * -100, "")</f>
        <v/>
      </c>
      <c r="FZ212" s="31" t="str">
        <f>IF(ISNUMBER((SnapshotTable[[#This Row],[SC Current Value]])), SnapshotTable[[#This Row],[SC Premium]] + SnapshotTable[[#This Row],[SC Current Value]], "")</f>
        <v/>
      </c>
      <c r="GA212" s="294" t="str">
        <f>IFERROR( IF(ISNUMBER((SnapshotTable[[#This Row],[SC Current Value]])), SnapshotTable[[#This Row],[SC Gain Loss]] / SnapshotTable[[#This Row],[SC Premium]], ""), "")</f>
        <v/>
      </c>
      <c r="GB212" s="42">
        <f>SnapshotTable[[#This Row],[Equity Shares]] * SaleSharesToConsiderPercentage</f>
        <v>0</v>
      </c>
      <c r="GC212" s="40">
        <f>SnapshotTable[[#This Row],[Long Term Target]] * SellingPriceToConsiderBasedOnTargetPercentage</f>
        <v>157.75700000000001</v>
      </c>
      <c r="GD212" s="40">
        <f>SnapshotTable[[#This Row],[Last Price]] * (1+ SellingPriceToConsiderBasedOnTargetPercentage)</f>
        <v>498.4785</v>
      </c>
      <c r="GE212" s="41"/>
      <c r="GF212" s="40"/>
      <c r="GG212" s="31">
        <f>SnapshotTable[[#This Row],[Booked Sale Shares]] * SnapshotTable[[#This Row],[Booked Sale Price]]</f>
        <v>0</v>
      </c>
      <c r="GH212" s="31" t="str">
        <f>IF(SnapshotTable[[#This Row],[Equity Basis Total]] &gt; 0, SnapshotTable[[#This Row],[Equity Basis Per Share]] * SnapshotTable[[#This Row],[Booked Sale Shares]], "")</f>
        <v/>
      </c>
      <c r="GI212" s="31">
        <f>IF(SnapshotTable[[#This Row],[Sale Proceeds]]&gt;0, SnapshotTable[[#This Row],[Sale Proceeds]] - SnapshotTable[[#This Row],[Sale Basis]], 0)</f>
        <v>0</v>
      </c>
      <c r="GJ212" s="27" t="str">
        <f>IF(SnapshotTable[[#This Row],[Sale G/L]]&gt;0, SnapshotTable[[#This Row],[Sale G/L]] / SnapshotTable[[#This Row],[Sale Basis]], IF(ISNUMBER(SnapshotTable[[#This Row],[SC Exercise P&amp;L (TAX)]]), SnapshotTable[[#This Row],[SC Exercise P&amp;L (TAX)]] / SnapshotTable[[#This Row],[SC Basis]], ""))</f>
        <v/>
      </c>
      <c r="GK212" s="27" t="s">
        <v>726</v>
      </c>
      <c r="GL212" s="43" t="str">
        <f>IF(AND(SnapshotTable[[#This Row],[LP Exp Date]]&gt;0,SnapshotTable[[#This Row],[LP Strike Price]]&gt;0), [1]!ToOptionSymbol(SnapshotTable[[#This Row],[Symbol]], SnapshotTable[[#This Row],[LP Strike Price]],SnapshotTable[[#This Row],[LP Exp Date]],1), "")</f>
        <v/>
      </c>
      <c r="GM212" s="30" t="str">
        <f>IF(LEN(SnapshotTable[[#This Row],[LP Symbol]])&gt;0, 1, "")</f>
        <v/>
      </c>
      <c r="GN212" s="43" t="str">
        <f>IF(AND(SnapshotTable[[#This Row],[SP Exp Date]]&gt;0,SnapshotTable[[#This Row],[SP Strike Price]]&gt;0), [1]!ToOptionSymbol(SnapshotTable[[#This Row],[Symbol]], SnapshotTable[[#This Row],[SP Strike Price]],SnapshotTable[[#This Row],[SP Exp Date]],1), "")</f>
        <v/>
      </c>
      <c r="GO212" s="30" t="str">
        <f>IF(LEN(SnapshotTable[[#This Row],[SP Symbol]])&gt;0, 1, "")</f>
        <v/>
      </c>
      <c r="GP212" s="43" t="str">
        <f>IF(AND(SnapshotTable[[#This Row],[LC Exp Date]]&gt;0,SnapshotTable[[#This Row],[LC Strike Price]]&gt;0), [1]!ToOptionSymbol(SnapshotTable[[#This Row],[Symbol]], SnapshotTable[[#This Row],[LC Strike Price]],SnapshotTable[[#This Row],[LC Exp Date]],0), "")</f>
        <v/>
      </c>
      <c r="GQ212" s="30" t="str">
        <f>IF(LEN(SnapshotTable[[#This Row],[LC Symbol]])&gt;0, 1, "")</f>
        <v/>
      </c>
      <c r="GR212" s="43" t="str">
        <f>IF(AND(SnapshotTable[[#This Row],[SC Exp Date]]&gt;0,SnapshotTable[[#This Row],[SC Strike Price]]&gt;0), [1]!ToOptionSymbol(SnapshotTable[[#This Row],[Symbol]], SnapshotTable[[#This Row],[SC Strike Price]],SnapshotTable[[#This Row],[SC Exp Date]],0), "")</f>
        <v/>
      </c>
      <c r="GS212" s="30" t="str">
        <f>IF(LEN(SnapshotTable[[#This Row],[SC Symbol]])&gt;0, 1, "")</f>
        <v/>
      </c>
      <c r="GT212" s="29" t="str">
        <f>IF(COUNT(SnapshotTable[[#This Row],[LP Symbol Count]],SnapshotTable[[#This Row],[SP Symbol Count]],SnapshotTable[[#This Row],[LC Symbol Count]],SnapshotTable[[#This Row],[SC Symbol Count]])&gt;0, "Y", "")</f>
        <v/>
      </c>
      <c r="GU21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2" s="231" t="e">
        <f>MAX(SnapshotTable[[#This Row],[Equity Basis Total]],SnapshotTable[[#This Row],[Equity Value]]) + (SnapshotTable[[#This Row],[SP Potential Spend]]- SnapshotTable[[#This Row],[SP Premium]] + SnapshotTable[[#This Row],[LP Premium]])+ (SnapshotTable[[#This Row],[LC Premium]] - SnapshotTable[[#This Row],[SC Premium]])</f>
        <v>#VALUE!</v>
      </c>
      <c r="GW212" s="139" t="e">
        <f>IF(AND(SnapshotTable[[#This Row],[Exposure]] &lt;&gt; 0),SnapshotTable[[#This Row],[Exposure]] / SnapshotTable[[#Totals],[Exposure]], "")</f>
        <v>#VALUE!</v>
      </c>
      <c r="HE212" s="268"/>
      <c r="HF212" s="268"/>
      <c r="HK212" s="1"/>
      <c r="HL212" s="1"/>
      <c r="HM212" s="1"/>
      <c r="HN212" s="1"/>
      <c r="HO212" s="1"/>
      <c r="HP212" s="1"/>
    </row>
    <row r="213" spans="2:224" ht="12.75" hidden="1" customHeight="1" x14ac:dyDescent="0.25">
      <c r="B213" s="12" t="s">
        <v>177</v>
      </c>
      <c r="C213" s="422">
        <v>29.3</v>
      </c>
      <c r="D213" s="208"/>
      <c r="E213" s="39">
        <f>SnapshotTable[[#This Row],[Last Price]]*(1 -CrashDiscount)</f>
        <v>24.905000000000001</v>
      </c>
      <c r="F213" s="26" t="s">
        <v>176</v>
      </c>
      <c r="G213" s="26" t="s">
        <v>14</v>
      </c>
      <c r="H213" s="149"/>
      <c r="I213" s="194">
        <v>44796.670138888891</v>
      </c>
      <c r="J213" s="195">
        <v>44796.670138888891</v>
      </c>
      <c r="K213" s="196"/>
      <c r="L213" s="326"/>
      <c r="M213" s="140"/>
      <c r="N213" s="140"/>
      <c r="O213" s="140"/>
      <c r="P213" s="22"/>
      <c r="Q213" s="25"/>
      <c r="R213" s="4" t="str">
        <f>IF(SnapshotTable[[#This Row],[Equity Basis Total]] &gt; 0, SnapshotTable[[#This Row],[Equity Basis Total]] / SnapshotTable[[#This Row],[Equity Shares]], "")</f>
        <v/>
      </c>
      <c r="S213" s="269">
        <f>SnapshotTable[[#This Row],[Last Price]] * SnapshotTable[[#This Row],[Equity Shares]]</f>
        <v>0</v>
      </c>
      <c r="T213" s="269">
        <f>SnapshotTable[[#This Row],[Equity Value]] - SnapshotTable[[#This Row],[Equity Basis Total]]</f>
        <v>0</v>
      </c>
      <c r="U213" s="270" t="str">
        <f>IF(SnapshotTable[[#This Row],[Equity Basis Total]] &gt; 0, SnapshotTable[[#This Row],[Equity G/L]] / SnapshotTable[[#This Row],[Equity Basis Total]], "")</f>
        <v/>
      </c>
      <c r="V213" s="268"/>
      <c r="W213" s="268"/>
      <c r="X213" s="4" t="str">
        <f>IF(AND(ISNUMBER(SnapshotTable[[#This Row],[Equity Basis Per Share]]),ISNUMBER(SnapshotTable[[#This Row],[Equity Target]])),SnapshotTable[[#This Row],[Equity Target]]-SnapshotTable[[#This Row],[Equity Basis Per Share]],"")</f>
        <v/>
      </c>
      <c r="Y213" s="4" t="str">
        <f>IF(AND(ISNUMBER(SnapshotTable[[#This Row],[Equity Basis Per Share]]),ISNUMBER(SnapshotTable[[#This Row],[Equity Stop Loss]])),SnapshotTable[[#This Row],[Equity Stop Loss]]-SnapshotTable[[#This Row],[Equity Basis Per Share]],"")</f>
        <v/>
      </c>
      <c r="Z213" s="275" t="str">
        <f>IFERROR( TEXT(SnapshotTable[[#This Row],[Equity Max Gain Per Share]] /ABS( SnapshotTable[[#This Row],[Equity Max Loss Per Share]]),"0.0 " ) &amp; " : 1", "")</f>
        <v/>
      </c>
      <c r="AA213" s="31" t="str">
        <f>IF(ISNUMBER(SnapshotTable[[#This Row],[Equity Max Gain Per Share]]),SnapshotTable[[#This Row],[Equity Max Gain Per Share]] * SnapshotTable[[#This Row],[Equity Shares]],"")</f>
        <v/>
      </c>
      <c r="AB213" s="31" t="str">
        <f>IF(ISNUMBER(SnapshotTable[[#This Row],[Equity Max Loss Per Share]]),SnapshotTable[[#This Row],[Equity Max Loss Per Share]] * SnapshotTable[[#This Row],[Equity Shares]],"")</f>
        <v/>
      </c>
      <c r="AC213" s="150"/>
      <c r="AD213" s="151"/>
      <c r="AE213" s="31">
        <f>(SnapshotTable[[#This Row],[Annual Dividend Per Share]] / 4) * SnapshotTable[[#This Row],[Equity Shares]]</f>
        <v>0</v>
      </c>
      <c r="AF213" s="31">
        <f>SnapshotTable[[#This Row],[Quarterly Div $]] * 4</f>
        <v>0</v>
      </c>
      <c r="AG213" s="7">
        <f>IF(SnapshotTable[[#This Row],[Annual Dividend Per Share]]&gt;0, SnapshotTable[[#This Row],[Annual Dividend Per Share]]  / SnapshotTable[[#This Row],[Last Price]], 0)</f>
        <v>0</v>
      </c>
      <c r="AH213" s="151"/>
      <c r="AI213" s="5">
        <v>60</v>
      </c>
      <c r="AJ213" s="138">
        <v>25.94</v>
      </c>
      <c r="AK213" s="152">
        <f>IF(ISNUMBER( SnapshotTable[[#This Row],[EBF Target]]),(SnapshotTable[[#This Row],[EBF Target]] - SnapshotTable[[#This Row],[Last Price]]) / SnapshotTable[[#This Row],[Last Price]], "")</f>
        <v>1.0477815699658704</v>
      </c>
      <c r="AL213" s="152" t="str">
        <f>IF(AND(SnapshotTable[[#This Row],[Equity Basis Total]] &gt; 0,ISNUMBER( SnapshotTable[[#This Row],[Long Term Target]])), SnapshotTable[[#This Row],[From Basis $]] / SnapshotTable[[#This Row],[Equity Basis Total]], "")</f>
        <v/>
      </c>
      <c r="AM213" s="9">
        <f>IF( AND(SnapshotTable[[#This Row],[Equity Shares]] &gt;0,ISNUMBER( SnapshotTable[[#This Row],[Long Term Target]])),(SnapshotTable[[#This Row],[Equity Shares]] * SnapshotTable[[#This Row],[Long Term Target]]) - SnapshotTable[[#This Row],[Equity Basis Total]],0)</f>
        <v>0</v>
      </c>
      <c r="AN213" s="9">
        <f>IF( AND(SnapshotTable[[#This Row],[Equity Shares]] &gt;0,ISNUMBER( SnapshotTable[[#This Row],[Long Term Target]])),(SnapshotTable[[#This Row],[Equity Shares]]*SnapshotTable[[#This Row],[Long Term Target]]) - SnapshotTable[[#This Row],[Equity Value]],0)</f>
        <v>0</v>
      </c>
      <c r="AO213" s="152">
        <f>IF(AND(ISNUMBER( SnapshotTable[[#This Row],[Long Term Target]]), ISNUMBER(SnapshotTable[[#This Row],[Last Price]])),(SnapshotTable[[#This Row],[Long Term Target]] - SnapshotTable[[#This Row],[Last Price]]) / SnapshotTable[[#This Row],[Last Price]], "")</f>
        <v>-0.11467576791808871</v>
      </c>
      <c r="AP213" s="5"/>
      <c r="AQ213" s="38"/>
      <c r="AR213" s="5"/>
      <c r="AS213" s="38"/>
      <c r="AT213" s="146"/>
      <c r="AU213" s="187" t="str">
        <f>IF(OR(SnapshotTable[[#This Row],[LP No Fill]]="Y",SnapshotTable[[#This Row],[SP Is Filled]],SnapshotTable[[#This Row],[LC Not Filled]]="Y",SnapshotTable[[#This Row],[SC Is Filled]]),"Y","")</f>
        <v/>
      </c>
      <c r="AV213" s="219"/>
      <c r="AW213" s="225"/>
      <c r="AX213" s="220"/>
      <c r="AY213" s="219" t="str">
        <f>IF(SnapshotTable[[#This Row],[Implied Move]]&gt;0, SnapshotTable[[#This Row],[Last Price]]-SnapshotTable[[#This Row],[Implied Move]],"")</f>
        <v/>
      </c>
      <c r="AZ213" s="219" t="str">
        <f>IF(SnapshotTable[[#This Row],[Implied Move]]&gt;0, SnapshotTable[[#This Row],[Last Price]] + SnapshotTable[[#This Row],[Implied Move]],"")</f>
        <v/>
      </c>
      <c r="BA213" s="331"/>
      <c r="BB213" s="347"/>
      <c r="BC21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3" s="351"/>
      <c r="BE213" s="5"/>
      <c r="BF213" s="14"/>
      <c r="BG213" s="13"/>
      <c r="BH213" s="13"/>
      <c r="BI213" s="5"/>
      <c r="BJ213" s="136">
        <f>IF(SnapshotTable[[#This Row],[LP Qty]] &gt; 0, SnapshotTable[[#This Row],[LP Qty]] * SnapshotTable[[#This Row],[LP Book Price]] * 100,0)</f>
        <v>0</v>
      </c>
      <c r="BK213" s="136">
        <f>IF(SnapshotTable[[#This Row],[LP Premium]] &gt; 0, SnapshotTable[[#This Row],[LP Qty]] * SnapshotTable[[#This Row],[LP Strike Price]] * 100,0)</f>
        <v>0</v>
      </c>
      <c r="BL213" s="154"/>
      <c r="BM213" s="385" t="str">
        <f>IF(SnapshotTable[[#This Row],[LP Premium]] &gt; 0,SnapshotTable[[#This Row],[LP Exp Date]]-MAX(SnapshotTable[[#This Row],[LP Book Date]], SnapshotTable[[#This Row],[LP Fill Date]]),"")</f>
        <v/>
      </c>
      <c r="BN213" s="385" t="str">
        <f>IF(ISNUMBER( SnapshotTable[[#This Row],[LP Term]]), SnapshotTable[[#This Row],[LP Exp Date]] - MockToday,"")</f>
        <v/>
      </c>
      <c r="BO213" s="163" t="str">
        <f>IF(AND(SnapshotTable[[#This Row],[LP Exp Date]]&gt;0, SnapshotTable[[#This Row],[LP Strike Price]]&gt;0,SnapshotTable[[#This Row],[LP Qty]]&gt;0,SnapshotTable[[#This Row],[LP Book Date]]&gt;0,SnapshotTable[[#This Row],[LP Book Price]]&gt;0,SnapshotTable[[#This Row],[LP Fill Date]]=0),"Y","")</f>
        <v/>
      </c>
      <c r="BP213" s="31" t="str">
        <f>IF(AND(SnapshotTable[[#This Row],[LP No Fill]]&lt;&gt;"Y",SnapshotTable[[#This Row],[LP Contract Value]]&gt;0, SnapshotTable[[#This Row],[LP Qty]]&gt;0), SnapshotTable[[#This Row],[LP Contract Value]]*SnapshotTable[[#This Row],[LP Qty]]*100,"")</f>
        <v/>
      </c>
      <c r="BQ213" s="13"/>
      <c r="BR213" s="5" t="str">
        <f>IF(SnapshotTable[[#This Row],[SP Exp Date]]&lt;&gt;"",TRUNC(SnapshotTable[[#This Row],[Last Price]]),"")</f>
        <v/>
      </c>
      <c r="BS213" s="36"/>
      <c r="BT213" s="147"/>
      <c r="BU213" s="13"/>
      <c r="BV213" s="5"/>
      <c r="BW213" s="419" t="b">
        <f>AND(ISNUMBER(SnapshotTable[[#This Row],[SP Exp Date]]), ISNUMBER(SnapshotTable[[#This Row],[SP Strike Price]]), ISNUMBER(SnapshotTable[[#This Row],[SP Qty]]), ISNUMBER(SnapshotTable[[#This Row],[SP Book Date]]), ISNUMBER(SnapshotTable[[#This Row],[SP Book Price]]))</f>
        <v>0</v>
      </c>
      <c r="BX213" s="419" t="b">
        <f>AND(SnapshotTable[[#This Row],[SP Is Booked]], NOT(ISBLANK(SnapshotTable[[#This Row],[SP Fill Date]])))</f>
        <v>0</v>
      </c>
      <c r="BY213" s="33">
        <f>IF(SnapshotTable[[#This Row],[SP Is Booked]], SnapshotTable[[#This Row],[SP Qty]] * SnapshotTable[[#This Row],[SP Book Price]] * 100, 0)</f>
        <v>0</v>
      </c>
      <c r="BZ213" s="369"/>
      <c r="CA213" s="368">
        <f>SnapshotTable[[#This Row],[LP Qty]]</f>
        <v>0</v>
      </c>
      <c r="CB213" s="4" t="str">
        <f>IF(SnapshotTable[[#This Row],[SP Is Booked]], SnapshotTable[[#This Row],[SP Strike Price]] - SnapshotTable[[#This Row],[SP Book Price]], "")</f>
        <v/>
      </c>
      <c r="CC213" s="19" t="str">
        <f>IF(SnapshotTable[[#This Row],[SP Is Booked]],SnapshotTable[[#This Row],[SP Exp Date]]-MAX(SnapshotTable[[#This Row],[SP Book Date]], SnapshotTable[[#This Row],[SP Fill Date]]),"")</f>
        <v/>
      </c>
      <c r="CD213" s="7" t="str">
        <f>IF(SnapshotTable[[#This Row],[SP Is Booked]], SnapshotTable[[#This Row],[SP Book Price]]/SnapshotTable[[#This Row],[SP Strike Price]], "")</f>
        <v/>
      </c>
      <c r="CE213" s="7" t="str">
        <f>IF(ISNUMBER(SnapshotTable[[#This Row],[SP ROO Term]]),SnapshotTable[[#This Row],[SP ROO Term]]*(365/SnapshotTable[[#This Row],[SP Term]]),"")</f>
        <v/>
      </c>
      <c r="CF213" s="236">
        <f>SnapshotTable[[#This Row],[LP Strike Price]] * SnapshotTable[[#This Row],[LP Qty]] * 100</f>
        <v>0</v>
      </c>
      <c r="CG213" s="31" t="e">
        <f>IF(ISNUMBER(SnapshotTable[[#This Row],[SP Premium]]), (SnapshotTable[[#This Row],[SP Qty]] * SnapshotTable[[#This Row],[SP Strike Price]]* 100) - SnapshotTable[[#This Row],[LP Protection]], 0)</f>
        <v>#VALUE!</v>
      </c>
      <c r="CH213" s="7" t="str">
        <f>IF(ISNUMBER(SnapshotTable[[#This Row],[SP Break Even]]),-1 * (SnapshotTable[[#This Row],[SP Break Even]] - SnapshotTable[[#This Row],[Last Price]]) / SnapshotTable[[#This Row],[Last Price]], "")</f>
        <v/>
      </c>
      <c r="CI213" s="31">
        <f>IF(AND(ISNUMBER((SnapshotTable[[#This Row],[SP Potential Spend]])), SnapshotTable[[#This Row],[SP Strike Price]] &gt; SnapshotTable[[#This Row],[Last Price]], SnapshotTable[[#This Row],[SP Is Filled]]), SnapshotTable[[#This Row],[SP Potential Spend]] -  SnapshotTable[[#This Row],[LP Max Value]], 0)</f>
        <v>0</v>
      </c>
      <c r="CJ213" s="244"/>
      <c r="CK213" s="31" t="str">
        <f>IF(ISNUMBER(SnapshotTable[[#This Row],[SP Potential Spend]]),IF(ISNUMBER(SnapshotTable[[#This Row],[SP POW]]), SnapshotTable[[#This Row],[SP POW]] * SnapshotTable[[#This Row],[SP Potential Spend]], SnapshotTable[[#This Row],[SP Potential Spend]]), "")</f>
        <v/>
      </c>
      <c r="CL213" s="164" t="e">
        <f>IF(NOT(SnapshotTable[[#This Row],[SP Is Filled]]),(SnapshotTable[[#This Row],[SP Qty]] * SnapshotTable[[#This Row],[SP Strike Price]] * 100) - SnapshotTable[[#This Row],[LP Max Value]],"")</f>
        <v>#VALUE!</v>
      </c>
      <c r="CM213" s="31" t="str">
        <f>IF(SnapshotTable[[#This Row],[SP Actual Spend]]&lt;&gt;0, ((SnapshotTable[[#This Row],[SP Strike Price]]-SnapshotTable[[#This Row],[Last Price]]) *(SnapshotTable[[#This Row],[SP Qty]]*100) - SnapshotTable[[#This Row],[SP Premium]]) * - 1, "")</f>
        <v/>
      </c>
      <c r="CN213" s="78"/>
      <c r="CO213" s="369"/>
      <c r="CP213" s="4" t="str">
        <f>IF(SnapshotTable[[#This Row],[SP Is Filled]], btc_max_buyback_amount(SnapshotTable[[#This Row],[SP Fill Date]],SnapshotTable[[#This Row],[SP Exp Date]], SnapshotTable[[#This Row],[SP Book Price]]),"")</f>
        <v/>
      </c>
      <c r="CQ213" s="78"/>
      <c r="CR21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3" s="155" t="str">
        <f>IF(SnapshotTable[[#This Row],[SP Is Filled]], btc_next_cutoff_date(SnapshotTable[[#This Row],[SP Fill Date]],SnapshotTable[[#This Row],[SP Exp Date]]),"")</f>
        <v/>
      </c>
      <c r="CT213" s="235" t="str" cm="1">
        <f t="array" ref="CT213">IF(SnapshotTable[[#This Row],[SP Is Filled]], btc_should_buy_back(SnapshotTable[[#This Row],[SP Fill Date]], SnapshotTable[[#This Row],[SP Exp Date]], SnapshotTable[[#This Row],[SP Book Price]], SnapshotTable[[#This Row],[SP Current Ask]], MockToday, SnapshotTable[[#This Row],[SP Buyback Override]]),"")</f>
        <v/>
      </c>
      <c r="CU213" s="143"/>
      <c r="CV213" s="235"/>
      <c r="CW213" s="378" t="str">
        <f>IF(ISNUMBER( SnapshotTable[[#This Row],[SP Term]]), SnapshotTable[[#This Row],[SP Exp Date]] - MockToday,"")</f>
        <v/>
      </c>
      <c r="CX213" s="31" t="str">
        <f>IF(SnapshotTable[[#This Row],[SP Is Filled]],SnapshotTable[[#This Row],[SP Buyback Price to Use]] * 100 * SnapshotTable[[#This Row],[SP Qty]], "")</f>
        <v/>
      </c>
      <c r="CY213" s="4" t="str">
        <f>IF(ISNUMBER(SnapshotTable[[#This Row],[SP Strike Price]]), SnapshotTable[[#This Row],[SP Strike Price]] * (1 - SP_MaxLoss_StrikePct), "")</f>
        <v/>
      </c>
      <c r="CZ213" s="31" t="str">
        <f>IF(ISNUMBER(SnapshotTable[[#This Row],[SP Strike  Stop Per Share]]),SnapshotTable[[#This Row],[SP Premium]] - ((SnapshotTable[[#This Row],[SP Strike Price]]-SnapshotTable[[#This Row],[SP Strike  Stop Per Share]]) *(SnapshotTable[[#This Row],[SP Qty]] * 100)),"")</f>
        <v/>
      </c>
      <c r="DA213" s="4" t="str">
        <f>IF(AND(ISNUMBER(SnapshotTable[[#This Row],[SP Premium]]),SnapshotTable[[#This Row],[SP Premium]]&gt;0), SnapshotTable[[#This Row],[SP Book Price]] * (1 + SP_MaxLoss_OptionPct), "")</f>
        <v/>
      </c>
      <c r="DB213" s="31" t="str">
        <f>IF(ISNUMBER(SnapshotTable[[#This Row],[SP Option  Stop Contract]]),(SnapshotTable[[#This Row],[SP Option  Stop Contract]] *(SnapshotTable[[#This Row],[SP Qty]] * 100) - SnapshotTable[[#This Row],[SP Premium]]),"")</f>
        <v/>
      </c>
      <c r="DC213" s="4"/>
      <c r="DD213" s="4"/>
      <c r="DE213" s="4" t="str">
        <f>IF(AND(SnapshotTable[[#This Row],[SP Qty]]&gt;0, SnapshotTable[[#This Row],[SP Stop To Use]]&gt;0),SnapshotTable[[#This Row],[SP Premium]] - ( SnapshotTable[[#This Row],[SP Qty]] * SnapshotTable[[#This Row],[SP Stop To Use]] * 100), "")</f>
        <v/>
      </c>
      <c r="DF213" s="31" t="str">
        <f>IF(AND(SnapshotTable[[#This Row],[SP Qty]]&gt;0,SnapshotTable[[#This Row],[SP Current Ask]]&gt;0), SnapshotTable[[#This Row],[SP Qty]] * SnapshotTable[[#This Row],[SP Current Ask]] * -100, "")</f>
        <v/>
      </c>
      <c r="DG213" s="31" t="str">
        <f>IF(ISNUMBER((SnapshotTable[[#This Row],[SP Total Value]])), SnapshotTable[[#This Row],[SP Premium]] + SnapshotTable[[#This Row],[SP Total Value]], "")</f>
        <v/>
      </c>
      <c r="DH213" s="294" t="str">
        <f>IF(ISNUMBER((SnapshotTable[[#This Row],[SP Total Value]])), SnapshotTable[[#This Row],[SP Gain Loss]] / SnapshotTable[[#This Row],[SP Premium]], "")</f>
        <v/>
      </c>
      <c r="DI213" s="406"/>
      <c r="DJ213" s="138"/>
      <c r="DK213" s="148"/>
      <c r="DL213" s="13"/>
      <c r="DM213" s="13"/>
      <c r="DO213" s="31">
        <f>IF(SnapshotTable[[#This Row],[LC Symbol Count]]=1, SnapshotTable[[#This Row],[LC Qty]] * SnapshotTable[[#This Row],[LC Book Price]] * 100, 0)</f>
        <v>0</v>
      </c>
      <c r="DP213" s="163" t="str">
        <f>IF(AND(SnapshotTable[[#This Row],[LC Exp Date]]&gt;0, SnapshotTable[[#This Row],[LC Strike Price]]&gt;0,SnapshotTable[[#This Row],[LC Qty]]&gt;0,SnapshotTable[[#This Row],[LC Book Date]]&gt;0,SnapshotTable[[#This Row],[LC Book Price]]&gt;0,SnapshotTable[[#This Row],[LC Fill Date]]=0),"Y","")</f>
        <v/>
      </c>
      <c r="DQ213" s="386" t="str">
        <f>IF(SnapshotTable[[#This Row],[LC Premium]] &gt; 0,SnapshotTable[[#This Row],[LC Exp Date]]-MAX(SnapshotTable[[#This Row],[LC Book Date]], SnapshotTable[[#This Row],[LC Fill Date]]),"")</f>
        <v/>
      </c>
      <c r="DR213" s="386" t="str">
        <f>IF(ISNUMBER(SnapshotTable[[#This Row],[LC Term]]), SnapshotTable[[#This Row],[LC Exp Date]] - MockToday, "")</f>
        <v/>
      </c>
      <c r="DS213" s="234" t="str">
        <f>IF(SnapshotTable[[#This Row],[LC Premium]]&gt;0,SnapshotTable[[#This Row],[LC Strike Price]] + SnapshotTable[[#This Row],[LC Book Price]],"")</f>
        <v/>
      </c>
      <c r="DU213" s="9" t="str">
        <f>IF(AND(SnapshotTable[[#This Row],[LC Symbol Count]]&gt;0, SnapshotTable[[#This Row],[LC Contract Value]]&gt;0), SnapshotTable[[#This Row],[LC Contract Value]] * SnapshotTable[[#This Row],[LC Qty]] * 100, "")</f>
        <v/>
      </c>
      <c r="DV213" s="9" t="str">
        <f>IF(AND(ISNUMBER(SnapshotTable[[#This Row],[LC Total Value]]), SnapshotTable[[#This Row],[LC Not Filled]]&lt;&gt;"Y"), SnapshotTable[[#This Row],[LC Total Value]]-SnapshotTable[[#This Row],[LC Premium]],"")</f>
        <v/>
      </c>
      <c r="DW213" s="240" t="str">
        <f>IF(ISNUMBER(SnapshotTable[[#This Row],[LC Actual Gain Loss]]), SnapshotTable[[#This Row],[LC Actual Gain Loss]] / SnapshotTable[[#This Row],[LC Premium]],"")</f>
        <v/>
      </c>
      <c r="DX213" s="284" t="str">
        <f>IF(ISNUMBER(SnapshotTable[[#This Row],[LC Book Price]]),SnapshotTable[[#This Row],[LC Book Price]] * 1.5,"")</f>
        <v/>
      </c>
      <c r="DY213" s="265" t="str">
        <f>IF(SnapshotTable[[#This Row],[LC Premium]]&gt;0, SnapshotTable[[#This Row],[LC Next Target]] * SnapshotTable[[#This Row],[LC Qty]] * 100,"")</f>
        <v/>
      </c>
      <c r="DZ213" s="265" t="str">
        <f>IF(ISNUMBER(SnapshotTable[[#This Row],[LC Target Gross]]), SnapshotTable[[#This Row],[LC Target Gross]] - SnapshotTable[[#This Row],[LC Premium]], "")</f>
        <v/>
      </c>
      <c r="EA213" s="305" t="str">
        <f>IF(ISNUMBER(SnapshotTable[[#This Row],[LC Target Gain Loss]]), SnapshotTable[[#This Row],[LC Target Gain Loss]]/SnapshotTable[[#This Row],[LC Premium]], "")</f>
        <v/>
      </c>
      <c r="EB213" s="262"/>
      <c r="EC213" s="283" t="str">
        <f>IF(SnapshotTable[[#This Row],[LC Premium]]&gt;0, SnapshotTable[[#This Row],[LC Book Price]] * (1 - LC_StopLoss_Pct),"")</f>
        <v/>
      </c>
      <c r="ED213" s="284"/>
      <c r="EE213" s="283" t="str">
        <f>IF(ISNUMBER(SnapshotTable[[#This Row],[LC Contract Value]]),IF(ISNUMBER(SnapshotTable[[#This Row],[LC Stop Loss Override]]), SnapshotTable[[#This Row],[LC Stop Loss Override]],SnapshotTable[[#This Row],[LC Stop Loss Calc Target]]),"")</f>
        <v/>
      </c>
      <c r="EF213" s="31" t="str">
        <f>IF(ISNUMBER(SnapshotTable[[#This Row],[LC Stop  To Use]]), (SnapshotTable[[#This Row],[LC Stop  To Use]] * SnapshotTable[[#This Row],[LC Qty]] * 100),"")</f>
        <v/>
      </c>
      <c r="EG213" s="9" t="str">
        <f>IF(ISNUMBER(SnapshotTable[[#This Row],[LC Total Value]]),SnapshotTable[[#This Row],[LC Stop Loss Amount]] - SnapshotTable[[#This Row],[LC Premium]],"")</f>
        <v/>
      </c>
      <c r="EH213" s="9">
        <f>IF(ISNUMBER(SnapshotTable[[#This Row],[LC Premium]]), SnapshotTable[[#This Row],[LC Qty]] * 100 * SnapshotTable[[#This Row],[LC Strike Price]], "")</f>
        <v>0</v>
      </c>
      <c r="EI213" s="240" t="str">
        <f>IF(AND(ISNUMBER(SnapshotTable[[#This Row],[LC Total Value]]),SnapshotTable[[#This Row],[LC Total Value]]&gt;0),SnapshotTable[[#This Row],[LC Stop Gain Loss]]  / SnapshotTable[[#This Row],[LC Premium]],"")</f>
        <v/>
      </c>
      <c r="EJ213" s="35">
        <f>IF(ISNUMBER(SnapshotTable[[#This Row],[Equity Shares]]),TRUNC(SnapshotTable[[#This Row],[Equity Shares]] / 100),0) + SnapshotTable[[#This Row],[LC Qty]]</f>
        <v>0</v>
      </c>
      <c r="EK213" s="147"/>
      <c r="EL213" s="138" t="str">
        <f>IF(SnapshotTable[[#This Row],[SC Exp Date]]&lt;&gt;"",TRUNC(SnapshotTable[[#This Row],[Last Price]]),"")</f>
        <v/>
      </c>
      <c r="EM213" s="148"/>
      <c r="EN213" s="147"/>
      <c r="EO213" s="147"/>
      <c r="EP213" s="138"/>
      <c r="EQ213" s="419" t="b">
        <f>AND(ISNUMBER(SnapshotTable[[#This Row],[SC Exp Date]]), ISNUMBER(SnapshotTable[[#This Row],[SC Strike Price]]), ISNUMBER(SnapshotTable[[#This Row],[SC Qty]]), ISNUMBER(SnapshotTable[[#This Row],[SC Book Date]]), ISNUMBER(SnapshotTable[[#This Row],[SC Book Price]]))</f>
        <v>0</v>
      </c>
      <c r="ER213" s="419" t="b">
        <f>AND(SnapshotTable[[#This Row],[SC Is Booked]], NOT(ISBLANK(SnapshotTable[[#This Row],[SC Fill Date]])))</f>
        <v>0</v>
      </c>
      <c r="ES213" s="370"/>
      <c r="ET213" s="34" t="str">
        <f>IF(AND(ISNUMBER(SnapshotTable[[#This Row],[SC Exp Date]]), ISNUMBER(SnapshotTable[[#This Row],[SC Book Date]])), SnapshotTable[[#This Row],[SC Exp Date]] - MAX(SnapshotTable[[#This Row],[SC Book Date]], SnapshotTable[[#This Row],[SC Fill Date]]) + 1, "")</f>
        <v/>
      </c>
      <c r="EU213" s="34" t="str">
        <f>IF(ISNUMBER(SnapshotTable[[#This Row],[SC Term]]), SnapshotTable[[#This Row],[SC Exp Date]]- MockToday, "")</f>
        <v/>
      </c>
      <c r="EV213" s="31">
        <f>IF(SnapshotTable[[#This Row],[SC Is Booked]], SnapshotTable[[#This Row],[SC Qty]] * SnapshotTable[[#This Row],[SC Book Price]] * 100, 0)</f>
        <v>0</v>
      </c>
      <c r="EW213" s="4" t="str">
        <f>IF(AND(ISNUMBER(SnapshotTable[[#This Row],[Last Price]]), ISNUMBER( SnapshotTable[[#This Row],[SC Book Price]])), SnapshotTable[[#This Row],[Last Price]] - SnapshotTable[[#This Row],[SC Book Price]],"")</f>
        <v/>
      </c>
      <c r="EX213" s="234" t="str">
        <f>IF(SnapshotTable[[#This Row],[SC Is Booked]],IF(SnapshotTable[[#This Row],[SC Intrinsic Value]] &gt; 0, SnapshotTable[[#This Row],[SC Strike Price]], SnapshotTable[[#This Row],[Last Price]]), "")</f>
        <v/>
      </c>
      <c r="EY213" s="4">
        <f>IF(SnapshotTable[[#This Row],[SC Is Booked]], (MinimumPremiumRequired * SnapshotTable[[#This Row],[SC Basis]] * SnapshotTable[[#This Row],[SC Term]]), 0)</f>
        <v>0</v>
      </c>
      <c r="EZ213" s="283"/>
      <c r="FA213" s="218"/>
      <c r="FB213" s="370"/>
      <c r="FC213" s="4">
        <f>IF(SnapshotTable[[#This Row],[SC Is Filled]], btc_max_buyback_amount(SnapshotTable[[#This Row],[SC Fill Date]],SnapshotTable[[#This Row],[SC Exp Date]], SnapshotTable[[#This Row],[SC Book Price]]),0)</f>
        <v>0</v>
      </c>
      <c r="FD213" s="5"/>
      <c r="FE213" s="144" t="str">
        <f>IF(SnapshotTable[[#This Row],[SC Is Filled]], btc_next_cutoff_date(SnapshotTable[[#This Row],[SC Fill Date]],SnapshotTable[[#This Row],[SC Exp Date]]),"")</f>
        <v/>
      </c>
      <c r="FF213" s="4" t="str" cm="1">
        <f t="array" ref="FF213">IF(SnapshotTable[[#This Row],[SC Is Filled]], btc_should_buy_back(SnapshotTable[[#This Row],[SC Fill Date]], SnapshotTable[[#This Row],[SC Exp Date]], SnapshotTable[[#This Row],[SC Book Price]], SnapshotTable[[#This Row],[SC Current Ask]], MockToday, SnapshotTable[[#This Row],[SC Buyback Override]]),"")</f>
        <v/>
      </c>
      <c r="FG213" s="4">
        <f>IF(SnapshotTable[[#This Row],[SC Is Filled]], MAX(0,SnapshotTable[[#This Row],[Last Price]]  - SnapshotTable[[#This Row],[SC Strike Price]]), 0)</f>
        <v>0</v>
      </c>
      <c r="FH213" s="382">
        <f>IF(SnapshotTable[[#This Row],[SC Is Filled]], IF(ISNUMBER(SnapshotTable[[#This Row],[SC Current Ask]]), SnapshotTable[[#This Row],[SC Current Ask]], SnapshotTable[[#This Row],[SC Book Price]]) - SnapshotTable[[#This Row],[SC Intrinsic Value]], 0)</f>
        <v>0</v>
      </c>
      <c r="FI213" s="143"/>
      <c r="FJ213" s="32" t="str">
        <f>IF(SnapshotTable[[#This Row],[SC Is Filled]],100 * SnapshotTable[[#This Row],[SC Qty]] * IF(ISNUMBER(SnapshotTable[[#This Row],[SC Buyback Override]]), SnapshotTable[[#This Row],[SC Buyback Override]], SnapshotTable[[#This Row],[SC Current Ask]]), "")</f>
        <v/>
      </c>
      <c r="FK213" s="250" t="str">
        <f>IF(SnapshotTable[[#This Row],[SC Time Val]]&gt;0, SnapshotTable[[#This Row],[SC Time Val]] / SnapshotTable[[#This Row],[Last Price]],"")</f>
        <v/>
      </c>
      <c r="FL213" s="302" t="str">
        <f>IF(SnapshotTable[[#This Row],[SC Is Booked]], ((SnapshotTable[[#This Row],[Last Price]] -SnapshotTable[[#This Row],[SC Strike Price]]) / SnapshotTable[[#This Row],[Last Price]]) * -1, "")</f>
        <v/>
      </c>
      <c r="FM213" s="157" t="str">
        <f>IF(SnapshotTable[[#This Row],[SC Is Booked]],  (SnapshotTable[[#This Row],[SC Qty]] * 100 * SnapshotTable[[#This Row],[SC Strike Price]]) - SnapshotTable[[#This Row],[SC Current Ask]], "")</f>
        <v/>
      </c>
      <c r="FN21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3" s="31" t="str">
        <f>IF(AND(ISNUMBER(SnapshotTable[[#This Row],[SC Exercise Gross]]), ISNUMBER(SnapshotTable[[#This Row],[Equity Basis Per Share]] )), SnapshotTable[[#This Row],[SC Exercise Gross]] - SnapshotTable[[#This Row],[Equity Basis Total]] +  SnapshotTable[[#This Row],[SC Premium]], "")</f>
        <v/>
      </c>
      <c r="FP213" s="5" t="str">
        <f>IF(ISNUMBER(SnapshotTable[[#This Row],[SC Exercise Gross]]), (SnapshotTable[[#This Row],[SC Exercise Gross]]) / (SnapshotTable[[#This Row],[SC Qty]] * 100), "")</f>
        <v/>
      </c>
      <c r="FQ213" s="27" t="str">
        <f>IF(SnapshotTable[[#This Row],[SC Is Booked]],SnapshotTable[[#This Row],[SC Time Val]] /SnapshotTable[[#This Row],[SC Basis]], "")</f>
        <v/>
      </c>
      <c r="FR213" s="27" t="str" cm="1">
        <f t="array" ref="FR213">IF(AND(ISNUMBER(SnapshotTable[[#This Row],[SC Term]]),ISNUMBER(SnapshotTable[[#This Row],[SC Simple ROO]])), EllmanAnnualize(SnapshotTable[[#This Row],[SC DTE]], SnapshotTable[[#This Row],[SC Simple ROO]] ),"")</f>
        <v/>
      </c>
      <c r="FS213" s="4" t="e">
        <f>IF(SnapshotTable[[#This Row],[SC Strike Price]] &gt; SnapshotTable[[#This Row],[Last Price]], SnapshotTable[[#This Row],[SC Strike Price]] - SnapshotTable[[#This Row],[Last Price]],0)</f>
        <v>#VALUE!</v>
      </c>
      <c r="FT213" s="27" t="e">
        <f>IF(AND(ISNUMBER(SnapshotTable[[#This Row],[SC Upside Potential]]), SnapshotTable[[#This Row],[SC Upside Potential]] &gt; 0),(SnapshotTable[[#This Row],[SC Upside Potential]]/ SnapshotTable[[#This Row],[ACB]]),"")</f>
        <v>#VALUE!</v>
      </c>
      <c r="FU213" s="333" t="str">
        <f>IF(SnapshotTable[[#This Row],[SC Intrinsic Value]] &gt; 0,SnapshotTable[[#This Row],[SC Intrinsic Value]],"")</f>
        <v/>
      </c>
      <c r="FV213" s="27" t="str">
        <f>IF(AND( ISNUMBER( SnapshotTable[[#This Row],[ACB]]),ISNUMBER(SnapshotTable[[#This Row],[SC Downside Protect]])),SnapshotTable[[#This Row],[SC Downside Protect]] / SnapshotTable[[#This Row],[ACB]],"")</f>
        <v/>
      </c>
      <c r="FW213" s="236" t="str">
        <f>IF(AND(ISNUMBER(SnapshotTable[[#This Row],[SC Simple ROO]]),SnapshotTable[[#This Row],[SC Simple ROO]] &gt; 0), SnapshotTable[[#This Row],[SC Premium]] + (SnapshotTable[[#This Row],[SC Qty]] * SnapshotTable[[#This Row],[SC Upside Potential]]), "")</f>
        <v/>
      </c>
      <c r="FX213" s="302" t="str" cm="1">
        <f t="array" ref="FX213">IF(ISNUMBER(SnapshotTable[[#This Row],[SC Max Dollars]]), annualize(SnapshotTable[[#This Row],[SC Term]],(SnapshotTable[[#This Row],[SC Max Dollars]]/SnapshotTable[[#This Row],[SC Basis]])),"")</f>
        <v/>
      </c>
      <c r="FY213" s="236" t="str">
        <f>IF(AND(SnapshotTable[[#This Row],[SC Qty]]&gt;0,SnapshotTable[[#This Row],[SC Current Ask]]&gt;0), SnapshotTable[[#This Row],[SC Qty]] * SnapshotTable[[#This Row],[SC Current Ask]] * -100, "")</f>
        <v/>
      </c>
      <c r="FZ213" s="31" t="str">
        <f>IF(ISNUMBER((SnapshotTable[[#This Row],[SC Current Value]])), SnapshotTable[[#This Row],[SC Premium]] + SnapshotTable[[#This Row],[SC Current Value]], "")</f>
        <v/>
      </c>
      <c r="GA213" s="294" t="str">
        <f>IFERROR( IF(ISNUMBER((SnapshotTable[[#This Row],[SC Current Value]])), SnapshotTable[[#This Row],[SC Gain Loss]] / SnapshotTable[[#This Row],[SC Premium]], ""), "")</f>
        <v/>
      </c>
      <c r="GB213" s="42">
        <f>SnapshotTable[[#This Row],[Equity Shares]] * SaleSharesToConsiderPercentage</f>
        <v>0</v>
      </c>
      <c r="GC213" s="40">
        <f>SnapshotTable[[#This Row],[Long Term Target]] * SellingPriceToConsiderBasedOnTargetPercentage</f>
        <v>24.643000000000001</v>
      </c>
      <c r="GD213" s="40">
        <f>SnapshotTable[[#This Row],[Last Price]] * (1+ SellingPriceToConsiderBasedOnTargetPercentage)</f>
        <v>57.134999999999998</v>
      </c>
      <c r="GE213" s="41"/>
      <c r="GF213" s="40"/>
      <c r="GG213" s="31">
        <f>SnapshotTable[[#This Row],[Booked Sale Shares]] * SnapshotTable[[#This Row],[Booked Sale Price]]</f>
        <v>0</v>
      </c>
      <c r="GH213" s="31" t="str">
        <f>IF(SnapshotTable[[#This Row],[Equity Basis Total]] &gt; 0, SnapshotTable[[#This Row],[Equity Basis Per Share]] * SnapshotTable[[#This Row],[Booked Sale Shares]], "")</f>
        <v/>
      </c>
      <c r="GI213" s="31">
        <f>IF(SnapshotTable[[#This Row],[Sale Proceeds]]&gt;0, SnapshotTable[[#This Row],[Sale Proceeds]] - SnapshotTable[[#This Row],[Sale Basis]], 0)</f>
        <v>0</v>
      </c>
      <c r="GJ213" s="27" t="str">
        <f>IF(SnapshotTable[[#This Row],[Sale G/L]]&gt;0, SnapshotTable[[#This Row],[Sale G/L]] / SnapshotTable[[#This Row],[Sale Basis]], IF(ISNUMBER(SnapshotTable[[#This Row],[SC Exercise P&amp;L (TAX)]]), SnapshotTable[[#This Row],[SC Exercise P&amp;L (TAX)]] / SnapshotTable[[#This Row],[SC Basis]], ""))</f>
        <v/>
      </c>
      <c r="GK213" s="27" t="s">
        <v>728</v>
      </c>
      <c r="GL213" s="43" t="str">
        <f>IF(AND(SnapshotTable[[#This Row],[LP Exp Date]]&gt;0,SnapshotTable[[#This Row],[LP Strike Price]]&gt;0), [1]!ToOptionSymbol(SnapshotTable[[#This Row],[Symbol]], SnapshotTable[[#This Row],[LP Strike Price]],SnapshotTable[[#This Row],[LP Exp Date]],1), "")</f>
        <v/>
      </c>
      <c r="GM213" s="30" t="str">
        <f>IF(LEN(SnapshotTable[[#This Row],[LP Symbol]])&gt;0, 1, "")</f>
        <v/>
      </c>
      <c r="GN213" s="43" t="str">
        <f>IF(AND(SnapshotTable[[#This Row],[SP Exp Date]]&gt;0,SnapshotTable[[#This Row],[SP Strike Price]]&gt;0), [1]!ToOptionSymbol(SnapshotTable[[#This Row],[Symbol]], SnapshotTable[[#This Row],[SP Strike Price]],SnapshotTable[[#This Row],[SP Exp Date]],1), "")</f>
        <v/>
      </c>
      <c r="GO213" s="30" t="str">
        <f>IF(LEN(SnapshotTable[[#This Row],[SP Symbol]])&gt;0, 1, "")</f>
        <v/>
      </c>
      <c r="GP213" s="43" t="str">
        <f>IF(AND(SnapshotTable[[#This Row],[LC Exp Date]]&gt;0,SnapshotTable[[#This Row],[LC Strike Price]]&gt;0), [1]!ToOptionSymbol(SnapshotTable[[#This Row],[Symbol]], SnapshotTable[[#This Row],[LC Strike Price]],SnapshotTable[[#This Row],[LC Exp Date]],0), "")</f>
        <v/>
      </c>
      <c r="GQ213" s="30" t="str">
        <f>IF(LEN(SnapshotTable[[#This Row],[LC Symbol]])&gt;0, 1, "")</f>
        <v/>
      </c>
      <c r="GR213" s="43" t="str">
        <f>IF(AND(SnapshotTable[[#This Row],[SC Exp Date]]&gt;0,SnapshotTable[[#This Row],[SC Strike Price]]&gt;0), [1]!ToOptionSymbol(SnapshotTable[[#This Row],[Symbol]], SnapshotTable[[#This Row],[SC Strike Price]],SnapshotTable[[#This Row],[SC Exp Date]],0), "")</f>
        <v/>
      </c>
      <c r="GS213" s="30" t="str">
        <f>IF(LEN(SnapshotTable[[#This Row],[SC Symbol]])&gt;0, 1, "")</f>
        <v/>
      </c>
      <c r="GT213" s="29" t="str">
        <f>IF(COUNT(SnapshotTable[[#This Row],[LP Symbol Count]],SnapshotTable[[#This Row],[SP Symbol Count]],SnapshotTable[[#This Row],[LC Symbol Count]],SnapshotTable[[#This Row],[SC Symbol Count]])&gt;0, "Y", "")</f>
        <v/>
      </c>
      <c r="GU21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3" s="231" t="e">
        <f>MAX(SnapshotTable[[#This Row],[Equity Basis Total]],SnapshotTable[[#This Row],[Equity Value]]) + (SnapshotTable[[#This Row],[SP Potential Spend]]- SnapshotTable[[#This Row],[SP Premium]] + SnapshotTable[[#This Row],[LP Premium]])+ (SnapshotTable[[#This Row],[LC Premium]] - SnapshotTable[[#This Row],[SC Premium]])</f>
        <v>#VALUE!</v>
      </c>
      <c r="GW213" s="139" t="e">
        <f>IF(AND(SnapshotTable[[#This Row],[Exposure]] &lt;&gt; 0),SnapshotTable[[#This Row],[Exposure]] / SnapshotTable[[#Totals],[Exposure]], "")</f>
        <v>#VALUE!</v>
      </c>
      <c r="GX213" s="5"/>
      <c r="HE213" s="268"/>
      <c r="HF213" s="268"/>
      <c r="HK213" s="1"/>
      <c r="HL213" s="1"/>
      <c r="HM213" s="1"/>
      <c r="HN213" s="1"/>
      <c r="HO213" s="1"/>
      <c r="HP213" s="1"/>
    </row>
    <row r="214" spans="2:224" ht="12.75" hidden="1" customHeight="1" x14ac:dyDescent="0.25">
      <c r="B214" s="12" t="s">
        <v>1176</v>
      </c>
      <c r="C214" s="422">
        <v>123.75</v>
      </c>
      <c r="D214" s="208"/>
      <c r="E214" s="39">
        <f>SnapshotTable[[#This Row],[Last Price]]*(1 -CrashDiscount)</f>
        <v>105.1875</v>
      </c>
      <c r="F214" s="325" t="s">
        <v>1177</v>
      </c>
      <c r="G214" s="325" t="s">
        <v>4</v>
      </c>
      <c r="H214" s="149"/>
      <c r="I214" s="372"/>
      <c r="J214" s="352"/>
      <c r="K214" s="353"/>
      <c r="L214" s="327"/>
      <c r="M214" s="140"/>
      <c r="N214" s="140"/>
      <c r="O214" s="140"/>
      <c r="P214" s="328"/>
      <c r="Q214" s="354"/>
      <c r="R214" s="4" t="str">
        <f>IF(SnapshotTable[[#This Row],[Equity Basis Total]] &gt; 0, SnapshotTable[[#This Row],[Equity Basis Total]] / SnapshotTable[[#This Row],[Equity Shares]], "")</f>
        <v/>
      </c>
      <c r="S214" s="329">
        <f>SnapshotTable[[#This Row],[Last Price]] * SnapshotTable[[#This Row],[Equity Shares]]</f>
        <v>0</v>
      </c>
      <c r="T214" s="269">
        <f>SnapshotTable[[#This Row],[Equity Value]] - SnapshotTable[[#This Row],[Equity Basis Total]]</f>
        <v>0</v>
      </c>
      <c r="U214" s="270" t="str">
        <f>IF(SnapshotTable[[#This Row],[Equity Basis Total]] &gt; 0, SnapshotTable[[#This Row],[Equity G/L]] / SnapshotTable[[#This Row],[Equity Basis Total]], "")</f>
        <v/>
      </c>
      <c r="V214" s="268"/>
      <c r="W214" s="268"/>
      <c r="X214" s="4" t="str">
        <f>IF(AND(ISNUMBER(SnapshotTable[[#This Row],[Equity Basis Per Share]]),ISNUMBER(SnapshotTable[[#This Row],[Equity Target]])),SnapshotTable[[#This Row],[Equity Target]]-SnapshotTable[[#This Row],[Equity Basis Per Share]],"")</f>
        <v/>
      </c>
      <c r="Y214" s="4" t="str">
        <f>IF(AND(ISNUMBER(SnapshotTable[[#This Row],[Equity Basis Per Share]]),ISNUMBER(SnapshotTable[[#This Row],[Equity Stop Loss]])),SnapshotTable[[#This Row],[Equity Stop Loss]]-SnapshotTable[[#This Row],[Equity Basis Per Share]],"")</f>
        <v/>
      </c>
      <c r="Z214" s="275" t="str">
        <f>IFERROR( TEXT(SnapshotTable[[#This Row],[Equity Max Gain Per Share]] /ABS( SnapshotTable[[#This Row],[Equity Max Loss Per Share]]),"0.0 " ) &amp; " : 1", "")</f>
        <v/>
      </c>
      <c r="AA214" s="31" t="str">
        <f>IF(ISNUMBER(SnapshotTable[[#This Row],[Equity Max Gain Per Share]]),SnapshotTable[[#This Row],[Equity Max Gain Per Share]] * SnapshotTable[[#This Row],[Equity Shares]],"")</f>
        <v/>
      </c>
      <c r="AB214" s="31" t="str">
        <f>IF(ISNUMBER(SnapshotTable[[#This Row],[Equity Max Loss Per Share]]),SnapshotTable[[#This Row],[Equity Max Loss Per Share]] * SnapshotTable[[#This Row],[Equity Shares]],"")</f>
        <v/>
      </c>
      <c r="AC214" s="150"/>
      <c r="AD214" s="350"/>
      <c r="AE214" s="31">
        <f>(SnapshotTable[[#This Row],[Annual Dividend Per Share]] / 4) * SnapshotTable[[#This Row],[Equity Shares]]</f>
        <v>0</v>
      </c>
      <c r="AF214" s="31">
        <f>SnapshotTable[[#This Row],[Quarterly Div $]] * 4</f>
        <v>0</v>
      </c>
      <c r="AG214" s="7">
        <f>IF(SnapshotTable[[#This Row],[Annual Dividend Per Share]]&gt;0, SnapshotTable[[#This Row],[Annual Dividend Per Share]]  / SnapshotTable[[#This Row],[Last Price]], 0)</f>
        <v>0</v>
      </c>
      <c r="AH214" s="350"/>
      <c r="AI214" s="330"/>
      <c r="AJ214" s="138"/>
      <c r="AK214" s="152" t="str">
        <f>IF(ISNUMBER( SnapshotTable[[#This Row],[EBF Target]]),(SnapshotTable[[#This Row],[EBF Target]] - SnapshotTable[[#This Row],[Last Price]]) / SnapshotTable[[#This Row],[Last Price]], "")</f>
        <v/>
      </c>
      <c r="AL214" s="152" t="str">
        <f>IF(AND(SnapshotTable[[#This Row],[Equity Basis Total]] &gt; 0,ISNUMBER( SnapshotTable[[#This Row],[Long Term Target]])), SnapshotTable[[#This Row],[From Basis $]] / SnapshotTable[[#This Row],[Equity Basis Total]], "")</f>
        <v/>
      </c>
      <c r="AM214" s="9">
        <f>IF( AND(SnapshotTable[[#This Row],[Equity Shares]] &gt;0,ISNUMBER( SnapshotTable[[#This Row],[Long Term Target]])),(SnapshotTable[[#This Row],[Equity Shares]] * SnapshotTable[[#This Row],[Long Term Target]]) - SnapshotTable[[#This Row],[Equity Basis Total]],0)</f>
        <v>0</v>
      </c>
      <c r="AN214" s="9">
        <f>IF( AND(SnapshotTable[[#This Row],[Equity Shares]] &gt;0,ISNUMBER( SnapshotTable[[#This Row],[Long Term Target]])),(SnapshotTable[[#This Row],[Equity Shares]]*SnapshotTable[[#This Row],[Long Term Target]]) - SnapshotTable[[#This Row],[Equity Value]],0)</f>
        <v>0</v>
      </c>
      <c r="AO214" s="152" t="str">
        <f>IF(AND(ISNUMBER( SnapshotTable[[#This Row],[Long Term Target]]), ISNUMBER(SnapshotTable[[#This Row],[Last Price]])),(SnapshotTable[[#This Row],[Long Term Target]] - SnapshotTable[[#This Row],[Last Price]]) / SnapshotTable[[#This Row],[Last Price]], "")</f>
        <v/>
      </c>
      <c r="AP214" s="330"/>
      <c r="AQ214" s="388"/>
      <c r="AR214" s="330"/>
      <c r="AS214" s="388"/>
      <c r="AT214" s="389"/>
      <c r="AU214" s="187" t="str">
        <f>IF(OR(SnapshotTable[[#This Row],[LP No Fill]]="Y",SnapshotTable[[#This Row],[SP Is Filled]],SnapshotTable[[#This Row],[LC Not Filled]]="Y",SnapshotTable[[#This Row],[SC Is Filled]]),"Y","")</f>
        <v/>
      </c>
      <c r="AV214" s="338"/>
      <c r="AW214" s="339"/>
      <c r="AX214" s="220"/>
      <c r="AY214" s="219" t="str">
        <f>IF(SnapshotTable[[#This Row],[Implied Move]]&gt;0, SnapshotTable[[#This Row],[Last Price]]-SnapshotTable[[#This Row],[Implied Move]],"")</f>
        <v/>
      </c>
      <c r="AZ214" s="219" t="str">
        <f>IF(SnapshotTable[[#This Row],[Implied Move]]&gt;0, SnapshotTable[[#This Row],[Last Price]] + SnapshotTable[[#This Row],[Implied Move]],"")</f>
        <v/>
      </c>
      <c r="BA214" s="331"/>
      <c r="BB214" s="347"/>
      <c r="BC21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4" s="351"/>
      <c r="BE214" s="390"/>
      <c r="BF214" s="391"/>
      <c r="BG214" s="392"/>
      <c r="BH214" s="392"/>
      <c r="BI214" s="393"/>
      <c r="BJ214" s="153">
        <f>IF(SnapshotTable[[#This Row],[LP Qty]] &gt; 0, SnapshotTable[[#This Row],[LP Qty]] * SnapshotTable[[#This Row],[LP Book Price]] * 100,0)</f>
        <v>0</v>
      </c>
      <c r="BK214" s="136">
        <f>IF(SnapshotTable[[#This Row],[LP Premium]] &gt; 0, SnapshotTable[[#This Row],[LP Qty]] * SnapshotTable[[#This Row],[LP Strike Price]] * 100,0)</f>
        <v>0</v>
      </c>
      <c r="BL214" s="154"/>
      <c r="BM214" s="385" t="str">
        <f>IF(SnapshotTable[[#This Row],[LP Premium]] &gt; 0,SnapshotTable[[#This Row],[LP Exp Date]]-MAX(SnapshotTable[[#This Row],[LP Book Date]], SnapshotTable[[#This Row],[LP Fill Date]]),"")</f>
        <v/>
      </c>
      <c r="BN214" s="385" t="str">
        <f>IF(ISNUMBER( SnapshotTable[[#This Row],[LP Term]]), SnapshotTable[[#This Row],[LP Exp Date]] - MockToday,"")</f>
        <v/>
      </c>
      <c r="BO214" s="163" t="str">
        <f>IF(AND(SnapshotTable[[#This Row],[LP Exp Date]]&gt;0, SnapshotTable[[#This Row],[LP Strike Price]]&gt;0,SnapshotTable[[#This Row],[LP Qty]]&gt;0,SnapshotTable[[#This Row],[LP Book Date]]&gt;0,SnapshotTable[[#This Row],[LP Book Price]]&gt;0,SnapshotTable[[#This Row],[LP Fill Date]]=0),"Y","")</f>
        <v/>
      </c>
      <c r="BP214" s="31" t="str">
        <f>IF(AND(SnapshotTable[[#This Row],[LP No Fill]]&lt;&gt;"Y",SnapshotTable[[#This Row],[LP Contract Value]]&gt;0, SnapshotTable[[#This Row],[LP Qty]]&gt;0), SnapshotTable[[#This Row],[LP Contract Value]]*SnapshotTable[[#This Row],[LP Qty]]*100,"")</f>
        <v/>
      </c>
      <c r="BQ214" s="13"/>
      <c r="BR214" s="5" t="str">
        <f>IF(SnapshotTable[[#This Row],[SP Exp Date]]&lt;&gt;"",TRUNC(SnapshotTable[[#This Row],[Last Price]]),"")</f>
        <v/>
      </c>
      <c r="BS214" s="36"/>
      <c r="BT214" s="147"/>
      <c r="BU214" s="13"/>
      <c r="BV214" s="5"/>
      <c r="BW214" s="419" t="b">
        <f>AND(ISNUMBER(SnapshotTable[[#This Row],[SP Exp Date]]), ISNUMBER(SnapshotTable[[#This Row],[SP Strike Price]]), ISNUMBER(SnapshotTable[[#This Row],[SP Qty]]), ISNUMBER(SnapshotTable[[#This Row],[SP Book Date]]), ISNUMBER(SnapshotTable[[#This Row],[SP Book Price]]))</f>
        <v>0</v>
      </c>
      <c r="BX214" s="419" t="b">
        <f>AND(SnapshotTable[[#This Row],[SP Is Booked]], NOT(ISBLANK(SnapshotTable[[#This Row],[SP Fill Date]])))</f>
        <v>0</v>
      </c>
      <c r="BY214" s="33">
        <f>IF(SnapshotTable[[#This Row],[SP Is Booked]], SnapshotTable[[#This Row],[SP Qty]] * SnapshotTable[[#This Row],[SP Book Price]] * 100, 0)</f>
        <v>0</v>
      </c>
      <c r="BZ214" s="373"/>
      <c r="CA214" s="368">
        <f>SnapshotTable[[#This Row],[LP Qty]]</f>
        <v>0</v>
      </c>
      <c r="CB214" s="4" t="str">
        <f>IF(SnapshotTable[[#This Row],[SP Is Booked]], SnapshotTable[[#This Row],[SP Strike Price]] - SnapshotTable[[#This Row],[SP Book Price]], "")</f>
        <v/>
      </c>
      <c r="CC214" s="19" t="str">
        <f>IF(SnapshotTable[[#This Row],[SP Is Booked]],SnapshotTable[[#This Row],[SP Exp Date]]-MAX(SnapshotTable[[#This Row],[SP Book Date]], SnapshotTable[[#This Row],[SP Fill Date]]),"")</f>
        <v/>
      </c>
      <c r="CD214" s="7" t="str">
        <f>IF(SnapshotTable[[#This Row],[SP Is Booked]], SnapshotTable[[#This Row],[SP Book Price]]/SnapshotTable[[#This Row],[SP Strike Price]], "")</f>
        <v/>
      </c>
      <c r="CE214" s="7" t="str">
        <f>IF(ISNUMBER(SnapshotTable[[#This Row],[SP ROO Term]]),SnapshotTable[[#This Row],[SP ROO Term]]*(365/SnapshotTable[[#This Row],[SP Term]]),"")</f>
        <v/>
      </c>
      <c r="CF214" s="236">
        <f>SnapshotTable[[#This Row],[LP Strike Price]] * SnapshotTable[[#This Row],[LP Qty]] * 100</f>
        <v>0</v>
      </c>
      <c r="CG214" s="31" t="e">
        <f>IF(ISNUMBER(SnapshotTable[[#This Row],[SP Premium]]), (SnapshotTable[[#This Row],[SP Qty]] * SnapshotTable[[#This Row],[SP Strike Price]]* 100) - SnapshotTable[[#This Row],[LP Protection]], 0)</f>
        <v>#VALUE!</v>
      </c>
      <c r="CH214" s="7" t="str">
        <f>IF(ISNUMBER(SnapshotTable[[#This Row],[SP Break Even]]),-1 * (SnapshotTable[[#This Row],[SP Break Even]] - SnapshotTable[[#This Row],[Last Price]]) / SnapshotTable[[#This Row],[Last Price]], "")</f>
        <v/>
      </c>
      <c r="CI214" s="31">
        <f>IF(AND(ISNUMBER((SnapshotTable[[#This Row],[SP Potential Spend]])), SnapshotTable[[#This Row],[SP Strike Price]] &gt; SnapshotTable[[#This Row],[Last Price]], SnapshotTable[[#This Row],[SP Is Filled]]), SnapshotTable[[#This Row],[SP Potential Spend]] -  SnapshotTable[[#This Row],[LP Max Value]], 0)</f>
        <v>0</v>
      </c>
      <c r="CJ214" s="244"/>
      <c r="CK214" s="31" t="str">
        <f>IF(ISNUMBER(SnapshotTable[[#This Row],[SP Potential Spend]]),IF(ISNUMBER(SnapshotTable[[#This Row],[SP POW]]), SnapshotTable[[#This Row],[SP POW]] * SnapshotTable[[#This Row],[SP Potential Spend]], SnapshotTable[[#This Row],[SP Potential Spend]]), "")</f>
        <v/>
      </c>
      <c r="CL214" s="164" t="e">
        <f>IF(NOT(SnapshotTable[[#This Row],[SP Is Filled]]),(SnapshotTable[[#This Row],[SP Qty]] * SnapshotTable[[#This Row],[SP Strike Price]] * 100) - SnapshotTable[[#This Row],[LP Max Value]],"")</f>
        <v>#VALUE!</v>
      </c>
      <c r="CM214" s="31" t="str">
        <f>IF(SnapshotTable[[#This Row],[SP Actual Spend]]&lt;&gt;0, ((SnapshotTable[[#This Row],[SP Strike Price]]-SnapshotTable[[#This Row],[Last Price]]) *(SnapshotTable[[#This Row],[SP Qty]]*100) - SnapshotTable[[#This Row],[SP Premium]]) * - 1, "")</f>
        <v/>
      </c>
      <c r="CN214" s="154"/>
      <c r="CO214" s="369"/>
      <c r="CP214" s="320" t="str">
        <f>IF(SnapshotTable[[#This Row],[SP Is Filled]], btc_max_buyback_amount(SnapshotTable[[#This Row],[SP Fill Date]],SnapshotTable[[#This Row],[SP Exp Date]], SnapshotTable[[#This Row],[SP Book Price]]),"")</f>
        <v/>
      </c>
      <c r="CQ214" s="78"/>
      <c r="CR214" s="76"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4" s="155" t="str">
        <f>IF(SnapshotTable[[#This Row],[SP Is Filled]], btc_next_cutoff_date(SnapshotTable[[#This Row],[SP Fill Date]],SnapshotTable[[#This Row],[SP Exp Date]]),"")</f>
        <v/>
      </c>
      <c r="CT214" s="235" t="str" cm="1">
        <f t="array" ref="CT214">IF(SnapshotTable[[#This Row],[SP Is Filled]], btc_should_buy_back(SnapshotTable[[#This Row],[SP Fill Date]], SnapshotTable[[#This Row],[SP Exp Date]], SnapshotTable[[#This Row],[SP Book Price]], SnapshotTable[[#This Row],[SP Current Ask]], MockToday, SnapshotTable[[#This Row],[SP Buyback Override]]),"")</f>
        <v/>
      </c>
      <c r="CU214" s="156"/>
      <c r="CV214" s="394"/>
      <c r="CW214" s="378" t="str">
        <f>IF(ISNUMBER( SnapshotTable[[#This Row],[SP Term]]), SnapshotTable[[#This Row],[SP Exp Date]] - MockToday,"")</f>
        <v/>
      </c>
      <c r="CX214" s="31" t="str">
        <f>IF(SnapshotTable[[#This Row],[SP Is Filled]],SnapshotTable[[#This Row],[SP Buyback Price to Use]] * 100 * SnapshotTable[[#This Row],[SP Qty]], "")</f>
        <v/>
      </c>
      <c r="CY214" s="4" t="str">
        <f>IF(ISNUMBER(SnapshotTable[[#This Row],[SP Strike Price]]), SnapshotTable[[#This Row],[SP Strike Price]] * (1 - SP_MaxLoss_StrikePct), "")</f>
        <v/>
      </c>
      <c r="CZ214" s="31" t="str">
        <f>IF(ISNUMBER(SnapshotTable[[#This Row],[SP Strike  Stop Per Share]]),SnapshotTable[[#This Row],[SP Premium]] - ((SnapshotTable[[#This Row],[SP Strike Price]]-SnapshotTable[[#This Row],[SP Strike  Stop Per Share]]) *(SnapshotTable[[#This Row],[SP Qty]] * 100)),"")</f>
        <v/>
      </c>
      <c r="DA214" s="4" t="str">
        <f>IF(AND(ISNUMBER(SnapshotTable[[#This Row],[SP Premium]]),SnapshotTable[[#This Row],[SP Premium]]&gt;0), SnapshotTable[[#This Row],[SP Book Price]] * (1 + SP_MaxLoss_OptionPct), "")</f>
        <v/>
      </c>
      <c r="DB214" s="31" t="str">
        <f>IF(ISNUMBER(SnapshotTable[[#This Row],[SP Option  Stop Contract]]),(SnapshotTable[[#This Row],[SP Option  Stop Contract]] *(SnapshotTable[[#This Row],[SP Qty]] * 100) - SnapshotTable[[#This Row],[SP Premium]]),"")</f>
        <v/>
      </c>
      <c r="DC214" s="4"/>
      <c r="DD214" s="4"/>
      <c r="DE214" s="4" t="str">
        <f>IF(AND(SnapshotTable[[#This Row],[SP Qty]]&gt;0, SnapshotTable[[#This Row],[SP Stop To Use]]&gt;0),SnapshotTable[[#This Row],[SP Premium]] - ( SnapshotTable[[#This Row],[SP Qty]] * SnapshotTable[[#This Row],[SP Stop To Use]] * 100), "")</f>
        <v/>
      </c>
      <c r="DF214" s="31" t="str">
        <f>IF(AND(SnapshotTable[[#This Row],[SP Qty]]&gt;0,SnapshotTable[[#This Row],[SP Current Ask]]&gt;0), SnapshotTable[[#This Row],[SP Qty]] * SnapshotTable[[#This Row],[SP Current Ask]] * -100, "")</f>
        <v/>
      </c>
      <c r="DG214" s="31" t="str">
        <f>IF(ISNUMBER((SnapshotTable[[#This Row],[SP Total Value]])), SnapshotTable[[#This Row],[SP Premium]] + SnapshotTable[[#This Row],[SP Total Value]], "")</f>
        <v/>
      </c>
      <c r="DH214" s="294" t="str">
        <f>IF(ISNUMBER((SnapshotTable[[#This Row],[SP Total Value]])), SnapshotTable[[#This Row],[SP Gain Loss]] / SnapshotTable[[#This Row],[SP Premium]], "")</f>
        <v/>
      </c>
      <c r="DI214" s="406"/>
      <c r="DJ214" s="138"/>
      <c r="DK214" s="148"/>
      <c r="DL214" s="147"/>
      <c r="DM214" s="147"/>
      <c r="DO214" s="31">
        <f>IF(SnapshotTable[[#This Row],[LC Symbol Count]]=1, SnapshotTable[[#This Row],[LC Qty]] * SnapshotTable[[#This Row],[LC Book Price]] * 100, 0)</f>
        <v>0</v>
      </c>
      <c r="DP214" s="289" t="str">
        <f>IF(AND(SnapshotTable[[#This Row],[LC Exp Date]]&gt;0, SnapshotTable[[#This Row],[LC Strike Price]]&gt;0,SnapshotTable[[#This Row],[LC Qty]]&gt;0,SnapshotTable[[#This Row],[LC Book Date]]&gt;0,SnapshotTable[[#This Row],[LC Book Price]]&gt;0,SnapshotTable[[#This Row],[LC Fill Date]]=0),"Y","")</f>
        <v/>
      </c>
      <c r="DQ214" s="386" t="str">
        <f>IF(SnapshotTable[[#This Row],[LC Premium]] &gt; 0,SnapshotTable[[#This Row],[LC Exp Date]]-MAX(SnapshotTable[[#This Row],[LC Book Date]], SnapshotTable[[#This Row],[LC Fill Date]]),"")</f>
        <v/>
      </c>
      <c r="DR214" s="386" t="str">
        <f>IF(ISNUMBER(SnapshotTable[[#This Row],[LC Term]]), SnapshotTable[[#This Row],[LC Exp Date]] - MockToday, "")</f>
        <v/>
      </c>
      <c r="DS214" s="355" t="str">
        <f>IF(SnapshotTable[[#This Row],[LC Premium]]&gt;0,SnapshotTable[[#This Row],[LC Strike Price]] + SnapshotTable[[#This Row],[LC Book Price]],"")</f>
        <v/>
      </c>
      <c r="DT214" s="163"/>
      <c r="DU214" s="9" t="str">
        <f>IF(AND(SnapshotTable[[#This Row],[LC Symbol Count]]&gt;0, SnapshotTable[[#This Row],[LC Contract Value]]&gt;0), SnapshotTable[[#This Row],[LC Contract Value]] * SnapshotTable[[#This Row],[LC Qty]] * 100, "")</f>
        <v/>
      </c>
      <c r="DV214" s="9" t="str">
        <f>IF(AND(ISNUMBER(SnapshotTable[[#This Row],[LC Total Value]]), SnapshotTable[[#This Row],[LC Not Filled]]&lt;&gt;"Y"), SnapshotTable[[#This Row],[LC Total Value]]-SnapshotTable[[#This Row],[LC Premium]],"")</f>
        <v/>
      </c>
      <c r="DW214" s="240" t="str">
        <f>IF(ISNUMBER(SnapshotTable[[#This Row],[LC Actual Gain Loss]]), SnapshotTable[[#This Row],[LC Actual Gain Loss]] / SnapshotTable[[#This Row],[LC Premium]],"")</f>
        <v/>
      </c>
      <c r="DX214" s="284" t="str">
        <f>IF(ISNUMBER(SnapshotTable[[#This Row],[LC Book Price]]),SnapshotTable[[#This Row],[LC Book Price]] * 1.5,"")</f>
        <v/>
      </c>
      <c r="DY214" s="265" t="str">
        <f>IF(SnapshotTable[[#This Row],[LC Premium]]&gt;0, SnapshotTable[[#This Row],[LC Next Target]] * SnapshotTable[[#This Row],[LC Qty]] * 100,"")</f>
        <v/>
      </c>
      <c r="DZ214" s="265" t="str">
        <f>IF(ISNUMBER(SnapshotTable[[#This Row],[LC Target Gross]]), SnapshotTable[[#This Row],[LC Target Gross]] - SnapshotTable[[#This Row],[LC Premium]], "")</f>
        <v/>
      </c>
      <c r="EA214" s="305" t="str">
        <f>IF(ISNUMBER(SnapshotTable[[#This Row],[LC Target Gain Loss]]), SnapshotTable[[#This Row],[LC Target Gain Loss]]/SnapshotTable[[#This Row],[LC Premium]], "")</f>
        <v/>
      </c>
      <c r="EB214" s="262"/>
      <c r="EC214" s="290" t="str">
        <f>IF(SnapshotTable[[#This Row],[LC Premium]]&gt;0, SnapshotTable[[#This Row],[LC Book Price]] * (1 - LC_StopLoss_Pct),"")</f>
        <v/>
      </c>
      <c r="ED214" s="284"/>
      <c r="EE214" s="290" t="str">
        <f>IF(ISNUMBER(SnapshotTable[[#This Row],[LC Contract Value]]),IF(ISNUMBER(SnapshotTable[[#This Row],[LC Stop Loss Override]]), SnapshotTable[[#This Row],[LC Stop Loss Override]],SnapshotTable[[#This Row],[LC Stop Loss Calc Target]]),"")</f>
        <v/>
      </c>
      <c r="EF214" s="321" t="str">
        <f>IF(ISNUMBER(SnapshotTable[[#This Row],[LC Stop  To Use]]), (SnapshotTable[[#This Row],[LC Stop  To Use]] * SnapshotTable[[#This Row],[LC Qty]] * 100),"")</f>
        <v/>
      </c>
      <c r="EG214" s="9" t="str">
        <f>IF(ISNUMBER(SnapshotTable[[#This Row],[LC Total Value]]),SnapshotTable[[#This Row],[LC Stop Loss Amount]] - SnapshotTable[[#This Row],[LC Premium]],"")</f>
        <v/>
      </c>
      <c r="EH214" s="9">
        <f>IF(ISNUMBER(SnapshotTable[[#This Row],[LC Premium]]), SnapshotTable[[#This Row],[LC Qty]] * 100 * SnapshotTable[[#This Row],[LC Strike Price]], "")</f>
        <v>0</v>
      </c>
      <c r="EI214" s="240" t="str">
        <f>IF(AND(ISNUMBER(SnapshotTable[[#This Row],[LC Total Value]]),SnapshotTable[[#This Row],[LC Total Value]]&gt;0),SnapshotTable[[#This Row],[LC Stop Gain Loss]]  / SnapshotTable[[#This Row],[LC Premium]],"")</f>
        <v/>
      </c>
      <c r="EJ214" s="35">
        <f>IF(ISNUMBER(SnapshotTable[[#This Row],[Equity Shares]]),TRUNC(SnapshotTable[[#This Row],[Equity Shares]] / 100),0) + SnapshotTable[[#This Row],[LC Qty]]</f>
        <v>0</v>
      </c>
      <c r="EK214" s="147"/>
      <c r="EL214" s="138" t="str">
        <f>IF(SnapshotTable[[#This Row],[SC Exp Date]]&lt;&gt;"",TRUNC(SnapshotTable[[#This Row],[Last Price]]),"")</f>
        <v/>
      </c>
      <c r="EM214" s="148"/>
      <c r="EN214" s="147"/>
      <c r="EO214" s="147"/>
      <c r="EP214" s="138"/>
      <c r="EQ214" s="419" t="b">
        <f>AND(ISNUMBER(SnapshotTable[[#This Row],[SC Exp Date]]), ISNUMBER(SnapshotTable[[#This Row],[SC Strike Price]]), ISNUMBER(SnapshotTable[[#This Row],[SC Qty]]), ISNUMBER(SnapshotTable[[#This Row],[SC Book Date]]), ISNUMBER(SnapshotTable[[#This Row],[SC Book Price]]))</f>
        <v>0</v>
      </c>
      <c r="ER214" s="419" t="b">
        <f>AND(SnapshotTable[[#This Row],[SC Is Booked]], NOT(ISBLANK(SnapshotTable[[#This Row],[SC Fill Date]])))</f>
        <v>0</v>
      </c>
      <c r="ES214" s="370"/>
      <c r="ET214" s="34" t="str">
        <f>IF(AND(ISNUMBER(SnapshotTable[[#This Row],[SC Exp Date]]), ISNUMBER(SnapshotTable[[#This Row],[SC Book Date]])), SnapshotTable[[#This Row],[SC Exp Date]] - MAX(SnapshotTable[[#This Row],[SC Book Date]], SnapshotTable[[#This Row],[SC Fill Date]]) + 1, "")</f>
        <v/>
      </c>
      <c r="EU214" s="34" t="str">
        <f>IF(ISNUMBER(SnapshotTable[[#This Row],[SC Term]]), SnapshotTable[[#This Row],[SC Exp Date]]- MockToday, "")</f>
        <v/>
      </c>
      <c r="EV214" s="31">
        <f>IF(SnapshotTable[[#This Row],[SC Is Booked]], SnapshotTable[[#This Row],[SC Qty]] * SnapshotTable[[#This Row],[SC Book Price]] * 100, 0)</f>
        <v>0</v>
      </c>
      <c r="EW214" s="4" t="str">
        <f>IF(AND(ISNUMBER(SnapshotTable[[#This Row],[Last Price]]), ISNUMBER( SnapshotTable[[#This Row],[SC Book Price]])), SnapshotTable[[#This Row],[Last Price]] - SnapshotTable[[#This Row],[SC Book Price]],"")</f>
        <v/>
      </c>
      <c r="EX214" s="374" t="str">
        <f>IF(SnapshotTable[[#This Row],[SC Is Booked]],IF(SnapshotTable[[#This Row],[SC Intrinsic Value]] &gt; 0, SnapshotTable[[#This Row],[SC Strike Price]], SnapshotTable[[#This Row],[Last Price]]), "")</f>
        <v/>
      </c>
      <c r="EY214" s="4">
        <f>IF(SnapshotTable[[#This Row],[SC Is Booked]], (MinimumPremiumRequired * SnapshotTable[[#This Row],[SC Basis]] * SnapshotTable[[#This Row],[SC Term]]), 0)</f>
        <v>0</v>
      </c>
      <c r="EZ214" s="283"/>
      <c r="FA214" s="395"/>
      <c r="FB214" s="396"/>
      <c r="FC214" s="4">
        <f>IF(SnapshotTable[[#This Row],[SC Is Filled]], btc_max_buyback_amount(SnapshotTable[[#This Row],[SC Fill Date]],SnapshotTable[[#This Row],[SC Exp Date]], SnapshotTable[[#This Row],[SC Book Price]]),0)</f>
        <v>0</v>
      </c>
      <c r="FD214" s="5"/>
      <c r="FE214" s="144" t="str">
        <f>IF(SnapshotTable[[#This Row],[SC Is Filled]], btc_next_cutoff_date(SnapshotTable[[#This Row],[SC Fill Date]],SnapshotTable[[#This Row],[SC Exp Date]]),"")</f>
        <v/>
      </c>
      <c r="FF214" s="4" t="str" cm="1">
        <f t="array" ref="FF214">IF(SnapshotTable[[#This Row],[SC Is Filled]], btc_should_buy_back(SnapshotTable[[#This Row],[SC Fill Date]], SnapshotTable[[#This Row],[SC Exp Date]], SnapshotTable[[#This Row],[SC Book Price]], SnapshotTable[[#This Row],[SC Current Ask]], MockToday, SnapshotTable[[#This Row],[SC Buyback Override]]),"")</f>
        <v/>
      </c>
      <c r="FG214" s="4">
        <f>IF(SnapshotTable[[#This Row],[SC Is Filled]], MAX(0,SnapshotTable[[#This Row],[Last Price]]  - SnapshotTable[[#This Row],[SC Strike Price]]), 0)</f>
        <v>0</v>
      </c>
      <c r="FH214" s="382">
        <f>IF(SnapshotTable[[#This Row],[SC Is Filled]], IF(ISNUMBER(SnapshotTable[[#This Row],[SC Current Ask]]), SnapshotTable[[#This Row],[SC Current Ask]], SnapshotTable[[#This Row],[SC Book Price]]) - SnapshotTable[[#This Row],[SC Intrinsic Value]], 0)</f>
        <v>0</v>
      </c>
      <c r="FI214" s="143">
        <v>45786</v>
      </c>
      <c r="FJ214" s="32" t="str">
        <f>IF(SnapshotTable[[#This Row],[SC Is Filled]],100 * SnapshotTable[[#This Row],[SC Qty]] * IF(ISNUMBER(SnapshotTable[[#This Row],[SC Buyback Override]]), SnapshotTable[[#This Row],[SC Buyback Override]], SnapshotTable[[#This Row],[SC Current Ask]]), "")</f>
        <v/>
      </c>
      <c r="FK214" s="250" t="str">
        <f>IF(SnapshotTable[[#This Row],[SC Time Val]]&gt;0, SnapshotTable[[#This Row],[SC Time Val]] / SnapshotTable[[#This Row],[Last Price]],"")</f>
        <v/>
      </c>
      <c r="FL214" s="302" t="str">
        <f>IF(SnapshotTable[[#This Row],[SC Is Booked]], ((SnapshotTable[[#This Row],[Last Price]] -SnapshotTable[[#This Row],[SC Strike Price]]) / SnapshotTable[[#This Row],[Last Price]]) * -1, "")</f>
        <v/>
      </c>
      <c r="FM214" s="157" t="str">
        <f>IF(SnapshotTable[[#This Row],[SC Is Booked]],  (SnapshotTable[[#This Row],[SC Qty]] * 100 * SnapshotTable[[#This Row],[SC Strike Price]]) - SnapshotTable[[#This Row],[SC Current Ask]], "")</f>
        <v/>
      </c>
      <c r="FN214"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4" s="157" t="str">
        <f>IF(AND(ISNUMBER(SnapshotTable[[#This Row],[SC Exercise Gross]]), ISNUMBER(SnapshotTable[[#This Row],[Equity Basis Per Share]] )), SnapshotTable[[#This Row],[SC Exercise Gross]] - SnapshotTable[[#This Row],[Equity Basis Total]] +  SnapshotTable[[#This Row],[SC Premium]], "")</f>
        <v/>
      </c>
      <c r="FP214" s="5" t="str">
        <f>IF(ISNUMBER(SnapshotTable[[#This Row],[SC Exercise Gross]]), (SnapshotTable[[#This Row],[SC Exercise Gross]]) / (SnapshotTable[[#This Row],[SC Qty]] * 100), "")</f>
        <v/>
      </c>
      <c r="FQ214" s="27" t="str">
        <f>IF(SnapshotTable[[#This Row],[SC Is Booked]],SnapshotTable[[#This Row],[SC Time Val]] /SnapshotTable[[#This Row],[SC Basis]], "")</f>
        <v/>
      </c>
      <c r="FR214" s="27" t="str" cm="1">
        <f t="array" ref="FR214">IF(AND(ISNUMBER(SnapshotTable[[#This Row],[SC Term]]),ISNUMBER(SnapshotTable[[#This Row],[SC Simple ROO]])), EllmanAnnualize(SnapshotTable[[#This Row],[SC DTE]], SnapshotTable[[#This Row],[SC Simple ROO]] ),"")</f>
        <v/>
      </c>
      <c r="FS214" s="4" t="e">
        <f>IF(SnapshotTable[[#This Row],[SC Strike Price]] &gt; SnapshotTable[[#This Row],[Last Price]], SnapshotTable[[#This Row],[SC Strike Price]] - SnapshotTable[[#This Row],[Last Price]],0)</f>
        <v>#VALUE!</v>
      </c>
      <c r="FT214" s="27" t="e">
        <f>IF(AND(ISNUMBER(SnapshotTable[[#This Row],[SC Upside Potential]]), SnapshotTable[[#This Row],[SC Upside Potential]] &gt; 0),(SnapshotTable[[#This Row],[SC Upside Potential]]/ SnapshotTable[[#This Row],[ACB]]),"")</f>
        <v>#VALUE!</v>
      </c>
      <c r="FU214" s="333" t="str">
        <f>IF(SnapshotTable[[#This Row],[SC Intrinsic Value]] &gt; 0,SnapshotTable[[#This Row],[SC Intrinsic Value]],"")</f>
        <v/>
      </c>
      <c r="FV214" s="27" t="str">
        <f>IF(AND( ISNUMBER( SnapshotTable[[#This Row],[ACB]]),ISNUMBER(SnapshotTable[[#This Row],[SC Downside Protect]])),SnapshotTable[[#This Row],[SC Downside Protect]] / SnapshotTable[[#This Row],[ACB]],"")</f>
        <v/>
      </c>
      <c r="FW214" s="236" t="str">
        <f>IF(AND(ISNUMBER(SnapshotTable[[#This Row],[SC Simple ROO]]),SnapshotTable[[#This Row],[SC Simple ROO]] &gt; 0), SnapshotTable[[#This Row],[SC Premium]] + (SnapshotTable[[#This Row],[SC Qty]] * SnapshotTable[[#This Row],[SC Upside Potential]]), "")</f>
        <v/>
      </c>
      <c r="FX214" s="302" t="str" cm="1">
        <f t="array" ref="FX214">IF(ISNUMBER(SnapshotTable[[#This Row],[SC Max Dollars]]), annualize(SnapshotTable[[#This Row],[SC Term]],(SnapshotTable[[#This Row],[SC Max Dollars]]/SnapshotTable[[#This Row],[SC Basis]])),"")</f>
        <v/>
      </c>
      <c r="FY214" s="236" t="str">
        <f>IF(AND(SnapshotTable[[#This Row],[SC Qty]]&gt;0,SnapshotTable[[#This Row],[SC Current Ask]]&gt;0), SnapshotTable[[#This Row],[SC Qty]] * SnapshotTable[[#This Row],[SC Current Ask]] * -100, "")</f>
        <v/>
      </c>
      <c r="FZ214" s="235" t="str">
        <f>IF(ISNUMBER((SnapshotTable[[#This Row],[SC Current Value]])), SnapshotTable[[#This Row],[SC Premium]] + SnapshotTable[[#This Row],[SC Current Value]], "")</f>
        <v/>
      </c>
      <c r="GA214" s="294" t="str">
        <f>IFERROR( IF(ISNUMBER((SnapshotTable[[#This Row],[SC Current Value]])), SnapshotTable[[#This Row],[SC Gain Loss]] / SnapshotTable[[#This Row],[SC Premium]], ""), "")</f>
        <v/>
      </c>
      <c r="GB214" s="397">
        <f>SnapshotTable[[#This Row],[Equity Shares]] * SaleSharesToConsiderPercentage</f>
        <v>0</v>
      </c>
      <c r="GC214" s="398">
        <f>SnapshotTable[[#This Row],[Long Term Target]] * SellingPriceToConsiderBasedOnTargetPercentage</f>
        <v>0</v>
      </c>
      <c r="GD214" s="398">
        <f>SnapshotTable[[#This Row],[Last Price]] * (1+ SellingPriceToConsiderBasedOnTargetPercentage)</f>
        <v>241.3125</v>
      </c>
      <c r="GE214" s="399"/>
      <c r="GF214" s="398"/>
      <c r="GG214" s="31">
        <f>SnapshotTable[[#This Row],[Booked Sale Shares]] * SnapshotTable[[#This Row],[Booked Sale Price]]</f>
        <v>0</v>
      </c>
      <c r="GH214" s="31" t="str">
        <f>IF(SnapshotTable[[#This Row],[Equity Basis Total]] &gt; 0, SnapshotTable[[#This Row],[Equity Basis Per Share]] * SnapshotTable[[#This Row],[Booked Sale Shares]], "")</f>
        <v/>
      </c>
      <c r="GI214" s="31">
        <f>IF(SnapshotTable[[#This Row],[Sale Proceeds]]&gt;0, SnapshotTable[[#This Row],[Sale Proceeds]] - SnapshotTable[[#This Row],[Sale Basis]], 0)</f>
        <v>0</v>
      </c>
      <c r="GJ214" s="158" t="str">
        <f>IF(SnapshotTable[[#This Row],[Sale G/L]]&gt;0, SnapshotTable[[#This Row],[Sale G/L]] / SnapshotTable[[#This Row],[Sale Basis]], IF(ISNUMBER(SnapshotTable[[#This Row],[SC Exercise P&amp;L (TAX)]]), SnapshotTable[[#This Row],[SC Exercise P&amp;L (TAX)]] / SnapshotTable[[#This Row],[SC Basis]], ""))</f>
        <v/>
      </c>
      <c r="GK214" s="27"/>
      <c r="GL214" s="159" t="str">
        <f>IF(AND(SnapshotTable[[#This Row],[LP Exp Date]]&gt;0,SnapshotTable[[#This Row],[LP Strike Price]]&gt;0), [1]!ToOptionSymbol(SnapshotTable[[#This Row],[Symbol]], SnapshotTable[[#This Row],[LP Strike Price]],SnapshotTable[[#This Row],[LP Exp Date]],1), "")</f>
        <v/>
      </c>
      <c r="GM214" s="30" t="str">
        <f>IF(LEN(SnapshotTable[[#This Row],[LP Symbol]])&gt;0, 1, "")</f>
        <v/>
      </c>
      <c r="GN214" s="43" t="str">
        <f>IF(AND(SnapshotTable[[#This Row],[SP Exp Date]]&gt;0,SnapshotTable[[#This Row],[SP Strike Price]]&gt;0), [1]!ToOptionSymbol(SnapshotTable[[#This Row],[Symbol]], SnapshotTable[[#This Row],[SP Strike Price]],SnapshotTable[[#This Row],[SP Exp Date]],1), "")</f>
        <v/>
      </c>
      <c r="GO214" s="30" t="str">
        <f>IF(LEN(SnapshotTable[[#This Row],[SP Symbol]])&gt;0, 1, "")</f>
        <v/>
      </c>
      <c r="GP214" s="159" t="str">
        <f>IF(AND(SnapshotTable[[#This Row],[LC Exp Date]]&gt;0,SnapshotTable[[#This Row],[LC Strike Price]]&gt;0), [1]!ToOptionSymbol(SnapshotTable[[#This Row],[Symbol]], SnapshotTable[[#This Row],[LC Strike Price]],SnapshotTable[[#This Row],[LC Exp Date]],0), "")</f>
        <v/>
      </c>
      <c r="GQ214" s="160" t="str">
        <f>IF(LEN(SnapshotTable[[#This Row],[LC Symbol]])&gt;0, 1, "")</f>
        <v/>
      </c>
      <c r="GR214" s="159" t="str">
        <f>IF(AND(SnapshotTable[[#This Row],[SC Exp Date]]&gt;0,SnapshotTable[[#This Row],[SC Strike Price]]&gt;0), [1]!ToOptionSymbol(SnapshotTable[[#This Row],[Symbol]], SnapshotTable[[#This Row],[SC Strike Price]],SnapshotTable[[#This Row],[SC Exp Date]],0), "")</f>
        <v/>
      </c>
      <c r="GS214" s="160" t="str">
        <f>IF(LEN(SnapshotTable[[#This Row],[SC Symbol]])&gt;0, 1, "")</f>
        <v/>
      </c>
      <c r="GT214" s="161" t="str">
        <f>IF(COUNT(SnapshotTable[[#This Row],[LP Symbol Count]],SnapshotTable[[#This Row],[SP Symbol Count]],SnapshotTable[[#This Row],[LC Symbol Count]],SnapshotTable[[#This Row],[SC Symbol Count]])&gt;0, "Y", "")</f>
        <v/>
      </c>
      <c r="GU21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4" s="231" t="e">
        <f>MAX(SnapshotTable[[#This Row],[Equity Basis Total]],SnapshotTable[[#This Row],[Equity Value]]) + (SnapshotTable[[#This Row],[SP Potential Spend]]- SnapshotTable[[#This Row],[SP Premium]] + SnapshotTable[[#This Row],[LP Premium]])+ (SnapshotTable[[#This Row],[LC Premium]] - SnapshotTable[[#This Row],[SC Premium]])</f>
        <v>#VALUE!</v>
      </c>
      <c r="GW214" s="139" t="e">
        <f>IF(AND(SnapshotTable[[#This Row],[Exposure]] &lt;&gt; 0),SnapshotTable[[#This Row],[Exposure]] / SnapshotTable[[#Totals],[Exposure]], "")</f>
        <v>#VALUE!</v>
      </c>
      <c r="GX214" s="5"/>
      <c r="HE214" s="268"/>
      <c r="HF214" s="268"/>
      <c r="HK214" s="1"/>
      <c r="HL214" s="1"/>
      <c r="HM214" s="1"/>
      <c r="HN214" s="1"/>
      <c r="HO214" s="1"/>
      <c r="HP214" s="1"/>
    </row>
    <row r="215" spans="2:224" ht="12.75" hidden="1" customHeight="1" x14ac:dyDescent="0.25">
      <c r="B215" s="12" t="s">
        <v>76</v>
      </c>
      <c r="C215" s="422">
        <v>23.11</v>
      </c>
      <c r="D215" s="208"/>
      <c r="E215" s="39">
        <f>SnapshotTable[[#This Row],[Last Price]]*(1 -CrashDiscount)</f>
        <v>19.6435</v>
      </c>
      <c r="F215" s="26" t="s">
        <v>12</v>
      </c>
      <c r="G215" s="26" t="s">
        <v>4</v>
      </c>
      <c r="H215" s="149"/>
      <c r="I215" s="194">
        <v>44763.270833333336</v>
      </c>
      <c r="J215" s="195">
        <v>44763.270833333336</v>
      </c>
      <c r="K215" s="196"/>
      <c r="L215" s="326"/>
      <c r="M215" s="140"/>
      <c r="N215" s="140"/>
      <c r="O215" s="140"/>
      <c r="P215" s="22"/>
      <c r="Q215" s="25"/>
      <c r="R215" s="4" t="str">
        <f>IF(SnapshotTable[[#This Row],[Equity Basis Total]] &gt; 0, SnapshotTable[[#This Row],[Equity Basis Total]] / SnapshotTable[[#This Row],[Equity Shares]], "")</f>
        <v/>
      </c>
      <c r="S215" s="269">
        <f>SnapshotTable[[#This Row],[Last Price]] * SnapshotTable[[#This Row],[Equity Shares]]</f>
        <v>0</v>
      </c>
      <c r="T215" s="269">
        <f>SnapshotTable[[#This Row],[Equity Value]] - SnapshotTable[[#This Row],[Equity Basis Total]]</f>
        <v>0</v>
      </c>
      <c r="U215" s="270" t="str">
        <f>IF(SnapshotTable[[#This Row],[Equity Basis Total]] &gt; 0, SnapshotTable[[#This Row],[Equity G/L]] / SnapshotTable[[#This Row],[Equity Basis Total]], "")</f>
        <v/>
      </c>
      <c r="V215" s="268"/>
      <c r="W215" s="268"/>
      <c r="X215" s="4" t="str">
        <f>IF(AND(ISNUMBER(SnapshotTable[[#This Row],[Equity Basis Per Share]]),ISNUMBER(SnapshotTable[[#This Row],[Equity Target]])),SnapshotTable[[#This Row],[Equity Target]]-SnapshotTable[[#This Row],[Equity Basis Per Share]],"")</f>
        <v/>
      </c>
      <c r="Y215" s="4" t="str">
        <f>IF(AND(ISNUMBER(SnapshotTable[[#This Row],[Equity Basis Per Share]]),ISNUMBER(SnapshotTable[[#This Row],[Equity Stop Loss]])),SnapshotTable[[#This Row],[Equity Stop Loss]]-SnapshotTable[[#This Row],[Equity Basis Per Share]],"")</f>
        <v/>
      </c>
      <c r="Z215" s="275" t="str">
        <f>IFERROR( TEXT(SnapshotTable[[#This Row],[Equity Max Gain Per Share]] /ABS( SnapshotTable[[#This Row],[Equity Max Loss Per Share]]),"0.0 " ) &amp; " : 1", "")</f>
        <v/>
      </c>
      <c r="AA215" s="31" t="str">
        <f>IF(ISNUMBER(SnapshotTable[[#This Row],[Equity Max Gain Per Share]]),SnapshotTable[[#This Row],[Equity Max Gain Per Share]] * SnapshotTable[[#This Row],[Equity Shares]],"")</f>
        <v/>
      </c>
      <c r="AB215" s="31" t="str">
        <f>IF(ISNUMBER(SnapshotTable[[#This Row],[Equity Max Loss Per Share]]),SnapshotTable[[#This Row],[Equity Max Loss Per Share]] * SnapshotTable[[#This Row],[Equity Shares]],"")</f>
        <v/>
      </c>
      <c r="AC215" s="150">
        <v>0.3</v>
      </c>
      <c r="AD215" s="151">
        <v>42353</v>
      </c>
      <c r="AE215" s="31">
        <f>(SnapshotTable[[#This Row],[Annual Dividend Per Share]] / 4) * SnapshotTable[[#This Row],[Equity Shares]]</f>
        <v>0</v>
      </c>
      <c r="AF215" s="31">
        <f>SnapshotTable[[#This Row],[Quarterly Div $]] * 4</f>
        <v>0</v>
      </c>
      <c r="AG215" s="7">
        <f>IF(SnapshotTable[[#This Row],[Annual Dividend Per Share]]&gt;0, SnapshotTable[[#This Row],[Annual Dividend Per Share]]  / SnapshotTable[[#This Row],[Last Price]], 0)</f>
        <v>1.2981393336218087E-2</v>
      </c>
      <c r="AH215" s="151">
        <v>42242</v>
      </c>
      <c r="AI215" s="5">
        <v>21</v>
      </c>
      <c r="AJ215" s="138">
        <v>13.16</v>
      </c>
      <c r="AK215" s="152">
        <f>IF(ISNUMBER( SnapshotTable[[#This Row],[EBF Target]]),(SnapshotTable[[#This Row],[EBF Target]] - SnapshotTable[[#This Row],[Last Price]]) / SnapshotTable[[#This Row],[Last Price]], "")</f>
        <v>-9.1302466464733861E-2</v>
      </c>
      <c r="AL215" s="152" t="str">
        <f>IF(AND(SnapshotTable[[#This Row],[Equity Basis Total]] &gt; 0,ISNUMBER( SnapshotTable[[#This Row],[Long Term Target]])), SnapshotTable[[#This Row],[From Basis $]] / SnapshotTable[[#This Row],[Equity Basis Total]], "")</f>
        <v/>
      </c>
      <c r="AM215" s="9">
        <f>IF( AND(SnapshotTable[[#This Row],[Equity Shares]] &gt;0,ISNUMBER( SnapshotTable[[#This Row],[Long Term Target]])),(SnapshotTable[[#This Row],[Equity Shares]] * SnapshotTable[[#This Row],[Long Term Target]]) - SnapshotTable[[#This Row],[Equity Basis Total]],0)</f>
        <v>0</v>
      </c>
      <c r="AN215" s="9">
        <f>IF( AND(SnapshotTable[[#This Row],[Equity Shares]] &gt;0,ISNUMBER( SnapshotTable[[#This Row],[Long Term Target]])),(SnapshotTable[[#This Row],[Equity Shares]]*SnapshotTable[[#This Row],[Long Term Target]]) - SnapshotTable[[#This Row],[Equity Value]],0)</f>
        <v>0</v>
      </c>
      <c r="AO215" s="152">
        <f>IF(AND(ISNUMBER( SnapshotTable[[#This Row],[Long Term Target]]), ISNUMBER(SnapshotTable[[#This Row],[Last Price]])),(SnapshotTable[[#This Row],[Long Term Target]] - SnapshotTable[[#This Row],[Last Price]]) / SnapshotTable[[#This Row],[Last Price]], "")</f>
        <v>-0.43054954565123321</v>
      </c>
      <c r="AP215" s="5"/>
      <c r="AQ215" s="38"/>
      <c r="AR215" s="5"/>
      <c r="AS215" s="38"/>
      <c r="AT215" s="146"/>
      <c r="AU215" s="187" t="str">
        <f>IF(OR(SnapshotTable[[#This Row],[LP No Fill]]="Y",SnapshotTable[[#This Row],[SP Is Filled]],SnapshotTable[[#This Row],[LC Not Filled]]="Y",SnapshotTable[[#This Row],[SC Is Filled]]),"Y","")</f>
        <v/>
      </c>
      <c r="AV215" s="219"/>
      <c r="AW215" s="225"/>
      <c r="AX215" s="220"/>
      <c r="AY215" s="219" t="str">
        <f>IF(SnapshotTable[[#This Row],[Implied Move]]&gt;0, SnapshotTable[[#This Row],[Last Price]]-SnapshotTable[[#This Row],[Implied Move]],"")</f>
        <v/>
      </c>
      <c r="AZ215" s="219" t="str">
        <f>IF(SnapshotTable[[#This Row],[Implied Move]]&gt;0, SnapshotTable[[#This Row],[Last Price]] + SnapshotTable[[#This Row],[Implied Move]],"")</f>
        <v/>
      </c>
      <c r="BA215" s="331"/>
      <c r="BB215" s="347"/>
      <c r="BC21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5" s="351"/>
      <c r="BE215" s="5"/>
      <c r="BF215" s="14"/>
      <c r="BG215" s="13"/>
      <c r="BH215" s="13"/>
      <c r="BI215" s="5"/>
      <c r="BJ215" s="136">
        <f>IF(SnapshotTable[[#This Row],[LP Qty]] &gt; 0, SnapshotTable[[#This Row],[LP Qty]] * SnapshotTable[[#This Row],[LP Book Price]] * 100,0)</f>
        <v>0</v>
      </c>
      <c r="BK215" s="136">
        <f>IF(SnapshotTable[[#This Row],[LP Premium]] &gt; 0, SnapshotTable[[#This Row],[LP Qty]] * SnapshotTable[[#This Row],[LP Strike Price]] * 100,0)</f>
        <v>0</v>
      </c>
      <c r="BL215" s="154"/>
      <c r="BM215" s="385" t="str">
        <f>IF(SnapshotTable[[#This Row],[LP Premium]] &gt; 0,SnapshotTable[[#This Row],[LP Exp Date]]-MAX(SnapshotTable[[#This Row],[LP Book Date]], SnapshotTable[[#This Row],[LP Fill Date]]),"")</f>
        <v/>
      </c>
      <c r="BN215" s="385" t="str">
        <f>IF(ISNUMBER( SnapshotTable[[#This Row],[LP Term]]), SnapshotTable[[#This Row],[LP Exp Date]] - MockToday,"")</f>
        <v/>
      </c>
      <c r="BO215" s="163" t="str">
        <f>IF(AND(SnapshotTable[[#This Row],[LP Exp Date]]&gt;0, SnapshotTable[[#This Row],[LP Strike Price]]&gt;0,SnapshotTable[[#This Row],[LP Qty]]&gt;0,SnapshotTable[[#This Row],[LP Book Date]]&gt;0,SnapshotTable[[#This Row],[LP Book Price]]&gt;0,SnapshotTable[[#This Row],[LP Fill Date]]=0),"Y","")</f>
        <v/>
      </c>
      <c r="BP215" s="31" t="str">
        <f>IF(AND(SnapshotTable[[#This Row],[LP No Fill]]&lt;&gt;"Y",SnapshotTable[[#This Row],[LP Contract Value]]&gt;0, SnapshotTable[[#This Row],[LP Qty]]&gt;0), SnapshotTable[[#This Row],[LP Contract Value]]*SnapshotTable[[#This Row],[LP Qty]]*100,"")</f>
        <v/>
      </c>
      <c r="BQ215" s="13"/>
      <c r="BR215" s="5" t="str">
        <f>IF(SnapshotTable[[#This Row],[SP Exp Date]]&lt;&gt;"",TRUNC(SnapshotTable[[#This Row],[Last Price]]),"")</f>
        <v/>
      </c>
      <c r="BS215" s="36"/>
      <c r="BT215" s="147"/>
      <c r="BU215" s="13"/>
      <c r="BV215" s="5"/>
      <c r="BW215" s="419" t="b">
        <f>AND(ISNUMBER(SnapshotTable[[#This Row],[SP Exp Date]]), ISNUMBER(SnapshotTable[[#This Row],[SP Strike Price]]), ISNUMBER(SnapshotTable[[#This Row],[SP Qty]]), ISNUMBER(SnapshotTable[[#This Row],[SP Book Date]]), ISNUMBER(SnapshotTable[[#This Row],[SP Book Price]]))</f>
        <v>0</v>
      </c>
      <c r="BX215" s="419" t="b">
        <f>AND(SnapshotTable[[#This Row],[SP Is Booked]], NOT(ISBLANK(SnapshotTable[[#This Row],[SP Fill Date]])))</f>
        <v>0</v>
      </c>
      <c r="BY215" s="33">
        <f>IF(SnapshotTable[[#This Row],[SP Is Booked]], SnapshotTable[[#This Row],[SP Qty]] * SnapshotTable[[#This Row],[SP Book Price]] * 100, 0)</f>
        <v>0</v>
      </c>
      <c r="BZ215" s="369"/>
      <c r="CA215" s="368">
        <f>SnapshotTable[[#This Row],[LP Qty]]</f>
        <v>0</v>
      </c>
      <c r="CB215" s="4" t="str">
        <f>IF(SnapshotTable[[#This Row],[SP Is Booked]], SnapshotTable[[#This Row],[SP Strike Price]] - SnapshotTable[[#This Row],[SP Book Price]], "")</f>
        <v/>
      </c>
      <c r="CC215" s="19" t="str">
        <f>IF(SnapshotTable[[#This Row],[SP Is Booked]],SnapshotTable[[#This Row],[SP Exp Date]]-MAX(SnapshotTable[[#This Row],[SP Book Date]], SnapshotTable[[#This Row],[SP Fill Date]]),"")</f>
        <v/>
      </c>
      <c r="CD215" s="7" t="str">
        <f>IF(SnapshotTable[[#This Row],[SP Is Booked]], SnapshotTable[[#This Row],[SP Book Price]]/SnapshotTable[[#This Row],[SP Strike Price]], "")</f>
        <v/>
      </c>
      <c r="CE215" s="7" t="str">
        <f>IF(ISNUMBER(SnapshotTable[[#This Row],[SP ROO Term]]),SnapshotTable[[#This Row],[SP ROO Term]]*(365/SnapshotTable[[#This Row],[SP Term]]),"")</f>
        <v/>
      </c>
      <c r="CF215" s="236">
        <f>SnapshotTable[[#This Row],[LP Strike Price]] * SnapshotTable[[#This Row],[LP Qty]] * 100</f>
        <v>0</v>
      </c>
      <c r="CG215" s="31" t="e">
        <f>IF(ISNUMBER(SnapshotTable[[#This Row],[SP Premium]]), (SnapshotTable[[#This Row],[SP Qty]] * SnapshotTable[[#This Row],[SP Strike Price]]* 100) - SnapshotTable[[#This Row],[LP Protection]], 0)</f>
        <v>#VALUE!</v>
      </c>
      <c r="CH215" s="7" t="str">
        <f>IF(ISNUMBER(SnapshotTable[[#This Row],[SP Break Even]]),-1 * (SnapshotTable[[#This Row],[SP Break Even]] - SnapshotTable[[#This Row],[Last Price]]) / SnapshotTable[[#This Row],[Last Price]], "")</f>
        <v/>
      </c>
      <c r="CI215" s="31">
        <f>IF(AND(ISNUMBER((SnapshotTable[[#This Row],[SP Potential Spend]])), SnapshotTable[[#This Row],[SP Strike Price]] &gt; SnapshotTable[[#This Row],[Last Price]], SnapshotTable[[#This Row],[SP Is Filled]]), SnapshotTable[[#This Row],[SP Potential Spend]] -  SnapshotTable[[#This Row],[LP Max Value]], 0)</f>
        <v>0</v>
      </c>
      <c r="CJ215" s="244"/>
      <c r="CK215" s="31" t="str">
        <f>IF(ISNUMBER(SnapshotTable[[#This Row],[SP Potential Spend]]),IF(ISNUMBER(SnapshotTable[[#This Row],[SP POW]]), SnapshotTable[[#This Row],[SP POW]] * SnapshotTable[[#This Row],[SP Potential Spend]], SnapshotTable[[#This Row],[SP Potential Spend]]), "")</f>
        <v/>
      </c>
      <c r="CL215" s="164" t="e">
        <f>IF(NOT(SnapshotTable[[#This Row],[SP Is Filled]]),(SnapshotTable[[#This Row],[SP Qty]] * SnapshotTable[[#This Row],[SP Strike Price]] * 100) - SnapshotTable[[#This Row],[LP Max Value]],"")</f>
        <v>#VALUE!</v>
      </c>
      <c r="CM215" s="31" t="str">
        <f>IF(SnapshotTable[[#This Row],[SP Actual Spend]]&lt;&gt;0, ((SnapshotTable[[#This Row],[SP Strike Price]]-SnapshotTable[[#This Row],[Last Price]]) *(SnapshotTable[[#This Row],[SP Qty]]*100) - SnapshotTable[[#This Row],[SP Premium]]) * - 1, "")</f>
        <v/>
      </c>
      <c r="CN215" s="78"/>
      <c r="CO215" s="369"/>
      <c r="CP215" s="4" t="str">
        <f>IF(SnapshotTable[[#This Row],[SP Is Filled]], btc_max_buyback_amount(SnapshotTable[[#This Row],[SP Fill Date]],SnapshotTable[[#This Row],[SP Exp Date]], SnapshotTable[[#This Row],[SP Book Price]]),"")</f>
        <v/>
      </c>
      <c r="CQ215" s="78"/>
      <c r="CR21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5" s="155" t="str">
        <f>IF(SnapshotTable[[#This Row],[SP Is Filled]], btc_next_cutoff_date(SnapshotTable[[#This Row],[SP Fill Date]],SnapshotTable[[#This Row],[SP Exp Date]]),"")</f>
        <v/>
      </c>
      <c r="CT215" s="235" t="str" cm="1">
        <f t="array" ref="CT215">IF(SnapshotTable[[#This Row],[SP Is Filled]], btc_should_buy_back(SnapshotTable[[#This Row],[SP Fill Date]], SnapshotTable[[#This Row],[SP Exp Date]], SnapshotTable[[#This Row],[SP Book Price]], SnapshotTable[[#This Row],[SP Current Ask]], MockToday, SnapshotTable[[#This Row],[SP Buyback Override]]),"")</f>
        <v/>
      </c>
      <c r="CU215" s="143"/>
      <c r="CV215" s="235"/>
      <c r="CW215" s="378" t="str">
        <f>IF(ISNUMBER( SnapshotTable[[#This Row],[SP Term]]), SnapshotTable[[#This Row],[SP Exp Date]] - MockToday,"")</f>
        <v/>
      </c>
      <c r="CX215" s="31" t="str">
        <f>IF(SnapshotTable[[#This Row],[SP Is Filled]],SnapshotTable[[#This Row],[SP Buyback Price to Use]] * 100 * SnapshotTable[[#This Row],[SP Qty]], "")</f>
        <v/>
      </c>
      <c r="CY215" s="4" t="str">
        <f>IF(ISNUMBER(SnapshotTable[[#This Row],[SP Strike Price]]), SnapshotTable[[#This Row],[SP Strike Price]] * (1 - SP_MaxLoss_StrikePct), "")</f>
        <v/>
      </c>
      <c r="CZ215" s="31" t="str">
        <f>IF(ISNUMBER(SnapshotTable[[#This Row],[SP Strike  Stop Per Share]]),SnapshotTable[[#This Row],[SP Premium]] - ((SnapshotTable[[#This Row],[SP Strike Price]]-SnapshotTable[[#This Row],[SP Strike  Stop Per Share]]) *(SnapshotTable[[#This Row],[SP Qty]] * 100)),"")</f>
        <v/>
      </c>
      <c r="DA215" s="4" t="str">
        <f>IF(AND(ISNUMBER(SnapshotTable[[#This Row],[SP Premium]]),SnapshotTable[[#This Row],[SP Premium]]&gt;0), SnapshotTable[[#This Row],[SP Book Price]] * (1 + SP_MaxLoss_OptionPct), "")</f>
        <v/>
      </c>
      <c r="DB215" s="31" t="str">
        <f>IF(ISNUMBER(SnapshotTable[[#This Row],[SP Option  Stop Contract]]),(SnapshotTable[[#This Row],[SP Option  Stop Contract]] *(SnapshotTable[[#This Row],[SP Qty]] * 100) - SnapshotTable[[#This Row],[SP Premium]]),"")</f>
        <v/>
      </c>
      <c r="DC215" s="4"/>
      <c r="DD215" s="4"/>
      <c r="DE215" s="4" t="str">
        <f>IF(AND(SnapshotTable[[#This Row],[SP Qty]]&gt;0, SnapshotTable[[#This Row],[SP Stop To Use]]&gt;0),SnapshotTable[[#This Row],[SP Premium]] - ( SnapshotTable[[#This Row],[SP Qty]] * SnapshotTable[[#This Row],[SP Stop To Use]] * 100), "")</f>
        <v/>
      </c>
      <c r="DF215" s="31" t="str">
        <f>IF(AND(SnapshotTable[[#This Row],[SP Qty]]&gt;0,SnapshotTable[[#This Row],[SP Current Ask]]&gt;0), SnapshotTable[[#This Row],[SP Qty]] * SnapshotTable[[#This Row],[SP Current Ask]] * -100, "")</f>
        <v/>
      </c>
      <c r="DG215" s="31" t="str">
        <f>IF(ISNUMBER((SnapshotTable[[#This Row],[SP Total Value]])), SnapshotTable[[#This Row],[SP Premium]] + SnapshotTable[[#This Row],[SP Total Value]], "")</f>
        <v/>
      </c>
      <c r="DH215" s="294" t="str">
        <f>IF(ISNUMBER((SnapshotTable[[#This Row],[SP Total Value]])), SnapshotTable[[#This Row],[SP Gain Loss]] / SnapshotTable[[#This Row],[SP Premium]], "")</f>
        <v/>
      </c>
      <c r="DI215" s="406"/>
      <c r="DJ215" s="138"/>
      <c r="DK215" s="148"/>
      <c r="DL215" s="13"/>
      <c r="DM215" s="13"/>
      <c r="DO215" s="31">
        <f>IF(SnapshotTable[[#This Row],[LC Symbol Count]]=1, SnapshotTable[[#This Row],[LC Qty]] * SnapshotTable[[#This Row],[LC Book Price]] * 100, 0)</f>
        <v>0</v>
      </c>
      <c r="DP215" s="163" t="str">
        <f>IF(AND(SnapshotTable[[#This Row],[LC Exp Date]]&gt;0, SnapshotTable[[#This Row],[LC Strike Price]]&gt;0,SnapshotTable[[#This Row],[LC Qty]]&gt;0,SnapshotTable[[#This Row],[LC Book Date]]&gt;0,SnapshotTable[[#This Row],[LC Book Price]]&gt;0,SnapshotTable[[#This Row],[LC Fill Date]]=0),"Y","")</f>
        <v/>
      </c>
      <c r="DQ215" s="386" t="str">
        <f>IF(SnapshotTable[[#This Row],[LC Premium]] &gt; 0,SnapshotTable[[#This Row],[LC Exp Date]]-MAX(SnapshotTable[[#This Row],[LC Book Date]], SnapshotTable[[#This Row],[LC Fill Date]]),"")</f>
        <v/>
      </c>
      <c r="DR215" s="386" t="str">
        <f>IF(ISNUMBER(SnapshotTable[[#This Row],[LC Term]]), SnapshotTable[[#This Row],[LC Exp Date]] - MockToday, "")</f>
        <v/>
      </c>
      <c r="DS215" s="234" t="str">
        <f>IF(SnapshotTable[[#This Row],[LC Premium]]&gt;0,SnapshotTable[[#This Row],[LC Strike Price]] + SnapshotTable[[#This Row],[LC Book Price]],"")</f>
        <v/>
      </c>
      <c r="DU215" s="9" t="str">
        <f>IF(AND(SnapshotTable[[#This Row],[LC Symbol Count]]&gt;0, SnapshotTable[[#This Row],[LC Contract Value]]&gt;0), SnapshotTable[[#This Row],[LC Contract Value]] * SnapshotTable[[#This Row],[LC Qty]] * 100, "")</f>
        <v/>
      </c>
      <c r="DV215" s="9" t="str">
        <f>IF(AND(ISNUMBER(SnapshotTable[[#This Row],[LC Total Value]]), SnapshotTable[[#This Row],[LC Not Filled]]&lt;&gt;"Y"), SnapshotTable[[#This Row],[LC Total Value]]-SnapshotTable[[#This Row],[LC Premium]],"")</f>
        <v/>
      </c>
      <c r="DW215" s="240" t="str">
        <f>IF(ISNUMBER(SnapshotTable[[#This Row],[LC Actual Gain Loss]]), SnapshotTable[[#This Row],[LC Actual Gain Loss]] / SnapshotTable[[#This Row],[LC Premium]],"")</f>
        <v/>
      </c>
      <c r="DX215" s="284" t="str">
        <f>IF(ISNUMBER(SnapshotTable[[#This Row],[LC Book Price]]),SnapshotTable[[#This Row],[LC Book Price]] * 1.5,"")</f>
        <v/>
      </c>
      <c r="DY215" s="265" t="str">
        <f>IF(SnapshotTable[[#This Row],[LC Premium]]&gt;0, SnapshotTable[[#This Row],[LC Next Target]] * SnapshotTable[[#This Row],[LC Qty]] * 100,"")</f>
        <v/>
      </c>
      <c r="DZ215" s="265" t="str">
        <f>IF(ISNUMBER(SnapshotTable[[#This Row],[LC Target Gross]]), SnapshotTable[[#This Row],[LC Target Gross]] - SnapshotTable[[#This Row],[LC Premium]], "")</f>
        <v/>
      </c>
      <c r="EA215" s="305" t="str">
        <f>IF(ISNUMBER(SnapshotTable[[#This Row],[LC Target Gain Loss]]), SnapshotTable[[#This Row],[LC Target Gain Loss]]/SnapshotTable[[#This Row],[LC Premium]], "")</f>
        <v/>
      </c>
      <c r="EB215" s="262"/>
      <c r="EC215" s="283" t="str">
        <f>IF(SnapshotTable[[#This Row],[LC Premium]]&gt;0, SnapshotTable[[#This Row],[LC Book Price]] * (1 - LC_StopLoss_Pct),"")</f>
        <v/>
      </c>
      <c r="ED215" s="284"/>
      <c r="EE215" s="283" t="str">
        <f>IF(ISNUMBER(SnapshotTable[[#This Row],[LC Contract Value]]),IF(ISNUMBER(SnapshotTable[[#This Row],[LC Stop Loss Override]]), SnapshotTable[[#This Row],[LC Stop Loss Override]],SnapshotTable[[#This Row],[LC Stop Loss Calc Target]]),"")</f>
        <v/>
      </c>
      <c r="EF215" s="31" t="str">
        <f>IF(ISNUMBER(SnapshotTable[[#This Row],[LC Stop  To Use]]), (SnapshotTable[[#This Row],[LC Stop  To Use]] * SnapshotTable[[#This Row],[LC Qty]] * 100),"")</f>
        <v/>
      </c>
      <c r="EG215" s="9" t="str">
        <f>IF(ISNUMBER(SnapshotTable[[#This Row],[LC Total Value]]),SnapshotTable[[#This Row],[LC Stop Loss Amount]] - SnapshotTable[[#This Row],[LC Premium]],"")</f>
        <v/>
      </c>
      <c r="EH215" s="9">
        <f>IF(ISNUMBER(SnapshotTable[[#This Row],[LC Premium]]), SnapshotTable[[#This Row],[LC Qty]] * 100 * SnapshotTable[[#This Row],[LC Strike Price]], "")</f>
        <v>0</v>
      </c>
      <c r="EI215" s="240" t="str">
        <f>IF(AND(ISNUMBER(SnapshotTable[[#This Row],[LC Total Value]]),SnapshotTable[[#This Row],[LC Total Value]]&gt;0),SnapshotTable[[#This Row],[LC Stop Gain Loss]]  / SnapshotTable[[#This Row],[LC Premium]],"")</f>
        <v/>
      </c>
      <c r="EJ215" s="35">
        <f>IF(ISNUMBER(SnapshotTable[[#This Row],[Equity Shares]]),TRUNC(SnapshotTable[[#This Row],[Equity Shares]] / 100),0) + SnapshotTable[[#This Row],[LC Qty]]</f>
        <v>0</v>
      </c>
      <c r="EK215" s="147"/>
      <c r="EL215" s="138" t="str">
        <f>IF(SnapshotTable[[#This Row],[SC Exp Date]]&lt;&gt;"",TRUNC(SnapshotTable[[#This Row],[Last Price]]),"")</f>
        <v/>
      </c>
      <c r="EM215" s="148"/>
      <c r="EN215" s="147"/>
      <c r="EO215" s="147"/>
      <c r="EP215" s="138"/>
      <c r="EQ215" s="419" t="b">
        <f>AND(ISNUMBER(SnapshotTable[[#This Row],[SC Exp Date]]), ISNUMBER(SnapshotTable[[#This Row],[SC Strike Price]]), ISNUMBER(SnapshotTable[[#This Row],[SC Qty]]), ISNUMBER(SnapshotTable[[#This Row],[SC Book Date]]), ISNUMBER(SnapshotTable[[#This Row],[SC Book Price]]))</f>
        <v>0</v>
      </c>
      <c r="ER215" s="419" t="b">
        <f>AND(SnapshotTable[[#This Row],[SC Is Booked]], NOT(ISBLANK(SnapshotTable[[#This Row],[SC Fill Date]])))</f>
        <v>0</v>
      </c>
      <c r="ES215" s="370"/>
      <c r="ET215" s="34" t="str">
        <f>IF(AND(ISNUMBER(SnapshotTable[[#This Row],[SC Exp Date]]), ISNUMBER(SnapshotTable[[#This Row],[SC Book Date]])), SnapshotTable[[#This Row],[SC Exp Date]] - MAX(SnapshotTable[[#This Row],[SC Book Date]], SnapshotTable[[#This Row],[SC Fill Date]]) + 1, "")</f>
        <v/>
      </c>
      <c r="EU215" s="34" t="str">
        <f>IF(ISNUMBER(SnapshotTable[[#This Row],[SC Term]]), SnapshotTable[[#This Row],[SC Exp Date]]- MockToday, "")</f>
        <v/>
      </c>
      <c r="EV215" s="31">
        <f>IF(SnapshotTable[[#This Row],[SC Is Booked]], SnapshotTable[[#This Row],[SC Qty]] * SnapshotTable[[#This Row],[SC Book Price]] * 100, 0)</f>
        <v>0</v>
      </c>
      <c r="EW215" s="4" t="str">
        <f>IF(AND(ISNUMBER(SnapshotTable[[#This Row],[Last Price]]), ISNUMBER( SnapshotTable[[#This Row],[SC Book Price]])), SnapshotTable[[#This Row],[Last Price]] - SnapshotTable[[#This Row],[SC Book Price]],"")</f>
        <v/>
      </c>
      <c r="EX215" s="234" t="str">
        <f>IF(SnapshotTable[[#This Row],[SC Is Booked]],IF(SnapshotTable[[#This Row],[SC Intrinsic Value]] &gt; 0, SnapshotTable[[#This Row],[SC Strike Price]], SnapshotTable[[#This Row],[Last Price]]), "")</f>
        <v/>
      </c>
      <c r="EY215" s="4">
        <f>IF(SnapshotTable[[#This Row],[SC Is Booked]], (MinimumPremiumRequired * SnapshotTable[[#This Row],[SC Basis]] * SnapshotTable[[#This Row],[SC Term]]), 0)</f>
        <v>0</v>
      </c>
      <c r="EZ215" s="283"/>
      <c r="FA215" s="218"/>
      <c r="FB215" s="370"/>
      <c r="FC215" s="4">
        <f>IF(SnapshotTable[[#This Row],[SC Is Filled]], btc_max_buyback_amount(SnapshotTable[[#This Row],[SC Fill Date]],SnapshotTable[[#This Row],[SC Exp Date]], SnapshotTable[[#This Row],[SC Book Price]]),0)</f>
        <v>0</v>
      </c>
      <c r="FD215" s="5"/>
      <c r="FE215" s="144" t="str">
        <f>IF(SnapshotTable[[#This Row],[SC Is Filled]], btc_next_cutoff_date(SnapshotTable[[#This Row],[SC Fill Date]],SnapshotTable[[#This Row],[SC Exp Date]]),"")</f>
        <v/>
      </c>
      <c r="FF215" s="4" t="str" cm="1">
        <f t="array" ref="FF215">IF(SnapshotTable[[#This Row],[SC Is Filled]], btc_should_buy_back(SnapshotTable[[#This Row],[SC Fill Date]], SnapshotTable[[#This Row],[SC Exp Date]], SnapshotTable[[#This Row],[SC Book Price]], SnapshotTable[[#This Row],[SC Current Ask]], MockToday, SnapshotTable[[#This Row],[SC Buyback Override]]),"")</f>
        <v/>
      </c>
      <c r="FG215" s="4">
        <f>IF(SnapshotTable[[#This Row],[SC Is Filled]], MAX(0,SnapshotTable[[#This Row],[Last Price]]  - SnapshotTable[[#This Row],[SC Strike Price]]), 0)</f>
        <v>0</v>
      </c>
      <c r="FH215" s="382">
        <f>IF(SnapshotTable[[#This Row],[SC Is Filled]], IF(ISNUMBER(SnapshotTable[[#This Row],[SC Current Ask]]), SnapshotTable[[#This Row],[SC Current Ask]], SnapshotTable[[#This Row],[SC Book Price]]) - SnapshotTable[[#This Row],[SC Intrinsic Value]], 0)</f>
        <v>0</v>
      </c>
      <c r="FI215" s="143"/>
      <c r="FJ215" s="32" t="str">
        <f>IF(SnapshotTable[[#This Row],[SC Is Filled]],100 * SnapshotTable[[#This Row],[SC Qty]] * IF(ISNUMBER(SnapshotTable[[#This Row],[SC Buyback Override]]), SnapshotTable[[#This Row],[SC Buyback Override]], SnapshotTable[[#This Row],[SC Current Ask]]), "")</f>
        <v/>
      </c>
      <c r="FK215" s="250" t="str">
        <f>IF(SnapshotTable[[#This Row],[SC Time Val]]&gt;0, SnapshotTable[[#This Row],[SC Time Val]] / SnapshotTable[[#This Row],[Last Price]],"")</f>
        <v/>
      </c>
      <c r="FL215" s="302" t="str">
        <f>IF(SnapshotTable[[#This Row],[SC Is Booked]], ((SnapshotTable[[#This Row],[Last Price]] -SnapshotTable[[#This Row],[SC Strike Price]]) / SnapshotTable[[#This Row],[Last Price]]) * -1, "")</f>
        <v/>
      </c>
      <c r="FM215" s="157" t="str">
        <f>IF(SnapshotTable[[#This Row],[SC Is Booked]],  (SnapshotTable[[#This Row],[SC Qty]] * 100 * SnapshotTable[[#This Row],[SC Strike Price]]) - SnapshotTable[[#This Row],[SC Current Ask]], "")</f>
        <v/>
      </c>
      <c r="FN21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5" s="31" t="str">
        <f>IF(AND(ISNUMBER(SnapshotTable[[#This Row],[SC Exercise Gross]]), ISNUMBER(SnapshotTable[[#This Row],[Equity Basis Per Share]] )), SnapshotTable[[#This Row],[SC Exercise Gross]] - SnapshotTable[[#This Row],[Equity Basis Total]] +  SnapshotTable[[#This Row],[SC Premium]], "")</f>
        <v/>
      </c>
      <c r="FP215" s="5" t="str">
        <f>IF(ISNUMBER(SnapshotTable[[#This Row],[SC Exercise Gross]]), (SnapshotTable[[#This Row],[SC Exercise Gross]]) / (SnapshotTable[[#This Row],[SC Qty]] * 100), "")</f>
        <v/>
      </c>
      <c r="FQ215" s="27" t="str">
        <f>IF(SnapshotTable[[#This Row],[SC Is Booked]],SnapshotTable[[#This Row],[SC Time Val]] /SnapshotTable[[#This Row],[SC Basis]], "")</f>
        <v/>
      </c>
      <c r="FR215" s="27" t="str" cm="1">
        <f t="array" ref="FR215">IF(AND(ISNUMBER(SnapshotTable[[#This Row],[SC Term]]),ISNUMBER(SnapshotTable[[#This Row],[SC Simple ROO]])), EllmanAnnualize(SnapshotTable[[#This Row],[SC DTE]], SnapshotTable[[#This Row],[SC Simple ROO]] ),"")</f>
        <v/>
      </c>
      <c r="FS215" s="4" t="e">
        <f>IF(SnapshotTable[[#This Row],[SC Strike Price]] &gt; SnapshotTable[[#This Row],[Last Price]], SnapshotTable[[#This Row],[SC Strike Price]] - SnapshotTable[[#This Row],[Last Price]],0)</f>
        <v>#VALUE!</v>
      </c>
      <c r="FT215" s="27" t="e">
        <f>IF(AND(ISNUMBER(SnapshotTable[[#This Row],[SC Upside Potential]]), SnapshotTable[[#This Row],[SC Upside Potential]] &gt; 0),(SnapshotTable[[#This Row],[SC Upside Potential]]/ SnapshotTable[[#This Row],[ACB]]),"")</f>
        <v>#VALUE!</v>
      </c>
      <c r="FU215" s="333" t="str">
        <f>IF(SnapshotTable[[#This Row],[SC Intrinsic Value]] &gt; 0,SnapshotTable[[#This Row],[SC Intrinsic Value]],"")</f>
        <v/>
      </c>
      <c r="FV215" s="27" t="str">
        <f>IF(AND( ISNUMBER( SnapshotTable[[#This Row],[ACB]]),ISNUMBER(SnapshotTable[[#This Row],[SC Downside Protect]])),SnapshotTable[[#This Row],[SC Downside Protect]] / SnapshotTable[[#This Row],[ACB]],"")</f>
        <v/>
      </c>
      <c r="FW215" s="236" t="str">
        <f>IF(AND(ISNUMBER(SnapshotTable[[#This Row],[SC Simple ROO]]),SnapshotTable[[#This Row],[SC Simple ROO]] &gt; 0), SnapshotTable[[#This Row],[SC Premium]] + (SnapshotTable[[#This Row],[SC Qty]] * SnapshotTable[[#This Row],[SC Upside Potential]]), "")</f>
        <v/>
      </c>
      <c r="FX215" s="302" t="str" cm="1">
        <f t="array" ref="FX215">IF(ISNUMBER(SnapshotTable[[#This Row],[SC Max Dollars]]), annualize(SnapshotTable[[#This Row],[SC Term]],(SnapshotTable[[#This Row],[SC Max Dollars]]/SnapshotTable[[#This Row],[SC Basis]])),"")</f>
        <v/>
      </c>
      <c r="FY215" s="236" t="str">
        <f>IF(AND(SnapshotTable[[#This Row],[SC Qty]]&gt;0,SnapshotTable[[#This Row],[SC Current Ask]]&gt;0), SnapshotTable[[#This Row],[SC Qty]] * SnapshotTable[[#This Row],[SC Current Ask]] * -100, "")</f>
        <v/>
      </c>
      <c r="FZ215" s="31" t="str">
        <f>IF(ISNUMBER((SnapshotTable[[#This Row],[SC Current Value]])), SnapshotTable[[#This Row],[SC Premium]] + SnapshotTable[[#This Row],[SC Current Value]], "")</f>
        <v/>
      </c>
      <c r="GA215" s="294" t="str">
        <f>IFERROR( IF(ISNUMBER((SnapshotTable[[#This Row],[SC Current Value]])), SnapshotTable[[#This Row],[SC Gain Loss]] / SnapshotTable[[#This Row],[SC Premium]], ""), "")</f>
        <v/>
      </c>
      <c r="GB215" s="42">
        <f>SnapshotTable[[#This Row],[Equity Shares]] * SaleSharesToConsiderPercentage</f>
        <v>0</v>
      </c>
      <c r="GC215" s="40">
        <f>SnapshotTable[[#This Row],[Long Term Target]] * SellingPriceToConsiderBasedOnTargetPercentage</f>
        <v>12.501999999999999</v>
      </c>
      <c r="GD215" s="40">
        <f>SnapshotTable[[#This Row],[Last Price]] * (1+ SellingPriceToConsiderBasedOnTargetPercentage)</f>
        <v>45.064499999999995</v>
      </c>
      <c r="GE215" s="41"/>
      <c r="GF215" s="40"/>
      <c r="GG215" s="31">
        <f>SnapshotTable[[#This Row],[Booked Sale Shares]] * SnapshotTable[[#This Row],[Booked Sale Price]]</f>
        <v>0</v>
      </c>
      <c r="GH215" s="31" t="str">
        <f>IF(SnapshotTable[[#This Row],[Equity Basis Total]] &gt; 0, SnapshotTable[[#This Row],[Equity Basis Per Share]] * SnapshotTable[[#This Row],[Booked Sale Shares]], "")</f>
        <v/>
      </c>
      <c r="GI215" s="31">
        <f>IF(SnapshotTable[[#This Row],[Sale Proceeds]]&gt;0, SnapshotTable[[#This Row],[Sale Proceeds]] - SnapshotTable[[#This Row],[Sale Basis]], 0)</f>
        <v>0</v>
      </c>
      <c r="GJ215" s="27" t="str">
        <f>IF(SnapshotTable[[#This Row],[Sale G/L]]&gt;0, SnapshotTable[[#This Row],[Sale G/L]] / SnapshotTable[[#This Row],[Sale Basis]], IF(ISNUMBER(SnapshotTable[[#This Row],[SC Exercise P&amp;L (TAX)]]), SnapshotTable[[#This Row],[SC Exercise P&amp;L (TAX)]] / SnapshotTable[[#This Row],[SC Basis]], ""))</f>
        <v/>
      </c>
      <c r="GK215" s="27" t="s">
        <v>729</v>
      </c>
      <c r="GL215" s="43" t="str">
        <f>IF(AND(SnapshotTable[[#This Row],[LP Exp Date]]&gt;0,SnapshotTable[[#This Row],[LP Strike Price]]&gt;0), [1]!ToOptionSymbol(SnapshotTable[[#This Row],[Symbol]], SnapshotTable[[#This Row],[LP Strike Price]],SnapshotTable[[#This Row],[LP Exp Date]],1), "")</f>
        <v/>
      </c>
      <c r="GM215" s="30" t="str">
        <f>IF(LEN(SnapshotTable[[#This Row],[LP Symbol]])&gt;0, 1, "")</f>
        <v/>
      </c>
      <c r="GN215" s="43" t="str">
        <f>IF(AND(SnapshotTable[[#This Row],[SP Exp Date]]&gt;0,SnapshotTable[[#This Row],[SP Strike Price]]&gt;0), [1]!ToOptionSymbol(SnapshotTable[[#This Row],[Symbol]], SnapshotTable[[#This Row],[SP Strike Price]],SnapshotTable[[#This Row],[SP Exp Date]],1), "")</f>
        <v/>
      </c>
      <c r="GO215" s="30" t="str">
        <f>IF(LEN(SnapshotTable[[#This Row],[SP Symbol]])&gt;0, 1, "")</f>
        <v/>
      </c>
      <c r="GP215" s="43" t="str">
        <f>IF(AND(SnapshotTable[[#This Row],[LC Exp Date]]&gt;0,SnapshotTable[[#This Row],[LC Strike Price]]&gt;0), [1]!ToOptionSymbol(SnapshotTable[[#This Row],[Symbol]], SnapshotTable[[#This Row],[LC Strike Price]],SnapshotTable[[#This Row],[LC Exp Date]],0), "")</f>
        <v/>
      </c>
      <c r="GQ215" s="30" t="str">
        <f>IF(LEN(SnapshotTable[[#This Row],[LC Symbol]])&gt;0, 1, "")</f>
        <v/>
      </c>
      <c r="GR215" s="43" t="str">
        <f>IF(AND(SnapshotTable[[#This Row],[SC Exp Date]]&gt;0,SnapshotTable[[#This Row],[SC Strike Price]]&gt;0), [1]!ToOptionSymbol(SnapshotTable[[#This Row],[Symbol]], SnapshotTable[[#This Row],[SC Strike Price]],SnapshotTable[[#This Row],[SC Exp Date]],0), "")</f>
        <v/>
      </c>
      <c r="GS215" s="30" t="str">
        <f>IF(LEN(SnapshotTable[[#This Row],[SC Symbol]])&gt;0, 1, "")</f>
        <v/>
      </c>
      <c r="GT215" s="29" t="str">
        <f>IF(COUNT(SnapshotTable[[#This Row],[LP Symbol Count]],SnapshotTable[[#This Row],[SP Symbol Count]],SnapshotTable[[#This Row],[LC Symbol Count]],SnapshotTable[[#This Row],[SC Symbol Count]])&gt;0, "Y", "")</f>
        <v/>
      </c>
      <c r="GU21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5" s="231" t="e">
        <f>MAX(SnapshotTable[[#This Row],[Equity Basis Total]],SnapshotTable[[#This Row],[Equity Value]]) + (SnapshotTable[[#This Row],[SP Potential Spend]]- SnapshotTable[[#This Row],[SP Premium]] + SnapshotTable[[#This Row],[LP Premium]])+ (SnapshotTable[[#This Row],[LC Premium]] - SnapshotTable[[#This Row],[SC Premium]])</f>
        <v>#VALUE!</v>
      </c>
      <c r="GW215" s="139" t="e">
        <f>IF(AND(SnapshotTable[[#This Row],[Exposure]] &lt;&gt; 0),SnapshotTable[[#This Row],[Exposure]] / SnapshotTable[[#Totals],[Exposure]], "")</f>
        <v>#VALUE!</v>
      </c>
      <c r="GX215" s="46"/>
      <c r="HE215" s="268"/>
      <c r="HF215" s="268"/>
      <c r="HK215" s="1"/>
      <c r="HL215" s="1"/>
      <c r="HM215" s="1"/>
      <c r="HN215" s="1"/>
      <c r="HO215" s="1"/>
      <c r="HP215" s="1"/>
    </row>
    <row r="216" spans="2:224" ht="12.75" hidden="1" customHeight="1" x14ac:dyDescent="0.25">
      <c r="B216" s="12" t="s">
        <v>900</v>
      </c>
      <c r="C216" s="422">
        <v>24.24</v>
      </c>
      <c r="D216" s="208"/>
      <c r="E216" s="39">
        <f>SnapshotTable[[#This Row],[Last Price]]*(1 -CrashDiscount)</f>
        <v>20.603999999999999</v>
      </c>
      <c r="F216" s="26" t="s">
        <v>550</v>
      </c>
      <c r="G216" s="26" t="s">
        <v>41</v>
      </c>
      <c r="H216" s="149"/>
      <c r="I216" s="194">
        <v>44763.270833333336</v>
      </c>
      <c r="J216" s="195">
        <v>44763.270833333336</v>
      </c>
      <c r="K216" s="196"/>
      <c r="L216" s="326"/>
      <c r="M216" s="140"/>
      <c r="N216" s="140"/>
      <c r="O216" s="140"/>
      <c r="P216" s="22"/>
      <c r="Q216" s="25"/>
      <c r="R216" s="4" t="str">
        <f>IF(SnapshotTable[[#This Row],[Equity Basis Total]] &gt; 0, SnapshotTable[[#This Row],[Equity Basis Total]] / SnapshotTable[[#This Row],[Equity Shares]], "")</f>
        <v/>
      </c>
      <c r="S216" s="269">
        <f>SnapshotTable[[#This Row],[Last Price]] * SnapshotTable[[#This Row],[Equity Shares]]</f>
        <v>0</v>
      </c>
      <c r="T216" s="269">
        <f>SnapshotTable[[#This Row],[Equity Value]] - SnapshotTable[[#This Row],[Equity Basis Total]]</f>
        <v>0</v>
      </c>
      <c r="U216" s="270" t="str">
        <f>IF(SnapshotTable[[#This Row],[Equity Basis Total]] &gt; 0, SnapshotTable[[#This Row],[Equity G/L]] / SnapshotTable[[#This Row],[Equity Basis Total]], "")</f>
        <v/>
      </c>
      <c r="V216" s="268"/>
      <c r="W216" s="268"/>
      <c r="X216" s="4" t="str">
        <f>IF(AND(ISNUMBER(SnapshotTable[[#This Row],[Equity Basis Per Share]]),ISNUMBER(SnapshotTable[[#This Row],[Equity Target]])),SnapshotTable[[#This Row],[Equity Target]]-SnapshotTable[[#This Row],[Equity Basis Per Share]],"")</f>
        <v/>
      </c>
      <c r="Y216" s="4" t="str">
        <f>IF(AND(ISNUMBER(SnapshotTable[[#This Row],[Equity Basis Per Share]]),ISNUMBER(SnapshotTable[[#This Row],[Equity Stop Loss]])),SnapshotTable[[#This Row],[Equity Stop Loss]]-SnapshotTable[[#This Row],[Equity Basis Per Share]],"")</f>
        <v/>
      </c>
      <c r="Z216" s="275" t="str">
        <f>IFERROR( TEXT(SnapshotTable[[#This Row],[Equity Max Gain Per Share]] /ABS( SnapshotTable[[#This Row],[Equity Max Loss Per Share]]),"0.0 " ) &amp; " : 1", "")</f>
        <v/>
      </c>
      <c r="AA216" s="31" t="str">
        <f>IF(ISNUMBER(SnapshotTable[[#This Row],[Equity Max Gain Per Share]]),SnapshotTable[[#This Row],[Equity Max Gain Per Share]] * SnapshotTable[[#This Row],[Equity Shares]],"")</f>
        <v/>
      </c>
      <c r="AB216" s="31" t="str">
        <f>IF(ISNUMBER(SnapshotTable[[#This Row],[Equity Max Loss Per Share]]),SnapshotTable[[#This Row],[Equity Max Loss Per Share]] * SnapshotTable[[#This Row],[Equity Shares]],"")</f>
        <v/>
      </c>
      <c r="AC216" s="150"/>
      <c r="AD216" s="151"/>
      <c r="AE216" s="31">
        <f>(SnapshotTable[[#This Row],[Annual Dividend Per Share]] / 4) * SnapshotTable[[#This Row],[Equity Shares]]</f>
        <v>0</v>
      </c>
      <c r="AF216" s="31">
        <f>SnapshotTable[[#This Row],[Quarterly Div $]] * 4</f>
        <v>0</v>
      </c>
      <c r="AG216" s="7">
        <f>IF(SnapshotTable[[#This Row],[Annual Dividend Per Share]]&gt;0, SnapshotTable[[#This Row],[Annual Dividend Per Share]]  / SnapshotTable[[#This Row],[Last Price]], 0)</f>
        <v>0</v>
      </c>
      <c r="AH216" s="151"/>
      <c r="AI216" s="5"/>
      <c r="AJ216" s="138">
        <v>10.55</v>
      </c>
      <c r="AK216" s="152" t="str">
        <f>IF(ISNUMBER( SnapshotTable[[#This Row],[EBF Target]]),(SnapshotTable[[#This Row],[EBF Target]] - SnapshotTable[[#This Row],[Last Price]]) / SnapshotTable[[#This Row],[Last Price]], "")</f>
        <v/>
      </c>
      <c r="AL216" s="152" t="str">
        <f>IF(AND(SnapshotTable[[#This Row],[Equity Basis Total]] &gt; 0,ISNUMBER( SnapshotTable[[#This Row],[Long Term Target]])), SnapshotTable[[#This Row],[From Basis $]] / SnapshotTable[[#This Row],[Equity Basis Total]], "")</f>
        <v/>
      </c>
      <c r="AM216" s="9">
        <f>IF( AND(SnapshotTable[[#This Row],[Equity Shares]] &gt;0,ISNUMBER( SnapshotTable[[#This Row],[Long Term Target]])),(SnapshotTable[[#This Row],[Equity Shares]] * SnapshotTable[[#This Row],[Long Term Target]]) - SnapshotTable[[#This Row],[Equity Basis Total]],0)</f>
        <v>0</v>
      </c>
      <c r="AN216" s="9">
        <f>IF( AND(SnapshotTable[[#This Row],[Equity Shares]] &gt;0,ISNUMBER( SnapshotTable[[#This Row],[Long Term Target]])),(SnapshotTable[[#This Row],[Equity Shares]]*SnapshotTable[[#This Row],[Long Term Target]]) - SnapshotTable[[#This Row],[Equity Value]],0)</f>
        <v>0</v>
      </c>
      <c r="AO216" s="152">
        <f>IF(AND(ISNUMBER( SnapshotTable[[#This Row],[Long Term Target]]), ISNUMBER(SnapshotTable[[#This Row],[Last Price]])),(SnapshotTable[[#This Row],[Long Term Target]] - SnapshotTable[[#This Row],[Last Price]]) / SnapshotTable[[#This Row],[Last Price]], "")</f>
        <v>-0.56476897689768968</v>
      </c>
      <c r="AP216" s="5"/>
      <c r="AQ216" s="38"/>
      <c r="AR216" s="5"/>
      <c r="AS216" s="38"/>
      <c r="AT216" s="146"/>
      <c r="AU216" s="187" t="str">
        <f>IF(OR(SnapshotTable[[#This Row],[LP No Fill]]="Y",SnapshotTable[[#This Row],[SP Is Filled]],SnapshotTable[[#This Row],[LC Not Filled]]="Y",SnapshotTable[[#This Row],[SC Is Filled]]),"Y","")</f>
        <v/>
      </c>
      <c r="AV216" s="219"/>
      <c r="AW216" s="225"/>
      <c r="AX216" s="220"/>
      <c r="AY216" s="219" t="str">
        <f>IF(SnapshotTable[[#This Row],[Implied Move]]&gt;0, SnapshotTable[[#This Row],[Last Price]]-SnapshotTable[[#This Row],[Implied Move]],"")</f>
        <v/>
      </c>
      <c r="AZ216" s="219" t="str">
        <f>IF(SnapshotTable[[#This Row],[Implied Move]]&gt;0, SnapshotTable[[#This Row],[Last Price]] + SnapshotTable[[#This Row],[Implied Move]],"")</f>
        <v/>
      </c>
      <c r="BA216" s="331"/>
      <c r="BB216" s="347"/>
      <c r="BC21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6" s="351"/>
      <c r="BE216" s="138"/>
      <c r="BF216" s="166"/>
      <c r="BG216" s="167"/>
      <c r="BH216" s="167"/>
      <c r="BI216" s="221"/>
      <c r="BJ216" s="153">
        <f>IF(SnapshotTable[[#This Row],[LP Qty]] &gt; 0, SnapshotTable[[#This Row],[LP Qty]] * SnapshotTable[[#This Row],[LP Book Price]] * 100,0)</f>
        <v>0</v>
      </c>
      <c r="BK216" s="136">
        <f>IF(SnapshotTable[[#This Row],[LP Premium]] &gt; 0, SnapshotTable[[#This Row],[LP Qty]] * SnapshotTable[[#This Row],[LP Strike Price]] * 100,0)</f>
        <v>0</v>
      </c>
      <c r="BL216" s="154"/>
      <c r="BM216" s="385" t="str">
        <f>IF(SnapshotTable[[#This Row],[LP Premium]] &gt; 0,SnapshotTable[[#This Row],[LP Exp Date]]-MAX(SnapshotTable[[#This Row],[LP Book Date]], SnapshotTable[[#This Row],[LP Fill Date]]),"")</f>
        <v/>
      </c>
      <c r="BN216" s="385" t="str">
        <f>IF(ISNUMBER( SnapshotTable[[#This Row],[LP Term]]), SnapshotTable[[#This Row],[LP Exp Date]] - MockToday,"")</f>
        <v/>
      </c>
      <c r="BO216" s="163" t="str">
        <f>IF(AND(SnapshotTable[[#This Row],[LP Exp Date]]&gt;0, SnapshotTable[[#This Row],[LP Strike Price]]&gt;0,SnapshotTable[[#This Row],[LP Qty]]&gt;0,SnapshotTable[[#This Row],[LP Book Date]]&gt;0,SnapshotTable[[#This Row],[LP Book Price]]&gt;0,SnapshotTable[[#This Row],[LP Fill Date]]=0),"Y","")</f>
        <v/>
      </c>
      <c r="BP216" s="31" t="str">
        <f>IF(AND(SnapshotTable[[#This Row],[LP No Fill]]&lt;&gt;"Y",SnapshotTable[[#This Row],[LP Contract Value]]&gt;0, SnapshotTable[[#This Row],[LP Qty]]&gt;0), SnapshotTable[[#This Row],[LP Contract Value]]*SnapshotTable[[#This Row],[LP Qty]]*100,"")</f>
        <v/>
      </c>
      <c r="BQ216" s="13"/>
      <c r="BR216" s="5" t="str">
        <f>IF(SnapshotTable[[#This Row],[SP Exp Date]]&lt;&gt;"",TRUNC(SnapshotTable[[#This Row],[Last Price]]),"")</f>
        <v/>
      </c>
      <c r="BS216" s="36"/>
      <c r="BT216" s="147"/>
      <c r="BU216" s="13"/>
      <c r="BV216" s="5"/>
      <c r="BW216" s="419" t="b">
        <f>AND(ISNUMBER(SnapshotTable[[#This Row],[SP Exp Date]]), ISNUMBER(SnapshotTable[[#This Row],[SP Strike Price]]), ISNUMBER(SnapshotTable[[#This Row],[SP Qty]]), ISNUMBER(SnapshotTable[[#This Row],[SP Book Date]]), ISNUMBER(SnapshotTable[[#This Row],[SP Book Price]]))</f>
        <v>0</v>
      </c>
      <c r="BX216" s="419" t="b">
        <f>AND(SnapshotTable[[#This Row],[SP Is Booked]], NOT(ISBLANK(SnapshotTable[[#This Row],[SP Fill Date]])))</f>
        <v>0</v>
      </c>
      <c r="BY216" s="33">
        <f>IF(SnapshotTable[[#This Row],[SP Is Booked]], SnapshotTable[[#This Row],[SP Qty]] * SnapshotTable[[#This Row],[SP Book Price]] * 100, 0)</f>
        <v>0</v>
      </c>
      <c r="BZ216" s="369"/>
      <c r="CA216" s="368">
        <f>SnapshotTable[[#This Row],[LP Qty]]</f>
        <v>0</v>
      </c>
      <c r="CB216" s="4" t="str">
        <f>IF(SnapshotTable[[#This Row],[SP Is Booked]], SnapshotTable[[#This Row],[SP Strike Price]] - SnapshotTable[[#This Row],[SP Book Price]], "")</f>
        <v/>
      </c>
      <c r="CC216" s="19" t="str">
        <f>IF(SnapshotTable[[#This Row],[SP Is Booked]],SnapshotTable[[#This Row],[SP Exp Date]]-MAX(SnapshotTable[[#This Row],[SP Book Date]], SnapshotTable[[#This Row],[SP Fill Date]]),"")</f>
        <v/>
      </c>
      <c r="CD216" s="7" t="str">
        <f>IF(SnapshotTable[[#This Row],[SP Is Booked]], SnapshotTable[[#This Row],[SP Book Price]]/SnapshotTable[[#This Row],[SP Strike Price]], "")</f>
        <v/>
      </c>
      <c r="CE216" s="7" t="str">
        <f>IF(ISNUMBER(SnapshotTable[[#This Row],[SP ROO Term]]),SnapshotTable[[#This Row],[SP ROO Term]]*(365/SnapshotTable[[#This Row],[SP Term]]),"")</f>
        <v/>
      </c>
      <c r="CF216" s="236">
        <f>SnapshotTable[[#This Row],[LP Strike Price]] * SnapshotTable[[#This Row],[LP Qty]] * 100</f>
        <v>0</v>
      </c>
      <c r="CG216" s="31" t="e">
        <f>IF(ISNUMBER(SnapshotTable[[#This Row],[SP Premium]]), (SnapshotTable[[#This Row],[SP Qty]] * SnapshotTable[[#This Row],[SP Strike Price]]* 100) - SnapshotTable[[#This Row],[LP Protection]], 0)</f>
        <v>#VALUE!</v>
      </c>
      <c r="CH216" s="7" t="str">
        <f>IF(ISNUMBER(SnapshotTable[[#This Row],[SP Break Even]]),-1 * (SnapshotTable[[#This Row],[SP Break Even]] - SnapshotTable[[#This Row],[Last Price]]) / SnapshotTable[[#This Row],[Last Price]], "")</f>
        <v/>
      </c>
      <c r="CI216" s="31">
        <f>IF(AND(ISNUMBER((SnapshotTable[[#This Row],[SP Potential Spend]])), SnapshotTable[[#This Row],[SP Strike Price]] &gt; SnapshotTable[[#This Row],[Last Price]], SnapshotTable[[#This Row],[SP Is Filled]]), SnapshotTable[[#This Row],[SP Potential Spend]] -  SnapshotTable[[#This Row],[LP Max Value]], 0)</f>
        <v>0</v>
      </c>
      <c r="CJ216" s="244"/>
      <c r="CK216" s="31" t="str">
        <f>IF(ISNUMBER(SnapshotTable[[#This Row],[SP Potential Spend]]),IF(ISNUMBER(SnapshotTable[[#This Row],[SP POW]]), SnapshotTable[[#This Row],[SP POW]] * SnapshotTable[[#This Row],[SP Potential Spend]], SnapshotTable[[#This Row],[SP Potential Spend]]), "")</f>
        <v/>
      </c>
      <c r="CL216" s="164" t="e">
        <f>IF(NOT(SnapshotTable[[#This Row],[SP Is Filled]]),(SnapshotTable[[#This Row],[SP Qty]] * SnapshotTable[[#This Row],[SP Strike Price]] * 100) - SnapshotTable[[#This Row],[LP Max Value]],"")</f>
        <v>#VALUE!</v>
      </c>
      <c r="CM216" s="31" t="str">
        <f>IF(SnapshotTable[[#This Row],[SP Actual Spend]]&lt;&gt;0, ((SnapshotTable[[#This Row],[SP Strike Price]]-SnapshotTable[[#This Row],[Last Price]]) *(SnapshotTable[[#This Row],[SP Qty]]*100) - SnapshotTable[[#This Row],[SP Premium]]) * - 1, "")</f>
        <v/>
      </c>
      <c r="CN216" s="154"/>
      <c r="CO216" s="369"/>
      <c r="CP216" s="4" t="str">
        <f>IF(SnapshotTable[[#This Row],[SP Is Filled]], btc_max_buyback_amount(SnapshotTable[[#This Row],[SP Fill Date]],SnapshotTable[[#This Row],[SP Exp Date]], SnapshotTable[[#This Row],[SP Book Price]]),"")</f>
        <v/>
      </c>
      <c r="CQ216" s="78"/>
      <c r="CR21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6" s="155" t="str">
        <f>IF(SnapshotTable[[#This Row],[SP Is Filled]], btc_next_cutoff_date(SnapshotTable[[#This Row],[SP Fill Date]],SnapshotTable[[#This Row],[SP Exp Date]]),"")</f>
        <v/>
      </c>
      <c r="CT216" s="235" t="str" cm="1">
        <f t="array" ref="CT216">IF(SnapshotTable[[#This Row],[SP Is Filled]], btc_should_buy_back(SnapshotTable[[#This Row],[SP Fill Date]], SnapshotTable[[#This Row],[SP Exp Date]], SnapshotTable[[#This Row],[SP Book Price]], SnapshotTable[[#This Row],[SP Current Ask]], MockToday, SnapshotTable[[#This Row],[SP Buyback Override]]),"")</f>
        <v/>
      </c>
      <c r="CU216" s="156"/>
      <c r="CV216" s="235"/>
      <c r="CW216" s="378" t="str">
        <f>IF(ISNUMBER( SnapshotTable[[#This Row],[SP Term]]), SnapshotTable[[#This Row],[SP Exp Date]] - MockToday,"")</f>
        <v/>
      </c>
      <c r="CX216" s="31" t="str">
        <f>IF(SnapshotTable[[#This Row],[SP Is Filled]],SnapshotTable[[#This Row],[SP Buyback Price to Use]] * 100 * SnapshotTable[[#This Row],[SP Qty]], "")</f>
        <v/>
      </c>
      <c r="CY216" s="4" t="str">
        <f>IF(ISNUMBER(SnapshotTable[[#This Row],[SP Strike Price]]), SnapshotTable[[#This Row],[SP Strike Price]] * (1 - SP_MaxLoss_StrikePct), "")</f>
        <v/>
      </c>
      <c r="CZ216" s="31" t="str">
        <f>IF(ISNUMBER(SnapshotTable[[#This Row],[SP Strike  Stop Per Share]]),SnapshotTable[[#This Row],[SP Premium]] - ((SnapshotTable[[#This Row],[SP Strike Price]]-SnapshotTable[[#This Row],[SP Strike  Stop Per Share]]) *(SnapshotTable[[#This Row],[SP Qty]] * 100)),"")</f>
        <v/>
      </c>
      <c r="DA216" s="4" t="str">
        <f>IF(AND(ISNUMBER(SnapshotTable[[#This Row],[SP Premium]]),SnapshotTable[[#This Row],[SP Premium]]&gt;0), SnapshotTable[[#This Row],[SP Book Price]] * (1 + SP_MaxLoss_OptionPct), "")</f>
        <v/>
      </c>
      <c r="DB216" s="31" t="str">
        <f>IF(ISNUMBER(SnapshotTable[[#This Row],[SP Option  Stop Contract]]),(SnapshotTable[[#This Row],[SP Option  Stop Contract]] *(SnapshotTable[[#This Row],[SP Qty]] * 100) - SnapshotTable[[#This Row],[SP Premium]]),"")</f>
        <v/>
      </c>
      <c r="DC216" s="4"/>
      <c r="DD216" s="4"/>
      <c r="DE216" s="4" t="str">
        <f>IF(AND(SnapshotTable[[#This Row],[SP Qty]]&gt;0, SnapshotTable[[#This Row],[SP Stop To Use]]&gt;0),SnapshotTable[[#This Row],[SP Premium]] - ( SnapshotTable[[#This Row],[SP Qty]] * SnapshotTable[[#This Row],[SP Stop To Use]] * 100), "")</f>
        <v/>
      </c>
      <c r="DF216" s="31" t="str">
        <f>IF(AND(SnapshotTable[[#This Row],[SP Qty]]&gt;0,SnapshotTable[[#This Row],[SP Current Ask]]&gt;0), SnapshotTable[[#This Row],[SP Qty]] * SnapshotTable[[#This Row],[SP Current Ask]] * -100, "")</f>
        <v/>
      </c>
      <c r="DG216" s="31" t="str">
        <f>IF(ISNUMBER((SnapshotTable[[#This Row],[SP Total Value]])), SnapshotTable[[#This Row],[SP Premium]] + SnapshotTable[[#This Row],[SP Total Value]], "")</f>
        <v/>
      </c>
      <c r="DH216" s="294" t="str">
        <f>IF(ISNUMBER((SnapshotTable[[#This Row],[SP Total Value]])), SnapshotTable[[#This Row],[SP Gain Loss]] / SnapshotTable[[#This Row],[SP Premium]], "")</f>
        <v/>
      </c>
      <c r="DI216" s="406"/>
      <c r="DJ216" s="138"/>
      <c r="DK216" s="148"/>
      <c r="DL216" s="147"/>
      <c r="DM216" s="147"/>
      <c r="DO216" s="31">
        <f>IF(SnapshotTable[[#This Row],[LC Symbol Count]]=1, SnapshotTable[[#This Row],[LC Qty]] * SnapshotTable[[#This Row],[LC Book Price]] * 100, 0)</f>
        <v>0</v>
      </c>
      <c r="DP216" s="289" t="str">
        <f>IF(AND(SnapshotTable[[#This Row],[LC Exp Date]]&gt;0, SnapshotTable[[#This Row],[LC Strike Price]]&gt;0,SnapshotTable[[#This Row],[LC Qty]]&gt;0,SnapshotTable[[#This Row],[LC Book Date]]&gt;0,SnapshotTable[[#This Row],[LC Book Price]]&gt;0,SnapshotTable[[#This Row],[LC Fill Date]]=0),"Y","")</f>
        <v/>
      </c>
      <c r="DQ216" s="386" t="str">
        <f>IF(SnapshotTable[[#This Row],[LC Premium]] &gt; 0,SnapshotTable[[#This Row],[LC Exp Date]]-MAX(SnapshotTable[[#This Row],[LC Book Date]], SnapshotTable[[#This Row],[LC Fill Date]]),"")</f>
        <v/>
      </c>
      <c r="DR216" s="386" t="str">
        <f>IF(ISNUMBER(SnapshotTable[[#This Row],[LC Term]]), SnapshotTable[[#This Row],[LC Exp Date]] - MockToday, "")</f>
        <v/>
      </c>
      <c r="DS216" s="234" t="str">
        <f>IF(SnapshotTable[[#This Row],[LC Premium]]&gt;0,SnapshotTable[[#This Row],[LC Strike Price]] + SnapshotTable[[#This Row],[LC Book Price]],"")</f>
        <v/>
      </c>
      <c r="DU216" s="9" t="str">
        <f>IF(AND(SnapshotTable[[#This Row],[LC Symbol Count]]&gt;0, SnapshotTable[[#This Row],[LC Contract Value]]&gt;0), SnapshotTable[[#This Row],[LC Contract Value]] * SnapshotTable[[#This Row],[LC Qty]] * 100, "")</f>
        <v/>
      </c>
      <c r="DV216" s="9" t="str">
        <f>IF(AND(ISNUMBER(SnapshotTable[[#This Row],[LC Total Value]]), SnapshotTable[[#This Row],[LC Not Filled]]&lt;&gt;"Y"), SnapshotTable[[#This Row],[LC Total Value]]-SnapshotTable[[#This Row],[LC Premium]],"")</f>
        <v/>
      </c>
      <c r="DW216" s="240" t="str">
        <f>IF(ISNUMBER(SnapshotTable[[#This Row],[LC Actual Gain Loss]]), SnapshotTable[[#This Row],[LC Actual Gain Loss]] / SnapshotTable[[#This Row],[LC Premium]],"")</f>
        <v/>
      </c>
      <c r="DX216" s="284" t="str">
        <f>IF(ISNUMBER(SnapshotTable[[#This Row],[LC Book Price]]),SnapshotTable[[#This Row],[LC Book Price]] * 1.5,"")</f>
        <v/>
      </c>
      <c r="DY216" s="265" t="str">
        <f>IF(SnapshotTable[[#This Row],[LC Premium]]&gt;0, SnapshotTable[[#This Row],[LC Next Target]] * SnapshotTable[[#This Row],[LC Qty]] * 100,"")</f>
        <v/>
      </c>
      <c r="DZ216" s="265" t="str">
        <f>IF(ISNUMBER(SnapshotTable[[#This Row],[LC Target Gross]]), SnapshotTable[[#This Row],[LC Target Gross]] - SnapshotTable[[#This Row],[LC Premium]], "")</f>
        <v/>
      </c>
      <c r="EA216" s="305" t="str">
        <f>IF(ISNUMBER(SnapshotTable[[#This Row],[LC Target Gain Loss]]), SnapshotTable[[#This Row],[LC Target Gain Loss]]/SnapshotTable[[#This Row],[LC Premium]], "")</f>
        <v/>
      </c>
      <c r="EB216" s="262"/>
      <c r="EC216" s="283" t="str">
        <f>IF(SnapshotTable[[#This Row],[LC Premium]]&gt;0, SnapshotTable[[#This Row],[LC Book Price]] * (1 - LC_StopLoss_Pct),"")</f>
        <v/>
      </c>
      <c r="ED216" s="284"/>
      <c r="EE216" s="283" t="str">
        <f>IF(ISNUMBER(SnapshotTable[[#This Row],[LC Contract Value]]),IF(ISNUMBER(SnapshotTable[[#This Row],[LC Stop Loss Override]]), SnapshotTable[[#This Row],[LC Stop Loss Override]],SnapshotTable[[#This Row],[LC Stop Loss Calc Target]]),"")</f>
        <v/>
      </c>
      <c r="EF216" s="31" t="str">
        <f>IF(ISNUMBER(SnapshotTable[[#This Row],[LC Stop  To Use]]), (SnapshotTable[[#This Row],[LC Stop  To Use]] * SnapshotTable[[#This Row],[LC Qty]] * 100),"")</f>
        <v/>
      </c>
      <c r="EG216" s="9" t="str">
        <f>IF(ISNUMBER(SnapshotTable[[#This Row],[LC Total Value]]),SnapshotTable[[#This Row],[LC Stop Loss Amount]] - SnapshotTable[[#This Row],[LC Premium]],"")</f>
        <v/>
      </c>
      <c r="EH216" s="9">
        <f>IF(ISNUMBER(SnapshotTable[[#This Row],[LC Premium]]), SnapshotTable[[#This Row],[LC Qty]] * 100 * SnapshotTable[[#This Row],[LC Strike Price]], "")</f>
        <v>0</v>
      </c>
      <c r="EI216" s="240" t="str">
        <f>IF(AND(ISNUMBER(SnapshotTable[[#This Row],[LC Total Value]]),SnapshotTable[[#This Row],[LC Total Value]]&gt;0),SnapshotTable[[#This Row],[LC Stop Gain Loss]]  / SnapshotTable[[#This Row],[LC Premium]],"")</f>
        <v/>
      </c>
      <c r="EJ216" s="35">
        <f>IF(ISNUMBER(SnapshotTable[[#This Row],[Equity Shares]]),TRUNC(SnapshotTable[[#This Row],[Equity Shares]] / 100),0) + SnapshotTable[[#This Row],[LC Qty]]</f>
        <v>0</v>
      </c>
      <c r="EK216" s="147"/>
      <c r="EL216" s="138" t="str">
        <f>IF(SnapshotTable[[#This Row],[SC Exp Date]]&lt;&gt;"",TRUNC(SnapshotTable[[#This Row],[Last Price]]),"")</f>
        <v/>
      </c>
      <c r="EM216" s="148"/>
      <c r="EN216" s="147"/>
      <c r="EO216" s="147"/>
      <c r="EP216" s="138"/>
      <c r="EQ216" s="419" t="b">
        <f>AND(ISNUMBER(SnapshotTable[[#This Row],[SC Exp Date]]), ISNUMBER(SnapshotTable[[#This Row],[SC Strike Price]]), ISNUMBER(SnapshotTable[[#This Row],[SC Qty]]), ISNUMBER(SnapshotTable[[#This Row],[SC Book Date]]), ISNUMBER(SnapshotTable[[#This Row],[SC Book Price]]))</f>
        <v>0</v>
      </c>
      <c r="ER216" s="419" t="b">
        <f>AND(SnapshotTable[[#This Row],[SC Is Booked]], NOT(ISBLANK(SnapshotTable[[#This Row],[SC Fill Date]])))</f>
        <v>0</v>
      </c>
      <c r="ES216" s="370"/>
      <c r="ET216" s="34" t="str">
        <f>IF(AND(ISNUMBER(SnapshotTable[[#This Row],[SC Exp Date]]), ISNUMBER(SnapshotTable[[#This Row],[SC Book Date]])), SnapshotTable[[#This Row],[SC Exp Date]] - MAX(SnapshotTable[[#This Row],[SC Book Date]], SnapshotTable[[#This Row],[SC Fill Date]]) + 1, "")</f>
        <v/>
      </c>
      <c r="EU216" s="34" t="str">
        <f>IF(ISNUMBER(SnapshotTable[[#This Row],[SC Term]]), SnapshotTable[[#This Row],[SC Exp Date]]- MockToday, "")</f>
        <v/>
      </c>
      <c r="EV216" s="31">
        <f>IF(SnapshotTable[[#This Row],[SC Is Booked]], SnapshotTable[[#This Row],[SC Qty]] * SnapshotTable[[#This Row],[SC Book Price]] * 100, 0)</f>
        <v>0</v>
      </c>
      <c r="EW216" s="4" t="str">
        <f>IF(AND(ISNUMBER(SnapshotTable[[#This Row],[Last Price]]), ISNUMBER( SnapshotTable[[#This Row],[SC Book Price]])), SnapshotTable[[#This Row],[Last Price]] - SnapshotTable[[#This Row],[SC Book Price]],"")</f>
        <v/>
      </c>
      <c r="EX216" s="234" t="str">
        <f>IF(SnapshotTable[[#This Row],[SC Is Booked]],IF(SnapshotTable[[#This Row],[SC Intrinsic Value]] &gt; 0, SnapshotTable[[#This Row],[SC Strike Price]], SnapshotTable[[#This Row],[Last Price]]), "")</f>
        <v/>
      </c>
      <c r="EY216" s="4">
        <f>IF(SnapshotTable[[#This Row],[SC Is Booked]], (MinimumPremiumRequired * SnapshotTable[[#This Row],[SC Basis]] * SnapshotTable[[#This Row],[SC Term]]), 0)</f>
        <v>0</v>
      </c>
      <c r="EZ216" s="283"/>
      <c r="FA216" s="218"/>
      <c r="FB216" s="370"/>
      <c r="FC216" s="4">
        <f>IF(SnapshotTable[[#This Row],[SC Is Filled]], btc_max_buyback_amount(SnapshotTable[[#This Row],[SC Fill Date]],SnapshotTable[[#This Row],[SC Exp Date]], SnapshotTable[[#This Row],[SC Book Price]]),0)</f>
        <v>0</v>
      </c>
      <c r="FD216" s="5"/>
      <c r="FE216" s="144" t="str">
        <f>IF(SnapshotTable[[#This Row],[SC Is Filled]], btc_next_cutoff_date(SnapshotTable[[#This Row],[SC Fill Date]],SnapshotTable[[#This Row],[SC Exp Date]]),"")</f>
        <v/>
      </c>
      <c r="FF216" s="4" t="str" cm="1">
        <f t="array" ref="FF216">IF(SnapshotTable[[#This Row],[SC Is Filled]], btc_should_buy_back(SnapshotTable[[#This Row],[SC Fill Date]], SnapshotTable[[#This Row],[SC Exp Date]], SnapshotTable[[#This Row],[SC Book Price]], SnapshotTable[[#This Row],[SC Current Ask]], MockToday, SnapshotTable[[#This Row],[SC Buyback Override]]),"")</f>
        <v/>
      </c>
      <c r="FG216" s="4">
        <f>IF(SnapshotTable[[#This Row],[SC Is Filled]], MAX(0,SnapshotTable[[#This Row],[Last Price]]  - SnapshotTable[[#This Row],[SC Strike Price]]), 0)</f>
        <v>0</v>
      </c>
      <c r="FH216" s="382">
        <f>IF(SnapshotTable[[#This Row],[SC Is Filled]], IF(ISNUMBER(SnapshotTable[[#This Row],[SC Current Ask]]), SnapshotTable[[#This Row],[SC Current Ask]], SnapshotTable[[#This Row],[SC Book Price]]) - SnapshotTable[[#This Row],[SC Intrinsic Value]], 0)</f>
        <v>0</v>
      </c>
      <c r="FI216" s="143"/>
      <c r="FJ216" s="32" t="str">
        <f>IF(SnapshotTable[[#This Row],[SC Is Filled]],100 * SnapshotTable[[#This Row],[SC Qty]] * IF(ISNUMBER(SnapshotTable[[#This Row],[SC Buyback Override]]), SnapshotTable[[#This Row],[SC Buyback Override]], SnapshotTable[[#This Row],[SC Current Ask]]), "")</f>
        <v/>
      </c>
      <c r="FK216" s="250" t="str">
        <f>IF(SnapshotTable[[#This Row],[SC Time Val]]&gt;0, SnapshotTable[[#This Row],[SC Time Val]] / SnapshotTable[[#This Row],[Last Price]],"")</f>
        <v/>
      </c>
      <c r="FL216" s="302" t="str">
        <f>IF(SnapshotTable[[#This Row],[SC Is Booked]], ((SnapshotTable[[#This Row],[Last Price]] -SnapshotTable[[#This Row],[SC Strike Price]]) / SnapshotTable[[#This Row],[Last Price]]) * -1, "")</f>
        <v/>
      </c>
      <c r="FM216" s="157" t="str">
        <f>IF(SnapshotTable[[#This Row],[SC Is Booked]],  (SnapshotTable[[#This Row],[SC Qty]] * 100 * SnapshotTable[[#This Row],[SC Strike Price]]) - SnapshotTable[[#This Row],[SC Current Ask]], "")</f>
        <v/>
      </c>
      <c r="FN216"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6" s="157" t="str">
        <f>IF(AND(ISNUMBER(SnapshotTable[[#This Row],[SC Exercise Gross]]), ISNUMBER(SnapshotTable[[#This Row],[Equity Basis Per Share]] )), SnapshotTable[[#This Row],[SC Exercise Gross]] - SnapshotTable[[#This Row],[Equity Basis Total]] +  SnapshotTable[[#This Row],[SC Premium]], "")</f>
        <v/>
      </c>
      <c r="FP216" s="5" t="str">
        <f>IF(ISNUMBER(SnapshotTable[[#This Row],[SC Exercise Gross]]), (SnapshotTable[[#This Row],[SC Exercise Gross]]) / (SnapshotTable[[#This Row],[SC Qty]] * 100), "")</f>
        <v/>
      </c>
      <c r="FQ216" s="27" t="str">
        <f>IF(SnapshotTable[[#This Row],[SC Is Booked]],SnapshotTable[[#This Row],[SC Time Val]] /SnapshotTable[[#This Row],[SC Basis]], "")</f>
        <v/>
      </c>
      <c r="FR216" s="27" t="str" cm="1">
        <f t="array" ref="FR216">IF(AND(ISNUMBER(SnapshotTable[[#This Row],[SC Term]]),ISNUMBER(SnapshotTable[[#This Row],[SC Simple ROO]])), EllmanAnnualize(SnapshotTable[[#This Row],[SC DTE]], SnapshotTable[[#This Row],[SC Simple ROO]] ),"")</f>
        <v/>
      </c>
      <c r="FS216" s="4" t="e">
        <f>IF(SnapshotTable[[#This Row],[SC Strike Price]] &gt; SnapshotTable[[#This Row],[Last Price]], SnapshotTable[[#This Row],[SC Strike Price]] - SnapshotTable[[#This Row],[Last Price]],0)</f>
        <v>#VALUE!</v>
      </c>
      <c r="FT216" s="27" t="e">
        <f>IF(AND(ISNUMBER(SnapshotTable[[#This Row],[SC Upside Potential]]), SnapshotTable[[#This Row],[SC Upside Potential]] &gt; 0),(SnapshotTable[[#This Row],[SC Upside Potential]]/ SnapshotTable[[#This Row],[ACB]]),"")</f>
        <v>#VALUE!</v>
      </c>
      <c r="FU216" s="333" t="str">
        <f>IF(SnapshotTable[[#This Row],[SC Intrinsic Value]] &gt; 0,SnapshotTable[[#This Row],[SC Intrinsic Value]],"")</f>
        <v/>
      </c>
      <c r="FV216" s="27" t="str">
        <f>IF(AND( ISNUMBER( SnapshotTable[[#This Row],[ACB]]),ISNUMBER(SnapshotTable[[#This Row],[SC Downside Protect]])),SnapshotTable[[#This Row],[SC Downside Protect]] / SnapshotTable[[#This Row],[ACB]],"")</f>
        <v/>
      </c>
      <c r="FW216" s="236" t="str">
        <f>IF(AND(ISNUMBER(SnapshotTable[[#This Row],[SC Simple ROO]]),SnapshotTable[[#This Row],[SC Simple ROO]] &gt; 0), SnapshotTable[[#This Row],[SC Premium]] + (SnapshotTable[[#This Row],[SC Qty]] * SnapshotTable[[#This Row],[SC Upside Potential]]), "")</f>
        <v/>
      </c>
      <c r="FX216" s="302" t="str" cm="1">
        <f t="array" ref="FX216">IF(ISNUMBER(SnapshotTable[[#This Row],[SC Max Dollars]]), annualize(SnapshotTable[[#This Row],[SC Term]],(SnapshotTable[[#This Row],[SC Max Dollars]]/SnapshotTable[[#This Row],[SC Basis]])),"")</f>
        <v/>
      </c>
      <c r="FY216" s="236" t="str">
        <f>IF(AND(SnapshotTable[[#This Row],[SC Qty]]&gt;0,SnapshotTable[[#This Row],[SC Current Ask]]&gt;0), SnapshotTable[[#This Row],[SC Qty]] * SnapshotTable[[#This Row],[SC Current Ask]] * -100, "")</f>
        <v/>
      </c>
      <c r="FZ216" s="235" t="str">
        <f>IF(ISNUMBER((SnapshotTable[[#This Row],[SC Current Value]])), SnapshotTable[[#This Row],[SC Premium]] + SnapshotTable[[#This Row],[SC Current Value]], "")</f>
        <v/>
      </c>
      <c r="GA216" s="294" t="str">
        <f>IFERROR( IF(ISNUMBER((SnapshotTable[[#This Row],[SC Current Value]])), SnapshotTable[[#This Row],[SC Gain Loss]] / SnapshotTable[[#This Row],[SC Premium]], ""), "")</f>
        <v/>
      </c>
      <c r="GB216" s="42">
        <f>SnapshotTable[[#This Row],[Equity Shares]] * SaleSharesToConsiderPercentage</f>
        <v>0</v>
      </c>
      <c r="GC216" s="40">
        <f>SnapshotTable[[#This Row],[Long Term Target]] * SellingPriceToConsiderBasedOnTargetPercentage</f>
        <v>10.022500000000001</v>
      </c>
      <c r="GD216" s="40">
        <f>SnapshotTable[[#This Row],[Last Price]] * (1+ SellingPriceToConsiderBasedOnTargetPercentage)</f>
        <v>47.267999999999994</v>
      </c>
      <c r="GE216" s="41"/>
      <c r="GF216" s="40"/>
      <c r="GG216" s="31">
        <f>SnapshotTable[[#This Row],[Booked Sale Shares]] * SnapshotTable[[#This Row],[Booked Sale Price]]</f>
        <v>0</v>
      </c>
      <c r="GH216" s="31" t="str">
        <f>IF(SnapshotTable[[#This Row],[Equity Basis Total]] &gt; 0, SnapshotTable[[#This Row],[Equity Basis Per Share]] * SnapshotTable[[#This Row],[Booked Sale Shares]], "")</f>
        <v/>
      </c>
      <c r="GI216" s="31">
        <f>IF(SnapshotTable[[#This Row],[Sale Proceeds]]&gt;0, SnapshotTable[[#This Row],[Sale Proceeds]] - SnapshotTable[[#This Row],[Sale Basis]], 0)</f>
        <v>0</v>
      </c>
      <c r="GJ216" s="158" t="str">
        <f>IF(SnapshotTable[[#This Row],[Sale G/L]]&gt;0, SnapshotTable[[#This Row],[Sale G/L]] / SnapshotTable[[#This Row],[Sale Basis]], IF(ISNUMBER(SnapshotTable[[#This Row],[SC Exercise P&amp;L (TAX)]]), SnapshotTable[[#This Row],[SC Exercise P&amp;L (TAX)]] / SnapshotTable[[#This Row],[SC Basis]], ""))</f>
        <v/>
      </c>
      <c r="GK216" s="158"/>
      <c r="GL216" s="159" t="str">
        <f>IF(AND(SnapshotTable[[#This Row],[LP Exp Date]]&gt;0,SnapshotTable[[#This Row],[LP Strike Price]]&gt;0), [1]!ToOptionSymbol(SnapshotTable[[#This Row],[Symbol]], SnapshotTable[[#This Row],[LP Strike Price]],SnapshotTable[[#This Row],[LP Exp Date]],1), "")</f>
        <v/>
      </c>
      <c r="GM216" s="30" t="str">
        <f>IF(LEN(SnapshotTable[[#This Row],[LP Symbol]])&gt;0, 1, "")</f>
        <v/>
      </c>
      <c r="GN216" s="43" t="str">
        <f>IF(AND(SnapshotTable[[#This Row],[SP Exp Date]]&gt;0,SnapshotTable[[#This Row],[SP Strike Price]]&gt;0), [1]!ToOptionSymbol(SnapshotTable[[#This Row],[Symbol]], SnapshotTable[[#This Row],[SP Strike Price]],SnapshotTable[[#This Row],[SP Exp Date]],1), "")</f>
        <v/>
      </c>
      <c r="GO216" s="30" t="str">
        <f>IF(LEN(SnapshotTable[[#This Row],[SP Symbol]])&gt;0, 1, "")</f>
        <v/>
      </c>
      <c r="GP216" s="159" t="str">
        <f>IF(AND(SnapshotTable[[#This Row],[LC Exp Date]]&gt;0,SnapshotTable[[#This Row],[LC Strike Price]]&gt;0), [1]!ToOptionSymbol(SnapshotTable[[#This Row],[Symbol]], SnapshotTable[[#This Row],[LC Strike Price]],SnapshotTable[[#This Row],[LC Exp Date]],0), "")</f>
        <v/>
      </c>
      <c r="GQ216" s="160" t="str">
        <f>IF(LEN(SnapshotTable[[#This Row],[LC Symbol]])&gt;0, 1, "")</f>
        <v/>
      </c>
      <c r="GR216" s="159" t="str">
        <f>IF(AND(SnapshotTable[[#This Row],[SC Exp Date]]&gt;0,SnapshotTable[[#This Row],[SC Strike Price]]&gt;0), [1]!ToOptionSymbol(SnapshotTable[[#This Row],[Symbol]], SnapshotTable[[#This Row],[SC Strike Price]],SnapshotTable[[#This Row],[SC Exp Date]],0), "")</f>
        <v/>
      </c>
      <c r="GS216" s="160" t="str">
        <f>IF(LEN(SnapshotTable[[#This Row],[SC Symbol]])&gt;0, 1, "")</f>
        <v/>
      </c>
      <c r="GT216" s="161" t="str">
        <f>IF(COUNT(SnapshotTable[[#This Row],[LP Symbol Count]],SnapshotTable[[#This Row],[SP Symbol Count]],SnapshotTable[[#This Row],[LC Symbol Count]],SnapshotTable[[#This Row],[SC Symbol Count]])&gt;0, "Y", "")</f>
        <v/>
      </c>
      <c r="GU21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6" s="231" t="e">
        <f>MAX(SnapshotTable[[#This Row],[Equity Basis Total]],SnapshotTable[[#This Row],[Equity Value]]) + (SnapshotTable[[#This Row],[SP Potential Spend]]- SnapshotTable[[#This Row],[SP Premium]] + SnapshotTable[[#This Row],[LP Premium]])+ (SnapshotTable[[#This Row],[LC Premium]] - SnapshotTable[[#This Row],[SC Premium]])</f>
        <v>#VALUE!</v>
      </c>
      <c r="GW216" s="139" t="e">
        <f>IF(AND(SnapshotTable[[#This Row],[Exposure]] &lt;&gt; 0),SnapshotTable[[#This Row],[Exposure]] / SnapshotTable[[#Totals],[Exposure]], "")</f>
        <v>#VALUE!</v>
      </c>
      <c r="HE216" s="268"/>
      <c r="HF216" s="268"/>
      <c r="HK216" s="1"/>
      <c r="HL216" s="1"/>
      <c r="HM216" s="1"/>
      <c r="HN216" s="1"/>
      <c r="HO216" s="1"/>
      <c r="HP216" s="1"/>
    </row>
    <row r="217" spans="2:224" ht="12.75" hidden="1" customHeight="1" x14ac:dyDescent="0.25">
      <c r="B217" s="12" t="s">
        <v>159</v>
      </c>
      <c r="C217" s="422">
        <v>25.96</v>
      </c>
      <c r="D217" s="208"/>
      <c r="E217" s="39">
        <f>SnapshotTable[[#This Row],[Last Price]]*(1 -CrashDiscount)</f>
        <v>22.065999999999999</v>
      </c>
      <c r="F217" s="26" t="s">
        <v>158</v>
      </c>
      <c r="G217" s="26" t="s">
        <v>17</v>
      </c>
      <c r="H217" s="149"/>
      <c r="I217" s="194">
        <v>44769.291666666664</v>
      </c>
      <c r="J217" s="195">
        <v>44769.291666666664</v>
      </c>
      <c r="K217" s="196"/>
      <c r="L217" s="326"/>
      <c r="M217" s="140"/>
      <c r="N217" s="140"/>
      <c r="O217" s="140"/>
      <c r="P217" s="22"/>
      <c r="Q217" s="25"/>
      <c r="R217" s="4" t="str">
        <f>IF(SnapshotTable[[#This Row],[Equity Basis Total]] &gt; 0, SnapshotTable[[#This Row],[Equity Basis Total]] / SnapshotTable[[#This Row],[Equity Shares]], "")</f>
        <v/>
      </c>
      <c r="S217" s="269">
        <f>SnapshotTable[[#This Row],[Last Price]] * SnapshotTable[[#This Row],[Equity Shares]]</f>
        <v>0</v>
      </c>
      <c r="T217" s="269">
        <f>SnapshotTable[[#This Row],[Equity Value]] - SnapshotTable[[#This Row],[Equity Basis Total]]</f>
        <v>0</v>
      </c>
      <c r="U217" s="270" t="str">
        <f>IF(SnapshotTable[[#This Row],[Equity Basis Total]] &gt; 0, SnapshotTable[[#This Row],[Equity G/L]] / SnapshotTable[[#This Row],[Equity Basis Total]], "")</f>
        <v/>
      </c>
      <c r="V217" s="268"/>
      <c r="W217" s="268"/>
      <c r="X217" s="4" t="str">
        <f>IF(AND(ISNUMBER(SnapshotTable[[#This Row],[Equity Basis Per Share]]),ISNUMBER(SnapshotTable[[#This Row],[Equity Target]])),SnapshotTable[[#This Row],[Equity Target]]-SnapshotTable[[#This Row],[Equity Basis Per Share]],"")</f>
        <v/>
      </c>
      <c r="Y217" s="4" t="str">
        <f>IF(AND(ISNUMBER(SnapshotTable[[#This Row],[Equity Basis Per Share]]),ISNUMBER(SnapshotTable[[#This Row],[Equity Stop Loss]])),SnapshotTable[[#This Row],[Equity Stop Loss]]-SnapshotTable[[#This Row],[Equity Basis Per Share]],"")</f>
        <v/>
      </c>
      <c r="Z217" s="275" t="str">
        <f>IFERROR( TEXT(SnapshotTable[[#This Row],[Equity Max Gain Per Share]] /ABS( SnapshotTable[[#This Row],[Equity Max Loss Per Share]]),"0.0 " ) &amp; " : 1", "")</f>
        <v/>
      </c>
      <c r="AA217" s="31" t="str">
        <f>IF(ISNUMBER(SnapshotTable[[#This Row],[Equity Max Gain Per Share]]),SnapshotTable[[#This Row],[Equity Max Gain Per Share]] * SnapshotTable[[#This Row],[Equity Shares]],"")</f>
        <v/>
      </c>
      <c r="AB217" s="31" t="str">
        <f>IF(ISNUMBER(SnapshotTable[[#This Row],[Equity Max Loss Per Share]]),SnapshotTable[[#This Row],[Equity Max Loss Per Share]] * SnapshotTable[[#This Row],[Equity Shares]],"")</f>
        <v/>
      </c>
      <c r="AC217" s="150">
        <v>2.2999999999999998</v>
      </c>
      <c r="AD217" s="151">
        <v>42651</v>
      </c>
      <c r="AE217" s="31">
        <f>(SnapshotTable[[#This Row],[Annual Dividend Per Share]] / 4) * SnapshotTable[[#This Row],[Equity Shares]]</f>
        <v>0</v>
      </c>
      <c r="AF217" s="31">
        <f>SnapshotTable[[#This Row],[Quarterly Div $]] * 4</f>
        <v>0</v>
      </c>
      <c r="AG217" s="7">
        <f>IF(SnapshotTable[[#This Row],[Annual Dividend Per Share]]&gt;0, SnapshotTable[[#This Row],[Annual Dividend Per Share]]  / SnapshotTable[[#This Row],[Last Price]], 0)</f>
        <v>8.859784283513096E-2</v>
      </c>
      <c r="AH217" s="151">
        <v>42605</v>
      </c>
      <c r="AI217" s="5"/>
      <c r="AJ217" s="138">
        <v>28.24</v>
      </c>
      <c r="AK217" s="152" t="str">
        <f>IF(ISNUMBER( SnapshotTable[[#This Row],[EBF Target]]),(SnapshotTable[[#This Row],[EBF Target]] - SnapshotTable[[#This Row],[Last Price]]) / SnapshotTable[[#This Row],[Last Price]], "")</f>
        <v/>
      </c>
      <c r="AL217" s="152" t="str">
        <f>IF(AND(SnapshotTable[[#This Row],[Equity Basis Total]] &gt; 0,ISNUMBER( SnapshotTable[[#This Row],[Long Term Target]])), SnapshotTable[[#This Row],[From Basis $]] / SnapshotTable[[#This Row],[Equity Basis Total]], "")</f>
        <v/>
      </c>
      <c r="AM217" s="9">
        <f>IF( AND(SnapshotTable[[#This Row],[Equity Shares]] &gt;0,ISNUMBER( SnapshotTable[[#This Row],[Long Term Target]])),(SnapshotTable[[#This Row],[Equity Shares]] * SnapshotTable[[#This Row],[Long Term Target]]) - SnapshotTable[[#This Row],[Equity Basis Total]],0)</f>
        <v>0</v>
      </c>
      <c r="AN217" s="9">
        <f>IF( AND(SnapshotTable[[#This Row],[Equity Shares]] &gt;0,ISNUMBER( SnapshotTable[[#This Row],[Long Term Target]])),(SnapshotTable[[#This Row],[Equity Shares]]*SnapshotTable[[#This Row],[Long Term Target]]) - SnapshotTable[[#This Row],[Equity Value]],0)</f>
        <v>0</v>
      </c>
      <c r="AO217" s="152">
        <f>IF(AND(ISNUMBER( SnapshotTable[[#This Row],[Long Term Target]]), ISNUMBER(SnapshotTable[[#This Row],[Last Price]])),(SnapshotTable[[#This Row],[Long Term Target]] - SnapshotTable[[#This Row],[Last Price]]) / SnapshotTable[[#This Row],[Last Price]], "")</f>
        <v>8.782742681047756E-2</v>
      </c>
      <c r="AP217" s="5"/>
      <c r="AQ217" s="38"/>
      <c r="AR217" s="5"/>
      <c r="AS217" s="38"/>
      <c r="AT217" s="146"/>
      <c r="AU217" s="187" t="str">
        <f>IF(OR(SnapshotTable[[#This Row],[LP No Fill]]="Y",SnapshotTable[[#This Row],[SP Is Filled]],SnapshotTable[[#This Row],[LC Not Filled]]="Y",SnapshotTable[[#This Row],[SC Is Filled]]),"Y","")</f>
        <v/>
      </c>
      <c r="AV217" s="219"/>
      <c r="AW217" s="225"/>
      <c r="AX217" s="220"/>
      <c r="AY217" s="219" t="str">
        <f>IF(SnapshotTable[[#This Row],[Implied Move]]&gt;0, SnapshotTable[[#This Row],[Last Price]]-SnapshotTable[[#This Row],[Implied Move]],"")</f>
        <v/>
      </c>
      <c r="AZ217" s="219" t="str">
        <f>IF(SnapshotTable[[#This Row],[Implied Move]]&gt;0, SnapshotTable[[#This Row],[Last Price]] + SnapshotTable[[#This Row],[Implied Move]],"")</f>
        <v/>
      </c>
      <c r="BA217" s="331"/>
      <c r="BB217" s="347"/>
      <c r="BC21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7" s="351"/>
      <c r="BE217" s="5"/>
      <c r="BF217" s="14"/>
      <c r="BG217" s="13"/>
      <c r="BH217" s="13"/>
      <c r="BI217" s="5"/>
      <c r="BJ217" s="136">
        <f>IF(SnapshotTable[[#This Row],[LP Qty]] &gt; 0, SnapshotTable[[#This Row],[LP Qty]] * SnapshotTable[[#This Row],[LP Book Price]] * 100,0)</f>
        <v>0</v>
      </c>
      <c r="BK217" s="136">
        <f>IF(SnapshotTable[[#This Row],[LP Premium]] &gt; 0, SnapshotTable[[#This Row],[LP Qty]] * SnapshotTable[[#This Row],[LP Strike Price]] * 100,0)</f>
        <v>0</v>
      </c>
      <c r="BL217" s="154"/>
      <c r="BM217" s="385" t="str">
        <f>IF(SnapshotTable[[#This Row],[LP Premium]] &gt; 0,SnapshotTable[[#This Row],[LP Exp Date]]-MAX(SnapshotTable[[#This Row],[LP Book Date]], SnapshotTable[[#This Row],[LP Fill Date]]),"")</f>
        <v/>
      </c>
      <c r="BN217" s="385" t="str">
        <f>IF(ISNUMBER( SnapshotTable[[#This Row],[LP Term]]), SnapshotTable[[#This Row],[LP Exp Date]] - MockToday,"")</f>
        <v/>
      </c>
      <c r="BO217" s="163" t="str">
        <f>IF(AND(SnapshotTable[[#This Row],[LP Exp Date]]&gt;0, SnapshotTable[[#This Row],[LP Strike Price]]&gt;0,SnapshotTable[[#This Row],[LP Qty]]&gt;0,SnapshotTable[[#This Row],[LP Book Date]]&gt;0,SnapshotTable[[#This Row],[LP Book Price]]&gt;0,SnapshotTable[[#This Row],[LP Fill Date]]=0),"Y","")</f>
        <v/>
      </c>
      <c r="BP217" s="31" t="str">
        <f>IF(AND(SnapshotTable[[#This Row],[LP No Fill]]&lt;&gt;"Y",SnapshotTable[[#This Row],[LP Contract Value]]&gt;0, SnapshotTable[[#This Row],[LP Qty]]&gt;0), SnapshotTable[[#This Row],[LP Contract Value]]*SnapshotTable[[#This Row],[LP Qty]]*100,"")</f>
        <v/>
      </c>
      <c r="BQ217" s="13"/>
      <c r="BR217" s="5" t="str">
        <f>IF(SnapshotTable[[#This Row],[SP Exp Date]]&lt;&gt;"",TRUNC(SnapshotTable[[#This Row],[Last Price]]),"")</f>
        <v/>
      </c>
      <c r="BS217" s="36"/>
      <c r="BT217" s="147"/>
      <c r="BU217" s="13"/>
      <c r="BV217" s="5"/>
      <c r="BW217" s="419" t="b">
        <f>AND(ISNUMBER(SnapshotTable[[#This Row],[SP Exp Date]]), ISNUMBER(SnapshotTable[[#This Row],[SP Strike Price]]), ISNUMBER(SnapshotTable[[#This Row],[SP Qty]]), ISNUMBER(SnapshotTable[[#This Row],[SP Book Date]]), ISNUMBER(SnapshotTable[[#This Row],[SP Book Price]]))</f>
        <v>0</v>
      </c>
      <c r="BX217" s="419" t="b">
        <f>AND(SnapshotTable[[#This Row],[SP Is Booked]], NOT(ISBLANK(SnapshotTable[[#This Row],[SP Fill Date]])))</f>
        <v>0</v>
      </c>
      <c r="BY217" s="33">
        <f>IF(SnapshotTable[[#This Row],[SP Is Booked]], SnapshotTable[[#This Row],[SP Qty]] * SnapshotTable[[#This Row],[SP Book Price]] * 100, 0)</f>
        <v>0</v>
      </c>
      <c r="BZ217" s="369"/>
      <c r="CA217" s="368">
        <f>SnapshotTable[[#This Row],[LP Qty]]</f>
        <v>0</v>
      </c>
      <c r="CB217" s="4" t="str">
        <f>IF(SnapshotTable[[#This Row],[SP Is Booked]], SnapshotTable[[#This Row],[SP Strike Price]] - SnapshotTable[[#This Row],[SP Book Price]], "")</f>
        <v/>
      </c>
      <c r="CC217" s="19" t="str">
        <f>IF(SnapshotTable[[#This Row],[SP Is Booked]],SnapshotTable[[#This Row],[SP Exp Date]]-MAX(SnapshotTable[[#This Row],[SP Book Date]], SnapshotTable[[#This Row],[SP Fill Date]]),"")</f>
        <v/>
      </c>
      <c r="CD217" s="7" t="str">
        <f>IF(SnapshotTable[[#This Row],[SP Is Booked]], SnapshotTable[[#This Row],[SP Book Price]]/SnapshotTable[[#This Row],[SP Strike Price]], "")</f>
        <v/>
      </c>
      <c r="CE217" s="7" t="str">
        <f>IF(ISNUMBER(SnapshotTable[[#This Row],[SP ROO Term]]),SnapshotTable[[#This Row],[SP ROO Term]]*(365/SnapshotTable[[#This Row],[SP Term]]),"")</f>
        <v/>
      </c>
      <c r="CF217" s="236">
        <f>SnapshotTable[[#This Row],[LP Strike Price]] * SnapshotTable[[#This Row],[LP Qty]] * 100</f>
        <v>0</v>
      </c>
      <c r="CG217" s="31" t="e">
        <f>IF(ISNUMBER(SnapshotTable[[#This Row],[SP Premium]]), (SnapshotTable[[#This Row],[SP Qty]] * SnapshotTable[[#This Row],[SP Strike Price]]* 100) - SnapshotTable[[#This Row],[LP Protection]], 0)</f>
        <v>#VALUE!</v>
      </c>
      <c r="CH217" s="7" t="str">
        <f>IF(ISNUMBER(SnapshotTable[[#This Row],[SP Break Even]]),-1 * (SnapshotTable[[#This Row],[SP Break Even]] - SnapshotTable[[#This Row],[Last Price]]) / SnapshotTable[[#This Row],[Last Price]], "")</f>
        <v/>
      </c>
      <c r="CI217" s="31">
        <f>IF(AND(ISNUMBER((SnapshotTable[[#This Row],[SP Potential Spend]])), SnapshotTable[[#This Row],[SP Strike Price]] &gt; SnapshotTable[[#This Row],[Last Price]], SnapshotTable[[#This Row],[SP Is Filled]]), SnapshotTable[[#This Row],[SP Potential Spend]] -  SnapshotTable[[#This Row],[LP Max Value]], 0)</f>
        <v>0</v>
      </c>
      <c r="CJ217" s="244"/>
      <c r="CK217" s="31" t="str">
        <f>IF(ISNUMBER(SnapshotTable[[#This Row],[SP Potential Spend]]),IF(ISNUMBER(SnapshotTable[[#This Row],[SP POW]]), SnapshotTable[[#This Row],[SP POW]] * SnapshotTable[[#This Row],[SP Potential Spend]], SnapshotTable[[#This Row],[SP Potential Spend]]), "")</f>
        <v/>
      </c>
      <c r="CL217" s="164" t="e">
        <f>IF(NOT(SnapshotTable[[#This Row],[SP Is Filled]]),(SnapshotTable[[#This Row],[SP Qty]] * SnapshotTable[[#This Row],[SP Strike Price]] * 100) - SnapshotTable[[#This Row],[LP Max Value]],"")</f>
        <v>#VALUE!</v>
      </c>
      <c r="CM217" s="31" t="str">
        <f>IF(SnapshotTable[[#This Row],[SP Actual Spend]]&lt;&gt;0, ((SnapshotTable[[#This Row],[SP Strike Price]]-SnapshotTable[[#This Row],[Last Price]]) *(SnapshotTable[[#This Row],[SP Qty]]*100) - SnapshotTable[[#This Row],[SP Premium]]) * - 1, "")</f>
        <v/>
      </c>
      <c r="CN217" s="78"/>
      <c r="CO217" s="369"/>
      <c r="CP217" s="4" t="str">
        <f>IF(SnapshotTable[[#This Row],[SP Is Filled]], btc_max_buyback_amount(SnapshotTable[[#This Row],[SP Fill Date]],SnapshotTable[[#This Row],[SP Exp Date]], SnapshotTable[[#This Row],[SP Book Price]]),"")</f>
        <v/>
      </c>
      <c r="CQ217" s="78"/>
      <c r="CR21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7" s="155" t="str">
        <f>IF(SnapshotTable[[#This Row],[SP Is Filled]], btc_next_cutoff_date(SnapshotTable[[#This Row],[SP Fill Date]],SnapshotTable[[#This Row],[SP Exp Date]]),"")</f>
        <v/>
      </c>
      <c r="CT217" s="235" t="str" cm="1">
        <f t="array" ref="CT217">IF(SnapshotTable[[#This Row],[SP Is Filled]], btc_should_buy_back(SnapshotTable[[#This Row],[SP Fill Date]], SnapshotTable[[#This Row],[SP Exp Date]], SnapshotTable[[#This Row],[SP Book Price]], SnapshotTable[[#This Row],[SP Current Ask]], MockToday, SnapshotTable[[#This Row],[SP Buyback Override]]),"")</f>
        <v/>
      </c>
      <c r="CU217" s="143"/>
      <c r="CV217" s="235"/>
      <c r="CW217" s="378" t="str">
        <f>IF(ISNUMBER( SnapshotTable[[#This Row],[SP Term]]), SnapshotTable[[#This Row],[SP Exp Date]] - MockToday,"")</f>
        <v/>
      </c>
      <c r="CX217" s="31" t="str">
        <f>IF(SnapshotTable[[#This Row],[SP Is Filled]],SnapshotTable[[#This Row],[SP Buyback Price to Use]] * 100 * SnapshotTable[[#This Row],[SP Qty]], "")</f>
        <v/>
      </c>
      <c r="CY217" s="4" t="str">
        <f>IF(ISNUMBER(SnapshotTable[[#This Row],[SP Strike Price]]), SnapshotTable[[#This Row],[SP Strike Price]] * (1 - SP_MaxLoss_StrikePct), "")</f>
        <v/>
      </c>
      <c r="CZ217" s="31" t="str">
        <f>IF(ISNUMBER(SnapshotTable[[#This Row],[SP Strike  Stop Per Share]]),SnapshotTable[[#This Row],[SP Premium]] - ((SnapshotTable[[#This Row],[SP Strike Price]]-SnapshotTable[[#This Row],[SP Strike  Stop Per Share]]) *(SnapshotTable[[#This Row],[SP Qty]] * 100)),"")</f>
        <v/>
      </c>
      <c r="DA217" s="4" t="str">
        <f>IF(AND(ISNUMBER(SnapshotTable[[#This Row],[SP Premium]]),SnapshotTable[[#This Row],[SP Premium]]&gt;0), SnapshotTable[[#This Row],[SP Book Price]] * (1 + SP_MaxLoss_OptionPct), "")</f>
        <v/>
      </c>
      <c r="DB217" s="31" t="str">
        <f>IF(ISNUMBER(SnapshotTable[[#This Row],[SP Option  Stop Contract]]),(SnapshotTable[[#This Row],[SP Option  Stop Contract]] *(SnapshotTable[[#This Row],[SP Qty]] * 100) - SnapshotTable[[#This Row],[SP Premium]]),"")</f>
        <v/>
      </c>
      <c r="DC217" s="4"/>
      <c r="DD217" s="4"/>
      <c r="DE217" s="4" t="str">
        <f>IF(AND(SnapshotTable[[#This Row],[SP Qty]]&gt;0, SnapshotTable[[#This Row],[SP Stop To Use]]&gt;0),SnapshotTable[[#This Row],[SP Premium]] - ( SnapshotTable[[#This Row],[SP Qty]] * SnapshotTable[[#This Row],[SP Stop To Use]] * 100), "")</f>
        <v/>
      </c>
      <c r="DF217" s="31" t="str">
        <f>IF(AND(SnapshotTable[[#This Row],[SP Qty]]&gt;0,SnapshotTable[[#This Row],[SP Current Ask]]&gt;0), SnapshotTable[[#This Row],[SP Qty]] * SnapshotTable[[#This Row],[SP Current Ask]] * -100, "")</f>
        <v/>
      </c>
      <c r="DG217" s="31" t="str">
        <f>IF(ISNUMBER((SnapshotTable[[#This Row],[SP Total Value]])), SnapshotTable[[#This Row],[SP Premium]] + SnapshotTable[[#This Row],[SP Total Value]], "")</f>
        <v/>
      </c>
      <c r="DH217" s="294" t="str">
        <f>IF(ISNUMBER((SnapshotTable[[#This Row],[SP Total Value]])), SnapshotTable[[#This Row],[SP Gain Loss]] / SnapshotTable[[#This Row],[SP Premium]], "")</f>
        <v/>
      </c>
      <c r="DI217" s="406"/>
      <c r="DJ217" s="138"/>
      <c r="DK217" s="148"/>
      <c r="DL217" s="13"/>
      <c r="DM217" s="13"/>
      <c r="DO217" s="31">
        <f>IF(SnapshotTable[[#This Row],[LC Symbol Count]]=1, SnapshotTable[[#This Row],[LC Qty]] * SnapshotTable[[#This Row],[LC Book Price]] * 100, 0)</f>
        <v>0</v>
      </c>
      <c r="DP217" s="163" t="str">
        <f>IF(AND(SnapshotTable[[#This Row],[LC Exp Date]]&gt;0, SnapshotTable[[#This Row],[LC Strike Price]]&gt;0,SnapshotTable[[#This Row],[LC Qty]]&gt;0,SnapshotTable[[#This Row],[LC Book Date]]&gt;0,SnapshotTable[[#This Row],[LC Book Price]]&gt;0,SnapshotTable[[#This Row],[LC Fill Date]]=0),"Y","")</f>
        <v/>
      </c>
      <c r="DQ217" s="386" t="str">
        <f>IF(SnapshotTable[[#This Row],[LC Premium]] &gt; 0,SnapshotTable[[#This Row],[LC Exp Date]]-MAX(SnapshotTable[[#This Row],[LC Book Date]], SnapshotTable[[#This Row],[LC Fill Date]]),"")</f>
        <v/>
      </c>
      <c r="DR217" s="386" t="str">
        <f>IF(ISNUMBER(SnapshotTable[[#This Row],[LC Term]]), SnapshotTable[[#This Row],[LC Exp Date]] - MockToday, "")</f>
        <v/>
      </c>
      <c r="DS217" s="234" t="str">
        <f>IF(SnapshotTable[[#This Row],[LC Premium]]&gt;0,SnapshotTable[[#This Row],[LC Strike Price]] + SnapshotTable[[#This Row],[LC Book Price]],"")</f>
        <v/>
      </c>
      <c r="DU217" s="9" t="str">
        <f>IF(AND(SnapshotTable[[#This Row],[LC Symbol Count]]&gt;0, SnapshotTable[[#This Row],[LC Contract Value]]&gt;0), SnapshotTable[[#This Row],[LC Contract Value]] * SnapshotTable[[#This Row],[LC Qty]] * 100, "")</f>
        <v/>
      </c>
      <c r="DV217" s="9" t="str">
        <f>IF(AND(ISNUMBER(SnapshotTable[[#This Row],[LC Total Value]]), SnapshotTable[[#This Row],[LC Not Filled]]&lt;&gt;"Y"), SnapshotTable[[#This Row],[LC Total Value]]-SnapshotTable[[#This Row],[LC Premium]],"")</f>
        <v/>
      </c>
      <c r="DW217" s="240" t="str">
        <f>IF(ISNUMBER(SnapshotTable[[#This Row],[LC Actual Gain Loss]]), SnapshotTable[[#This Row],[LC Actual Gain Loss]] / SnapshotTable[[#This Row],[LC Premium]],"")</f>
        <v/>
      </c>
      <c r="DX217" s="284" t="str">
        <f>IF(ISNUMBER(SnapshotTable[[#This Row],[LC Book Price]]),SnapshotTable[[#This Row],[LC Book Price]] * 1.5,"")</f>
        <v/>
      </c>
      <c r="DY217" s="265" t="str">
        <f>IF(SnapshotTable[[#This Row],[LC Premium]]&gt;0, SnapshotTable[[#This Row],[LC Next Target]] * SnapshotTable[[#This Row],[LC Qty]] * 100,"")</f>
        <v/>
      </c>
      <c r="DZ217" s="265" t="str">
        <f>IF(ISNUMBER(SnapshotTable[[#This Row],[LC Target Gross]]), SnapshotTable[[#This Row],[LC Target Gross]] - SnapshotTable[[#This Row],[LC Premium]], "")</f>
        <v/>
      </c>
      <c r="EA217" s="305" t="str">
        <f>IF(ISNUMBER(SnapshotTable[[#This Row],[LC Target Gain Loss]]), SnapshotTable[[#This Row],[LC Target Gain Loss]]/SnapshotTable[[#This Row],[LC Premium]], "")</f>
        <v/>
      </c>
      <c r="EB217" s="262"/>
      <c r="EC217" s="283" t="str">
        <f>IF(SnapshotTable[[#This Row],[LC Premium]]&gt;0, SnapshotTable[[#This Row],[LC Book Price]] * (1 - LC_StopLoss_Pct),"")</f>
        <v/>
      </c>
      <c r="ED217" s="284"/>
      <c r="EE217" s="283" t="str">
        <f>IF(ISNUMBER(SnapshotTable[[#This Row],[LC Contract Value]]),IF(ISNUMBER(SnapshotTable[[#This Row],[LC Stop Loss Override]]), SnapshotTable[[#This Row],[LC Stop Loss Override]],SnapshotTable[[#This Row],[LC Stop Loss Calc Target]]),"")</f>
        <v/>
      </c>
      <c r="EF217" s="31" t="str">
        <f>IF(ISNUMBER(SnapshotTable[[#This Row],[LC Stop  To Use]]), (SnapshotTable[[#This Row],[LC Stop  To Use]] * SnapshotTable[[#This Row],[LC Qty]] * 100),"")</f>
        <v/>
      </c>
      <c r="EG217" s="9" t="str">
        <f>IF(ISNUMBER(SnapshotTable[[#This Row],[LC Total Value]]),SnapshotTable[[#This Row],[LC Stop Loss Amount]] - SnapshotTable[[#This Row],[LC Premium]],"")</f>
        <v/>
      </c>
      <c r="EH217" s="9">
        <f>IF(ISNUMBER(SnapshotTable[[#This Row],[LC Premium]]), SnapshotTable[[#This Row],[LC Qty]] * 100 * SnapshotTable[[#This Row],[LC Strike Price]], "")</f>
        <v>0</v>
      </c>
      <c r="EI217" s="240" t="str">
        <f>IF(AND(ISNUMBER(SnapshotTable[[#This Row],[LC Total Value]]),SnapshotTable[[#This Row],[LC Total Value]]&gt;0),SnapshotTable[[#This Row],[LC Stop Gain Loss]]  / SnapshotTable[[#This Row],[LC Premium]],"")</f>
        <v/>
      </c>
      <c r="EJ217" s="35">
        <f>IF(ISNUMBER(SnapshotTable[[#This Row],[Equity Shares]]),TRUNC(SnapshotTable[[#This Row],[Equity Shares]] / 100),0) + SnapshotTable[[#This Row],[LC Qty]]</f>
        <v>0</v>
      </c>
      <c r="EK217" s="147"/>
      <c r="EL217" s="138" t="str">
        <f>IF(SnapshotTable[[#This Row],[SC Exp Date]]&lt;&gt;"",TRUNC(SnapshotTable[[#This Row],[Last Price]]),"")</f>
        <v/>
      </c>
      <c r="EM217" s="148"/>
      <c r="EN217" s="147"/>
      <c r="EO217" s="147"/>
      <c r="EP217" s="138"/>
      <c r="EQ217" s="419" t="b">
        <f>AND(ISNUMBER(SnapshotTable[[#This Row],[SC Exp Date]]), ISNUMBER(SnapshotTable[[#This Row],[SC Strike Price]]), ISNUMBER(SnapshotTable[[#This Row],[SC Qty]]), ISNUMBER(SnapshotTable[[#This Row],[SC Book Date]]), ISNUMBER(SnapshotTable[[#This Row],[SC Book Price]]))</f>
        <v>0</v>
      </c>
      <c r="ER217" s="419" t="b">
        <f>AND(SnapshotTable[[#This Row],[SC Is Booked]], NOT(ISBLANK(SnapshotTable[[#This Row],[SC Fill Date]])))</f>
        <v>0</v>
      </c>
      <c r="ES217" s="370"/>
      <c r="ET217" s="34" t="str">
        <f>IF(AND(ISNUMBER(SnapshotTable[[#This Row],[SC Exp Date]]), ISNUMBER(SnapshotTable[[#This Row],[SC Book Date]])), SnapshotTable[[#This Row],[SC Exp Date]] - MAX(SnapshotTable[[#This Row],[SC Book Date]], SnapshotTable[[#This Row],[SC Fill Date]]) + 1, "")</f>
        <v/>
      </c>
      <c r="EU217" s="34" t="str">
        <f>IF(ISNUMBER(SnapshotTable[[#This Row],[SC Term]]), SnapshotTable[[#This Row],[SC Exp Date]]- MockToday, "")</f>
        <v/>
      </c>
      <c r="EV217" s="31">
        <f>IF(SnapshotTable[[#This Row],[SC Is Booked]], SnapshotTable[[#This Row],[SC Qty]] * SnapshotTable[[#This Row],[SC Book Price]] * 100, 0)</f>
        <v>0</v>
      </c>
      <c r="EW217" s="4" t="str">
        <f>IF(AND(ISNUMBER(SnapshotTable[[#This Row],[Last Price]]), ISNUMBER( SnapshotTable[[#This Row],[SC Book Price]])), SnapshotTable[[#This Row],[Last Price]] - SnapshotTable[[#This Row],[SC Book Price]],"")</f>
        <v/>
      </c>
      <c r="EX217" s="234" t="str">
        <f>IF(SnapshotTable[[#This Row],[SC Is Booked]],IF(SnapshotTable[[#This Row],[SC Intrinsic Value]] &gt; 0, SnapshotTable[[#This Row],[SC Strike Price]], SnapshotTable[[#This Row],[Last Price]]), "")</f>
        <v/>
      </c>
      <c r="EY217" s="4">
        <f>IF(SnapshotTable[[#This Row],[SC Is Booked]], (MinimumPremiumRequired * SnapshotTable[[#This Row],[SC Basis]] * SnapshotTable[[#This Row],[SC Term]]), 0)</f>
        <v>0</v>
      </c>
      <c r="EZ217" s="283"/>
      <c r="FA217" s="218"/>
      <c r="FB217" s="370"/>
      <c r="FC217" s="4">
        <f>IF(SnapshotTable[[#This Row],[SC Is Filled]], btc_max_buyback_amount(SnapshotTable[[#This Row],[SC Fill Date]],SnapshotTable[[#This Row],[SC Exp Date]], SnapshotTable[[#This Row],[SC Book Price]]),0)</f>
        <v>0</v>
      </c>
      <c r="FD217" s="5"/>
      <c r="FE217" s="144" t="str">
        <f>IF(SnapshotTable[[#This Row],[SC Is Filled]], btc_next_cutoff_date(SnapshotTable[[#This Row],[SC Fill Date]],SnapshotTable[[#This Row],[SC Exp Date]]),"")</f>
        <v/>
      </c>
      <c r="FF217" s="4" t="str" cm="1">
        <f t="array" ref="FF217">IF(SnapshotTable[[#This Row],[SC Is Filled]], btc_should_buy_back(SnapshotTable[[#This Row],[SC Fill Date]], SnapshotTable[[#This Row],[SC Exp Date]], SnapshotTable[[#This Row],[SC Book Price]], SnapshotTable[[#This Row],[SC Current Ask]], MockToday, SnapshotTable[[#This Row],[SC Buyback Override]]),"")</f>
        <v/>
      </c>
      <c r="FG217" s="4">
        <f>IF(SnapshotTable[[#This Row],[SC Is Filled]], MAX(0,SnapshotTable[[#This Row],[Last Price]]  - SnapshotTable[[#This Row],[SC Strike Price]]), 0)</f>
        <v>0</v>
      </c>
      <c r="FH217" s="382">
        <f>IF(SnapshotTable[[#This Row],[SC Is Filled]], IF(ISNUMBER(SnapshotTable[[#This Row],[SC Current Ask]]), SnapshotTable[[#This Row],[SC Current Ask]], SnapshotTable[[#This Row],[SC Book Price]]) - SnapshotTable[[#This Row],[SC Intrinsic Value]], 0)</f>
        <v>0</v>
      </c>
      <c r="FI217" s="143"/>
      <c r="FJ217" s="32" t="str">
        <f>IF(SnapshotTable[[#This Row],[SC Is Filled]],100 * SnapshotTable[[#This Row],[SC Qty]] * IF(ISNUMBER(SnapshotTable[[#This Row],[SC Buyback Override]]), SnapshotTable[[#This Row],[SC Buyback Override]], SnapshotTable[[#This Row],[SC Current Ask]]), "")</f>
        <v/>
      </c>
      <c r="FK217" s="250" t="str">
        <f>IF(SnapshotTable[[#This Row],[SC Time Val]]&gt;0, SnapshotTable[[#This Row],[SC Time Val]] / SnapshotTable[[#This Row],[Last Price]],"")</f>
        <v/>
      </c>
      <c r="FL217" s="302" t="str">
        <f>IF(SnapshotTable[[#This Row],[SC Is Booked]], ((SnapshotTable[[#This Row],[Last Price]] -SnapshotTable[[#This Row],[SC Strike Price]]) / SnapshotTable[[#This Row],[Last Price]]) * -1, "")</f>
        <v/>
      </c>
      <c r="FM217" s="157" t="str">
        <f>IF(SnapshotTable[[#This Row],[SC Is Booked]],  (SnapshotTable[[#This Row],[SC Qty]] * 100 * SnapshotTable[[#This Row],[SC Strike Price]]) - SnapshotTable[[#This Row],[SC Current Ask]], "")</f>
        <v/>
      </c>
      <c r="FN21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7" s="31" t="str">
        <f>IF(AND(ISNUMBER(SnapshotTable[[#This Row],[SC Exercise Gross]]), ISNUMBER(SnapshotTable[[#This Row],[Equity Basis Per Share]] )), SnapshotTable[[#This Row],[SC Exercise Gross]] - SnapshotTable[[#This Row],[Equity Basis Total]] +  SnapshotTable[[#This Row],[SC Premium]], "")</f>
        <v/>
      </c>
      <c r="FP217" s="5" t="str">
        <f>IF(ISNUMBER(SnapshotTable[[#This Row],[SC Exercise Gross]]), (SnapshotTable[[#This Row],[SC Exercise Gross]]) / (SnapshotTable[[#This Row],[SC Qty]] * 100), "")</f>
        <v/>
      </c>
      <c r="FQ217" s="27" t="str">
        <f>IF(SnapshotTable[[#This Row],[SC Is Booked]],SnapshotTable[[#This Row],[SC Time Val]] /SnapshotTable[[#This Row],[SC Basis]], "")</f>
        <v/>
      </c>
      <c r="FR217" s="27" t="str" cm="1">
        <f t="array" ref="FR217">IF(AND(ISNUMBER(SnapshotTable[[#This Row],[SC Term]]),ISNUMBER(SnapshotTable[[#This Row],[SC Simple ROO]])), EllmanAnnualize(SnapshotTable[[#This Row],[SC DTE]], SnapshotTable[[#This Row],[SC Simple ROO]] ),"")</f>
        <v/>
      </c>
      <c r="FS217" s="4" t="e">
        <f>IF(SnapshotTable[[#This Row],[SC Strike Price]] &gt; SnapshotTable[[#This Row],[Last Price]], SnapshotTable[[#This Row],[SC Strike Price]] - SnapshotTable[[#This Row],[Last Price]],0)</f>
        <v>#VALUE!</v>
      </c>
      <c r="FT217" s="27" t="e">
        <f>IF(AND(ISNUMBER(SnapshotTable[[#This Row],[SC Upside Potential]]), SnapshotTable[[#This Row],[SC Upside Potential]] &gt; 0),(SnapshotTable[[#This Row],[SC Upside Potential]]/ SnapshotTable[[#This Row],[ACB]]),"")</f>
        <v>#VALUE!</v>
      </c>
      <c r="FU217" s="333" t="str">
        <f>IF(SnapshotTable[[#This Row],[SC Intrinsic Value]] &gt; 0,SnapshotTable[[#This Row],[SC Intrinsic Value]],"")</f>
        <v/>
      </c>
      <c r="FV217" s="27" t="str">
        <f>IF(AND( ISNUMBER( SnapshotTable[[#This Row],[ACB]]),ISNUMBER(SnapshotTable[[#This Row],[SC Downside Protect]])),SnapshotTable[[#This Row],[SC Downside Protect]] / SnapshotTable[[#This Row],[ACB]],"")</f>
        <v/>
      </c>
      <c r="FW217" s="236" t="str">
        <f>IF(AND(ISNUMBER(SnapshotTable[[#This Row],[SC Simple ROO]]),SnapshotTable[[#This Row],[SC Simple ROO]] &gt; 0), SnapshotTable[[#This Row],[SC Premium]] + (SnapshotTable[[#This Row],[SC Qty]] * SnapshotTable[[#This Row],[SC Upside Potential]]), "")</f>
        <v/>
      </c>
      <c r="FX217" s="302" t="str" cm="1">
        <f t="array" ref="FX217">IF(ISNUMBER(SnapshotTable[[#This Row],[SC Max Dollars]]), annualize(SnapshotTable[[#This Row],[SC Term]],(SnapshotTable[[#This Row],[SC Max Dollars]]/SnapshotTable[[#This Row],[SC Basis]])),"")</f>
        <v/>
      </c>
      <c r="FY217" s="236" t="str">
        <f>IF(AND(SnapshotTable[[#This Row],[SC Qty]]&gt;0,SnapshotTable[[#This Row],[SC Current Ask]]&gt;0), SnapshotTable[[#This Row],[SC Qty]] * SnapshotTable[[#This Row],[SC Current Ask]] * -100, "")</f>
        <v/>
      </c>
      <c r="FZ217" s="31" t="str">
        <f>IF(ISNUMBER((SnapshotTable[[#This Row],[SC Current Value]])), SnapshotTable[[#This Row],[SC Premium]] + SnapshotTable[[#This Row],[SC Current Value]], "")</f>
        <v/>
      </c>
      <c r="GA217" s="294" t="str">
        <f>IFERROR( IF(ISNUMBER((SnapshotTable[[#This Row],[SC Current Value]])), SnapshotTable[[#This Row],[SC Gain Loss]] / SnapshotTable[[#This Row],[SC Premium]], ""), "")</f>
        <v/>
      </c>
      <c r="GB217" s="42">
        <f>SnapshotTable[[#This Row],[Equity Shares]] * SaleSharesToConsiderPercentage</f>
        <v>0</v>
      </c>
      <c r="GC217" s="40">
        <f>SnapshotTable[[#This Row],[Long Term Target]] * SellingPriceToConsiderBasedOnTargetPercentage</f>
        <v>26.827999999999996</v>
      </c>
      <c r="GD217" s="40">
        <f>SnapshotTable[[#This Row],[Last Price]] * (1+ SellingPriceToConsiderBasedOnTargetPercentage)</f>
        <v>50.622</v>
      </c>
      <c r="GE217" s="41"/>
      <c r="GF217" s="40">
        <v>88.88</v>
      </c>
      <c r="GG217" s="31">
        <f>SnapshotTable[[#This Row],[Booked Sale Shares]] * SnapshotTable[[#This Row],[Booked Sale Price]]</f>
        <v>0</v>
      </c>
      <c r="GH217" s="31" t="str">
        <f>IF(SnapshotTable[[#This Row],[Equity Basis Total]] &gt; 0, SnapshotTable[[#This Row],[Equity Basis Per Share]] * SnapshotTable[[#This Row],[Booked Sale Shares]], "")</f>
        <v/>
      </c>
      <c r="GI217" s="31">
        <f>IF(SnapshotTable[[#This Row],[Sale Proceeds]]&gt;0, SnapshotTable[[#This Row],[Sale Proceeds]] - SnapshotTable[[#This Row],[Sale Basis]], 0)</f>
        <v>0</v>
      </c>
      <c r="GJ217" s="27" t="str">
        <f>IF(SnapshotTable[[#This Row],[Sale G/L]]&gt;0, SnapshotTable[[#This Row],[Sale G/L]] / SnapshotTable[[#This Row],[Sale Basis]], IF(ISNUMBER(SnapshotTable[[#This Row],[SC Exercise P&amp;L (TAX)]]), SnapshotTable[[#This Row],[SC Exercise P&amp;L (TAX)]] / SnapshotTable[[#This Row],[SC Basis]], ""))</f>
        <v/>
      </c>
      <c r="GK217" s="27" t="s">
        <v>730</v>
      </c>
      <c r="GL217" s="43" t="str">
        <f>IF(AND(SnapshotTable[[#This Row],[LP Exp Date]]&gt;0,SnapshotTable[[#This Row],[LP Strike Price]]&gt;0), [1]!ToOptionSymbol(SnapshotTable[[#This Row],[Symbol]], SnapshotTable[[#This Row],[LP Strike Price]],SnapshotTable[[#This Row],[LP Exp Date]],1), "")</f>
        <v/>
      </c>
      <c r="GM217" s="30" t="str">
        <f>IF(LEN(SnapshotTable[[#This Row],[LP Symbol]])&gt;0, 1, "")</f>
        <v/>
      </c>
      <c r="GN217" s="43" t="str">
        <f>IF(AND(SnapshotTable[[#This Row],[SP Exp Date]]&gt;0,SnapshotTable[[#This Row],[SP Strike Price]]&gt;0), [1]!ToOptionSymbol(SnapshotTable[[#This Row],[Symbol]], SnapshotTable[[#This Row],[SP Strike Price]],SnapshotTable[[#This Row],[SP Exp Date]],1), "")</f>
        <v/>
      </c>
      <c r="GO217" s="30" t="str">
        <f>IF(LEN(SnapshotTable[[#This Row],[SP Symbol]])&gt;0, 1, "")</f>
        <v/>
      </c>
      <c r="GP217" s="43" t="str">
        <f>IF(AND(SnapshotTable[[#This Row],[LC Exp Date]]&gt;0,SnapshotTable[[#This Row],[LC Strike Price]]&gt;0), [1]!ToOptionSymbol(SnapshotTable[[#This Row],[Symbol]], SnapshotTable[[#This Row],[LC Strike Price]],SnapshotTable[[#This Row],[LC Exp Date]],0), "")</f>
        <v/>
      </c>
      <c r="GQ217" s="30" t="str">
        <f>IF(LEN(SnapshotTable[[#This Row],[LC Symbol]])&gt;0, 1, "")</f>
        <v/>
      </c>
      <c r="GR217" s="43" t="str">
        <f>IF(AND(SnapshotTable[[#This Row],[SC Exp Date]]&gt;0,SnapshotTable[[#This Row],[SC Strike Price]]&gt;0), [1]!ToOptionSymbol(SnapshotTable[[#This Row],[Symbol]], SnapshotTable[[#This Row],[SC Strike Price]],SnapshotTable[[#This Row],[SC Exp Date]],0), "")</f>
        <v/>
      </c>
      <c r="GS217" s="30" t="str">
        <f>IF(LEN(SnapshotTable[[#This Row],[SC Symbol]])&gt;0, 1, "")</f>
        <v/>
      </c>
      <c r="GT217" s="29" t="str">
        <f>IF(COUNT(SnapshotTable[[#This Row],[LP Symbol Count]],SnapshotTable[[#This Row],[SP Symbol Count]],SnapshotTable[[#This Row],[LC Symbol Count]],SnapshotTable[[#This Row],[SC Symbol Count]])&gt;0, "Y", "")</f>
        <v/>
      </c>
      <c r="GU21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7" s="231" t="e">
        <f>MAX(SnapshotTable[[#This Row],[Equity Basis Total]],SnapshotTable[[#This Row],[Equity Value]]) + (SnapshotTable[[#This Row],[SP Potential Spend]]- SnapshotTable[[#This Row],[SP Premium]] + SnapshotTable[[#This Row],[LP Premium]])+ (SnapshotTable[[#This Row],[LC Premium]] - SnapshotTable[[#This Row],[SC Premium]])</f>
        <v>#VALUE!</v>
      </c>
      <c r="GW217" s="139" t="e">
        <f>IF(AND(SnapshotTable[[#This Row],[Exposure]] &lt;&gt; 0),SnapshotTable[[#This Row],[Exposure]] / SnapshotTable[[#Totals],[Exposure]], "")</f>
        <v>#VALUE!</v>
      </c>
      <c r="HE217" s="268"/>
      <c r="HF217" s="268"/>
      <c r="HK217" s="1"/>
      <c r="HL217" s="1"/>
      <c r="HM217" s="1"/>
      <c r="HN217" s="1"/>
      <c r="HO217" s="1"/>
      <c r="HP217" s="1"/>
    </row>
    <row r="218" spans="2:224" ht="12.75" hidden="1" customHeight="1" x14ac:dyDescent="0.25">
      <c r="B218" s="12" t="s">
        <v>899</v>
      </c>
      <c r="C218" s="422">
        <v>95.53</v>
      </c>
      <c r="D218" s="208"/>
      <c r="E218" s="39">
        <f>SnapshotTable[[#This Row],[Last Price]]*(1 -CrashDiscount)</f>
        <v>81.200500000000005</v>
      </c>
      <c r="F218" s="26" t="s">
        <v>241</v>
      </c>
      <c r="G218" s="26" t="s">
        <v>4</v>
      </c>
      <c r="H218" s="149"/>
      <c r="I218" s="194">
        <v>44775.284722222219</v>
      </c>
      <c r="J218" s="195">
        <v>44775.284722222219</v>
      </c>
      <c r="K218" s="196"/>
      <c r="L218" s="326"/>
      <c r="M218" s="140"/>
      <c r="N218" s="140"/>
      <c r="O218" s="140"/>
      <c r="P218" s="22"/>
      <c r="Q218" s="25"/>
      <c r="R218" s="4" t="str">
        <f>IF(SnapshotTable[[#This Row],[Equity Basis Total]] &gt; 0, SnapshotTable[[#This Row],[Equity Basis Total]] / SnapshotTable[[#This Row],[Equity Shares]], "")</f>
        <v/>
      </c>
      <c r="S218" s="269">
        <f>SnapshotTable[[#This Row],[Last Price]] * SnapshotTable[[#This Row],[Equity Shares]]</f>
        <v>0</v>
      </c>
      <c r="T218" s="269">
        <f>SnapshotTable[[#This Row],[Equity Value]] - SnapshotTable[[#This Row],[Equity Basis Total]]</f>
        <v>0</v>
      </c>
      <c r="U218" s="270" t="str">
        <f>IF(SnapshotTable[[#This Row],[Equity Basis Total]] &gt; 0, SnapshotTable[[#This Row],[Equity G/L]] / SnapshotTable[[#This Row],[Equity Basis Total]], "")</f>
        <v/>
      </c>
      <c r="V218" s="268"/>
      <c r="W218" s="268"/>
      <c r="X218" s="4" t="str">
        <f>IF(AND(ISNUMBER(SnapshotTable[[#This Row],[Equity Basis Per Share]]),ISNUMBER(SnapshotTable[[#This Row],[Equity Target]])),SnapshotTable[[#This Row],[Equity Target]]-SnapshotTable[[#This Row],[Equity Basis Per Share]],"")</f>
        <v/>
      </c>
      <c r="Y218" s="4" t="str">
        <f>IF(AND(ISNUMBER(SnapshotTable[[#This Row],[Equity Basis Per Share]]),ISNUMBER(SnapshotTable[[#This Row],[Equity Stop Loss]])),SnapshotTable[[#This Row],[Equity Stop Loss]]-SnapshotTable[[#This Row],[Equity Basis Per Share]],"")</f>
        <v/>
      </c>
      <c r="Z218" s="275" t="str">
        <f>IFERROR( TEXT(SnapshotTable[[#This Row],[Equity Max Gain Per Share]] /ABS( SnapshotTable[[#This Row],[Equity Max Loss Per Share]]),"0.0 " ) &amp; " : 1", "")</f>
        <v/>
      </c>
      <c r="AA218" s="31" t="str">
        <f>IF(ISNUMBER(SnapshotTable[[#This Row],[Equity Max Gain Per Share]]),SnapshotTable[[#This Row],[Equity Max Gain Per Share]] * SnapshotTable[[#This Row],[Equity Shares]],"")</f>
        <v/>
      </c>
      <c r="AB218" s="31" t="str">
        <f>IF(ISNUMBER(SnapshotTable[[#This Row],[Equity Max Loss Per Share]]),SnapshotTable[[#This Row],[Equity Max Loss Per Share]] * SnapshotTable[[#This Row],[Equity Shares]],"")</f>
        <v/>
      </c>
      <c r="AC218" s="150"/>
      <c r="AD218" s="151"/>
      <c r="AE218" s="31">
        <f>(SnapshotTable[[#This Row],[Annual Dividend Per Share]] / 4) * SnapshotTable[[#This Row],[Equity Shares]]</f>
        <v>0</v>
      </c>
      <c r="AF218" s="31">
        <f>SnapshotTable[[#This Row],[Quarterly Div $]] * 4</f>
        <v>0</v>
      </c>
      <c r="AG218" s="7">
        <f>IF(SnapshotTable[[#This Row],[Annual Dividend Per Share]]&gt;0, SnapshotTable[[#This Row],[Annual Dividend Per Share]]  / SnapshotTable[[#This Row],[Last Price]], 0)</f>
        <v>0</v>
      </c>
      <c r="AH218" s="151"/>
      <c r="AI218" s="5"/>
      <c r="AJ218" s="138">
        <v>40.35</v>
      </c>
      <c r="AK218" s="152" t="str">
        <f>IF(ISNUMBER( SnapshotTable[[#This Row],[EBF Target]]),(SnapshotTable[[#This Row],[EBF Target]] - SnapshotTable[[#This Row],[Last Price]]) / SnapshotTable[[#This Row],[Last Price]], "")</f>
        <v/>
      </c>
      <c r="AL218" s="152" t="str">
        <f>IF(AND(SnapshotTable[[#This Row],[Equity Basis Total]] &gt; 0,ISNUMBER( SnapshotTable[[#This Row],[Long Term Target]])), SnapshotTable[[#This Row],[From Basis $]] / SnapshotTable[[#This Row],[Equity Basis Total]], "")</f>
        <v/>
      </c>
      <c r="AM218" s="9">
        <f>IF( AND(SnapshotTable[[#This Row],[Equity Shares]] &gt;0,ISNUMBER( SnapshotTable[[#This Row],[Long Term Target]])),(SnapshotTable[[#This Row],[Equity Shares]] * SnapshotTable[[#This Row],[Long Term Target]]) - SnapshotTable[[#This Row],[Equity Basis Total]],0)</f>
        <v>0</v>
      </c>
      <c r="AN218" s="9">
        <f>IF( AND(SnapshotTable[[#This Row],[Equity Shares]] &gt;0,ISNUMBER( SnapshotTable[[#This Row],[Long Term Target]])),(SnapshotTable[[#This Row],[Equity Shares]]*SnapshotTable[[#This Row],[Long Term Target]]) - SnapshotTable[[#This Row],[Equity Value]],0)</f>
        <v>0</v>
      </c>
      <c r="AO218" s="152">
        <f>IF(AND(ISNUMBER( SnapshotTable[[#This Row],[Long Term Target]]), ISNUMBER(SnapshotTable[[#This Row],[Last Price]])),(SnapshotTable[[#This Row],[Long Term Target]] - SnapshotTable[[#This Row],[Last Price]]) / SnapshotTable[[#This Row],[Last Price]], "")</f>
        <v>-0.57761959593844869</v>
      </c>
      <c r="AP218" s="5"/>
      <c r="AQ218" s="38"/>
      <c r="AR218" s="5"/>
      <c r="AS218" s="38"/>
      <c r="AT218" s="146"/>
      <c r="AU218" s="187" t="str">
        <f>IF(OR(SnapshotTable[[#This Row],[LP No Fill]]="Y",SnapshotTable[[#This Row],[SP Is Filled]],SnapshotTable[[#This Row],[LC Not Filled]]="Y",SnapshotTable[[#This Row],[SC Is Filled]]),"Y","")</f>
        <v/>
      </c>
      <c r="AV218" s="219"/>
      <c r="AW218" s="225"/>
      <c r="AX218" s="220"/>
      <c r="AY218" s="219" t="str">
        <f>IF(SnapshotTable[[#This Row],[Implied Move]]&gt;0, SnapshotTable[[#This Row],[Last Price]]-SnapshotTable[[#This Row],[Implied Move]],"")</f>
        <v/>
      </c>
      <c r="AZ218" s="219" t="str">
        <f>IF(SnapshotTable[[#This Row],[Implied Move]]&gt;0, SnapshotTable[[#This Row],[Last Price]] + SnapshotTable[[#This Row],[Implied Move]],"")</f>
        <v/>
      </c>
      <c r="BA218" s="331"/>
      <c r="BB218" s="347"/>
      <c r="BC21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8" s="351"/>
      <c r="BE218" s="138"/>
      <c r="BF218" s="166"/>
      <c r="BG218" s="167"/>
      <c r="BH218" s="167"/>
      <c r="BI218" s="221"/>
      <c r="BJ218" s="153">
        <f>IF(SnapshotTable[[#This Row],[LP Qty]] &gt; 0, SnapshotTable[[#This Row],[LP Qty]] * SnapshotTable[[#This Row],[LP Book Price]] * 100,0)</f>
        <v>0</v>
      </c>
      <c r="BK218" s="136">
        <f>IF(SnapshotTable[[#This Row],[LP Premium]] &gt; 0, SnapshotTable[[#This Row],[LP Qty]] * SnapshotTable[[#This Row],[LP Strike Price]] * 100,0)</f>
        <v>0</v>
      </c>
      <c r="BL218" s="154"/>
      <c r="BM218" s="385" t="str">
        <f>IF(SnapshotTable[[#This Row],[LP Premium]] &gt; 0,SnapshotTable[[#This Row],[LP Exp Date]]-MAX(SnapshotTable[[#This Row],[LP Book Date]], SnapshotTable[[#This Row],[LP Fill Date]]),"")</f>
        <v/>
      </c>
      <c r="BN218" s="385" t="str">
        <f>IF(ISNUMBER( SnapshotTable[[#This Row],[LP Term]]), SnapshotTable[[#This Row],[LP Exp Date]] - MockToday,"")</f>
        <v/>
      </c>
      <c r="BO218" s="163" t="str">
        <f>IF(AND(SnapshotTable[[#This Row],[LP Exp Date]]&gt;0, SnapshotTable[[#This Row],[LP Strike Price]]&gt;0,SnapshotTable[[#This Row],[LP Qty]]&gt;0,SnapshotTable[[#This Row],[LP Book Date]]&gt;0,SnapshotTable[[#This Row],[LP Book Price]]&gt;0,SnapshotTable[[#This Row],[LP Fill Date]]=0),"Y","")</f>
        <v/>
      </c>
      <c r="BP218" s="31" t="str">
        <f>IF(AND(SnapshotTable[[#This Row],[LP No Fill]]&lt;&gt;"Y",SnapshotTable[[#This Row],[LP Contract Value]]&gt;0, SnapshotTable[[#This Row],[LP Qty]]&gt;0), SnapshotTable[[#This Row],[LP Contract Value]]*SnapshotTable[[#This Row],[LP Qty]]*100,"")</f>
        <v/>
      </c>
      <c r="BQ218" s="13"/>
      <c r="BR218" s="5" t="str">
        <f>IF(SnapshotTable[[#This Row],[SP Exp Date]]&lt;&gt;"",TRUNC(SnapshotTable[[#This Row],[Last Price]]),"")</f>
        <v/>
      </c>
      <c r="BS218" s="36"/>
      <c r="BT218" s="147"/>
      <c r="BU218" s="13"/>
      <c r="BV218" s="5"/>
      <c r="BW218" s="419" t="b">
        <f>AND(ISNUMBER(SnapshotTable[[#This Row],[SP Exp Date]]), ISNUMBER(SnapshotTable[[#This Row],[SP Strike Price]]), ISNUMBER(SnapshotTable[[#This Row],[SP Qty]]), ISNUMBER(SnapshotTable[[#This Row],[SP Book Date]]), ISNUMBER(SnapshotTable[[#This Row],[SP Book Price]]))</f>
        <v>0</v>
      </c>
      <c r="BX218" s="419" t="b">
        <f>AND(SnapshotTable[[#This Row],[SP Is Booked]], NOT(ISBLANK(SnapshotTable[[#This Row],[SP Fill Date]])))</f>
        <v>0</v>
      </c>
      <c r="BY218" s="33">
        <f>IF(SnapshotTable[[#This Row],[SP Is Booked]], SnapshotTable[[#This Row],[SP Qty]] * SnapshotTable[[#This Row],[SP Book Price]] * 100, 0)</f>
        <v>0</v>
      </c>
      <c r="BZ218" s="369"/>
      <c r="CA218" s="368">
        <f>SnapshotTable[[#This Row],[LP Qty]]</f>
        <v>0</v>
      </c>
      <c r="CB218" s="4" t="str">
        <f>IF(SnapshotTable[[#This Row],[SP Is Booked]], SnapshotTable[[#This Row],[SP Strike Price]] - SnapshotTable[[#This Row],[SP Book Price]], "")</f>
        <v/>
      </c>
      <c r="CC218" s="19" t="str">
        <f>IF(SnapshotTable[[#This Row],[SP Is Booked]],SnapshotTable[[#This Row],[SP Exp Date]]-MAX(SnapshotTable[[#This Row],[SP Book Date]], SnapshotTable[[#This Row],[SP Fill Date]]),"")</f>
        <v/>
      </c>
      <c r="CD218" s="7" t="str">
        <f>IF(SnapshotTable[[#This Row],[SP Is Booked]], SnapshotTable[[#This Row],[SP Book Price]]/SnapshotTable[[#This Row],[SP Strike Price]], "")</f>
        <v/>
      </c>
      <c r="CE218" s="7" t="str">
        <f>IF(ISNUMBER(SnapshotTable[[#This Row],[SP ROO Term]]),SnapshotTable[[#This Row],[SP ROO Term]]*(365/SnapshotTable[[#This Row],[SP Term]]),"")</f>
        <v/>
      </c>
      <c r="CF218" s="236">
        <f>SnapshotTable[[#This Row],[LP Strike Price]] * SnapshotTable[[#This Row],[LP Qty]] * 100</f>
        <v>0</v>
      </c>
      <c r="CG218" s="31" t="e">
        <f>IF(ISNUMBER(SnapshotTable[[#This Row],[SP Premium]]), (SnapshotTable[[#This Row],[SP Qty]] * SnapshotTable[[#This Row],[SP Strike Price]]* 100) - SnapshotTable[[#This Row],[LP Protection]], 0)</f>
        <v>#VALUE!</v>
      </c>
      <c r="CH218" s="7" t="str">
        <f>IF(ISNUMBER(SnapshotTable[[#This Row],[SP Break Even]]),-1 * (SnapshotTable[[#This Row],[SP Break Even]] - SnapshotTable[[#This Row],[Last Price]]) / SnapshotTable[[#This Row],[Last Price]], "")</f>
        <v/>
      </c>
      <c r="CI218" s="31">
        <f>IF(AND(ISNUMBER((SnapshotTable[[#This Row],[SP Potential Spend]])), SnapshotTable[[#This Row],[SP Strike Price]] &gt; SnapshotTable[[#This Row],[Last Price]], SnapshotTable[[#This Row],[SP Is Filled]]), SnapshotTable[[#This Row],[SP Potential Spend]] -  SnapshotTable[[#This Row],[LP Max Value]], 0)</f>
        <v>0</v>
      </c>
      <c r="CJ218" s="244"/>
      <c r="CK218" s="31" t="str">
        <f>IF(ISNUMBER(SnapshotTable[[#This Row],[SP Potential Spend]]),IF(ISNUMBER(SnapshotTable[[#This Row],[SP POW]]), SnapshotTable[[#This Row],[SP POW]] * SnapshotTable[[#This Row],[SP Potential Spend]], SnapshotTable[[#This Row],[SP Potential Spend]]), "")</f>
        <v/>
      </c>
      <c r="CL218" s="164" t="e">
        <f>IF(NOT(SnapshotTable[[#This Row],[SP Is Filled]]),(SnapshotTable[[#This Row],[SP Qty]] * SnapshotTable[[#This Row],[SP Strike Price]] * 100) - SnapshotTable[[#This Row],[LP Max Value]],"")</f>
        <v>#VALUE!</v>
      </c>
      <c r="CM218" s="31" t="str">
        <f>IF(SnapshotTable[[#This Row],[SP Actual Spend]]&lt;&gt;0, ((SnapshotTable[[#This Row],[SP Strike Price]]-SnapshotTable[[#This Row],[Last Price]]) *(SnapshotTable[[#This Row],[SP Qty]]*100) - SnapshotTable[[#This Row],[SP Premium]]) * - 1, "")</f>
        <v/>
      </c>
      <c r="CN218" s="154"/>
      <c r="CO218" s="369"/>
      <c r="CP218" s="4" t="str">
        <f>IF(SnapshotTable[[#This Row],[SP Is Filled]], btc_max_buyback_amount(SnapshotTable[[#This Row],[SP Fill Date]],SnapshotTable[[#This Row],[SP Exp Date]], SnapshotTable[[#This Row],[SP Book Price]]),"")</f>
        <v/>
      </c>
      <c r="CQ218" s="78"/>
      <c r="CR21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8" s="155" t="str">
        <f>IF(SnapshotTable[[#This Row],[SP Is Filled]], btc_next_cutoff_date(SnapshotTable[[#This Row],[SP Fill Date]],SnapshotTable[[#This Row],[SP Exp Date]]),"")</f>
        <v/>
      </c>
      <c r="CT218" s="235" t="str" cm="1">
        <f t="array" ref="CT218">IF(SnapshotTable[[#This Row],[SP Is Filled]], btc_should_buy_back(SnapshotTable[[#This Row],[SP Fill Date]], SnapshotTable[[#This Row],[SP Exp Date]], SnapshotTable[[#This Row],[SP Book Price]], SnapshotTable[[#This Row],[SP Current Ask]], MockToday, SnapshotTable[[#This Row],[SP Buyback Override]]),"")</f>
        <v/>
      </c>
      <c r="CU218" s="156"/>
      <c r="CV218" s="235"/>
      <c r="CW218" s="378" t="str">
        <f>IF(ISNUMBER( SnapshotTable[[#This Row],[SP Term]]), SnapshotTable[[#This Row],[SP Exp Date]] - MockToday,"")</f>
        <v/>
      </c>
      <c r="CX218" s="31" t="str">
        <f>IF(SnapshotTable[[#This Row],[SP Is Filled]],SnapshotTable[[#This Row],[SP Buyback Price to Use]] * 100 * SnapshotTable[[#This Row],[SP Qty]], "")</f>
        <v/>
      </c>
      <c r="CY218" s="4" t="str">
        <f>IF(ISNUMBER(SnapshotTable[[#This Row],[SP Strike Price]]), SnapshotTable[[#This Row],[SP Strike Price]] * (1 - SP_MaxLoss_StrikePct), "")</f>
        <v/>
      </c>
      <c r="CZ218" s="31" t="str">
        <f>IF(ISNUMBER(SnapshotTable[[#This Row],[SP Strike  Stop Per Share]]),SnapshotTable[[#This Row],[SP Premium]] - ((SnapshotTable[[#This Row],[SP Strike Price]]-SnapshotTable[[#This Row],[SP Strike  Stop Per Share]]) *(SnapshotTable[[#This Row],[SP Qty]] * 100)),"")</f>
        <v/>
      </c>
      <c r="DA218" s="4" t="str">
        <f>IF(AND(ISNUMBER(SnapshotTable[[#This Row],[SP Premium]]),SnapshotTable[[#This Row],[SP Premium]]&gt;0), SnapshotTable[[#This Row],[SP Book Price]] * (1 + SP_MaxLoss_OptionPct), "")</f>
        <v/>
      </c>
      <c r="DB218" s="31" t="str">
        <f>IF(ISNUMBER(SnapshotTable[[#This Row],[SP Option  Stop Contract]]),(SnapshotTable[[#This Row],[SP Option  Stop Contract]] *(SnapshotTable[[#This Row],[SP Qty]] * 100) - SnapshotTable[[#This Row],[SP Premium]]),"")</f>
        <v/>
      </c>
      <c r="DC218" s="4"/>
      <c r="DD218" s="4"/>
      <c r="DE218" s="4" t="str">
        <f>IF(AND(SnapshotTable[[#This Row],[SP Qty]]&gt;0, SnapshotTable[[#This Row],[SP Stop To Use]]&gt;0),SnapshotTable[[#This Row],[SP Premium]] - ( SnapshotTable[[#This Row],[SP Qty]] * SnapshotTable[[#This Row],[SP Stop To Use]] * 100), "")</f>
        <v/>
      </c>
      <c r="DF218" s="31" t="str">
        <f>IF(AND(SnapshotTable[[#This Row],[SP Qty]]&gt;0,SnapshotTable[[#This Row],[SP Current Ask]]&gt;0), SnapshotTable[[#This Row],[SP Qty]] * SnapshotTable[[#This Row],[SP Current Ask]] * -100, "")</f>
        <v/>
      </c>
      <c r="DG218" s="31" t="str">
        <f>IF(ISNUMBER((SnapshotTable[[#This Row],[SP Total Value]])), SnapshotTable[[#This Row],[SP Premium]] + SnapshotTable[[#This Row],[SP Total Value]], "")</f>
        <v/>
      </c>
      <c r="DH218" s="294" t="str">
        <f>IF(ISNUMBER((SnapshotTable[[#This Row],[SP Total Value]])), SnapshotTable[[#This Row],[SP Gain Loss]] / SnapshotTable[[#This Row],[SP Premium]], "")</f>
        <v/>
      </c>
      <c r="DI218" s="406"/>
      <c r="DJ218" s="138"/>
      <c r="DK218" s="148"/>
      <c r="DL218" s="147"/>
      <c r="DM218" s="147"/>
      <c r="DO218" s="31">
        <f>IF(SnapshotTable[[#This Row],[LC Symbol Count]]=1, SnapshotTable[[#This Row],[LC Qty]] * SnapshotTable[[#This Row],[LC Book Price]] * 100, 0)</f>
        <v>0</v>
      </c>
      <c r="DP218" s="289" t="str">
        <f>IF(AND(SnapshotTable[[#This Row],[LC Exp Date]]&gt;0, SnapshotTable[[#This Row],[LC Strike Price]]&gt;0,SnapshotTable[[#This Row],[LC Qty]]&gt;0,SnapshotTable[[#This Row],[LC Book Date]]&gt;0,SnapshotTable[[#This Row],[LC Book Price]]&gt;0,SnapshotTable[[#This Row],[LC Fill Date]]=0),"Y","")</f>
        <v/>
      </c>
      <c r="DQ218" s="386" t="str">
        <f>IF(SnapshotTable[[#This Row],[LC Premium]] &gt; 0,SnapshotTable[[#This Row],[LC Exp Date]]-MAX(SnapshotTable[[#This Row],[LC Book Date]], SnapshotTable[[#This Row],[LC Fill Date]]),"")</f>
        <v/>
      </c>
      <c r="DR218" s="386" t="str">
        <f>IF(ISNUMBER(SnapshotTable[[#This Row],[LC Term]]), SnapshotTable[[#This Row],[LC Exp Date]] - MockToday, "")</f>
        <v/>
      </c>
      <c r="DS218" s="234" t="str">
        <f>IF(SnapshotTable[[#This Row],[LC Premium]]&gt;0,SnapshotTable[[#This Row],[LC Strike Price]] + SnapshotTable[[#This Row],[LC Book Price]],"")</f>
        <v/>
      </c>
      <c r="DU218" s="9" t="str">
        <f>IF(AND(SnapshotTable[[#This Row],[LC Symbol Count]]&gt;0, SnapshotTable[[#This Row],[LC Contract Value]]&gt;0), SnapshotTable[[#This Row],[LC Contract Value]] * SnapshotTable[[#This Row],[LC Qty]] * 100, "")</f>
        <v/>
      </c>
      <c r="DV218" s="9" t="str">
        <f>IF(AND(ISNUMBER(SnapshotTable[[#This Row],[LC Total Value]]), SnapshotTable[[#This Row],[LC Not Filled]]&lt;&gt;"Y"), SnapshotTable[[#This Row],[LC Total Value]]-SnapshotTable[[#This Row],[LC Premium]],"")</f>
        <v/>
      </c>
      <c r="DW218" s="240" t="str">
        <f>IF(ISNUMBER(SnapshotTable[[#This Row],[LC Actual Gain Loss]]), SnapshotTable[[#This Row],[LC Actual Gain Loss]] / SnapshotTable[[#This Row],[LC Premium]],"")</f>
        <v/>
      </c>
      <c r="DX218" s="284" t="str">
        <f>IF(ISNUMBER(SnapshotTable[[#This Row],[LC Book Price]]),SnapshotTable[[#This Row],[LC Book Price]] * 1.5,"")</f>
        <v/>
      </c>
      <c r="DY218" s="265" t="str">
        <f>IF(SnapshotTable[[#This Row],[LC Premium]]&gt;0, SnapshotTable[[#This Row],[LC Next Target]] * SnapshotTable[[#This Row],[LC Qty]] * 100,"")</f>
        <v/>
      </c>
      <c r="DZ218" s="265" t="str">
        <f>IF(ISNUMBER(SnapshotTable[[#This Row],[LC Target Gross]]), SnapshotTable[[#This Row],[LC Target Gross]] - SnapshotTable[[#This Row],[LC Premium]], "")</f>
        <v/>
      </c>
      <c r="EA218" s="305" t="str">
        <f>IF(ISNUMBER(SnapshotTable[[#This Row],[LC Target Gain Loss]]), SnapshotTable[[#This Row],[LC Target Gain Loss]]/SnapshotTable[[#This Row],[LC Premium]], "")</f>
        <v/>
      </c>
      <c r="EB218" s="262"/>
      <c r="EC218" s="283" t="str">
        <f>IF(SnapshotTable[[#This Row],[LC Premium]]&gt;0, SnapshotTable[[#This Row],[LC Book Price]] * (1 - LC_StopLoss_Pct),"")</f>
        <v/>
      </c>
      <c r="ED218" s="284"/>
      <c r="EE218" s="283" t="str">
        <f>IF(ISNUMBER(SnapshotTable[[#This Row],[LC Contract Value]]),IF(ISNUMBER(SnapshotTable[[#This Row],[LC Stop Loss Override]]), SnapshotTable[[#This Row],[LC Stop Loss Override]],SnapshotTable[[#This Row],[LC Stop Loss Calc Target]]),"")</f>
        <v/>
      </c>
      <c r="EF218" s="31" t="str">
        <f>IF(ISNUMBER(SnapshotTable[[#This Row],[LC Stop  To Use]]), (SnapshotTable[[#This Row],[LC Stop  To Use]] * SnapshotTable[[#This Row],[LC Qty]] * 100),"")</f>
        <v/>
      </c>
      <c r="EG218" s="9" t="str">
        <f>IF(ISNUMBER(SnapshotTable[[#This Row],[LC Total Value]]),SnapshotTable[[#This Row],[LC Stop Loss Amount]] - SnapshotTable[[#This Row],[LC Premium]],"")</f>
        <v/>
      </c>
      <c r="EH218" s="9">
        <f>IF(ISNUMBER(SnapshotTable[[#This Row],[LC Premium]]), SnapshotTable[[#This Row],[LC Qty]] * 100 * SnapshotTable[[#This Row],[LC Strike Price]], "")</f>
        <v>0</v>
      </c>
      <c r="EI218" s="240" t="str">
        <f>IF(AND(ISNUMBER(SnapshotTable[[#This Row],[LC Total Value]]),SnapshotTable[[#This Row],[LC Total Value]]&gt;0),SnapshotTable[[#This Row],[LC Stop Gain Loss]]  / SnapshotTable[[#This Row],[LC Premium]],"")</f>
        <v/>
      </c>
      <c r="EJ218" s="35">
        <f>IF(ISNUMBER(SnapshotTable[[#This Row],[Equity Shares]]),TRUNC(SnapshotTable[[#This Row],[Equity Shares]] / 100),0) + SnapshotTable[[#This Row],[LC Qty]]</f>
        <v>0</v>
      </c>
      <c r="EK218" s="147"/>
      <c r="EL218" s="138" t="str">
        <f>IF(SnapshotTable[[#This Row],[SC Exp Date]]&lt;&gt;"",TRUNC(SnapshotTable[[#This Row],[Last Price]]),"")</f>
        <v/>
      </c>
      <c r="EM218" s="148"/>
      <c r="EN218" s="147"/>
      <c r="EO218" s="147"/>
      <c r="EP218" s="138"/>
      <c r="EQ218" s="419" t="b">
        <f>AND(ISNUMBER(SnapshotTable[[#This Row],[SC Exp Date]]), ISNUMBER(SnapshotTable[[#This Row],[SC Strike Price]]), ISNUMBER(SnapshotTable[[#This Row],[SC Qty]]), ISNUMBER(SnapshotTable[[#This Row],[SC Book Date]]), ISNUMBER(SnapshotTable[[#This Row],[SC Book Price]]))</f>
        <v>0</v>
      </c>
      <c r="ER218" s="419" t="b">
        <f>AND(SnapshotTable[[#This Row],[SC Is Booked]], NOT(ISBLANK(SnapshotTable[[#This Row],[SC Fill Date]])))</f>
        <v>0</v>
      </c>
      <c r="ES218" s="370"/>
      <c r="ET218" s="34" t="str">
        <f>IF(AND(ISNUMBER(SnapshotTable[[#This Row],[SC Exp Date]]), ISNUMBER(SnapshotTable[[#This Row],[SC Book Date]])), SnapshotTable[[#This Row],[SC Exp Date]] - MAX(SnapshotTable[[#This Row],[SC Book Date]], SnapshotTable[[#This Row],[SC Fill Date]]) + 1, "")</f>
        <v/>
      </c>
      <c r="EU218" s="34" t="str">
        <f>IF(ISNUMBER(SnapshotTable[[#This Row],[SC Term]]), SnapshotTable[[#This Row],[SC Exp Date]]- MockToday, "")</f>
        <v/>
      </c>
      <c r="EV218" s="31">
        <f>IF(SnapshotTable[[#This Row],[SC Is Booked]], SnapshotTable[[#This Row],[SC Qty]] * SnapshotTable[[#This Row],[SC Book Price]] * 100, 0)</f>
        <v>0</v>
      </c>
      <c r="EW218" s="4" t="str">
        <f>IF(AND(ISNUMBER(SnapshotTable[[#This Row],[Last Price]]), ISNUMBER( SnapshotTable[[#This Row],[SC Book Price]])), SnapshotTable[[#This Row],[Last Price]] - SnapshotTable[[#This Row],[SC Book Price]],"")</f>
        <v/>
      </c>
      <c r="EX218" s="234" t="str">
        <f>IF(SnapshotTable[[#This Row],[SC Is Booked]],IF(SnapshotTable[[#This Row],[SC Intrinsic Value]] &gt; 0, SnapshotTable[[#This Row],[SC Strike Price]], SnapshotTable[[#This Row],[Last Price]]), "")</f>
        <v/>
      </c>
      <c r="EY218" s="4">
        <f>IF(SnapshotTable[[#This Row],[SC Is Booked]], (MinimumPremiumRequired * SnapshotTable[[#This Row],[SC Basis]] * SnapshotTable[[#This Row],[SC Term]]), 0)</f>
        <v>0</v>
      </c>
      <c r="EZ218" s="283"/>
      <c r="FA218" s="218"/>
      <c r="FB218" s="370"/>
      <c r="FC218" s="4">
        <f>IF(SnapshotTable[[#This Row],[SC Is Filled]], btc_max_buyback_amount(SnapshotTable[[#This Row],[SC Fill Date]],SnapshotTable[[#This Row],[SC Exp Date]], SnapshotTable[[#This Row],[SC Book Price]]),0)</f>
        <v>0</v>
      </c>
      <c r="FD218" s="5"/>
      <c r="FE218" s="144" t="str">
        <f>IF(SnapshotTable[[#This Row],[SC Is Filled]], btc_next_cutoff_date(SnapshotTable[[#This Row],[SC Fill Date]],SnapshotTable[[#This Row],[SC Exp Date]]),"")</f>
        <v/>
      </c>
      <c r="FF218" s="4" t="str" cm="1">
        <f t="array" ref="FF218">IF(SnapshotTable[[#This Row],[SC Is Filled]], btc_should_buy_back(SnapshotTable[[#This Row],[SC Fill Date]], SnapshotTable[[#This Row],[SC Exp Date]], SnapshotTable[[#This Row],[SC Book Price]], SnapshotTable[[#This Row],[SC Current Ask]], MockToday, SnapshotTable[[#This Row],[SC Buyback Override]]),"")</f>
        <v/>
      </c>
      <c r="FG218" s="4">
        <f>IF(SnapshotTable[[#This Row],[SC Is Filled]], MAX(0,SnapshotTable[[#This Row],[Last Price]]  - SnapshotTable[[#This Row],[SC Strike Price]]), 0)</f>
        <v>0</v>
      </c>
      <c r="FH218" s="382">
        <f>IF(SnapshotTable[[#This Row],[SC Is Filled]], IF(ISNUMBER(SnapshotTable[[#This Row],[SC Current Ask]]), SnapshotTable[[#This Row],[SC Current Ask]], SnapshotTable[[#This Row],[SC Book Price]]) - SnapshotTable[[#This Row],[SC Intrinsic Value]], 0)</f>
        <v>0</v>
      </c>
      <c r="FI218" s="143"/>
      <c r="FJ218" s="32" t="str">
        <f>IF(SnapshotTable[[#This Row],[SC Is Filled]],100 * SnapshotTable[[#This Row],[SC Qty]] * IF(ISNUMBER(SnapshotTable[[#This Row],[SC Buyback Override]]), SnapshotTable[[#This Row],[SC Buyback Override]], SnapshotTable[[#This Row],[SC Current Ask]]), "")</f>
        <v/>
      </c>
      <c r="FK218" s="250" t="str">
        <f>IF(SnapshotTable[[#This Row],[SC Time Val]]&gt;0, SnapshotTable[[#This Row],[SC Time Val]] / SnapshotTable[[#This Row],[Last Price]],"")</f>
        <v/>
      </c>
      <c r="FL218" s="302" t="str">
        <f>IF(SnapshotTable[[#This Row],[SC Is Booked]], ((SnapshotTable[[#This Row],[Last Price]] -SnapshotTable[[#This Row],[SC Strike Price]]) / SnapshotTable[[#This Row],[Last Price]]) * -1, "")</f>
        <v/>
      </c>
      <c r="FM218" s="157" t="str">
        <f>IF(SnapshotTable[[#This Row],[SC Is Booked]],  (SnapshotTable[[#This Row],[SC Qty]] * 100 * SnapshotTable[[#This Row],[SC Strike Price]]) - SnapshotTable[[#This Row],[SC Current Ask]], "")</f>
        <v/>
      </c>
      <c r="FN218"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8" s="157" t="str">
        <f>IF(AND(ISNUMBER(SnapshotTable[[#This Row],[SC Exercise Gross]]), ISNUMBER(SnapshotTable[[#This Row],[Equity Basis Per Share]] )), SnapshotTable[[#This Row],[SC Exercise Gross]] - SnapshotTable[[#This Row],[Equity Basis Total]] +  SnapshotTable[[#This Row],[SC Premium]], "")</f>
        <v/>
      </c>
      <c r="FP218" s="5" t="str">
        <f>IF(ISNUMBER(SnapshotTable[[#This Row],[SC Exercise Gross]]), (SnapshotTable[[#This Row],[SC Exercise Gross]]) / (SnapshotTable[[#This Row],[SC Qty]] * 100), "")</f>
        <v/>
      </c>
      <c r="FQ218" s="27" t="str">
        <f>IF(SnapshotTable[[#This Row],[SC Is Booked]],SnapshotTable[[#This Row],[SC Time Val]] /SnapshotTable[[#This Row],[SC Basis]], "")</f>
        <v/>
      </c>
      <c r="FR218" s="27" t="str" cm="1">
        <f t="array" ref="FR218">IF(AND(ISNUMBER(SnapshotTable[[#This Row],[SC Term]]),ISNUMBER(SnapshotTable[[#This Row],[SC Simple ROO]])), EllmanAnnualize(SnapshotTable[[#This Row],[SC DTE]], SnapshotTable[[#This Row],[SC Simple ROO]] ),"")</f>
        <v/>
      </c>
      <c r="FS218" s="4" t="e">
        <f>IF(SnapshotTable[[#This Row],[SC Strike Price]] &gt; SnapshotTable[[#This Row],[Last Price]], SnapshotTable[[#This Row],[SC Strike Price]] - SnapshotTable[[#This Row],[Last Price]],0)</f>
        <v>#VALUE!</v>
      </c>
      <c r="FT218" s="27" t="e">
        <f>IF(AND(ISNUMBER(SnapshotTable[[#This Row],[SC Upside Potential]]), SnapshotTable[[#This Row],[SC Upside Potential]] &gt; 0),(SnapshotTable[[#This Row],[SC Upside Potential]]/ SnapshotTable[[#This Row],[ACB]]),"")</f>
        <v>#VALUE!</v>
      </c>
      <c r="FU218" s="333" t="str">
        <f>IF(SnapshotTable[[#This Row],[SC Intrinsic Value]] &gt; 0,SnapshotTable[[#This Row],[SC Intrinsic Value]],"")</f>
        <v/>
      </c>
      <c r="FV218" s="27" t="str">
        <f>IF(AND( ISNUMBER( SnapshotTable[[#This Row],[ACB]]),ISNUMBER(SnapshotTable[[#This Row],[SC Downside Protect]])),SnapshotTable[[#This Row],[SC Downside Protect]] / SnapshotTable[[#This Row],[ACB]],"")</f>
        <v/>
      </c>
      <c r="FW218" s="236" t="str">
        <f>IF(AND(ISNUMBER(SnapshotTable[[#This Row],[SC Simple ROO]]),SnapshotTable[[#This Row],[SC Simple ROO]] &gt; 0), SnapshotTable[[#This Row],[SC Premium]] + (SnapshotTable[[#This Row],[SC Qty]] * SnapshotTable[[#This Row],[SC Upside Potential]]), "")</f>
        <v/>
      </c>
      <c r="FX218" s="302" t="str" cm="1">
        <f t="array" ref="FX218">IF(ISNUMBER(SnapshotTable[[#This Row],[SC Max Dollars]]), annualize(SnapshotTable[[#This Row],[SC Term]],(SnapshotTable[[#This Row],[SC Max Dollars]]/SnapshotTable[[#This Row],[SC Basis]])),"")</f>
        <v/>
      </c>
      <c r="FY218" s="236" t="str">
        <f>IF(AND(SnapshotTable[[#This Row],[SC Qty]]&gt;0,SnapshotTable[[#This Row],[SC Current Ask]]&gt;0), SnapshotTable[[#This Row],[SC Qty]] * SnapshotTable[[#This Row],[SC Current Ask]] * -100, "")</f>
        <v/>
      </c>
      <c r="FZ218" s="235" t="str">
        <f>IF(ISNUMBER((SnapshotTable[[#This Row],[SC Current Value]])), SnapshotTable[[#This Row],[SC Premium]] + SnapshotTable[[#This Row],[SC Current Value]], "")</f>
        <v/>
      </c>
      <c r="GA218" s="294" t="str">
        <f>IFERROR( IF(ISNUMBER((SnapshotTable[[#This Row],[SC Current Value]])), SnapshotTable[[#This Row],[SC Gain Loss]] / SnapshotTable[[#This Row],[SC Premium]], ""), "")</f>
        <v/>
      </c>
      <c r="GB218" s="42">
        <f>SnapshotTable[[#This Row],[Equity Shares]] * SaleSharesToConsiderPercentage</f>
        <v>0</v>
      </c>
      <c r="GC218" s="40">
        <f>SnapshotTable[[#This Row],[Long Term Target]] * SellingPriceToConsiderBasedOnTargetPercentage</f>
        <v>38.332499999999996</v>
      </c>
      <c r="GD218" s="40">
        <f>SnapshotTable[[#This Row],[Last Price]] * (1+ SellingPriceToConsiderBasedOnTargetPercentage)</f>
        <v>186.2835</v>
      </c>
      <c r="GE218" s="41"/>
      <c r="GF218" s="40"/>
      <c r="GG218" s="31">
        <f>SnapshotTable[[#This Row],[Booked Sale Shares]] * SnapshotTable[[#This Row],[Booked Sale Price]]</f>
        <v>0</v>
      </c>
      <c r="GH218" s="31" t="str">
        <f>IF(SnapshotTable[[#This Row],[Equity Basis Total]] &gt; 0, SnapshotTable[[#This Row],[Equity Basis Per Share]] * SnapshotTable[[#This Row],[Booked Sale Shares]], "")</f>
        <v/>
      </c>
      <c r="GI218" s="31">
        <f>IF(SnapshotTable[[#This Row],[Sale Proceeds]]&gt;0, SnapshotTable[[#This Row],[Sale Proceeds]] - SnapshotTable[[#This Row],[Sale Basis]], 0)</f>
        <v>0</v>
      </c>
      <c r="GJ218" s="158" t="str">
        <f>IF(SnapshotTable[[#This Row],[Sale G/L]]&gt;0, SnapshotTable[[#This Row],[Sale G/L]] / SnapshotTable[[#This Row],[Sale Basis]], IF(ISNUMBER(SnapshotTable[[#This Row],[SC Exercise P&amp;L (TAX)]]), SnapshotTable[[#This Row],[SC Exercise P&amp;L (TAX)]] / SnapshotTable[[#This Row],[SC Basis]], ""))</f>
        <v/>
      </c>
      <c r="GK218" s="158"/>
      <c r="GL218" s="159" t="str">
        <f>IF(AND(SnapshotTable[[#This Row],[LP Exp Date]]&gt;0,SnapshotTable[[#This Row],[LP Strike Price]]&gt;0), [1]!ToOptionSymbol(SnapshotTable[[#This Row],[Symbol]], SnapshotTable[[#This Row],[LP Strike Price]],SnapshotTable[[#This Row],[LP Exp Date]],1), "")</f>
        <v/>
      </c>
      <c r="GM218" s="30" t="str">
        <f>IF(LEN(SnapshotTable[[#This Row],[LP Symbol]])&gt;0, 1, "")</f>
        <v/>
      </c>
      <c r="GN218" s="43" t="str">
        <f>IF(AND(SnapshotTable[[#This Row],[SP Exp Date]]&gt;0,SnapshotTable[[#This Row],[SP Strike Price]]&gt;0), [1]!ToOptionSymbol(SnapshotTable[[#This Row],[Symbol]], SnapshotTable[[#This Row],[SP Strike Price]],SnapshotTable[[#This Row],[SP Exp Date]],1), "")</f>
        <v/>
      </c>
      <c r="GO218" s="30" t="str">
        <f>IF(LEN(SnapshotTable[[#This Row],[SP Symbol]])&gt;0, 1, "")</f>
        <v/>
      </c>
      <c r="GP218" s="159" t="str">
        <f>IF(AND(SnapshotTable[[#This Row],[LC Exp Date]]&gt;0,SnapshotTable[[#This Row],[LC Strike Price]]&gt;0), [1]!ToOptionSymbol(SnapshotTable[[#This Row],[Symbol]], SnapshotTable[[#This Row],[LC Strike Price]],SnapshotTable[[#This Row],[LC Exp Date]],0), "")</f>
        <v/>
      </c>
      <c r="GQ218" s="160" t="str">
        <f>IF(LEN(SnapshotTable[[#This Row],[LC Symbol]])&gt;0, 1, "")</f>
        <v/>
      </c>
      <c r="GR218" s="159" t="str">
        <f>IF(AND(SnapshotTable[[#This Row],[SC Exp Date]]&gt;0,SnapshotTable[[#This Row],[SC Strike Price]]&gt;0), [1]!ToOptionSymbol(SnapshotTable[[#This Row],[Symbol]], SnapshotTable[[#This Row],[SC Strike Price]],SnapshotTable[[#This Row],[SC Exp Date]],0), "")</f>
        <v/>
      </c>
      <c r="GS218" s="160" t="str">
        <f>IF(LEN(SnapshotTable[[#This Row],[SC Symbol]])&gt;0, 1, "")</f>
        <v/>
      </c>
      <c r="GT218" s="161" t="str">
        <f>IF(COUNT(SnapshotTable[[#This Row],[LP Symbol Count]],SnapshotTable[[#This Row],[SP Symbol Count]],SnapshotTable[[#This Row],[LC Symbol Count]],SnapshotTable[[#This Row],[SC Symbol Count]])&gt;0, "Y", "")</f>
        <v/>
      </c>
      <c r="GU21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8" s="231" t="e">
        <f>MAX(SnapshotTable[[#This Row],[Equity Basis Total]],SnapshotTable[[#This Row],[Equity Value]]) + (SnapshotTable[[#This Row],[SP Potential Spend]]- SnapshotTable[[#This Row],[SP Premium]] + SnapshotTable[[#This Row],[LP Premium]])+ (SnapshotTable[[#This Row],[LC Premium]] - SnapshotTable[[#This Row],[SC Premium]])</f>
        <v>#VALUE!</v>
      </c>
      <c r="GW218" s="139" t="e">
        <f>IF(AND(SnapshotTable[[#This Row],[Exposure]] &lt;&gt; 0),SnapshotTable[[#This Row],[Exposure]] / SnapshotTable[[#Totals],[Exposure]], "")</f>
        <v>#VALUE!</v>
      </c>
      <c r="HE218" s="268"/>
      <c r="HF218" s="268"/>
      <c r="HK218" s="1"/>
      <c r="HL218" s="1"/>
      <c r="HM218" s="1"/>
      <c r="HN218" s="1"/>
      <c r="HO218" s="1"/>
      <c r="HP218" s="1"/>
    </row>
    <row r="219" spans="2:224" ht="12.75" hidden="1" customHeight="1" x14ac:dyDescent="0.25">
      <c r="B219" s="12" t="s">
        <v>492</v>
      </c>
      <c r="C219" s="422">
        <v>82.2</v>
      </c>
      <c r="D219" s="208"/>
      <c r="E219" s="39">
        <f>SnapshotTable[[#This Row],[Last Price]]*(1 -CrashDiscount)</f>
        <v>69.87</v>
      </c>
      <c r="F219" s="26" t="s">
        <v>136</v>
      </c>
      <c r="G219" s="26" t="s">
        <v>17</v>
      </c>
      <c r="H219" s="149"/>
      <c r="I219" s="194">
        <v>44767.288194444445</v>
      </c>
      <c r="J219" s="195">
        <v>44767.288194444445</v>
      </c>
      <c r="K219" s="196"/>
      <c r="L219" s="326"/>
      <c r="M219" s="140"/>
      <c r="N219" s="140"/>
      <c r="O219" s="140"/>
      <c r="P219" s="22"/>
      <c r="Q219" s="25"/>
      <c r="R219" s="4" t="str">
        <f>IF(SnapshotTable[[#This Row],[Equity Basis Total]] &gt; 0, SnapshotTable[[#This Row],[Equity Basis Total]] / SnapshotTable[[#This Row],[Equity Shares]], "")</f>
        <v/>
      </c>
      <c r="S219" s="269">
        <f>SnapshotTable[[#This Row],[Last Price]] * SnapshotTable[[#This Row],[Equity Shares]]</f>
        <v>0</v>
      </c>
      <c r="T219" s="269">
        <f>SnapshotTable[[#This Row],[Equity Value]] - SnapshotTable[[#This Row],[Equity Basis Total]]</f>
        <v>0</v>
      </c>
      <c r="U219" s="270" t="str">
        <f>IF(SnapshotTable[[#This Row],[Equity Basis Total]] &gt; 0, SnapshotTable[[#This Row],[Equity G/L]] / SnapshotTable[[#This Row],[Equity Basis Total]], "")</f>
        <v/>
      </c>
      <c r="V219" s="268"/>
      <c r="W219" s="268"/>
      <c r="X219" s="4" t="str">
        <f>IF(AND(ISNUMBER(SnapshotTable[[#This Row],[Equity Basis Per Share]]),ISNUMBER(SnapshotTable[[#This Row],[Equity Target]])),SnapshotTable[[#This Row],[Equity Target]]-SnapshotTable[[#This Row],[Equity Basis Per Share]],"")</f>
        <v/>
      </c>
      <c r="Y219" s="4" t="str">
        <f>IF(AND(ISNUMBER(SnapshotTable[[#This Row],[Equity Basis Per Share]]),ISNUMBER(SnapshotTable[[#This Row],[Equity Stop Loss]])),SnapshotTable[[#This Row],[Equity Stop Loss]]-SnapshotTable[[#This Row],[Equity Basis Per Share]],"")</f>
        <v/>
      </c>
      <c r="Z219" s="275" t="str">
        <f>IFERROR( TEXT(SnapshotTable[[#This Row],[Equity Max Gain Per Share]] /ABS( SnapshotTable[[#This Row],[Equity Max Loss Per Share]]),"0.0 " ) &amp; " : 1", "")</f>
        <v/>
      </c>
      <c r="AA219" s="31" t="str">
        <f>IF(ISNUMBER(SnapshotTable[[#This Row],[Equity Max Gain Per Share]]),SnapshotTable[[#This Row],[Equity Max Gain Per Share]] * SnapshotTable[[#This Row],[Equity Shares]],"")</f>
        <v/>
      </c>
      <c r="AB219" s="31" t="str">
        <f>IF(ISNUMBER(SnapshotTable[[#This Row],[Equity Max Loss Per Share]]),SnapshotTable[[#This Row],[Equity Max Loss Per Share]] * SnapshotTable[[#This Row],[Equity Shares]],"")</f>
        <v/>
      </c>
      <c r="AC219" s="150"/>
      <c r="AD219" s="151"/>
      <c r="AE219" s="31">
        <f>(SnapshotTable[[#This Row],[Annual Dividend Per Share]] / 4) * SnapshotTable[[#This Row],[Equity Shares]]</f>
        <v>0</v>
      </c>
      <c r="AF219" s="31">
        <f>SnapshotTable[[#This Row],[Quarterly Div $]] * 4</f>
        <v>0</v>
      </c>
      <c r="AG219" s="7">
        <f>IF(SnapshotTable[[#This Row],[Annual Dividend Per Share]]&gt;0, SnapshotTable[[#This Row],[Annual Dividend Per Share]]  / SnapshotTable[[#This Row],[Last Price]], 0)</f>
        <v>0</v>
      </c>
      <c r="AH219" s="151"/>
      <c r="AI219" s="5"/>
      <c r="AJ219" s="138">
        <v>53.05</v>
      </c>
      <c r="AK219" s="152" t="str">
        <f>IF(ISNUMBER( SnapshotTable[[#This Row],[EBF Target]]),(SnapshotTable[[#This Row],[EBF Target]] - SnapshotTable[[#This Row],[Last Price]]) / SnapshotTable[[#This Row],[Last Price]], "")</f>
        <v/>
      </c>
      <c r="AL219" s="152" t="str">
        <f>IF(AND(SnapshotTable[[#This Row],[Equity Basis Total]] &gt; 0,ISNUMBER( SnapshotTable[[#This Row],[Long Term Target]])), SnapshotTable[[#This Row],[From Basis $]] / SnapshotTable[[#This Row],[Equity Basis Total]], "")</f>
        <v/>
      </c>
      <c r="AM219" s="9">
        <f>IF( AND(SnapshotTable[[#This Row],[Equity Shares]] &gt;0,ISNUMBER( SnapshotTable[[#This Row],[Long Term Target]])),(SnapshotTable[[#This Row],[Equity Shares]] * SnapshotTable[[#This Row],[Long Term Target]]) - SnapshotTable[[#This Row],[Equity Basis Total]],0)</f>
        <v>0</v>
      </c>
      <c r="AN219" s="9">
        <f>IF( AND(SnapshotTable[[#This Row],[Equity Shares]] &gt;0,ISNUMBER( SnapshotTable[[#This Row],[Long Term Target]])),(SnapshotTable[[#This Row],[Equity Shares]]*SnapshotTable[[#This Row],[Long Term Target]]) - SnapshotTable[[#This Row],[Equity Value]],0)</f>
        <v>0</v>
      </c>
      <c r="AO219" s="152">
        <f>IF(AND(ISNUMBER( SnapshotTable[[#This Row],[Long Term Target]]), ISNUMBER(SnapshotTable[[#This Row],[Last Price]])),(SnapshotTable[[#This Row],[Long Term Target]] - SnapshotTable[[#This Row],[Last Price]]) / SnapshotTable[[#This Row],[Last Price]], "")</f>
        <v>-0.35462287104622875</v>
      </c>
      <c r="AP219" s="5">
        <v>52.5</v>
      </c>
      <c r="AQ219" s="38" t="s">
        <v>46</v>
      </c>
      <c r="AR219" s="5">
        <v>46</v>
      </c>
      <c r="AS219" s="38" t="s">
        <v>26</v>
      </c>
      <c r="AT219" s="146"/>
      <c r="AU219" s="187" t="str">
        <f>IF(OR(SnapshotTable[[#This Row],[LP No Fill]]="Y",SnapshotTable[[#This Row],[SP Is Filled]],SnapshotTable[[#This Row],[LC Not Filled]]="Y",SnapshotTable[[#This Row],[SC Is Filled]]),"Y","")</f>
        <v/>
      </c>
      <c r="AV219" s="219"/>
      <c r="AW219" s="225"/>
      <c r="AX219" s="220"/>
      <c r="AY219" s="219" t="str">
        <f>IF(SnapshotTable[[#This Row],[Implied Move]]&gt;0, SnapshotTable[[#This Row],[Last Price]]-SnapshotTable[[#This Row],[Implied Move]],"")</f>
        <v/>
      </c>
      <c r="AZ219" s="219" t="str">
        <f>IF(SnapshotTable[[#This Row],[Implied Move]]&gt;0, SnapshotTable[[#This Row],[Last Price]] + SnapshotTable[[#This Row],[Implied Move]],"")</f>
        <v/>
      </c>
      <c r="BA219" s="331"/>
      <c r="BB219" s="347"/>
      <c r="BC21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9" s="351"/>
      <c r="BE219" s="5"/>
      <c r="BF219" s="14"/>
      <c r="BG219" s="13"/>
      <c r="BH219" s="13"/>
      <c r="BI219" s="5"/>
      <c r="BJ219" s="136">
        <f>IF(SnapshotTable[[#This Row],[LP Qty]] &gt; 0, SnapshotTable[[#This Row],[LP Qty]] * SnapshotTable[[#This Row],[LP Book Price]] * 100,0)</f>
        <v>0</v>
      </c>
      <c r="BK219" s="136">
        <f>IF(SnapshotTable[[#This Row],[LP Premium]] &gt; 0, SnapshotTable[[#This Row],[LP Qty]] * SnapshotTable[[#This Row],[LP Strike Price]] * 100,0)</f>
        <v>0</v>
      </c>
      <c r="BL219" s="154"/>
      <c r="BM219" s="385" t="str">
        <f>IF(SnapshotTable[[#This Row],[LP Premium]] &gt; 0,SnapshotTable[[#This Row],[LP Exp Date]]-MAX(SnapshotTable[[#This Row],[LP Book Date]], SnapshotTable[[#This Row],[LP Fill Date]]),"")</f>
        <v/>
      </c>
      <c r="BN219" s="385" t="str">
        <f>IF(ISNUMBER( SnapshotTable[[#This Row],[LP Term]]), SnapshotTable[[#This Row],[LP Exp Date]] - MockToday,"")</f>
        <v/>
      </c>
      <c r="BO219" s="163" t="str">
        <f>IF(AND(SnapshotTable[[#This Row],[LP Exp Date]]&gt;0, SnapshotTable[[#This Row],[LP Strike Price]]&gt;0,SnapshotTable[[#This Row],[LP Qty]]&gt;0,SnapshotTable[[#This Row],[LP Book Date]]&gt;0,SnapshotTable[[#This Row],[LP Book Price]]&gt;0,SnapshotTable[[#This Row],[LP Fill Date]]=0),"Y","")</f>
        <v/>
      </c>
      <c r="BP219" s="31" t="str">
        <f>IF(AND(SnapshotTable[[#This Row],[LP No Fill]]&lt;&gt;"Y",SnapshotTable[[#This Row],[LP Contract Value]]&gt;0, SnapshotTable[[#This Row],[LP Qty]]&gt;0), SnapshotTable[[#This Row],[LP Contract Value]]*SnapshotTable[[#This Row],[LP Qty]]*100,"")</f>
        <v/>
      </c>
      <c r="BQ219" s="13"/>
      <c r="BR219" s="5" t="str">
        <f>IF(SnapshotTable[[#This Row],[SP Exp Date]]&lt;&gt;"",TRUNC(SnapshotTable[[#This Row],[Last Price]]),"")</f>
        <v/>
      </c>
      <c r="BS219" s="36"/>
      <c r="BT219" s="147"/>
      <c r="BU219" s="13"/>
      <c r="BV219" s="5"/>
      <c r="BW219" s="419" t="b">
        <f>AND(ISNUMBER(SnapshotTable[[#This Row],[SP Exp Date]]), ISNUMBER(SnapshotTable[[#This Row],[SP Strike Price]]), ISNUMBER(SnapshotTable[[#This Row],[SP Qty]]), ISNUMBER(SnapshotTable[[#This Row],[SP Book Date]]), ISNUMBER(SnapshotTable[[#This Row],[SP Book Price]]))</f>
        <v>0</v>
      </c>
      <c r="BX219" s="419" t="b">
        <f>AND(SnapshotTable[[#This Row],[SP Is Booked]], NOT(ISBLANK(SnapshotTable[[#This Row],[SP Fill Date]])))</f>
        <v>0</v>
      </c>
      <c r="BY219" s="33">
        <f>IF(SnapshotTable[[#This Row],[SP Is Booked]], SnapshotTable[[#This Row],[SP Qty]] * SnapshotTable[[#This Row],[SP Book Price]] * 100, 0)</f>
        <v>0</v>
      </c>
      <c r="BZ219" s="369"/>
      <c r="CA219" s="368">
        <f>SnapshotTable[[#This Row],[LP Qty]]</f>
        <v>0</v>
      </c>
      <c r="CB219" s="4" t="str">
        <f>IF(SnapshotTable[[#This Row],[SP Is Booked]], SnapshotTable[[#This Row],[SP Strike Price]] - SnapshotTable[[#This Row],[SP Book Price]], "")</f>
        <v/>
      </c>
      <c r="CC219" s="19" t="str">
        <f>IF(SnapshotTable[[#This Row],[SP Is Booked]],SnapshotTable[[#This Row],[SP Exp Date]]-MAX(SnapshotTable[[#This Row],[SP Book Date]], SnapshotTable[[#This Row],[SP Fill Date]]),"")</f>
        <v/>
      </c>
      <c r="CD219" s="7" t="str">
        <f>IF(SnapshotTable[[#This Row],[SP Is Booked]], SnapshotTable[[#This Row],[SP Book Price]]/SnapshotTable[[#This Row],[SP Strike Price]], "")</f>
        <v/>
      </c>
      <c r="CE219" s="7" t="str">
        <f>IF(ISNUMBER(SnapshotTable[[#This Row],[SP ROO Term]]),SnapshotTable[[#This Row],[SP ROO Term]]*(365/SnapshotTable[[#This Row],[SP Term]]),"")</f>
        <v/>
      </c>
      <c r="CF219" s="236">
        <f>SnapshotTable[[#This Row],[LP Strike Price]] * SnapshotTable[[#This Row],[LP Qty]] * 100</f>
        <v>0</v>
      </c>
      <c r="CG219" s="31" t="e">
        <f>IF(ISNUMBER(SnapshotTable[[#This Row],[SP Premium]]), (SnapshotTable[[#This Row],[SP Qty]] * SnapshotTable[[#This Row],[SP Strike Price]]* 100) - SnapshotTable[[#This Row],[LP Protection]], 0)</f>
        <v>#VALUE!</v>
      </c>
      <c r="CH219" s="7" t="str">
        <f>IF(ISNUMBER(SnapshotTable[[#This Row],[SP Break Even]]),-1 * (SnapshotTable[[#This Row],[SP Break Even]] - SnapshotTable[[#This Row],[Last Price]]) / SnapshotTable[[#This Row],[Last Price]], "")</f>
        <v/>
      </c>
      <c r="CI219" s="31">
        <f>IF(AND(ISNUMBER((SnapshotTable[[#This Row],[SP Potential Spend]])), SnapshotTable[[#This Row],[SP Strike Price]] &gt; SnapshotTable[[#This Row],[Last Price]], SnapshotTable[[#This Row],[SP Is Filled]]), SnapshotTable[[#This Row],[SP Potential Spend]] -  SnapshotTable[[#This Row],[LP Max Value]], 0)</f>
        <v>0</v>
      </c>
      <c r="CJ219" s="244"/>
      <c r="CK219" s="31" t="str">
        <f>IF(ISNUMBER(SnapshotTable[[#This Row],[SP Potential Spend]]),IF(ISNUMBER(SnapshotTable[[#This Row],[SP POW]]), SnapshotTable[[#This Row],[SP POW]] * SnapshotTable[[#This Row],[SP Potential Spend]], SnapshotTable[[#This Row],[SP Potential Spend]]), "")</f>
        <v/>
      </c>
      <c r="CL219" s="164" t="e">
        <f>IF(NOT(SnapshotTable[[#This Row],[SP Is Filled]]),(SnapshotTable[[#This Row],[SP Qty]] * SnapshotTable[[#This Row],[SP Strike Price]] * 100) - SnapshotTable[[#This Row],[LP Max Value]],"")</f>
        <v>#VALUE!</v>
      </c>
      <c r="CM219" s="31" t="str">
        <f>IF(SnapshotTable[[#This Row],[SP Actual Spend]]&lt;&gt;0, ((SnapshotTable[[#This Row],[SP Strike Price]]-SnapshotTable[[#This Row],[Last Price]]) *(SnapshotTable[[#This Row],[SP Qty]]*100) - SnapshotTable[[#This Row],[SP Premium]]) * - 1, "")</f>
        <v/>
      </c>
      <c r="CN219" s="78"/>
      <c r="CO219" s="369"/>
      <c r="CP219" s="4" t="str">
        <f>IF(SnapshotTable[[#This Row],[SP Is Filled]], btc_max_buyback_amount(SnapshotTable[[#This Row],[SP Fill Date]],SnapshotTable[[#This Row],[SP Exp Date]], SnapshotTable[[#This Row],[SP Book Price]]),"")</f>
        <v/>
      </c>
      <c r="CQ219" s="78"/>
      <c r="CR21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9" s="155" t="str">
        <f>IF(SnapshotTable[[#This Row],[SP Is Filled]], btc_next_cutoff_date(SnapshotTable[[#This Row],[SP Fill Date]],SnapshotTable[[#This Row],[SP Exp Date]]),"")</f>
        <v/>
      </c>
      <c r="CT219" s="235" t="str" cm="1">
        <f t="array" ref="CT219">IF(SnapshotTable[[#This Row],[SP Is Filled]], btc_should_buy_back(SnapshotTable[[#This Row],[SP Fill Date]], SnapshotTable[[#This Row],[SP Exp Date]], SnapshotTable[[#This Row],[SP Book Price]], SnapshotTable[[#This Row],[SP Current Ask]], MockToday, SnapshotTable[[#This Row],[SP Buyback Override]]),"")</f>
        <v/>
      </c>
      <c r="CU219" s="143"/>
      <c r="CV219" s="235"/>
      <c r="CW219" s="378" t="str">
        <f>IF(ISNUMBER( SnapshotTable[[#This Row],[SP Term]]), SnapshotTable[[#This Row],[SP Exp Date]] - MockToday,"")</f>
        <v/>
      </c>
      <c r="CX219" s="31" t="str">
        <f>IF(SnapshotTable[[#This Row],[SP Is Filled]],SnapshotTable[[#This Row],[SP Buyback Price to Use]] * 100 * SnapshotTable[[#This Row],[SP Qty]], "")</f>
        <v/>
      </c>
      <c r="CY219" s="4" t="str">
        <f>IF(ISNUMBER(SnapshotTable[[#This Row],[SP Strike Price]]), SnapshotTable[[#This Row],[SP Strike Price]] * (1 - SP_MaxLoss_StrikePct), "")</f>
        <v/>
      </c>
      <c r="CZ219" s="31" t="str">
        <f>IF(ISNUMBER(SnapshotTable[[#This Row],[SP Strike  Stop Per Share]]),SnapshotTable[[#This Row],[SP Premium]] - ((SnapshotTable[[#This Row],[SP Strike Price]]-SnapshotTable[[#This Row],[SP Strike  Stop Per Share]]) *(SnapshotTable[[#This Row],[SP Qty]] * 100)),"")</f>
        <v/>
      </c>
      <c r="DA219" s="4" t="str">
        <f>IF(AND(ISNUMBER(SnapshotTable[[#This Row],[SP Premium]]),SnapshotTable[[#This Row],[SP Premium]]&gt;0), SnapshotTable[[#This Row],[SP Book Price]] * (1 + SP_MaxLoss_OptionPct), "")</f>
        <v/>
      </c>
      <c r="DB219" s="31" t="str">
        <f>IF(ISNUMBER(SnapshotTable[[#This Row],[SP Option  Stop Contract]]),(SnapshotTable[[#This Row],[SP Option  Stop Contract]] *(SnapshotTable[[#This Row],[SP Qty]] * 100) - SnapshotTable[[#This Row],[SP Premium]]),"")</f>
        <v/>
      </c>
      <c r="DC219" s="4"/>
      <c r="DD219" s="4"/>
      <c r="DE219" s="4" t="str">
        <f>IF(AND(SnapshotTable[[#This Row],[SP Qty]]&gt;0, SnapshotTable[[#This Row],[SP Stop To Use]]&gt;0),SnapshotTable[[#This Row],[SP Premium]] - ( SnapshotTable[[#This Row],[SP Qty]] * SnapshotTable[[#This Row],[SP Stop To Use]] * 100), "")</f>
        <v/>
      </c>
      <c r="DF219" s="31" t="str">
        <f>IF(AND(SnapshotTable[[#This Row],[SP Qty]]&gt;0,SnapshotTable[[#This Row],[SP Current Ask]]&gt;0), SnapshotTable[[#This Row],[SP Qty]] * SnapshotTable[[#This Row],[SP Current Ask]] * -100, "")</f>
        <v/>
      </c>
      <c r="DG219" s="31" t="str">
        <f>IF(ISNUMBER((SnapshotTable[[#This Row],[SP Total Value]])), SnapshotTable[[#This Row],[SP Premium]] + SnapshotTable[[#This Row],[SP Total Value]], "")</f>
        <v/>
      </c>
      <c r="DH219" s="294" t="str">
        <f>IF(ISNUMBER((SnapshotTable[[#This Row],[SP Total Value]])), SnapshotTable[[#This Row],[SP Gain Loss]] / SnapshotTable[[#This Row],[SP Premium]], "")</f>
        <v/>
      </c>
      <c r="DI219" s="406"/>
      <c r="DJ219" s="138"/>
      <c r="DK219" s="148"/>
      <c r="DL219" s="13"/>
      <c r="DM219" s="13"/>
      <c r="DO219" s="31">
        <f>IF(SnapshotTable[[#This Row],[LC Symbol Count]]=1, SnapshotTable[[#This Row],[LC Qty]] * SnapshotTable[[#This Row],[LC Book Price]] * 100, 0)</f>
        <v>0</v>
      </c>
      <c r="DP219" s="163" t="str">
        <f>IF(AND(SnapshotTable[[#This Row],[LC Exp Date]]&gt;0, SnapshotTable[[#This Row],[LC Strike Price]]&gt;0,SnapshotTable[[#This Row],[LC Qty]]&gt;0,SnapshotTable[[#This Row],[LC Book Date]]&gt;0,SnapshotTable[[#This Row],[LC Book Price]]&gt;0,SnapshotTable[[#This Row],[LC Fill Date]]=0),"Y","")</f>
        <v/>
      </c>
      <c r="DQ219" s="386" t="str">
        <f>IF(SnapshotTable[[#This Row],[LC Premium]] &gt; 0,SnapshotTable[[#This Row],[LC Exp Date]]-MAX(SnapshotTable[[#This Row],[LC Book Date]], SnapshotTable[[#This Row],[LC Fill Date]]),"")</f>
        <v/>
      </c>
      <c r="DR219" s="386" t="str">
        <f>IF(ISNUMBER(SnapshotTable[[#This Row],[LC Term]]), SnapshotTable[[#This Row],[LC Exp Date]] - MockToday, "")</f>
        <v/>
      </c>
      <c r="DS219" s="234" t="str">
        <f>IF(SnapshotTable[[#This Row],[LC Premium]]&gt;0,SnapshotTable[[#This Row],[LC Strike Price]] + SnapshotTable[[#This Row],[LC Book Price]],"")</f>
        <v/>
      </c>
      <c r="DU219" s="9" t="str">
        <f>IF(AND(SnapshotTable[[#This Row],[LC Symbol Count]]&gt;0, SnapshotTable[[#This Row],[LC Contract Value]]&gt;0), SnapshotTable[[#This Row],[LC Contract Value]] * SnapshotTable[[#This Row],[LC Qty]] * 100, "")</f>
        <v/>
      </c>
      <c r="DV219" s="9" t="str">
        <f>IF(AND(ISNUMBER(SnapshotTable[[#This Row],[LC Total Value]]), SnapshotTable[[#This Row],[LC Not Filled]]&lt;&gt;"Y"), SnapshotTable[[#This Row],[LC Total Value]]-SnapshotTable[[#This Row],[LC Premium]],"")</f>
        <v/>
      </c>
      <c r="DW219" s="240" t="str">
        <f>IF(ISNUMBER(SnapshotTable[[#This Row],[LC Actual Gain Loss]]), SnapshotTable[[#This Row],[LC Actual Gain Loss]] / SnapshotTable[[#This Row],[LC Premium]],"")</f>
        <v/>
      </c>
      <c r="DX219" s="284" t="str">
        <f>IF(ISNUMBER(SnapshotTable[[#This Row],[LC Book Price]]),SnapshotTable[[#This Row],[LC Book Price]] * 1.5,"")</f>
        <v/>
      </c>
      <c r="DY219" s="265" t="str">
        <f>IF(SnapshotTable[[#This Row],[LC Premium]]&gt;0, SnapshotTable[[#This Row],[LC Next Target]] * SnapshotTable[[#This Row],[LC Qty]] * 100,"")</f>
        <v/>
      </c>
      <c r="DZ219" s="265" t="str">
        <f>IF(ISNUMBER(SnapshotTable[[#This Row],[LC Target Gross]]), SnapshotTable[[#This Row],[LC Target Gross]] - SnapshotTable[[#This Row],[LC Premium]], "")</f>
        <v/>
      </c>
      <c r="EA219" s="305" t="str">
        <f>IF(ISNUMBER(SnapshotTable[[#This Row],[LC Target Gain Loss]]), SnapshotTable[[#This Row],[LC Target Gain Loss]]/SnapshotTable[[#This Row],[LC Premium]], "")</f>
        <v/>
      </c>
      <c r="EB219" s="262"/>
      <c r="EC219" s="283" t="str">
        <f>IF(SnapshotTable[[#This Row],[LC Premium]]&gt;0, SnapshotTable[[#This Row],[LC Book Price]] * (1 - LC_StopLoss_Pct),"")</f>
        <v/>
      </c>
      <c r="ED219" s="284"/>
      <c r="EE219" s="283" t="str">
        <f>IF(ISNUMBER(SnapshotTable[[#This Row],[LC Contract Value]]),IF(ISNUMBER(SnapshotTable[[#This Row],[LC Stop Loss Override]]), SnapshotTable[[#This Row],[LC Stop Loss Override]],SnapshotTable[[#This Row],[LC Stop Loss Calc Target]]),"")</f>
        <v/>
      </c>
      <c r="EF219" s="31" t="str">
        <f>IF(ISNUMBER(SnapshotTable[[#This Row],[LC Stop  To Use]]), (SnapshotTable[[#This Row],[LC Stop  To Use]] * SnapshotTable[[#This Row],[LC Qty]] * 100),"")</f>
        <v/>
      </c>
      <c r="EG219" s="9" t="str">
        <f>IF(ISNUMBER(SnapshotTable[[#This Row],[LC Total Value]]),SnapshotTable[[#This Row],[LC Stop Loss Amount]] - SnapshotTable[[#This Row],[LC Premium]],"")</f>
        <v/>
      </c>
      <c r="EH219" s="9">
        <f>IF(ISNUMBER(SnapshotTable[[#This Row],[LC Premium]]), SnapshotTable[[#This Row],[LC Qty]] * 100 * SnapshotTable[[#This Row],[LC Strike Price]], "")</f>
        <v>0</v>
      </c>
      <c r="EI219" s="240" t="str">
        <f>IF(AND(ISNUMBER(SnapshotTable[[#This Row],[LC Total Value]]),SnapshotTable[[#This Row],[LC Total Value]]&gt;0),SnapshotTable[[#This Row],[LC Stop Gain Loss]]  / SnapshotTable[[#This Row],[LC Premium]],"")</f>
        <v/>
      </c>
      <c r="EJ219" s="35">
        <f>IF(ISNUMBER(SnapshotTable[[#This Row],[Equity Shares]]),TRUNC(SnapshotTable[[#This Row],[Equity Shares]] / 100),0) + SnapshotTable[[#This Row],[LC Qty]]</f>
        <v>0</v>
      </c>
      <c r="EK219" s="147"/>
      <c r="EL219" s="138" t="str">
        <f>IF(SnapshotTable[[#This Row],[SC Exp Date]]&lt;&gt;"",TRUNC(SnapshotTable[[#This Row],[Last Price]]),"")</f>
        <v/>
      </c>
      <c r="EM219" s="148"/>
      <c r="EN219" s="147"/>
      <c r="EO219" s="147"/>
      <c r="EP219" s="138"/>
      <c r="EQ219" s="419" t="b">
        <f>AND(ISNUMBER(SnapshotTable[[#This Row],[SC Exp Date]]), ISNUMBER(SnapshotTable[[#This Row],[SC Strike Price]]), ISNUMBER(SnapshotTable[[#This Row],[SC Qty]]), ISNUMBER(SnapshotTable[[#This Row],[SC Book Date]]), ISNUMBER(SnapshotTable[[#This Row],[SC Book Price]]))</f>
        <v>0</v>
      </c>
      <c r="ER219" s="419" t="b">
        <f>AND(SnapshotTable[[#This Row],[SC Is Booked]], NOT(ISBLANK(SnapshotTable[[#This Row],[SC Fill Date]])))</f>
        <v>0</v>
      </c>
      <c r="ES219" s="370"/>
      <c r="ET219" s="34" t="str">
        <f>IF(AND(ISNUMBER(SnapshotTable[[#This Row],[SC Exp Date]]), ISNUMBER(SnapshotTable[[#This Row],[SC Book Date]])), SnapshotTable[[#This Row],[SC Exp Date]] - MAX(SnapshotTable[[#This Row],[SC Book Date]], SnapshotTable[[#This Row],[SC Fill Date]]) + 1, "")</f>
        <v/>
      </c>
      <c r="EU219" s="34" t="str">
        <f>IF(ISNUMBER(SnapshotTable[[#This Row],[SC Term]]), SnapshotTable[[#This Row],[SC Exp Date]]- MockToday, "")</f>
        <v/>
      </c>
      <c r="EV219" s="31">
        <f>IF(SnapshotTable[[#This Row],[SC Is Booked]], SnapshotTable[[#This Row],[SC Qty]] * SnapshotTable[[#This Row],[SC Book Price]] * 100, 0)</f>
        <v>0</v>
      </c>
      <c r="EW219" s="4" t="str">
        <f>IF(AND(ISNUMBER(SnapshotTable[[#This Row],[Last Price]]), ISNUMBER( SnapshotTable[[#This Row],[SC Book Price]])), SnapshotTable[[#This Row],[Last Price]] - SnapshotTable[[#This Row],[SC Book Price]],"")</f>
        <v/>
      </c>
      <c r="EX219" s="234" t="str">
        <f>IF(SnapshotTable[[#This Row],[SC Is Booked]],IF(SnapshotTable[[#This Row],[SC Intrinsic Value]] &gt; 0, SnapshotTable[[#This Row],[SC Strike Price]], SnapshotTable[[#This Row],[Last Price]]), "")</f>
        <v/>
      </c>
      <c r="EY219" s="4">
        <f>IF(SnapshotTable[[#This Row],[SC Is Booked]], (MinimumPremiumRequired * SnapshotTable[[#This Row],[SC Basis]] * SnapshotTable[[#This Row],[SC Term]]), 0)</f>
        <v>0</v>
      </c>
      <c r="EZ219" s="283"/>
      <c r="FA219" s="218"/>
      <c r="FB219" s="370"/>
      <c r="FC219" s="4">
        <f>IF(SnapshotTable[[#This Row],[SC Is Filled]], btc_max_buyback_amount(SnapshotTable[[#This Row],[SC Fill Date]],SnapshotTable[[#This Row],[SC Exp Date]], SnapshotTable[[#This Row],[SC Book Price]]),0)</f>
        <v>0</v>
      </c>
      <c r="FD219" s="5"/>
      <c r="FE219" s="144" t="str">
        <f>IF(SnapshotTable[[#This Row],[SC Is Filled]], btc_next_cutoff_date(SnapshotTable[[#This Row],[SC Fill Date]],SnapshotTable[[#This Row],[SC Exp Date]]),"")</f>
        <v/>
      </c>
      <c r="FF219" s="4" t="str" cm="1">
        <f t="array" ref="FF219">IF(SnapshotTable[[#This Row],[SC Is Filled]], btc_should_buy_back(SnapshotTable[[#This Row],[SC Fill Date]], SnapshotTable[[#This Row],[SC Exp Date]], SnapshotTable[[#This Row],[SC Book Price]], SnapshotTable[[#This Row],[SC Current Ask]], MockToday, SnapshotTable[[#This Row],[SC Buyback Override]]),"")</f>
        <v/>
      </c>
      <c r="FG219" s="4">
        <f>IF(SnapshotTable[[#This Row],[SC Is Filled]], MAX(0,SnapshotTable[[#This Row],[Last Price]]  - SnapshotTable[[#This Row],[SC Strike Price]]), 0)</f>
        <v>0</v>
      </c>
      <c r="FH219" s="382">
        <f>IF(SnapshotTable[[#This Row],[SC Is Filled]], IF(ISNUMBER(SnapshotTable[[#This Row],[SC Current Ask]]), SnapshotTable[[#This Row],[SC Current Ask]], SnapshotTable[[#This Row],[SC Book Price]]) - SnapshotTable[[#This Row],[SC Intrinsic Value]], 0)</f>
        <v>0</v>
      </c>
      <c r="FI219" s="143"/>
      <c r="FJ219" s="32" t="str">
        <f>IF(SnapshotTable[[#This Row],[SC Is Filled]],100 * SnapshotTable[[#This Row],[SC Qty]] * IF(ISNUMBER(SnapshotTable[[#This Row],[SC Buyback Override]]), SnapshotTable[[#This Row],[SC Buyback Override]], SnapshotTable[[#This Row],[SC Current Ask]]), "")</f>
        <v/>
      </c>
      <c r="FK219" s="250" t="str">
        <f>IF(SnapshotTable[[#This Row],[SC Time Val]]&gt;0, SnapshotTable[[#This Row],[SC Time Val]] / SnapshotTable[[#This Row],[Last Price]],"")</f>
        <v/>
      </c>
      <c r="FL219" s="302" t="str">
        <f>IF(SnapshotTable[[#This Row],[SC Is Booked]], ((SnapshotTable[[#This Row],[Last Price]] -SnapshotTable[[#This Row],[SC Strike Price]]) / SnapshotTable[[#This Row],[Last Price]]) * -1, "")</f>
        <v/>
      </c>
      <c r="FM219" s="157" t="str">
        <f>IF(SnapshotTable[[#This Row],[SC Is Booked]],  (SnapshotTable[[#This Row],[SC Qty]] * 100 * SnapshotTable[[#This Row],[SC Strike Price]]) - SnapshotTable[[#This Row],[SC Current Ask]], "")</f>
        <v/>
      </c>
      <c r="FN21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9" s="31" t="str">
        <f>IF(AND(ISNUMBER(SnapshotTable[[#This Row],[SC Exercise Gross]]), ISNUMBER(SnapshotTable[[#This Row],[Equity Basis Per Share]] )), SnapshotTable[[#This Row],[SC Exercise Gross]] - SnapshotTable[[#This Row],[Equity Basis Total]] +  SnapshotTable[[#This Row],[SC Premium]], "")</f>
        <v/>
      </c>
      <c r="FP219" s="5" t="str">
        <f>IF(ISNUMBER(SnapshotTable[[#This Row],[SC Exercise Gross]]), (SnapshotTable[[#This Row],[SC Exercise Gross]]) / (SnapshotTable[[#This Row],[SC Qty]] * 100), "")</f>
        <v/>
      </c>
      <c r="FQ219" s="27" t="str">
        <f>IF(SnapshotTable[[#This Row],[SC Is Booked]],SnapshotTable[[#This Row],[SC Time Val]] /SnapshotTable[[#This Row],[SC Basis]], "")</f>
        <v/>
      </c>
      <c r="FR219" s="27" t="str" cm="1">
        <f t="array" ref="FR219">IF(AND(ISNUMBER(SnapshotTable[[#This Row],[SC Term]]),ISNUMBER(SnapshotTable[[#This Row],[SC Simple ROO]])), EllmanAnnualize(SnapshotTable[[#This Row],[SC DTE]], SnapshotTable[[#This Row],[SC Simple ROO]] ),"")</f>
        <v/>
      </c>
      <c r="FS219" s="4" t="e">
        <f>IF(SnapshotTable[[#This Row],[SC Strike Price]] &gt; SnapshotTable[[#This Row],[Last Price]], SnapshotTable[[#This Row],[SC Strike Price]] - SnapshotTable[[#This Row],[Last Price]],0)</f>
        <v>#VALUE!</v>
      </c>
      <c r="FT219" s="27" t="e">
        <f>IF(AND(ISNUMBER(SnapshotTable[[#This Row],[SC Upside Potential]]), SnapshotTable[[#This Row],[SC Upside Potential]] &gt; 0),(SnapshotTable[[#This Row],[SC Upside Potential]]/ SnapshotTable[[#This Row],[ACB]]),"")</f>
        <v>#VALUE!</v>
      </c>
      <c r="FU219" s="333" t="str">
        <f>IF(SnapshotTable[[#This Row],[SC Intrinsic Value]] &gt; 0,SnapshotTable[[#This Row],[SC Intrinsic Value]],"")</f>
        <v/>
      </c>
      <c r="FV219" s="27" t="str">
        <f>IF(AND( ISNUMBER( SnapshotTable[[#This Row],[ACB]]),ISNUMBER(SnapshotTable[[#This Row],[SC Downside Protect]])),SnapshotTable[[#This Row],[SC Downside Protect]] / SnapshotTable[[#This Row],[ACB]],"")</f>
        <v/>
      </c>
      <c r="FW219" s="236" t="str">
        <f>IF(AND(ISNUMBER(SnapshotTable[[#This Row],[SC Simple ROO]]),SnapshotTable[[#This Row],[SC Simple ROO]] &gt; 0), SnapshotTable[[#This Row],[SC Premium]] + (SnapshotTable[[#This Row],[SC Qty]] * SnapshotTable[[#This Row],[SC Upside Potential]]), "")</f>
        <v/>
      </c>
      <c r="FX219" s="302" t="str" cm="1">
        <f t="array" ref="FX219">IF(ISNUMBER(SnapshotTable[[#This Row],[SC Max Dollars]]), annualize(SnapshotTable[[#This Row],[SC Term]],(SnapshotTable[[#This Row],[SC Max Dollars]]/SnapshotTable[[#This Row],[SC Basis]])),"")</f>
        <v/>
      </c>
      <c r="FY219" s="236" t="str">
        <f>IF(AND(SnapshotTable[[#This Row],[SC Qty]]&gt;0,SnapshotTable[[#This Row],[SC Current Ask]]&gt;0), SnapshotTable[[#This Row],[SC Qty]] * SnapshotTable[[#This Row],[SC Current Ask]] * -100, "")</f>
        <v/>
      </c>
      <c r="FZ219" s="31" t="str">
        <f>IF(ISNUMBER((SnapshotTable[[#This Row],[SC Current Value]])), SnapshotTable[[#This Row],[SC Premium]] + SnapshotTable[[#This Row],[SC Current Value]], "")</f>
        <v/>
      </c>
      <c r="GA219" s="294" t="str">
        <f>IFERROR( IF(ISNUMBER((SnapshotTable[[#This Row],[SC Current Value]])), SnapshotTable[[#This Row],[SC Gain Loss]] / SnapshotTable[[#This Row],[SC Premium]], ""), "")</f>
        <v/>
      </c>
      <c r="GB219" s="42">
        <f>SnapshotTable[[#This Row],[Equity Shares]] * SaleSharesToConsiderPercentage</f>
        <v>0</v>
      </c>
      <c r="GC219" s="40">
        <f>SnapshotTable[[#This Row],[Long Term Target]] * SellingPriceToConsiderBasedOnTargetPercentage</f>
        <v>50.397499999999994</v>
      </c>
      <c r="GD219" s="40">
        <f>SnapshotTable[[#This Row],[Last Price]] * (1+ SellingPriceToConsiderBasedOnTargetPercentage)</f>
        <v>160.29</v>
      </c>
      <c r="GE219" s="41"/>
      <c r="GF219" s="40"/>
      <c r="GG219" s="31">
        <f>SnapshotTable[[#This Row],[Booked Sale Shares]] * SnapshotTable[[#This Row],[Booked Sale Price]]</f>
        <v>0</v>
      </c>
      <c r="GH219" s="31" t="str">
        <f>IF(SnapshotTable[[#This Row],[Equity Basis Total]] &gt; 0, SnapshotTable[[#This Row],[Equity Basis Per Share]] * SnapshotTable[[#This Row],[Booked Sale Shares]], "")</f>
        <v/>
      </c>
      <c r="GI219" s="31">
        <f>IF(SnapshotTable[[#This Row],[Sale Proceeds]]&gt;0, SnapshotTable[[#This Row],[Sale Proceeds]] - SnapshotTable[[#This Row],[Sale Basis]], 0)</f>
        <v>0</v>
      </c>
      <c r="GJ219" s="27" t="str">
        <f>IF(SnapshotTable[[#This Row],[Sale G/L]]&gt;0, SnapshotTable[[#This Row],[Sale G/L]] / SnapshotTable[[#This Row],[Sale Basis]], IF(ISNUMBER(SnapshotTable[[#This Row],[SC Exercise P&amp;L (TAX)]]), SnapshotTable[[#This Row],[SC Exercise P&amp;L (TAX)]] / SnapshotTable[[#This Row],[SC Basis]], ""))</f>
        <v/>
      </c>
      <c r="GK219" s="27" t="s">
        <v>733</v>
      </c>
      <c r="GL219" s="43" t="str">
        <f>IF(AND(SnapshotTable[[#This Row],[LP Exp Date]]&gt;0,SnapshotTable[[#This Row],[LP Strike Price]]&gt;0), [1]!ToOptionSymbol(SnapshotTable[[#This Row],[Symbol]], SnapshotTable[[#This Row],[LP Strike Price]],SnapshotTable[[#This Row],[LP Exp Date]],1), "")</f>
        <v/>
      </c>
      <c r="GM219" s="30" t="str">
        <f>IF(LEN(SnapshotTable[[#This Row],[LP Symbol]])&gt;0, 1, "")</f>
        <v/>
      </c>
      <c r="GN219" s="43" t="str">
        <f>IF(AND(SnapshotTable[[#This Row],[SP Exp Date]]&gt;0,SnapshotTable[[#This Row],[SP Strike Price]]&gt;0), [1]!ToOptionSymbol(SnapshotTable[[#This Row],[Symbol]], SnapshotTable[[#This Row],[SP Strike Price]],SnapshotTable[[#This Row],[SP Exp Date]],1), "")</f>
        <v/>
      </c>
      <c r="GO219" s="30" t="str">
        <f>IF(LEN(SnapshotTable[[#This Row],[SP Symbol]])&gt;0, 1, "")</f>
        <v/>
      </c>
      <c r="GP219" s="43" t="str">
        <f>IF(AND(SnapshotTable[[#This Row],[LC Exp Date]]&gt;0,SnapshotTable[[#This Row],[LC Strike Price]]&gt;0), [1]!ToOptionSymbol(SnapshotTable[[#This Row],[Symbol]], SnapshotTable[[#This Row],[LC Strike Price]],SnapshotTable[[#This Row],[LC Exp Date]],0), "")</f>
        <v/>
      </c>
      <c r="GQ219" s="30" t="str">
        <f>IF(LEN(SnapshotTable[[#This Row],[LC Symbol]])&gt;0, 1, "")</f>
        <v/>
      </c>
      <c r="GR219" s="43" t="str">
        <f>IF(AND(SnapshotTable[[#This Row],[SC Exp Date]]&gt;0,SnapshotTable[[#This Row],[SC Strike Price]]&gt;0), [1]!ToOptionSymbol(SnapshotTable[[#This Row],[Symbol]], SnapshotTable[[#This Row],[SC Strike Price]],SnapshotTable[[#This Row],[SC Exp Date]],0), "")</f>
        <v/>
      </c>
      <c r="GS219" s="30" t="str">
        <f>IF(LEN(SnapshotTable[[#This Row],[SC Symbol]])&gt;0, 1, "")</f>
        <v/>
      </c>
      <c r="GT219" s="29" t="str">
        <f>IF(COUNT(SnapshotTable[[#This Row],[LP Symbol Count]],SnapshotTable[[#This Row],[SP Symbol Count]],SnapshotTable[[#This Row],[LC Symbol Count]],SnapshotTable[[#This Row],[SC Symbol Count]])&gt;0, "Y", "")</f>
        <v/>
      </c>
      <c r="GU21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9" s="231" t="e">
        <f>MAX(SnapshotTable[[#This Row],[Equity Basis Total]],SnapshotTable[[#This Row],[Equity Value]]) + (SnapshotTable[[#This Row],[SP Potential Spend]]- SnapshotTable[[#This Row],[SP Premium]] + SnapshotTable[[#This Row],[LP Premium]])+ (SnapshotTable[[#This Row],[LC Premium]] - SnapshotTable[[#This Row],[SC Premium]])</f>
        <v>#VALUE!</v>
      </c>
      <c r="GW219" s="139" t="e">
        <f>IF(AND(SnapshotTable[[#This Row],[Exposure]] &lt;&gt; 0),SnapshotTable[[#This Row],[Exposure]] / SnapshotTable[[#Totals],[Exposure]], "")</f>
        <v>#VALUE!</v>
      </c>
      <c r="GX219" s="5"/>
      <c r="HE219" s="268"/>
      <c r="HF219" s="268"/>
      <c r="HK219" s="1"/>
      <c r="HL219" s="1"/>
      <c r="HM219" s="1"/>
      <c r="HN219" s="1"/>
      <c r="HO219" s="1"/>
      <c r="HP219" s="1"/>
    </row>
    <row r="220" spans="2:224" ht="12.75" hidden="1" customHeight="1" x14ac:dyDescent="0.25">
      <c r="B220" s="12" t="s">
        <v>1051</v>
      </c>
      <c r="C220" s="422">
        <v>26.6</v>
      </c>
      <c r="D220" s="208" t="s">
        <v>578</v>
      </c>
      <c r="E220" s="39">
        <f>SnapshotTable[[#This Row],[Last Price]]*(1 -CrashDiscount)</f>
        <v>22.61</v>
      </c>
      <c r="F220" s="26" t="s">
        <v>5</v>
      </c>
      <c r="G220" s="26" t="s">
        <v>4</v>
      </c>
      <c r="H220" s="149"/>
      <c r="I220" s="194">
        <v>44875.270833333336</v>
      </c>
      <c r="J220" s="195">
        <v>44875.270833333336</v>
      </c>
      <c r="K220" s="196"/>
      <c r="L220" s="326"/>
      <c r="M220" s="140"/>
      <c r="N220" s="140"/>
      <c r="O220" s="140"/>
      <c r="P220" s="22"/>
      <c r="Q220" s="25"/>
      <c r="R220" s="4" t="str">
        <f>IF(SnapshotTable[[#This Row],[Equity Basis Total]] &gt; 0, SnapshotTable[[#This Row],[Equity Basis Total]] / SnapshotTable[[#This Row],[Equity Shares]], "")</f>
        <v/>
      </c>
      <c r="S220" s="269">
        <f>SnapshotTable[[#This Row],[Last Price]] * SnapshotTable[[#This Row],[Equity Shares]]</f>
        <v>0</v>
      </c>
      <c r="T220" s="269">
        <f>SnapshotTable[[#This Row],[Equity Value]] - SnapshotTable[[#This Row],[Equity Basis Total]]</f>
        <v>0</v>
      </c>
      <c r="U220" s="270" t="str">
        <f>IF(SnapshotTable[[#This Row],[Equity Basis Total]] &gt; 0, SnapshotTable[[#This Row],[Equity G/L]] / SnapshotTable[[#This Row],[Equity Basis Total]], "")</f>
        <v/>
      </c>
      <c r="V220" s="268"/>
      <c r="W220" s="268"/>
      <c r="X220" s="4" t="str">
        <f>IF(AND(ISNUMBER(SnapshotTable[[#This Row],[Equity Basis Per Share]]),ISNUMBER(SnapshotTable[[#This Row],[Equity Target]])),SnapshotTable[[#This Row],[Equity Target]]-SnapshotTable[[#This Row],[Equity Basis Per Share]],"")</f>
        <v/>
      </c>
      <c r="Y220" s="4" t="str">
        <f>IF(AND(ISNUMBER(SnapshotTable[[#This Row],[Equity Basis Per Share]]),ISNUMBER(SnapshotTable[[#This Row],[Equity Stop Loss]])),SnapshotTable[[#This Row],[Equity Stop Loss]]-SnapshotTable[[#This Row],[Equity Basis Per Share]],"")</f>
        <v/>
      </c>
      <c r="Z220" s="275" t="str">
        <f>IFERROR( TEXT(SnapshotTable[[#This Row],[Equity Max Gain Per Share]] /ABS( SnapshotTable[[#This Row],[Equity Max Loss Per Share]]),"0.0 " ) &amp; " : 1", "")</f>
        <v/>
      </c>
      <c r="AA220" s="31" t="str">
        <f>IF(ISNUMBER(SnapshotTable[[#This Row],[Equity Max Gain Per Share]]),SnapshotTable[[#This Row],[Equity Max Gain Per Share]] * SnapshotTable[[#This Row],[Equity Shares]],"")</f>
        <v/>
      </c>
      <c r="AB220" s="31" t="str">
        <f>IF(ISNUMBER(SnapshotTable[[#This Row],[Equity Max Loss Per Share]]),SnapshotTable[[#This Row],[Equity Max Loss Per Share]] * SnapshotTable[[#This Row],[Equity Shares]],"")</f>
        <v/>
      </c>
      <c r="AC220" s="150"/>
      <c r="AD220" s="151"/>
      <c r="AE220" s="31">
        <f>(SnapshotTable[[#This Row],[Annual Dividend Per Share]] / 4) * SnapshotTable[[#This Row],[Equity Shares]]</f>
        <v>0</v>
      </c>
      <c r="AF220" s="31">
        <f>SnapshotTable[[#This Row],[Quarterly Div $]] * 4</f>
        <v>0</v>
      </c>
      <c r="AG220" s="7">
        <f>IF(SnapshotTable[[#This Row],[Annual Dividend Per Share]]&gt;0, SnapshotTable[[#This Row],[Annual Dividend Per Share]]  / SnapshotTable[[#This Row],[Last Price]], 0)</f>
        <v>0</v>
      </c>
      <c r="AH220" s="151"/>
      <c r="AI220" s="5"/>
      <c r="AJ220" s="138"/>
      <c r="AK220" s="152" t="str">
        <f>IF(ISNUMBER( SnapshotTable[[#This Row],[EBF Target]]),(SnapshotTable[[#This Row],[EBF Target]] - SnapshotTable[[#This Row],[Last Price]]) / SnapshotTable[[#This Row],[Last Price]], "")</f>
        <v/>
      </c>
      <c r="AL220" s="152" t="str">
        <f>IF(AND(SnapshotTable[[#This Row],[Equity Basis Total]] &gt; 0,ISNUMBER( SnapshotTable[[#This Row],[Long Term Target]])), SnapshotTable[[#This Row],[From Basis $]] / SnapshotTable[[#This Row],[Equity Basis Total]], "")</f>
        <v/>
      </c>
      <c r="AM220" s="9">
        <f>IF( AND(SnapshotTable[[#This Row],[Equity Shares]] &gt;0,ISNUMBER( SnapshotTable[[#This Row],[Long Term Target]])),(SnapshotTable[[#This Row],[Equity Shares]] * SnapshotTable[[#This Row],[Long Term Target]]) - SnapshotTable[[#This Row],[Equity Basis Total]],0)</f>
        <v>0</v>
      </c>
      <c r="AN220" s="9">
        <f>IF( AND(SnapshotTable[[#This Row],[Equity Shares]] &gt;0,ISNUMBER( SnapshotTable[[#This Row],[Long Term Target]])),(SnapshotTable[[#This Row],[Equity Shares]]*SnapshotTable[[#This Row],[Long Term Target]]) - SnapshotTable[[#This Row],[Equity Value]],0)</f>
        <v>0</v>
      </c>
      <c r="AO220" s="152" t="str">
        <f>IF(AND(ISNUMBER( SnapshotTable[[#This Row],[Long Term Target]]), ISNUMBER(SnapshotTable[[#This Row],[Last Price]])),(SnapshotTable[[#This Row],[Long Term Target]] - SnapshotTable[[#This Row],[Last Price]]) / SnapshotTable[[#This Row],[Last Price]], "")</f>
        <v/>
      </c>
      <c r="AP220" s="5">
        <v>10</v>
      </c>
      <c r="AQ220" s="38" t="s">
        <v>38</v>
      </c>
      <c r="AR220" s="5">
        <v>10</v>
      </c>
      <c r="AS220" s="38" t="s">
        <v>26</v>
      </c>
      <c r="AT220" s="146" t="s">
        <v>538</v>
      </c>
      <c r="AU220" s="187" t="str">
        <f>IF(OR(SnapshotTable[[#This Row],[LP No Fill]]="Y",SnapshotTable[[#This Row],[SP Is Filled]],SnapshotTable[[#This Row],[LC Not Filled]]="Y",SnapshotTable[[#This Row],[SC Is Filled]]),"Y","")</f>
        <v/>
      </c>
      <c r="AV220" s="219"/>
      <c r="AW220" s="225"/>
      <c r="AX220" s="220"/>
      <c r="AY220" s="219" t="str">
        <f>IF(SnapshotTable[[#This Row],[Implied Move]]&gt;0, SnapshotTable[[#This Row],[Last Price]]-SnapshotTable[[#This Row],[Implied Move]],"")</f>
        <v/>
      </c>
      <c r="AZ220" s="219" t="str">
        <f>IF(SnapshotTable[[#This Row],[Implied Move]]&gt;0, SnapshotTable[[#This Row],[Last Price]] + SnapshotTable[[#This Row],[Implied Move]],"")</f>
        <v/>
      </c>
      <c r="BA220" s="331">
        <v>8.4499999999999993</v>
      </c>
      <c r="BB220" s="347"/>
      <c r="BC22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0" s="351"/>
      <c r="BE220" s="5"/>
      <c r="BF220" s="14"/>
      <c r="BG220" s="13"/>
      <c r="BH220" s="13"/>
      <c r="BI220" s="5"/>
      <c r="BJ220" s="136">
        <f>IF(SnapshotTable[[#This Row],[LP Qty]] &gt; 0, SnapshotTable[[#This Row],[LP Qty]] * SnapshotTable[[#This Row],[LP Book Price]] * 100,0)</f>
        <v>0</v>
      </c>
      <c r="BK220" s="136">
        <f>IF(SnapshotTable[[#This Row],[LP Premium]] &gt; 0, SnapshotTable[[#This Row],[LP Qty]] * SnapshotTable[[#This Row],[LP Strike Price]] * 100,0)</f>
        <v>0</v>
      </c>
      <c r="BL220" s="154"/>
      <c r="BM220" s="385" t="str">
        <f>IF(SnapshotTable[[#This Row],[LP Premium]] &gt; 0,SnapshotTable[[#This Row],[LP Exp Date]]-MAX(SnapshotTable[[#This Row],[LP Book Date]], SnapshotTable[[#This Row],[LP Fill Date]]),"")</f>
        <v/>
      </c>
      <c r="BN220" s="385" t="str">
        <f>IF(ISNUMBER( SnapshotTable[[#This Row],[LP Term]]), SnapshotTable[[#This Row],[LP Exp Date]] - MockToday,"")</f>
        <v/>
      </c>
      <c r="BO220" s="163" t="str">
        <f>IF(AND(SnapshotTable[[#This Row],[LP Exp Date]]&gt;0, SnapshotTable[[#This Row],[LP Strike Price]]&gt;0,SnapshotTable[[#This Row],[LP Qty]]&gt;0,SnapshotTable[[#This Row],[LP Book Date]]&gt;0,SnapshotTable[[#This Row],[LP Book Price]]&gt;0,SnapshotTable[[#This Row],[LP Fill Date]]=0),"Y","")</f>
        <v/>
      </c>
      <c r="BP220" s="31" t="str">
        <f>IF(AND(SnapshotTable[[#This Row],[LP No Fill]]&lt;&gt;"Y",SnapshotTable[[#This Row],[LP Contract Value]]&gt;0, SnapshotTable[[#This Row],[LP Qty]]&gt;0), SnapshotTable[[#This Row],[LP Contract Value]]*SnapshotTable[[#This Row],[LP Qty]]*100,"")</f>
        <v/>
      </c>
      <c r="BQ220" s="13"/>
      <c r="BR220" s="5" t="str">
        <f>IF(SnapshotTable[[#This Row],[SP Exp Date]]&lt;&gt;"",TRUNC(SnapshotTable[[#This Row],[Last Price]]),"")</f>
        <v/>
      </c>
      <c r="BS220" s="36"/>
      <c r="BT220" s="147"/>
      <c r="BU220" s="13"/>
      <c r="BV220" s="5"/>
      <c r="BW220" s="419" t="b">
        <f>AND(ISNUMBER(SnapshotTable[[#This Row],[SP Exp Date]]), ISNUMBER(SnapshotTable[[#This Row],[SP Strike Price]]), ISNUMBER(SnapshotTable[[#This Row],[SP Qty]]), ISNUMBER(SnapshotTable[[#This Row],[SP Book Date]]), ISNUMBER(SnapshotTable[[#This Row],[SP Book Price]]))</f>
        <v>0</v>
      </c>
      <c r="BX220" s="419" t="b">
        <f>AND(SnapshotTable[[#This Row],[SP Is Booked]], NOT(ISBLANK(SnapshotTable[[#This Row],[SP Fill Date]])))</f>
        <v>0</v>
      </c>
      <c r="BY220" s="33">
        <f>IF(SnapshotTable[[#This Row],[SP Is Booked]], SnapshotTable[[#This Row],[SP Qty]] * SnapshotTable[[#This Row],[SP Book Price]] * 100, 0)</f>
        <v>0</v>
      </c>
      <c r="BZ220" s="369"/>
      <c r="CA220" s="368">
        <f>SnapshotTable[[#This Row],[LP Qty]]</f>
        <v>0</v>
      </c>
      <c r="CB220" s="4" t="str">
        <f>IF(SnapshotTable[[#This Row],[SP Is Booked]], SnapshotTable[[#This Row],[SP Strike Price]] - SnapshotTable[[#This Row],[SP Book Price]], "")</f>
        <v/>
      </c>
      <c r="CC220" s="19" t="str">
        <f>IF(SnapshotTable[[#This Row],[SP Is Booked]],SnapshotTable[[#This Row],[SP Exp Date]]-MAX(SnapshotTable[[#This Row],[SP Book Date]], SnapshotTable[[#This Row],[SP Fill Date]]),"")</f>
        <v/>
      </c>
      <c r="CD220" s="7" t="str">
        <f>IF(SnapshotTable[[#This Row],[SP Is Booked]], SnapshotTable[[#This Row],[SP Book Price]]/SnapshotTable[[#This Row],[SP Strike Price]], "")</f>
        <v/>
      </c>
      <c r="CE220" s="7" t="str">
        <f>IF(ISNUMBER(SnapshotTable[[#This Row],[SP ROO Term]]),SnapshotTable[[#This Row],[SP ROO Term]]*(365/SnapshotTable[[#This Row],[SP Term]]),"")</f>
        <v/>
      </c>
      <c r="CF220" s="236">
        <f>SnapshotTable[[#This Row],[LP Strike Price]] * SnapshotTable[[#This Row],[LP Qty]] * 100</f>
        <v>0</v>
      </c>
      <c r="CG220" s="31" t="e">
        <f>IF(ISNUMBER(SnapshotTable[[#This Row],[SP Premium]]), (SnapshotTable[[#This Row],[SP Qty]] * SnapshotTable[[#This Row],[SP Strike Price]]* 100) - SnapshotTable[[#This Row],[LP Protection]], 0)</f>
        <v>#VALUE!</v>
      </c>
      <c r="CH220" s="7" t="str">
        <f>IF(ISNUMBER(SnapshotTable[[#This Row],[SP Break Even]]),-1 * (SnapshotTable[[#This Row],[SP Break Even]] - SnapshotTable[[#This Row],[Last Price]]) / SnapshotTable[[#This Row],[Last Price]], "")</f>
        <v/>
      </c>
      <c r="CI220" s="31">
        <f>IF(AND(ISNUMBER((SnapshotTable[[#This Row],[SP Potential Spend]])), SnapshotTable[[#This Row],[SP Strike Price]] &gt; SnapshotTable[[#This Row],[Last Price]], SnapshotTable[[#This Row],[SP Is Filled]]), SnapshotTable[[#This Row],[SP Potential Spend]] -  SnapshotTable[[#This Row],[LP Max Value]], 0)</f>
        <v>0</v>
      </c>
      <c r="CJ220" s="244"/>
      <c r="CK220" s="31" t="str">
        <f>IF(ISNUMBER(SnapshotTable[[#This Row],[SP Potential Spend]]),IF(ISNUMBER(SnapshotTable[[#This Row],[SP POW]]), SnapshotTable[[#This Row],[SP POW]] * SnapshotTable[[#This Row],[SP Potential Spend]], SnapshotTable[[#This Row],[SP Potential Spend]]), "")</f>
        <v/>
      </c>
      <c r="CL220" s="164" t="e">
        <f>IF(NOT(SnapshotTable[[#This Row],[SP Is Filled]]),(SnapshotTable[[#This Row],[SP Qty]] * SnapshotTable[[#This Row],[SP Strike Price]] * 100) - SnapshotTable[[#This Row],[LP Max Value]],"")</f>
        <v>#VALUE!</v>
      </c>
      <c r="CM220" s="31" t="str">
        <f>IF(SnapshotTable[[#This Row],[SP Actual Spend]]&lt;&gt;0, ((SnapshotTable[[#This Row],[SP Strike Price]]-SnapshotTable[[#This Row],[Last Price]]) *(SnapshotTable[[#This Row],[SP Qty]]*100) - SnapshotTable[[#This Row],[SP Premium]]) * - 1, "")</f>
        <v/>
      </c>
      <c r="CN220" s="78"/>
      <c r="CO220" s="369"/>
      <c r="CP220" s="4" t="str">
        <f>IF(SnapshotTable[[#This Row],[SP Is Filled]], btc_max_buyback_amount(SnapshotTable[[#This Row],[SP Fill Date]],SnapshotTable[[#This Row],[SP Exp Date]], SnapshotTable[[#This Row],[SP Book Price]]),"")</f>
        <v/>
      </c>
      <c r="CQ220" s="78"/>
      <c r="CR22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0" s="155" t="str">
        <f>IF(SnapshotTable[[#This Row],[SP Is Filled]], btc_next_cutoff_date(SnapshotTable[[#This Row],[SP Fill Date]],SnapshotTable[[#This Row],[SP Exp Date]]),"")</f>
        <v/>
      </c>
      <c r="CT220" s="235" t="str" cm="1">
        <f t="array" ref="CT220">IF(SnapshotTable[[#This Row],[SP Is Filled]], btc_should_buy_back(SnapshotTable[[#This Row],[SP Fill Date]], SnapshotTable[[#This Row],[SP Exp Date]], SnapshotTable[[#This Row],[SP Book Price]], SnapshotTable[[#This Row],[SP Current Ask]], MockToday, SnapshotTable[[#This Row],[SP Buyback Override]]),"")</f>
        <v/>
      </c>
      <c r="CU220" s="143"/>
      <c r="CV220" s="235"/>
      <c r="CW220" s="378" t="str">
        <f>IF(ISNUMBER( SnapshotTable[[#This Row],[SP Term]]), SnapshotTable[[#This Row],[SP Exp Date]] - MockToday,"")</f>
        <v/>
      </c>
      <c r="CX220" s="31" t="str">
        <f>IF(SnapshotTable[[#This Row],[SP Is Filled]],SnapshotTable[[#This Row],[SP Buyback Price to Use]] * 100 * SnapshotTable[[#This Row],[SP Qty]], "")</f>
        <v/>
      </c>
      <c r="CY220" s="4" t="str">
        <f>IF(ISNUMBER(SnapshotTable[[#This Row],[SP Strike Price]]), SnapshotTable[[#This Row],[SP Strike Price]] * (1 - SP_MaxLoss_StrikePct), "")</f>
        <v/>
      </c>
      <c r="CZ220" s="31" t="str">
        <f>IF(ISNUMBER(SnapshotTable[[#This Row],[SP Strike  Stop Per Share]]),SnapshotTable[[#This Row],[SP Premium]] - ((SnapshotTable[[#This Row],[SP Strike Price]]-SnapshotTable[[#This Row],[SP Strike  Stop Per Share]]) *(SnapshotTable[[#This Row],[SP Qty]] * 100)),"")</f>
        <v/>
      </c>
      <c r="DA220" s="4" t="str">
        <f>IF(AND(ISNUMBER(SnapshotTable[[#This Row],[SP Premium]]),SnapshotTable[[#This Row],[SP Premium]]&gt;0), SnapshotTable[[#This Row],[SP Book Price]] * (1 + SP_MaxLoss_OptionPct), "")</f>
        <v/>
      </c>
      <c r="DB220" s="31" t="str">
        <f>IF(ISNUMBER(SnapshotTable[[#This Row],[SP Option  Stop Contract]]),(SnapshotTable[[#This Row],[SP Option  Stop Contract]] *(SnapshotTable[[#This Row],[SP Qty]] * 100) - SnapshotTable[[#This Row],[SP Premium]]),"")</f>
        <v/>
      </c>
      <c r="DC220" s="4"/>
      <c r="DD220" s="4"/>
      <c r="DE220" s="4" t="str">
        <f>IF(AND(SnapshotTable[[#This Row],[SP Qty]]&gt;0, SnapshotTable[[#This Row],[SP Stop To Use]]&gt;0),SnapshotTable[[#This Row],[SP Premium]] - ( SnapshotTable[[#This Row],[SP Qty]] * SnapshotTable[[#This Row],[SP Stop To Use]] * 100), "")</f>
        <v/>
      </c>
      <c r="DF220" s="31" t="str">
        <f>IF(AND(SnapshotTable[[#This Row],[SP Qty]]&gt;0,SnapshotTable[[#This Row],[SP Current Ask]]&gt;0), SnapshotTable[[#This Row],[SP Qty]] * SnapshotTable[[#This Row],[SP Current Ask]] * -100, "")</f>
        <v/>
      </c>
      <c r="DG220" s="31" t="str">
        <f>IF(ISNUMBER((SnapshotTable[[#This Row],[SP Total Value]])), SnapshotTable[[#This Row],[SP Premium]] + SnapshotTable[[#This Row],[SP Total Value]], "")</f>
        <v/>
      </c>
      <c r="DH220" s="294" t="str">
        <f>IF(ISNUMBER((SnapshotTable[[#This Row],[SP Total Value]])), SnapshotTable[[#This Row],[SP Gain Loss]] / SnapshotTable[[#This Row],[SP Premium]], "")</f>
        <v/>
      </c>
      <c r="DI220" s="406"/>
      <c r="DJ220" s="138"/>
      <c r="DK220" s="148"/>
      <c r="DL220" s="13"/>
      <c r="DM220" s="13"/>
      <c r="DO220" s="31">
        <f>IF(SnapshotTable[[#This Row],[LC Symbol Count]]=1, SnapshotTable[[#This Row],[LC Qty]] * SnapshotTable[[#This Row],[LC Book Price]] * 100, 0)</f>
        <v>0</v>
      </c>
      <c r="DP220" s="163" t="str">
        <f>IF(AND(SnapshotTable[[#This Row],[LC Exp Date]]&gt;0, SnapshotTable[[#This Row],[LC Strike Price]]&gt;0,SnapshotTable[[#This Row],[LC Qty]]&gt;0,SnapshotTable[[#This Row],[LC Book Date]]&gt;0,SnapshotTable[[#This Row],[LC Book Price]]&gt;0,SnapshotTable[[#This Row],[LC Fill Date]]=0),"Y","")</f>
        <v/>
      </c>
      <c r="DQ220" s="386" t="str">
        <f>IF(SnapshotTable[[#This Row],[LC Premium]] &gt; 0,SnapshotTable[[#This Row],[LC Exp Date]]-MAX(SnapshotTable[[#This Row],[LC Book Date]], SnapshotTable[[#This Row],[LC Fill Date]]),"")</f>
        <v/>
      </c>
      <c r="DR220" s="386" t="str">
        <f>IF(ISNUMBER(SnapshotTable[[#This Row],[LC Term]]), SnapshotTable[[#This Row],[LC Exp Date]] - MockToday, "")</f>
        <v/>
      </c>
      <c r="DS220" s="234" t="str">
        <f>IF(SnapshotTable[[#This Row],[LC Premium]]&gt;0,SnapshotTable[[#This Row],[LC Strike Price]] + SnapshotTable[[#This Row],[LC Book Price]],"")</f>
        <v/>
      </c>
      <c r="DU220" s="9" t="str">
        <f>IF(AND(SnapshotTable[[#This Row],[LC Symbol Count]]&gt;0, SnapshotTable[[#This Row],[LC Contract Value]]&gt;0), SnapshotTable[[#This Row],[LC Contract Value]] * SnapshotTable[[#This Row],[LC Qty]] * 100, "")</f>
        <v/>
      </c>
      <c r="DV220" s="9" t="str">
        <f>IF(AND(ISNUMBER(SnapshotTable[[#This Row],[LC Total Value]]), SnapshotTable[[#This Row],[LC Not Filled]]&lt;&gt;"Y"), SnapshotTable[[#This Row],[LC Total Value]]-SnapshotTable[[#This Row],[LC Premium]],"")</f>
        <v/>
      </c>
      <c r="DW220" s="240" t="str">
        <f>IF(ISNUMBER(SnapshotTable[[#This Row],[LC Actual Gain Loss]]), SnapshotTable[[#This Row],[LC Actual Gain Loss]] / SnapshotTable[[#This Row],[LC Premium]],"")</f>
        <v/>
      </c>
      <c r="DX220" s="284" t="str">
        <f>IF(ISNUMBER(SnapshotTable[[#This Row],[LC Book Price]]),SnapshotTable[[#This Row],[LC Book Price]] * 1.5,"")</f>
        <v/>
      </c>
      <c r="DY220" s="265" t="str">
        <f>IF(SnapshotTable[[#This Row],[LC Premium]]&gt;0, SnapshotTable[[#This Row],[LC Next Target]] * SnapshotTable[[#This Row],[LC Qty]] * 100,"")</f>
        <v/>
      </c>
      <c r="DZ220" s="265" t="str">
        <f>IF(ISNUMBER(SnapshotTable[[#This Row],[LC Target Gross]]), SnapshotTable[[#This Row],[LC Target Gross]] - SnapshotTable[[#This Row],[LC Premium]], "")</f>
        <v/>
      </c>
      <c r="EA220" s="305" t="str">
        <f>IF(ISNUMBER(SnapshotTable[[#This Row],[LC Target Gain Loss]]), SnapshotTable[[#This Row],[LC Target Gain Loss]]/SnapshotTable[[#This Row],[LC Premium]], "")</f>
        <v/>
      </c>
      <c r="EB220" s="262"/>
      <c r="EC220" s="283" t="str">
        <f>IF(SnapshotTable[[#This Row],[LC Premium]]&gt;0, SnapshotTable[[#This Row],[LC Book Price]] * (1 - LC_StopLoss_Pct),"")</f>
        <v/>
      </c>
      <c r="ED220" s="284"/>
      <c r="EE220" s="283" t="str">
        <f>IF(ISNUMBER(SnapshotTable[[#This Row],[LC Contract Value]]),IF(ISNUMBER(SnapshotTable[[#This Row],[LC Stop Loss Override]]), SnapshotTable[[#This Row],[LC Stop Loss Override]],SnapshotTable[[#This Row],[LC Stop Loss Calc Target]]),"")</f>
        <v/>
      </c>
      <c r="EF220" s="31" t="str">
        <f>IF(ISNUMBER(SnapshotTable[[#This Row],[LC Stop  To Use]]), (SnapshotTable[[#This Row],[LC Stop  To Use]] * SnapshotTable[[#This Row],[LC Qty]] * 100),"")</f>
        <v/>
      </c>
      <c r="EG220" s="9" t="str">
        <f>IF(ISNUMBER(SnapshotTable[[#This Row],[LC Total Value]]),SnapshotTable[[#This Row],[LC Stop Loss Amount]] - SnapshotTable[[#This Row],[LC Premium]],"")</f>
        <v/>
      </c>
      <c r="EH220" s="9">
        <f>IF(ISNUMBER(SnapshotTable[[#This Row],[LC Premium]]), SnapshotTable[[#This Row],[LC Qty]] * 100 * SnapshotTable[[#This Row],[LC Strike Price]], "")</f>
        <v>0</v>
      </c>
      <c r="EI220" s="240" t="str">
        <f>IF(AND(ISNUMBER(SnapshotTable[[#This Row],[LC Total Value]]),SnapshotTable[[#This Row],[LC Total Value]]&gt;0),SnapshotTable[[#This Row],[LC Stop Gain Loss]]  / SnapshotTable[[#This Row],[LC Premium]],"")</f>
        <v/>
      </c>
      <c r="EJ220" s="35">
        <f>IF(ISNUMBER(SnapshotTable[[#This Row],[Equity Shares]]),TRUNC(SnapshotTable[[#This Row],[Equity Shares]] / 100),0) + SnapshotTable[[#This Row],[LC Qty]]</f>
        <v>0</v>
      </c>
      <c r="EK220" s="147"/>
      <c r="EL220" s="138" t="str">
        <f>IF(SnapshotTable[[#This Row],[SC Exp Date]]&lt;&gt;"",TRUNC(SnapshotTable[[#This Row],[Last Price]]),"")</f>
        <v/>
      </c>
      <c r="EM220" s="148"/>
      <c r="EN220" s="147"/>
      <c r="EO220" s="147"/>
      <c r="EP220" s="138"/>
      <c r="EQ220" s="419" t="b">
        <f>AND(ISNUMBER(SnapshotTable[[#This Row],[SC Exp Date]]), ISNUMBER(SnapshotTable[[#This Row],[SC Strike Price]]), ISNUMBER(SnapshotTable[[#This Row],[SC Qty]]), ISNUMBER(SnapshotTable[[#This Row],[SC Book Date]]), ISNUMBER(SnapshotTable[[#This Row],[SC Book Price]]))</f>
        <v>0</v>
      </c>
      <c r="ER220" s="419" t="b">
        <f>AND(SnapshotTable[[#This Row],[SC Is Booked]], NOT(ISBLANK(SnapshotTable[[#This Row],[SC Fill Date]])))</f>
        <v>0</v>
      </c>
      <c r="ES220" s="370"/>
      <c r="ET220" s="34" t="str">
        <f>IF(AND(ISNUMBER(SnapshotTable[[#This Row],[SC Exp Date]]), ISNUMBER(SnapshotTable[[#This Row],[SC Book Date]])), SnapshotTable[[#This Row],[SC Exp Date]] - MAX(SnapshotTable[[#This Row],[SC Book Date]], SnapshotTable[[#This Row],[SC Fill Date]]) + 1, "")</f>
        <v/>
      </c>
      <c r="EU220" s="34" t="str">
        <f>IF(ISNUMBER(SnapshotTable[[#This Row],[SC Term]]), SnapshotTable[[#This Row],[SC Exp Date]]- MockToday, "")</f>
        <v/>
      </c>
      <c r="EV220" s="31">
        <f>IF(SnapshotTable[[#This Row],[SC Is Booked]], SnapshotTable[[#This Row],[SC Qty]] * SnapshotTable[[#This Row],[SC Book Price]] * 100, 0)</f>
        <v>0</v>
      </c>
      <c r="EW220" s="4" t="str">
        <f>IF(AND(ISNUMBER(SnapshotTable[[#This Row],[Last Price]]), ISNUMBER( SnapshotTable[[#This Row],[SC Book Price]])), SnapshotTable[[#This Row],[Last Price]] - SnapshotTable[[#This Row],[SC Book Price]],"")</f>
        <v/>
      </c>
      <c r="EX220" s="234" t="str">
        <f>IF(SnapshotTable[[#This Row],[SC Is Booked]],IF(SnapshotTable[[#This Row],[SC Intrinsic Value]] &gt; 0, SnapshotTable[[#This Row],[SC Strike Price]], SnapshotTable[[#This Row],[Last Price]]), "")</f>
        <v/>
      </c>
      <c r="EY220" s="4">
        <f>IF(SnapshotTable[[#This Row],[SC Is Booked]], (MinimumPremiumRequired * SnapshotTable[[#This Row],[SC Basis]] * SnapshotTable[[#This Row],[SC Term]]), 0)</f>
        <v>0</v>
      </c>
      <c r="EZ220" s="283"/>
      <c r="FA220" s="218"/>
      <c r="FB220" s="370"/>
      <c r="FC220" s="4">
        <f>IF(SnapshotTable[[#This Row],[SC Is Filled]], btc_max_buyback_amount(SnapshotTable[[#This Row],[SC Fill Date]],SnapshotTable[[#This Row],[SC Exp Date]], SnapshotTable[[#This Row],[SC Book Price]]),0)</f>
        <v>0</v>
      </c>
      <c r="FD220" s="5"/>
      <c r="FE220" s="144" t="str">
        <f>IF(SnapshotTable[[#This Row],[SC Is Filled]], btc_next_cutoff_date(SnapshotTable[[#This Row],[SC Fill Date]],SnapshotTable[[#This Row],[SC Exp Date]]),"")</f>
        <v/>
      </c>
      <c r="FF220" s="4" t="str" cm="1">
        <f t="array" ref="FF220">IF(SnapshotTable[[#This Row],[SC Is Filled]], btc_should_buy_back(SnapshotTable[[#This Row],[SC Fill Date]], SnapshotTable[[#This Row],[SC Exp Date]], SnapshotTable[[#This Row],[SC Book Price]], SnapshotTable[[#This Row],[SC Current Ask]], MockToday, SnapshotTable[[#This Row],[SC Buyback Override]]),"")</f>
        <v/>
      </c>
      <c r="FG220" s="4">
        <f>IF(SnapshotTable[[#This Row],[SC Is Filled]], MAX(0,SnapshotTable[[#This Row],[Last Price]]  - SnapshotTable[[#This Row],[SC Strike Price]]), 0)</f>
        <v>0</v>
      </c>
      <c r="FH220" s="382">
        <f>IF(SnapshotTable[[#This Row],[SC Is Filled]], IF(ISNUMBER(SnapshotTable[[#This Row],[SC Current Ask]]), SnapshotTable[[#This Row],[SC Current Ask]], SnapshotTable[[#This Row],[SC Book Price]]) - SnapshotTable[[#This Row],[SC Intrinsic Value]], 0)</f>
        <v>0</v>
      </c>
      <c r="FI220" s="143"/>
      <c r="FJ220" s="32" t="str">
        <f>IF(SnapshotTable[[#This Row],[SC Is Filled]],100 * SnapshotTable[[#This Row],[SC Qty]] * IF(ISNUMBER(SnapshotTable[[#This Row],[SC Buyback Override]]), SnapshotTable[[#This Row],[SC Buyback Override]], SnapshotTable[[#This Row],[SC Current Ask]]), "")</f>
        <v/>
      </c>
      <c r="FK220" s="250" t="str">
        <f>IF(SnapshotTable[[#This Row],[SC Time Val]]&gt;0, SnapshotTable[[#This Row],[SC Time Val]] / SnapshotTable[[#This Row],[Last Price]],"")</f>
        <v/>
      </c>
      <c r="FL220" s="302" t="str">
        <f>IF(SnapshotTable[[#This Row],[SC Is Booked]], ((SnapshotTable[[#This Row],[Last Price]] -SnapshotTable[[#This Row],[SC Strike Price]]) / SnapshotTable[[#This Row],[Last Price]]) * -1, "")</f>
        <v/>
      </c>
      <c r="FM220" s="157" t="str">
        <f>IF(SnapshotTable[[#This Row],[SC Is Booked]],  (SnapshotTable[[#This Row],[SC Qty]] * 100 * SnapshotTable[[#This Row],[SC Strike Price]]) - SnapshotTable[[#This Row],[SC Current Ask]], "")</f>
        <v/>
      </c>
      <c r="FN22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0" s="31" t="str">
        <f>IF(AND(ISNUMBER(SnapshotTable[[#This Row],[SC Exercise Gross]]), ISNUMBER(SnapshotTable[[#This Row],[Equity Basis Per Share]] )), SnapshotTable[[#This Row],[SC Exercise Gross]] - SnapshotTable[[#This Row],[Equity Basis Total]] +  SnapshotTable[[#This Row],[SC Premium]], "")</f>
        <v/>
      </c>
      <c r="FP220" s="5" t="str">
        <f>IF(ISNUMBER(SnapshotTable[[#This Row],[SC Exercise Gross]]), (SnapshotTable[[#This Row],[SC Exercise Gross]]) / (SnapshotTable[[#This Row],[SC Qty]] * 100), "")</f>
        <v/>
      </c>
      <c r="FQ220" s="27" t="str">
        <f>IF(SnapshotTable[[#This Row],[SC Is Booked]],SnapshotTable[[#This Row],[SC Time Val]] /SnapshotTable[[#This Row],[SC Basis]], "")</f>
        <v/>
      </c>
      <c r="FR220" s="27" t="str" cm="1">
        <f t="array" ref="FR220">IF(AND(ISNUMBER(SnapshotTable[[#This Row],[SC Term]]),ISNUMBER(SnapshotTable[[#This Row],[SC Simple ROO]])), EllmanAnnualize(SnapshotTable[[#This Row],[SC DTE]], SnapshotTable[[#This Row],[SC Simple ROO]] ),"")</f>
        <v/>
      </c>
      <c r="FS220" s="4" t="e">
        <f>IF(SnapshotTable[[#This Row],[SC Strike Price]] &gt; SnapshotTable[[#This Row],[Last Price]], SnapshotTable[[#This Row],[SC Strike Price]] - SnapshotTable[[#This Row],[Last Price]],0)</f>
        <v>#VALUE!</v>
      </c>
      <c r="FT220" s="27" t="e">
        <f>IF(AND(ISNUMBER(SnapshotTable[[#This Row],[SC Upside Potential]]), SnapshotTable[[#This Row],[SC Upside Potential]] &gt; 0),(SnapshotTable[[#This Row],[SC Upside Potential]]/ SnapshotTable[[#This Row],[ACB]]),"")</f>
        <v>#VALUE!</v>
      </c>
      <c r="FU220" s="333" t="str">
        <f>IF(SnapshotTable[[#This Row],[SC Intrinsic Value]] &gt; 0,SnapshotTable[[#This Row],[SC Intrinsic Value]],"")</f>
        <v/>
      </c>
      <c r="FV220" s="27" t="str">
        <f>IF(AND( ISNUMBER( SnapshotTable[[#This Row],[ACB]]),ISNUMBER(SnapshotTable[[#This Row],[SC Downside Protect]])),SnapshotTable[[#This Row],[SC Downside Protect]] / SnapshotTable[[#This Row],[ACB]],"")</f>
        <v/>
      </c>
      <c r="FW220" s="236" t="str">
        <f>IF(AND(ISNUMBER(SnapshotTable[[#This Row],[SC Simple ROO]]),SnapshotTable[[#This Row],[SC Simple ROO]] &gt; 0), SnapshotTable[[#This Row],[SC Premium]] + (SnapshotTable[[#This Row],[SC Qty]] * SnapshotTable[[#This Row],[SC Upside Potential]]), "")</f>
        <v/>
      </c>
      <c r="FX220" s="302" t="str" cm="1">
        <f t="array" ref="FX220">IF(ISNUMBER(SnapshotTable[[#This Row],[SC Max Dollars]]), annualize(SnapshotTable[[#This Row],[SC Term]],(SnapshotTable[[#This Row],[SC Max Dollars]]/SnapshotTable[[#This Row],[SC Basis]])),"")</f>
        <v/>
      </c>
      <c r="FY220" s="236" t="str">
        <f>IF(AND(SnapshotTable[[#This Row],[SC Qty]]&gt;0,SnapshotTable[[#This Row],[SC Current Ask]]&gt;0), SnapshotTable[[#This Row],[SC Qty]] * SnapshotTable[[#This Row],[SC Current Ask]] * -100, "")</f>
        <v/>
      </c>
      <c r="FZ220" s="31" t="str">
        <f>IF(ISNUMBER((SnapshotTable[[#This Row],[SC Current Value]])), SnapshotTable[[#This Row],[SC Premium]] + SnapshotTable[[#This Row],[SC Current Value]], "")</f>
        <v/>
      </c>
      <c r="GA220" s="294" t="str">
        <f>IFERROR( IF(ISNUMBER((SnapshotTable[[#This Row],[SC Current Value]])), SnapshotTable[[#This Row],[SC Gain Loss]] / SnapshotTable[[#This Row],[SC Premium]], ""), "")</f>
        <v/>
      </c>
      <c r="GB220" s="42">
        <f>SnapshotTable[[#This Row],[Equity Shares]] * SaleSharesToConsiderPercentage</f>
        <v>0</v>
      </c>
      <c r="GC220" s="40">
        <f>SnapshotTable[[#This Row],[Long Term Target]] * SellingPriceToConsiderBasedOnTargetPercentage</f>
        <v>0</v>
      </c>
      <c r="GD220" s="40">
        <f>SnapshotTable[[#This Row],[Last Price]] * (1+ SellingPriceToConsiderBasedOnTargetPercentage)</f>
        <v>51.870000000000005</v>
      </c>
      <c r="GE220" s="41"/>
      <c r="GF220" s="40"/>
      <c r="GG220" s="31">
        <f>SnapshotTable[[#This Row],[Booked Sale Shares]] * SnapshotTable[[#This Row],[Booked Sale Price]]</f>
        <v>0</v>
      </c>
      <c r="GH220" s="31" t="str">
        <f>IF(SnapshotTable[[#This Row],[Equity Basis Total]] &gt; 0, SnapshotTable[[#This Row],[Equity Basis Per Share]] * SnapshotTable[[#This Row],[Booked Sale Shares]], "")</f>
        <v/>
      </c>
      <c r="GI220" s="31">
        <f>IF(SnapshotTable[[#This Row],[Sale Proceeds]]&gt;0, SnapshotTable[[#This Row],[Sale Proceeds]] - SnapshotTable[[#This Row],[Sale Basis]], 0)</f>
        <v>0</v>
      </c>
      <c r="GJ220" s="27" t="str">
        <f>IF(SnapshotTable[[#This Row],[Sale G/L]]&gt;0, SnapshotTable[[#This Row],[Sale G/L]] / SnapshotTable[[#This Row],[Sale Basis]], IF(ISNUMBER(SnapshotTable[[#This Row],[SC Exercise P&amp;L (TAX)]]), SnapshotTable[[#This Row],[SC Exercise P&amp;L (TAX)]] / SnapshotTable[[#This Row],[SC Basis]], ""))</f>
        <v/>
      </c>
      <c r="GK220" s="27" t="s">
        <v>1053</v>
      </c>
      <c r="GL220" s="43" t="str">
        <f>IF(AND(SnapshotTable[[#This Row],[LP Exp Date]]&gt;0,SnapshotTable[[#This Row],[LP Strike Price]]&gt;0), [1]!ToOptionSymbol(SnapshotTable[[#This Row],[Symbol]], SnapshotTable[[#This Row],[LP Strike Price]],SnapshotTable[[#This Row],[LP Exp Date]],1), "")</f>
        <v/>
      </c>
      <c r="GM220" s="30" t="str">
        <f>IF(LEN(SnapshotTable[[#This Row],[LP Symbol]])&gt;0, 1, "")</f>
        <v/>
      </c>
      <c r="GN220" s="43" t="str">
        <f>IF(AND(SnapshotTable[[#This Row],[SP Exp Date]]&gt;0,SnapshotTable[[#This Row],[SP Strike Price]]&gt;0), [1]!ToOptionSymbol(SnapshotTable[[#This Row],[Symbol]], SnapshotTable[[#This Row],[SP Strike Price]],SnapshotTable[[#This Row],[SP Exp Date]],1), "")</f>
        <v/>
      </c>
      <c r="GO220" s="30" t="str">
        <f>IF(LEN(SnapshotTable[[#This Row],[SP Symbol]])&gt;0, 1, "")</f>
        <v/>
      </c>
      <c r="GP220" s="43" t="str">
        <f>IF(AND(SnapshotTable[[#This Row],[LC Exp Date]]&gt;0,SnapshotTable[[#This Row],[LC Strike Price]]&gt;0), [1]!ToOptionSymbol(SnapshotTable[[#This Row],[Symbol]], SnapshotTable[[#This Row],[LC Strike Price]],SnapshotTable[[#This Row],[LC Exp Date]],0), "")</f>
        <v/>
      </c>
      <c r="GQ220" s="30" t="str">
        <f>IF(LEN(SnapshotTable[[#This Row],[LC Symbol]])&gt;0, 1, "")</f>
        <v/>
      </c>
      <c r="GR220" s="43" t="str">
        <f>IF(AND(SnapshotTable[[#This Row],[SC Exp Date]]&gt;0,SnapshotTable[[#This Row],[SC Strike Price]]&gt;0), [1]!ToOptionSymbol(SnapshotTable[[#This Row],[Symbol]], SnapshotTable[[#This Row],[SC Strike Price]],SnapshotTable[[#This Row],[SC Exp Date]],0), "")</f>
        <v/>
      </c>
      <c r="GS220" s="30" t="str">
        <f>IF(LEN(SnapshotTable[[#This Row],[SC Symbol]])&gt;0, 1, "")</f>
        <v/>
      </c>
      <c r="GT220" s="29" t="str">
        <f>IF(COUNT(SnapshotTable[[#This Row],[LP Symbol Count]],SnapshotTable[[#This Row],[SP Symbol Count]],SnapshotTable[[#This Row],[LC Symbol Count]],SnapshotTable[[#This Row],[SC Symbol Count]])&gt;0, "Y", "")</f>
        <v/>
      </c>
      <c r="GU22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0" s="231" t="e">
        <f>MAX(SnapshotTable[[#This Row],[Equity Basis Total]],SnapshotTable[[#This Row],[Equity Value]]) + (SnapshotTable[[#This Row],[SP Potential Spend]]- SnapshotTable[[#This Row],[SP Premium]] + SnapshotTable[[#This Row],[LP Premium]])+ (SnapshotTable[[#This Row],[LC Premium]] - SnapshotTable[[#This Row],[SC Premium]])</f>
        <v>#VALUE!</v>
      </c>
      <c r="GW220" s="139" t="e">
        <f>IF(AND(SnapshotTable[[#This Row],[Exposure]] &lt;&gt; 0),SnapshotTable[[#This Row],[Exposure]] / SnapshotTable[[#Totals],[Exposure]], "")</f>
        <v>#VALUE!</v>
      </c>
      <c r="GX220" s="5"/>
      <c r="HE220" s="268"/>
      <c r="HF220" s="268"/>
      <c r="HK220" s="1"/>
      <c r="HL220" s="1"/>
      <c r="HM220" s="1"/>
      <c r="HN220" s="1"/>
      <c r="HO220" s="1"/>
      <c r="HP220" s="1"/>
    </row>
    <row r="221" spans="2:224" ht="12.75" hidden="1" customHeight="1" x14ac:dyDescent="0.25">
      <c r="B221" s="12" t="s">
        <v>151</v>
      </c>
      <c r="C221" s="422">
        <v>57.54</v>
      </c>
      <c r="D221" s="208"/>
      <c r="E221" s="39">
        <f>SnapshotTable[[#This Row],[Last Price]]*(1 -CrashDiscount)</f>
        <v>48.908999999999999</v>
      </c>
      <c r="F221" s="26" t="s">
        <v>150</v>
      </c>
      <c r="G221" s="26" t="s">
        <v>14</v>
      </c>
      <c r="H221" s="149"/>
      <c r="I221" s="194">
        <v>44728.333333333336</v>
      </c>
      <c r="J221" s="195">
        <v>44728.333333333336</v>
      </c>
      <c r="K221" s="196" t="s">
        <v>3</v>
      </c>
      <c r="L221" s="326"/>
      <c r="M221" s="140"/>
      <c r="N221" s="140"/>
      <c r="O221" s="140"/>
      <c r="P221" s="22"/>
      <c r="Q221" s="25"/>
      <c r="R221" s="4" t="str">
        <f>IF(SnapshotTable[[#This Row],[Equity Basis Total]] &gt; 0, SnapshotTable[[#This Row],[Equity Basis Total]] / SnapshotTable[[#This Row],[Equity Shares]], "")</f>
        <v/>
      </c>
      <c r="S221" s="269">
        <f>SnapshotTable[[#This Row],[Last Price]] * SnapshotTable[[#This Row],[Equity Shares]]</f>
        <v>0</v>
      </c>
      <c r="T221" s="269">
        <f>SnapshotTable[[#This Row],[Equity Value]] - SnapshotTable[[#This Row],[Equity Basis Total]]</f>
        <v>0</v>
      </c>
      <c r="U221" s="270" t="str">
        <f>IF(SnapshotTable[[#This Row],[Equity Basis Total]] &gt; 0, SnapshotTable[[#This Row],[Equity G/L]] / SnapshotTable[[#This Row],[Equity Basis Total]], "")</f>
        <v/>
      </c>
      <c r="V221" s="268"/>
      <c r="W221" s="268"/>
      <c r="X221" s="4" t="str">
        <f>IF(AND(ISNUMBER(SnapshotTable[[#This Row],[Equity Basis Per Share]]),ISNUMBER(SnapshotTable[[#This Row],[Equity Target]])),SnapshotTable[[#This Row],[Equity Target]]-SnapshotTable[[#This Row],[Equity Basis Per Share]],"")</f>
        <v/>
      </c>
      <c r="Y221" s="4" t="str">
        <f>IF(AND(ISNUMBER(SnapshotTable[[#This Row],[Equity Basis Per Share]]),ISNUMBER(SnapshotTable[[#This Row],[Equity Stop Loss]])),SnapshotTable[[#This Row],[Equity Stop Loss]]-SnapshotTable[[#This Row],[Equity Basis Per Share]],"")</f>
        <v/>
      </c>
      <c r="Z221" s="275" t="str">
        <f>IFERROR( TEXT(SnapshotTable[[#This Row],[Equity Max Gain Per Share]] /ABS( SnapshotTable[[#This Row],[Equity Max Loss Per Share]]),"0.0 " ) &amp; " : 1", "")</f>
        <v/>
      </c>
      <c r="AA221" s="31" t="str">
        <f>IF(ISNUMBER(SnapshotTable[[#This Row],[Equity Max Gain Per Share]]),SnapshotTable[[#This Row],[Equity Max Gain Per Share]] * SnapshotTable[[#This Row],[Equity Shares]],"")</f>
        <v/>
      </c>
      <c r="AB221" s="31" t="str">
        <f>IF(ISNUMBER(SnapshotTable[[#This Row],[Equity Max Loss Per Share]]),SnapshotTable[[#This Row],[Equity Max Loss Per Share]] * SnapshotTable[[#This Row],[Equity Shares]],"")</f>
        <v/>
      </c>
      <c r="AC221" s="150">
        <v>0.48</v>
      </c>
      <c r="AD221" s="151">
        <v>42979</v>
      </c>
      <c r="AE221" s="31">
        <f>(SnapshotTable[[#This Row],[Annual Dividend Per Share]] / 4) * SnapshotTable[[#This Row],[Equity Shares]]</f>
        <v>0</v>
      </c>
      <c r="AF221" s="31">
        <f>SnapshotTable[[#This Row],[Quarterly Div $]] * 4</f>
        <v>0</v>
      </c>
      <c r="AG221" s="7">
        <f>IF(SnapshotTable[[#This Row],[Annual Dividend Per Share]]&gt;0, SnapshotTable[[#This Row],[Annual Dividend Per Share]]  / SnapshotTable[[#This Row],[Last Price]], 0)</f>
        <v>8.3420229405630868E-3</v>
      </c>
      <c r="AH221" s="151">
        <v>42957</v>
      </c>
      <c r="AI221" s="5"/>
      <c r="AJ221" s="138">
        <v>34.15</v>
      </c>
      <c r="AK221" s="152" t="str">
        <f>IF(ISNUMBER( SnapshotTable[[#This Row],[EBF Target]]),(SnapshotTable[[#This Row],[EBF Target]] - SnapshotTable[[#This Row],[Last Price]]) / SnapshotTable[[#This Row],[Last Price]], "")</f>
        <v/>
      </c>
      <c r="AL221" s="152" t="str">
        <f>IF(AND(SnapshotTable[[#This Row],[Equity Basis Total]] &gt; 0,ISNUMBER( SnapshotTable[[#This Row],[Long Term Target]])), SnapshotTable[[#This Row],[From Basis $]] / SnapshotTable[[#This Row],[Equity Basis Total]], "")</f>
        <v/>
      </c>
      <c r="AM221" s="9">
        <f>IF( AND(SnapshotTable[[#This Row],[Equity Shares]] &gt;0,ISNUMBER( SnapshotTable[[#This Row],[Long Term Target]])),(SnapshotTable[[#This Row],[Equity Shares]] * SnapshotTable[[#This Row],[Long Term Target]]) - SnapshotTable[[#This Row],[Equity Basis Total]],0)</f>
        <v>0</v>
      </c>
      <c r="AN221" s="9">
        <f>IF( AND(SnapshotTable[[#This Row],[Equity Shares]] &gt;0,ISNUMBER( SnapshotTable[[#This Row],[Long Term Target]])),(SnapshotTable[[#This Row],[Equity Shares]]*SnapshotTable[[#This Row],[Long Term Target]]) - SnapshotTable[[#This Row],[Equity Value]],0)</f>
        <v>0</v>
      </c>
      <c r="AO221" s="152">
        <f>IF(AND(ISNUMBER( SnapshotTable[[#This Row],[Long Term Target]]), ISNUMBER(SnapshotTable[[#This Row],[Last Price]])),(SnapshotTable[[#This Row],[Long Term Target]] - SnapshotTable[[#This Row],[Last Price]]) / SnapshotTable[[#This Row],[Last Price]], "")</f>
        <v>-0.40649982620785541</v>
      </c>
      <c r="AP221" s="5"/>
      <c r="AQ221" s="38"/>
      <c r="AR221" s="5"/>
      <c r="AS221" s="38"/>
      <c r="AT221" s="146"/>
      <c r="AU221" s="187" t="str">
        <f>IF(OR(SnapshotTable[[#This Row],[LP No Fill]]="Y",SnapshotTable[[#This Row],[SP Is Filled]],SnapshotTable[[#This Row],[LC Not Filled]]="Y",SnapshotTable[[#This Row],[SC Is Filled]]),"Y","")</f>
        <v/>
      </c>
      <c r="AV221" s="219"/>
      <c r="AW221" s="225"/>
      <c r="AX221" s="220"/>
      <c r="AY221" s="219" t="str">
        <f>IF(SnapshotTable[[#This Row],[Implied Move]]&gt;0, SnapshotTable[[#This Row],[Last Price]]-SnapshotTable[[#This Row],[Implied Move]],"")</f>
        <v/>
      </c>
      <c r="AZ221" s="219" t="str">
        <f>IF(SnapshotTable[[#This Row],[Implied Move]]&gt;0, SnapshotTable[[#This Row],[Last Price]] + SnapshotTable[[#This Row],[Implied Move]],"")</f>
        <v/>
      </c>
      <c r="BA221" s="331"/>
      <c r="BB221" s="347"/>
      <c r="BC22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1" s="351"/>
      <c r="BE221" s="5"/>
      <c r="BF221" s="14"/>
      <c r="BG221" s="13"/>
      <c r="BH221" s="13"/>
      <c r="BI221" s="5"/>
      <c r="BJ221" s="136">
        <f>IF(SnapshotTable[[#This Row],[LP Qty]] &gt; 0, SnapshotTable[[#This Row],[LP Qty]] * SnapshotTable[[#This Row],[LP Book Price]] * 100,0)</f>
        <v>0</v>
      </c>
      <c r="BK221" s="136">
        <f>IF(SnapshotTable[[#This Row],[LP Premium]] &gt; 0, SnapshotTable[[#This Row],[LP Qty]] * SnapshotTable[[#This Row],[LP Strike Price]] * 100,0)</f>
        <v>0</v>
      </c>
      <c r="BL221" s="154"/>
      <c r="BM221" s="385" t="str">
        <f>IF(SnapshotTable[[#This Row],[LP Premium]] &gt; 0,SnapshotTable[[#This Row],[LP Exp Date]]-MAX(SnapshotTable[[#This Row],[LP Book Date]], SnapshotTable[[#This Row],[LP Fill Date]]),"")</f>
        <v/>
      </c>
      <c r="BN221" s="385" t="str">
        <f>IF(ISNUMBER( SnapshotTable[[#This Row],[LP Term]]), SnapshotTable[[#This Row],[LP Exp Date]] - MockToday,"")</f>
        <v/>
      </c>
      <c r="BO221" s="163" t="str">
        <f>IF(AND(SnapshotTable[[#This Row],[LP Exp Date]]&gt;0, SnapshotTable[[#This Row],[LP Strike Price]]&gt;0,SnapshotTable[[#This Row],[LP Qty]]&gt;0,SnapshotTable[[#This Row],[LP Book Date]]&gt;0,SnapshotTable[[#This Row],[LP Book Price]]&gt;0,SnapshotTable[[#This Row],[LP Fill Date]]=0),"Y","")</f>
        <v/>
      </c>
      <c r="BP221" s="31" t="str">
        <f>IF(AND(SnapshotTable[[#This Row],[LP No Fill]]&lt;&gt;"Y",SnapshotTable[[#This Row],[LP Contract Value]]&gt;0, SnapshotTable[[#This Row],[LP Qty]]&gt;0), SnapshotTable[[#This Row],[LP Contract Value]]*SnapshotTable[[#This Row],[LP Qty]]*100,"")</f>
        <v/>
      </c>
      <c r="BQ221" s="13"/>
      <c r="BR221" s="5" t="str">
        <f>IF(SnapshotTable[[#This Row],[SP Exp Date]]&lt;&gt;"",TRUNC(SnapshotTable[[#This Row],[Last Price]]),"")</f>
        <v/>
      </c>
      <c r="BS221" s="36"/>
      <c r="BT221" s="147"/>
      <c r="BU221" s="13"/>
      <c r="BV221" s="5"/>
      <c r="BW221" s="419" t="b">
        <f>AND(ISNUMBER(SnapshotTable[[#This Row],[SP Exp Date]]), ISNUMBER(SnapshotTable[[#This Row],[SP Strike Price]]), ISNUMBER(SnapshotTable[[#This Row],[SP Qty]]), ISNUMBER(SnapshotTable[[#This Row],[SP Book Date]]), ISNUMBER(SnapshotTable[[#This Row],[SP Book Price]]))</f>
        <v>0</v>
      </c>
      <c r="BX221" s="419" t="b">
        <f>AND(SnapshotTable[[#This Row],[SP Is Booked]], NOT(ISBLANK(SnapshotTable[[#This Row],[SP Fill Date]])))</f>
        <v>0</v>
      </c>
      <c r="BY221" s="33">
        <f>IF(SnapshotTable[[#This Row],[SP Is Booked]], SnapshotTable[[#This Row],[SP Qty]] * SnapshotTable[[#This Row],[SP Book Price]] * 100, 0)</f>
        <v>0</v>
      </c>
      <c r="BZ221" s="369"/>
      <c r="CA221" s="368">
        <f>SnapshotTable[[#This Row],[LP Qty]]</f>
        <v>0</v>
      </c>
      <c r="CB221" s="4" t="str">
        <f>IF(SnapshotTable[[#This Row],[SP Is Booked]], SnapshotTable[[#This Row],[SP Strike Price]] - SnapshotTable[[#This Row],[SP Book Price]], "")</f>
        <v/>
      </c>
      <c r="CC221" s="19" t="str">
        <f>IF(SnapshotTable[[#This Row],[SP Is Booked]],SnapshotTable[[#This Row],[SP Exp Date]]-MAX(SnapshotTable[[#This Row],[SP Book Date]], SnapshotTable[[#This Row],[SP Fill Date]]),"")</f>
        <v/>
      </c>
      <c r="CD221" s="7" t="str">
        <f>IF(SnapshotTable[[#This Row],[SP Is Booked]], SnapshotTable[[#This Row],[SP Book Price]]/SnapshotTable[[#This Row],[SP Strike Price]], "")</f>
        <v/>
      </c>
      <c r="CE221" s="7" t="str">
        <f>IF(ISNUMBER(SnapshotTable[[#This Row],[SP ROO Term]]),SnapshotTable[[#This Row],[SP ROO Term]]*(365/SnapshotTable[[#This Row],[SP Term]]),"")</f>
        <v/>
      </c>
      <c r="CF221" s="236">
        <f>SnapshotTable[[#This Row],[LP Strike Price]] * SnapshotTable[[#This Row],[LP Qty]] * 100</f>
        <v>0</v>
      </c>
      <c r="CG221" s="31" t="e">
        <f>IF(ISNUMBER(SnapshotTable[[#This Row],[SP Premium]]), (SnapshotTable[[#This Row],[SP Qty]] * SnapshotTable[[#This Row],[SP Strike Price]]* 100) - SnapshotTable[[#This Row],[LP Protection]], 0)</f>
        <v>#VALUE!</v>
      </c>
      <c r="CH221" s="7" t="str">
        <f>IF(ISNUMBER(SnapshotTable[[#This Row],[SP Break Even]]),-1 * (SnapshotTable[[#This Row],[SP Break Even]] - SnapshotTable[[#This Row],[Last Price]]) / SnapshotTable[[#This Row],[Last Price]], "")</f>
        <v/>
      </c>
      <c r="CI221" s="31">
        <f>IF(AND(ISNUMBER((SnapshotTable[[#This Row],[SP Potential Spend]])), SnapshotTable[[#This Row],[SP Strike Price]] &gt; SnapshotTable[[#This Row],[Last Price]], SnapshotTable[[#This Row],[SP Is Filled]]), SnapshotTable[[#This Row],[SP Potential Spend]] -  SnapshotTable[[#This Row],[LP Max Value]], 0)</f>
        <v>0</v>
      </c>
      <c r="CJ221" s="244"/>
      <c r="CK221" s="31" t="str">
        <f>IF(ISNUMBER(SnapshotTable[[#This Row],[SP Potential Spend]]),IF(ISNUMBER(SnapshotTable[[#This Row],[SP POW]]), SnapshotTable[[#This Row],[SP POW]] * SnapshotTable[[#This Row],[SP Potential Spend]], SnapshotTable[[#This Row],[SP Potential Spend]]), "")</f>
        <v/>
      </c>
      <c r="CL221" s="164" t="e">
        <f>IF(NOT(SnapshotTable[[#This Row],[SP Is Filled]]),(SnapshotTable[[#This Row],[SP Qty]] * SnapshotTable[[#This Row],[SP Strike Price]] * 100) - SnapshotTable[[#This Row],[LP Max Value]],"")</f>
        <v>#VALUE!</v>
      </c>
      <c r="CM221" s="31" t="str">
        <f>IF(SnapshotTable[[#This Row],[SP Actual Spend]]&lt;&gt;0, ((SnapshotTable[[#This Row],[SP Strike Price]]-SnapshotTable[[#This Row],[Last Price]]) *(SnapshotTable[[#This Row],[SP Qty]]*100) - SnapshotTable[[#This Row],[SP Premium]]) * - 1, "")</f>
        <v/>
      </c>
      <c r="CN221" s="78"/>
      <c r="CO221" s="369"/>
      <c r="CP221" s="4" t="str">
        <f>IF(SnapshotTable[[#This Row],[SP Is Filled]], btc_max_buyback_amount(SnapshotTable[[#This Row],[SP Fill Date]],SnapshotTable[[#This Row],[SP Exp Date]], SnapshotTable[[#This Row],[SP Book Price]]),"")</f>
        <v/>
      </c>
      <c r="CQ221" s="78"/>
      <c r="CR22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1" s="155" t="str">
        <f>IF(SnapshotTable[[#This Row],[SP Is Filled]], btc_next_cutoff_date(SnapshotTable[[#This Row],[SP Fill Date]],SnapshotTable[[#This Row],[SP Exp Date]]),"")</f>
        <v/>
      </c>
      <c r="CT221" s="235" t="str" cm="1">
        <f t="array" ref="CT221">IF(SnapshotTable[[#This Row],[SP Is Filled]], btc_should_buy_back(SnapshotTable[[#This Row],[SP Fill Date]], SnapshotTable[[#This Row],[SP Exp Date]], SnapshotTable[[#This Row],[SP Book Price]], SnapshotTable[[#This Row],[SP Current Ask]], MockToday, SnapshotTable[[#This Row],[SP Buyback Override]]),"")</f>
        <v/>
      </c>
      <c r="CU221" s="143"/>
      <c r="CV221" s="235"/>
      <c r="CW221" s="378" t="str">
        <f>IF(ISNUMBER( SnapshotTable[[#This Row],[SP Term]]), SnapshotTable[[#This Row],[SP Exp Date]] - MockToday,"")</f>
        <v/>
      </c>
      <c r="CX221" s="31" t="str">
        <f>IF(SnapshotTable[[#This Row],[SP Is Filled]],SnapshotTable[[#This Row],[SP Buyback Price to Use]] * 100 * SnapshotTable[[#This Row],[SP Qty]], "")</f>
        <v/>
      </c>
      <c r="CY221" s="4" t="str">
        <f>IF(ISNUMBER(SnapshotTable[[#This Row],[SP Strike Price]]), SnapshotTable[[#This Row],[SP Strike Price]] * (1 - SP_MaxLoss_StrikePct), "")</f>
        <v/>
      </c>
      <c r="CZ221" s="31" t="str">
        <f>IF(ISNUMBER(SnapshotTable[[#This Row],[SP Strike  Stop Per Share]]),SnapshotTable[[#This Row],[SP Premium]] - ((SnapshotTable[[#This Row],[SP Strike Price]]-SnapshotTable[[#This Row],[SP Strike  Stop Per Share]]) *(SnapshotTable[[#This Row],[SP Qty]] * 100)),"")</f>
        <v/>
      </c>
      <c r="DA221" s="4" t="str">
        <f>IF(AND(ISNUMBER(SnapshotTable[[#This Row],[SP Premium]]),SnapshotTable[[#This Row],[SP Premium]]&gt;0), SnapshotTable[[#This Row],[SP Book Price]] * (1 + SP_MaxLoss_OptionPct), "")</f>
        <v/>
      </c>
      <c r="DB221" s="31" t="str">
        <f>IF(ISNUMBER(SnapshotTable[[#This Row],[SP Option  Stop Contract]]),(SnapshotTable[[#This Row],[SP Option  Stop Contract]] *(SnapshotTable[[#This Row],[SP Qty]] * 100) - SnapshotTable[[#This Row],[SP Premium]]),"")</f>
        <v/>
      </c>
      <c r="DC221" s="4"/>
      <c r="DD221" s="4"/>
      <c r="DE221" s="4" t="str">
        <f>IF(AND(SnapshotTable[[#This Row],[SP Qty]]&gt;0, SnapshotTable[[#This Row],[SP Stop To Use]]&gt;0),SnapshotTable[[#This Row],[SP Premium]] - ( SnapshotTable[[#This Row],[SP Qty]] * SnapshotTable[[#This Row],[SP Stop To Use]] * 100), "")</f>
        <v/>
      </c>
      <c r="DF221" s="31" t="str">
        <f>IF(AND(SnapshotTable[[#This Row],[SP Qty]]&gt;0,SnapshotTable[[#This Row],[SP Current Ask]]&gt;0), SnapshotTable[[#This Row],[SP Qty]] * SnapshotTable[[#This Row],[SP Current Ask]] * -100, "")</f>
        <v/>
      </c>
      <c r="DG221" s="31" t="str">
        <f>IF(ISNUMBER((SnapshotTable[[#This Row],[SP Total Value]])), SnapshotTable[[#This Row],[SP Premium]] + SnapshotTable[[#This Row],[SP Total Value]], "")</f>
        <v/>
      </c>
      <c r="DH221" s="294" t="str">
        <f>IF(ISNUMBER((SnapshotTable[[#This Row],[SP Total Value]])), SnapshotTable[[#This Row],[SP Gain Loss]] / SnapshotTable[[#This Row],[SP Premium]], "")</f>
        <v/>
      </c>
      <c r="DI221" s="406"/>
      <c r="DJ221" s="138"/>
      <c r="DK221" s="148"/>
      <c r="DL221" s="13"/>
      <c r="DM221" s="13"/>
      <c r="DO221" s="31">
        <f>IF(SnapshotTable[[#This Row],[LC Symbol Count]]=1, SnapshotTable[[#This Row],[LC Qty]] * SnapshotTable[[#This Row],[LC Book Price]] * 100, 0)</f>
        <v>0</v>
      </c>
      <c r="DP221" s="163" t="str">
        <f>IF(AND(SnapshotTable[[#This Row],[LC Exp Date]]&gt;0, SnapshotTable[[#This Row],[LC Strike Price]]&gt;0,SnapshotTable[[#This Row],[LC Qty]]&gt;0,SnapshotTable[[#This Row],[LC Book Date]]&gt;0,SnapshotTable[[#This Row],[LC Book Price]]&gt;0,SnapshotTable[[#This Row],[LC Fill Date]]=0),"Y","")</f>
        <v/>
      </c>
      <c r="DQ221" s="386" t="str">
        <f>IF(SnapshotTable[[#This Row],[LC Premium]] &gt; 0,SnapshotTable[[#This Row],[LC Exp Date]]-MAX(SnapshotTable[[#This Row],[LC Book Date]], SnapshotTable[[#This Row],[LC Fill Date]]),"")</f>
        <v/>
      </c>
      <c r="DR221" s="386" t="str">
        <f>IF(ISNUMBER(SnapshotTable[[#This Row],[LC Term]]), SnapshotTable[[#This Row],[LC Exp Date]] - MockToday, "")</f>
        <v/>
      </c>
      <c r="DS221" s="234" t="str">
        <f>IF(SnapshotTable[[#This Row],[LC Premium]]&gt;0,SnapshotTable[[#This Row],[LC Strike Price]] + SnapshotTable[[#This Row],[LC Book Price]],"")</f>
        <v/>
      </c>
      <c r="DU221" s="9" t="str">
        <f>IF(AND(SnapshotTable[[#This Row],[LC Symbol Count]]&gt;0, SnapshotTable[[#This Row],[LC Contract Value]]&gt;0), SnapshotTable[[#This Row],[LC Contract Value]] * SnapshotTable[[#This Row],[LC Qty]] * 100, "")</f>
        <v/>
      </c>
      <c r="DV221" s="9" t="str">
        <f>IF(AND(ISNUMBER(SnapshotTable[[#This Row],[LC Total Value]]), SnapshotTable[[#This Row],[LC Not Filled]]&lt;&gt;"Y"), SnapshotTable[[#This Row],[LC Total Value]]-SnapshotTable[[#This Row],[LC Premium]],"")</f>
        <v/>
      </c>
      <c r="DW221" s="240" t="str">
        <f>IF(ISNUMBER(SnapshotTable[[#This Row],[LC Actual Gain Loss]]), SnapshotTable[[#This Row],[LC Actual Gain Loss]] / SnapshotTable[[#This Row],[LC Premium]],"")</f>
        <v/>
      </c>
      <c r="DX221" s="284" t="str">
        <f>IF(ISNUMBER(SnapshotTable[[#This Row],[LC Book Price]]),SnapshotTable[[#This Row],[LC Book Price]] * 1.5,"")</f>
        <v/>
      </c>
      <c r="DY221" s="265" t="str">
        <f>IF(SnapshotTable[[#This Row],[LC Premium]]&gt;0, SnapshotTable[[#This Row],[LC Next Target]] * SnapshotTable[[#This Row],[LC Qty]] * 100,"")</f>
        <v/>
      </c>
      <c r="DZ221" s="265" t="str">
        <f>IF(ISNUMBER(SnapshotTable[[#This Row],[LC Target Gross]]), SnapshotTable[[#This Row],[LC Target Gross]] - SnapshotTable[[#This Row],[LC Premium]], "")</f>
        <v/>
      </c>
      <c r="EA221" s="305" t="str">
        <f>IF(ISNUMBER(SnapshotTable[[#This Row],[LC Target Gain Loss]]), SnapshotTable[[#This Row],[LC Target Gain Loss]]/SnapshotTable[[#This Row],[LC Premium]], "")</f>
        <v/>
      </c>
      <c r="EB221" s="262"/>
      <c r="EC221" s="283" t="str">
        <f>IF(SnapshotTable[[#This Row],[LC Premium]]&gt;0, SnapshotTable[[#This Row],[LC Book Price]] * (1 - LC_StopLoss_Pct),"")</f>
        <v/>
      </c>
      <c r="ED221" s="284"/>
      <c r="EE221" s="283" t="str">
        <f>IF(ISNUMBER(SnapshotTable[[#This Row],[LC Contract Value]]),IF(ISNUMBER(SnapshotTable[[#This Row],[LC Stop Loss Override]]), SnapshotTable[[#This Row],[LC Stop Loss Override]],SnapshotTable[[#This Row],[LC Stop Loss Calc Target]]),"")</f>
        <v/>
      </c>
      <c r="EF221" s="31" t="str">
        <f>IF(ISNUMBER(SnapshotTable[[#This Row],[LC Stop  To Use]]), (SnapshotTable[[#This Row],[LC Stop  To Use]] * SnapshotTable[[#This Row],[LC Qty]] * 100),"")</f>
        <v/>
      </c>
      <c r="EG221" s="9" t="str">
        <f>IF(ISNUMBER(SnapshotTable[[#This Row],[LC Total Value]]),SnapshotTable[[#This Row],[LC Stop Loss Amount]] - SnapshotTable[[#This Row],[LC Premium]],"")</f>
        <v/>
      </c>
      <c r="EH221" s="9">
        <f>IF(ISNUMBER(SnapshotTable[[#This Row],[LC Premium]]), SnapshotTable[[#This Row],[LC Qty]] * 100 * SnapshotTable[[#This Row],[LC Strike Price]], "")</f>
        <v>0</v>
      </c>
      <c r="EI221" s="240" t="str">
        <f>IF(AND(ISNUMBER(SnapshotTable[[#This Row],[LC Total Value]]),SnapshotTable[[#This Row],[LC Total Value]]&gt;0),SnapshotTable[[#This Row],[LC Stop Gain Loss]]  / SnapshotTable[[#This Row],[LC Premium]],"")</f>
        <v/>
      </c>
      <c r="EJ221" s="35">
        <f>IF(ISNUMBER(SnapshotTable[[#This Row],[Equity Shares]]),TRUNC(SnapshotTable[[#This Row],[Equity Shares]] / 100),0) + SnapshotTable[[#This Row],[LC Qty]]</f>
        <v>0</v>
      </c>
      <c r="EK221" s="147"/>
      <c r="EL221" s="138" t="str">
        <f>IF(SnapshotTable[[#This Row],[SC Exp Date]]&lt;&gt;"",TRUNC(SnapshotTable[[#This Row],[Last Price]]),"")</f>
        <v/>
      </c>
      <c r="EM221" s="148"/>
      <c r="EN221" s="147"/>
      <c r="EO221" s="147"/>
      <c r="EP221" s="138"/>
      <c r="EQ221" s="419" t="b">
        <f>AND(ISNUMBER(SnapshotTable[[#This Row],[SC Exp Date]]), ISNUMBER(SnapshotTable[[#This Row],[SC Strike Price]]), ISNUMBER(SnapshotTable[[#This Row],[SC Qty]]), ISNUMBER(SnapshotTable[[#This Row],[SC Book Date]]), ISNUMBER(SnapshotTable[[#This Row],[SC Book Price]]))</f>
        <v>0</v>
      </c>
      <c r="ER221" s="419" t="b">
        <f>AND(SnapshotTable[[#This Row],[SC Is Booked]], NOT(ISBLANK(SnapshotTable[[#This Row],[SC Fill Date]])))</f>
        <v>0</v>
      </c>
      <c r="ES221" s="370"/>
      <c r="ET221" s="34" t="str">
        <f>IF(AND(ISNUMBER(SnapshotTable[[#This Row],[SC Exp Date]]), ISNUMBER(SnapshotTable[[#This Row],[SC Book Date]])), SnapshotTable[[#This Row],[SC Exp Date]] - MAX(SnapshotTable[[#This Row],[SC Book Date]], SnapshotTable[[#This Row],[SC Fill Date]]) + 1, "")</f>
        <v/>
      </c>
      <c r="EU221" s="34" t="str">
        <f>IF(ISNUMBER(SnapshotTable[[#This Row],[SC Term]]), SnapshotTable[[#This Row],[SC Exp Date]]- MockToday, "")</f>
        <v/>
      </c>
      <c r="EV221" s="31">
        <f>IF(SnapshotTable[[#This Row],[SC Is Booked]], SnapshotTable[[#This Row],[SC Qty]] * SnapshotTable[[#This Row],[SC Book Price]] * 100, 0)</f>
        <v>0</v>
      </c>
      <c r="EW221" s="4" t="str">
        <f>IF(AND(ISNUMBER(SnapshotTable[[#This Row],[Last Price]]), ISNUMBER( SnapshotTable[[#This Row],[SC Book Price]])), SnapshotTable[[#This Row],[Last Price]] - SnapshotTable[[#This Row],[SC Book Price]],"")</f>
        <v/>
      </c>
      <c r="EX221" s="234" t="str">
        <f>IF(SnapshotTable[[#This Row],[SC Is Booked]],IF(SnapshotTable[[#This Row],[SC Intrinsic Value]] &gt; 0, SnapshotTable[[#This Row],[SC Strike Price]], SnapshotTable[[#This Row],[Last Price]]), "")</f>
        <v/>
      </c>
      <c r="EY221" s="4">
        <f>IF(SnapshotTable[[#This Row],[SC Is Booked]], (MinimumPremiumRequired * SnapshotTable[[#This Row],[SC Basis]] * SnapshotTable[[#This Row],[SC Term]]), 0)</f>
        <v>0</v>
      </c>
      <c r="EZ221" s="283"/>
      <c r="FA221" s="218"/>
      <c r="FB221" s="370"/>
      <c r="FC221" s="4">
        <f>IF(SnapshotTable[[#This Row],[SC Is Filled]], btc_max_buyback_amount(SnapshotTable[[#This Row],[SC Fill Date]],SnapshotTable[[#This Row],[SC Exp Date]], SnapshotTable[[#This Row],[SC Book Price]]),0)</f>
        <v>0</v>
      </c>
      <c r="FD221" s="5"/>
      <c r="FE221" s="144" t="str">
        <f>IF(SnapshotTable[[#This Row],[SC Is Filled]], btc_next_cutoff_date(SnapshotTable[[#This Row],[SC Fill Date]],SnapshotTable[[#This Row],[SC Exp Date]]),"")</f>
        <v/>
      </c>
      <c r="FF221" s="4" t="str" cm="1">
        <f t="array" ref="FF221">IF(SnapshotTable[[#This Row],[SC Is Filled]], btc_should_buy_back(SnapshotTable[[#This Row],[SC Fill Date]], SnapshotTable[[#This Row],[SC Exp Date]], SnapshotTable[[#This Row],[SC Book Price]], SnapshotTable[[#This Row],[SC Current Ask]], MockToday, SnapshotTable[[#This Row],[SC Buyback Override]]),"")</f>
        <v/>
      </c>
      <c r="FG221" s="4">
        <f>IF(SnapshotTable[[#This Row],[SC Is Filled]], MAX(0,SnapshotTable[[#This Row],[Last Price]]  - SnapshotTable[[#This Row],[SC Strike Price]]), 0)</f>
        <v>0</v>
      </c>
      <c r="FH221" s="382">
        <f>IF(SnapshotTable[[#This Row],[SC Is Filled]], IF(ISNUMBER(SnapshotTable[[#This Row],[SC Current Ask]]), SnapshotTable[[#This Row],[SC Current Ask]], SnapshotTable[[#This Row],[SC Book Price]]) - SnapshotTable[[#This Row],[SC Intrinsic Value]], 0)</f>
        <v>0</v>
      </c>
      <c r="FI221" s="143"/>
      <c r="FJ221" s="32" t="str">
        <f>IF(SnapshotTable[[#This Row],[SC Is Filled]],100 * SnapshotTable[[#This Row],[SC Qty]] * IF(ISNUMBER(SnapshotTable[[#This Row],[SC Buyback Override]]), SnapshotTable[[#This Row],[SC Buyback Override]], SnapshotTable[[#This Row],[SC Current Ask]]), "")</f>
        <v/>
      </c>
      <c r="FK221" s="250" t="str">
        <f>IF(SnapshotTable[[#This Row],[SC Time Val]]&gt;0, SnapshotTable[[#This Row],[SC Time Val]] / SnapshotTable[[#This Row],[Last Price]],"")</f>
        <v/>
      </c>
      <c r="FL221" s="302" t="str">
        <f>IF(SnapshotTable[[#This Row],[SC Is Booked]], ((SnapshotTable[[#This Row],[Last Price]] -SnapshotTable[[#This Row],[SC Strike Price]]) / SnapshotTable[[#This Row],[Last Price]]) * -1, "")</f>
        <v/>
      </c>
      <c r="FM221" s="157" t="str">
        <f>IF(SnapshotTable[[#This Row],[SC Is Booked]],  (SnapshotTable[[#This Row],[SC Qty]] * 100 * SnapshotTable[[#This Row],[SC Strike Price]]) - SnapshotTable[[#This Row],[SC Current Ask]], "")</f>
        <v/>
      </c>
      <c r="FN22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1" s="31" t="str">
        <f>IF(AND(ISNUMBER(SnapshotTable[[#This Row],[SC Exercise Gross]]), ISNUMBER(SnapshotTable[[#This Row],[Equity Basis Per Share]] )), SnapshotTable[[#This Row],[SC Exercise Gross]] - SnapshotTable[[#This Row],[Equity Basis Total]] +  SnapshotTable[[#This Row],[SC Premium]], "")</f>
        <v/>
      </c>
      <c r="FP221" s="5" t="str">
        <f>IF(ISNUMBER(SnapshotTable[[#This Row],[SC Exercise Gross]]), (SnapshotTable[[#This Row],[SC Exercise Gross]]) / (SnapshotTable[[#This Row],[SC Qty]] * 100), "")</f>
        <v/>
      </c>
      <c r="FQ221" s="27" t="str">
        <f>IF(SnapshotTable[[#This Row],[SC Is Booked]],SnapshotTable[[#This Row],[SC Time Val]] /SnapshotTable[[#This Row],[SC Basis]], "")</f>
        <v/>
      </c>
      <c r="FR221" s="27" t="str" cm="1">
        <f t="array" ref="FR221">IF(AND(ISNUMBER(SnapshotTable[[#This Row],[SC Term]]),ISNUMBER(SnapshotTable[[#This Row],[SC Simple ROO]])), EllmanAnnualize(SnapshotTable[[#This Row],[SC DTE]], SnapshotTable[[#This Row],[SC Simple ROO]] ),"")</f>
        <v/>
      </c>
      <c r="FS221" s="4" t="e">
        <f>IF(SnapshotTable[[#This Row],[SC Strike Price]] &gt; SnapshotTable[[#This Row],[Last Price]], SnapshotTable[[#This Row],[SC Strike Price]] - SnapshotTable[[#This Row],[Last Price]],0)</f>
        <v>#VALUE!</v>
      </c>
      <c r="FT221" s="27" t="e">
        <f>IF(AND(ISNUMBER(SnapshotTable[[#This Row],[SC Upside Potential]]), SnapshotTable[[#This Row],[SC Upside Potential]] &gt; 0),(SnapshotTable[[#This Row],[SC Upside Potential]]/ SnapshotTable[[#This Row],[ACB]]),"")</f>
        <v>#VALUE!</v>
      </c>
      <c r="FU221" s="333" t="str">
        <f>IF(SnapshotTable[[#This Row],[SC Intrinsic Value]] &gt; 0,SnapshotTable[[#This Row],[SC Intrinsic Value]],"")</f>
        <v/>
      </c>
      <c r="FV221" s="27" t="str">
        <f>IF(AND( ISNUMBER( SnapshotTable[[#This Row],[ACB]]),ISNUMBER(SnapshotTable[[#This Row],[SC Downside Protect]])),SnapshotTable[[#This Row],[SC Downside Protect]] / SnapshotTable[[#This Row],[ACB]],"")</f>
        <v/>
      </c>
      <c r="FW221" s="236" t="str">
        <f>IF(AND(ISNUMBER(SnapshotTable[[#This Row],[SC Simple ROO]]),SnapshotTable[[#This Row],[SC Simple ROO]] &gt; 0), SnapshotTable[[#This Row],[SC Premium]] + (SnapshotTable[[#This Row],[SC Qty]] * SnapshotTable[[#This Row],[SC Upside Potential]]), "")</f>
        <v/>
      </c>
      <c r="FX221" s="302" t="str" cm="1">
        <f t="array" ref="FX221">IF(ISNUMBER(SnapshotTable[[#This Row],[SC Max Dollars]]), annualize(SnapshotTable[[#This Row],[SC Term]],(SnapshotTable[[#This Row],[SC Max Dollars]]/SnapshotTable[[#This Row],[SC Basis]])),"")</f>
        <v/>
      </c>
      <c r="FY221" s="236" t="str">
        <f>IF(AND(SnapshotTable[[#This Row],[SC Qty]]&gt;0,SnapshotTable[[#This Row],[SC Current Ask]]&gt;0), SnapshotTable[[#This Row],[SC Qty]] * SnapshotTable[[#This Row],[SC Current Ask]] * -100, "")</f>
        <v/>
      </c>
      <c r="FZ221" s="31" t="str">
        <f>IF(ISNUMBER((SnapshotTable[[#This Row],[SC Current Value]])), SnapshotTable[[#This Row],[SC Premium]] + SnapshotTable[[#This Row],[SC Current Value]], "")</f>
        <v/>
      </c>
      <c r="GA221" s="294" t="str">
        <f>IFERROR( IF(ISNUMBER((SnapshotTable[[#This Row],[SC Current Value]])), SnapshotTable[[#This Row],[SC Gain Loss]] / SnapshotTable[[#This Row],[SC Premium]], ""), "")</f>
        <v/>
      </c>
      <c r="GB221" s="42">
        <f>SnapshotTable[[#This Row],[Equity Shares]] * SaleSharesToConsiderPercentage</f>
        <v>0</v>
      </c>
      <c r="GC221" s="40">
        <f>SnapshotTable[[#This Row],[Long Term Target]] * SellingPriceToConsiderBasedOnTargetPercentage</f>
        <v>32.442499999999995</v>
      </c>
      <c r="GD221" s="40">
        <f>SnapshotTable[[#This Row],[Last Price]] * (1+ SellingPriceToConsiderBasedOnTargetPercentage)</f>
        <v>112.20299999999999</v>
      </c>
      <c r="GE221" s="41"/>
      <c r="GF221" s="40"/>
      <c r="GG221" s="31">
        <f>SnapshotTable[[#This Row],[Booked Sale Shares]] * SnapshotTable[[#This Row],[Booked Sale Price]]</f>
        <v>0</v>
      </c>
      <c r="GH221" s="31" t="str">
        <f>IF(SnapshotTable[[#This Row],[Equity Basis Total]] &gt; 0, SnapshotTable[[#This Row],[Equity Basis Per Share]] * SnapshotTable[[#This Row],[Booked Sale Shares]], "")</f>
        <v/>
      </c>
      <c r="GI221" s="31">
        <f>IF(SnapshotTable[[#This Row],[Sale Proceeds]]&gt;0, SnapshotTable[[#This Row],[Sale Proceeds]] - SnapshotTable[[#This Row],[Sale Basis]], 0)</f>
        <v>0</v>
      </c>
      <c r="GJ221" s="27" t="str">
        <f>IF(SnapshotTable[[#This Row],[Sale G/L]]&gt;0, SnapshotTable[[#This Row],[Sale G/L]] / SnapshotTable[[#This Row],[Sale Basis]], IF(ISNUMBER(SnapshotTable[[#This Row],[SC Exercise P&amp;L (TAX)]]), SnapshotTable[[#This Row],[SC Exercise P&amp;L (TAX)]] / SnapshotTable[[#This Row],[SC Basis]], ""))</f>
        <v/>
      </c>
      <c r="GK221" s="27" t="s">
        <v>734</v>
      </c>
      <c r="GL221" s="43" t="str">
        <f>IF(AND(SnapshotTable[[#This Row],[LP Exp Date]]&gt;0,SnapshotTable[[#This Row],[LP Strike Price]]&gt;0), [1]!ToOptionSymbol(SnapshotTable[[#This Row],[Symbol]], SnapshotTable[[#This Row],[LP Strike Price]],SnapshotTable[[#This Row],[LP Exp Date]],1), "")</f>
        <v/>
      </c>
      <c r="GM221" s="30" t="str">
        <f>IF(LEN(SnapshotTable[[#This Row],[LP Symbol]])&gt;0, 1, "")</f>
        <v/>
      </c>
      <c r="GN221" s="43" t="str">
        <f>IF(AND(SnapshotTable[[#This Row],[SP Exp Date]]&gt;0,SnapshotTable[[#This Row],[SP Strike Price]]&gt;0), [1]!ToOptionSymbol(SnapshotTable[[#This Row],[Symbol]], SnapshotTable[[#This Row],[SP Strike Price]],SnapshotTable[[#This Row],[SP Exp Date]],1), "")</f>
        <v/>
      </c>
      <c r="GO221" s="30" t="str">
        <f>IF(LEN(SnapshotTable[[#This Row],[SP Symbol]])&gt;0, 1, "")</f>
        <v/>
      </c>
      <c r="GP221" s="43" t="str">
        <f>IF(AND(SnapshotTable[[#This Row],[LC Exp Date]]&gt;0,SnapshotTable[[#This Row],[LC Strike Price]]&gt;0), [1]!ToOptionSymbol(SnapshotTable[[#This Row],[Symbol]], SnapshotTable[[#This Row],[LC Strike Price]],SnapshotTable[[#This Row],[LC Exp Date]],0), "")</f>
        <v/>
      </c>
      <c r="GQ221" s="30" t="str">
        <f>IF(LEN(SnapshotTable[[#This Row],[LC Symbol]])&gt;0, 1, "")</f>
        <v/>
      </c>
      <c r="GR221" s="43" t="str">
        <f>IF(AND(SnapshotTable[[#This Row],[SC Exp Date]]&gt;0,SnapshotTable[[#This Row],[SC Strike Price]]&gt;0), [1]!ToOptionSymbol(SnapshotTable[[#This Row],[Symbol]], SnapshotTable[[#This Row],[SC Strike Price]],SnapshotTable[[#This Row],[SC Exp Date]],0), "")</f>
        <v/>
      </c>
      <c r="GS221" s="30" t="str">
        <f>IF(LEN(SnapshotTable[[#This Row],[SC Symbol]])&gt;0, 1, "")</f>
        <v/>
      </c>
      <c r="GT221" s="29" t="str">
        <f>IF(COUNT(SnapshotTable[[#This Row],[LP Symbol Count]],SnapshotTable[[#This Row],[SP Symbol Count]],SnapshotTable[[#This Row],[LC Symbol Count]],SnapshotTable[[#This Row],[SC Symbol Count]])&gt;0, "Y", "")</f>
        <v/>
      </c>
      <c r="GU22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1" s="231" t="e">
        <f>MAX(SnapshotTable[[#This Row],[Equity Basis Total]],SnapshotTable[[#This Row],[Equity Value]]) + (SnapshotTable[[#This Row],[SP Potential Spend]]- SnapshotTable[[#This Row],[SP Premium]] + SnapshotTable[[#This Row],[LP Premium]])+ (SnapshotTable[[#This Row],[LC Premium]] - SnapshotTable[[#This Row],[SC Premium]])</f>
        <v>#VALUE!</v>
      </c>
      <c r="GW221" s="139" t="e">
        <f>IF(AND(SnapshotTable[[#This Row],[Exposure]] &lt;&gt; 0),SnapshotTable[[#This Row],[Exposure]] / SnapshotTable[[#Totals],[Exposure]], "")</f>
        <v>#VALUE!</v>
      </c>
      <c r="GX221" s="5"/>
      <c r="HE221" s="268"/>
      <c r="HF221" s="268"/>
      <c r="HK221" s="1"/>
      <c r="HL221" s="1"/>
      <c r="HM221" s="1"/>
      <c r="HN221" s="1"/>
      <c r="HO221" s="1"/>
      <c r="HP221" s="1"/>
    </row>
    <row r="222" spans="2:224" ht="12.75" hidden="1" customHeight="1" x14ac:dyDescent="0.25">
      <c r="B222" s="12" t="s">
        <v>1091</v>
      </c>
      <c r="C222" s="422">
        <v>75.599999999999994</v>
      </c>
      <c r="D222" s="208"/>
      <c r="E222" s="39">
        <f>SnapshotTable[[#This Row],[Last Price]]*(1 -CrashDiscount)</f>
        <v>64.259999999999991</v>
      </c>
      <c r="F222" s="26" t="s">
        <v>5</v>
      </c>
      <c r="G222" s="26" t="s">
        <v>4</v>
      </c>
      <c r="H222" s="149"/>
      <c r="I222" s="194"/>
      <c r="J222" s="195"/>
      <c r="K222" s="196"/>
      <c r="L222" s="326"/>
      <c r="M222" s="140"/>
      <c r="N222" s="140"/>
      <c r="O222" s="140"/>
      <c r="P222" s="22"/>
      <c r="Q222" s="25"/>
      <c r="R222" s="4" t="str">
        <f>IF(SnapshotTable[[#This Row],[Equity Basis Total]] &gt; 0, SnapshotTable[[#This Row],[Equity Basis Total]] / SnapshotTable[[#This Row],[Equity Shares]], "")</f>
        <v/>
      </c>
      <c r="S222" s="269">
        <f>SnapshotTable[[#This Row],[Last Price]] * SnapshotTable[[#This Row],[Equity Shares]]</f>
        <v>0</v>
      </c>
      <c r="T222" s="269">
        <f>SnapshotTable[[#This Row],[Equity Value]] - SnapshotTable[[#This Row],[Equity Basis Total]]</f>
        <v>0</v>
      </c>
      <c r="U222" s="270" t="str">
        <f>IF(SnapshotTable[[#This Row],[Equity Basis Total]] &gt; 0, SnapshotTable[[#This Row],[Equity G/L]] / SnapshotTable[[#This Row],[Equity Basis Total]], "")</f>
        <v/>
      </c>
      <c r="V222" s="268"/>
      <c r="W222" s="268"/>
      <c r="X222" s="4" t="str">
        <f>IF(AND(ISNUMBER(SnapshotTable[[#This Row],[Equity Basis Per Share]]),ISNUMBER(SnapshotTable[[#This Row],[Equity Target]])),SnapshotTable[[#This Row],[Equity Target]]-SnapshotTable[[#This Row],[Equity Basis Per Share]],"")</f>
        <v/>
      </c>
      <c r="Y222" s="4" t="str">
        <f>IF(AND(ISNUMBER(SnapshotTable[[#This Row],[Equity Basis Per Share]]),ISNUMBER(SnapshotTable[[#This Row],[Equity Stop Loss]])),SnapshotTable[[#This Row],[Equity Stop Loss]]-SnapshotTable[[#This Row],[Equity Basis Per Share]],"")</f>
        <v/>
      </c>
      <c r="Z222" s="275" t="str">
        <f>IFERROR( TEXT(SnapshotTable[[#This Row],[Equity Max Gain Per Share]] /ABS( SnapshotTable[[#This Row],[Equity Max Loss Per Share]]),"0.0 " ) &amp; " : 1", "")</f>
        <v/>
      </c>
      <c r="AA222" s="31" t="str">
        <f>IF(ISNUMBER(SnapshotTable[[#This Row],[Equity Max Gain Per Share]]),SnapshotTable[[#This Row],[Equity Max Gain Per Share]] * SnapshotTable[[#This Row],[Equity Shares]],"")</f>
        <v/>
      </c>
      <c r="AB222" s="31" t="str">
        <f>IF(ISNUMBER(SnapshotTable[[#This Row],[Equity Max Loss Per Share]]),SnapshotTable[[#This Row],[Equity Max Loss Per Share]] * SnapshotTable[[#This Row],[Equity Shares]],"")</f>
        <v/>
      </c>
      <c r="AC222" s="150"/>
      <c r="AD222" s="151"/>
      <c r="AE222" s="31">
        <f>(SnapshotTable[[#This Row],[Annual Dividend Per Share]] / 4) * SnapshotTable[[#This Row],[Equity Shares]]</f>
        <v>0</v>
      </c>
      <c r="AF222" s="31">
        <f>SnapshotTable[[#This Row],[Quarterly Div $]] * 4</f>
        <v>0</v>
      </c>
      <c r="AG222" s="7">
        <f>IF(SnapshotTable[[#This Row],[Annual Dividend Per Share]]&gt;0, SnapshotTable[[#This Row],[Annual Dividend Per Share]]  / SnapshotTable[[#This Row],[Last Price]], 0)</f>
        <v>0</v>
      </c>
      <c r="AH222" s="151"/>
      <c r="AI222" s="5"/>
      <c r="AJ222" s="138"/>
      <c r="AK222" s="152" t="str">
        <f>IF(ISNUMBER( SnapshotTable[[#This Row],[EBF Target]]),(SnapshotTable[[#This Row],[EBF Target]] - SnapshotTable[[#This Row],[Last Price]]) / SnapshotTable[[#This Row],[Last Price]], "")</f>
        <v/>
      </c>
      <c r="AL222" s="152" t="str">
        <f>IF(AND(SnapshotTable[[#This Row],[Equity Basis Total]] &gt; 0,ISNUMBER( SnapshotTable[[#This Row],[Long Term Target]])), SnapshotTable[[#This Row],[From Basis $]] / SnapshotTable[[#This Row],[Equity Basis Total]], "")</f>
        <v/>
      </c>
      <c r="AM222" s="9">
        <f>IF( AND(SnapshotTable[[#This Row],[Equity Shares]] &gt;0,ISNUMBER( SnapshotTable[[#This Row],[Long Term Target]])),(SnapshotTable[[#This Row],[Equity Shares]] * SnapshotTable[[#This Row],[Long Term Target]]) - SnapshotTable[[#This Row],[Equity Basis Total]],0)</f>
        <v>0</v>
      </c>
      <c r="AN222" s="9">
        <f>IF( AND(SnapshotTable[[#This Row],[Equity Shares]] &gt;0,ISNUMBER( SnapshotTable[[#This Row],[Long Term Target]])),(SnapshotTable[[#This Row],[Equity Shares]]*SnapshotTable[[#This Row],[Long Term Target]]) - SnapshotTable[[#This Row],[Equity Value]],0)</f>
        <v>0</v>
      </c>
      <c r="AO222" s="152" t="str">
        <f>IF(AND(ISNUMBER( SnapshotTable[[#This Row],[Long Term Target]]), ISNUMBER(SnapshotTable[[#This Row],[Last Price]])),(SnapshotTable[[#This Row],[Long Term Target]] - SnapshotTable[[#This Row],[Last Price]]) / SnapshotTable[[#This Row],[Last Price]], "")</f>
        <v/>
      </c>
      <c r="AP222" s="5">
        <v>44</v>
      </c>
      <c r="AQ222" s="38" t="s">
        <v>38</v>
      </c>
      <c r="AR222" s="5">
        <v>44</v>
      </c>
      <c r="AS222" s="38" t="s">
        <v>26</v>
      </c>
      <c r="AT222" s="146" t="s">
        <v>826</v>
      </c>
      <c r="AU222" s="187" t="str">
        <f>IF(OR(SnapshotTable[[#This Row],[LP No Fill]]="Y",SnapshotTable[[#This Row],[SP Is Filled]],SnapshotTable[[#This Row],[LC Not Filled]]="Y",SnapshotTable[[#This Row],[SC Is Filled]]),"Y","")</f>
        <v/>
      </c>
      <c r="AV222" s="219"/>
      <c r="AW222" s="225"/>
      <c r="AX222" s="220"/>
      <c r="AY222" s="219" t="str">
        <f>IF(SnapshotTable[[#This Row],[Implied Move]]&gt;0, SnapshotTable[[#This Row],[Last Price]]-SnapshotTable[[#This Row],[Implied Move]],"")</f>
        <v/>
      </c>
      <c r="AZ222" s="219" t="str">
        <f>IF(SnapshotTable[[#This Row],[Implied Move]]&gt;0, SnapshotTable[[#This Row],[Last Price]] + SnapshotTable[[#This Row],[Implied Move]],"")</f>
        <v/>
      </c>
      <c r="BA222" s="331">
        <v>5.68</v>
      </c>
      <c r="BB222" s="347"/>
      <c r="BC22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2" s="351"/>
      <c r="BE222" s="5"/>
      <c r="BF222" s="14"/>
      <c r="BG222" s="13"/>
      <c r="BH222" s="13"/>
      <c r="BI222" s="5"/>
      <c r="BJ222" s="136">
        <f>IF(SnapshotTable[[#This Row],[LP Qty]] &gt; 0, SnapshotTable[[#This Row],[LP Qty]] * SnapshotTable[[#This Row],[LP Book Price]] * 100,0)</f>
        <v>0</v>
      </c>
      <c r="BK222" s="136">
        <f>IF(SnapshotTable[[#This Row],[LP Premium]] &gt; 0, SnapshotTable[[#This Row],[LP Qty]] * SnapshotTable[[#This Row],[LP Strike Price]] * 100,0)</f>
        <v>0</v>
      </c>
      <c r="BL222" s="154"/>
      <c r="BM222" s="385" t="str">
        <f>IF(SnapshotTable[[#This Row],[LP Premium]] &gt; 0,SnapshotTable[[#This Row],[LP Exp Date]]-MAX(SnapshotTable[[#This Row],[LP Book Date]], SnapshotTable[[#This Row],[LP Fill Date]]),"")</f>
        <v/>
      </c>
      <c r="BN222" s="385" t="str">
        <f>IF(ISNUMBER( SnapshotTable[[#This Row],[LP Term]]), SnapshotTable[[#This Row],[LP Exp Date]] - MockToday,"")</f>
        <v/>
      </c>
      <c r="BO222" s="163" t="str">
        <f>IF(AND(SnapshotTable[[#This Row],[LP Exp Date]]&gt;0, SnapshotTable[[#This Row],[LP Strike Price]]&gt;0,SnapshotTable[[#This Row],[LP Qty]]&gt;0,SnapshotTable[[#This Row],[LP Book Date]]&gt;0,SnapshotTable[[#This Row],[LP Book Price]]&gt;0,SnapshotTable[[#This Row],[LP Fill Date]]=0),"Y","")</f>
        <v/>
      </c>
      <c r="BP222" s="31" t="str">
        <f>IF(AND(SnapshotTable[[#This Row],[LP No Fill]]&lt;&gt;"Y",SnapshotTable[[#This Row],[LP Contract Value]]&gt;0, SnapshotTable[[#This Row],[LP Qty]]&gt;0), SnapshotTable[[#This Row],[LP Contract Value]]*SnapshotTable[[#This Row],[LP Qty]]*100,"")</f>
        <v/>
      </c>
      <c r="BQ222" s="13"/>
      <c r="BR222" s="5" t="str">
        <f>IF(SnapshotTable[[#This Row],[SP Exp Date]]&lt;&gt;"",TRUNC(SnapshotTable[[#This Row],[Last Price]]),"")</f>
        <v/>
      </c>
      <c r="BS222" s="36"/>
      <c r="BT222" s="147"/>
      <c r="BU222" s="13"/>
      <c r="BV222" s="5"/>
      <c r="BW222" s="419" t="b">
        <f>AND(ISNUMBER(SnapshotTable[[#This Row],[SP Exp Date]]), ISNUMBER(SnapshotTable[[#This Row],[SP Strike Price]]), ISNUMBER(SnapshotTable[[#This Row],[SP Qty]]), ISNUMBER(SnapshotTable[[#This Row],[SP Book Date]]), ISNUMBER(SnapshotTable[[#This Row],[SP Book Price]]))</f>
        <v>0</v>
      </c>
      <c r="BX222" s="419" t="b">
        <f>AND(SnapshotTable[[#This Row],[SP Is Booked]], NOT(ISBLANK(SnapshotTable[[#This Row],[SP Fill Date]])))</f>
        <v>0</v>
      </c>
      <c r="BY222" s="33">
        <f>IF(SnapshotTable[[#This Row],[SP Is Booked]], SnapshotTable[[#This Row],[SP Qty]] * SnapshotTable[[#This Row],[SP Book Price]] * 100, 0)</f>
        <v>0</v>
      </c>
      <c r="BZ222" s="369"/>
      <c r="CA222" s="368">
        <f>SnapshotTable[[#This Row],[LP Qty]]</f>
        <v>0</v>
      </c>
      <c r="CB222" s="4" t="str">
        <f>IF(SnapshotTable[[#This Row],[SP Is Booked]], SnapshotTable[[#This Row],[SP Strike Price]] - SnapshotTable[[#This Row],[SP Book Price]], "")</f>
        <v/>
      </c>
      <c r="CC222" s="19" t="str">
        <f>IF(SnapshotTable[[#This Row],[SP Is Booked]],SnapshotTable[[#This Row],[SP Exp Date]]-MAX(SnapshotTable[[#This Row],[SP Book Date]], SnapshotTable[[#This Row],[SP Fill Date]]),"")</f>
        <v/>
      </c>
      <c r="CD222" s="7" t="str">
        <f>IF(SnapshotTable[[#This Row],[SP Is Booked]], SnapshotTable[[#This Row],[SP Book Price]]/SnapshotTable[[#This Row],[SP Strike Price]], "")</f>
        <v/>
      </c>
      <c r="CE222" s="7" t="str">
        <f>IF(ISNUMBER(SnapshotTable[[#This Row],[SP ROO Term]]),SnapshotTable[[#This Row],[SP ROO Term]]*(365/SnapshotTable[[#This Row],[SP Term]]),"")</f>
        <v/>
      </c>
      <c r="CF222" s="236">
        <f>SnapshotTable[[#This Row],[LP Strike Price]] * SnapshotTable[[#This Row],[LP Qty]] * 100</f>
        <v>0</v>
      </c>
      <c r="CG222" s="31" t="e">
        <f>IF(ISNUMBER(SnapshotTable[[#This Row],[SP Premium]]), (SnapshotTable[[#This Row],[SP Qty]] * SnapshotTable[[#This Row],[SP Strike Price]]* 100) - SnapshotTable[[#This Row],[LP Protection]], 0)</f>
        <v>#VALUE!</v>
      </c>
      <c r="CH222" s="7" t="str">
        <f>IF(ISNUMBER(SnapshotTable[[#This Row],[SP Break Even]]),-1 * (SnapshotTable[[#This Row],[SP Break Even]] - SnapshotTable[[#This Row],[Last Price]]) / SnapshotTable[[#This Row],[Last Price]], "")</f>
        <v/>
      </c>
      <c r="CI222" s="31">
        <f>IF(AND(ISNUMBER((SnapshotTable[[#This Row],[SP Potential Spend]])), SnapshotTable[[#This Row],[SP Strike Price]] &gt; SnapshotTable[[#This Row],[Last Price]], SnapshotTable[[#This Row],[SP Is Filled]]), SnapshotTable[[#This Row],[SP Potential Spend]] -  SnapshotTable[[#This Row],[LP Max Value]], 0)</f>
        <v>0</v>
      </c>
      <c r="CJ222" s="244"/>
      <c r="CK222" s="31" t="str">
        <f>IF(ISNUMBER(SnapshotTable[[#This Row],[SP Potential Spend]]),IF(ISNUMBER(SnapshotTable[[#This Row],[SP POW]]), SnapshotTable[[#This Row],[SP POW]] * SnapshotTable[[#This Row],[SP Potential Spend]], SnapshotTable[[#This Row],[SP Potential Spend]]), "")</f>
        <v/>
      </c>
      <c r="CL222" s="164" t="e">
        <f>IF(NOT(SnapshotTable[[#This Row],[SP Is Filled]]),(SnapshotTable[[#This Row],[SP Qty]] * SnapshotTable[[#This Row],[SP Strike Price]] * 100) - SnapshotTable[[#This Row],[LP Max Value]],"")</f>
        <v>#VALUE!</v>
      </c>
      <c r="CM222" s="31" t="str">
        <f>IF(SnapshotTable[[#This Row],[SP Actual Spend]]&lt;&gt;0, ((SnapshotTable[[#This Row],[SP Strike Price]]-SnapshotTable[[#This Row],[Last Price]]) *(SnapshotTable[[#This Row],[SP Qty]]*100) - SnapshotTable[[#This Row],[SP Premium]]) * - 1, "")</f>
        <v/>
      </c>
      <c r="CN222" s="78"/>
      <c r="CO222" s="369"/>
      <c r="CP222" s="4" t="str">
        <f>IF(SnapshotTable[[#This Row],[SP Is Filled]], btc_max_buyback_amount(SnapshotTable[[#This Row],[SP Fill Date]],SnapshotTable[[#This Row],[SP Exp Date]], SnapshotTable[[#This Row],[SP Book Price]]),"")</f>
        <v/>
      </c>
      <c r="CQ222" s="78"/>
      <c r="CR22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2" s="155" t="str">
        <f>IF(SnapshotTable[[#This Row],[SP Is Filled]], btc_next_cutoff_date(SnapshotTable[[#This Row],[SP Fill Date]],SnapshotTable[[#This Row],[SP Exp Date]]),"")</f>
        <v/>
      </c>
      <c r="CT222" s="235" t="str" cm="1">
        <f t="array" ref="CT222">IF(SnapshotTable[[#This Row],[SP Is Filled]], btc_should_buy_back(SnapshotTable[[#This Row],[SP Fill Date]], SnapshotTable[[#This Row],[SP Exp Date]], SnapshotTable[[#This Row],[SP Book Price]], SnapshotTable[[#This Row],[SP Current Ask]], MockToday, SnapshotTable[[#This Row],[SP Buyback Override]]),"")</f>
        <v/>
      </c>
      <c r="CU222" s="143"/>
      <c r="CV222" s="235"/>
      <c r="CW222" s="378" t="str">
        <f>IF(ISNUMBER( SnapshotTable[[#This Row],[SP Term]]), SnapshotTable[[#This Row],[SP Exp Date]] - MockToday,"")</f>
        <v/>
      </c>
      <c r="CX222" s="31" t="str">
        <f>IF(SnapshotTable[[#This Row],[SP Is Filled]],SnapshotTable[[#This Row],[SP Buyback Price to Use]] * 100 * SnapshotTable[[#This Row],[SP Qty]], "")</f>
        <v/>
      </c>
      <c r="CY222" s="4" t="str">
        <f>IF(ISNUMBER(SnapshotTable[[#This Row],[SP Strike Price]]), SnapshotTable[[#This Row],[SP Strike Price]] * (1 - SP_MaxLoss_StrikePct), "")</f>
        <v/>
      </c>
      <c r="CZ222" s="31" t="str">
        <f>IF(ISNUMBER(SnapshotTable[[#This Row],[SP Strike  Stop Per Share]]),SnapshotTable[[#This Row],[SP Premium]] - ((SnapshotTable[[#This Row],[SP Strike Price]]-SnapshotTable[[#This Row],[SP Strike  Stop Per Share]]) *(SnapshotTable[[#This Row],[SP Qty]] * 100)),"")</f>
        <v/>
      </c>
      <c r="DA222" s="4" t="str">
        <f>IF(AND(ISNUMBER(SnapshotTable[[#This Row],[SP Premium]]),SnapshotTable[[#This Row],[SP Premium]]&gt;0), SnapshotTable[[#This Row],[SP Book Price]] * (1 + SP_MaxLoss_OptionPct), "")</f>
        <v/>
      </c>
      <c r="DB222" s="31" t="str">
        <f>IF(ISNUMBER(SnapshotTable[[#This Row],[SP Option  Stop Contract]]),(SnapshotTable[[#This Row],[SP Option  Stop Contract]] *(SnapshotTable[[#This Row],[SP Qty]] * 100) - SnapshotTable[[#This Row],[SP Premium]]),"")</f>
        <v/>
      </c>
      <c r="DC222" s="4"/>
      <c r="DD222" s="4"/>
      <c r="DE222" s="4" t="str">
        <f>IF(AND(SnapshotTable[[#This Row],[SP Qty]]&gt;0, SnapshotTable[[#This Row],[SP Stop To Use]]&gt;0),SnapshotTable[[#This Row],[SP Premium]] - ( SnapshotTable[[#This Row],[SP Qty]] * SnapshotTable[[#This Row],[SP Stop To Use]] * 100), "")</f>
        <v/>
      </c>
      <c r="DF222" s="31" t="str">
        <f>IF(AND(SnapshotTable[[#This Row],[SP Qty]]&gt;0,SnapshotTable[[#This Row],[SP Current Ask]]&gt;0), SnapshotTable[[#This Row],[SP Qty]] * SnapshotTable[[#This Row],[SP Current Ask]] * -100, "")</f>
        <v/>
      </c>
      <c r="DG222" s="31" t="str">
        <f>IF(ISNUMBER((SnapshotTable[[#This Row],[SP Total Value]])), SnapshotTable[[#This Row],[SP Premium]] + SnapshotTable[[#This Row],[SP Total Value]], "")</f>
        <v/>
      </c>
      <c r="DH222" s="294" t="str">
        <f>IF(ISNUMBER((SnapshotTable[[#This Row],[SP Total Value]])), SnapshotTable[[#This Row],[SP Gain Loss]] / SnapshotTable[[#This Row],[SP Premium]], "")</f>
        <v/>
      </c>
      <c r="DI222" s="406"/>
      <c r="DJ222" s="138"/>
      <c r="DK222" s="148"/>
      <c r="DL222" s="13"/>
      <c r="DM222" s="13"/>
      <c r="DO222" s="31">
        <f>IF(SnapshotTable[[#This Row],[LC Symbol Count]]=1, SnapshotTable[[#This Row],[LC Qty]] * SnapshotTable[[#This Row],[LC Book Price]] * 100, 0)</f>
        <v>0</v>
      </c>
      <c r="DP222" s="163" t="str">
        <f>IF(AND(SnapshotTable[[#This Row],[LC Exp Date]]&gt;0, SnapshotTable[[#This Row],[LC Strike Price]]&gt;0,SnapshotTable[[#This Row],[LC Qty]]&gt;0,SnapshotTable[[#This Row],[LC Book Date]]&gt;0,SnapshotTable[[#This Row],[LC Book Price]]&gt;0,SnapshotTable[[#This Row],[LC Fill Date]]=0),"Y","")</f>
        <v/>
      </c>
      <c r="DQ222" s="386" t="str">
        <f>IF(SnapshotTable[[#This Row],[LC Premium]] &gt; 0,SnapshotTable[[#This Row],[LC Exp Date]]-MAX(SnapshotTable[[#This Row],[LC Book Date]], SnapshotTable[[#This Row],[LC Fill Date]]),"")</f>
        <v/>
      </c>
      <c r="DR222" s="386" t="str">
        <f>IF(ISNUMBER(SnapshotTable[[#This Row],[LC Term]]), SnapshotTable[[#This Row],[LC Exp Date]] - MockToday, "")</f>
        <v/>
      </c>
      <c r="DS222" s="234" t="str">
        <f>IF(SnapshotTable[[#This Row],[LC Premium]]&gt;0,SnapshotTable[[#This Row],[LC Strike Price]] + SnapshotTable[[#This Row],[LC Book Price]],"")</f>
        <v/>
      </c>
      <c r="DU222" s="9" t="str">
        <f>IF(AND(SnapshotTable[[#This Row],[LC Symbol Count]]&gt;0, SnapshotTable[[#This Row],[LC Contract Value]]&gt;0), SnapshotTable[[#This Row],[LC Contract Value]] * SnapshotTable[[#This Row],[LC Qty]] * 100, "")</f>
        <v/>
      </c>
      <c r="DV222" s="9" t="str">
        <f>IF(AND(ISNUMBER(SnapshotTable[[#This Row],[LC Total Value]]), SnapshotTable[[#This Row],[LC Not Filled]]&lt;&gt;"Y"), SnapshotTable[[#This Row],[LC Total Value]]-SnapshotTable[[#This Row],[LC Premium]],"")</f>
        <v/>
      </c>
      <c r="DW222" s="240" t="str">
        <f>IF(ISNUMBER(SnapshotTable[[#This Row],[LC Actual Gain Loss]]), SnapshotTable[[#This Row],[LC Actual Gain Loss]] / SnapshotTable[[#This Row],[LC Premium]],"")</f>
        <v/>
      </c>
      <c r="DX222" s="284" t="str">
        <f>IF(ISNUMBER(SnapshotTable[[#This Row],[LC Book Price]]),SnapshotTable[[#This Row],[LC Book Price]] * 1.5,"")</f>
        <v/>
      </c>
      <c r="DY222" s="265" t="str">
        <f>IF(SnapshotTable[[#This Row],[LC Premium]]&gt;0, SnapshotTable[[#This Row],[LC Next Target]] * SnapshotTable[[#This Row],[LC Qty]] * 100,"")</f>
        <v/>
      </c>
      <c r="DZ222" s="265" t="str">
        <f>IF(ISNUMBER(SnapshotTable[[#This Row],[LC Target Gross]]), SnapshotTable[[#This Row],[LC Target Gross]] - SnapshotTable[[#This Row],[LC Premium]], "")</f>
        <v/>
      </c>
      <c r="EA222" s="305" t="str">
        <f>IF(ISNUMBER(SnapshotTable[[#This Row],[LC Target Gain Loss]]), SnapshotTable[[#This Row],[LC Target Gain Loss]]/SnapshotTable[[#This Row],[LC Premium]], "")</f>
        <v/>
      </c>
      <c r="EB222" s="262"/>
      <c r="EC222" s="283" t="str">
        <f>IF(SnapshotTable[[#This Row],[LC Premium]]&gt;0, SnapshotTable[[#This Row],[LC Book Price]] * (1 - LC_StopLoss_Pct),"")</f>
        <v/>
      </c>
      <c r="ED222" s="284"/>
      <c r="EE222" s="283" t="str">
        <f>IF(ISNUMBER(SnapshotTable[[#This Row],[LC Contract Value]]),IF(ISNUMBER(SnapshotTable[[#This Row],[LC Stop Loss Override]]), SnapshotTable[[#This Row],[LC Stop Loss Override]],SnapshotTable[[#This Row],[LC Stop Loss Calc Target]]),"")</f>
        <v/>
      </c>
      <c r="EF222" s="31" t="str">
        <f>IF(ISNUMBER(SnapshotTable[[#This Row],[LC Stop  To Use]]), (SnapshotTable[[#This Row],[LC Stop  To Use]] * SnapshotTable[[#This Row],[LC Qty]] * 100),"")</f>
        <v/>
      </c>
      <c r="EG222" s="9" t="str">
        <f>IF(ISNUMBER(SnapshotTable[[#This Row],[LC Total Value]]),SnapshotTable[[#This Row],[LC Stop Loss Amount]] - SnapshotTable[[#This Row],[LC Premium]],"")</f>
        <v/>
      </c>
      <c r="EH222" s="9">
        <f>IF(ISNUMBER(SnapshotTable[[#This Row],[LC Premium]]), SnapshotTable[[#This Row],[LC Qty]] * 100 * SnapshotTable[[#This Row],[LC Strike Price]], "")</f>
        <v>0</v>
      </c>
      <c r="EI222" s="240" t="str">
        <f>IF(AND(ISNUMBER(SnapshotTable[[#This Row],[LC Total Value]]),SnapshotTable[[#This Row],[LC Total Value]]&gt;0),SnapshotTable[[#This Row],[LC Stop Gain Loss]]  / SnapshotTable[[#This Row],[LC Premium]],"")</f>
        <v/>
      </c>
      <c r="EJ222" s="35">
        <f>IF(ISNUMBER(SnapshotTable[[#This Row],[Equity Shares]]),TRUNC(SnapshotTable[[#This Row],[Equity Shares]] / 100),0) + SnapshotTable[[#This Row],[LC Qty]]</f>
        <v>0</v>
      </c>
      <c r="EK222" s="147"/>
      <c r="EL222" s="138" t="str">
        <f>IF(SnapshotTable[[#This Row],[SC Exp Date]]&lt;&gt;"",TRUNC(SnapshotTable[[#This Row],[Last Price]]),"")</f>
        <v/>
      </c>
      <c r="EM222" s="148"/>
      <c r="EN222" s="147"/>
      <c r="EO222" s="147"/>
      <c r="EP222" s="138"/>
      <c r="EQ222" s="419" t="b">
        <f>AND(ISNUMBER(SnapshotTable[[#This Row],[SC Exp Date]]), ISNUMBER(SnapshotTable[[#This Row],[SC Strike Price]]), ISNUMBER(SnapshotTable[[#This Row],[SC Qty]]), ISNUMBER(SnapshotTable[[#This Row],[SC Book Date]]), ISNUMBER(SnapshotTable[[#This Row],[SC Book Price]]))</f>
        <v>0</v>
      </c>
      <c r="ER222" s="419" t="b">
        <f>AND(SnapshotTable[[#This Row],[SC Is Booked]], NOT(ISBLANK(SnapshotTable[[#This Row],[SC Fill Date]])))</f>
        <v>0</v>
      </c>
      <c r="ES222" s="370"/>
      <c r="ET222" s="34" t="str">
        <f>IF(AND(ISNUMBER(SnapshotTable[[#This Row],[SC Exp Date]]), ISNUMBER(SnapshotTable[[#This Row],[SC Book Date]])), SnapshotTable[[#This Row],[SC Exp Date]] - MAX(SnapshotTable[[#This Row],[SC Book Date]], SnapshotTable[[#This Row],[SC Fill Date]]) + 1, "")</f>
        <v/>
      </c>
      <c r="EU222" s="34" t="str">
        <f>IF(ISNUMBER(SnapshotTable[[#This Row],[SC Term]]), SnapshotTable[[#This Row],[SC Exp Date]]- MockToday, "")</f>
        <v/>
      </c>
      <c r="EV222" s="31">
        <f>IF(SnapshotTable[[#This Row],[SC Is Booked]], SnapshotTable[[#This Row],[SC Qty]] * SnapshotTable[[#This Row],[SC Book Price]] * 100, 0)</f>
        <v>0</v>
      </c>
      <c r="EW222" s="4" t="str">
        <f>IF(AND(ISNUMBER(SnapshotTable[[#This Row],[Last Price]]), ISNUMBER( SnapshotTable[[#This Row],[SC Book Price]])), SnapshotTable[[#This Row],[Last Price]] - SnapshotTable[[#This Row],[SC Book Price]],"")</f>
        <v/>
      </c>
      <c r="EX222" s="234" t="str">
        <f>IF(SnapshotTable[[#This Row],[SC Is Booked]],IF(SnapshotTable[[#This Row],[SC Intrinsic Value]] &gt; 0, SnapshotTable[[#This Row],[SC Strike Price]], SnapshotTable[[#This Row],[Last Price]]), "")</f>
        <v/>
      </c>
      <c r="EY222" s="4">
        <f>IF(SnapshotTable[[#This Row],[SC Is Booked]], (MinimumPremiumRequired * SnapshotTable[[#This Row],[SC Basis]] * SnapshotTable[[#This Row],[SC Term]]), 0)</f>
        <v>0</v>
      </c>
      <c r="EZ222" s="283"/>
      <c r="FA222" s="218"/>
      <c r="FB222" s="370"/>
      <c r="FC222" s="4">
        <f>IF(SnapshotTable[[#This Row],[SC Is Filled]], btc_max_buyback_amount(SnapshotTable[[#This Row],[SC Fill Date]],SnapshotTable[[#This Row],[SC Exp Date]], SnapshotTable[[#This Row],[SC Book Price]]),0)</f>
        <v>0</v>
      </c>
      <c r="FD222" s="5"/>
      <c r="FE222" s="144" t="str">
        <f>IF(SnapshotTable[[#This Row],[SC Is Filled]], btc_next_cutoff_date(SnapshotTable[[#This Row],[SC Fill Date]],SnapshotTable[[#This Row],[SC Exp Date]]),"")</f>
        <v/>
      </c>
      <c r="FF222" s="4" t="str" cm="1">
        <f t="array" ref="FF222">IF(SnapshotTable[[#This Row],[SC Is Filled]], btc_should_buy_back(SnapshotTable[[#This Row],[SC Fill Date]], SnapshotTable[[#This Row],[SC Exp Date]], SnapshotTable[[#This Row],[SC Book Price]], SnapshotTable[[#This Row],[SC Current Ask]], MockToday, SnapshotTable[[#This Row],[SC Buyback Override]]),"")</f>
        <v/>
      </c>
      <c r="FG222" s="4">
        <f>IF(SnapshotTable[[#This Row],[SC Is Filled]], MAX(0,SnapshotTable[[#This Row],[Last Price]]  - SnapshotTable[[#This Row],[SC Strike Price]]), 0)</f>
        <v>0</v>
      </c>
      <c r="FH222" s="382">
        <f>IF(SnapshotTable[[#This Row],[SC Is Filled]], IF(ISNUMBER(SnapshotTable[[#This Row],[SC Current Ask]]), SnapshotTable[[#This Row],[SC Current Ask]], SnapshotTable[[#This Row],[SC Book Price]]) - SnapshotTable[[#This Row],[SC Intrinsic Value]], 0)</f>
        <v>0</v>
      </c>
      <c r="FI222" s="143"/>
      <c r="FJ222" s="32" t="str">
        <f>IF(SnapshotTable[[#This Row],[SC Is Filled]],100 * SnapshotTable[[#This Row],[SC Qty]] * IF(ISNUMBER(SnapshotTable[[#This Row],[SC Buyback Override]]), SnapshotTable[[#This Row],[SC Buyback Override]], SnapshotTable[[#This Row],[SC Current Ask]]), "")</f>
        <v/>
      </c>
      <c r="FK222" s="250" t="str">
        <f>IF(SnapshotTable[[#This Row],[SC Time Val]]&gt;0, SnapshotTable[[#This Row],[SC Time Val]] / SnapshotTable[[#This Row],[Last Price]],"")</f>
        <v/>
      </c>
      <c r="FL222" s="302" t="str">
        <f>IF(SnapshotTable[[#This Row],[SC Is Booked]], ((SnapshotTable[[#This Row],[Last Price]] -SnapshotTable[[#This Row],[SC Strike Price]]) / SnapshotTable[[#This Row],[Last Price]]) * -1, "")</f>
        <v/>
      </c>
      <c r="FM222" s="157" t="str">
        <f>IF(SnapshotTable[[#This Row],[SC Is Booked]],  (SnapshotTable[[#This Row],[SC Qty]] * 100 * SnapshotTable[[#This Row],[SC Strike Price]]) - SnapshotTable[[#This Row],[SC Current Ask]], "")</f>
        <v/>
      </c>
      <c r="FN22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2" s="31" t="str">
        <f>IF(AND(ISNUMBER(SnapshotTable[[#This Row],[SC Exercise Gross]]), ISNUMBER(SnapshotTable[[#This Row],[Equity Basis Per Share]] )), SnapshotTable[[#This Row],[SC Exercise Gross]] - SnapshotTable[[#This Row],[Equity Basis Total]] +  SnapshotTable[[#This Row],[SC Premium]], "")</f>
        <v/>
      </c>
      <c r="FP222" s="5" t="str">
        <f>IF(ISNUMBER(SnapshotTable[[#This Row],[SC Exercise Gross]]), (SnapshotTable[[#This Row],[SC Exercise Gross]]) / (SnapshotTable[[#This Row],[SC Qty]] * 100), "")</f>
        <v/>
      </c>
      <c r="FQ222" s="27" t="str">
        <f>IF(SnapshotTable[[#This Row],[SC Is Booked]],SnapshotTable[[#This Row],[SC Time Val]] /SnapshotTable[[#This Row],[SC Basis]], "")</f>
        <v/>
      </c>
      <c r="FR222" s="27" t="str" cm="1">
        <f t="array" ref="FR222">IF(AND(ISNUMBER(SnapshotTable[[#This Row],[SC Term]]),ISNUMBER(SnapshotTable[[#This Row],[SC Simple ROO]])), EllmanAnnualize(SnapshotTable[[#This Row],[SC DTE]], SnapshotTable[[#This Row],[SC Simple ROO]] ),"")</f>
        <v/>
      </c>
      <c r="FS222" s="4" t="e">
        <f>IF(SnapshotTable[[#This Row],[SC Strike Price]] &gt; SnapshotTable[[#This Row],[Last Price]], SnapshotTable[[#This Row],[SC Strike Price]] - SnapshotTable[[#This Row],[Last Price]],0)</f>
        <v>#VALUE!</v>
      </c>
      <c r="FT222" s="27" t="e">
        <f>IF(AND(ISNUMBER(SnapshotTable[[#This Row],[SC Upside Potential]]), SnapshotTable[[#This Row],[SC Upside Potential]] &gt; 0),(SnapshotTable[[#This Row],[SC Upside Potential]]/ SnapshotTable[[#This Row],[ACB]]),"")</f>
        <v>#VALUE!</v>
      </c>
      <c r="FU222" s="333" t="str">
        <f>IF(SnapshotTable[[#This Row],[SC Intrinsic Value]] &gt; 0,SnapshotTable[[#This Row],[SC Intrinsic Value]],"")</f>
        <v/>
      </c>
      <c r="FV222" s="27" t="str">
        <f>IF(AND( ISNUMBER( SnapshotTable[[#This Row],[ACB]]),ISNUMBER(SnapshotTable[[#This Row],[SC Downside Protect]])),SnapshotTable[[#This Row],[SC Downside Protect]] / SnapshotTable[[#This Row],[ACB]],"")</f>
        <v/>
      </c>
      <c r="FW222" s="236" t="str">
        <f>IF(AND(ISNUMBER(SnapshotTable[[#This Row],[SC Simple ROO]]),SnapshotTable[[#This Row],[SC Simple ROO]] &gt; 0), SnapshotTable[[#This Row],[SC Premium]] + (SnapshotTable[[#This Row],[SC Qty]] * SnapshotTable[[#This Row],[SC Upside Potential]]), "")</f>
        <v/>
      </c>
      <c r="FX222" s="302" t="str" cm="1">
        <f t="array" ref="FX222">IF(ISNUMBER(SnapshotTable[[#This Row],[SC Max Dollars]]), annualize(SnapshotTable[[#This Row],[SC Term]],(SnapshotTable[[#This Row],[SC Max Dollars]]/SnapshotTable[[#This Row],[SC Basis]])),"")</f>
        <v/>
      </c>
      <c r="FY222" s="236" t="str">
        <f>IF(AND(SnapshotTable[[#This Row],[SC Qty]]&gt;0,SnapshotTable[[#This Row],[SC Current Ask]]&gt;0), SnapshotTable[[#This Row],[SC Qty]] * SnapshotTable[[#This Row],[SC Current Ask]] * -100, "")</f>
        <v/>
      </c>
      <c r="FZ222" s="31" t="str">
        <f>IF(ISNUMBER((SnapshotTable[[#This Row],[SC Current Value]])), SnapshotTable[[#This Row],[SC Premium]] + SnapshotTable[[#This Row],[SC Current Value]], "")</f>
        <v/>
      </c>
      <c r="GA222" s="294" t="str">
        <f>IFERROR( IF(ISNUMBER((SnapshotTable[[#This Row],[SC Current Value]])), SnapshotTable[[#This Row],[SC Gain Loss]] / SnapshotTable[[#This Row],[SC Premium]], ""), "")</f>
        <v/>
      </c>
      <c r="GB222" s="42">
        <f>SnapshotTable[[#This Row],[Equity Shares]] * SaleSharesToConsiderPercentage</f>
        <v>0</v>
      </c>
      <c r="GC222" s="40">
        <f>SnapshotTable[[#This Row],[Long Term Target]] * SellingPriceToConsiderBasedOnTargetPercentage</f>
        <v>0</v>
      </c>
      <c r="GD222" s="40">
        <f>SnapshotTable[[#This Row],[Last Price]] * (1+ SellingPriceToConsiderBasedOnTargetPercentage)</f>
        <v>147.41999999999999</v>
      </c>
      <c r="GE222" s="41"/>
      <c r="GF222" s="40"/>
      <c r="GG222" s="31">
        <f>SnapshotTable[[#This Row],[Booked Sale Shares]] * SnapshotTable[[#This Row],[Booked Sale Price]]</f>
        <v>0</v>
      </c>
      <c r="GH222" s="31" t="str">
        <f>IF(SnapshotTable[[#This Row],[Equity Basis Total]] &gt; 0, SnapshotTable[[#This Row],[Equity Basis Per Share]] * SnapshotTable[[#This Row],[Booked Sale Shares]], "")</f>
        <v/>
      </c>
      <c r="GI222" s="31">
        <f>IF(SnapshotTable[[#This Row],[Sale Proceeds]]&gt;0, SnapshotTable[[#This Row],[Sale Proceeds]] - SnapshotTable[[#This Row],[Sale Basis]], 0)</f>
        <v>0</v>
      </c>
      <c r="GJ222" s="27" t="str">
        <f>IF(SnapshotTable[[#This Row],[Sale G/L]]&gt;0, SnapshotTable[[#This Row],[Sale G/L]] / SnapshotTable[[#This Row],[Sale Basis]], IF(ISNUMBER(SnapshotTable[[#This Row],[SC Exercise P&amp;L (TAX)]]), SnapshotTable[[#This Row],[SC Exercise P&amp;L (TAX)]] / SnapshotTable[[#This Row],[SC Basis]], ""))</f>
        <v/>
      </c>
      <c r="GK222" s="27" t="s">
        <v>1117</v>
      </c>
      <c r="GL222" s="43" t="str">
        <f>IF(AND(SnapshotTable[[#This Row],[LP Exp Date]]&gt;0,SnapshotTable[[#This Row],[LP Strike Price]]&gt;0), [1]!ToOptionSymbol(SnapshotTable[[#This Row],[Symbol]], SnapshotTable[[#This Row],[LP Strike Price]],SnapshotTable[[#This Row],[LP Exp Date]],1), "")</f>
        <v/>
      </c>
      <c r="GM222" s="30" t="str">
        <f>IF(LEN(SnapshotTable[[#This Row],[LP Symbol]])&gt;0, 1, "")</f>
        <v/>
      </c>
      <c r="GN222" s="43" t="str">
        <f>IF(AND(SnapshotTable[[#This Row],[SP Exp Date]]&gt;0,SnapshotTable[[#This Row],[SP Strike Price]]&gt;0), [1]!ToOptionSymbol(SnapshotTable[[#This Row],[Symbol]], SnapshotTable[[#This Row],[SP Strike Price]],SnapshotTable[[#This Row],[SP Exp Date]],1), "")</f>
        <v/>
      </c>
      <c r="GO222" s="30" t="str">
        <f>IF(LEN(SnapshotTable[[#This Row],[SP Symbol]])&gt;0, 1, "")</f>
        <v/>
      </c>
      <c r="GP222" s="43" t="str">
        <f>IF(AND(SnapshotTable[[#This Row],[LC Exp Date]]&gt;0,SnapshotTable[[#This Row],[LC Strike Price]]&gt;0), [1]!ToOptionSymbol(SnapshotTable[[#This Row],[Symbol]], SnapshotTable[[#This Row],[LC Strike Price]],SnapshotTable[[#This Row],[LC Exp Date]],0), "")</f>
        <v/>
      </c>
      <c r="GQ222" s="30" t="str">
        <f>IF(LEN(SnapshotTable[[#This Row],[LC Symbol]])&gt;0, 1, "")</f>
        <v/>
      </c>
      <c r="GR222" s="43" t="str">
        <f>IF(AND(SnapshotTable[[#This Row],[SC Exp Date]]&gt;0,SnapshotTable[[#This Row],[SC Strike Price]]&gt;0), [1]!ToOptionSymbol(SnapshotTable[[#This Row],[Symbol]], SnapshotTable[[#This Row],[SC Strike Price]],SnapshotTable[[#This Row],[SC Exp Date]],0), "")</f>
        <v/>
      </c>
      <c r="GS222" s="30" t="str">
        <f>IF(LEN(SnapshotTable[[#This Row],[SC Symbol]])&gt;0, 1, "")</f>
        <v/>
      </c>
      <c r="GT222" s="29" t="str">
        <f>IF(COUNT(SnapshotTable[[#This Row],[LP Symbol Count]],SnapshotTable[[#This Row],[SP Symbol Count]],SnapshotTable[[#This Row],[LC Symbol Count]],SnapshotTable[[#This Row],[SC Symbol Count]])&gt;0, "Y", "")</f>
        <v/>
      </c>
      <c r="GU22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2" s="231" t="e">
        <f>MAX(SnapshotTable[[#This Row],[Equity Basis Total]],SnapshotTable[[#This Row],[Equity Value]]) + (SnapshotTable[[#This Row],[SP Potential Spend]]- SnapshotTable[[#This Row],[SP Premium]] + SnapshotTable[[#This Row],[LP Premium]])+ (SnapshotTable[[#This Row],[LC Premium]] - SnapshotTable[[#This Row],[SC Premium]])</f>
        <v>#VALUE!</v>
      </c>
      <c r="GW222" s="139" t="e">
        <f>IF(AND(SnapshotTable[[#This Row],[Exposure]] &lt;&gt; 0),SnapshotTable[[#This Row],[Exposure]] / SnapshotTable[[#Totals],[Exposure]], "")</f>
        <v>#VALUE!</v>
      </c>
      <c r="GX222" s="5"/>
      <c r="HE222" s="268"/>
      <c r="HF222" s="268"/>
      <c r="HK222" s="1"/>
      <c r="HL222" s="1"/>
      <c r="HM222" s="1"/>
      <c r="HN222" s="1"/>
      <c r="HO222" s="1"/>
      <c r="HP222" s="1"/>
    </row>
    <row r="223" spans="2:224" ht="12.75" hidden="1" customHeight="1" x14ac:dyDescent="0.25">
      <c r="B223" s="12" t="s">
        <v>154</v>
      </c>
      <c r="C223" s="422">
        <v>19.079999999999998</v>
      </c>
      <c r="D223" s="208" t="s">
        <v>578</v>
      </c>
      <c r="E223" s="39">
        <f>SnapshotTable[[#This Row],[Last Price]]*(1 -CrashDiscount)</f>
        <v>16.217999999999996</v>
      </c>
      <c r="F223" s="26" t="s">
        <v>23</v>
      </c>
      <c r="G223" s="26" t="s">
        <v>14</v>
      </c>
      <c r="H223" s="149"/>
      <c r="I223" s="194">
        <v>44791.291666666664</v>
      </c>
      <c r="J223" s="195">
        <v>44791.291666666664</v>
      </c>
      <c r="K223" s="196"/>
      <c r="L223" s="326"/>
      <c r="M223" s="140"/>
      <c r="N223" s="140"/>
      <c r="O223" s="140"/>
      <c r="P223" s="22"/>
      <c r="Q223" s="25"/>
      <c r="R223" s="4" t="str">
        <f>IF(SnapshotTable[[#This Row],[Equity Basis Total]] &gt; 0, SnapshotTable[[#This Row],[Equity Basis Total]] / SnapshotTable[[#This Row],[Equity Shares]], "")</f>
        <v/>
      </c>
      <c r="S223" s="269">
        <f>SnapshotTable[[#This Row],[Last Price]] * SnapshotTable[[#This Row],[Equity Shares]]</f>
        <v>0</v>
      </c>
      <c r="T223" s="269">
        <f>SnapshotTable[[#This Row],[Equity Value]] - SnapshotTable[[#This Row],[Equity Basis Total]]</f>
        <v>0</v>
      </c>
      <c r="U223" s="270" t="str">
        <f>IF(SnapshotTable[[#This Row],[Equity Basis Total]] &gt; 0, SnapshotTable[[#This Row],[Equity G/L]] / SnapshotTable[[#This Row],[Equity Basis Total]], "")</f>
        <v/>
      </c>
      <c r="V223" s="268"/>
      <c r="W223" s="268"/>
      <c r="X223" s="4" t="str">
        <f>IF(AND(ISNUMBER(SnapshotTable[[#This Row],[Equity Basis Per Share]]),ISNUMBER(SnapshotTable[[#This Row],[Equity Target]])),SnapshotTable[[#This Row],[Equity Target]]-SnapshotTable[[#This Row],[Equity Basis Per Share]],"")</f>
        <v/>
      </c>
      <c r="Y223" s="4" t="str">
        <f>IF(AND(ISNUMBER(SnapshotTable[[#This Row],[Equity Basis Per Share]]),ISNUMBER(SnapshotTable[[#This Row],[Equity Stop Loss]])),SnapshotTable[[#This Row],[Equity Stop Loss]]-SnapshotTable[[#This Row],[Equity Basis Per Share]],"")</f>
        <v/>
      </c>
      <c r="Z223" s="275" t="str">
        <f>IFERROR( TEXT(SnapshotTable[[#This Row],[Equity Max Gain Per Share]] /ABS( SnapshotTable[[#This Row],[Equity Max Loss Per Share]]),"0.0 " ) &amp; " : 1", "")</f>
        <v/>
      </c>
      <c r="AA223" s="31" t="str">
        <f>IF(ISNUMBER(SnapshotTable[[#This Row],[Equity Max Gain Per Share]]),SnapshotTable[[#This Row],[Equity Max Gain Per Share]] * SnapshotTable[[#This Row],[Equity Shares]],"")</f>
        <v/>
      </c>
      <c r="AB223" s="31" t="str">
        <f>IF(ISNUMBER(SnapshotTable[[#This Row],[Equity Max Loss Per Share]]),SnapshotTable[[#This Row],[Equity Max Loss Per Share]] * SnapshotTable[[#This Row],[Equity Shares]],"")</f>
        <v/>
      </c>
      <c r="AC223" s="150">
        <v>2.68</v>
      </c>
      <c r="AD223" s="151">
        <v>43824</v>
      </c>
      <c r="AE223" s="31">
        <f>(SnapshotTable[[#This Row],[Annual Dividend Per Share]] / 4) * SnapshotTable[[#This Row],[Equity Shares]]</f>
        <v>0</v>
      </c>
      <c r="AF223" s="31">
        <f>SnapshotTable[[#This Row],[Quarterly Div $]] * 4</f>
        <v>0</v>
      </c>
      <c r="AG223" s="7">
        <f>IF(SnapshotTable[[#This Row],[Annual Dividend Per Share]]&gt;0, SnapshotTable[[#This Row],[Annual Dividend Per Share]]  / SnapshotTable[[#This Row],[Last Price]], 0)</f>
        <v>0.14046121593291408</v>
      </c>
      <c r="AH223" s="151">
        <v>43809</v>
      </c>
      <c r="AI223" s="5">
        <v>56</v>
      </c>
      <c r="AJ223" s="138">
        <v>20.88</v>
      </c>
      <c r="AK223" s="152">
        <f>IF(ISNUMBER( SnapshotTable[[#This Row],[EBF Target]]),(SnapshotTable[[#This Row],[EBF Target]] - SnapshotTable[[#This Row],[Last Price]]) / SnapshotTable[[#This Row],[Last Price]], "")</f>
        <v>1.9350104821802938</v>
      </c>
      <c r="AL223" s="152" t="str">
        <f>IF(AND(SnapshotTable[[#This Row],[Equity Basis Total]] &gt; 0,ISNUMBER( SnapshotTable[[#This Row],[Long Term Target]])), SnapshotTable[[#This Row],[From Basis $]] / SnapshotTable[[#This Row],[Equity Basis Total]], "")</f>
        <v/>
      </c>
      <c r="AM223" s="9">
        <f>IF( AND(SnapshotTable[[#This Row],[Equity Shares]] &gt;0,ISNUMBER( SnapshotTable[[#This Row],[Long Term Target]])),(SnapshotTable[[#This Row],[Equity Shares]] * SnapshotTable[[#This Row],[Long Term Target]]) - SnapshotTable[[#This Row],[Equity Basis Total]],0)</f>
        <v>0</v>
      </c>
      <c r="AN223" s="9">
        <f>IF( AND(SnapshotTable[[#This Row],[Equity Shares]] &gt;0,ISNUMBER( SnapshotTable[[#This Row],[Long Term Target]])),(SnapshotTable[[#This Row],[Equity Shares]]*SnapshotTable[[#This Row],[Long Term Target]]) - SnapshotTable[[#This Row],[Equity Value]],0)</f>
        <v>0</v>
      </c>
      <c r="AO223" s="152">
        <f>IF(AND(ISNUMBER( SnapshotTable[[#This Row],[Long Term Target]]), ISNUMBER(SnapshotTable[[#This Row],[Last Price]])),(SnapshotTable[[#This Row],[Long Term Target]] - SnapshotTable[[#This Row],[Last Price]]) / SnapshotTable[[#This Row],[Last Price]], "")</f>
        <v>9.4339622641509482E-2</v>
      </c>
      <c r="AP223" s="5">
        <v>20</v>
      </c>
      <c r="AQ223" s="38" t="s">
        <v>38</v>
      </c>
      <c r="AR223" s="5">
        <v>20</v>
      </c>
      <c r="AS223" s="38" t="s">
        <v>26</v>
      </c>
      <c r="AT223" s="146" t="s">
        <v>538</v>
      </c>
      <c r="AU223" s="187" t="str">
        <f>IF(OR(SnapshotTable[[#This Row],[LP No Fill]]="Y",SnapshotTable[[#This Row],[SP Is Filled]],SnapshotTable[[#This Row],[LC Not Filled]]="Y",SnapshotTable[[#This Row],[SC Is Filled]]),"Y","")</f>
        <v/>
      </c>
      <c r="AV223" s="219"/>
      <c r="AW223" s="225"/>
      <c r="AX223" s="220"/>
      <c r="AY223" s="219" t="str">
        <f>IF(SnapshotTable[[#This Row],[Implied Move]]&gt;0, SnapshotTable[[#This Row],[Last Price]]-SnapshotTable[[#This Row],[Implied Move]],"")</f>
        <v/>
      </c>
      <c r="AZ223" s="219" t="str">
        <f>IF(SnapshotTable[[#This Row],[Implied Move]]&gt;0, SnapshotTable[[#This Row],[Last Price]] + SnapshotTable[[#This Row],[Implied Move]],"")</f>
        <v/>
      </c>
      <c r="BA223" s="331"/>
      <c r="BB223" s="347"/>
      <c r="BC22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3" s="351"/>
      <c r="BE223" s="5"/>
      <c r="BF223" s="14"/>
      <c r="BG223" s="13"/>
      <c r="BH223" s="13"/>
      <c r="BI223" s="5"/>
      <c r="BJ223" s="136">
        <f>IF(SnapshotTable[[#This Row],[LP Qty]] &gt; 0, SnapshotTable[[#This Row],[LP Qty]] * SnapshotTable[[#This Row],[LP Book Price]] * 100,0)</f>
        <v>0</v>
      </c>
      <c r="BK223" s="136">
        <f>IF(SnapshotTable[[#This Row],[LP Premium]] &gt; 0, SnapshotTable[[#This Row],[LP Qty]] * SnapshotTable[[#This Row],[LP Strike Price]] * 100,0)</f>
        <v>0</v>
      </c>
      <c r="BL223" s="154"/>
      <c r="BM223" s="385" t="str">
        <f>IF(SnapshotTable[[#This Row],[LP Premium]] &gt; 0,SnapshotTable[[#This Row],[LP Exp Date]]-MAX(SnapshotTable[[#This Row],[LP Book Date]], SnapshotTable[[#This Row],[LP Fill Date]]),"")</f>
        <v/>
      </c>
      <c r="BN223" s="385" t="str">
        <f>IF(ISNUMBER( SnapshotTable[[#This Row],[LP Term]]), SnapshotTable[[#This Row],[LP Exp Date]] - MockToday,"")</f>
        <v/>
      </c>
      <c r="BO223" s="163" t="str">
        <f>IF(AND(SnapshotTable[[#This Row],[LP Exp Date]]&gt;0, SnapshotTable[[#This Row],[LP Strike Price]]&gt;0,SnapshotTable[[#This Row],[LP Qty]]&gt;0,SnapshotTable[[#This Row],[LP Book Date]]&gt;0,SnapshotTable[[#This Row],[LP Book Price]]&gt;0,SnapshotTable[[#This Row],[LP Fill Date]]=0),"Y","")</f>
        <v/>
      </c>
      <c r="BP223" s="31" t="str">
        <f>IF(AND(SnapshotTable[[#This Row],[LP No Fill]]&lt;&gt;"Y",SnapshotTable[[#This Row],[LP Contract Value]]&gt;0, SnapshotTable[[#This Row],[LP Qty]]&gt;0), SnapshotTable[[#This Row],[LP Contract Value]]*SnapshotTable[[#This Row],[LP Qty]]*100,"")</f>
        <v/>
      </c>
      <c r="BQ223" s="13"/>
      <c r="BR223" s="5" t="str">
        <f>IF(SnapshotTable[[#This Row],[SP Exp Date]]&lt;&gt;"",TRUNC(SnapshotTable[[#This Row],[Last Price]]),"")</f>
        <v/>
      </c>
      <c r="BS223" s="36"/>
      <c r="BT223" s="147"/>
      <c r="BU223" s="13"/>
      <c r="BV223" s="5"/>
      <c r="BW223" s="419" t="b">
        <f>AND(ISNUMBER(SnapshotTable[[#This Row],[SP Exp Date]]), ISNUMBER(SnapshotTable[[#This Row],[SP Strike Price]]), ISNUMBER(SnapshotTable[[#This Row],[SP Qty]]), ISNUMBER(SnapshotTable[[#This Row],[SP Book Date]]), ISNUMBER(SnapshotTable[[#This Row],[SP Book Price]]))</f>
        <v>0</v>
      </c>
      <c r="BX223" s="419" t="b">
        <f>AND(SnapshotTable[[#This Row],[SP Is Booked]], NOT(ISBLANK(SnapshotTable[[#This Row],[SP Fill Date]])))</f>
        <v>0</v>
      </c>
      <c r="BY223" s="33">
        <f>IF(SnapshotTable[[#This Row],[SP Is Booked]], SnapshotTable[[#This Row],[SP Qty]] * SnapshotTable[[#This Row],[SP Book Price]] * 100, 0)</f>
        <v>0</v>
      </c>
      <c r="BZ223" s="369"/>
      <c r="CA223" s="368">
        <f>SnapshotTable[[#This Row],[LP Qty]]</f>
        <v>0</v>
      </c>
      <c r="CB223" s="4" t="str">
        <f>IF(SnapshotTable[[#This Row],[SP Is Booked]], SnapshotTable[[#This Row],[SP Strike Price]] - SnapshotTable[[#This Row],[SP Book Price]], "")</f>
        <v/>
      </c>
      <c r="CC223" s="19" t="str">
        <f>IF(SnapshotTable[[#This Row],[SP Is Booked]],SnapshotTable[[#This Row],[SP Exp Date]]-MAX(SnapshotTable[[#This Row],[SP Book Date]], SnapshotTable[[#This Row],[SP Fill Date]]),"")</f>
        <v/>
      </c>
      <c r="CD223" s="7" t="str">
        <f>IF(SnapshotTable[[#This Row],[SP Is Booked]], SnapshotTable[[#This Row],[SP Book Price]]/SnapshotTable[[#This Row],[SP Strike Price]], "")</f>
        <v/>
      </c>
      <c r="CE223" s="7" t="str">
        <f>IF(ISNUMBER(SnapshotTable[[#This Row],[SP ROO Term]]),SnapshotTable[[#This Row],[SP ROO Term]]*(365/SnapshotTable[[#This Row],[SP Term]]),"")</f>
        <v/>
      </c>
      <c r="CF223" s="236">
        <f>SnapshotTable[[#This Row],[LP Strike Price]] * SnapshotTable[[#This Row],[LP Qty]] * 100</f>
        <v>0</v>
      </c>
      <c r="CG223" s="31" t="e">
        <f>IF(ISNUMBER(SnapshotTable[[#This Row],[SP Premium]]), (SnapshotTable[[#This Row],[SP Qty]] * SnapshotTable[[#This Row],[SP Strike Price]]* 100) - SnapshotTable[[#This Row],[LP Protection]], 0)</f>
        <v>#VALUE!</v>
      </c>
      <c r="CH223" s="7" t="str">
        <f>IF(ISNUMBER(SnapshotTable[[#This Row],[SP Break Even]]),-1 * (SnapshotTable[[#This Row],[SP Break Even]] - SnapshotTable[[#This Row],[Last Price]]) / SnapshotTable[[#This Row],[Last Price]], "")</f>
        <v/>
      </c>
      <c r="CI223" s="31">
        <f>IF(AND(ISNUMBER((SnapshotTable[[#This Row],[SP Potential Spend]])), SnapshotTable[[#This Row],[SP Strike Price]] &gt; SnapshotTable[[#This Row],[Last Price]], SnapshotTable[[#This Row],[SP Is Filled]]), SnapshotTable[[#This Row],[SP Potential Spend]] -  SnapshotTable[[#This Row],[LP Max Value]], 0)</f>
        <v>0</v>
      </c>
      <c r="CJ223" s="244"/>
      <c r="CK223" s="31" t="str">
        <f>IF(ISNUMBER(SnapshotTable[[#This Row],[SP Potential Spend]]),IF(ISNUMBER(SnapshotTable[[#This Row],[SP POW]]), SnapshotTable[[#This Row],[SP POW]] * SnapshotTable[[#This Row],[SP Potential Spend]], SnapshotTable[[#This Row],[SP Potential Spend]]), "")</f>
        <v/>
      </c>
      <c r="CL223" s="164" t="e">
        <f>IF(NOT(SnapshotTable[[#This Row],[SP Is Filled]]),(SnapshotTable[[#This Row],[SP Qty]] * SnapshotTable[[#This Row],[SP Strike Price]] * 100) - SnapshotTable[[#This Row],[LP Max Value]],"")</f>
        <v>#VALUE!</v>
      </c>
      <c r="CM223" s="31" t="str">
        <f>IF(SnapshotTable[[#This Row],[SP Actual Spend]]&lt;&gt;0, ((SnapshotTable[[#This Row],[SP Strike Price]]-SnapshotTable[[#This Row],[Last Price]]) *(SnapshotTable[[#This Row],[SP Qty]]*100) - SnapshotTable[[#This Row],[SP Premium]]) * - 1, "")</f>
        <v/>
      </c>
      <c r="CN223" s="78"/>
      <c r="CO223" s="369"/>
      <c r="CP223" s="4" t="str">
        <f>IF(SnapshotTable[[#This Row],[SP Is Filled]], btc_max_buyback_amount(SnapshotTable[[#This Row],[SP Fill Date]],SnapshotTable[[#This Row],[SP Exp Date]], SnapshotTable[[#This Row],[SP Book Price]]),"")</f>
        <v/>
      </c>
      <c r="CQ223" s="78"/>
      <c r="CR22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3" s="155" t="str">
        <f>IF(SnapshotTable[[#This Row],[SP Is Filled]], btc_next_cutoff_date(SnapshotTable[[#This Row],[SP Fill Date]],SnapshotTable[[#This Row],[SP Exp Date]]),"")</f>
        <v/>
      </c>
      <c r="CT223" s="235" t="str" cm="1">
        <f t="array" ref="CT223">IF(SnapshotTable[[#This Row],[SP Is Filled]], btc_should_buy_back(SnapshotTable[[#This Row],[SP Fill Date]], SnapshotTable[[#This Row],[SP Exp Date]], SnapshotTable[[#This Row],[SP Book Price]], SnapshotTable[[#This Row],[SP Current Ask]], MockToday, SnapshotTable[[#This Row],[SP Buyback Override]]),"")</f>
        <v/>
      </c>
      <c r="CU223" s="143"/>
      <c r="CV223" s="235"/>
      <c r="CW223" s="378" t="str">
        <f>IF(ISNUMBER( SnapshotTable[[#This Row],[SP Term]]), SnapshotTable[[#This Row],[SP Exp Date]] - MockToday,"")</f>
        <v/>
      </c>
      <c r="CX223" s="31" t="str">
        <f>IF(SnapshotTable[[#This Row],[SP Is Filled]],SnapshotTable[[#This Row],[SP Buyback Price to Use]] * 100 * SnapshotTable[[#This Row],[SP Qty]], "")</f>
        <v/>
      </c>
      <c r="CY223" s="4" t="str">
        <f>IF(ISNUMBER(SnapshotTable[[#This Row],[SP Strike Price]]), SnapshotTable[[#This Row],[SP Strike Price]] * (1 - SP_MaxLoss_StrikePct), "")</f>
        <v/>
      </c>
      <c r="CZ223" s="31" t="str">
        <f>IF(ISNUMBER(SnapshotTable[[#This Row],[SP Strike  Stop Per Share]]),SnapshotTable[[#This Row],[SP Premium]] - ((SnapshotTable[[#This Row],[SP Strike Price]]-SnapshotTable[[#This Row],[SP Strike  Stop Per Share]]) *(SnapshotTable[[#This Row],[SP Qty]] * 100)),"")</f>
        <v/>
      </c>
      <c r="DA223" s="4" t="str">
        <f>IF(AND(ISNUMBER(SnapshotTable[[#This Row],[SP Premium]]),SnapshotTable[[#This Row],[SP Premium]]&gt;0), SnapshotTable[[#This Row],[SP Book Price]] * (1 + SP_MaxLoss_OptionPct), "")</f>
        <v/>
      </c>
      <c r="DB223" s="31" t="str">
        <f>IF(ISNUMBER(SnapshotTable[[#This Row],[SP Option  Stop Contract]]),(SnapshotTable[[#This Row],[SP Option  Stop Contract]] *(SnapshotTable[[#This Row],[SP Qty]] * 100) - SnapshotTable[[#This Row],[SP Premium]]),"")</f>
        <v/>
      </c>
      <c r="DC223" s="4"/>
      <c r="DD223" s="4"/>
      <c r="DE223" s="4" t="str">
        <f>IF(AND(SnapshotTable[[#This Row],[SP Qty]]&gt;0, SnapshotTable[[#This Row],[SP Stop To Use]]&gt;0),SnapshotTable[[#This Row],[SP Premium]] - ( SnapshotTable[[#This Row],[SP Qty]] * SnapshotTable[[#This Row],[SP Stop To Use]] * 100), "")</f>
        <v/>
      </c>
      <c r="DF223" s="31" t="str">
        <f>IF(AND(SnapshotTable[[#This Row],[SP Qty]]&gt;0,SnapshotTable[[#This Row],[SP Current Ask]]&gt;0), SnapshotTable[[#This Row],[SP Qty]] * SnapshotTable[[#This Row],[SP Current Ask]] * -100, "")</f>
        <v/>
      </c>
      <c r="DG223" s="31" t="str">
        <f>IF(ISNUMBER((SnapshotTable[[#This Row],[SP Total Value]])), SnapshotTable[[#This Row],[SP Premium]] + SnapshotTable[[#This Row],[SP Total Value]], "")</f>
        <v/>
      </c>
      <c r="DH223" s="294" t="str">
        <f>IF(ISNUMBER((SnapshotTable[[#This Row],[SP Total Value]])), SnapshotTable[[#This Row],[SP Gain Loss]] / SnapshotTable[[#This Row],[SP Premium]], "")</f>
        <v/>
      </c>
      <c r="DI223" s="406"/>
      <c r="DJ223" s="138"/>
      <c r="DK223" s="148"/>
      <c r="DL223" s="13"/>
      <c r="DM223" s="13"/>
      <c r="DO223" s="31">
        <f>IF(SnapshotTable[[#This Row],[LC Symbol Count]]=1, SnapshotTable[[#This Row],[LC Qty]] * SnapshotTable[[#This Row],[LC Book Price]] * 100, 0)</f>
        <v>0</v>
      </c>
      <c r="DP223" s="163" t="str">
        <f>IF(AND(SnapshotTable[[#This Row],[LC Exp Date]]&gt;0, SnapshotTable[[#This Row],[LC Strike Price]]&gt;0,SnapshotTable[[#This Row],[LC Qty]]&gt;0,SnapshotTable[[#This Row],[LC Book Date]]&gt;0,SnapshotTable[[#This Row],[LC Book Price]]&gt;0,SnapshotTable[[#This Row],[LC Fill Date]]=0),"Y","")</f>
        <v/>
      </c>
      <c r="DQ223" s="386" t="str">
        <f>IF(SnapshotTable[[#This Row],[LC Premium]] &gt; 0,SnapshotTable[[#This Row],[LC Exp Date]]-MAX(SnapshotTable[[#This Row],[LC Book Date]], SnapshotTable[[#This Row],[LC Fill Date]]),"")</f>
        <v/>
      </c>
      <c r="DR223" s="386" t="str">
        <f>IF(ISNUMBER(SnapshotTable[[#This Row],[LC Term]]), SnapshotTable[[#This Row],[LC Exp Date]] - MockToday, "")</f>
        <v/>
      </c>
      <c r="DS223" s="234" t="str">
        <f>IF(SnapshotTable[[#This Row],[LC Premium]]&gt;0,SnapshotTable[[#This Row],[LC Strike Price]] + SnapshotTable[[#This Row],[LC Book Price]],"")</f>
        <v/>
      </c>
      <c r="DU223" s="9" t="str">
        <f>IF(AND(SnapshotTable[[#This Row],[LC Symbol Count]]&gt;0, SnapshotTable[[#This Row],[LC Contract Value]]&gt;0), SnapshotTable[[#This Row],[LC Contract Value]] * SnapshotTable[[#This Row],[LC Qty]] * 100, "")</f>
        <v/>
      </c>
      <c r="DV223" s="9" t="str">
        <f>IF(AND(ISNUMBER(SnapshotTable[[#This Row],[LC Total Value]]), SnapshotTable[[#This Row],[LC Not Filled]]&lt;&gt;"Y"), SnapshotTable[[#This Row],[LC Total Value]]-SnapshotTable[[#This Row],[LC Premium]],"")</f>
        <v/>
      </c>
      <c r="DW223" s="240" t="str">
        <f>IF(ISNUMBER(SnapshotTable[[#This Row],[LC Actual Gain Loss]]), SnapshotTable[[#This Row],[LC Actual Gain Loss]] / SnapshotTable[[#This Row],[LC Premium]],"")</f>
        <v/>
      </c>
      <c r="DX223" s="284" t="str">
        <f>IF(ISNUMBER(SnapshotTable[[#This Row],[LC Book Price]]),SnapshotTable[[#This Row],[LC Book Price]] * 1.5,"")</f>
        <v/>
      </c>
      <c r="DY223" s="265" t="str">
        <f>IF(SnapshotTable[[#This Row],[LC Premium]]&gt;0, SnapshotTable[[#This Row],[LC Next Target]] * SnapshotTable[[#This Row],[LC Qty]] * 100,"")</f>
        <v/>
      </c>
      <c r="DZ223" s="265" t="str">
        <f>IF(ISNUMBER(SnapshotTable[[#This Row],[LC Target Gross]]), SnapshotTable[[#This Row],[LC Target Gross]] - SnapshotTable[[#This Row],[LC Premium]], "")</f>
        <v/>
      </c>
      <c r="EA223" s="305" t="str">
        <f>IF(ISNUMBER(SnapshotTable[[#This Row],[LC Target Gain Loss]]), SnapshotTable[[#This Row],[LC Target Gain Loss]]/SnapshotTable[[#This Row],[LC Premium]], "")</f>
        <v/>
      </c>
      <c r="EB223" s="262"/>
      <c r="EC223" s="283" t="str">
        <f>IF(SnapshotTable[[#This Row],[LC Premium]]&gt;0, SnapshotTable[[#This Row],[LC Book Price]] * (1 - LC_StopLoss_Pct),"")</f>
        <v/>
      </c>
      <c r="ED223" s="284"/>
      <c r="EE223" s="283" t="str">
        <f>IF(ISNUMBER(SnapshotTable[[#This Row],[LC Contract Value]]),IF(ISNUMBER(SnapshotTable[[#This Row],[LC Stop Loss Override]]), SnapshotTable[[#This Row],[LC Stop Loss Override]],SnapshotTable[[#This Row],[LC Stop Loss Calc Target]]),"")</f>
        <v/>
      </c>
      <c r="EF223" s="31" t="str">
        <f>IF(ISNUMBER(SnapshotTable[[#This Row],[LC Stop  To Use]]), (SnapshotTable[[#This Row],[LC Stop  To Use]] * SnapshotTable[[#This Row],[LC Qty]] * 100),"")</f>
        <v/>
      </c>
      <c r="EG223" s="9" t="str">
        <f>IF(ISNUMBER(SnapshotTable[[#This Row],[LC Total Value]]),SnapshotTable[[#This Row],[LC Stop Loss Amount]] - SnapshotTable[[#This Row],[LC Premium]],"")</f>
        <v/>
      </c>
      <c r="EH223" s="9">
        <f>IF(ISNUMBER(SnapshotTable[[#This Row],[LC Premium]]), SnapshotTable[[#This Row],[LC Qty]] * 100 * SnapshotTable[[#This Row],[LC Strike Price]], "")</f>
        <v>0</v>
      </c>
      <c r="EI223" s="240" t="str">
        <f>IF(AND(ISNUMBER(SnapshotTable[[#This Row],[LC Total Value]]),SnapshotTable[[#This Row],[LC Total Value]]&gt;0),SnapshotTable[[#This Row],[LC Stop Gain Loss]]  / SnapshotTable[[#This Row],[LC Premium]],"")</f>
        <v/>
      </c>
      <c r="EJ223" s="35">
        <f>IF(ISNUMBER(SnapshotTable[[#This Row],[Equity Shares]]),TRUNC(SnapshotTable[[#This Row],[Equity Shares]] / 100),0) + SnapshotTable[[#This Row],[LC Qty]]</f>
        <v>0</v>
      </c>
      <c r="EK223" s="147"/>
      <c r="EL223" s="138" t="str">
        <f>IF(SnapshotTable[[#This Row],[SC Exp Date]]&lt;&gt;"",TRUNC(SnapshotTable[[#This Row],[Last Price]]),"")</f>
        <v/>
      </c>
      <c r="EM223" s="148"/>
      <c r="EN223" s="147"/>
      <c r="EO223" s="147"/>
      <c r="EP223" s="138"/>
      <c r="EQ223" s="419" t="b">
        <f>AND(ISNUMBER(SnapshotTable[[#This Row],[SC Exp Date]]), ISNUMBER(SnapshotTable[[#This Row],[SC Strike Price]]), ISNUMBER(SnapshotTable[[#This Row],[SC Qty]]), ISNUMBER(SnapshotTable[[#This Row],[SC Book Date]]), ISNUMBER(SnapshotTable[[#This Row],[SC Book Price]]))</f>
        <v>0</v>
      </c>
      <c r="ER223" s="419" t="b">
        <f>AND(SnapshotTable[[#This Row],[SC Is Booked]], NOT(ISBLANK(SnapshotTable[[#This Row],[SC Fill Date]])))</f>
        <v>0</v>
      </c>
      <c r="ES223" s="370"/>
      <c r="ET223" s="34" t="str">
        <f>IF(AND(ISNUMBER(SnapshotTable[[#This Row],[SC Exp Date]]), ISNUMBER(SnapshotTable[[#This Row],[SC Book Date]])), SnapshotTable[[#This Row],[SC Exp Date]] - MAX(SnapshotTable[[#This Row],[SC Book Date]], SnapshotTable[[#This Row],[SC Fill Date]]) + 1, "")</f>
        <v/>
      </c>
      <c r="EU223" s="34" t="str">
        <f>IF(ISNUMBER(SnapshotTable[[#This Row],[SC Term]]), SnapshotTable[[#This Row],[SC Exp Date]]- MockToday, "")</f>
        <v/>
      </c>
      <c r="EV223" s="31">
        <f>IF(SnapshotTable[[#This Row],[SC Is Booked]], SnapshotTable[[#This Row],[SC Qty]] * SnapshotTable[[#This Row],[SC Book Price]] * 100, 0)</f>
        <v>0</v>
      </c>
      <c r="EW223" s="4" t="str">
        <f>IF(AND(ISNUMBER(SnapshotTable[[#This Row],[Last Price]]), ISNUMBER( SnapshotTable[[#This Row],[SC Book Price]])), SnapshotTable[[#This Row],[Last Price]] - SnapshotTable[[#This Row],[SC Book Price]],"")</f>
        <v/>
      </c>
      <c r="EX223" s="234" t="str">
        <f>IF(SnapshotTable[[#This Row],[SC Is Booked]],IF(SnapshotTable[[#This Row],[SC Intrinsic Value]] &gt; 0, SnapshotTable[[#This Row],[SC Strike Price]], SnapshotTable[[#This Row],[Last Price]]), "")</f>
        <v/>
      </c>
      <c r="EY223" s="4">
        <f>IF(SnapshotTable[[#This Row],[SC Is Booked]], (MinimumPremiumRequired * SnapshotTable[[#This Row],[SC Basis]] * SnapshotTable[[#This Row],[SC Term]]), 0)</f>
        <v>0</v>
      </c>
      <c r="EZ223" s="283"/>
      <c r="FA223" s="218"/>
      <c r="FB223" s="370"/>
      <c r="FC223" s="4">
        <f>IF(SnapshotTable[[#This Row],[SC Is Filled]], btc_max_buyback_amount(SnapshotTable[[#This Row],[SC Fill Date]],SnapshotTable[[#This Row],[SC Exp Date]], SnapshotTable[[#This Row],[SC Book Price]]),0)</f>
        <v>0</v>
      </c>
      <c r="FD223" s="5"/>
      <c r="FE223" s="144" t="str">
        <f>IF(SnapshotTable[[#This Row],[SC Is Filled]], btc_next_cutoff_date(SnapshotTable[[#This Row],[SC Fill Date]],SnapshotTable[[#This Row],[SC Exp Date]]),"")</f>
        <v/>
      </c>
      <c r="FF223" s="4" t="str" cm="1">
        <f t="array" ref="FF223">IF(SnapshotTable[[#This Row],[SC Is Filled]], btc_should_buy_back(SnapshotTable[[#This Row],[SC Fill Date]], SnapshotTable[[#This Row],[SC Exp Date]], SnapshotTable[[#This Row],[SC Book Price]], SnapshotTable[[#This Row],[SC Current Ask]], MockToday, SnapshotTable[[#This Row],[SC Buyback Override]]),"")</f>
        <v/>
      </c>
      <c r="FG223" s="4">
        <f>IF(SnapshotTable[[#This Row],[SC Is Filled]], MAX(0,SnapshotTable[[#This Row],[Last Price]]  - SnapshotTable[[#This Row],[SC Strike Price]]), 0)</f>
        <v>0</v>
      </c>
      <c r="FH223" s="382">
        <f>IF(SnapshotTable[[#This Row],[SC Is Filled]], IF(ISNUMBER(SnapshotTable[[#This Row],[SC Current Ask]]), SnapshotTable[[#This Row],[SC Current Ask]], SnapshotTable[[#This Row],[SC Book Price]]) - SnapshotTable[[#This Row],[SC Intrinsic Value]], 0)</f>
        <v>0</v>
      </c>
      <c r="FI223" s="143"/>
      <c r="FJ223" s="32" t="str">
        <f>IF(SnapshotTable[[#This Row],[SC Is Filled]],100 * SnapshotTable[[#This Row],[SC Qty]] * IF(ISNUMBER(SnapshotTable[[#This Row],[SC Buyback Override]]), SnapshotTable[[#This Row],[SC Buyback Override]], SnapshotTable[[#This Row],[SC Current Ask]]), "")</f>
        <v/>
      </c>
      <c r="FK223" s="250" t="str">
        <f>IF(SnapshotTable[[#This Row],[SC Time Val]]&gt;0, SnapshotTable[[#This Row],[SC Time Val]] / SnapshotTable[[#This Row],[Last Price]],"")</f>
        <v/>
      </c>
      <c r="FL223" s="302" t="str">
        <f>IF(SnapshotTable[[#This Row],[SC Is Booked]], ((SnapshotTable[[#This Row],[Last Price]] -SnapshotTable[[#This Row],[SC Strike Price]]) / SnapshotTable[[#This Row],[Last Price]]) * -1, "")</f>
        <v/>
      </c>
      <c r="FM223" s="157" t="str">
        <f>IF(SnapshotTable[[#This Row],[SC Is Booked]],  (SnapshotTable[[#This Row],[SC Qty]] * 100 * SnapshotTable[[#This Row],[SC Strike Price]]) - SnapshotTable[[#This Row],[SC Current Ask]], "")</f>
        <v/>
      </c>
      <c r="FN22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3" s="31" t="str">
        <f>IF(AND(ISNUMBER(SnapshotTable[[#This Row],[SC Exercise Gross]]), ISNUMBER(SnapshotTable[[#This Row],[Equity Basis Per Share]] )), SnapshotTable[[#This Row],[SC Exercise Gross]] - SnapshotTable[[#This Row],[Equity Basis Total]] +  SnapshotTable[[#This Row],[SC Premium]], "")</f>
        <v/>
      </c>
      <c r="FP223" s="5" t="str">
        <f>IF(ISNUMBER(SnapshotTable[[#This Row],[SC Exercise Gross]]), (SnapshotTable[[#This Row],[SC Exercise Gross]]) / (SnapshotTable[[#This Row],[SC Qty]] * 100), "")</f>
        <v/>
      </c>
      <c r="FQ223" s="27" t="str">
        <f>IF(SnapshotTable[[#This Row],[SC Is Booked]],SnapshotTable[[#This Row],[SC Time Val]] /SnapshotTable[[#This Row],[SC Basis]], "")</f>
        <v/>
      </c>
      <c r="FR223" s="27" t="str" cm="1">
        <f t="array" ref="FR223">IF(AND(ISNUMBER(SnapshotTable[[#This Row],[SC Term]]),ISNUMBER(SnapshotTable[[#This Row],[SC Simple ROO]])), EllmanAnnualize(SnapshotTable[[#This Row],[SC DTE]], SnapshotTable[[#This Row],[SC Simple ROO]] ),"")</f>
        <v/>
      </c>
      <c r="FS223" s="4" t="e">
        <f>IF(SnapshotTable[[#This Row],[SC Strike Price]] &gt; SnapshotTable[[#This Row],[Last Price]], SnapshotTable[[#This Row],[SC Strike Price]] - SnapshotTable[[#This Row],[Last Price]],0)</f>
        <v>#VALUE!</v>
      </c>
      <c r="FT223" s="27" t="e">
        <f>IF(AND(ISNUMBER(SnapshotTable[[#This Row],[SC Upside Potential]]), SnapshotTable[[#This Row],[SC Upside Potential]] &gt; 0),(SnapshotTable[[#This Row],[SC Upside Potential]]/ SnapshotTable[[#This Row],[ACB]]),"")</f>
        <v>#VALUE!</v>
      </c>
      <c r="FU223" s="333" t="str">
        <f>IF(SnapshotTable[[#This Row],[SC Intrinsic Value]] &gt; 0,SnapshotTable[[#This Row],[SC Intrinsic Value]],"")</f>
        <v/>
      </c>
      <c r="FV223" s="27" t="str">
        <f>IF(AND( ISNUMBER( SnapshotTable[[#This Row],[ACB]]),ISNUMBER(SnapshotTable[[#This Row],[SC Downside Protect]])),SnapshotTable[[#This Row],[SC Downside Protect]] / SnapshotTable[[#This Row],[ACB]],"")</f>
        <v/>
      </c>
      <c r="FW223" s="236" t="str">
        <f>IF(AND(ISNUMBER(SnapshotTable[[#This Row],[SC Simple ROO]]),SnapshotTable[[#This Row],[SC Simple ROO]] &gt; 0), SnapshotTable[[#This Row],[SC Premium]] + (SnapshotTable[[#This Row],[SC Qty]] * SnapshotTable[[#This Row],[SC Upside Potential]]), "")</f>
        <v/>
      </c>
      <c r="FX223" s="302" t="str" cm="1">
        <f t="array" ref="FX223">IF(ISNUMBER(SnapshotTable[[#This Row],[SC Max Dollars]]), annualize(SnapshotTable[[#This Row],[SC Term]],(SnapshotTable[[#This Row],[SC Max Dollars]]/SnapshotTable[[#This Row],[SC Basis]])),"")</f>
        <v/>
      </c>
      <c r="FY223" s="236" t="str">
        <f>IF(AND(SnapshotTable[[#This Row],[SC Qty]]&gt;0,SnapshotTable[[#This Row],[SC Current Ask]]&gt;0), SnapshotTable[[#This Row],[SC Qty]] * SnapshotTable[[#This Row],[SC Current Ask]] * -100, "")</f>
        <v/>
      </c>
      <c r="FZ223" s="31" t="str">
        <f>IF(ISNUMBER((SnapshotTable[[#This Row],[SC Current Value]])), SnapshotTable[[#This Row],[SC Premium]] + SnapshotTable[[#This Row],[SC Current Value]], "")</f>
        <v/>
      </c>
      <c r="GA223" s="294" t="str">
        <f>IFERROR( IF(ISNUMBER((SnapshotTable[[#This Row],[SC Current Value]])), SnapshotTable[[#This Row],[SC Gain Loss]] / SnapshotTable[[#This Row],[SC Premium]], ""), "")</f>
        <v/>
      </c>
      <c r="GB223" s="42">
        <f>SnapshotTable[[#This Row],[Equity Shares]] * SaleSharesToConsiderPercentage</f>
        <v>0</v>
      </c>
      <c r="GC223" s="40">
        <f>SnapshotTable[[#This Row],[Long Term Target]] * SellingPriceToConsiderBasedOnTargetPercentage</f>
        <v>19.835999999999999</v>
      </c>
      <c r="GD223" s="40">
        <f>SnapshotTable[[#This Row],[Last Price]] * (1+ SellingPriceToConsiderBasedOnTargetPercentage)</f>
        <v>37.205999999999996</v>
      </c>
      <c r="GE223" s="41"/>
      <c r="GF223" s="40"/>
      <c r="GG223" s="31">
        <f>SnapshotTable[[#This Row],[Booked Sale Shares]] * SnapshotTable[[#This Row],[Booked Sale Price]]</f>
        <v>0</v>
      </c>
      <c r="GH223" s="31" t="str">
        <f>IF(SnapshotTable[[#This Row],[Equity Basis Total]] &gt; 0, SnapshotTable[[#This Row],[Equity Basis Per Share]] * SnapshotTable[[#This Row],[Booked Sale Shares]], "")</f>
        <v/>
      </c>
      <c r="GI223" s="31">
        <f>IF(SnapshotTable[[#This Row],[Sale Proceeds]]&gt;0, SnapshotTable[[#This Row],[Sale Proceeds]] - SnapshotTable[[#This Row],[Sale Basis]], 0)</f>
        <v>0</v>
      </c>
      <c r="GJ223" s="27" t="str">
        <f>IF(SnapshotTable[[#This Row],[Sale G/L]]&gt;0, SnapshotTable[[#This Row],[Sale G/L]] / SnapshotTable[[#This Row],[Sale Basis]], IF(ISNUMBER(SnapshotTable[[#This Row],[SC Exercise P&amp;L (TAX)]]), SnapshotTable[[#This Row],[SC Exercise P&amp;L (TAX)]] / SnapshotTable[[#This Row],[SC Basis]], ""))</f>
        <v/>
      </c>
      <c r="GK223" s="27" t="s">
        <v>735</v>
      </c>
      <c r="GL223" s="43" t="str">
        <f>IF(AND(SnapshotTable[[#This Row],[LP Exp Date]]&gt;0,SnapshotTable[[#This Row],[LP Strike Price]]&gt;0), [1]!ToOptionSymbol(SnapshotTable[[#This Row],[Symbol]], SnapshotTable[[#This Row],[LP Strike Price]],SnapshotTable[[#This Row],[LP Exp Date]],1), "")</f>
        <v/>
      </c>
      <c r="GM223" s="30" t="str">
        <f>IF(LEN(SnapshotTable[[#This Row],[LP Symbol]])&gt;0, 1, "")</f>
        <v/>
      </c>
      <c r="GN223" s="43" t="str">
        <f>IF(AND(SnapshotTable[[#This Row],[SP Exp Date]]&gt;0,SnapshotTable[[#This Row],[SP Strike Price]]&gt;0), [1]!ToOptionSymbol(SnapshotTable[[#This Row],[Symbol]], SnapshotTable[[#This Row],[SP Strike Price]],SnapshotTable[[#This Row],[SP Exp Date]],1), "")</f>
        <v/>
      </c>
      <c r="GO223" s="30" t="str">
        <f>IF(LEN(SnapshotTable[[#This Row],[SP Symbol]])&gt;0, 1, "")</f>
        <v/>
      </c>
      <c r="GP223" s="43" t="str">
        <f>IF(AND(SnapshotTable[[#This Row],[LC Exp Date]]&gt;0,SnapshotTable[[#This Row],[LC Strike Price]]&gt;0), [1]!ToOptionSymbol(SnapshotTable[[#This Row],[Symbol]], SnapshotTable[[#This Row],[LC Strike Price]],SnapshotTable[[#This Row],[LC Exp Date]],0), "")</f>
        <v/>
      </c>
      <c r="GQ223" s="30" t="str">
        <f>IF(LEN(SnapshotTable[[#This Row],[LC Symbol]])&gt;0, 1, "")</f>
        <v/>
      </c>
      <c r="GR223" s="43" t="str">
        <f>IF(AND(SnapshotTable[[#This Row],[SC Exp Date]]&gt;0,SnapshotTable[[#This Row],[SC Strike Price]]&gt;0), [1]!ToOptionSymbol(SnapshotTable[[#This Row],[Symbol]], SnapshotTable[[#This Row],[SC Strike Price]],SnapshotTable[[#This Row],[SC Exp Date]],0), "")</f>
        <v/>
      </c>
      <c r="GS223" s="30" t="str">
        <f>IF(LEN(SnapshotTable[[#This Row],[SC Symbol]])&gt;0, 1, "")</f>
        <v/>
      </c>
      <c r="GT223" s="29" t="str">
        <f>IF(COUNT(SnapshotTable[[#This Row],[LP Symbol Count]],SnapshotTable[[#This Row],[SP Symbol Count]],SnapshotTable[[#This Row],[LC Symbol Count]],SnapshotTable[[#This Row],[SC Symbol Count]])&gt;0, "Y", "")</f>
        <v/>
      </c>
      <c r="GU22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3" s="231" t="e">
        <f>MAX(SnapshotTable[[#This Row],[Equity Basis Total]],SnapshotTable[[#This Row],[Equity Value]]) + (SnapshotTable[[#This Row],[SP Potential Spend]]- SnapshotTable[[#This Row],[SP Premium]] + SnapshotTable[[#This Row],[LP Premium]])+ (SnapshotTable[[#This Row],[LC Premium]] - SnapshotTable[[#This Row],[SC Premium]])</f>
        <v>#VALUE!</v>
      </c>
      <c r="GW223" s="139" t="e">
        <f>IF(AND(SnapshotTable[[#This Row],[Exposure]] &lt;&gt; 0),SnapshotTable[[#This Row],[Exposure]] / SnapshotTable[[#Totals],[Exposure]], "")</f>
        <v>#VALUE!</v>
      </c>
      <c r="GX223" s="5"/>
      <c r="HE223" s="268"/>
      <c r="HF223" s="268"/>
      <c r="HK223" s="1"/>
      <c r="HL223" s="1"/>
      <c r="HM223" s="1"/>
      <c r="HN223" s="1"/>
      <c r="HO223" s="1"/>
      <c r="HP223" s="1"/>
    </row>
    <row r="224" spans="2:224" ht="12.75" hidden="1" customHeight="1" x14ac:dyDescent="0.25">
      <c r="B224" s="12" t="s">
        <v>497</v>
      </c>
      <c r="C224" s="422">
        <v>47.89</v>
      </c>
      <c r="D224" s="208" t="s">
        <v>578</v>
      </c>
      <c r="E224" s="39">
        <f>SnapshotTable[[#This Row],[Last Price]]*(1 -CrashDiscount)</f>
        <v>40.706499999999998</v>
      </c>
      <c r="F224" s="26" t="s">
        <v>970</v>
      </c>
      <c r="G224" s="26" t="s">
        <v>872</v>
      </c>
      <c r="H224" s="149"/>
      <c r="I224" s="194">
        <v>44959</v>
      </c>
      <c r="J224" s="195">
        <v>44959</v>
      </c>
      <c r="K224" s="196"/>
      <c r="L224" s="326"/>
      <c r="M224" s="140"/>
      <c r="N224" s="140"/>
      <c r="O224" s="140"/>
      <c r="P224" s="22"/>
      <c r="Q224" s="25"/>
      <c r="R224" s="4" t="str">
        <f>IF(SnapshotTable[[#This Row],[Equity Basis Total]] &gt; 0, SnapshotTable[[#This Row],[Equity Basis Total]] / SnapshotTable[[#This Row],[Equity Shares]], "")</f>
        <v/>
      </c>
      <c r="S224" s="269">
        <f>SnapshotTable[[#This Row],[Last Price]] * SnapshotTable[[#This Row],[Equity Shares]]</f>
        <v>0</v>
      </c>
      <c r="T224" s="269">
        <f>SnapshotTable[[#This Row],[Equity Value]] - SnapshotTable[[#This Row],[Equity Basis Total]]</f>
        <v>0</v>
      </c>
      <c r="U224" s="270" t="str">
        <f>IF(SnapshotTable[[#This Row],[Equity Basis Total]] &gt; 0, SnapshotTable[[#This Row],[Equity G/L]] / SnapshotTable[[#This Row],[Equity Basis Total]], "")</f>
        <v/>
      </c>
      <c r="V224" s="268">
        <v>10.5</v>
      </c>
      <c r="W224" s="268">
        <v>9.0299999999999994</v>
      </c>
      <c r="X224" s="4" t="str">
        <f>IF(AND(ISNUMBER(SnapshotTable[[#This Row],[Equity Basis Per Share]]),ISNUMBER(SnapshotTable[[#This Row],[Equity Target]])),SnapshotTable[[#This Row],[Equity Target]]-SnapshotTable[[#This Row],[Equity Basis Per Share]],"")</f>
        <v/>
      </c>
      <c r="Y224" s="4" t="str">
        <f>IF(AND(ISNUMBER(SnapshotTable[[#This Row],[Equity Basis Per Share]]),ISNUMBER(SnapshotTable[[#This Row],[Equity Stop Loss]])),SnapshotTable[[#This Row],[Equity Stop Loss]]-SnapshotTable[[#This Row],[Equity Basis Per Share]],"")</f>
        <v/>
      </c>
      <c r="Z224" s="275" t="str">
        <f>IFERROR( TEXT(SnapshotTable[[#This Row],[Equity Max Gain Per Share]] /ABS( SnapshotTable[[#This Row],[Equity Max Loss Per Share]]),"0.0 " ) &amp; " : 1", "")</f>
        <v/>
      </c>
      <c r="AA224" s="31" t="str">
        <f>IF(ISNUMBER(SnapshotTable[[#This Row],[Equity Max Gain Per Share]]),SnapshotTable[[#This Row],[Equity Max Gain Per Share]] * SnapshotTable[[#This Row],[Equity Shares]],"")</f>
        <v/>
      </c>
      <c r="AB224" s="31" t="str">
        <f>IF(ISNUMBER(SnapshotTable[[#This Row],[Equity Max Loss Per Share]]),SnapshotTable[[#This Row],[Equity Max Loss Per Share]] * SnapshotTable[[#This Row],[Equity Shares]],"")</f>
        <v/>
      </c>
      <c r="AC224" s="150"/>
      <c r="AD224" s="151"/>
      <c r="AE224" s="31">
        <f>(SnapshotTable[[#This Row],[Annual Dividend Per Share]] / 4) * SnapshotTable[[#This Row],[Equity Shares]]</f>
        <v>0</v>
      </c>
      <c r="AF224" s="31">
        <f>SnapshotTable[[#This Row],[Quarterly Div $]] * 4</f>
        <v>0</v>
      </c>
      <c r="AG224" s="7">
        <f>IF(SnapshotTable[[#This Row],[Annual Dividend Per Share]]&gt;0, SnapshotTable[[#This Row],[Annual Dividend Per Share]]  / SnapshotTable[[#This Row],[Last Price]], 0)</f>
        <v>0</v>
      </c>
      <c r="AH224" s="151"/>
      <c r="AI224" s="5"/>
      <c r="AJ224" s="138">
        <v>23.21</v>
      </c>
      <c r="AK224" s="152" t="str">
        <f>IF(ISNUMBER( SnapshotTable[[#This Row],[EBF Target]]),(SnapshotTable[[#This Row],[EBF Target]] - SnapshotTable[[#This Row],[Last Price]]) / SnapshotTable[[#This Row],[Last Price]], "")</f>
        <v/>
      </c>
      <c r="AL224" s="152" t="str">
        <f>IF(AND(SnapshotTable[[#This Row],[Equity Basis Total]] &gt; 0,ISNUMBER( SnapshotTable[[#This Row],[Long Term Target]])), SnapshotTable[[#This Row],[From Basis $]] / SnapshotTable[[#This Row],[Equity Basis Total]], "")</f>
        <v/>
      </c>
      <c r="AM224" s="9">
        <f>IF( AND(SnapshotTable[[#This Row],[Equity Shares]] &gt;0,ISNUMBER( SnapshotTable[[#This Row],[Long Term Target]])),(SnapshotTable[[#This Row],[Equity Shares]] * SnapshotTable[[#This Row],[Long Term Target]]) - SnapshotTable[[#This Row],[Equity Basis Total]],0)</f>
        <v>0</v>
      </c>
      <c r="AN224" s="9">
        <f>IF( AND(SnapshotTable[[#This Row],[Equity Shares]] &gt;0,ISNUMBER( SnapshotTable[[#This Row],[Long Term Target]])),(SnapshotTable[[#This Row],[Equity Shares]]*SnapshotTable[[#This Row],[Long Term Target]]) - SnapshotTable[[#This Row],[Equity Value]],0)</f>
        <v>0</v>
      </c>
      <c r="AO224" s="152">
        <f>IF(AND(ISNUMBER( SnapshotTable[[#This Row],[Long Term Target]]), ISNUMBER(SnapshotTable[[#This Row],[Last Price]])),(SnapshotTable[[#This Row],[Long Term Target]] - SnapshotTable[[#This Row],[Last Price]]) / SnapshotTable[[#This Row],[Last Price]], "")</f>
        <v>-0.51534767174775531</v>
      </c>
      <c r="AP224" s="5">
        <v>10.5</v>
      </c>
      <c r="AQ224" s="38" t="s">
        <v>89</v>
      </c>
      <c r="AR224" s="5">
        <v>9.0299999999999994</v>
      </c>
      <c r="AS224" s="38" t="s">
        <v>32</v>
      </c>
      <c r="AT224" s="146"/>
      <c r="AU224" s="187" t="str">
        <f>IF(OR(SnapshotTable[[#This Row],[LP No Fill]]="Y",SnapshotTable[[#This Row],[SP Is Filled]],SnapshotTable[[#This Row],[LC Not Filled]]="Y",SnapshotTable[[#This Row],[SC Is Filled]]),"Y","")</f>
        <v/>
      </c>
      <c r="AV224" s="219"/>
      <c r="AW224" s="225"/>
      <c r="AX224" s="220"/>
      <c r="AY224" s="219" t="str">
        <f>IF(SnapshotTable[[#This Row],[Implied Move]]&gt;0, SnapshotTable[[#This Row],[Last Price]]-SnapshotTable[[#This Row],[Implied Move]],"")</f>
        <v/>
      </c>
      <c r="AZ224" s="219" t="str">
        <f>IF(SnapshotTable[[#This Row],[Implied Move]]&gt;0, SnapshotTable[[#This Row],[Last Price]] + SnapshotTable[[#This Row],[Implied Move]],"")</f>
        <v/>
      </c>
      <c r="BA224" s="331">
        <v>9.33</v>
      </c>
      <c r="BB224" s="347"/>
      <c r="BC22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4" s="351"/>
      <c r="BE224" s="188"/>
      <c r="BF224" s="189"/>
      <c r="BG224" s="190"/>
      <c r="BH224" s="190"/>
      <c r="BI224" s="5"/>
      <c r="BJ224" s="153">
        <f>IF(SnapshotTable[[#This Row],[LP Qty]] &gt; 0, SnapshotTable[[#This Row],[LP Qty]] * SnapshotTable[[#This Row],[LP Book Price]] * 100,0)</f>
        <v>0</v>
      </c>
      <c r="BK224" s="136">
        <f>IF(SnapshotTable[[#This Row],[LP Premium]] &gt; 0, SnapshotTable[[#This Row],[LP Qty]] * SnapshotTable[[#This Row],[LP Strike Price]] * 100,0)</f>
        <v>0</v>
      </c>
      <c r="BL224" s="154"/>
      <c r="BM224" s="385" t="str">
        <f>IF(SnapshotTable[[#This Row],[LP Premium]] &gt; 0,SnapshotTable[[#This Row],[LP Exp Date]]-MAX(SnapshotTable[[#This Row],[LP Book Date]], SnapshotTable[[#This Row],[LP Fill Date]]),"")</f>
        <v/>
      </c>
      <c r="BN224" s="385" t="str">
        <f>IF(ISNUMBER( SnapshotTable[[#This Row],[LP Term]]), SnapshotTable[[#This Row],[LP Exp Date]] - MockToday,"")</f>
        <v/>
      </c>
      <c r="BO224" s="163" t="str">
        <f>IF(AND(SnapshotTable[[#This Row],[LP Exp Date]]&gt;0, SnapshotTable[[#This Row],[LP Strike Price]]&gt;0,SnapshotTable[[#This Row],[LP Qty]]&gt;0,SnapshotTable[[#This Row],[LP Book Date]]&gt;0,SnapshotTable[[#This Row],[LP Book Price]]&gt;0,SnapshotTable[[#This Row],[LP Fill Date]]=0),"Y","")</f>
        <v/>
      </c>
      <c r="BP224" s="31" t="str">
        <f>IF(AND(SnapshotTable[[#This Row],[LP No Fill]]&lt;&gt;"Y",SnapshotTable[[#This Row],[LP Contract Value]]&gt;0, SnapshotTable[[#This Row],[LP Qty]]&gt;0), SnapshotTable[[#This Row],[LP Contract Value]]*SnapshotTable[[#This Row],[LP Qty]]*100,"")</f>
        <v/>
      </c>
      <c r="BQ224" s="13"/>
      <c r="BR224" s="5" t="str">
        <f>IF(SnapshotTable[[#This Row],[SP Exp Date]]&lt;&gt;"",TRUNC(SnapshotTable[[#This Row],[Last Price]]),"")</f>
        <v/>
      </c>
      <c r="BS224" s="36"/>
      <c r="BT224" s="147"/>
      <c r="BU224" s="13"/>
      <c r="BV224" s="5"/>
      <c r="BW224" s="419" t="b">
        <f>AND(ISNUMBER(SnapshotTable[[#This Row],[SP Exp Date]]), ISNUMBER(SnapshotTable[[#This Row],[SP Strike Price]]), ISNUMBER(SnapshotTable[[#This Row],[SP Qty]]), ISNUMBER(SnapshotTable[[#This Row],[SP Book Date]]), ISNUMBER(SnapshotTable[[#This Row],[SP Book Price]]))</f>
        <v>0</v>
      </c>
      <c r="BX224" s="419" t="b">
        <f>AND(SnapshotTable[[#This Row],[SP Is Booked]], NOT(ISBLANK(SnapshotTable[[#This Row],[SP Fill Date]])))</f>
        <v>0</v>
      </c>
      <c r="BY224" s="33">
        <f>IF(SnapshotTable[[#This Row],[SP Is Booked]], SnapshotTable[[#This Row],[SP Qty]] * SnapshotTable[[#This Row],[SP Book Price]] * 100, 0)</f>
        <v>0</v>
      </c>
      <c r="BZ224" s="369"/>
      <c r="CA224" s="368">
        <f>SnapshotTable[[#This Row],[LP Qty]]</f>
        <v>0</v>
      </c>
      <c r="CB224" s="4" t="str">
        <f>IF(SnapshotTable[[#This Row],[SP Is Booked]], SnapshotTable[[#This Row],[SP Strike Price]] - SnapshotTable[[#This Row],[SP Book Price]], "")</f>
        <v/>
      </c>
      <c r="CC224" s="19" t="str">
        <f>IF(SnapshotTable[[#This Row],[SP Is Booked]],SnapshotTable[[#This Row],[SP Exp Date]]-MAX(SnapshotTable[[#This Row],[SP Book Date]], SnapshotTable[[#This Row],[SP Fill Date]]),"")</f>
        <v/>
      </c>
      <c r="CD224" s="7" t="str">
        <f>IF(SnapshotTable[[#This Row],[SP Is Booked]], SnapshotTable[[#This Row],[SP Book Price]]/SnapshotTable[[#This Row],[SP Strike Price]], "")</f>
        <v/>
      </c>
      <c r="CE224" s="7" t="str">
        <f>IF(ISNUMBER(SnapshotTable[[#This Row],[SP ROO Term]]),SnapshotTable[[#This Row],[SP ROO Term]]*(365/SnapshotTable[[#This Row],[SP Term]]),"")</f>
        <v/>
      </c>
      <c r="CF224" s="236">
        <f>SnapshotTable[[#This Row],[LP Strike Price]] * SnapshotTable[[#This Row],[LP Qty]] * 100</f>
        <v>0</v>
      </c>
      <c r="CG224" s="31" t="e">
        <f>IF(ISNUMBER(SnapshotTable[[#This Row],[SP Premium]]), (SnapshotTable[[#This Row],[SP Qty]] * SnapshotTable[[#This Row],[SP Strike Price]]* 100) - SnapshotTable[[#This Row],[LP Protection]], 0)</f>
        <v>#VALUE!</v>
      </c>
      <c r="CH224" s="7" t="str">
        <f>IF(ISNUMBER(SnapshotTable[[#This Row],[SP Break Even]]),-1 * (SnapshotTable[[#This Row],[SP Break Even]] - SnapshotTable[[#This Row],[Last Price]]) / SnapshotTable[[#This Row],[Last Price]], "")</f>
        <v/>
      </c>
      <c r="CI224" s="31">
        <f>IF(AND(ISNUMBER((SnapshotTable[[#This Row],[SP Potential Spend]])), SnapshotTable[[#This Row],[SP Strike Price]] &gt; SnapshotTable[[#This Row],[Last Price]], SnapshotTable[[#This Row],[SP Is Filled]]), SnapshotTable[[#This Row],[SP Potential Spend]] -  SnapshotTable[[#This Row],[LP Max Value]], 0)</f>
        <v>0</v>
      </c>
      <c r="CJ224" s="244"/>
      <c r="CK224" s="31" t="str">
        <f>IF(ISNUMBER(SnapshotTable[[#This Row],[SP Potential Spend]]),IF(ISNUMBER(SnapshotTable[[#This Row],[SP POW]]), SnapshotTable[[#This Row],[SP POW]] * SnapshotTable[[#This Row],[SP Potential Spend]], SnapshotTable[[#This Row],[SP Potential Spend]]), "")</f>
        <v/>
      </c>
      <c r="CL224" s="164" t="e">
        <f>IF(NOT(SnapshotTable[[#This Row],[SP Is Filled]]),(SnapshotTable[[#This Row],[SP Qty]] * SnapshotTable[[#This Row],[SP Strike Price]] * 100) - SnapshotTable[[#This Row],[LP Max Value]],"")</f>
        <v>#VALUE!</v>
      </c>
      <c r="CM224" s="31" t="str">
        <f>IF(SnapshotTable[[#This Row],[SP Actual Spend]]&lt;&gt;0, ((SnapshotTable[[#This Row],[SP Strike Price]]-SnapshotTable[[#This Row],[Last Price]]) *(SnapshotTable[[#This Row],[SP Qty]]*100) - SnapshotTable[[#This Row],[SP Premium]]) * - 1, "")</f>
        <v/>
      </c>
      <c r="CN224" s="154"/>
      <c r="CO224" s="369"/>
      <c r="CP224" s="4" t="str">
        <f>IF(SnapshotTable[[#This Row],[SP Is Filled]], btc_max_buyback_amount(SnapshotTable[[#This Row],[SP Fill Date]],SnapshotTable[[#This Row],[SP Exp Date]], SnapshotTable[[#This Row],[SP Book Price]]),"")</f>
        <v/>
      </c>
      <c r="CQ224" s="78"/>
      <c r="CR22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4" s="155" t="str">
        <f>IF(SnapshotTable[[#This Row],[SP Is Filled]], btc_next_cutoff_date(SnapshotTable[[#This Row],[SP Fill Date]],SnapshotTable[[#This Row],[SP Exp Date]]),"")</f>
        <v/>
      </c>
      <c r="CT224" s="235" t="str" cm="1">
        <f t="array" ref="CT224">IF(SnapshotTable[[#This Row],[SP Is Filled]], btc_should_buy_back(SnapshotTable[[#This Row],[SP Fill Date]], SnapshotTable[[#This Row],[SP Exp Date]], SnapshotTable[[#This Row],[SP Book Price]], SnapshotTable[[#This Row],[SP Current Ask]], MockToday, SnapshotTable[[#This Row],[SP Buyback Override]]),"")</f>
        <v/>
      </c>
      <c r="CU224" s="156"/>
      <c r="CV224" s="235"/>
      <c r="CW224" s="378" t="str">
        <f>IF(ISNUMBER( SnapshotTable[[#This Row],[SP Term]]), SnapshotTable[[#This Row],[SP Exp Date]] - MockToday,"")</f>
        <v/>
      </c>
      <c r="CX224" s="31" t="str">
        <f>IF(SnapshotTable[[#This Row],[SP Is Filled]],SnapshotTable[[#This Row],[SP Buyback Price to Use]] * 100 * SnapshotTable[[#This Row],[SP Qty]], "")</f>
        <v/>
      </c>
      <c r="CY224" s="4" t="str">
        <f>IF(ISNUMBER(SnapshotTable[[#This Row],[SP Strike Price]]), SnapshotTable[[#This Row],[SP Strike Price]] * (1 - SP_MaxLoss_StrikePct), "")</f>
        <v/>
      </c>
      <c r="CZ224" s="31" t="str">
        <f>IF(ISNUMBER(SnapshotTable[[#This Row],[SP Strike  Stop Per Share]]),SnapshotTable[[#This Row],[SP Premium]] - ((SnapshotTable[[#This Row],[SP Strike Price]]-SnapshotTable[[#This Row],[SP Strike  Stop Per Share]]) *(SnapshotTable[[#This Row],[SP Qty]] * 100)),"")</f>
        <v/>
      </c>
      <c r="DA224" s="4" t="str">
        <f>IF(AND(ISNUMBER(SnapshotTable[[#This Row],[SP Premium]]),SnapshotTable[[#This Row],[SP Premium]]&gt;0), SnapshotTable[[#This Row],[SP Book Price]] * (1 + SP_MaxLoss_OptionPct), "")</f>
        <v/>
      </c>
      <c r="DB224" s="31" t="str">
        <f>IF(ISNUMBER(SnapshotTable[[#This Row],[SP Option  Stop Contract]]),(SnapshotTable[[#This Row],[SP Option  Stop Contract]] *(SnapshotTable[[#This Row],[SP Qty]] * 100) - SnapshotTable[[#This Row],[SP Premium]]),"")</f>
        <v/>
      </c>
      <c r="DC224" s="4"/>
      <c r="DD224" s="4"/>
      <c r="DE224" s="4" t="str">
        <f>IF(AND(SnapshotTable[[#This Row],[SP Qty]]&gt;0, SnapshotTable[[#This Row],[SP Stop To Use]]&gt;0),SnapshotTable[[#This Row],[SP Premium]] - ( SnapshotTable[[#This Row],[SP Qty]] * SnapshotTable[[#This Row],[SP Stop To Use]] * 100), "")</f>
        <v/>
      </c>
      <c r="DF224" s="31" t="str">
        <f>IF(AND(SnapshotTable[[#This Row],[SP Qty]]&gt;0,SnapshotTable[[#This Row],[SP Current Ask]]&gt;0), SnapshotTable[[#This Row],[SP Qty]] * SnapshotTable[[#This Row],[SP Current Ask]] * -100, "")</f>
        <v/>
      </c>
      <c r="DG224" s="31" t="str">
        <f>IF(ISNUMBER((SnapshotTable[[#This Row],[SP Total Value]])), SnapshotTable[[#This Row],[SP Premium]] + SnapshotTable[[#This Row],[SP Total Value]], "")</f>
        <v/>
      </c>
      <c r="DH224" s="294" t="str">
        <f>IF(ISNUMBER((SnapshotTable[[#This Row],[SP Total Value]])), SnapshotTable[[#This Row],[SP Gain Loss]] / SnapshotTable[[#This Row],[SP Premium]], "")</f>
        <v/>
      </c>
      <c r="DI224" s="406"/>
      <c r="DJ224" s="138"/>
      <c r="DK224" s="148"/>
      <c r="DL224" s="147"/>
      <c r="DM224" s="147"/>
      <c r="DO224" s="31">
        <f>IF(SnapshotTable[[#This Row],[LC Symbol Count]]=1, SnapshotTable[[#This Row],[LC Qty]] * SnapshotTable[[#This Row],[LC Book Price]] * 100, 0)</f>
        <v>0</v>
      </c>
      <c r="DP224" s="163" t="str">
        <f>IF(AND(SnapshotTable[[#This Row],[LC Exp Date]]&gt;0, SnapshotTable[[#This Row],[LC Strike Price]]&gt;0,SnapshotTable[[#This Row],[LC Qty]]&gt;0,SnapshotTable[[#This Row],[LC Book Date]]&gt;0,SnapshotTable[[#This Row],[LC Book Price]]&gt;0,SnapshotTable[[#This Row],[LC Fill Date]]=0),"Y","")</f>
        <v/>
      </c>
      <c r="DQ224" s="386" t="str">
        <f>IF(SnapshotTable[[#This Row],[LC Premium]] &gt; 0,SnapshotTable[[#This Row],[LC Exp Date]]-MAX(SnapshotTable[[#This Row],[LC Book Date]], SnapshotTable[[#This Row],[LC Fill Date]]),"")</f>
        <v/>
      </c>
      <c r="DR224" s="386" t="str">
        <f>IF(ISNUMBER(SnapshotTable[[#This Row],[LC Term]]), SnapshotTable[[#This Row],[LC Exp Date]] - MockToday, "")</f>
        <v/>
      </c>
      <c r="DS224" s="234" t="str">
        <f>IF(SnapshotTable[[#This Row],[LC Premium]]&gt;0,SnapshotTable[[#This Row],[LC Strike Price]] + SnapshotTable[[#This Row],[LC Book Price]],"")</f>
        <v/>
      </c>
      <c r="DU224" s="9" t="str">
        <f>IF(AND(SnapshotTable[[#This Row],[LC Symbol Count]]&gt;0, SnapshotTable[[#This Row],[LC Contract Value]]&gt;0), SnapshotTable[[#This Row],[LC Contract Value]] * SnapshotTable[[#This Row],[LC Qty]] * 100, "")</f>
        <v/>
      </c>
      <c r="DV224" s="9" t="str">
        <f>IF(AND(ISNUMBER(SnapshotTable[[#This Row],[LC Total Value]]), SnapshotTable[[#This Row],[LC Not Filled]]&lt;&gt;"Y"), SnapshotTable[[#This Row],[LC Total Value]]-SnapshotTable[[#This Row],[LC Premium]],"")</f>
        <v/>
      </c>
      <c r="DW224" s="240" t="str">
        <f>IF(ISNUMBER(SnapshotTable[[#This Row],[LC Actual Gain Loss]]), SnapshotTable[[#This Row],[LC Actual Gain Loss]] / SnapshotTable[[#This Row],[LC Premium]],"")</f>
        <v/>
      </c>
      <c r="DX224" s="284" t="str">
        <f>IF(ISNUMBER(SnapshotTable[[#This Row],[LC Book Price]]),SnapshotTable[[#This Row],[LC Book Price]] * 1.5,"")</f>
        <v/>
      </c>
      <c r="DY224" s="265" t="str">
        <f>IF(SnapshotTable[[#This Row],[LC Premium]]&gt;0, SnapshotTable[[#This Row],[LC Next Target]] * SnapshotTable[[#This Row],[LC Qty]] * 100,"")</f>
        <v/>
      </c>
      <c r="DZ224" s="265" t="str">
        <f>IF(ISNUMBER(SnapshotTable[[#This Row],[LC Target Gross]]), SnapshotTable[[#This Row],[LC Target Gross]] - SnapshotTable[[#This Row],[LC Premium]], "")</f>
        <v/>
      </c>
      <c r="EA224" s="305" t="str">
        <f>IF(ISNUMBER(SnapshotTable[[#This Row],[LC Target Gain Loss]]), SnapshotTable[[#This Row],[LC Target Gain Loss]]/SnapshotTable[[#This Row],[LC Premium]], "")</f>
        <v/>
      </c>
      <c r="EB224" s="262"/>
      <c r="EC224" s="283" t="str">
        <f>IF(SnapshotTable[[#This Row],[LC Premium]]&gt;0, SnapshotTable[[#This Row],[LC Book Price]] * (1 - LC_StopLoss_Pct),"")</f>
        <v/>
      </c>
      <c r="ED224" s="284"/>
      <c r="EE224" s="283" t="str">
        <f>IF(ISNUMBER(SnapshotTable[[#This Row],[LC Contract Value]]),IF(ISNUMBER(SnapshotTable[[#This Row],[LC Stop Loss Override]]), SnapshotTable[[#This Row],[LC Stop Loss Override]],SnapshotTable[[#This Row],[LC Stop Loss Calc Target]]),"")</f>
        <v/>
      </c>
      <c r="EF224" s="31" t="str">
        <f>IF(ISNUMBER(SnapshotTable[[#This Row],[LC Stop  To Use]]), (SnapshotTable[[#This Row],[LC Stop  To Use]] * SnapshotTable[[#This Row],[LC Qty]] * 100),"")</f>
        <v/>
      </c>
      <c r="EG224" s="9" t="str">
        <f>IF(ISNUMBER(SnapshotTable[[#This Row],[LC Total Value]]),SnapshotTable[[#This Row],[LC Stop Loss Amount]] - SnapshotTable[[#This Row],[LC Premium]],"")</f>
        <v/>
      </c>
      <c r="EH224" s="9">
        <f>IF(ISNUMBER(SnapshotTable[[#This Row],[LC Premium]]), SnapshotTable[[#This Row],[LC Qty]] * 100 * SnapshotTable[[#This Row],[LC Strike Price]], "")</f>
        <v>0</v>
      </c>
      <c r="EI224" s="240" t="str">
        <f>IF(AND(ISNUMBER(SnapshotTable[[#This Row],[LC Total Value]]),SnapshotTable[[#This Row],[LC Total Value]]&gt;0),SnapshotTable[[#This Row],[LC Stop Gain Loss]]  / SnapshotTable[[#This Row],[LC Premium]],"")</f>
        <v/>
      </c>
      <c r="EJ224" s="35">
        <f>IF(ISNUMBER(SnapshotTable[[#This Row],[Equity Shares]]),TRUNC(SnapshotTable[[#This Row],[Equity Shares]] / 100),0) + SnapshotTable[[#This Row],[LC Qty]]</f>
        <v>0</v>
      </c>
      <c r="EK224" s="147"/>
      <c r="EL224" s="138" t="str">
        <f>IF(SnapshotTable[[#This Row],[SC Exp Date]]&lt;&gt;"",TRUNC(SnapshotTable[[#This Row],[Last Price]]),"")</f>
        <v/>
      </c>
      <c r="EM224" s="148"/>
      <c r="EN224" s="147"/>
      <c r="EO224" s="147"/>
      <c r="EP224" s="138"/>
      <c r="EQ224" s="419" t="b">
        <f>AND(ISNUMBER(SnapshotTable[[#This Row],[SC Exp Date]]), ISNUMBER(SnapshotTable[[#This Row],[SC Strike Price]]), ISNUMBER(SnapshotTable[[#This Row],[SC Qty]]), ISNUMBER(SnapshotTable[[#This Row],[SC Book Date]]), ISNUMBER(SnapshotTable[[#This Row],[SC Book Price]]))</f>
        <v>0</v>
      </c>
      <c r="ER224" s="419" t="b">
        <f>AND(SnapshotTable[[#This Row],[SC Is Booked]], NOT(ISBLANK(SnapshotTable[[#This Row],[SC Fill Date]])))</f>
        <v>0</v>
      </c>
      <c r="ES224" s="370"/>
      <c r="ET224" s="34" t="str">
        <f>IF(AND(ISNUMBER(SnapshotTable[[#This Row],[SC Exp Date]]), ISNUMBER(SnapshotTable[[#This Row],[SC Book Date]])), SnapshotTable[[#This Row],[SC Exp Date]] - MAX(SnapshotTable[[#This Row],[SC Book Date]], SnapshotTable[[#This Row],[SC Fill Date]]) + 1, "")</f>
        <v/>
      </c>
      <c r="EU224" s="34" t="str">
        <f>IF(ISNUMBER(SnapshotTable[[#This Row],[SC Term]]), SnapshotTable[[#This Row],[SC Exp Date]]- MockToday, "")</f>
        <v/>
      </c>
      <c r="EV224" s="31">
        <f>IF(SnapshotTable[[#This Row],[SC Is Booked]], SnapshotTable[[#This Row],[SC Qty]] * SnapshotTable[[#This Row],[SC Book Price]] * 100, 0)</f>
        <v>0</v>
      </c>
      <c r="EW224" s="4" t="str">
        <f>IF(AND(ISNUMBER(SnapshotTable[[#This Row],[Last Price]]), ISNUMBER( SnapshotTable[[#This Row],[SC Book Price]])), SnapshotTable[[#This Row],[Last Price]] - SnapshotTable[[#This Row],[SC Book Price]],"")</f>
        <v/>
      </c>
      <c r="EX224" s="234" t="str">
        <f>IF(SnapshotTable[[#This Row],[SC Is Booked]],IF(SnapshotTable[[#This Row],[SC Intrinsic Value]] &gt; 0, SnapshotTable[[#This Row],[SC Strike Price]], SnapshotTable[[#This Row],[Last Price]]), "")</f>
        <v/>
      </c>
      <c r="EY224" s="4">
        <f>IF(SnapshotTable[[#This Row],[SC Is Booked]], (MinimumPremiumRequired * SnapshotTable[[#This Row],[SC Basis]] * SnapshotTable[[#This Row],[SC Term]]), 0)</f>
        <v>0</v>
      </c>
      <c r="EZ224" s="283"/>
      <c r="FA224" s="218"/>
      <c r="FB224" s="370"/>
      <c r="FC224" s="4">
        <f>IF(SnapshotTable[[#This Row],[SC Is Filled]], btc_max_buyback_amount(SnapshotTable[[#This Row],[SC Fill Date]],SnapshotTable[[#This Row],[SC Exp Date]], SnapshotTable[[#This Row],[SC Book Price]]),0)</f>
        <v>0</v>
      </c>
      <c r="FD224" s="5"/>
      <c r="FE224" s="144" t="str">
        <f>IF(SnapshotTable[[#This Row],[SC Is Filled]], btc_next_cutoff_date(SnapshotTable[[#This Row],[SC Fill Date]],SnapshotTable[[#This Row],[SC Exp Date]]),"")</f>
        <v/>
      </c>
      <c r="FF224" s="4" t="str" cm="1">
        <f t="array" ref="FF224">IF(SnapshotTable[[#This Row],[SC Is Filled]], btc_should_buy_back(SnapshotTable[[#This Row],[SC Fill Date]], SnapshotTable[[#This Row],[SC Exp Date]], SnapshotTable[[#This Row],[SC Book Price]], SnapshotTable[[#This Row],[SC Current Ask]], MockToday, SnapshotTable[[#This Row],[SC Buyback Override]]),"")</f>
        <v/>
      </c>
      <c r="FG224" s="4">
        <f>IF(SnapshotTable[[#This Row],[SC Is Filled]], MAX(0,SnapshotTable[[#This Row],[Last Price]]  - SnapshotTable[[#This Row],[SC Strike Price]]), 0)</f>
        <v>0</v>
      </c>
      <c r="FH224" s="382">
        <f>IF(SnapshotTable[[#This Row],[SC Is Filled]], IF(ISNUMBER(SnapshotTable[[#This Row],[SC Current Ask]]), SnapshotTable[[#This Row],[SC Current Ask]], SnapshotTable[[#This Row],[SC Book Price]]) - SnapshotTable[[#This Row],[SC Intrinsic Value]], 0)</f>
        <v>0</v>
      </c>
      <c r="FI224" s="143"/>
      <c r="FJ224" s="32" t="str">
        <f>IF(SnapshotTable[[#This Row],[SC Is Filled]],100 * SnapshotTable[[#This Row],[SC Qty]] * IF(ISNUMBER(SnapshotTable[[#This Row],[SC Buyback Override]]), SnapshotTable[[#This Row],[SC Buyback Override]], SnapshotTable[[#This Row],[SC Current Ask]]), "")</f>
        <v/>
      </c>
      <c r="FK224" s="250" t="str">
        <f>IF(SnapshotTable[[#This Row],[SC Time Val]]&gt;0, SnapshotTable[[#This Row],[SC Time Val]] / SnapshotTable[[#This Row],[Last Price]],"")</f>
        <v/>
      </c>
      <c r="FL224" s="302" t="str">
        <f>IF(SnapshotTable[[#This Row],[SC Is Booked]], ((SnapshotTable[[#This Row],[Last Price]] -SnapshotTable[[#This Row],[SC Strike Price]]) / SnapshotTable[[#This Row],[Last Price]]) * -1, "")</f>
        <v/>
      </c>
      <c r="FM224" s="157" t="str">
        <f>IF(SnapshotTable[[#This Row],[SC Is Booked]],  (SnapshotTable[[#This Row],[SC Qty]] * 100 * SnapshotTable[[#This Row],[SC Strike Price]]) - SnapshotTable[[#This Row],[SC Current Ask]], "")</f>
        <v/>
      </c>
      <c r="FN224"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4" s="157" t="str">
        <f>IF(AND(ISNUMBER(SnapshotTable[[#This Row],[SC Exercise Gross]]), ISNUMBER(SnapshotTable[[#This Row],[Equity Basis Per Share]] )), SnapshotTable[[#This Row],[SC Exercise Gross]] - SnapshotTable[[#This Row],[Equity Basis Total]] +  SnapshotTable[[#This Row],[SC Premium]], "")</f>
        <v/>
      </c>
      <c r="FP224" s="5" t="str">
        <f>IF(ISNUMBER(SnapshotTable[[#This Row],[SC Exercise Gross]]), (SnapshotTable[[#This Row],[SC Exercise Gross]]) / (SnapshotTable[[#This Row],[SC Qty]] * 100), "")</f>
        <v/>
      </c>
      <c r="FQ224" s="27" t="str">
        <f>IF(SnapshotTable[[#This Row],[SC Is Booked]],SnapshotTable[[#This Row],[SC Time Val]] /SnapshotTable[[#This Row],[SC Basis]], "")</f>
        <v/>
      </c>
      <c r="FR224" s="27" t="str" cm="1">
        <f t="array" ref="FR224">IF(AND(ISNUMBER(SnapshotTable[[#This Row],[SC Term]]),ISNUMBER(SnapshotTable[[#This Row],[SC Simple ROO]])), EllmanAnnualize(SnapshotTable[[#This Row],[SC DTE]], SnapshotTable[[#This Row],[SC Simple ROO]] ),"")</f>
        <v/>
      </c>
      <c r="FS224" s="4" t="e">
        <f>IF(SnapshotTable[[#This Row],[SC Strike Price]] &gt; SnapshotTable[[#This Row],[Last Price]], SnapshotTable[[#This Row],[SC Strike Price]] - SnapshotTable[[#This Row],[Last Price]],0)</f>
        <v>#VALUE!</v>
      </c>
      <c r="FT224" s="27" t="e">
        <f>IF(AND(ISNUMBER(SnapshotTable[[#This Row],[SC Upside Potential]]), SnapshotTable[[#This Row],[SC Upside Potential]] &gt; 0),(SnapshotTable[[#This Row],[SC Upside Potential]]/ SnapshotTable[[#This Row],[ACB]]),"")</f>
        <v>#VALUE!</v>
      </c>
      <c r="FU224" s="333" t="str">
        <f>IF(SnapshotTable[[#This Row],[SC Intrinsic Value]] &gt; 0,SnapshotTable[[#This Row],[SC Intrinsic Value]],"")</f>
        <v/>
      </c>
      <c r="FV224" s="27" t="str">
        <f>IF(AND( ISNUMBER( SnapshotTable[[#This Row],[ACB]]),ISNUMBER(SnapshotTable[[#This Row],[SC Downside Protect]])),SnapshotTable[[#This Row],[SC Downside Protect]] / SnapshotTable[[#This Row],[ACB]],"")</f>
        <v/>
      </c>
      <c r="FW224" s="236" t="str">
        <f>IF(AND(ISNUMBER(SnapshotTable[[#This Row],[SC Simple ROO]]),SnapshotTable[[#This Row],[SC Simple ROO]] &gt; 0), SnapshotTable[[#This Row],[SC Premium]] + (SnapshotTable[[#This Row],[SC Qty]] * SnapshotTable[[#This Row],[SC Upside Potential]]), "")</f>
        <v/>
      </c>
      <c r="FX224" s="302" t="str" cm="1">
        <f t="array" ref="FX224">IF(ISNUMBER(SnapshotTable[[#This Row],[SC Max Dollars]]), annualize(SnapshotTable[[#This Row],[SC Term]],(SnapshotTable[[#This Row],[SC Max Dollars]]/SnapshotTable[[#This Row],[SC Basis]])),"")</f>
        <v/>
      </c>
      <c r="FY224" s="236" t="str">
        <f>IF(AND(SnapshotTable[[#This Row],[SC Qty]]&gt;0,SnapshotTable[[#This Row],[SC Current Ask]]&gt;0), SnapshotTable[[#This Row],[SC Qty]] * SnapshotTable[[#This Row],[SC Current Ask]] * -100, "")</f>
        <v/>
      </c>
      <c r="FZ224" s="31" t="str">
        <f>IF(ISNUMBER((SnapshotTable[[#This Row],[SC Current Value]])), SnapshotTable[[#This Row],[SC Premium]] + SnapshotTable[[#This Row],[SC Current Value]], "")</f>
        <v/>
      </c>
      <c r="GA224" s="294" t="str">
        <f>IFERROR( IF(ISNUMBER((SnapshotTable[[#This Row],[SC Current Value]])), SnapshotTable[[#This Row],[SC Gain Loss]] / SnapshotTable[[#This Row],[SC Premium]], ""), "")</f>
        <v/>
      </c>
      <c r="GB224" s="191">
        <f>SnapshotTable[[#This Row],[Equity Shares]] * SaleSharesToConsiderPercentage</f>
        <v>0</v>
      </c>
      <c r="GC224" s="192">
        <f>SnapshotTable[[#This Row],[Long Term Target]] * SellingPriceToConsiderBasedOnTargetPercentage</f>
        <v>22.049499999999998</v>
      </c>
      <c r="GD224" s="192">
        <f>SnapshotTable[[#This Row],[Last Price]] * (1+ SellingPriceToConsiderBasedOnTargetPercentage)</f>
        <v>93.385499999999993</v>
      </c>
      <c r="GE224" s="193"/>
      <c r="GF224" s="192"/>
      <c r="GG224" s="31">
        <f>SnapshotTable[[#This Row],[Booked Sale Shares]] * SnapshotTable[[#This Row],[Booked Sale Price]]</f>
        <v>0</v>
      </c>
      <c r="GH224" s="31" t="str">
        <f>IF(SnapshotTable[[#This Row],[Equity Basis Total]] &gt; 0, SnapshotTable[[#This Row],[Equity Basis Per Share]] * SnapshotTable[[#This Row],[Booked Sale Shares]], "")</f>
        <v/>
      </c>
      <c r="GI224" s="31">
        <f>IF(SnapshotTable[[#This Row],[Sale Proceeds]]&gt;0, SnapshotTable[[#This Row],[Sale Proceeds]] - SnapshotTable[[#This Row],[Sale Basis]], 0)</f>
        <v>0</v>
      </c>
      <c r="GJ224" s="158" t="str">
        <f>IF(SnapshotTable[[#This Row],[Sale G/L]]&gt;0, SnapshotTable[[#This Row],[Sale G/L]] / SnapshotTable[[#This Row],[Sale Basis]], IF(ISNUMBER(SnapshotTable[[#This Row],[SC Exercise P&amp;L (TAX)]]), SnapshotTable[[#This Row],[SC Exercise P&amp;L (TAX)]] / SnapshotTable[[#This Row],[SC Basis]], ""))</f>
        <v/>
      </c>
      <c r="GK224" s="158" t="s">
        <v>1018</v>
      </c>
      <c r="GL224" s="159" t="str">
        <f>IF(AND(SnapshotTable[[#This Row],[LP Exp Date]]&gt;0,SnapshotTable[[#This Row],[LP Strike Price]]&gt;0), [1]!ToOptionSymbol(SnapshotTable[[#This Row],[Symbol]], SnapshotTable[[#This Row],[LP Strike Price]],SnapshotTable[[#This Row],[LP Exp Date]],1), "")</f>
        <v/>
      </c>
      <c r="GM224" s="30" t="str">
        <f>IF(LEN(SnapshotTable[[#This Row],[LP Symbol]])&gt;0, 1, "")</f>
        <v/>
      </c>
      <c r="GN224" s="43" t="str">
        <f>IF(AND(SnapshotTable[[#This Row],[SP Exp Date]]&gt;0,SnapshotTable[[#This Row],[SP Strike Price]]&gt;0), [1]!ToOptionSymbol(SnapshotTable[[#This Row],[Symbol]], SnapshotTable[[#This Row],[SP Strike Price]],SnapshotTable[[#This Row],[SP Exp Date]],1), "")</f>
        <v/>
      </c>
      <c r="GO224" s="30" t="str">
        <f>IF(LEN(SnapshotTable[[#This Row],[SP Symbol]])&gt;0, 1, "")</f>
        <v/>
      </c>
      <c r="GP224" s="159" t="str">
        <f>IF(AND(SnapshotTable[[#This Row],[LC Exp Date]]&gt;0,SnapshotTable[[#This Row],[LC Strike Price]]&gt;0), [1]!ToOptionSymbol(SnapshotTable[[#This Row],[Symbol]], SnapshotTable[[#This Row],[LC Strike Price]],SnapshotTable[[#This Row],[LC Exp Date]],0), "")</f>
        <v/>
      </c>
      <c r="GQ224" s="160" t="str">
        <f>IF(LEN(SnapshotTable[[#This Row],[LC Symbol]])&gt;0, 1, "")</f>
        <v/>
      </c>
      <c r="GR224" s="159" t="str">
        <f>IF(AND(SnapshotTable[[#This Row],[SC Exp Date]]&gt;0,SnapshotTable[[#This Row],[SC Strike Price]]&gt;0), [1]!ToOptionSymbol(SnapshotTable[[#This Row],[Symbol]], SnapshotTable[[#This Row],[SC Strike Price]],SnapshotTable[[#This Row],[SC Exp Date]],0), "")</f>
        <v/>
      </c>
      <c r="GS224" s="160" t="str">
        <f>IF(LEN(SnapshotTable[[#This Row],[SC Symbol]])&gt;0, 1, "")</f>
        <v/>
      </c>
      <c r="GT224" s="161" t="str">
        <f>IF(COUNT(SnapshotTable[[#This Row],[LP Symbol Count]],SnapshotTable[[#This Row],[SP Symbol Count]],SnapshotTable[[#This Row],[LC Symbol Count]],SnapshotTable[[#This Row],[SC Symbol Count]])&gt;0, "Y", "")</f>
        <v/>
      </c>
      <c r="GU22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4" s="231" t="e">
        <f>MAX(SnapshotTable[[#This Row],[Equity Basis Total]],SnapshotTable[[#This Row],[Equity Value]]) + (SnapshotTable[[#This Row],[SP Potential Spend]]- SnapshotTable[[#This Row],[SP Premium]] + SnapshotTable[[#This Row],[LP Premium]])+ (SnapshotTable[[#This Row],[LC Premium]] - SnapshotTable[[#This Row],[SC Premium]])</f>
        <v>#VALUE!</v>
      </c>
      <c r="GW224" s="139" t="e">
        <f>IF(AND(SnapshotTable[[#This Row],[Exposure]] &lt;&gt; 0),SnapshotTable[[#This Row],[Exposure]] / SnapshotTable[[#Totals],[Exposure]], "")</f>
        <v>#VALUE!</v>
      </c>
      <c r="GX224" s="5"/>
      <c r="HE224" s="268"/>
      <c r="HF224" s="268"/>
      <c r="HK224" s="1"/>
      <c r="HL224" s="1"/>
      <c r="HM224" s="1"/>
      <c r="HN224" s="1"/>
      <c r="HO224" s="1"/>
      <c r="HP224" s="1"/>
    </row>
    <row r="225" spans="2:224" ht="12.75" hidden="1" customHeight="1" x14ac:dyDescent="0.25">
      <c r="B225" s="12" t="s">
        <v>1009</v>
      </c>
      <c r="C225" s="422">
        <v>26.44</v>
      </c>
      <c r="D225" s="208"/>
      <c r="E225" s="39">
        <f>SnapshotTable[[#This Row],[Last Price]]*(1 -CrashDiscount)</f>
        <v>22.474</v>
      </c>
      <c r="F225" s="26"/>
      <c r="G225" s="26"/>
      <c r="H225" s="149"/>
      <c r="I225" s="194">
        <v>44770.267361111109</v>
      </c>
      <c r="J225" s="195">
        <v>44770.267361111109</v>
      </c>
      <c r="K225" s="196"/>
      <c r="L225" s="326"/>
      <c r="M225" s="140"/>
      <c r="N225" s="140"/>
      <c r="O225" s="140"/>
      <c r="P225" s="22"/>
      <c r="Q225" s="25"/>
      <c r="R225" s="4" t="str">
        <f>IF(SnapshotTable[[#This Row],[Equity Basis Total]] &gt; 0, SnapshotTable[[#This Row],[Equity Basis Total]] / SnapshotTable[[#This Row],[Equity Shares]], "")</f>
        <v/>
      </c>
      <c r="S225" s="269">
        <f>SnapshotTable[[#This Row],[Last Price]] * SnapshotTable[[#This Row],[Equity Shares]]</f>
        <v>0</v>
      </c>
      <c r="T225" s="269">
        <f>SnapshotTable[[#This Row],[Equity Value]] - SnapshotTable[[#This Row],[Equity Basis Total]]</f>
        <v>0</v>
      </c>
      <c r="U225" s="270" t="str">
        <f>IF(SnapshotTable[[#This Row],[Equity Basis Total]] &gt; 0, SnapshotTable[[#This Row],[Equity G/L]] / SnapshotTable[[#This Row],[Equity Basis Total]], "")</f>
        <v/>
      </c>
      <c r="V225" s="268"/>
      <c r="W225" s="268"/>
      <c r="X225" s="4" t="str">
        <f>IF(AND(ISNUMBER(SnapshotTable[[#This Row],[Equity Basis Per Share]]),ISNUMBER(SnapshotTable[[#This Row],[Equity Target]])),SnapshotTable[[#This Row],[Equity Target]]-SnapshotTable[[#This Row],[Equity Basis Per Share]],"")</f>
        <v/>
      </c>
      <c r="Y225" s="4" t="str">
        <f>IF(AND(ISNUMBER(SnapshotTable[[#This Row],[Equity Basis Per Share]]),ISNUMBER(SnapshotTable[[#This Row],[Equity Stop Loss]])),SnapshotTable[[#This Row],[Equity Stop Loss]]-SnapshotTable[[#This Row],[Equity Basis Per Share]],"")</f>
        <v/>
      </c>
      <c r="Z225" s="275" t="str">
        <f>IFERROR( TEXT(SnapshotTable[[#This Row],[Equity Max Gain Per Share]] /ABS( SnapshotTable[[#This Row],[Equity Max Loss Per Share]]),"0.0 " ) &amp; " : 1", "")</f>
        <v/>
      </c>
      <c r="AA225" s="31" t="str">
        <f>IF(ISNUMBER(SnapshotTable[[#This Row],[Equity Max Gain Per Share]]),SnapshotTable[[#This Row],[Equity Max Gain Per Share]] * SnapshotTable[[#This Row],[Equity Shares]],"")</f>
        <v/>
      </c>
      <c r="AB225" s="31" t="str">
        <f>IF(ISNUMBER(SnapshotTable[[#This Row],[Equity Max Loss Per Share]]),SnapshotTable[[#This Row],[Equity Max Loss Per Share]] * SnapshotTable[[#This Row],[Equity Shares]],"")</f>
        <v/>
      </c>
      <c r="AC225" s="150"/>
      <c r="AD225" s="151"/>
      <c r="AE225" s="31">
        <f>(SnapshotTable[[#This Row],[Annual Dividend Per Share]] / 4) * SnapshotTable[[#This Row],[Equity Shares]]</f>
        <v>0</v>
      </c>
      <c r="AF225" s="31">
        <f>SnapshotTable[[#This Row],[Quarterly Div $]] * 4</f>
        <v>0</v>
      </c>
      <c r="AG225" s="7">
        <f>IF(SnapshotTable[[#This Row],[Annual Dividend Per Share]]&gt;0, SnapshotTable[[#This Row],[Annual Dividend Per Share]]  / SnapshotTable[[#This Row],[Last Price]], 0)</f>
        <v>0</v>
      </c>
      <c r="AH225" s="151"/>
      <c r="AI225" s="5"/>
      <c r="AJ225" s="138"/>
      <c r="AK225" s="152" t="str">
        <f>IF(ISNUMBER( SnapshotTable[[#This Row],[EBF Target]]),(SnapshotTable[[#This Row],[EBF Target]] - SnapshotTable[[#This Row],[Last Price]]) / SnapshotTable[[#This Row],[Last Price]], "")</f>
        <v/>
      </c>
      <c r="AL225" s="152" t="str">
        <f>IF(AND(SnapshotTable[[#This Row],[Equity Basis Total]] &gt; 0,ISNUMBER( SnapshotTable[[#This Row],[Long Term Target]])), SnapshotTable[[#This Row],[From Basis $]] / SnapshotTable[[#This Row],[Equity Basis Total]], "")</f>
        <v/>
      </c>
      <c r="AM225" s="9">
        <f>IF( AND(SnapshotTable[[#This Row],[Equity Shares]] &gt;0,ISNUMBER( SnapshotTable[[#This Row],[Long Term Target]])),(SnapshotTable[[#This Row],[Equity Shares]] * SnapshotTable[[#This Row],[Long Term Target]]) - SnapshotTable[[#This Row],[Equity Basis Total]],0)</f>
        <v>0</v>
      </c>
      <c r="AN225" s="9">
        <f>IF( AND(SnapshotTable[[#This Row],[Equity Shares]] &gt;0,ISNUMBER( SnapshotTable[[#This Row],[Long Term Target]])),(SnapshotTable[[#This Row],[Equity Shares]]*SnapshotTable[[#This Row],[Long Term Target]]) - SnapshotTable[[#This Row],[Equity Value]],0)</f>
        <v>0</v>
      </c>
      <c r="AO225" s="152" t="str">
        <f>IF(AND(ISNUMBER( SnapshotTable[[#This Row],[Long Term Target]]), ISNUMBER(SnapshotTable[[#This Row],[Last Price]])),(SnapshotTable[[#This Row],[Long Term Target]] - SnapshotTable[[#This Row],[Last Price]]) / SnapshotTable[[#This Row],[Last Price]], "")</f>
        <v/>
      </c>
      <c r="AP225" s="5">
        <v>52.5</v>
      </c>
      <c r="AQ225" s="38" t="s">
        <v>110</v>
      </c>
      <c r="AR225" s="5">
        <v>52.5</v>
      </c>
      <c r="AS225" s="38" t="s">
        <v>45</v>
      </c>
      <c r="AT225" s="146" t="s">
        <v>532</v>
      </c>
      <c r="AU225" s="187" t="str">
        <f>IF(OR(SnapshotTable[[#This Row],[LP No Fill]]="Y",SnapshotTable[[#This Row],[SP Is Filled]],SnapshotTable[[#This Row],[LC Not Filled]]="Y",SnapshotTable[[#This Row],[SC Is Filled]]),"Y","")</f>
        <v/>
      </c>
      <c r="AV225" s="219"/>
      <c r="AW225" s="225"/>
      <c r="AX225" s="220"/>
      <c r="AY225" s="219" t="str">
        <f>IF(SnapshotTable[[#This Row],[Implied Move]]&gt;0, SnapshotTable[[#This Row],[Last Price]]-SnapshotTable[[#This Row],[Implied Move]],"")</f>
        <v/>
      </c>
      <c r="AZ225" s="219" t="str">
        <f>IF(SnapshotTable[[#This Row],[Implied Move]]&gt;0, SnapshotTable[[#This Row],[Last Price]] + SnapshotTable[[#This Row],[Implied Move]],"")</f>
        <v/>
      </c>
      <c r="BA225" s="331">
        <v>1.48</v>
      </c>
      <c r="BB225" s="347"/>
      <c r="BC22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5" s="351"/>
      <c r="BE225" s="5"/>
      <c r="BF225" s="14"/>
      <c r="BG225" s="13"/>
      <c r="BH225" s="13"/>
      <c r="BI225" s="5"/>
      <c r="BJ225" s="136">
        <f>IF(SnapshotTable[[#This Row],[LP Qty]] &gt; 0, SnapshotTable[[#This Row],[LP Qty]] * SnapshotTable[[#This Row],[LP Book Price]] * 100,0)</f>
        <v>0</v>
      </c>
      <c r="BK225" s="136">
        <f>IF(SnapshotTable[[#This Row],[LP Premium]] &gt; 0, SnapshotTable[[#This Row],[LP Qty]] * SnapshotTable[[#This Row],[LP Strike Price]] * 100,0)</f>
        <v>0</v>
      </c>
      <c r="BL225" s="154"/>
      <c r="BM225" s="385" t="str">
        <f>IF(SnapshotTable[[#This Row],[LP Premium]] &gt; 0,SnapshotTable[[#This Row],[LP Exp Date]]-MAX(SnapshotTable[[#This Row],[LP Book Date]], SnapshotTable[[#This Row],[LP Fill Date]]),"")</f>
        <v/>
      </c>
      <c r="BN225" s="385" t="str">
        <f>IF(ISNUMBER( SnapshotTable[[#This Row],[LP Term]]), SnapshotTable[[#This Row],[LP Exp Date]] - MockToday,"")</f>
        <v/>
      </c>
      <c r="BO225" s="163" t="str">
        <f>IF(AND(SnapshotTable[[#This Row],[LP Exp Date]]&gt;0, SnapshotTable[[#This Row],[LP Strike Price]]&gt;0,SnapshotTable[[#This Row],[LP Qty]]&gt;0,SnapshotTable[[#This Row],[LP Book Date]]&gt;0,SnapshotTable[[#This Row],[LP Book Price]]&gt;0,SnapshotTable[[#This Row],[LP Fill Date]]=0),"Y","")</f>
        <v/>
      </c>
      <c r="BP225" s="31" t="str">
        <f>IF(AND(SnapshotTable[[#This Row],[LP No Fill]]&lt;&gt;"Y",SnapshotTable[[#This Row],[LP Contract Value]]&gt;0, SnapshotTable[[#This Row],[LP Qty]]&gt;0), SnapshotTable[[#This Row],[LP Contract Value]]*SnapshotTable[[#This Row],[LP Qty]]*100,"")</f>
        <v/>
      </c>
      <c r="BQ225" s="13"/>
      <c r="BR225" s="5" t="str">
        <f>IF(SnapshotTable[[#This Row],[SP Exp Date]]&lt;&gt;"",TRUNC(SnapshotTable[[#This Row],[Last Price]]),"")</f>
        <v/>
      </c>
      <c r="BS225" s="36"/>
      <c r="BT225" s="147"/>
      <c r="BU225" s="13"/>
      <c r="BV225" s="5"/>
      <c r="BW225" s="419" t="b">
        <f>AND(ISNUMBER(SnapshotTable[[#This Row],[SP Exp Date]]), ISNUMBER(SnapshotTable[[#This Row],[SP Strike Price]]), ISNUMBER(SnapshotTable[[#This Row],[SP Qty]]), ISNUMBER(SnapshotTable[[#This Row],[SP Book Date]]), ISNUMBER(SnapshotTable[[#This Row],[SP Book Price]]))</f>
        <v>0</v>
      </c>
      <c r="BX225" s="419" t="b">
        <f>AND(SnapshotTable[[#This Row],[SP Is Booked]], NOT(ISBLANK(SnapshotTable[[#This Row],[SP Fill Date]])))</f>
        <v>0</v>
      </c>
      <c r="BY225" s="33">
        <f>IF(SnapshotTable[[#This Row],[SP Is Booked]], SnapshotTable[[#This Row],[SP Qty]] * SnapshotTable[[#This Row],[SP Book Price]] * 100, 0)</f>
        <v>0</v>
      </c>
      <c r="BZ225" s="369"/>
      <c r="CA225" s="368">
        <f>SnapshotTable[[#This Row],[LP Qty]]</f>
        <v>0</v>
      </c>
      <c r="CB225" s="4" t="str">
        <f>IF(SnapshotTable[[#This Row],[SP Is Booked]], SnapshotTable[[#This Row],[SP Strike Price]] - SnapshotTable[[#This Row],[SP Book Price]], "")</f>
        <v/>
      </c>
      <c r="CC225" s="19" t="str">
        <f>IF(SnapshotTable[[#This Row],[SP Is Booked]],SnapshotTable[[#This Row],[SP Exp Date]]-MAX(SnapshotTable[[#This Row],[SP Book Date]], SnapshotTable[[#This Row],[SP Fill Date]]),"")</f>
        <v/>
      </c>
      <c r="CD225" s="7" t="str">
        <f>IF(SnapshotTable[[#This Row],[SP Is Booked]], SnapshotTable[[#This Row],[SP Book Price]]/SnapshotTable[[#This Row],[SP Strike Price]], "")</f>
        <v/>
      </c>
      <c r="CE225" s="7" t="str">
        <f>IF(ISNUMBER(SnapshotTable[[#This Row],[SP ROO Term]]),SnapshotTable[[#This Row],[SP ROO Term]]*(365/SnapshotTable[[#This Row],[SP Term]]),"")</f>
        <v/>
      </c>
      <c r="CF225" s="236">
        <f>SnapshotTable[[#This Row],[LP Strike Price]] * SnapshotTable[[#This Row],[LP Qty]] * 100</f>
        <v>0</v>
      </c>
      <c r="CG225" s="31" t="e">
        <f>IF(ISNUMBER(SnapshotTable[[#This Row],[SP Premium]]), (SnapshotTable[[#This Row],[SP Qty]] * SnapshotTable[[#This Row],[SP Strike Price]]* 100) - SnapshotTable[[#This Row],[LP Protection]], 0)</f>
        <v>#VALUE!</v>
      </c>
      <c r="CH225" s="7" t="str">
        <f>IF(ISNUMBER(SnapshotTable[[#This Row],[SP Break Even]]),-1 * (SnapshotTable[[#This Row],[SP Break Even]] - SnapshotTable[[#This Row],[Last Price]]) / SnapshotTable[[#This Row],[Last Price]], "")</f>
        <v/>
      </c>
      <c r="CI225" s="31">
        <f>IF(AND(ISNUMBER((SnapshotTable[[#This Row],[SP Potential Spend]])), SnapshotTable[[#This Row],[SP Strike Price]] &gt; SnapshotTable[[#This Row],[Last Price]], SnapshotTable[[#This Row],[SP Is Filled]]), SnapshotTable[[#This Row],[SP Potential Spend]] -  SnapshotTable[[#This Row],[LP Max Value]], 0)</f>
        <v>0</v>
      </c>
      <c r="CJ225" s="244"/>
      <c r="CK225" s="31" t="str">
        <f>IF(ISNUMBER(SnapshotTable[[#This Row],[SP Potential Spend]]),IF(ISNUMBER(SnapshotTable[[#This Row],[SP POW]]), SnapshotTable[[#This Row],[SP POW]] * SnapshotTable[[#This Row],[SP Potential Spend]], SnapshotTable[[#This Row],[SP Potential Spend]]), "")</f>
        <v/>
      </c>
      <c r="CL225" s="164" t="e">
        <f>IF(NOT(SnapshotTable[[#This Row],[SP Is Filled]]),(SnapshotTable[[#This Row],[SP Qty]] * SnapshotTable[[#This Row],[SP Strike Price]] * 100) - SnapshotTable[[#This Row],[LP Max Value]],"")</f>
        <v>#VALUE!</v>
      </c>
      <c r="CM225" s="31" t="str">
        <f>IF(SnapshotTable[[#This Row],[SP Actual Spend]]&lt;&gt;0, ((SnapshotTable[[#This Row],[SP Strike Price]]-SnapshotTable[[#This Row],[Last Price]]) *(SnapshotTable[[#This Row],[SP Qty]]*100) - SnapshotTable[[#This Row],[SP Premium]]) * - 1, "")</f>
        <v/>
      </c>
      <c r="CN225" s="218"/>
      <c r="CO225" s="369"/>
      <c r="CP225" s="4" t="str">
        <f>IF(SnapshotTable[[#This Row],[SP Is Filled]], btc_max_buyback_amount(SnapshotTable[[#This Row],[SP Fill Date]],SnapshotTable[[#This Row],[SP Exp Date]], SnapshotTable[[#This Row],[SP Book Price]]),"")</f>
        <v/>
      </c>
      <c r="CQ225" s="78"/>
      <c r="CR22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5" s="155" t="str">
        <f>IF(SnapshotTable[[#This Row],[SP Is Filled]], btc_next_cutoff_date(SnapshotTable[[#This Row],[SP Fill Date]],SnapshotTable[[#This Row],[SP Exp Date]]),"")</f>
        <v/>
      </c>
      <c r="CT225" s="235" t="str" cm="1">
        <f t="array" ref="CT225">IF(SnapshotTable[[#This Row],[SP Is Filled]], btc_should_buy_back(SnapshotTable[[#This Row],[SP Fill Date]], SnapshotTable[[#This Row],[SP Exp Date]], SnapshotTable[[#This Row],[SP Book Price]], SnapshotTable[[#This Row],[SP Current Ask]], MockToday, SnapshotTable[[#This Row],[SP Buyback Override]]),"")</f>
        <v/>
      </c>
      <c r="CU225" s="143"/>
      <c r="CV225" s="235"/>
      <c r="CW225" s="378" t="str">
        <f>IF(ISNUMBER( SnapshotTable[[#This Row],[SP Term]]), SnapshotTable[[#This Row],[SP Exp Date]] - MockToday,"")</f>
        <v/>
      </c>
      <c r="CX225" s="31" t="str">
        <f>IF(SnapshotTable[[#This Row],[SP Is Filled]],SnapshotTable[[#This Row],[SP Buyback Price to Use]] * 100 * SnapshotTable[[#This Row],[SP Qty]], "")</f>
        <v/>
      </c>
      <c r="CY225" s="4" t="str">
        <f>IF(ISNUMBER(SnapshotTable[[#This Row],[SP Strike Price]]), SnapshotTable[[#This Row],[SP Strike Price]] * (1 - SP_MaxLoss_StrikePct), "")</f>
        <v/>
      </c>
      <c r="CZ225" s="31" t="str">
        <f>IF(ISNUMBER(SnapshotTable[[#This Row],[SP Strike  Stop Per Share]]),SnapshotTable[[#This Row],[SP Premium]] - ((SnapshotTable[[#This Row],[SP Strike Price]]-SnapshotTable[[#This Row],[SP Strike  Stop Per Share]]) *(SnapshotTable[[#This Row],[SP Qty]] * 100)),"")</f>
        <v/>
      </c>
      <c r="DA225" s="4" t="str">
        <f>IF(AND(ISNUMBER(SnapshotTable[[#This Row],[SP Premium]]),SnapshotTable[[#This Row],[SP Premium]]&gt;0), SnapshotTable[[#This Row],[SP Book Price]] * (1 + SP_MaxLoss_OptionPct), "")</f>
        <v/>
      </c>
      <c r="DB225" s="31" t="str">
        <f>IF(ISNUMBER(SnapshotTable[[#This Row],[SP Option  Stop Contract]]),(SnapshotTable[[#This Row],[SP Option  Stop Contract]] *(SnapshotTable[[#This Row],[SP Qty]] * 100) - SnapshotTable[[#This Row],[SP Premium]]),"")</f>
        <v/>
      </c>
      <c r="DC225" s="4"/>
      <c r="DD225" s="4"/>
      <c r="DE225" s="4" t="str">
        <f>IF(AND(SnapshotTable[[#This Row],[SP Qty]]&gt;0, SnapshotTable[[#This Row],[SP Stop To Use]]&gt;0),SnapshotTable[[#This Row],[SP Premium]] - ( SnapshotTable[[#This Row],[SP Qty]] * SnapshotTable[[#This Row],[SP Stop To Use]] * 100), "")</f>
        <v/>
      </c>
      <c r="DF225" s="31" t="str">
        <f>IF(AND(SnapshotTable[[#This Row],[SP Qty]]&gt;0,SnapshotTable[[#This Row],[SP Current Ask]]&gt;0), SnapshotTable[[#This Row],[SP Qty]] * SnapshotTable[[#This Row],[SP Current Ask]] * -100, "")</f>
        <v/>
      </c>
      <c r="DG225" s="31" t="str">
        <f>IF(ISNUMBER((SnapshotTable[[#This Row],[SP Total Value]])), SnapshotTable[[#This Row],[SP Premium]] + SnapshotTable[[#This Row],[SP Total Value]], "")</f>
        <v/>
      </c>
      <c r="DH225" s="294" t="str">
        <f>IF(ISNUMBER((SnapshotTable[[#This Row],[SP Total Value]])), SnapshotTable[[#This Row],[SP Gain Loss]] / SnapshotTable[[#This Row],[SP Premium]], "")</f>
        <v/>
      </c>
      <c r="DI225" s="406"/>
      <c r="DJ225" s="138"/>
      <c r="DK225" s="148"/>
      <c r="DL225" s="13"/>
      <c r="DM225" s="13"/>
      <c r="DO225" s="31">
        <f>IF(SnapshotTable[[#This Row],[LC Symbol Count]]=1, SnapshotTable[[#This Row],[LC Qty]] * SnapshotTable[[#This Row],[LC Book Price]] * 100, 0)</f>
        <v>0</v>
      </c>
      <c r="DP225" s="163" t="str">
        <f>IF(AND(SnapshotTable[[#This Row],[LC Exp Date]]&gt;0, SnapshotTable[[#This Row],[LC Strike Price]]&gt;0,SnapshotTable[[#This Row],[LC Qty]]&gt;0,SnapshotTable[[#This Row],[LC Book Date]]&gt;0,SnapshotTable[[#This Row],[LC Book Price]]&gt;0,SnapshotTable[[#This Row],[LC Fill Date]]=0),"Y","")</f>
        <v/>
      </c>
      <c r="DQ225" s="386" t="str">
        <f>IF(SnapshotTable[[#This Row],[LC Premium]] &gt; 0,SnapshotTable[[#This Row],[LC Exp Date]]-MAX(SnapshotTable[[#This Row],[LC Book Date]], SnapshotTable[[#This Row],[LC Fill Date]]),"")</f>
        <v/>
      </c>
      <c r="DR225" s="386" t="str">
        <f>IF(ISNUMBER(SnapshotTable[[#This Row],[LC Term]]), SnapshotTable[[#This Row],[LC Exp Date]] - MockToday, "")</f>
        <v/>
      </c>
      <c r="DS225" s="234" t="str">
        <f>IF(SnapshotTable[[#This Row],[LC Premium]]&gt;0,SnapshotTable[[#This Row],[LC Strike Price]] + SnapshotTable[[#This Row],[LC Book Price]],"")</f>
        <v/>
      </c>
      <c r="DU225" s="9" t="str">
        <f>IF(AND(SnapshotTable[[#This Row],[LC Symbol Count]]&gt;0, SnapshotTable[[#This Row],[LC Contract Value]]&gt;0), SnapshotTable[[#This Row],[LC Contract Value]] * SnapshotTable[[#This Row],[LC Qty]] * 100, "")</f>
        <v/>
      </c>
      <c r="DV225" s="9" t="str">
        <f>IF(AND(ISNUMBER(SnapshotTable[[#This Row],[LC Total Value]]), SnapshotTable[[#This Row],[LC Not Filled]]&lt;&gt;"Y"), SnapshotTable[[#This Row],[LC Total Value]]-SnapshotTable[[#This Row],[LC Premium]],"")</f>
        <v/>
      </c>
      <c r="DW225" s="240" t="str">
        <f>IF(ISNUMBER(SnapshotTable[[#This Row],[LC Actual Gain Loss]]), SnapshotTable[[#This Row],[LC Actual Gain Loss]] / SnapshotTable[[#This Row],[LC Premium]],"")</f>
        <v/>
      </c>
      <c r="DX225" s="284" t="str">
        <f>IF(ISNUMBER(SnapshotTable[[#This Row],[LC Book Price]]),SnapshotTable[[#This Row],[LC Book Price]] * 1.5,"")</f>
        <v/>
      </c>
      <c r="DY225" s="265" t="str">
        <f>IF(SnapshotTable[[#This Row],[LC Premium]]&gt;0, SnapshotTable[[#This Row],[LC Next Target]] * SnapshotTable[[#This Row],[LC Qty]] * 100,"")</f>
        <v/>
      </c>
      <c r="DZ225" s="265" t="str">
        <f>IF(ISNUMBER(SnapshotTable[[#This Row],[LC Target Gross]]), SnapshotTable[[#This Row],[LC Target Gross]] - SnapshotTable[[#This Row],[LC Premium]], "")</f>
        <v/>
      </c>
      <c r="EA225" s="305" t="str">
        <f>IF(ISNUMBER(SnapshotTable[[#This Row],[LC Target Gain Loss]]), SnapshotTable[[#This Row],[LC Target Gain Loss]]/SnapshotTable[[#This Row],[LC Premium]], "")</f>
        <v/>
      </c>
      <c r="EB225" s="262"/>
      <c r="EC225" s="283" t="str">
        <f>IF(SnapshotTable[[#This Row],[LC Premium]]&gt;0, SnapshotTable[[#This Row],[LC Book Price]] * (1 - LC_StopLoss_Pct),"")</f>
        <v/>
      </c>
      <c r="ED225" s="284"/>
      <c r="EE225" s="283" t="str">
        <f>IF(ISNUMBER(SnapshotTable[[#This Row],[LC Contract Value]]),IF(ISNUMBER(SnapshotTable[[#This Row],[LC Stop Loss Override]]), SnapshotTable[[#This Row],[LC Stop Loss Override]],SnapshotTable[[#This Row],[LC Stop Loss Calc Target]]),"")</f>
        <v/>
      </c>
      <c r="EF225" s="31" t="str">
        <f>IF(ISNUMBER(SnapshotTable[[#This Row],[LC Stop  To Use]]), (SnapshotTable[[#This Row],[LC Stop  To Use]] * SnapshotTable[[#This Row],[LC Qty]] * 100),"")</f>
        <v/>
      </c>
      <c r="EG225" s="9" t="str">
        <f>IF(ISNUMBER(SnapshotTable[[#This Row],[LC Total Value]]),SnapshotTable[[#This Row],[LC Stop Loss Amount]] - SnapshotTable[[#This Row],[LC Premium]],"")</f>
        <v/>
      </c>
      <c r="EH225" s="9">
        <f>IF(ISNUMBER(SnapshotTable[[#This Row],[LC Premium]]), SnapshotTable[[#This Row],[LC Qty]] * 100 * SnapshotTable[[#This Row],[LC Strike Price]], "")</f>
        <v>0</v>
      </c>
      <c r="EI225" s="240" t="str">
        <f>IF(AND(ISNUMBER(SnapshotTable[[#This Row],[LC Total Value]]),SnapshotTable[[#This Row],[LC Total Value]]&gt;0),SnapshotTable[[#This Row],[LC Stop Gain Loss]]  / SnapshotTable[[#This Row],[LC Premium]],"")</f>
        <v/>
      </c>
      <c r="EJ225" s="35">
        <f>IF(ISNUMBER(SnapshotTable[[#This Row],[Equity Shares]]),TRUNC(SnapshotTable[[#This Row],[Equity Shares]] / 100),0) + SnapshotTable[[#This Row],[LC Qty]]</f>
        <v>0</v>
      </c>
      <c r="EK225" s="147"/>
      <c r="EL225" s="138" t="str">
        <f>IF(SnapshotTable[[#This Row],[SC Exp Date]]&lt;&gt;"",TRUNC(SnapshotTable[[#This Row],[Last Price]]),"")</f>
        <v/>
      </c>
      <c r="EM225" s="148"/>
      <c r="EN225" s="147"/>
      <c r="EO225" s="147"/>
      <c r="EP225" s="138"/>
      <c r="EQ225" s="419" t="b">
        <f>AND(ISNUMBER(SnapshotTable[[#This Row],[SC Exp Date]]), ISNUMBER(SnapshotTable[[#This Row],[SC Strike Price]]), ISNUMBER(SnapshotTable[[#This Row],[SC Qty]]), ISNUMBER(SnapshotTable[[#This Row],[SC Book Date]]), ISNUMBER(SnapshotTable[[#This Row],[SC Book Price]]))</f>
        <v>0</v>
      </c>
      <c r="ER225" s="419" t="b">
        <f>AND(SnapshotTable[[#This Row],[SC Is Booked]], NOT(ISBLANK(SnapshotTable[[#This Row],[SC Fill Date]])))</f>
        <v>0</v>
      </c>
      <c r="ES225" s="370"/>
      <c r="ET225" s="34" t="str">
        <f>IF(AND(ISNUMBER(SnapshotTable[[#This Row],[SC Exp Date]]), ISNUMBER(SnapshotTable[[#This Row],[SC Book Date]])), SnapshotTable[[#This Row],[SC Exp Date]] - MAX(SnapshotTable[[#This Row],[SC Book Date]], SnapshotTable[[#This Row],[SC Fill Date]]) + 1, "")</f>
        <v/>
      </c>
      <c r="EU225" s="34" t="str">
        <f>IF(ISNUMBER(SnapshotTable[[#This Row],[SC Term]]), SnapshotTable[[#This Row],[SC Exp Date]]- MockToday, "")</f>
        <v/>
      </c>
      <c r="EV225" s="31">
        <f>IF(SnapshotTable[[#This Row],[SC Is Booked]], SnapshotTable[[#This Row],[SC Qty]] * SnapshotTable[[#This Row],[SC Book Price]] * 100, 0)</f>
        <v>0</v>
      </c>
      <c r="EW225" s="4" t="str">
        <f>IF(AND(ISNUMBER(SnapshotTable[[#This Row],[Last Price]]), ISNUMBER( SnapshotTable[[#This Row],[SC Book Price]])), SnapshotTable[[#This Row],[Last Price]] - SnapshotTable[[#This Row],[SC Book Price]],"")</f>
        <v/>
      </c>
      <c r="EX225" s="234" t="str">
        <f>IF(SnapshotTable[[#This Row],[SC Is Booked]],IF(SnapshotTable[[#This Row],[SC Intrinsic Value]] &gt; 0, SnapshotTable[[#This Row],[SC Strike Price]], SnapshotTable[[#This Row],[Last Price]]), "")</f>
        <v/>
      </c>
      <c r="EY225" s="4">
        <f>IF(SnapshotTable[[#This Row],[SC Is Booked]], (MinimumPremiumRequired * SnapshotTable[[#This Row],[SC Basis]] * SnapshotTable[[#This Row],[SC Term]]), 0)</f>
        <v>0</v>
      </c>
      <c r="EZ225" s="283"/>
      <c r="FA225" s="218"/>
      <c r="FB225" s="370"/>
      <c r="FC225" s="4">
        <f>IF(SnapshotTable[[#This Row],[SC Is Filled]], btc_max_buyback_amount(SnapshotTable[[#This Row],[SC Fill Date]],SnapshotTable[[#This Row],[SC Exp Date]], SnapshotTable[[#This Row],[SC Book Price]]),0)</f>
        <v>0</v>
      </c>
      <c r="FD225" s="5"/>
      <c r="FE225" s="144" t="str">
        <f>IF(SnapshotTable[[#This Row],[SC Is Filled]], btc_next_cutoff_date(SnapshotTable[[#This Row],[SC Fill Date]],SnapshotTable[[#This Row],[SC Exp Date]]),"")</f>
        <v/>
      </c>
      <c r="FF225" s="4" t="str" cm="1">
        <f t="array" ref="FF225">IF(SnapshotTable[[#This Row],[SC Is Filled]], btc_should_buy_back(SnapshotTable[[#This Row],[SC Fill Date]], SnapshotTable[[#This Row],[SC Exp Date]], SnapshotTable[[#This Row],[SC Book Price]], SnapshotTable[[#This Row],[SC Current Ask]], MockToday, SnapshotTable[[#This Row],[SC Buyback Override]]),"")</f>
        <v/>
      </c>
      <c r="FG225" s="4">
        <f>IF(SnapshotTable[[#This Row],[SC Is Filled]], MAX(0,SnapshotTable[[#This Row],[Last Price]]  - SnapshotTable[[#This Row],[SC Strike Price]]), 0)</f>
        <v>0</v>
      </c>
      <c r="FH225" s="382">
        <f>IF(SnapshotTable[[#This Row],[SC Is Filled]], IF(ISNUMBER(SnapshotTable[[#This Row],[SC Current Ask]]), SnapshotTable[[#This Row],[SC Current Ask]], SnapshotTable[[#This Row],[SC Book Price]]) - SnapshotTable[[#This Row],[SC Intrinsic Value]], 0)</f>
        <v>0</v>
      </c>
      <c r="FI225" s="143"/>
      <c r="FJ225" s="32" t="str">
        <f>IF(SnapshotTable[[#This Row],[SC Is Filled]],100 * SnapshotTable[[#This Row],[SC Qty]] * IF(ISNUMBER(SnapshotTable[[#This Row],[SC Buyback Override]]), SnapshotTable[[#This Row],[SC Buyback Override]], SnapshotTable[[#This Row],[SC Current Ask]]), "")</f>
        <v/>
      </c>
      <c r="FK225" s="250" t="str">
        <f>IF(SnapshotTable[[#This Row],[SC Time Val]]&gt;0, SnapshotTable[[#This Row],[SC Time Val]] / SnapshotTable[[#This Row],[Last Price]],"")</f>
        <v/>
      </c>
      <c r="FL225" s="302" t="str">
        <f>IF(SnapshotTable[[#This Row],[SC Is Booked]], ((SnapshotTable[[#This Row],[Last Price]] -SnapshotTable[[#This Row],[SC Strike Price]]) / SnapshotTable[[#This Row],[Last Price]]) * -1, "")</f>
        <v/>
      </c>
      <c r="FM225" s="157" t="str">
        <f>IF(SnapshotTable[[#This Row],[SC Is Booked]],  (SnapshotTable[[#This Row],[SC Qty]] * 100 * SnapshotTable[[#This Row],[SC Strike Price]]) - SnapshotTable[[#This Row],[SC Current Ask]], "")</f>
        <v/>
      </c>
      <c r="FN22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5" s="31" t="str">
        <f>IF(AND(ISNUMBER(SnapshotTable[[#This Row],[SC Exercise Gross]]), ISNUMBER(SnapshotTable[[#This Row],[Equity Basis Per Share]] )), SnapshotTable[[#This Row],[SC Exercise Gross]] - SnapshotTable[[#This Row],[Equity Basis Total]] +  SnapshotTable[[#This Row],[SC Premium]], "")</f>
        <v/>
      </c>
      <c r="FP225" s="5" t="str">
        <f>IF(ISNUMBER(SnapshotTable[[#This Row],[SC Exercise Gross]]), (SnapshotTable[[#This Row],[SC Exercise Gross]]) / (SnapshotTable[[#This Row],[SC Qty]] * 100), "")</f>
        <v/>
      </c>
      <c r="FQ225" s="27" t="str">
        <f>IF(SnapshotTable[[#This Row],[SC Is Booked]],SnapshotTable[[#This Row],[SC Time Val]] /SnapshotTable[[#This Row],[SC Basis]], "")</f>
        <v/>
      </c>
      <c r="FR225" s="27" t="str" cm="1">
        <f t="array" ref="FR225">IF(AND(ISNUMBER(SnapshotTable[[#This Row],[SC Term]]),ISNUMBER(SnapshotTable[[#This Row],[SC Simple ROO]])), EllmanAnnualize(SnapshotTable[[#This Row],[SC DTE]], SnapshotTable[[#This Row],[SC Simple ROO]] ),"")</f>
        <v/>
      </c>
      <c r="FS225" s="4" t="e">
        <f>IF(SnapshotTable[[#This Row],[SC Strike Price]] &gt; SnapshotTable[[#This Row],[Last Price]], SnapshotTable[[#This Row],[SC Strike Price]] - SnapshotTable[[#This Row],[Last Price]],0)</f>
        <v>#VALUE!</v>
      </c>
      <c r="FT225" s="27" t="e">
        <f>IF(AND(ISNUMBER(SnapshotTable[[#This Row],[SC Upside Potential]]), SnapshotTable[[#This Row],[SC Upside Potential]] &gt; 0),(SnapshotTable[[#This Row],[SC Upside Potential]]/ SnapshotTable[[#This Row],[ACB]]),"")</f>
        <v>#VALUE!</v>
      </c>
      <c r="FU225" s="333" t="str">
        <f>IF(SnapshotTable[[#This Row],[SC Intrinsic Value]] &gt; 0,SnapshotTable[[#This Row],[SC Intrinsic Value]],"")</f>
        <v/>
      </c>
      <c r="FV225" s="27" t="str">
        <f>IF(AND( ISNUMBER( SnapshotTable[[#This Row],[ACB]]),ISNUMBER(SnapshotTable[[#This Row],[SC Downside Protect]])),SnapshotTable[[#This Row],[SC Downside Protect]] / SnapshotTable[[#This Row],[ACB]],"")</f>
        <v/>
      </c>
      <c r="FW225" s="236" t="str">
        <f>IF(AND(ISNUMBER(SnapshotTable[[#This Row],[SC Simple ROO]]),SnapshotTable[[#This Row],[SC Simple ROO]] &gt; 0), SnapshotTable[[#This Row],[SC Premium]] + (SnapshotTable[[#This Row],[SC Qty]] * SnapshotTable[[#This Row],[SC Upside Potential]]), "")</f>
        <v/>
      </c>
      <c r="FX225" s="302" t="str" cm="1">
        <f t="array" ref="FX225">IF(ISNUMBER(SnapshotTable[[#This Row],[SC Max Dollars]]), annualize(SnapshotTable[[#This Row],[SC Term]],(SnapshotTable[[#This Row],[SC Max Dollars]]/SnapshotTable[[#This Row],[SC Basis]])),"")</f>
        <v/>
      </c>
      <c r="FY225" s="236" t="str">
        <f>IF(AND(SnapshotTable[[#This Row],[SC Qty]]&gt;0,SnapshotTable[[#This Row],[SC Current Ask]]&gt;0), SnapshotTable[[#This Row],[SC Qty]] * SnapshotTable[[#This Row],[SC Current Ask]] * -100, "")</f>
        <v/>
      </c>
      <c r="FZ225" s="31" t="str">
        <f>IF(ISNUMBER((SnapshotTable[[#This Row],[SC Current Value]])), SnapshotTable[[#This Row],[SC Premium]] + SnapshotTable[[#This Row],[SC Current Value]], "")</f>
        <v/>
      </c>
      <c r="GA225" s="294" t="str">
        <f>IFERROR( IF(ISNUMBER((SnapshotTable[[#This Row],[SC Current Value]])), SnapshotTable[[#This Row],[SC Gain Loss]] / SnapshotTable[[#This Row],[SC Premium]], ""), "")</f>
        <v/>
      </c>
      <c r="GB225" s="42">
        <f>SnapshotTable[[#This Row],[Equity Shares]] * SaleSharesToConsiderPercentage</f>
        <v>0</v>
      </c>
      <c r="GC225" s="40">
        <f>SnapshotTable[[#This Row],[Long Term Target]] * SellingPriceToConsiderBasedOnTargetPercentage</f>
        <v>0</v>
      </c>
      <c r="GD225" s="40">
        <f>SnapshotTable[[#This Row],[Last Price]] * (1+ SellingPriceToConsiderBasedOnTargetPercentage)</f>
        <v>51.558</v>
      </c>
      <c r="GE225" s="41"/>
      <c r="GF225" s="40"/>
      <c r="GG225" s="31">
        <f>SnapshotTable[[#This Row],[Booked Sale Shares]] * SnapshotTable[[#This Row],[Booked Sale Price]]</f>
        <v>0</v>
      </c>
      <c r="GH225" s="31" t="str">
        <f>IF(SnapshotTable[[#This Row],[Equity Basis Total]] &gt; 0, SnapshotTable[[#This Row],[Equity Basis Per Share]] * SnapshotTable[[#This Row],[Booked Sale Shares]], "")</f>
        <v/>
      </c>
      <c r="GI225" s="31">
        <f>IF(SnapshotTable[[#This Row],[Sale Proceeds]]&gt;0, SnapshotTable[[#This Row],[Sale Proceeds]] - SnapshotTable[[#This Row],[Sale Basis]], 0)</f>
        <v>0</v>
      </c>
      <c r="GJ225" s="27" t="str">
        <f>IF(SnapshotTable[[#This Row],[Sale G/L]]&gt;0, SnapshotTable[[#This Row],[Sale G/L]] / SnapshotTable[[#This Row],[Sale Basis]], IF(ISNUMBER(SnapshotTable[[#This Row],[SC Exercise P&amp;L (TAX)]]), SnapshotTable[[#This Row],[SC Exercise P&amp;L (TAX)]] / SnapshotTable[[#This Row],[SC Basis]], ""))</f>
        <v/>
      </c>
      <c r="GK225" s="27"/>
      <c r="GL225" s="43" t="str">
        <f>IF(AND(SnapshotTable[[#This Row],[LP Exp Date]]&gt;0,SnapshotTable[[#This Row],[LP Strike Price]]&gt;0), [1]!ToOptionSymbol(SnapshotTable[[#This Row],[Symbol]], SnapshotTable[[#This Row],[LP Strike Price]],SnapshotTable[[#This Row],[LP Exp Date]],1), "")</f>
        <v/>
      </c>
      <c r="GM225" s="30" t="str">
        <f>IF(LEN(SnapshotTable[[#This Row],[LP Symbol]])&gt;0, 1, "")</f>
        <v/>
      </c>
      <c r="GN225" s="43" t="str">
        <f>IF(AND(SnapshotTable[[#This Row],[SP Exp Date]]&gt;0,SnapshotTable[[#This Row],[SP Strike Price]]&gt;0), [1]!ToOptionSymbol(SnapshotTable[[#This Row],[Symbol]], SnapshotTable[[#This Row],[SP Strike Price]],SnapshotTable[[#This Row],[SP Exp Date]],1), "")</f>
        <v/>
      </c>
      <c r="GO225" s="30" t="str">
        <f>IF(LEN(SnapshotTable[[#This Row],[SP Symbol]])&gt;0, 1, "")</f>
        <v/>
      </c>
      <c r="GP225" s="43" t="str">
        <f>IF(AND(SnapshotTable[[#This Row],[LC Exp Date]]&gt;0,SnapshotTable[[#This Row],[LC Strike Price]]&gt;0), [1]!ToOptionSymbol(SnapshotTable[[#This Row],[Symbol]], SnapshotTable[[#This Row],[LC Strike Price]],SnapshotTable[[#This Row],[LC Exp Date]],0), "")</f>
        <v/>
      </c>
      <c r="GQ225" s="30" t="str">
        <f>IF(LEN(SnapshotTable[[#This Row],[LC Symbol]])&gt;0, 1, "")</f>
        <v/>
      </c>
      <c r="GR225" s="43" t="str">
        <f>IF(AND(SnapshotTable[[#This Row],[SC Exp Date]]&gt;0,SnapshotTable[[#This Row],[SC Strike Price]]&gt;0), [1]!ToOptionSymbol(SnapshotTable[[#This Row],[Symbol]], SnapshotTable[[#This Row],[SC Strike Price]],SnapshotTable[[#This Row],[SC Exp Date]],0), "")</f>
        <v/>
      </c>
      <c r="GS225" s="30" t="str">
        <f>IF(LEN(SnapshotTable[[#This Row],[SC Symbol]])&gt;0, 1, "")</f>
        <v/>
      </c>
      <c r="GT225" s="29" t="str">
        <f>IF(COUNT(SnapshotTable[[#This Row],[LP Symbol Count]],SnapshotTable[[#This Row],[SP Symbol Count]],SnapshotTable[[#This Row],[LC Symbol Count]],SnapshotTable[[#This Row],[SC Symbol Count]])&gt;0, "Y", "")</f>
        <v/>
      </c>
      <c r="GU22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5" s="231" t="e">
        <f>MAX(SnapshotTable[[#This Row],[Equity Basis Total]],SnapshotTable[[#This Row],[Equity Value]]) + (SnapshotTable[[#This Row],[SP Potential Spend]]- SnapshotTable[[#This Row],[SP Premium]] + SnapshotTable[[#This Row],[LP Premium]])+ (SnapshotTable[[#This Row],[LC Premium]] - SnapshotTable[[#This Row],[SC Premium]])</f>
        <v>#VALUE!</v>
      </c>
      <c r="GW225" s="139" t="e">
        <f>IF(AND(SnapshotTable[[#This Row],[Exposure]] &lt;&gt; 0),SnapshotTable[[#This Row],[Exposure]] / SnapshotTable[[#Totals],[Exposure]], "")</f>
        <v>#VALUE!</v>
      </c>
      <c r="GX225" s="5"/>
      <c r="HE225" s="268"/>
      <c r="HF225" s="268"/>
      <c r="HK225" s="1"/>
      <c r="HL225" s="1"/>
      <c r="HM225" s="1"/>
      <c r="HN225" s="1"/>
      <c r="HO225" s="1"/>
      <c r="HP225" s="1"/>
    </row>
    <row r="226" spans="2:224" ht="12.75" hidden="1" customHeight="1" x14ac:dyDescent="0.25">
      <c r="B226" s="12" t="s">
        <v>498</v>
      </c>
      <c r="C226" s="422">
        <v>253.68</v>
      </c>
      <c r="D226" s="208"/>
      <c r="E226" s="39">
        <f>SnapshotTable[[#This Row],[Last Price]]*(1 -CrashDiscount)</f>
        <v>215.62800000000001</v>
      </c>
      <c r="F226" s="26" t="s">
        <v>5</v>
      </c>
      <c r="G226" s="26" t="s">
        <v>4</v>
      </c>
      <c r="H226" s="149"/>
      <c r="I226" s="194">
        <v>44770.267361111109</v>
      </c>
      <c r="J226" s="195">
        <v>44770.267361111109</v>
      </c>
      <c r="K226" s="196"/>
      <c r="L226" s="326"/>
      <c r="M226" s="140"/>
      <c r="N226" s="140"/>
      <c r="O226" s="140"/>
      <c r="P226" s="22"/>
      <c r="Q226" s="25"/>
      <c r="R226" s="4" t="str">
        <f>IF(SnapshotTable[[#This Row],[Equity Basis Total]] &gt; 0, SnapshotTable[[#This Row],[Equity Basis Total]] / SnapshotTable[[#This Row],[Equity Shares]], "")</f>
        <v/>
      </c>
      <c r="S226" s="269">
        <f>SnapshotTable[[#This Row],[Last Price]] * SnapshotTable[[#This Row],[Equity Shares]]</f>
        <v>0</v>
      </c>
      <c r="T226" s="269">
        <f>SnapshotTable[[#This Row],[Equity Value]] - SnapshotTable[[#This Row],[Equity Basis Total]]</f>
        <v>0</v>
      </c>
      <c r="U226" s="270" t="str">
        <f>IF(SnapshotTable[[#This Row],[Equity Basis Total]] &gt; 0, SnapshotTable[[#This Row],[Equity G/L]] / SnapshotTable[[#This Row],[Equity Basis Total]], "")</f>
        <v/>
      </c>
      <c r="V226" s="268"/>
      <c r="W226" s="268"/>
      <c r="X226" s="4" t="str">
        <f>IF(AND(ISNUMBER(SnapshotTable[[#This Row],[Equity Basis Per Share]]),ISNUMBER(SnapshotTable[[#This Row],[Equity Target]])),SnapshotTable[[#This Row],[Equity Target]]-SnapshotTable[[#This Row],[Equity Basis Per Share]],"")</f>
        <v/>
      </c>
      <c r="Y226" s="4" t="str">
        <f>IF(AND(ISNUMBER(SnapshotTable[[#This Row],[Equity Basis Per Share]]),ISNUMBER(SnapshotTable[[#This Row],[Equity Stop Loss]])),SnapshotTable[[#This Row],[Equity Stop Loss]]-SnapshotTable[[#This Row],[Equity Basis Per Share]],"")</f>
        <v/>
      </c>
      <c r="Z226" s="275" t="str">
        <f>IFERROR( TEXT(SnapshotTable[[#This Row],[Equity Max Gain Per Share]] /ABS( SnapshotTable[[#This Row],[Equity Max Loss Per Share]]),"0.0 " ) &amp; " : 1", "")</f>
        <v/>
      </c>
      <c r="AA226" s="31" t="str">
        <f>IF(ISNUMBER(SnapshotTable[[#This Row],[Equity Max Gain Per Share]]),SnapshotTable[[#This Row],[Equity Max Gain Per Share]] * SnapshotTable[[#This Row],[Equity Shares]],"")</f>
        <v/>
      </c>
      <c r="AB226" s="31" t="str">
        <f>IF(ISNUMBER(SnapshotTable[[#This Row],[Equity Max Loss Per Share]]),SnapshotTable[[#This Row],[Equity Max Loss Per Share]] * SnapshotTable[[#This Row],[Equity Shares]],"")</f>
        <v/>
      </c>
      <c r="AC226" s="150"/>
      <c r="AD226" s="151"/>
      <c r="AE226" s="31">
        <f>(SnapshotTable[[#This Row],[Annual Dividend Per Share]] / 4) * SnapshotTable[[#This Row],[Equity Shares]]</f>
        <v>0</v>
      </c>
      <c r="AF226" s="31">
        <f>SnapshotTable[[#This Row],[Quarterly Div $]] * 4</f>
        <v>0</v>
      </c>
      <c r="AG226" s="7">
        <f>IF(SnapshotTable[[#This Row],[Annual Dividend Per Share]]&gt;0, SnapshotTable[[#This Row],[Annual Dividend Per Share]]  / SnapshotTable[[#This Row],[Last Price]], 0)</f>
        <v>0</v>
      </c>
      <c r="AH226" s="151"/>
      <c r="AI226" s="5"/>
      <c r="AJ226" s="138" t="s">
        <v>164</v>
      </c>
      <c r="AK226" s="152" t="str">
        <f>IF(ISNUMBER( SnapshotTable[[#This Row],[EBF Target]]),(SnapshotTable[[#This Row],[EBF Target]] - SnapshotTable[[#This Row],[Last Price]]) / SnapshotTable[[#This Row],[Last Price]], "")</f>
        <v/>
      </c>
      <c r="AL226" s="152" t="str">
        <f>IF(AND(SnapshotTable[[#This Row],[Equity Basis Total]] &gt; 0,ISNUMBER( SnapshotTable[[#This Row],[Long Term Target]])), SnapshotTable[[#This Row],[From Basis $]] / SnapshotTable[[#This Row],[Equity Basis Total]], "")</f>
        <v/>
      </c>
      <c r="AM226" s="9">
        <f>IF( AND(SnapshotTable[[#This Row],[Equity Shares]] &gt;0,ISNUMBER( SnapshotTable[[#This Row],[Long Term Target]])),(SnapshotTable[[#This Row],[Equity Shares]] * SnapshotTable[[#This Row],[Long Term Target]]) - SnapshotTable[[#This Row],[Equity Basis Total]],0)</f>
        <v>0</v>
      </c>
      <c r="AN226" s="9">
        <f>IF( AND(SnapshotTable[[#This Row],[Equity Shares]] &gt;0,ISNUMBER( SnapshotTable[[#This Row],[Long Term Target]])),(SnapshotTable[[#This Row],[Equity Shares]]*SnapshotTable[[#This Row],[Long Term Target]]) - SnapshotTable[[#This Row],[Equity Value]],0)</f>
        <v>0</v>
      </c>
      <c r="AO226" s="152" t="str">
        <f>IF(AND(ISNUMBER( SnapshotTable[[#This Row],[Long Term Target]]), ISNUMBER(SnapshotTable[[#This Row],[Last Price]])),(SnapshotTable[[#This Row],[Long Term Target]] - SnapshotTable[[#This Row],[Last Price]]) / SnapshotTable[[#This Row],[Last Price]], "")</f>
        <v/>
      </c>
      <c r="AP226" s="5"/>
      <c r="AQ226" s="38"/>
      <c r="AR226" s="5"/>
      <c r="AS226" s="38"/>
      <c r="AT226" s="146"/>
      <c r="AU226" s="187" t="str">
        <f>IF(OR(SnapshotTable[[#This Row],[LP No Fill]]="Y",SnapshotTable[[#This Row],[SP Is Filled]],SnapshotTable[[#This Row],[LC Not Filled]]="Y",SnapshotTable[[#This Row],[SC Is Filled]]),"Y","")</f>
        <v/>
      </c>
      <c r="AV226" s="219"/>
      <c r="AW226" s="225"/>
      <c r="AX226" s="220"/>
      <c r="AY226" s="219" t="str">
        <f>IF(SnapshotTable[[#This Row],[Implied Move]]&gt;0, SnapshotTable[[#This Row],[Last Price]]-SnapshotTable[[#This Row],[Implied Move]],"")</f>
        <v/>
      </c>
      <c r="AZ226" s="219" t="str">
        <f>IF(SnapshotTable[[#This Row],[Implied Move]]&gt;0, SnapshotTable[[#This Row],[Last Price]] + SnapshotTable[[#This Row],[Implied Move]],"")</f>
        <v/>
      </c>
      <c r="BA226" s="331"/>
      <c r="BB226" s="347"/>
      <c r="BC22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6" s="351"/>
      <c r="BE226" s="5"/>
      <c r="BF226" s="14"/>
      <c r="BG226" s="13"/>
      <c r="BH226" s="13"/>
      <c r="BI226" s="5"/>
      <c r="BJ226" s="136">
        <f>IF(SnapshotTable[[#This Row],[LP Qty]] &gt; 0, SnapshotTable[[#This Row],[LP Qty]] * SnapshotTable[[#This Row],[LP Book Price]] * 100,0)</f>
        <v>0</v>
      </c>
      <c r="BK226" s="136">
        <f>IF(SnapshotTable[[#This Row],[LP Premium]] &gt; 0, SnapshotTable[[#This Row],[LP Qty]] * SnapshotTable[[#This Row],[LP Strike Price]] * 100,0)</f>
        <v>0</v>
      </c>
      <c r="BL226" s="154"/>
      <c r="BM226" s="385" t="str">
        <f>IF(SnapshotTable[[#This Row],[LP Premium]] &gt; 0,SnapshotTable[[#This Row],[LP Exp Date]]-MAX(SnapshotTable[[#This Row],[LP Book Date]], SnapshotTable[[#This Row],[LP Fill Date]]),"")</f>
        <v/>
      </c>
      <c r="BN226" s="385" t="str">
        <f>IF(ISNUMBER( SnapshotTable[[#This Row],[LP Term]]), SnapshotTable[[#This Row],[LP Exp Date]] - MockToday,"")</f>
        <v/>
      </c>
      <c r="BO226" s="163" t="str">
        <f>IF(AND(SnapshotTable[[#This Row],[LP Exp Date]]&gt;0, SnapshotTable[[#This Row],[LP Strike Price]]&gt;0,SnapshotTable[[#This Row],[LP Qty]]&gt;0,SnapshotTable[[#This Row],[LP Book Date]]&gt;0,SnapshotTable[[#This Row],[LP Book Price]]&gt;0,SnapshotTable[[#This Row],[LP Fill Date]]=0),"Y","")</f>
        <v/>
      </c>
      <c r="BP226" s="31" t="str">
        <f>IF(AND(SnapshotTable[[#This Row],[LP No Fill]]&lt;&gt;"Y",SnapshotTable[[#This Row],[LP Contract Value]]&gt;0, SnapshotTable[[#This Row],[LP Qty]]&gt;0), SnapshotTable[[#This Row],[LP Contract Value]]*SnapshotTable[[#This Row],[LP Qty]]*100,"")</f>
        <v/>
      </c>
      <c r="BQ226" s="13"/>
      <c r="BR226" s="5" t="str">
        <f>IF(SnapshotTable[[#This Row],[SP Exp Date]]&lt;&gt;"",TRUNC(SnapshotTable[[#This Row],[Last Price]]),"")</f>
        <v/>
      </c>
      <c r="BS226" s="36"/>
      <c r="BT226" s="147"/>
      <c r="BU226" s="13"/>
      <c r="BV226" s="5"/>
      <c r="BW226" s="419" t="b">
        <f>AND(ISNUMBER(SnapshotTable[[#This Row],[SP Exp Date]]), ISNUMBER(SnapshotTable[[#This Row],[SP Strike Price]]), ISNUMBER(SnapshotTable[[#This Row],[SP Qty]]), ISNUMBER(SnapshotTable[[#This Row],[SP Book Date]]), ISNUMBER(SnapshotTable[[#This Row],[SP Book Price]]))</f>
        <v>0</v>
      </c>
      <c r="BX226" s="419" t="b">
        <f>AND(SnapshotTable[[#This Row],[SP Is Booked]], NOT(ISBLANK(SnapshotTable[[#This Row],[SP Fill Date]])))</f>
        <v>0</v>
      </c>
      <c r="BY226" s="33">
        <f>IF(SnapshotTable[[#This Row],[SP Is Booked]], SnapshotTable[[#This Row],[SP Qty]] * SnapshotTable[[#This Row],[SP Book Price]] * 100, 0)</f>
        <v>0</v>
      </c>
      <c r="BZ226" s="369"/>
      <c r="CA226" s="368">
        <f>SnapshotTable[[#This Row],[LP Qty]]</f>
        <v>0</v>
      </c>
      <c r="CB226" s="4" t="str">
        <f>IF(SnapshotTable[[#This Row],[SP Is Booked]], SnapshotTable[[#This Row],[SP Strike Price]] - SnapshotTable[[#This Row],[SP Book Price]], "")</f>
        <v/>
      </c>
      <c r="CC226" s="19" t="str">
        <f>IF(SnapshotTable[[#This Row],[SP Is Booked]],SnapshotTable[[#This Row],[SP Exp Date]]-MAX(SnapshotTable[[#This Row],[SP Book Date]], SnapshotTable[[#This Row],[SP Fill Date]]),"")</f>
        <v/>
      </c>
      <c r="CD226" s="7" t="str">
        <f>IF(SnapshotTable[[#This Row],[SP Is Booked]], SnapshotTable[[#This Row],[SP Book Price]]/SnapshotTable[[#This Row],[SP Strike Price]], "")</f>
        <v/>
      </c>
      <c r="CE226" s="7" t="str">
        <f>IF(ISNUMBER(SnapshotTable[[#This Row],[SP ROO Term]]),SnapshotTable[[#This Row],[SP ROO Term]]*(365/SnapshotTable[[#This Row],[SP Term]]),"")</f>
        <v/>
      </c>
      <c r="CF226" s="236">
        <f>SnapshotTable[[#This Row],[LP Strike Price]] * SnapshotTable[[#This Row],[LP Qty]] * 100</f>
        <v>0</v>
      </c>
      <c r="CG226" s="31" t="e">
        <f>IF(ISNUMBER(SnapshotTable[[#This Row],[SP Premium]]), (SnapshotTable[[#This Row],[SP Qty]] * SnapshotTable[[#This Row],[SP Strike Price]]* 100) - SnapshotTable[[#This Row],[LP Protection]], 0)</f>
        <v>#VALUE!</v>
      </c>
      <c r="CH226" s="7" t="str">
        <f>IF(ISNUMBER(SnapshotTable[[#This Row],[SP Break Even]]),-1 * (SnapshotTable[[#This Row],[SP Break Even]] - SnapshotTable[[#This Row],[Last Price]]) / SnapshotTable[[#This Row],[Last Price]], "")</f>
        <v/>
      </c>
      <c r="CI226" s="31">
        <f>IF(AND(ISNUMBER((SnapshotTable[[#This Row],[SP Potential Spend]])), SnapshotTable[[#This Row],[SP Strike Price]] &gt; SnapshotTable[[#This Row],[Last Price]], SnapshotTable[[#This Row],[SP Is Filled]]), SnapshotTable[[#This Row],[SP Potential Spend]] -  SnapshotTable[[#This Row],[LP Max Value]], 0)</f>
        <v>0</v>
      </c>
      <c r="CJ226" s="244"/>
      <c r="CK226" s="31" t="str">
        <f>IF(ISNUMBER(SnapshotTable[[#This Row],[SP Potential Spend]]),IF(ISNUMBER(SnapshotTable[[#This Row],[SP POW]]), SnapshotTable[[#This Row],[SP POW]] * SnapshotTable[[#This Row],[SP Potential Spend]], SnapshotTable[[#This Row],[SP Potential Spend]]), "")</f>
        <v/>
      </c>
      <c r="CL226" s="164" t="e">
        <f>IF(NOT(SnapshotTable[[#This Row],[SP Is Filled]]),(SnapshotTable[[#This Row],[SP Qty]] * SnapshotTable[[#This Row],[SP Strike Price]] * 100) - SnapshotTable[[#This Row],[LP Max Value]],"")</f>
        <v>#VALUE!</v>
      </c>
      <c r="CM226" s="31" t="str">
        <f>IF(SnapshotTable[[#This Row],[SP Actual Spend]]&lt;&gt;0, ((SnapshotTable[[#This Row],[SP Strike Price]]-SnapshotTable[[#This Row],[Last Price]]) *(SnapshotTable[[#This Row],[SP Qty]]*100) - SnapshotTable[[#This Row],[SP Premium]]) * - 1, "")</f>
        <v/>
      </c>
      <c r="CN226" s="78"/>
      <c r="CO226" s="369"/>
      <c r="CP226" s="4" t="str">
        <f>IF(SnapshotTable[[#This Row],[SP Is Filled]], btc_max_buyback_amount(SnapshotTable[[#This Row],[SP Fill Date]],SnapshotTable[[#This Row],[SP Exp Date]], SnapshotTable[[#This Row],[SP Book Price]]),"")</f>
        <v/>
      </c>
      <c r="CQ226" s="78"/>
      <c r="CR22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6" s="155" t="str">
        <f>IF(SnapshotTable[[#This Row],[SP Is Filled]], btc_next_cutoff_date(SnapshotTable[[#This Row],[SP Fill Date]],SnapshotTable[[#This Row],[SP Exp Date]]),"")</f>
        <v/>
      </c>
      <c r="CT226" s="235" t="str" cm="1">
        <f t="array" ref="CT226">IF(SnapshotTable[[#This Row],[SP Is Filled]], btc_should_buy_back(SnapshotTable[[#This Row],[SP Fill Date]], SnapshotTable[[#This Row],[SP Exp Date]], SnapshotTable[[#This Row],[SP Book Price]], SnapshotTable[[#This Row],[SP Current Ask]], MockToday, SnapshotTable[[#This Row],[SP Buyback Override]]),"")</f>
        <v/>
      </c>
      <c r="CU226" s="143"/>
      <c r="CV226" s="235"/>
      <c r="CW226" s="378" t="str">
        <f>IF(ISNUMBER( SnapshotTable[[#This Row],[SP Term]]), SnapshotTable[[#This Row],[SP Exp Date]] - MockToday,"")</f>
        <v/>
      </c>
      <c r="CX226" s="31" t="str">
        <f>IF(SnapshotTable[[#This Row],[SP Is Filled]],SnapshotTable[[#This Row],[SP Buyback Price to Use]] * 100 * SnapshotTable[[#This Row],[SP Qty]], "")</f>
        <v/>
      </c>
      <c r="CY226" s="4" t="str">
        <f>IF(ISNUMBER(SnapshotTable[[#This Row],[SP Strike Price]]), SnapshotTable[[#This Row],[SP Strike Price]] * (1 - SP_MaxLoss_StrikePct), "")</f>
        <v/>
      </c>
      <c r="CZ226" s="31" t="str">
        <f>IF(ISNUMBER(SnapshotTable[[#This Row],[SP Strike  Stop Per Share]]),SnapshotTable[[#This Row],[SP Premium]] - ((SnapshotTable[[#This Row],[SP Strike Price]]-SnapshotTable[[#This Row],[SP Strike  Stop Per Share]]) *(SnapshotTable[[#This Row],[SP Qty]] * 100)),"")</f>
        <v/>
      </c>
      <c r="DA226" s="4" t="str">
        <f>IF(AND(ISNUMBER(SnapshotTable[[#This Row],[SP Premium]]),SnapshotTable[[#This Row],[SP Premium]]&gt;0), SnapshotTable[[#This Row],[SP Book Price]] * (1 + SP_MaxLoss_OptionPct), "")</f>
        <v/>
      </c>
      <c r="DB226" s="31" t="str">
        <f>IF(ISNUMBER(SnapshotTable[[#This Row],[SP Option  Stop Contract]]),(SnapshotTable[[#This Row],[SP Option  Stop Contract]] *(SnapshotTable[[#This Row],[SP Qty]] * 100) - SnapshotTable[[#This Row],[SP Premium]]),"")</f>
        <v/>
      </c>
      <c r="DC226" s="4"/>
      <c r="DD226" s="4"/>
      <c r="DE226" s="4" t="str">
        <f>IF(AND(SnapshotTable[[#This Row],[SP Qty]]&gt;0, SnapshotTable[[#This Row],[SP Stop To Use]]&gt;0),SnapshotTable[[#This Row],[SP Premium]] - ( SnapshotTable[[#This Row],[SP Qty]] * SnapshotTable[[#This Row],[SP Stop To Use]] * 100), "")</f>
        <v/>
      </c>
      <c r="DF226" s="31" t="str">
        <f>IF(AND(SnapshotTable[[#This Row],[SP Qty]]&gt;0,SnapshotTable[[#This Row],[SP Current Ask]]&gt;0), SnapshotTable[[#This Row],[SP Qty]] * SnapshotTable[[#This Row],[SP Current Ask]] * -100, "")</f>
        <v/>
      </c>
      <c r="DG226" s="31" t="str">
        <f>IF(ISNUMBER((SnapshotTable[[#This Row],[SP Total Value]])), SnapshotTable[[#This Row],[SP Premium]] + SnapshotTable[[#This Row],[SP Total Value]], "")</f>
        <v/>
      </c>
      <c r="DH226" s="294" t="str">
        <f>IF(ISNUMBER((SnapshotTable[[#This Row],[SP Total Value]])), SnapshotTable[[#This Row],[SP Gain Loss]] / SnapshotTable[[#This Row],[SP Premium]], "")</f>
        <v/>
      </c>
      <c r="DI226" s="406"/>
      <c r="DJ226" s="138"/>
      <c r="DK226" s="148"/>
      <c r="DL226" s="13"/>
      <c r="DM226" s="13"/>
      <c r="DO226" s="31">
        <f>IF(SnapshotTable[[#This Row],[LC Symbol Count]]=1, SnapshotTable[[#This Row],[LC Qty]] * SnapshotTable[[#This Row],[LC Book Price]] * 100, 0)</f>
        <v>0</v>
      </c>
      <c r="DP226" s="163" t="str">
        <f>IF(AND(SnapshotTable[[#This Row],[LC Exp Date]]&gt;0, SnapshotTable[[#This Row],[LC Strike Price]]&gt;0,SnapshotTable[[#This Row],[LC Qty]]&gt;0,SnapshotTable[[#This Row],[LC Book Date]]&gt;0,SnapshotTable[[#This Row],[LC Book Price]]&gt;0,SnapshotTable[[#This Row],[LC Fill Date]]=0),"Y","")</f>
        <v/>
      </c>
      <c r="DQ226" s="386" t="str">
        <f>IF(SnapshotTable[[#This Row],[LC Premium]] &gt; 0,SnapshotTable[[#This Row],[LC Exp Date]]-MAX(SnapshotTable[[#This Row],[LC Book Date]], SnapshotTable[[#This Row],[LC Fill Date]]),"")</f>
        <v/>
      </c>
      <c r="DR226" s="386" t="str">
        <f>IF(ISNUMBER(SnapshotTable[[#This Row],[LC Term]]), SnapshotTable[[#This Row],[LC Exp Date]] - MockToday, "")</f>
        <v/>
      </c>
      <c r="DS226" s="234" t="str">
        <f>IF(SnapshotTable[[#This Row],[LC Premium]]&gt;0,SnapshotTable[[#This Row],[LC Strike Price]] + SnapshotTable[[#This Row],[LC Book Price]],"")</f>
        <v/>
      </c>
      <c r="DU226" s="9" t="str">
        <f>IF(AND(SnapshotTable[[#This Row],[LC Symbol Count]]&gt;0, SnapshotTable[[#This Row],[LC Contract Value]]&gt;0), SnapshotTable[[#This Row],[LC Contract Value]] * SnapshotTable[[#This Row],[LC Qty]] * 100, "")</f>
        <v/>
      </c>
      <c r="DV226" s="9" t="str">
        <f>IF(AND(ISNUMBER(SnapshotTable[[#This Row],[LC Total Value]]), SnapshotTable[[#This Row],[LC Not Filled]]&lt;&gt;"Y"), SnapshotTable[[#This Row],[LC Total Value]]-SnapshotTable[[#This Row],[LC Premium]],"")</f>
        <v/>
      </c>
      <c r="DW226" s="240" t="str">
        <f>IF(ISNUMBER(SnapshotTable[[#This Row],[LC Actual Gain Loss]]), SnapshotTable[[#This Row],[LC Actual Gain Loss]] / SnapshotTable[[#This Row],[LC Premium]],"")</f>
        <v/>
      </c>
      <c r="DX226" s="284" t="str">
        <f>IF(ISNUMBER(SnapshotTable[[#This Row],[LC Book Price]]),SnapshotTable[[#This Row],[LC Book Price]] * 1.5,"")</f>
        <v/>
      </c>
      <c r="DY226" s="265" t="str">
        <f>IF(SnapshotTable[[#This Row],[LC Premium]]&gt;0, SnapshotTable[[#This Row],[LC Next Target]] * SnapshotTable[[#This Row],[LC Qty]] * 100,"")</f>
        <v/>
      </c>
      <c r="DZ226" s="265" t="str">
        <f>IF(ISNUMBER(SnapshotTable[[#This Row],[LC Target Gross]]), SnapshotTable[[#This Row],[LC Target Gross]] - SnapshotTable[[#This Row],[LC Premium]], "")</f>
        <v/>
      </c>
      <c r="EA226" s="305" t="str">
        <f>IF(ISNUMBER(SnapshotTable[[#This Row],[LC Target Gain Loss]]), SnapshotTable[[#This Row],[LC Target Gain Loss]]/SnapshotTable[[#This Row],[LC Premium]], "")</f>
        <v/>
      </c>
      <c r="EB226" s="262"/>
      <c r="EC226" s="283" t="str">
        <f>IF(SnapshotTable[[#This Row],[LC Premium]]&gt;0, SnapshotTable[[#This Row],[LC Book Price]] * (1 - LC_StopLoss_Pct),"")</f>
        <v/>
      </c>
      <c r="ED226" s="284"/>
      <c r="EE226" s="283" t="str">
        <f>IF(ISNUMBER(SnapshotTable[[#This Row],[LC Contract Value]]),IF(ISNUMBER(SnapshotTable[[#This Row],[LC Stop Loss Override]]), SnapshotTable[[#This Row],[LC Stop Loss Override]],SnapshotTable[[#This Row],[LC Stop Loss Calc Target]]),"")</f>
        <v/>
      </c>
      <c r="EF226" s="31" t="str">
        <f>IF(ISNUMBER(SnapshotTable[[#This Row],[LC Stop  To Use]]), (SnapshotTable[[#This Row],[LC Stop  To Use]] * SnapshotTable[[#This Row],[LC Qty]] * 100),"")</f>
        <v/>
      </c>
      <c r="EG226" s="9" t="str">
        <f>IF(ISNUMBER(SnapshotTable[[#This Row],[LC Total Value]]),SnapshotTable[[#This Row],[LC Stop Loss Amount]] - SnapshotTable[[#This Row],[LC Premium]],"")</f>
        <v/>
      </c>
      <c r="EH226" s="9">
        <f>IF(ISNUMBER(SnapshotTable[[#This Row],[LC Premium]]), SnapshotTable[[#This Row],[LC Qty]] * 100 * SnapshotTable[[#This Row],[LC Strike Price]], "")</f>
        <v>0</v>
      </c>
      <c r="EI226" s="240" t="str">
        <f>IF(AND(ISNUMBER(SnapshotTable[[#This Row],[LC Total Value]]),SnapshotTable[[#This Row],[LC Total Value]]&gt;0),SnapshotTable[[#This Row],[LC Stop Gain Loss]]  / SnapshotTable[[#This Row],[LC Premium]],"")</f>
        <v/>
      </c>
      <c r="EJ226" s="35">
        <f>IF(ISNUMBER(SnapshotTable[[#This Row],[Equity Shares]]),TRUNC(SnapshotTable[[#This Row],[Equity Shares]] / 100),0) + SnapshotTable[[#This Row],[LC Qty]]</f>
        <v>0</v>
      </c>
      <c r="EK226" s="147"/>
      <c r="EL226" s="138" t="str">
        <f>IF(SnapshotTable[[#This Row],[SC Exp Date]]&lt;&gt;"",TRUNC(SnapshotTable[[#This Row],[Last Price]]),"")</f>
        <v/>
      </c>
      <c r="EM226" s="148"/>
      <c r="EN226" s="147"/>
      <c r="EO226" s="147"/>
      <c r="EP226" s="138"/>
      <c r="EQ226" s="419" t="b">
        <f>AND(ISNUMBER(SnapshotTable[[#This Row],[SC Exp Date]]), ISNUMBER(SnapshotTable[[#This Row],[SC Strike Price]]), ISNUMBER(SnapshotTable[[#This Row],[SC Qty]]), ISNUMBER(SnapshotTable[[#This Row],[SC Book Date]]), ISNUMBER(SnapshotTable[[#This Row],[SC Book Price]]))</f>
        <v>0</v>
      </c>
      <c r="ER226" s="419" t="b">
        <f>AND(SnapshotTable[[#This Row],[SC Is Booked]], NOT(ISBLANK(SnapshotTable[[#This Row],[SC Fill Date]])))</f>
        <v>0</v>
      </c>
      <c r="ES226" s="370"/>
      <c r="ET226" s="34" t="str">
        <f>IF(AND(ISNUMBER(SnapshotTable[[#This Row],[SC Exp Date]]), ISNUMBER(SnapshotTable[[#This Row],[SC Book Date]])), SnapshotTable[[#This Row],[SC Exp Date]] - MAX(SnapshotTable[[#This Row],[SC Book Date]], SnapshotTable[[#This Row],[SC Fill Date]]) + 1, "")</f>
        <v/>
      </c>
      <c r="EU226" s="34" t="str">
        <f>IF(ISNUMBER(SnapshotTable[[#This Row],[SC Term]]), SnapshotTable[[#This Row],[SC Exp Date]]- MockToday, "")</f>
        <v/>
      </c>
      <c r="EV226" s="31">
        <f>IF(SnapshotTable[[#This Row],[SC Is Booked]], SnapshotTable[[#This Row],[SC Qty]] * SnapshotTable[[#This Row],[SC Book Price]] * 100, 0)</f>
        <v>0</v>
      </c>
      <c r="EW226" s="4" t="str">
        <f>IF(AND(ISNUMBER(SnapshotTable[[#This Row],[Last Price]]), ISNUMBER( SnapshotTable[[#This Row],[SC Book Price]])), SnapshotTable[[#This Row],[Last Price]] - SnapshotTable[[#This Row],[SC Book Price]],"")</f>
        <v/>
      </c>
      <c r="EX226" s="234" t="str">
        <f>IF(SnapshotTable[[#This Row],[SC Is Booked]],IF(SnapshotTable[[#This Row],[SC Intrinsic Value]] &gt; 0, SnapshotTable[[#This Row],[SC Strike Price]], SnapshotTable[[#This Row],[Last Price]]), "")</f>
        <v/>
      </c>
      <c r="EY226" s="4">
        <f>IF(SnapshotTable[[#This Row],[SC Is Booked]], (MinimumPremiumRequired * SnapshotTable[[#This Row],[SC Basis]] * SnapshotTable[[#This Row],[SC Term]]), 0)</f>
        <v>0</v>
      </c>
      <c r="EZ226" s="283"/>
      <c r="FA226" s="218"/>
      <c r="FB226" s="370"/>
      <c r="FC226" s="4">
        <f>IF(SnapshotTable[[#This Row],[SC Is Filled]], btc_max_buyback_amount(SnapshotTable[[#This Row],[SC Fill Date]],SnapshotTable[[#This Row],[SC Exp Date]], SnapshotTable[[#This Row],[SC Book Price]]),0)</f>
        <v>0</v>
      </c>
      <c r="FD226" s="5"/>
      <c r="FE226" s="144" t="str">
        <f>IF(SnapshotTable[[#This Row],[SC Is Filled]], btc_next_cutoff_date(SnapshotTable[[#This Row],[SC Fill Date]],SnapshotTable[[#This Row],[SC Exp Date]]),"")</f>
        <v/>
      </c>
      <c r="FF226" s="4" t="str" cm="1">
        <f t="array" ref="FF226">IF(SnapshotTable[[#This Row],[SC Is Filled]], btc_should_buy_back(SnapshotTable[[#This Row],[SC Fill Date]], SnapshotTable[[#This Row],[SC Exp Date]], SnapshotTable[[#This Row],[SC Book Price]], SnapshotTable[[#This Row],[SC Current Ask]], MockToday, SnapshotTable[[#This Row],[SC Buyback Override]]),"")</f>
        <v/>
      </c>
      <c r="FG226" s="4">
        <f>IF(SnapshotTable[[#This Row],[SC Is Filled]], MAX(0,SnapshotTable[[#This Row],[Last Price]]  - SnapshotTable[[#This Row],[SC Strike Price]]), 0)</f>
        <v>0</v>
      </c>
      <c r="FH226" s="382">
        <f>IF(SnapshotTable[[#This Row],[SC Is Filled]], IF(ISNUMBER(SnapshotTable[[#This Row],[SC Current Ask]]), SnapshotTable[[#This Row],[SC Current Ask]], SnapshotTable[[#This Row],[SC Book Price]]) - SnapshotTable[[#This Row],[SC Intrinsic Value]], 0)</f>
        <v>0</v>
      </c>
      <c r="FI226" s="143"/>
      <c r="FJ226" s="32" t="str">
        <f>IF(SnapshotTable[[#This Row],[SC Is Filled]],100 * SnapshotTable[[#This Row],[SC Qty]] * IF(ISNUMBER(SnapshotTable[[#This Row],[SC Buyback Override]]), SnapshotTable[[#This Row],[SC Buyback Override]], SnapshotTable[[#This Row],[SC Current Ask]]), "")</f>
        <v/>
      </c>
      <c r="FK226" s="250" t="str">
        <f>IF(SnapshotTable[[#This Row],[SC Time Val]]&gt;0, SnapshotTable[[#This Row],[SC Time Val]] / SnapshotTable[[#This Row],[Last Price]],"")</f>
        <v/>
      </c>
      <c r="FL226" s="302" t="str">
        <f>IF(SnapshotTable[[#This Row],[SC Is Booked]], ((SnapshotTable[[#This Row],[Last Price]] -SnapshotTable[[#This Row],[SC Strike Price]]) / SnapshotTable[[#This Row],[Last Price]]) * -1, "")</f>
        <v/>
      </c>
      <c r="FM226" s="157" t="str">
        <f>IF(SnapshotTable[[#This Row],[SC Is Booked]],  (SnapshotTable[[#This Row],[SC Qty]] * 100 * SnapshotTable[[#This Row],[SC Strike Price]]) - SnapshotTable[[#This Row],[SC Current Ask]], "")</f>
        <v/>
      </c>
      <c r="FN22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6" s="31" t="str">
        <f>IF(AND(ISNUMBER(SnapshotTable[[#This Row],[SC Exercise Gross]]), ISNUMBER(SnapshotTable[[#This Row],[Equity Basis Per Share]] )), SnapshotTable[[#This Row],[SC Exercise Gross]] - SnapshotTable[[#This Row],[Equity Basis Total]] +  SnapshotTable[[#This Row],[SC Premium]], "")</f>
        <v/>
      </c>
      <c r="FP226" s="5" t="str">
        <f>IF(ISNUMBER(SnapshotTable[[#This Row],[SC Exercise Gross]]), (SnapshotTable[[#This Row],[SC Exercise Gross]]) / (SnapshotTable[[#This Row],[SC Qty]] * 100), "")</f>
        <v/>
      </c>
      <c r="FQ226" s="27" t="str">
        <f>IF(SnapshotTable[[#This Row],[SC Is Booked]],SnapshotTable[[#This Row],[SC Time Val]] /SnapshotTable[[#This Row],[SC Basis]], "")</f>
        <v/>
      </c>
      <c r="FR226" s="27" t="str" cm="1">
        <f t="array" ref="FR226">IF(AND(ISNUMBER(SnapshotTable[[#This Row],[SC Term]]),ISNUMBER(SnapshotTable[[#This Row],[SC Simple ROO]])), EllmanAnnualize(SnapshotTable[[#This Row],[SC DTE]], SnapshotTable[[#This Row],[SC Simple ROO]] ),"")</f>
        <v/>
      </c>
      <c r="FS226" s="4" t="e">
        <f>IF(SnapshotTable[[#This Row],[SC Strike Price]] &gt; SnapshotTable[[#This Row],[Last Price]], SnapshotTable[[#This Row],[SC Strike Price]] - SnapshotTable[[#This Row],[Last Price]],0)</f>
        <v>#VALUE!</v>
      </c>
      <c r="FT226" s="27" t="e">
        <f>IF(AND(ISNUMBER(SnapshotTable[[#This Row],[SC Upside Potential]]), SnapshotTable[[#This Row],[SC Upside Potential]] &gt; 0),(SnapshotTable[[#This Row],[SC Upside Potential]]/ SnapshotTable[[#This Row],[ACB]]),"")</f>
        <v>#VALUE!</v>
      </c>
      <c r="FU226" s="333" t="str">
        <f>IF(SnapshotTable[[#This Row],[SC Intrinsic Value]] &gt; 0,SnapshotTable[[#This Row],[SC Intrinsic Value]],"")</f>
        <v/>
      </c>
      <c r="FV226" s="27" t="str">
        <f>IF(AND( ISNUMBER( SnapshotTable[[#This Row],[ACB]]),ISNUMBER(SnapshotTable[[#This Row],[SC Downside Protect]])),SnapshotTable[[#This Row],[SC Downside Protect]] / SnapshotTable[[#This Row],[ACB]],"")</f>
        <v/>
      </c>
      <c r="FW226" s="236" t="str">
        <f>IF(AND(ISNUMBER(SnapshotTable[[#This Row],[SC Simple ROO]]),SnapshotTable[[#This Row],[SC Simple ROO]] &gt; 0), SnapshotTable[[#This Row],[SC Premium]] + (SnapshotTable[[#This Row],[SC Qty]] * SnapshotTable[[#This Row],[SC Upside Potential]]), "")</f>
        <v/>
      </c>
      <c r="FX226" s="302" t="str" cm="1">
        <f t="array" ref="FX226">IF(ISNUMBER(SnapshotTable[[#This Row],[SC Max Dollars]]), annualize(SnapshotTable[[#This Row],[SC Term]],(SnapshotTable[[#This Row],[SC Max Dollars]]/SnapshotTable[[#This Row],[SC Basis]])),"")</f>
        <v/>
      </c>
      <c r="FY226" s="236" t="str">
        <f>IF(AND(SnapshotTable[[#This Row],[SC Qty]]&gt;0,SnapshotTable[[#This Row],[SC Current Ask]]&gt;0), SnapshotTable[[#This Row],[SC Qty]] * SnapshotTable[[#This Row],[SC Current Ask]] * -100, "")</f>
        <v/>
      </c>
      <c r="FZ226" s="31" t="str">
        <f>IF(ISNUMBER((SnapshotTable[[#This Row],[SC Current Value]])), SnapshotTable[[#This Row],[SC Premium]] + SnapshotTable[[#This Row],[SC Current Value]], "")</f>
        <v/>
      </c>
      <c r="GA226" s="294" t="str">
        <f>IFERROR( IF(ISNUMBER((SnapshotTable[[#This Row],[SC Current Value]])), SnapshotTable[[#This Row],[SC Gain Loss]] / SnapshotTable[[#This Row],[SC Premium]], ""), "")</f>
        <v/>
      </c>
      <c r="GB226" s="42">
        <f>SnapshotTable[[#This Row],[Equity Shares]] * SaleSharesToConsiderPercentage</f>
        <v>0</v>
      </c>
      <c r="GC226" s="40" t="e">
        <f>SnapshotTable[[#This Row],[Long Term Target]] * SellingPriceToConsiderBasedOnTargetPercentage</f>
        <v>#VALUE!</v>
      </c>
      <c r="GD226" s="40">
        <f>SnapshotTable[[#This Row],[Last Price]] * (1+ SellingPriceToConsiderBasedOnTargetPercentage)</f>
        <v>494.67599999999999</v>
      </c>
      <c r="GE226" s="41"/>
      <c r="GF226" s="40"/>
      <c r="GG226" s="31">
        <f>SnapshotTable[[#This Row],[Booked Sale Shares]] * SnapshotTable[[#This Row],[Booked Sale Price]]</f>
        <v>0</v>
      </c>
      <c r="GH226" s="31" t="str">
        <f>IF(SnapshotTable[[#This Row],[Equity Basis Total]] &gt; 0, SnapshotTable[[#This Row],[Equity Basis Per Share]] * SnapshotTable[[#This Row],[Booked Sale Shares]], "")</f>
        <v/>
      </c>
      <c r="GI226" s="31">
        <f>IF(SnapshotTable[[#This Row],[Sale Proceeds]]&gt;0, SnapshotTable[[#This Row],[Sale Proceeds]] - SnapshotTable[[#This Row],[Sale Basis]], 0)</f>
        <v>0</v>
      </c>
      <c r="GJ226" s="27" t="str">
        <f>IF(SnapshotTable[[#This Row],[Sale G/L]]&gt;0, SnapshotTable[[#This Row],[Sale G/L]] / SnapshotTable[[#This Row],[Sale Basis]], IF(ISNUMBER(SnapshotTable[[#This Row],[SC Exercise P&amp;L (TAX)]]), SnapshotTable[[#This Row],[SC Exercise P&amp;L (TAX)]] / SnapshotTable[[#This Row],[SC Basis]], ""))</f>
        <v/>
      </c>
      <c r="GK226" s="27" t="s">
        <v>736</v>
      </c>
      <c r="GL226" s="43" t="str">
        <f>IF(AND(SnapshotTable[[#This Row],[LP Exp Date]]&gt;0,SnapshotTable[[#This Row],[LP Strike Price]]&gt;0), [1]!ToOptionSymbol(SnapshotTable[[#This Row],[Symbol]], SnapshotTable[[#This Row],[LP Strike Price]],SnapshotTable[[#This Row],[LP Exp Date]],1), "")</f>
        <v/>
      </c>
      <c r="GM226" s="30" t="str">
        <f>IF(LEN(SnapshotTable[[#This Row],[LP Symbol]])&gt;0, 1, "")</f>
        <v/>
      </c>
      <c r="GN226" s="43" t="str">
        <f>IF(AND(SnapshotTable[[#This Row],[SP Exp Date]]&gt;0,SnapshotTable[[#This Row],[SP Strike Price]]&gt;0), [1]!ToOptionSymbol(SnapshotTable[[#This Row],[Symbol]], SnapshotTable[[#This Row],[SP Strike Price]],SnapshotTable[[#This Row],[SP Exp Date]],1), "")</f>
        <v/>
      </c>
      <c r="GO226" s="30" t="str">
        <f>IF(LEN(SnapshotTable[[#This Row],[SP Symbol]])&gt;0, 1, "")</f>
        <v/>
      </c>
      <c r="GP226" s="43" t="str">
        <f>IF(AND(SnapshotTable[[#This Row],[LC Exp Date]]&gt;0,SnapshotTable[[#This Row],[LC Strike Price]]&gt;0), [1]!ToOptionSymbol(SnapshotTable[[#This Row],[Symbol]], SnapshotTable[[#This Row],[LC Strike Price]],SnapshotTable[[#This Row],[LC Exp Date]],0), "")</f>
        <v/>
      </c>
      <c r="GQ226" s="30" t="str">
        <f>IF(LEN(SnapshotTable[[#This Row],[LC Symbol]])&gt;0, 1, "")</f>
        <v/>
      </c>
      <c r="GR226" s="43" t="str">
        <f>IF(AND(SnapshotTable[[#This Row],[SC Exp Date]]&gt;0,SnapshotTable[[#This Row],[SC Strike Price]]&gt;0), [1]!ToOptionSymbol(SnapshotTable[[#This Row],[Symbol]], SnapshotTable[[#This Row],[SC Strike Price]],SnapshotTable[[#This Row],[SC Exp Date]],0), "")</f>
        <v/>
      </c>
      <c r="GS226" s="30" t="str">
        <f>IF(LEN(SnapshotTable[[#This Row],[SC Symbol]])&gt;0, 1, "")</f>
        <v/>
      </c>
      <c r="GT226" s="29" t="str">
        <f>IF(COUNT(SnapshotTable[[#This Row],[LP Symbol Count]],SnapshotTable[[#This Row],[SP Symbol Count]],SnapshotTable[[#This Row],[LC Symbol Count]],SnapshotTable[[#This Row],[SC Symbol Count]])&gt;0, "Y", "")</f>
        <v/>
      </c>
      <c r="GU22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6" s="231" t="e">
        <f>MAX(SnapshotTable[[#This Row],[Equity Basis Total]],SnapshotTable[[#This Row],[Equity Value]]) + (SnapshotTable[[#This Row],[SP Potential Spend]]- SnapshotTable[[#This Row],[SP Premium]] + SnapshotTable[[#This Row],[LP Premium]])+ (SnapshotTable[[#This Row],[LC Premium]] - SnapshotTable[[#This Row],[SC Premium]])</f>
        <v>#VALUE!</v>
      </c>
      <c r="GW226" s="139" t="e">
        <f>IF(AND(SnapshotTable[[#This Row],[Exposure]] &lt;&gt; 0),SnapshotTable[[#This Row],[Exposure]] / SnapshotTable[[#Totals],[Exposure]], "")</f>
        <v>#VALUE!</v>
      </c>
      <c r="HE226" s="268"/>
      <c r="HF226" s="268"/>
      <c r="HK226" s="1"/>
      <c r="HL226" s="1"/>
      <c r="HM226" s="1"/>
      <c r="HN226" s="1"/>
      <c r="HO226" s="1"/>
      <c r="HP226" s="1"/>
    </row>
    <row r="227" spans="2:224" ht="12.75" hidden="1" customHeight="1" x14ac:dyDescent="0.25">
      <c r="B227" s="12" t="s">
        <v>1279</v>
      </c>
      <c r="C227" s="422">
        <v>5.17</v>
      </c>
      <c r="D227" s="208"/>
      <c r="E227" s="39">
        <f>SnapshotTable[[#This Row],[Last Price]]*(1 -CrashDiscount)</f>
        <v>4.3944999999999999</v>
      </c>
      <c r="F227" s="325" t="s">
        <v>1280</v>
      </c>
      <c r="G227" s="325" t="s">
        <v>41</v>
      </c>
      <c r="H227" s="149"/>
      <c r="I227" s="194"/>
      <c r="J227" s="195"/>
      <c r="K227" s="196"/>
      <c r="L227" s="326"/>
      <c r="M227" s="140"/>
      <c r="N227" s="140"/>
      <c r="O227" s="140"/>
      <c r="P227" s="22">
        <v>1000</v>
      </c>
      <c r="Q227" s="25">
        <v>11620</v>
      </c>
      <c r="R227" s="4">
        <f>IF(SnapshotTable[[#This Row],[Equity Basis Total]] &gt; 0, SnapshotTable[[#This Row],[Equity Basis Total]] / SnapshotTable[[#This Row],[Equity Shares]], "")</f>
        <v>11.62</v>
      </c>
      <c r="S227" s="269">
        <f>SnapshotTable[[#This Row],[Last Price]] * SnapshotTable[[#This Row],[Equity Shares]]</f>
        <v>5170</v>
      </c>
      <c r="T227" s="269">
        <f>SnapshotTable[[#This Row],[Equity Value]] - SnapshotTable[[#This Row],[Equity Basis Total]]</f>
        <v>-6450</v>
      </c>
      <c r="U227" s="270">
        <f>IF(SnapshotTable[[#This Row],[Equity Basis Total]] &gt; 0, SnapshotTable[[#This Row],[Equity G/L]] / SnapshotTable[[#This Row],[Equity Basis Total]], "")</f>
        <v>-0.55507745266781416</v>
      </c>
      <c r="V227" s="268"/>
      <c r="W227" s="268"/>
      <c r="X227" s="4" t="str">
        <f>IF(AND(ISNUMBER(SnapshotTable[[#This Row],[Equity Basis Per Share]]),ISNUMBER(SnapshotTable[[#This Row],[Equity Target]])),SnapshotTable[[#This Row],[Equity Target]]-SnapshotTable[[#This Row],[Equity Basis Per Share]],"")</f>
        <v/>
      </c>
      <c r="Y227" s="4" t="str">
        <f>IF(AND(ISNUMBER(SnapshotTable[[#This Row],[Equity Basis Per Share]]),ISNUMBER(SnapshotTable[[#This Row],[Equity Stop Loss]])),SnapshotTable[[#This Row],[Equity Stop Loss]]-SnapshotTable[[#This Row],[Equity Basis Per Share]],"")</f>
        <v/>
      </c>
      <c r="Z227" s="275" t="str">
        <f>IFERROR( TEXT(SnapshotTable[[#This Row],[Equity Max Gain Per Share]] /ABS( SnapshotTable[[#This Row],[Equity Max Loss Per Share]]),"0.0 " ) &amp; " : 1", "")</f>
        <v/>
      </c>
      <c r="AA227" s="31" t="str">
        <f>IF(ISNUMBER(SnapshotTable[[#This Row],[Equity Max Gain Per Share]]),SnapshotTable[[#This Row],[Equity Max Gain Per Share]] * SnapshotTable[[#This Row],[Equity Shares]],"")</f>
        <v/>
      </c>
      <c r="AB227" s="31" t="str">
        <f>IF(ISNUMBER(SnapshotTable[[#This Row],[Equity Max Loss Per Share]]),SnapshotTable[[#This Row],[Equity Max Loss Per Share]] * SnapshotTable[[#This Row],[Equity Shares]],"")</f>
        <v/>
      </c>
      <c r="AC227" s="150"/>
      <c r="AD227" s="151"/>
      <c r="AE227" s="31">
        <f>(SnapshotTable[[#This Row],[Annual Dividend Per Share]] / 4) * SnapshotTable[[#This Row],[Equity Shares]]</f>
        <v>0</v>
      </c>
      <c r="AF227" s="31">
        <f>SnapshotTable[[#This Row],[Quarterly Div $]] * 4</f>
        <v>0</v>
      </c>
      <c r="AG227" s="7">
        <f>IF(SnapshotTable[[#This Row],[Annual Dividend Per Share]]&gt;0, SnapshotTable[[#This Row],[Annual Dividend Per Share]]  / SnapshotTable[[#This Row],[Last Price]], 0)</f>
        <v>0</v>
      </c>
      <c r="AH227" s="151"/>
      <c r="AI227" s="5"/>
      <c r="AJ227" s="138"/>
      <c r="AK227" s="152" t="str">
        <f>IF(ISNUMBER( SnapshotTable[[#This Row],[EBF Target]]),(SnapshotTable[[#This Row],[EBF Target]] - SnapshotTable[[#This Row],[Last Price]]) / SnapshotTable[[#This Row],[Last Price]], "")</f>
        <v/>
      </c>
      <c r="AL227" s="152" t="str">
        <f>IF(AND(SnapshotTable[[#This Row],[Equity Basis Total]] &gt; 0,ISNUMBER( SnapshotTable[[#This Row],[Long Term Target]])), SnapshotTable[[#This Row],[From Basis $]] / SnapshotTable[[#This Row],[Equity Basis Total]], "")</f>
        <v/>
      </c>
      <c r="AM227" s="9">
        <f>IF( AND(SnapshotTable[[#This Row],[Equity Shares]] &gt;0,ISNUMBER( SnapshotTable[[#This Row],[Long Term Target]])),(SnapshotTable[[#This Row],[Equity Shares]] * SnapshotTable[[#This Row],[Long Term Target]]) - SnapshotTable[[#This Row],[Equity Basis Total]],0)</f>
        <v>0</v>
      </c>
      <c r="AN227" s="9">
        <f>IF( AND(SnapshotTable[[#This Row],[Equity Shares]] &gt;0,ISNUMBER( SnapshotTable[[#This Row],[Long Term Target]])),(SnapshotTable[[#This Row],[Equity Shares]]*SnapshotTable[[#This Row],[Long Term Target]]) - SnapshotTable[[#This Row],[Equity Value]],0)</f>
        <v>0</v>
      </c>
      <c r="AO227" s="152" t="str">
        <f>IF(AND(ISNUMBER( SnapshotTable[[#This Row],[Long Term Target]]), ISNUMBER(SnapshotTable[[#This Row],[Last Price]])),(SnapshotTable[[#This Row],[Long Term Target]] - SnapshotTable[[#This Row],[Last Price]]) / SnapshotTable[[#This Row],[Last Price]], "")</f>
        <v/>
      </c>
      <c r="AP227" s="5"/>
      <c r="AQ227" s="38"/>
      <c r="AR227" s="5"/>
      <c r="AS227" s="38"/>
      <c r="AT227" s="146"/>
      <c r="AU227" s="187" t="str">
        <f ca="1">IF(OR(SnapshotTable[[#This Row],[LP No Fill]]="Y",SnapshotTable[[#This Row],[SP Is Filled]],SnapshotTable[[#This Row],[LC Not Filled]]="Y",SnapshotTable[[#This Row],[SC Is Filled]]),"Y","")</f>
        <v>Y</v>
      </c>
      <c r="AV227" s="219"/>
      <c r="AW227" s="225"/>
      <c r="AX227" s="220"/>
      <c r="AY227" s="219" t="str">
        <f>IF(SnapshotTable[[#This Row],[Implied Move]]&gt;0, SnapshotTable[[#This Row],[Last Price]]-SnapshotTable[[#This Row],[Implied Move]],"")</f>
        <v/>
      </c>
      <c r="AZ227" s="219" t="str">
        <f>IF(SnapshotTable[[#This Row],[Implied Move]]&gt;0, SnapshotTable[[#This Row],[Last Price]] + SnapshotTable[[#This Row],[Implied Move]],"")</f>
        <v/>
      </c>
      <c r="BA227" s="331">
        <v>10.98</v>
      </c>
      <c r="BB227" s="347"/>
      <c r="BC227"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46283</v>
      </c>
      <c r="BD227" s="351"/>
      <c r="BE227" s="5"/>
      <c r="BF227" s="14"/>
      <c r="BG227" s="13"/>
      <c r="BH227" s="13"/>
      <c r="BI227" s="5"/>
      <c r="BJ227" s="136">
        <f>IF(SnapshotTable[[#This Row],[LP Qty]] &gt; 0, SnapshotTable[[#This Row],[LP Qty]] * SnapshotTable[[#This Row],[LP Book Price]] * 100,0)</f>
        <v>0</v>
      </c>
      <c r="BK227" s="136">
        <f>IF(SnapshotTable[[#This Row],[LP Premium]] &gt; 0, SnapshotTable[[#This Row],[LP Qty]] * SnapshotTable[[#This Row],[LP Strike Price]] * 100,0)</f>
        <v>0</v>
      </c>
      <c r="BL227" s="154"/>
      <c r="BM227" s="385" t="str">
        <f>IF(SnapshotTable[[#This Row],[LP Premium]] &gt; 0,SnapshotTable[[#This Row],[LP Exp Date]]-MAX(SnapshotTable[[#This Row],[LP Book Date]], SnapshotTable[[#This Row],[LP Fill Date]]),"")</f>
        <v/>
      </c>
      <c r="BN227" s="385" t="str">
        <f>IF(ISNUMBER( SnapshotTable[[#This Row],[LP Term]]), SnapshotTable[[#This Row],[LP Exp Date]] - MockToday,"")</f>
        <v/>
      </c>
      <c r="BO227" s="163" t="str">
        <f>IF(AND(SnapshotTable[[#This Row],[LP Exp Date]]&gt;0, SnapshotTable[[#This Row],[LP Strike Price]]&gt;0,SnapshotTable[[#This Row],[LP Qty]]&gt;0,SnapshotTable[[#This Row],[LP Book Date]]&gt;0,SnapshotTable[[#This Row],[LP Book Price]]&gt;0,SnapshotTable[[#This Row],[LP Fill Date]]=0),"Y","")</f>
        <v/>
      </c>
      <c r="BP227" s="31" t="str">
        <f>IF(AND(SnapshotTable[[#This Row],[LP No Fill]]&lt;&gt;"Y",SnapshotTable[[#This Row],[LP Contract Value]]&gt;0, SnapshotTable[[#This Row],[LP Qty]]&gt;0), SnapshotTable[[#This Row],[LP Contract Value]]*SnapshotTable[[#This Row],[LP Qty]]*100,"")</f>
        <v/>
      </c>
      <c r="BQ227" s="13">
        <f ca="1">NextMonthlyOpex</f>
        <v>46283</v>
      </c>
      <c r="BR227" s="5">
        <f ca="1">IF(SnapshotTable[[#This Row],[SP Exp Date]]&lt;&gt;"",TRUNC(SnapshotTable[[#This Row],[Last Price]]),"")</f>
        <v>5</v>
      </c>
      <c r="BS227" s="36">
        <v>10</v>
      </c>
      <c r="BT227" s="147">
        <f ca="1">WORKDAY(MockToday, 0)</f>
        <v>46235</v>
      </c>
      <c r="BU227" s="13">
        <f ca="1">WORKDAY(MockToday, 0)</f>
        <v>46235</v>
      </c>
      <c r="BV227" s="5">
        <v>0.65</v>
      </c>
      <c r="BW227" s="419" t="b">
        <f ca="1">AND(ISNUMBER(SnapshotTable[[#This Row],[SP Exp Date]]), ISNUMBER(SnapshotTable[[#This Row],[SP Strike Price]]), ISNUMBER(SnapshotTable[[#This Row],[SP Qty]]), ISNUMBER(SnapshotTable[[#This Row],[SP Book Date]]), ISNUMBER(SnapshotTable[[#This Row],[SP Book Price]]))</f>
        <v>1</v>
      </c>
      <c r="BX227" s="419" t="b">
        <f ca="1">AND(SnapshotTable[[#This Row],[SP Is Booked]], NOT(ISBLANK(SnapshotTable[[#This Row],[SP Fill Date]])))</f>
        <v>1</v>
      </c>
      <c r="BY227" s="33">
        <f ca="1">IF(SnapshotTable[[#This Row],[SP Is Booked]], SnapshotTable[[#This Row],[SP Qty]] * SnapshotTable[[#This Row],[SP Book Price]] * 100, 0)</f>
        <v>650</v>
      </c>
      <c r="BZ227" s="369">
        <v>0.22</v>
      </c>
      <c r="CA227" s="368">
        <f>SnapshotTable[[#This Row],[LP Qty]]</f>
        <v>0</v>
      </c>
      <c r="CB227" s="4">
        <f ca="1">IF(SnapshotTable[[#This Row],[SP Is Booked]], SnapshotTable[[#This Row],[SP Strike Price]] - SnapshotTable[[#This Row],[SP Book Price]], "")</f>
        <v>4.3499999999999996</v>
      </c>
      <c r="CC227" s="19">
        <f ca="1">IF(SnapshotTable[[#This Row],[SP Is Booked]],SnapshotTable[[#This Row],[SP Exp Date]]-MAX(SnapshotTable[[#This Row],[SP Book Date]], SnapshotTable[[#This Row],[SP Fill Date]]),"")</f>
        <v>48</v>
      </c>
      <c r="CD227" s="7">
        <f ca="1">IF(SnapshotTable[[#This Row],[SP Is Booked]], SnapshotTable[[#This Row],[SP Book Price]]/SnapshotTable[[#This Row],[SP Strike Price]], "")</f>
        <v>0.13</v>
      </c>
      <c r="CE227" s="7">
        <f ca="1">IF(ISNUMBER(SnapshotTable[[#This Row],[SP ROO Term]]),SnapshotTable[[#This Row],[SP ROO Term]]*(365/SnapshotTable[[#This Row],[SP Term]]),"")</f>
        <v>0.98854166666666676</v>
      </c>
      <c r="CF227" s="236">
        <f>SnapshotTable[[#This Row],[LP Strike Price]] * SnapshotTable[[#This Row],[LP Qty]] * 100</f>
        <v>0</v>
      </c>
      <c r="CG227" s="31">
        <f ca="1">IF(ISNUMBER(SnapshotTable[[#This Row],[SP Premium]]), (SnapshotTable[[#This Row],[SP Qty]] * SnapshotTable[[#This Row],[SP Strike Price]]* 100) - SnapshotTable[[#This Row],[LP Protection]], 0)</f>
        <v>5000</v>
      </c>
      <c r="CH227" s="7">
        <f ca="1">IF(ISNUMBER(SnapshotTable[[#This Row],[SP Break Even]]),-1 * (SnapshotTable[[#This Row],[SP Break Even]] - SnapshotTable[[#This Row],[Last Price]]) / SnapshotTable[[#This Row],[Last Price]], "")</f>
        <v>0.15860735009671187</v>
      </c>
      <c r="CI227" s="31">
        <f ca="1">IF(AND(ISNUMBER((SnapshotTable[[#This Row],[SP Potential Spend]])), SnapshotTable[[#This Row],[SP Strike Price]] &gt; SnapshotTable[[#This Row],[Last Price]], SnapshotTable[[#This Row],[SP Is Filled]]), SnapshotTable[[#This Row],[SP Potential Spend]] -  SnapshotTable[[#This Row],[LP Max Value]], 0)</f>
        <v>0</v>
      </c>
      <c r="CJ227" s="244"/>
      <c r="CK227" s="31">
        <f ca="1">IF(ISNUMBER(SnapshotTable[[#This Row],[SP Potential Spend]]),IF(ISNUMBER(SnapshotTable[[#This Row],[SP POW]]), SnapshotTable[[#This Row],[SP POW]] * SnapshotTable[[#This Row],[SP Potential Spend]], SnapshotTable[[#This Row],[SP Potential Spend]]), "")</f>
        <v>5000</v>
      </c>
      <c r="CL227" s="164" t="str">
        <f ca="1">IF(NOT(SnapshotTable[[#This Row],[SP Is Filled]]),(SnapshotTable[[#This Row],[SP Qty]] * SnapshotTable[[#This Row],[SP Strike Price]] * 100) - SnapshotTable[[#This Row],[LP Max Value]],"")</f>
        <v/>
      </c>
      <c r="CM227" s="31" t="str">
        <f ca="1">IF(SnapshotTable[[#This Row],[SP Actual Spend]]&lt;&gt;0, ((SnapshotTable[[#This Row],[SP Strike Price]]-SnapshotTable[[#This Row],[Last Price]]) *(SnapshotTable[[#This Row],[SP Qty]]*100) - SnapshotTable[[#This Row],[SP Premium]]) * - 1, "")</f>
        <v/>
      </c>
      <c r="CN227" s="78">
        <v>0.75</v>
      </c>
      <c r="CO227" s="369">
        <v>0.24</v>
      </c>
      <c r="CP227" s="4" t="e">
        <f ca="1">IF(SnapshotTable[[#This Row],[SP Is Filled]], btc_max_buyback_amount(SnapshotTable[[#This Row],[SP Fill Date]],SnapshotTable[[#This Row],[SP Exp Date]], SnapshotTable[[#This Row],[SP Book Price]]),"")</f>
        <v>#NAME?</v>
      </c>
      <c r="CQ227" s="78"/>
      <c r="CR227"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27" s="155" t="e">
        <f ca="1">IF(SnapshotTable[[#This Row],[SP Is Filled]], btc_next_cutoff_date(SnapshotTable[[#This Row],[SP Fill Date]],SnapshotTable[[#This Row],[SP Exp Date]]),"")</f>
        <v>#NAME?</v>
      </c>
      <c r="CT227" s="235" t="e" cm="1">
        <f t="array" aca="1" ref="CT227" ca="1">IF(SnapshotTable[[#This Row],[SP Is Filled]], btc_should_buy_back(SnapshotTable[[#This Row],[SP Fill Date]], SnapshotTable[[#This Row],[SP Exp Date]], SnapshotTable[[#This Row],[SP Book Price]], SnapshotTable[[#This Row],[SP Current Ask]], MockToday, SnapshotTable[[#This Row],[SP Buyback Override]]),"")</f>
        <v>#NAME?</v>
      </c>
      <c r="CU227" s="143">
        <v>46220</v>
      </c>
      <c r="CV227" s="235"/>
      <c r="CW227" s="378">
        <f ca="1">IF(ISNUMBER( SnapshotTable[[#This Row],[SP Term]]), SnapshotTable[[#This Row],[SP Exp Date]] - MockToday,"")</f>
        <v>48</v>
      </c>
      <c r="CX227" s="31" t="e">
        <f ca="1">IF(SnapshotTable[[#This Row],[SP Is Filled]],SnapshotTable[[#This Row],[SP Buyback Price to Use]] * 100 * SnapshotTable[[#This Row],[SP Qty]], "")</f>
        <v>#NAME?</v>
      </c>
      <c r="CY227" s="4">
        <f ca="1">IF(ISNUMBER(SnapshotTable[[#This Row],[SP Strike Price]]), SnapshotTable[[#This Row],[SP Strike Price]] * (1 - SP_MaxLoss_StrikePct), "")</f>
        <v>4.8499999999999996</v>
      </c>
      <c r="CZ227" s="31">
        <f ca="1">IF(ISNUMBER(SnapshotTable[[#This Row],[SP Strike  Stop Per Share]]),SnapshotTable[[#This Row],[SP Premium]] - ((SnapshotTable[[#This Row],[SP Strike Price]]-SnapshotTable[[#This Row],[SP Strike  Stop Per Share]]) *(SnapshotTable[[#This Row],[SP Qty]] * 100)),"")</f>
        <v>499.99999999999966</v>
      </c>
      <c r="DA227" s="4">
        <f ca="1">IF(AND(ISNUMBER(SnapshotTable[[#This Row],[SP Premium]]),SnapshotTable[[#This Row],[SP Premium]]&gt;0), SnapshotTable[[#This Row],[SP Book Price]] * (1 + SP_MaxLoss_OptionPct), "")</f>
        <v>0.97500000000000009</v>
      </c>
      <c r="DB227" s="31">
        <f ca="1">IF(ISNUMBER(SnapshotTable[[#This Row],[SP Option  Stop Contract]]),(SnapshotTable[[#This Row],[SP Option  Stop Contract]] *(SnapshotTable[[#This Row],[SP Qty]] * 100) - SnapshotTable[[#This Row],[SP Premium]]),"")</f>
        <v>325.00000000000011</v>
      </c>
      <c r="DC227" s="4"/>
      <c r="DD227" s="4"/>
      <c r="DE227" s="4" t="str">
        <f>IF(AND(SnapshotTable[[#This Row],[SP Qty]]&gt;0, SnapshotTable[[#This Row],[SP Stop To Use]]&gt;0),SnapshotTable[[#This Row],[SP Premium]] - ( SnapshotTable[[#This Row],[SP Qty]] * SnapshotTable[[#This Row],[SP Stop To Use]] * 100), "")</f>
        <v/>
      </c>
      <c r="DF227" s="31">
        <f>IF(AND(SnapshotTable[[#This Row],[SP Qty]]&gt;0,SnapshotTable[[#This Row],[SP Current Ask]]&gt;0), SnapshotTable[[#This Row],[SP Qty]] * SnapshotTable[[#This Row],[SP Current Ask]] * -100, "")</f>
        <v>-750</v>
      </c>
      <c r="DG227" s="31">
        <f ca="1">IF(ISNUMBER((SnapshotTable[[#This Row],[SP Total Value]])), SnapshotTable[[#This Row],[SP Premium]] + SnapshotTable[[#This Row],[SP Total Value]], "")</f>
        <v>-100</v>
      </c>
      <c r="DH227" s="294">
        <f ca="1">IF(ISNUMBER((SnapshotTable[[#This Row],[SP Total Value]])), SnapshotTable[[#This Row],[SP Gain Loss]] / SnapshotTable[[#This Row],[SP Premium]], "")</f>
        <v>-0.15384615384615385</v>
      </c>
      <c r="DI227" s="406"/>
      <c r="DJ227" s="138"/>
      <c r="DK227" s="148"/>
      <c r="DL227" s="13"/>
      <c r="DM227" s="13"/>
      <c r="DO227" s="31">
        <f>IF(SnapshotTable[[#This Row],[LC Symbol Count]]=1, SnapshotTable[[#This Row],[LC Qty]] * SnapshotTable[[#This Row],[LC Book Price]] * 100, 0)</f>
        <v>0</v>
      </c>
      <c r="DP227" s="163" t="str">
        <f>IF(AND(SnapshotTable[[#This Row],[LC Exp Date]]&gt;0, SnapshotTable[[#This Row],[LC Strike Price]]&gt;0,SnapshotTable[[#This Row],[LC Qty]]&gt;0,SnapshotTable[[#This Row],[LC Book Date]]&gt;0,SnapshotTable[[#This Row],[LC Book Price]]&gt;0,SnapshotTable[[#This Row],[LC Fill Date]]=0),"Y","")</f>
        <v/>
      </c>
      <c r="DQ227" s="386" t="str">
        <f>IF(SnapshotTable[[#This Row],[LC Premium]] &gt; 0,SnapshotTable[[#This Row],[LC Exp Date]]-MAX(SnapshotTable[[#This Row],[LC Book Date]], SnapshotTable[[#This Row],[LC Fill Date]]),"")</f>
        <v/>
      </c>
      <c r="DR227" s="386" t="str">
        <f>IF(ISNUMBER(SnapshotTable[[#This Row],[LC Term]]), SnapshotTable[[#This Row],[LC Exp Date]] - MockToday, "")</f>
        <v/>
      </c>
      <c r="DS227" s="234" t="str">
        <f>IF(SnapshotTable[[#This Row],[LC Premium]]&gt;0,SnapshotTable[[#This Row],[LC Strike Price]] + SnapshotTable[[#This Row],[LC Book Price]],"")</f>
        <v/>
      </c>
      <c r="DU227" s="9" t="str">
        <f>IF(AND(SnapshotTable[[#This Row],[LC Symbol Count]]&gt;0, SnapshotTable[[#This Row],[LC Contract Value]]&gt;0), SnapshotTable[[#This Row],[LC Contract Value]] * SnapshotTable[[#This Row],[LC Qty]] * 100, "")</f>
        <v/>
      </c>
      <c r="DV227" s="9" t="str">
        <f>IF(AND(ISNUMBER(SnapshotTable[[#This Row],[LC Total Value]]), SnapshotTable[[#This Row],[LC Not Filled]]&lt;&gt;"Y"), SnapshotTable[[#This Row],[LC Total Value]]-SnapshotTable[[#This Row],[LC Premium]],"")</f>
        <v/>
      </c>
      <c r="DW227" s="240" t="str">
        <f>IF(ISNUMBER(SnapshotTable[[#This Row],[LC Actual Gain Loss]]), SnapshotTable[[#This Row],[LC Actual Gain Loss]] / SnapshotTable[[#This Row],[LC Premium]],"")</f>
        <v/>
      </c>
      <c r="DX227" s="284" t="str">
        <f>IF(ISNUMBER(SnapshotTable[[#This Row],[LC Book Price]]),SnapshotTable[[#This Row],[LC Book Price]] * 1.5,"")</f>
        <v/>
      </c>
      <c r="DY227" s="265" t="str">
        <f>IF(SnapshotTable[[#This Row],[LC Premium]]&gt;0, SnapshotTable[[#This Row],[LC Next Target]] * SnapshotTable[[#This Row],[LC Qty]] * 100,"")</f>
        <v/>
      </c>
      <c r="DZ227" s="265" t="str">
        <f>IF(ISNUMBER(SnapshotTable[[#This Row],[LC Target Gross]]), SnapshotTable[[#This Row],[LC Target Gross]] - SnapshotTable[[#This Row],[LC Premium]], "")</f>
        <v/>
      </c>
      <c r="EA227" s="305" t="str">
        <f>IF(ISNUMBER(SnapshotTable[[#This Row],[LC Target Gain Loss]]), SnapshotTable[[#This Row],[LC Target Gain Loss]]/SnapshotTable[[#This Row],[LC Premium]], "")</f>
        <v/>
      </c>
      <c r="EB227" s="262"/>
      <c r="EC227" s="283" t="str">
        <f>IF(SnapshotTable[[#This Row],[LC Premium]]&gt;0, SnapshotTable[[#This Row],[LC Book Price]] * (1 - LC_StopLoss_Pct),"")</f>
        <v/>
      </c>
      <c r="ED227" s="284"/>
      <c r="EE227" s="283" t="str">
        <f>IF(ISNUMBER(SnapshotTable[[#This Row],[LC Contract Value]]),IF(ISNUMBER(SnapshotTable[[#This Row],[LC Stop Loss Override]]), SnapshotTable[[#This Row],[LC Stop Loss Override]],SnapshotTable[[#This Row],[LC Stop Loss Calc Target]]),"")</f>
        <v/>
      </c>
      <c r="EF227" s="31" t="str">
        <f>IF(ISNUMBER(SnapshotTable[[#This Row],[LC Stop  To Use]]), (SnapshotTable[[#This Row],[LC Stop  To Use]] * SnapshotTable[[#This Row],[LC Qty]] * 100),"")</f>
        <v/>
      </c>
      <c r="EG227" s="9" t="str">
        <f>IF(ISNUMBER(SnapshotTable[[#This Row],[LC Total Value]]),SnapshotTable[[#This Row],[LC Stop Loss Amount]] - SnapshotTable[[#This Row],[LC Premium]],"")</f>
        <v/>
      </c>
      <c r="EH227" s="9">
        <f>IF(ISNUMBER(SnapshotTable[[#This Row],[LC Premium]]), SnapshotTable[[#This Row],[LC Qty]] * 100 * SnapshotTable[[#This Row],[LC Strike Price]], "")</f>
        <v>0</v>
      </c>
      <c r="EI227" s="240" t="str">
        <f>IF(AND(ISNUMBER(SnapshotTable[[#This Row],[LC Total Value]]),SnapshotTable[[#This Row],[LC Total Value]]&gt;0),SnapshotTable[[#This Row],[LC Stop Gain Loss]]  / SnapshotTable[[#This Row],[LC Premium]],"")</f>
        <v/>
      </c>
      <c r="EJ227" s="35">
        <f>IF(ISNUMBER(SnapshotTable[[#This Row],[Equity Shares]]),TRUNC(SnapshotTable[[#This Row],[Equity Shares]] / 100),0) + SnapshotTable[[#This Row],[LC Qty]]</f>
        <v>10</v>
      </c>
      <c r="EK227" s="147"/>
      <c r="EL227" s="138" t="str">
        <f>IF(SnapshotTable[[#This Row],[SC Exp Date]]&lt;&gt;"",TRUNC(SnapshotTable[[#This Row],[Last Price]]),"")</f>
        <v/>
      </c>
      <c r="EM227" s="148"/>
      <c r="EN227" s="147"/>
      <c r="EO227" s="147"/>
      <c r="EP227" s="138"/>
      <c r="EQ227" s="419" t="b">
        <f>AND(ISNUMBER(SnapshotTable[[#This Row],[SC Exp Date]]), ISNUMBER(SnapshotTable[[#This Row],[SC Strike Price]]), ISNUMBER(SnapshotTable[[#This Row],[SC Qty]]), ISNUMBER(SnapshotTable[[#This Row],[SC Book Date]]), ISNUMBER(SnapshotTable[[#This Row],[SC Book Price]]))</f>
        <v>0</v>
      </c>
      <c r="ER227" s="419" t="b">
        <f>AND(SnapshotTable[[#This Row],[SC Is Booked]], NOT(ISBLANK(SnapshotTable[[#This Row],[SC Fill Date]])))</f>
        <v>0</v>
      </c>
      <c r="ES227" s="370"/>
      <c r="ET227" s="34" t="str">
        <f>IF(AND(ISNUMBER(SnapshotTable[[#This Row],[SC Exp Date]]), ISNUMBER(SnapshotTable[[#This Row],[SC Book Date]])), SnapshotTable[[#This Row],[SC Exp Date]] - MAX(SnapshotTable[[#This Row],[SC Book Date]], SnapshotTable[[#This Row],[SC Fill Date]]) + 1, "")</f>
        <v/>
      </c>
      <c r="EU227" s="34" t="str">
        <f>IF(ISNUMBER(SnapshotTable[[#This Row],[SC Term]]), SnapshotTable[[#This Row],[SC Exp Date]]- MockToday, "")</f>
        <v/>
      </c>
      <c r="EV227" s="31">
        <f>IF(SnapshotTable[[#This Row],[SC Is Booked]], SnapshotTable[[#This Row],[SC Qty]] * SnapshotTable[[#This Row],[SC Book Price]] * 100, 0)</f>
        <v>0</v>
      </c>
      <c r="EW227" s="4" t="str">
        <f>IF(AND(ISNUMBER(SnapshotTable[[#This Row],[Last Price]]), ISNUMBER( SnapshotTable[[#This Row],[SC Book Price]])), SnapshotTable[[#This Row],[Last Price]] - SnapshotTable[[#This Row],[SC Book Price]],"")</f>
        <v/>
      </c>
      <c r="EX227" s="234" t="str">
        <f>IF(SnapshotTable[[#This Row],[SC Is Booked]],IF(SnapshotTable[[#This Row],[SC Intrinsic Value]] &gt; 0, SnapshotTable[[#This Row],[SC Strike Price]], SnapshotTable[[#This Row],[Last Price]]), "")</f>
        <v/>
      </c>
      <c r="EY227" s="4">
        <f>IF(SnapshotTable[[#This Row],[SC Is Booked]], (MinimumPremiumRequired * SnapshotTable[[#This Row],[SC Basis]] * SnapshotTable[[#This Row],[SC Term]]), 0)</f>
        <v>0</v>
      </c>
      <c r="EZ227" s="283"/>
      <c r="FA227" s="218"/>
      <c r="FB227" s="370"/>
      <c r="FC227" s="4">
        <f>IF(SnapshotTable[[#This Row],[SC Is Filled]], btc_max_buyback_amount(SnapshotTable[[#This Row],[SC Fill Date]],SnapshotTable[[#This Row],[SC Exp Date]], SnapshotTable[[#This Row],[SC Book Price]]),0)</f>
        <v>0</v>
      </c>
      <c r="FD227" s="5"/>
      <c r="FE227" s="144" t="str">
        <f>IF(SnapshotTable[[#This Row],[SC Is Filled]], btc_next_cutoff_date(SnapshotTable[[#This Row],[SC Fill Date]],SnapshotTable[[#This Row],[SC Exp Date]]),"")</f>
        <v/>
      </c>
      <c r="FF227" s="4" t="str" cm="1">
        <f t="array" ref="FF227">IF(SnapshotTable[[#This Row],[SC Is Filled]], btc_should_buy_back(SnapshotTable[[#This Row],[SC Fill Date]], SnapshotTable[[#This Row],[SC Exp Date]], SnapshotTable[[#This Row],[SC Book Price]], SnapshotTable[[#This Row],[SC Current Ask]], MockToday, SnapshotTable[[#This Row],[SC Buyback Override]]),"")</f>
        <v/>
      </c>
      <c r="FG227" s="4">
        <f>IF(SnapshotTable[[#This Row],[SC Is Filled]], MAX(0,SnapshotTable[[#This Row],[Last Price]]  - SnapshotTable[[#This Row],[SC Strike Price]]), 0)</f>
        <v>0</v>
      </c>
      <c r="FH227" s="382">
        <f>IF(SnapshotTable[[#This Row],[SC Is Filled]], IF(ISNUMBER(SnapshotTable[[#This Row],[SC Current Ask]]), SnapshotTable[[#This Row],[SC Current Ask]], SnapshotTable[[#This Row],[SC Book Price]]) - SnapshotTable[[#This Row],[SC Intrinsic Value]], 0)</f>
        <v>0</v>
      </c>
      <c r="FI227" s="143"/>
      <c r="FJ227" s="32" t="str">
        <f>IF(SnapshotTable[[#This Row],[SC Is Filled]],100 * SnapshotTable[[#This Row],[SC Qty]] * IF(ISNUMBER(SnapshotTable[[#This Row],[SC Buyback Override]]), SnapshotTable[[#This Row],[SC Buyback Override]], SnapshotTable[[#This Row],[SC Current Ask]]), "")</f>
        <v/>
      </c>
      <c r="FK227" s="250" t="str">
        <f>IF(SnapshotTable[[#This Row],[SC Time Val]]&gt;0, SnapshotTable[[#This Row],[SC Time Val]] / SnapshotTable[[#This Row],[Last Price]],"")</f>
        <v/>
      </c>
      <c r="FL227" s="302" t="str">
        <f>IF(SnapshotTable[[#This Row],[SC Is Booked]], ((SnapshotTable[[#This Row],[Last Price]] -SnapshotTable[[#This Row],[SC Strike Price]]) / SnapshotTable[[#This Row],[Last Price]]) * -1, "")</f>
        <v/>
      </c>
      <c r="FM227" s="157" t="str">
        <f>IF(SnapshotTable[[#This Row],[SC Is Booked]],  (SnapshotTable[[#This Row],[SC Qty]] * 100 * SnapshotTable[[#This Row],[SC Strike Price]]) - SnapshotTable[[#This Row],[SC Current Ask]], "")</f>
        <v/>
      </c>
      <c r="FN22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7" s="31" t="str">
        <f>IF(AND(ISNUMBER(SnapshotTable[[#This Row],[SC Exercise Gross]]), ISNUMBER(SnapshotTable[[#This Row],[Equity Basis Per Share]] )), SnapshotTable[[#This Row],[SC Exercise Gross]] - SnapshotTable[[#This Row],[Equity Basis Total]] +  SnapshotTable[[#This Row],[SC Premium]], "")</f>
        <v/>
      </c>
      <c r="FP227" s="5" t="str">
        <f>IF(ISNUMBER(SnapshotTable[[#This Row],[SC Exercise Gross]]), (SnapshotTable[[#This Row],[SC Exercise Gross]]) / (SnapshotTable[[#This Row],[SC Qty]] * 100), "")</f>
        <v/>
      </c>
      <c r="FQ227" s="27" t="str">
        <f>IF(SnapshotTable[[#This Row],[SC Is Booked]],SnapshotTable[[#This Row],[SC Time Val]] /SnapshotTable[[#This Row],[SC Basis]], "")</f>
        <v/>
      </c>
      <c r="FR227" s="27" t="str" cm="1">
        <f t="array" ref="FR227">IF(AND(ISNUMBER(SnapshotTable[[#This Row],[SC Term]]),ISNUMBER(SnapshotTable[[#This Row],[SC Simple ROO]])), EllmanAnnualize(SnapshotTable[[#This Row],[SC DTE]], SnapshotTable[[#This Row],[SC Simple ROO]] ),"")</f>
        <v/>
      </c>
      <c r="FS227" s="4" t="e">
        <f>IF(SnapshotTable[[#This Row],[SC Strike Price]] &gt; SnapshotTable[[#This Row],[Last Price]], SnapshotTable[[#This Row],[SC Strike Price]] - SnapshotTable[[#This Row],[Last Price]],0)</f>
        <v>#VALUE!</v>
      </c>
      <c r="FT227" s="27" t="e">
        <f>IF(AND(ISNUMBER(SnapshotTable[[#This Row],[SC Upside Potential]]), SnapshotTable[[#This Row],[SC Upside Potential]] &gt; 0),(SnapshotTable[[#This Row],[SC Upside Potential]]/ SnapshotTable[[#This Row],[ACB]]),"")</f>
        <v>#VALUE!</v>
      </c>
      <c r="FU227" s="333" t="str">
        <f>IF(SnapshotTable[[#This Row],[SC Intrinsic Value]] &gt; 0,SnapshotTable[[#This Row],[SC Intrinsic Value]],"")</f>
        <v/>
      </c>
      <c r="FV227" s="27" t="str">
        <f>IF(AND( ISNUMBER( SnapshotTable[[#This Row],[ACB]]),ISNUMBER(SnapshotTable[[#This Row],[SC Downside Protect]])),SnapshotTable[[#This Row],[SC Downside Protect]] / SnapshotTable[[#This Row],[ACB]],"")</f>
        <v/>
      </c>
      <c r="FW227" s="236" t="str">
        <f>IF(AND(ISNUMBER(SnapshotTable[[#This Row],[SC Simple ROO]]),SnapshotTable[[#This Row],[SC Simple ROO]] &gt; 0), SnapshotTable[[#This Row],[SC Premium]] + (SnapshotTable[[#This Row],[SC Qty]] * SnapshotTable[[#This Row],[SC Upside Potential]]), "")</f>
        <v/>
      </c>
      <c r="FX227" s="302" t="str" cm="1">
        <f t="array" ref="FX227">IF(ISNUMBER(SnapshotTable[[#This Row],[SC Max Dollars]]), annualize(SnapshotTable[[#This Row],[SC Term]],(SnapshotTable[[#This Row],[SC Max Dollars]]/SnapshotTable[[#This Row],[SC Basis]])),"")</f>
        <v/>
      </c>
      <c r="FY227" s="236" t="str">
        <f>IF(AND(SnapshotTable[[#This Row],[SC Qty]]&gt;0,SnapshotTable[[#This Row],[SC Current Ask]]&gt;0), SnapshotTable[[#This Row],[SC Qty]] * SnapshotTable[[#This Row],[SC Current Ask]] * -100, "")</f>
        <v/>
      </c>
      <c r="FZ227" s="31" t="str">
        <f>IF(ISNUMBER((SnapshotTable[[#This Row],[SC Current Value]])), SnapshotTable[[#This Row],[SC Premium]] + SnapshotTable[[#This Row],[SC Current Value]], "")</f>
        <v/>
      </c>
      <c r="GA227" s="294" t="str">
        <f>IFERROR( IF(ISNUMBER((SnapshotTable[[#This Row],[SC Current Value]])), SnapshotTable[[#This Row],[SC Gain Loss]] / SnapshotTable[[#This Row],[SC Premium]], ""), "")</f>
        <v/>
      </c>
      <c r="GB227" s="42">
        <f>SnapshotTable[[#This Row],[Equity Shares]] * SaleSharesToConsiderPercentage</f>
        <v>200</v>
      </c>
      <c r="GC227" s="40">
        <f>SnapshotTable[[#This Row],[Long Term Target]] * SellingPriceToConsiderBasedOnTargetPercentage</f>
        <v>0</v>
      </c>
      <c r="GD227" s="40">
        <f>SnapshotTable[[#This Row],[Last Price]] * (1+ SellingPriceToConsiderBasedOnTargetPercentage)</f>
        <v>10.0815</v>
      </c>
      <c r="GE227" s="41"/>
      <c r="GF227" s="40"/>
      <c r="GG227" s="31">
        <f>SnapshotTable[[#This Row],[Booked Sale Shares]] * SnapshotTable[[#This Row],[Booked Sale Price]]</f>
        <v>0</v>
      </c>
      <c r="GH227" s="31">
        <f>IF(SnapshotTable[[#This Row],[Equity Basis Total]] &gt; 0, SnapshotTable[[#This Row],[Equity Basis Per Share]] * SnapshotTable[[#This Row],[Booked Sale Shares]], "")</f>
        <v>0</v>
      </c>
      <c r="GI227" s="31">
        <f>IF(SnapshotTable[[#This Row],[Sale Proceeds]]&gt;0, SnapshotTable[[#This Row],[Sale Proceeds]] - SnapshotTable[[#This Row],[Sale Basis]], 0)</f>
        <v>0</v>
      </c>
      <c r="GJ227" s="27" t="str">
        <f>IF(SnapshotTable[[#This Row],[Sale G/L]]&gt;0, SnapshotTable[[#This Row],[Sale G/L]] / SnapshotTable[[#This Row],[Sale Basis]], IF(ISNUMBER(SnapshotTable[[#This Row],[SC Exercise P&amp;L (TAX)]]), SnapshotTable[[#This Row],[SC Exercise P&amp;L (TAX)]] / SnapshotTable[[#This Row],[SC Basis]], ""))</f>
        <v/>
      </c>
      <c r="GK227" s="27"/>
      <c r="GL227" s="43" t="str">
        <f>IF(AND(SnapshotTable[[#This Row],[LP Exp Date]]&gt;0,SnapshotTable[[#This Row],[LP Strike Price]]&gt;0), [1]!ToOptionSymbol(SnapshotTable[[#This Row],[Symbol]], SnapshotTable[[#This Row],[LP Strike Price]],SnapshotTable[[#This Row],[LP Exp Date]],1), "")</f>
        <v/>
      </c>
      <c r="GM227" s="30" t="str">
        <f>IF(LEN(SnapshotTable[[#This Row],[LP Symbol]])&gt;0, 1, "")</f>
        <v/>
      </c>
      <c r="GN227" s="43" t="str">
        <f ca="1">IF(AND(SnapshotTable[[#This Row],[SP Exp Date]]&gt;0,SnapshotTable[[#This Row],[SP Strike Price]]&gt;0), [1]!ToOptionSymbol(SnapshotTable[[#This Row],[Symbol]], SnapshotTable[[#This Row],[SP Strike Price]],SnapshotTable[[#This Row],[SP Exp Date]],1), "")</f>
        <v>UAMY260918P00005000</v>
      </c>
      <c r="GO227" s="30">
        <f ca="1">IF(LEN(SnapshotTable[[#This Row],[SP Symbol]])&gt;0, 1, "")</f>
        <v>1</v>
      </c>
      <c r="GP227" s="43" t="str">
        <f>IF(AND(SnapshotTable[[#This Row],[LC Exp Date]]&gt;0,SnapshotTable[[#This Row],[LC Strike Price]]&gt;0), [1]!ToOptionSymbol(SnapshotTable[[#This Row],[Symbol]], SnapshotTable[[#This Row],[LC Strike Price]],SnapshotTable[[#This Row],[LC Exp Date]],0), "")</f>
        <v/>
      </c>
      <c r="GQ227" s="30" t="str">
        <f>IF(LEN(SnapshotTable[[#This Row],[LC Symbol]])&gt;0, 1, "")</f>
        <v/>
      </c>
      <c r="GR227" s="43" t="str">
        <f>IF(AND(SnapshotTable[[#This Row],[SC Exp Date]]&gt;0,SnapshotTable[[#This Row],[SC Strike Price]]&gt;0), [1]!ToOptionSymbol(SnapshotTable[[#This Row],[Symbol]], SnapshotTable[[#This Row],[SC Strike Price]],SnapshotTable[[#This Row],[SC Exp Date]],0), "")</f>
        <v/>
      </c>
      <c r="GS227" s="30" t="str">
        <f>IF(LEN(SnapshotTable[[#This Row],[SC Symbol]])&gt;0, 1, "")</f>
        <v/>
      </c>
      <c r="GT227" s="29" t="str">
        <f ca="1">IF(COUNT(SnapshotTable[[#This Row],[LP Symbol Count]],SnapshotTable[[#This Row],[SP Symbol Count]],SnapshotTable[[#This Row],[LC Symbol Count]],SnapshotTable[[#This Row],[SC Symbol Count]])&gt;0, "Y", "")</f>
        <v>Y</v>
      </c>
      <c r="GU227"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v>
      </c>
      <c r="GV227" s="231">
        <f ca="1">MAX(SnapshotTable[[#This Row],[Equity Basis Total]],SnapshotTable[[#This Row],[Equity Value]]) + (SnapshotTable[[#This Row],[SP Potential Spend]]- SnapshotTable[[#This Row],[SP Premium]] + SnapshotTable[[#This Row],[LP Premium]])+ (SnapshotTable[[#This Row],[LC Premium]] - SnapshotTable[[#This Row],[SC Premium]])</f>
        <v>15970</v>
      </c>
      <c r="GW227" s="139" t="e">
        <f ca="1">IF(AND(SnapshotTable[[#This Row],[Exposure]] &lt;&gt; 0),SnapshotTable[[#This Row],[Exposure]] / SnapshotTable[[#Totals],[Exposure]], "")</f>
        <v>#VALUE!</v>
      </c>
      <c r="GX227" s="5"/>
      <c r="HE227" s="268"/>
      <c r="HF227" s="268"/>
      <c r="HK227" s="1"/>
      <c r="HL227" s="1"/>
      <c r="HM227" s="1"/>
      <c r="HN227" s="1"/>
      <c r="HO227" s="1"/>
      <c r="HP227" s="1"/>
    </row>
    <row r="228" spans="2:224" ht="12.75" hidden="1" customHeight="1" x14ac:dyDescent="0.25">
      <c r="B228" s="12" t="s">
        <v>1277</v>
      </c>
      <c r="C228" s="422">
        <v>11.3</v>
      </c>
      <c r="D228" s="208"/>
      <c r="E228" s="39">
        <f>SnapshotTable[[#This Row],[Last Price]]*(1 -CrashDiscount)</f>
        <v>9.6050000000000004</v>
      </c>
      <c r="F228" s="325" t="s">
        <v>1029</v>
      </c>
      <c r="G228" s="325" t="s">
        <v>822</v>
      </c>
      <c r="H228" s="149"/>
      <c r="I228" s="194"/>
      <c r="J228" s="195"/>
      <c r="K228" s="196"/>
      <c r="L228" s="326"/>
      <c r="M228" s="140"/>
      <c r="N228" s="140"/>
      <c r="O228" s="140"/>
      <c r="P228" s="22"/>
      <c r="Q228" s="25"/>
      <c r="R228" s="4" t="str">
        <f>IF(SnapshotTable[[#This Row],[Equity Basis Total]] &gt; 0, SnapshotTable[[#This Row],[Equity Basis Total]] / SnapshotTable[[#This Row],[Equity Shares]], "")</f>
        <v/>
      </c>
      <c r="S228" s="269">
        <f>SnapshotTable[[#This Row],[Last Price]] * SnapshotTable[[#This Row],[Equity Shares]]</f>
        <v>0</v>
      </c>
      <c r="T228" s="269">
        <f>SnapshotTable[[#This Row],[Equity Value]] - SnapshotTable[[#This Row],[Equity Basis Total]]</f>
        <v>0</v>
      </c>
      <c r="U228" s="270" t="str">
        <f>IF(SnapshotTable[[#This Row],[Equity Basis Total]] &gt; 0, SnapshotTable[[#This Row],[Equity G/L]] / SnapshotTable[[#This Row],[Equity Basis Total]], "")</f>
        <v/>
      </c>
      <c r="V228" s="268"/>
      <c r="W228" s="268"/>
      <c r="X228" s="4" t="str">
        <f>IF(AND(ISNUMBER(SnapshotTable[[#This Row],[Equity Basis Per Share]]),ISNUMBER(SnapshotTable[[#This Row],[Equity Target]])),SnapshotTable[[#This Row],[Equity Target]]-SnapshotTable[[#This Row],[Equity Basis Per Share]],"")</f>
        <v/>
      </c>
      <c r="Y228" s="4" t="str">
        <f>IF(AND(ISNUMBER(SnapshotTable[[#This Row],[Equity Basis Per Share]]),ISNUMBER(SnapshotTable[[#This Row],[Equity Stop Loss]])),SnapshotTable[[#This Row],[Equity Stop Loss]]-SnapshotTable[[#This Row],[Equity Basis Per Share]],"")</f>
        <v/>
      </c>
      <c r="Z228" s="275" t="str">
        <f>IFERROR( TEXT(SnapshotTable[[#This Row],[Equity Max Gain Per Share]] /ABS( SnapshotTable[[#This Row],[Equity Max Loss Per Share]]),"0.0 " ) &amp; " : 1", "")</f>
        <v/>
      </c>
      <c r="AA228" s="31" t="str">
        <f>IF(ISNUMBER(SnapshotTable[[#This Row],[Equity Max Gain Per Share]]),SnapshotTable[[#This Row],[Equity Max Gain Per Share]] * SnapshotTable[[#This Row],[Equity Shares]],"")</f>
        <v/>
      </c>
      <c r="AB228" s="31" t="str">
        <f>IF(ISNUMBER(SnapshotTable[[#This Row],[Equity Max Loss Per Share]]),SnapshotTable[[#This Row],[Equity Max Loss Per Share]] * SnapshotTable[[#This Row],[Equity Shares]],"")</f>
        <v/>
      </c>
      <c r="AC228" s="150"/>
      <c r="AD228" s="151"/>
      <c r="AE228" s="31">
        <f>(SnapshotTable[[#This Row],[Annual Dividend Per Share]] / 4) * SnapshotTable[[#This Row],[Equity Shares]]</f>
        <v>0</v>
      </c>
      <c r="AF228" s="31">
        <f>SnapshotTable[[#This Row],[Quarterly Div $]] * 4</f>
        <v>0</v>
      </c>
      <c r="AG228" s="7">
        <f>IF(SnapshotTable[[#This Row],[Annual Dividend Per Share]]&gt;0, SnapshotTable[[#This Row],[Annual Dividend Per Share]]  / SnapshotTable[[#This Row],[Last Price]], 0)</f>
        <v>0</v>
      </c>
      <c r="AH228" s="151"/>
      <c r="AI228" s="5"/>
      <c r="AJ228" s="138"/>
      <c r="AK228" s="152" t="str">
        <f>IF(ISNUMBER( SnapshotTable[[#This Row],[EBF Target]]),(SnapshotTable[[#This Row],[EBF Target]] - SnapshotTable[[#This Row],[Last Price]]) / SnapshotTable[[#This Row],[Last Price]], "")</f>
        <v/>
      </c>
      <c r="AL228" s="152" t="str">
        <f>IF(AND(SnapshotTable[[#This Row],[Equity Basis Total]] &gt; 0,ISNUMBER( SnapshotTable[[#This Row],[Long Term Target]])), SnapshotTable[[#This Row],[From Basis $]] / SnapshotTable[[#This Row],[Equity Basis Total]], "")</f>
        <v/>
      </c>
      <c r="AM228" s="9">
        <f>IF( AND(SnapshotTable[[#This Row],[Equity Shares]] &gt;0,ISNUMBER( SnapshotTable[[#This Row],[Long Term Target]])),(SnapshotTable[[#This Row],[Equity Shares]] * SnapshotTable[[#This Row],[Long Term Target]]) - SnapshotTable[[#This Row],[Equity Basis Total]],0)</f>
        <v>0</v>
      </c>
      <c r="AN228" s="9">
        <f>IF( AND(SnapshotTable[[#This Row],[Equity Shares]] &gt;0,ISNUMBER( SnapshotTable[[#This Row],[Long Term Target]])),(SnapshotTable[[#This Row],[Equity Shares]]*SnapshotTable[[#This Row],[Long Term Target]]) - SnapshotTable[[#This Row],[Equity Value]],0)</f>
        <v>0</v>
      </c>
      <c r="AO228" s="152" t="str">
        <f>IF(AND(ISNUMBER( SnapshotTable[[#This Row],[Long Term Target]]), ISNUMBER(SnapshotTable[[#This Row],[Last Price]])),(SnapshotTable[[#This Row],[Long Term Target]] - SnapshotTable[[#This Row],[Last Price]]) / SnapshotTable[[#This Row],[Last Price]], "")</f>
        <v/>
      </c>
      <c r="AP228" s="5"/>
      <c r="AQ228" s="38"/>
      <c r="AR228" s="5"/>
      <c r="AS228" s="38"/>
      <c r="AT228" s="146"/>
      <c r="AU228" s="187" t="str">
        <f ca="1">IF(OR(SnapshotTable[[#This Row],[LP No Fill]]="Y",SnapshotTable[[#This Row],[SP Is Filled]],SnapshotTable[[#This Row],[LC Not Filled]]="Y",SnapshotTable[[#This Row],[SC Is Filled]]),"Y","")</f>
        <v>Y</v>
      </c>
      <c r="AV228" s="219"/>
      <c r="AW228" s="225"/>
      <c r="AX228" s="220"/>
      <c r="AY228" s="219" t="str">
        <f>IF(SnapshotTable[[#This Row],[Implied Move]]&gt;0, SnapshotTable[[#This Row],[Last Price]]-SnapshotTable[[#This Row],[Implied Move]],"")</f>
        <v/>
      </c>
      <c r="AZ228" s="219" t="str">
        <f>IF(SnapshotTable[[#This Row],[Implied Move]]&gt;0, SnapshotTable[[#This Row],[Last Price]] + SnapshotTable[[#This Row],[Implied Move]],"")</f>
        <v/>
      </c>
      <c r="BA228" s="331">
        <v>14.95</v>
      </c>
      <c r="BB228" s="347"/>
      <c r="BC228"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46241</v>
      </c>
      <c r="BD228" s="351"/>
      <c r="BE228" s="5"/>
      <c r="BF228" s="14"/>
      <c r="BG228" s="13"/>
      <c r="BH228" s="13"/>
      <c r="BI228" s="5"/>
      <c r="BJ228" s="136">
        <f>IF(SnapshotTable[[#This Row],[LP Qty]] &gt; 0, SnapshotTable[[#This Row],[LP Qty]] * SnapshotTable[[#This Row],[LP Book Price]] * 100,0)</f>
        <v>0</v>
      </c>
      <c r="BK228" s="136">
        <f>IF(SnapshotTable[[#This Row],[LP Premium]] &gt; 0, SnapshotTable[[#This Row],[LP Qty]] * SnapshotTable[[#This Row],[LP Strike Price]] * 100,0)</f>
        <v>0</v>
      </c>
      <c r="BL228" s="154"/>
      <c r="BM228" s="385" t="str">
        <f>IF(SnapshotTable[[#This Row],[LP Premium]] &gt; 0,SnapshotTable[[#This Row],[LP Exp Date]]-MAX(SnapshotTable[[#This Row],[LP Book Date]], SnapshotTable[[#This Row],[LP Fill Date]]),"")</f>
        <v/>
      </c>
      <c r="BN228" s="385" t="str">
        <f>IF(ISNUMBER( SnapshotTable[[#This Row],[LP Term]]), SnapshotTable[[#This Row],[LP Exp Date]] - MockToday,"")</f>
        <v/>
      </c>
      <c r="BO228" s="163" t="str">
        <f>IF(AND(SnapshotTable[[#This Row],[LP Exp Date]]&gt;0, SnapshotTable[[#This Row],[LP Strike Price]]&gt;0,SnapshotTable[[#This Row],[LP Qty]]&gt;0,SnapshotTable[[#This Row],[LP Book Date]]&gt;0,SnapshotTable[[#This Row],[LP Book Price]]&gt;0,SnapshotTable[[#This Row],[LP Fill Date]]=0),"Y","")</f>
        <v/>
      </c>
      <c r="BP228" s="31" t="str">
        <f>IF(AND(SnapshotTable[[#This Row],[LP No Fill]]&lt;&gt;"Y",SnapshotTable[[#This Row],[LP Contract Value]]&gt;0, SnapshotTable[[#This Row],[LP Qty]]&gt;0), SnapshotTable[[#This Row],[LP Contract Value]]*SnapshotTable[[#This Row],[LP Qty]]*100,"")</f>
        <v/>
      </c>
      <c r="BQ228" s="13">
        <f ca="1">NextFridayOpex</f>
        <v>46241</v>
      </c>
      <c r="BR228" s="5">
        <f ca="1">IF(SnapshotTable[[#This Row],[SP Exp Date]]&lt;&gt;"",TRUNC(SnapshotTable[[#This Row],[Last Price]]),"")</f>
        <v>11</v>
      </c>
      <c r="BS228" s="36">
        <v>10</v>
      </c>
      <c r="BT228" s="147">
        <f ca="1">WORKDAY(MockToday, 0)</f>
        <v>46235</v>
      </c>
      <c r="BU228" s="13">
        <f ca="1">WORKDAY(MockToday, 0)</f>
        <v>46235</v>
      </c>
      <c r="BV228" s="5">
        <v>1.07</v>
      </c>
      <c r="BW228" s="419" t="b">
        <f ca="1">AND(ISNUMBER(SnapshotTable[[#This Row],[SP Exp Date]]), ISNUMBER(SnapshotTable[[#This Row],[SP Strike Price]]), ISNUMBER(SnapshotTable[[#This Row],[SP Qty]]), ISNUMBER(SnapshotTable[[#This Row],[SP Book Date]]), ISNUMBER(SnapshotTable[[#This Row],[SP Book Price]]))</f>
        <v>1</v>
      </c>
      <c r="BX228" s="419" t="b">
        <f ca="1">AND(SnapshotTable[[#This Row],[SP Is Booked]], NOT(ISBLANK(SnapshotTable[[#This Row],[SP Fill Date]])))</f>
        <v>1</v>
      </c>
      <c r="BY228" s="33">
        <f ca="1">IF(SnapshotTable[[#This Row],[SP Is Booked]], SnapshotTable[[#This Row],[SP Qty]] * SnapshotTable[[#This Row],[SP Book Price]] * 100, 0)</f>
        <v>1070</v>
      </c>
      <c r="BZ228" s="369">
        <v>0.48</v>
      </c>
      <c r="CA228" s="368">
        <f>SnapshotTable[[#This Row],[LP Qty]]</f>
        <v>0</v>
      </c>
      <c r="CB228" s="4">
        <f ca="1">IF(SnapshotTable[[#This Row],[SP Is Booked]], SnapshotTable[[#This Row],[SP Strike Price]] - SnapshotTable[[#This Row],[SP Book Price]], "")</f>
        <v>9.93</v>
      </c>
      <c r="CC228" s="19">
        <f ca="1">IF(SnapshotTable[[#This Row],[SP Is Booked]],SnapshotTable[[#This Row],[SP Exp Date]]-MAX(SnapshotTable[[#This Row],[SP Book Date]], SnapshotTable[[#This Row],[SP Fill Date]]),"")</f>
        <v>6</v>
      </c>
      <c r="CD228" s="7">
        <f ca="1">IF(SnapshotTable[[#This Row],[SP Is Booked]], SnapshotTable[[#This Row],[SP Book Price]]/SnapshotTable[[#This Row],[SP Strike Price]], "")</f>
        <v>9.7272727272727275E-2</v>
      </c>
      <c r="CE228" s="7">
        <f ca="1">IF(ISNUMBER(SnapshotTable[[#This Row],[SP ROO Term]]),SnapshotTable[[#This Row],[SP ROO Term]]*(365/SnapshotTable[[#This Row],[SP Term]]),"")</f>
        <v>5.9174242424242429</v>
      </c>
      <c r="CF228" s="236">
        <f>SnapshotTable[[#This Row],[LP Strike Price]] * SnapshotTable[[#This Row],[LP Qty]] * 100</f>
        <v>0</v>
      </c>
      <c r="CG228" s="31">
        <f ca="1">IF(ISNUMBER(SnapshotTable[[#This Row],[SP Premium]]), (SnapshotTable[[#This Row],[SP Qty]] * SnapshotTable[[#This Row],[SP Strike Price]]* 100) - SnapshotTable[[#This Row],[LP Protection]], 0)</f>
        <v>11000</v>
      </c>
      <c r="CH228" s="7">
        <f ca="1">IF(ISNUMBER(SnapshotTable[[#This Row],[SP Break Even]]),-1 * (SnapshotTable[[#This Row],[SP Break Even]] - SnapshotTable[[#This Row],[Last Price]]) / SnapshotTable[[#This Row],[Last Price]], "")</f>
        <v>0.12123893805309742</v>
      </c>
      <c r="CI228" s="31">
        <f ca="1">IF(AND(ISNUMBER((SnapshotTable[[#This Row],[SP Potential Spend]])), SnapshotTable[[#This Row],[SP Strike Price]] &gt; SnapshotTable[[#This Row],[Last Price]], SnapshotTable[[#This Row],[SP Is Filled]]), SnapshotTable[[#This Row],[SP Potential Spend]] -  SnapshotTable[[#This Row],[LP Max Value]], 0)</f>
        <v>0</v>
      </c>
      <c r="CJ228" s="244"/>
      <c r="CK228" s="31">
        <f ca="1">IF(ISNUMBER(SnapshotTable[[#This Row],[SP Potential Spend]]),IF(ISNUMBER(SnapshotTable[[#This Row],[SP POW]]), SnapshotTable[[#This Row],[SP POW]] * SnapshotTable[[#This Row],[SP Potential Spend]], SnapshotTable[[#This Row],[SP Potential Spend]]), "")</f>
        <v>11000</v>
      </c>
      <c r="CL228" s="164" t="str">
        <f ca="1">IF(NOT(SnapshotTable[[#This Row],[SP Is Filled]]),(SnapshotTable[[#This Row],[SP Qty]] * SnapshotTable[[#This Row],[SP Strike Price]] * 100) - SnapshotTable[[#This Row],[LP Max Value]],"")</f>
        <v/>
      </c>
      <c r="CM228" s="31" t="str">
        <f ca="1">IF(SnapshotTable[[#This Row],[SP Actual Spend]]&lt;&gt;0, ((SnapshotTable[[#This Row],[SP Strike Price]]-SnapshotTable[[#This Row],[Last Price]]) *(SnapshotTable[[#This Row],[SP Qty]]*100) - SnapshotTable[[#This Row],[SP Premium]]) * - 1, "")</f>
        <v/>
      </c>
      <c r="CN228" s="78">
        <v>2.19</v>
      </c>
      <c r="CO228" s="369">
        <v>0.48</v>
      </c>
      <c r="CP228" s="4" t="e">
        <f ca="1">IF(SnapshotTable[[#This Row],[SP Is Filled]], btc_max_buyback_amount(SnapshotTable[[#This Row],[SP Fill Date]],SnapshotTable[[#This Row],[SP Exp Date]], SnapshotTable[[#This Row],[SP Book Price]]),"")</f>
        <v>#NAME?</v>
      </c>
      <c r="CQ228" s="78"/>
      <c r="CR228"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28" s="155" t="e">
        <f ca="1">IF(SnapshotTable[[#This Row],[SP Is Filled]], btc_next_cutoff_date(SnapshotTable[[#This Row],[SP Fill Date]],SnapshotTable[[#This Row],[SP Exp Date]]),"")</f>
        <v>#NAME?</v>
      </c>
      <c r="CT228" s="235" t="e" cm="1">
        <f t="array" aca="1" ref="CT228" ca="1">IF(SnapshotTable[[#This Row],[SP Is Filled]], btc_should_buy_back(SnapshotTable[[#This Row],[SP Fill Date]], SnapshotTable[[#This Row],[SP Exp Date]], SnapshotTable[[#This Row],[SP Book Price]], SnapshotTable[[#This Row],[SP Current Ask]], MockToday, SnapshotTable[[#This Row],[SP Buyback Override]]),"")</f>
        <v>#NAME?</v>
      </c>
      <c r="CU228" s="143">
        <v>46220</v>
      </c>
      <c r="CV228" s="235"/>
      <c r="CW228" s="378">
        <f ca="1">IF(ISNUMBER( SnapshotTable[[#This Row],[SP Term]]), SnapshotTable[[#This Row],[SP Exp Date]] - MockToday,"")</f>
        <v>6</v>
      </c>
      <c r="CX228" s="31" t="e">
        <f ca="1">IF(SnapshotTable[[#This Row],[SP Is Filled]],SnapshotTable[[#This Row],[SP Buyback Price to Use]] * 100 * SnapshotTable[[#This Row],[SP Qty]], "")</f>
        <v>#NAME?</v>
      </c>
      <c r="CY228" s="4">
        <f ca="1">IF(ISNUMBER(SnapshotTable[[#This Row],[SP Strike Price]]), SnapshotTable[[#This Row],[SP Strike Price]] * (1 - SP_MaxLoss_StrikePct), "")</f>
        <v>10.67</v>
      </c>
      <c r="CZ228" s="31">
        <f ca="1">IF(ISNUMBER(SnapshotTable[[#This Row],[SP Strike  Stop Per Share]]),SnapshotTable[[#This Row],[SP Premium]] - ((SnapshotTable[[#This Row],[SP Strike Price]]-SnapshotTable[[#This Row],[SP Strike  Stop Per Share]]) *(SnapshotTable[[#This Row],[SP Qty]] * 100)),"")</f>
        <v>740</v>
      </c>
      <c r="DA228" s="4">
        <f ca="1">IF(AND(ISNUMBER(SnapshotTable[[#This Row],[SP Premium]]),SnapshotTable[[#This Row],[SP Premium]]&gt;0), SnapshotTable[[#This Row],[SP Book Price]] * (1 + SP_MaxLoss_OptionPct), "")</f>
        <v>1.605</v>
      </c>
      <c r="DB228" s="31">
        <f ca="1">IF(ISNUMBER(SnapshotTable[[#This Row],[SP Option  Stop Contract]]),(SnapshotTable[[#This Row],[SP Option  Stop Contract]] *(SnapshotTable[[#This Row],[SP Qty]] * 100) - SnapshotTable[[#This Row],[SP Premium]]),"")</f>
        <v>535</v>
      </c>
      <c r="DC228" s="4"/>
      <c r="DD228" s="4"/>
      <c r="DE228" s="4" t="str">
        <f>IF(AND(SnapshotTable[[#This Row],[SP Qty]]&gt;0, SnapshotTable[[#This Row],[SP Stop To Use]]&gt;0),SnapshotTable[[#This Row],[SP Premium]] - ( SnapshotTable[[#This Row],[SP Qty]] * SnapshotTable[[#This Row],[SP Stop To Use]] * 100), "")</f>
        <v/>
      </c>
      <c r="DF228" s="31">
        <f>IF(AND(SnapshotTable[[#This Row],[SP Qty]]&gt;0,SnapshotTable[[#This Row],[SP Current Ask]]&gt;0), SnapshotTable[[#This Row],[SP Qty]] * SnapshotTable[[#This Row],[SP Current Ask]] * -100, "")</f>
        <v>-2190</v>
      </c>
      <c r="DG228" s="31">
        <f ca="1">IF(ISNUMBER((SnapshotTable[[#This Row],[SP Total Value]])), SnapshotTable[[#This Row],[SP Premium]] + SnapshotTable[[#This Row],[SP Total Value]], "")</f>
        <v>-1120</v>
      </c>
      <c r="DH228" s="294">
        <f ca="1">IF(ISNUMBER((SnapshotTable[[#This Row],[SP Total Value]])), SnapshotTable[[#This Row],[SP Gain Loss]] / SnapshotTable[[#This Row],[SP Premium]], "")</f>
        <v>-1.0467289719626167</v>
      </c>
      <c r="DI228" s="406"/>
      <c r="DJ228" s="138"/>
      <c r="DK228" s="148"/>
      <c r="DL228" s="147"/>
      <c r="DM228" s="13"/>
      <c r="DO228" s="31">
        <f>IF(SnapshotTable[[#This Row],[LC Symbol Count]]=1, SnapshotTable[[#This Row],[LC Qty]] * SnapshotTable[[#This Row],[LC Book Price]] * 100, 0)</f>
        <v>0</v>
      </c>
      <c r="DP228" s="163" t="str">
        <f>IF(AND(SnapshotTable[[#This Row],[LC Exp Date]]&gt;0, SnapshotTable[[#This Row],[LC Strike Price]]&gt;0,SnapshotTable[[#This Row],[LC Qty]]&gt;0,SnapshotTable[[#This Row],[LC Book Date]]&gt;0,SnapshotTable[[#This Row],[LC Book Price]]&gt;0,SnapshotTable[[#This Row],[LC Fill Date]]=0),"Y","")</f>
        <v/>
      </c>
      <c r="DQ228" s="386" t="str">
        <f>IF(SnapshotTable[[#This Row],[LC Premium]] &gt; 0,SnapshotTable[[#This Row],[LC Exp Date]]-MAX(SnapshotTable[[#This Row],[LC Book Date]], SnapshotTable[[#This Row],[LC Fill Date]]),"")</f>
        <v/>
      </c>
      <c r="DR228" s="386" t="str">
        <f>IF(ISNUMBER(SnapshotTable[[#This Row],[LC Term]]), SnapshotTable[[#This Row],[LC Exp Date]] - MockToday, "")</f>
        <v/>
      </c>
      <c r="DS228" s="234" t="str">
        <f>IF(SnapshotTable[[#This Row],[LC Premium]]&gt;0,SnapshotTable[[#This Row],[LC Strike Price]] + SnapshotTable[[#This Row],[LC Book Price]],"")</f>
        <v/>
      </c>
      <c r="DU228" s="9" t="str">
        <f>IF(AND(SnapshotTable[[#This Row],[LC Symbol Count]]&gt;0, SnapshotTable[[#This Row],[LC Contract Value]]&gt;0), SnapshotTable[[#This Row],[LC Contract Value]] * SnapshotTable[[#This Row],[LC Qty]] * 100, "")</f>
        <v/>
      </c>
      <c r="DV228" s="9" t="str">
        <f>IF(AND(ISNUMBER(SnapshotTable[[#This Row],[LC Total Value]]), SnapshotTable[[#This Row],[LC Not Filled]]&lt;&gt;"Y"), SnapshotTable[[#This Row],[LC Total Value]]-SnapshotTable[[#This Row],[LC Premium]],"")</f>
        <v/>
      </c>
      <c r="DW228" s="240" t="str">
        <f>IF(ISNUMBER(SnapshotTable[[#This Row],[LC Actual Gain Loss]]), SnapshotTable[[#This Row],[LC Actual Gain Loss]] / SnapshotTable[[#This Row],[LC Premium]],"")</f>
        <v/>
      </c>
      <c r="DX228" s="284" t="str">
        <f>IF(ISNUMBER(SnapshotTable[[#This Row],[LC Book Price]]),SnapshotTable[[#This Row],[LC Book Price]] * 1.5,"")</f>
        <v/>
      </c>
      <c r="DY228" s="265" t="str">
        <f>IF(SnapshotTable[[#This Row],[LC Premium]]&gt;0, SnapshotTable[[#This Row],[LC Next Target]] * SnapshotTable[[#This Row],[LC Qty]] * 100,"")</f>
        <v/>
      </c>
      <c r="DZ228" s="265" t="str">
        <f>IF(ISNUMBER(SnapshotTable[[#This Row],[LC Target Gross]]), SnapshotTable[[#This Row],[LC Target Gross]] - SnapshotTable[[#This Row],[LC Premium]], "")</f>
        <v/>
      </c>
      <c r="EA228" s="305" t="str">
        <f>IF(ISNUMBER(SnapshotTable[[#This Row],[LC Target Gain Loss]]), SnapshotTable[[#This Row],[LC Target Gain Loss]]/SnapshotTable[[#This Row],[LC Premium]], "")</f>
        <v/>
      </c>
      <c r="EB228" s="262"/>
      <c r="EC228" s="283" t="str">
        <f>IF(SnapshotTable[[#This Row],[LC Premium]]&gt;0, SnapshotTable[[#This Row],[LC Book Price]] * (1 - LC_StopLoss_Pct),"")</f>
        <v/>
      </c>
      <c r="ED228" s="284"/>
      <c r="EE228" s="283" t="str">
        <f>IF(ISNUMBER(SnapshotTable[[#This Row],[LC Contract Value]]),IF(ISNUMBER(SnapshotTable[[#This Row],[LC Stop Loss Override]]), SnapshotTable[[#This Row],[LC Stop Loss Override]],SnapshotTable[[#This Row],[LC Stop Loss Calc Target]]),"")</f>
        <v/>
      </c>
      <c r="EF228" s="31" t="str">
        <f>IF(ISNUMBER(SnapshotTable[[#This Row],[LC Stop  To Use]]), (SnapshotTable[[#This Row],[LC Stop  To Use]] * SnapshotTable[[#This Row],[LC Qty]] * 100),"")</f>
        <v/>
      </c>
      <c r="EG228" s="9" t="str">
        <f>IF(ISNUMBER(SnapshotTable[[#This Row],[LC Total Value]]),SnapshotTable[[#This Row],[LC Stop Loss Amount]] - SnapshotTable[[#This Row],[LC Premium]],"")</f>
        <v/>
      </c>
      <c r="EH228" s="9">
        <f>IF(ISNUMBER(SnapshotTable[[#This Row],[LC Premium]]), SnapshotTable[[#This Row],[LC Qty]] * 100 * SnapshotTable[[#This Row],[LC Strike Price]], "")</f>
        <v>0</v>
      </c>
      <c r="EI228" s="240" t="str">
        <f>IF(AND(ISNUMBER(SnapshotTable[[#This Row],[LC Total Value]]),SnapshotTable[[#This Row],[LC Total Value]]&gt;0),SnapshotTable[[#This Row],[LC Stop Gain Loss]]  / SnapshotTable[[#This Row],[LC Premium]],"")</f>
        <v/>
      </c>
      <c r="EJ228" s="35">
        <f>IF(ISNUMBER(SnapshotTable[[#This Row],[Equity Shares]]),TRUNC(SnapshotTable[[#This Row],[Equity Shares]] / 100),0) + SnapshotTable[[#This Row],[LC Qty]]</f>
        <v>0</v>
      </c>
      <c r="EK228" s="147"/>
      <c r="EL228" s="138" t="str">
        <f>IF(SnapshotTable[[#This Row],[SC Exp Date]]&lt;&gt;"",TRUNC(SnapshotTable[[#This Row],[Last Price]]),"")</f>
        <v/>
      </c>
      <c r="EM228" s="148"/>
      <c r="EN228" s="147"/>
      <c r="EO228" s="147"/>
      <c r="EP228" s="138"/>
      <c r="EQ228" s="419" t="b">
        <f>AND(ISNUMBER(SnapshotTable[[#This Row],[SC Exp Date]]), ISNUMBER(SnapshotTable[[#This Row],[SC Strike Price]]), ISNUMBER(SnapshotTable[[#This Row],[SC Qty]]), ISNUMBER(SnapshotTable[[#This Row],[SC Book Date]]), ISNUMBER(SnapshotTable[[#This Row],[SC Book Price]]))</f>
        <v>0</v>
      </c>
      <c r="ER228" s="419" t="b">
        <f>AND(SnapshotTable[[#This Row],[SC Is Booked]], NOT(ISBLANK(SnapshotTable[[#This Row],[SC Fill Date]])))</f>
        <v>0</v>
      </c>
      <c r="ES228" s="370"/>
      <c r="ET228" s="34" t="str">
        <f>IF(AND(ISNUMBER(SnapshotTable[[#This Row],[SC Exp Date]]), ISNUMBER(SnapshotTable[[#This Row],[SC Book Date]])), SnapshotTable[[#This Row],[SC Exp Date]] - MAX(SnapshotTable[[#This Row],[SC Book Date]], SnapshotTable[[#This Row],[SC Fill Date]]) + 1, "")</f>
        <v/>
      </c>
      <c r="EU228" s="34" t="str">
        <f>IF(ISNUMBER(SnapshotTable[[#This Row],[SC Term]]), SnapshotTable[[#This Row],[SC Exp Date]]- MockToday, "")</f>
        <v/>
      </c>
      <c r="EV228" s="31">
        <f>IF(SnapshotTable[[#This Row],[SC Is Booked]], SnapshotTable[[#This Row],[SC Qty]] * SnapshotTable[[#This Row],[SC Book Price]] * 100, 0)</f>
        <v>0</v>
      </c>
      <c r="EW228" s="4" t="str">
        <f>IF(AND(ISNUMBER(SnapshotTable[[#This Row],[Last Price]]), ISNUMBER( SnapshotTable[[#This Row],[SC Book Price]])), SnapshotTable[[#This Row],[Last Price]] - SnapshotTable[[#This Row],[SC Book Price]],"")</f>
        <v/>
      </c>
      <c r="EX228" s="234" t="str">
        <f>IF(SnapshotTable[[#This Row],[SC Is Booked]],IF(SnapshotTable[[#This Row],[SC Intrinsic Value]] &gt; 0, SnapshotTable[[#This Row],[SC Strike Price]], SnapshotTable[[#This Row],[Last Price]]), "")</f>
        <v/>
      </c>
      <c r="EY228" s="4">
        <f>IF(SnapshotTable[[#This Row],[SC Is Booked]], (MinimumPremiumRequired * SnapshotTable[[#This Row],[SC Basis]] * SnapshotTable[[#This Row],[SC Term]]), 0)</f>
        <v>0</v>
      </c>
      <c r="EZ228" s="283"/>
      <c r="FA228" s="218"/>
      <c r="FB228" s="370"/>
      <c r="FC228" s="4">
        <f>IF(SnapshotTable[[#This Row],[SC Is Filled]], btc_max_buyback_amount(SnapshotTable[[#This Row],[SC Fill Date]],SnapshotTable[[#This Row],[SC Exp Date]], SnapshotTable[[#This Row],[SC Book Price]]),0)</f>
        <v>0</v>
      </c>
      <c r="FD228" s="5"/>
      <c r="FE228" s="144" t="str">
        <f>IF(SnapshotTable[[#This Row],[SC Is Filled]], btc_next_cutoff_date(SnapshotTable[[#This Row],[SC Fill Date]],SnapshotTable[[#This Row],[SC Exp Date]]),"")</f>
        <v/>
      </c>
      <c r="FF228" s="4" t="str" cm="1">
        <f t="array" ref="FF228">IF(SnapshotTable[[#This Row],[SC Is Filled]], btc_should_buy_back(SnapshotTable[[#This Row],[SC Fill Date]], SnapshotTable[[#This Row],[SC Exp Date]], SnapshotTable[[#This Row],[SC Book Price]], SnapshotTable[[#This Row],[SC Current Ask]], MockToday, SnapshotTable[[#This Row],[SC Buyback Override]]),"")</f>
        <v/>
      </c>
      <c r="FG228" s="4">
        <f>IF(SnapshotTable[[#This Row],[SC Is Filled]], MAX(0,SnapshotTable[[#This Row],[Last Price]]  - SnapshotTable[[#This Row],[SC Strike Price]]), 0)</f>
        <v>0</v>
      </c>
      <c r="FH228" s="382">
        <f>IF(SnapshotTable[[#This Row],[SC Is Filled]], IF(ISNUMBER(SnapshotTable[[#This Row],[SC Current Ask]]), SnapshotTable[[#This Row],[SC Current Ask]], SnapshotTable[[#This Row],[SC Book Price]]) - SnapshotTable[[#This Row],[SC Intrinsic Value]], 0)</f>
        <v>0</v>
      </c>
      <c r="FI228" s="143"/>
      <c r="FJ228" s="32" t="str">
        <f>IF(SnapshotTable[[#This Row],[SC Is Filled]],100 * SnapshotTable[[#This Row],[SC Qty]] * IF(ISNUMBER(SnapshotTable[[#This Row],[SC Buyback Override]]), SnapshotTable[[#This Row],[SC Buyback Override]], SnapshotTable[[#This Row],[SC Current Ask]]), "")</f>
        <v/>
      </c>
      <c r="FK228" s="250" t="str">
        <f>IF(SnapshotTable[[#This Row],[SC Time Val]]&gt;0, SnapshotTable[[#This Row],[SC Time Val]] / SnapshotTable[[#This Row],[Last Price]],"")</f>
        <v/>
      </c>
      <c r="FL228" s="302" t="str">
        <f>IF(SnapshotTable[[#This Row],[SC Is Booked]], ((SnapshotTable[[#This Row],[Last Price]] -SnapshotTable[[#This Row],[SC Strike Price]]) / SnapshotTable[[#This Row],[Last Price]]) * -1, "")</f>
        <v/>
      </c>
      <c r="FM228" s="157" t="str">
        <f>IF(SnapshotTable[[#This Row],[SC Is Booked]],  (SnapshotTable[[#This Row],[SC Qty]] * 100 * SnapshotTable[[#This Row],[SC Strike Price]]) - SnapshotTable[[#This Row],[SC Current Ask]], "")</f>
        <v/>
      </c>
      <c r="FN22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8" s="31" t="str">
        <f>IF(AND(ISNUMBER(SnapshotTable[[#This Row],[SC Exercise Gross]]), ISNUMBER(SnapshotTable[[#This Row],[Equity Basis Per Share]] )), SnapshotTable[[#This Row],[SC Exercise Gross]] - SnapshotTable[[#This Row],[Equity Basis Total]] +  SnapshotTable[[#This Row],[SC Premium]], "")</f>
        <v/>
      </c>
      <c r="FP228" s="5" t="str">
        <f>IF(ISNUMBER(SnapshotTable[[#This Row],[SC Exercise Gross]]), (SnapshotTable[[#This Row],[SC Exercise Gross]]) / (SnapshotTable[[#This Row],[SC Qty]] * 100), "")</f>
        <v/>
      </c>
      <c r="FQ228" s="27" t="str">
        <f>IF(SnapshotTable[[#This Row],[SC Is Booked]],SnapshotTable[[#This Row],[SC Time Val]] /SnapshotTable[[#This Row],[SC Basis]], "")</f>
        <v/>
      </c>
      <c r="FR228" s="27" t="str" cm="1">
        <f t="array" ref="FR228">IF(AND(ISNUMBER(SnapshotTable[[#This Row],[SC Term]]),ISNUMBER(SnapshotTable[[#This Row],[SC Simple ROO]])), EllmanAnnualize(SnapshotTable[[#This Row],[SC DTE]], SnapshotTable[[#This Row],[SC Simple ROO]] ),"")</f>
        <v/>
      </c>
      <c r="FS228" s="4" t="e">
        <f>IF(SnapshotTable[[#This Row],[SC Strike Price]] &gt; SnapshotTable[[#This Row],[Last Price]], SnapshotTable[[#This Row],[SC Strike Price]] - SnapshotTable[[#This Row],[Last Price]],0)</f>
        <v>#VALUE!</v>
      </c>
      <c r="FT228" s="27" t="e">
        <f>IF(AND(ISNUMBER(SnapshotTable[[#This Row],[SC Upside Potential]]), SnapshotTable[[#This Row],[SC Upside Potential]] &gt; 0),(SnapshotTable[[#This Row],[SC Upside Potential]]/ SnapshotTable[[#This Row],[ACB]]),"")</f>
        <v>#VALUE!</v>
      </c>
      <c r="FU228" s="333" t="str">
        <f>IF(SnapshotTable[[#This Row],[SC Intrinsic Value]] &gt; 0,SnapshotTable[[#This Row],[SC Intrinsic Value]],"")</f>
        <v/>
      </c>
      <c r="FV228" s="27" t="str">
        <f>IF(AND( ISNUMBER( SnapshotTable[[#This Row],[ACB]]),ISNUMBER(SnapshotTable[[#This Row],[SC Downside Protect]])),SnapshotTable[[#This Row],[SC Downside Protect]] / SnapshotTable[[#This Row],[ACB]],"")</f>
        <v/>
      </c>
      <c r="FW228" s="236" t="str">
        <f>IF(AND(ISNUMBER(SnapshotTable[[#This Row],[SC Simple ROO]]),SnapshotTable[[#This Row],[SC Simple ROO]] &gt; 0), SnapshotTable[[#This Row],[SC Premium]] + (SnapshotTable[[#This Row],[SC Qty]] * SnapshotTable[[#This Row],[SC Upside Potential]]), "")</f>
        <v/>
      </c>
      <c r="FX228" s="302" t="str" cm="1">
        <f t="array" ref="FX228">IF(ISNUMBER(SnapshotTable[[#This Row],[SC Max Dollars]]), annualize(SnapshotTable[[#This Row],[SC Term]],(SnapshotTable[[#This Row],[SC Max Dollars]]/SnapshotTable[[#This Row],[SC Basis]])),"")</f>
        <v/>
      </c>
      <c r="FY228" s="236" t="str">
        <f>IF(AND(SnapshotTable[[#This Row],[SC Qty]]&gt;0,SnapshotTable[[#This Row],[SC Current Ask]]&gt;0), SnapshotTable[[#This Row],[SC Qty]] * SnapshotTable[[#This Row],[SC Current Ask]] * -100, "")</f>
        <v/>
      </c>
      <c r="FZ228" s="31" t="str">
        <f>IF(ISNUMBER((SnapshotTable[[#This Row],[SC Current Value]])), SnapshotTable[[#This Row],[SC Premium]] + SnapshotTable[[#This Row],[SC Current Value]], "")</f>
        <v/>
      </c>
      <c r="GA228" s="294" t="str">
        <f>IFERROR( IF(ISNUMBER((SnapshotTable[[#This Row],[SC Current Value]])), SnapshotTable[[#This Row],[SC Gain Loss]] / SnapshotTable[[#This Row],[SC Premium]], ""), "")</f>
        <v/>
      </c>
      <c r="GB228" s="42">
        <f>SnapshotTable[[#This Row],[Equity Shares]] * SaleSharesToConsiderPercentage</f>
        <v>0</v>
      </c>
      <c r="GC228" s="40">
        <f>SnapshotTable[[#This Row],[Long Term Target]] * SellingPriceToConsiderBasedOnTargetPercentage</f>
        <v>0</v>
      </c>
      <c r="GD228" s="40">
        <f>SnapshotTable[[#This Row],[Last Price]] * (1+ SellingPriceToConsiderBasedOnTargetPercentage)</f>
        <v>22.035</v>
      </c>
      <c r="GE228" s="41"/>
      <c r="GF228" s="40"/>
      <c r="GG228" s="31">
        <f>SnapshotTable[[#This Row],[Booked Sale Shares]] * SnapshotTable[[#This Row],[Booked Sale Price]]</f>
        <v>0</v>
      </c>
      <c r="GH228" s="31" t="str">
        <f>IF(SnapshotTable[[#This Row],[Equity Basis Total]] &gt; 0, SnapshotTable[[#This Row],[Equity Basis Per Share]] * SnapshotTable[[#This Row],[Booked Sale Shares]], "")</f>
        <v/>
      </c>
      <c r="GI228" s="31">
        <f>IF(SnapshotTable[[#This Row],[Sale Proceeds]]&gt;0, SnapshotTable[[#This Row],[Sale Proceeds]] - SnapshotTable[[#This Row],[Sale Basis]], 0)</f>
        <v>0</v>
      </c>
      <c r="GJ228" s="27" t="str">
        <f>IF(SnapshotTable[[#This Row],[Sale G/L]]&gt;0, SnapshotTable[[#This Row],[Sale G/L]] / SnapshotTable[[#This Row],[Sale Basis]], IF(ISNUMBER(SnapshotTable[[#This Row],[SC Exercise P&amp;L (TAX)]]), SnapshotTable[[#This Row],[SC Exercise P&amp;L (TAX)]] / SnapshotTable[[#This Row],[SC Basis]], ""))</f>
        <v/>
      </c>
      <c r="GK228" s="27"/>
      <c r="GL228" s="43" t="str">
        <f>IF(AND(SnapshotTable[[#This Row],[LP Exp Date]]&gt;0,SnapshotTable[[#This Row],[LP Strike Price]]&gt;0), [1]!ToOptionSymbol(SnapshotTable[[#This Row],[Symbol]], SnapshotTable[[#This Row],[LP Strike Price]],SnapshotTable[[#This Row],[LP Exp Date]],1), "")</f>
        <v/>
      </c>
      <c r="GM228" s="30" t="str">
        <f>IF(LEN(SnapshotTable[[#This Row],[LP Symbol]])&gt;0, 1, "")</f>
        <v/>
      </c>
      <c r="GN228" s="43" t="str">
        <f ca="1">IF(AND(SnapshotTable[[#This Row],[SP Exp Date]]&gt;0,SnapshotTable[[#This Row],[SP Strike Price]]&gt;0), [1]!ToOptionSymbol(SnapshotTable[[#This Row],[Symbol]], SnapshotTable[[#This Row],[SP Strike Price]],SnapshotTable[[#This Row],[SP Exp Date]],1), "")</f>
        <v>UUUU260807P00011000</v>
      </c>
      <c r="GO228" s="30">
        <f ca="1">IF(LEN(SnapshotTable[[#This Row],[SP Symbol]])&gt;0, 1, "")</f>
        <v>1</v>
      </c>
      <c r="GP228" s="43" t="str">
        <f>IF(AND(SnapshotTable[[#This Row],[LC Exp Date]]&gt;0,SnapshotTable[[#This Row],[LC Strike Price]]&gt;0), [1]!ToOptionSymbol(SnapshotTable[[#This Row],[Symbol]], SnapshotTable[[#This Row],[LC Strike Price]],SnapshotTable[[#This Row],[LC Exp Date]],0), "")</f>
        <v/>
      </c>
      <c r="GQ228" s="30" t="str">
        <f>IF(LEN(SnapshotTable[[#This Row],[LC Symbol]])&gt;0, 1, "")</f>
        <v/>
      </c>
      <c r="GR228" s="43" t="str">
        <f>IF(AND(SnapshotTable[[#This Row],[SC Exp Date]]&gt;0,SnapshotTable[[#This Row],[SC Strike Price]]&gt;0), [1]!ToOptionSymbol(SnapshotTable[[#This Row],[Symbol]], SnapshotTable[[#This Row],[SC Strike Price]],SnapshotTable[[#This Row],[SC Exp Date]],0), "")</f>
        <v/>
      </c>
      <c r="GS228" s="30" t="str">
        <f>IF(LEN(SnapshotTable[[#This Row],[SC Symbol]])&gt;0, 1, "")</f>
        <v/>
      </c>
      <c r="GT228" s="29" t="str">
        <f ca="1">IF(COUNT(SnapshotTable[[#This Row],[LP Symbol Count]],SnapshotTable[[#This Row],[SP Symbol Count]],SnapshotTable[[#This Row],[LC Symbol Count]],SnapshotTable[[#This Row],[SC Symbol Count]])&gt;0, "Y", "")</f>
        <v>Y</v>
      </c>
      <c r="GU228"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SP </v>
      </c>
      <c r="GV228" s="231">
        <f ca="1">MAX(SnapshotTable[[#This Row],[Equity Basis Total]],SnapshotTable[[#This Row],[Equity Value]]) + (SnapshotTable[[#This Row],[SP Potential Spend]]- SnapshotTable[[#This Row],[SP Premium]] + SnapshotTable[[#This Row],[LP Premium]])+ (SnapshotTable[[#This Row],[LC Premium]] - SnapshotTable[[#This Row],[SC Premium]])</f>
        <v>9930</v>
      </c>
      <c r="GW228" s="139" t="e">
        <f ca="1">IF(AND(SnapshotTable[[#This Row],[Exposure]] &lt;&gt; 0),SnapshotTable[[#This Row],[Exposure]] / SnapshotTable[[#Totals],[Exposure]], "")</f>
        <v>#VALUE!</v>
      </c>
      <c r="GX228" s="5"/>
      <c r="HE228" s="268"/>
      <c r="HF228" s="268"/>
      <c r="HK228" s="1"/>
      <c r="HL228" s="1"/>
      <c r="HM228" s="1"/>
      <c r="HN228" s="1"/>
      <c r="HO228" s="1"/>
      <c r="HP228" s="1"/>
    </row>
    <row r="229" spans="2:224" ht="12.75" hidden="1" customHeight="1" x14ac:dyDescent="0.25">
      <c r="B229" s="12" t="s">
        <v>1278</v>
      </c>
      <c r="C229" s="422">
        <v>11.3</v>
      </c>
      <c r="D229" s="208"/>
      <c r="E229" s="39">
        <f>SnapshotTable[[#This Row],[Last Price]]*(1 -CrashDiscount)</f>
        <v>9.6050000000000004</v>
      </c>
      <c r="F229" s="325" t="s">
        <v>1029</v>
      </c>
      <c r="G229" s="325" t="s">
        <v>822</v>
      </c>
      <c r="H229" s="149"/>
      <c r="I229" s="194"/>
      <c r="J229" s="195"/>
      <c r="K229" s="196"/>
      <c r="L229" s="326"/>
      <c r="M229" s="140"/>
      <c r="N229" s="140"/>
      <c r="O229" s="140"/>
      <c r="P229" s="22"/>
      <c r="Q229" s="25"/>
      <c r="R229" s="4" t="str">
        <f>IF(SnapshotTable[[#This Row],[Equity Basis Total]] &gt; 0, SnapshotTable[[#This Row],[Equity Basis Total]] / SnapshotTable[[#This Row],[Equity Shares]], "")</f>
        <v/>
      </c>
      <c r="S229" s="269">
        <f>SnapshotTable[[#This Row],[Last Price]] * SnapshotTable[[#This Row],[Equity Shares]]</f>
        <v>0</v>
      </c>
      <c r="T229" s="269">
        <f>SnapshotTable[[#This Row],[Equity Value]] - SnapshotTable[[#This Row],[Equity Basis Total]]</f>
        <v>0</v>
      </c>
      <c r="U229" s="270" t="str">
        <f>IF(SnapshotTable[[#This Row],[Equity Basis Total]] &gt; 0, SnapshotTable[[#This Row],[Equity G/L]] / SnapshotTable[[#This Row],[Equity Basis Total]], "")</f>
        <v/>
      </c>
      <c r="V229" s="268"/>
      <c r="W229" s="268"/>
      <c r="X229" s="4" t="str">
        <f>IF(AND(ISNUMBER(SnapshotTable[[#This Row],[Equity Basis Per Share]]),ISNUMBER(SnapshotTable[[#This Row],[Equity Target]])),SnapshotTable[[#This Row],[Equity Target]]-SnapshotTable[[#This Row],[Equity Basis Per Share]],"")</f>
        <v/>
      </c>
      <c r="Y229" s="4" t="str">
        <f>IF(AND(ISNUMBER(SnapshotTable[[#This Row],[Equity Basis Per Share]]),ISNUMBER(SnapshotTable[[#This Row],[Equity Stop Loss]])),SnapshotTable[[#This Row],[Equity Stop Loss]]-SnapshotTable[[#This Row],[Equity Basis Per Share]],"")</f>
        <v/>
      </c>
      <c r="Z229" s="275" t="str">
        <f>IFERROR( TEXT(SnapshotTable[[#This Row],[Equity Max Gain Per Share]] /ABS( SnapshotTable[[#This Row],[Equity Max Loss Per Share]]),"0.0 " ) &amp; " : 1", "")</f>
        <v/>
      </c>
      <c r="AA229" s="31" t="str">
        <f>IF(ISNUMBER(SnapshotTable[[#This Row],[Equity Max Gain Per Share]]),SnapshotTable[[#This Row],[Equity Max Gain Per Share]] * SnapshotTable[[#This Row],[Equity Shares]],"")</f>
        <v/>
      </c>
      <c r="AB229" s="31" t="str">
        <f>IF(ISNUMBER(SnapshotTable[[#This Row],[Equity Max Loss Per Share]]),SnapshotTable[[#This Row],[Equity Max Loss Per Share]] * SnapshotTable[[#This Row],[Equity Shares]],"")</f>
        <v/>
      </c>
      <c r="AC229" s="150"/>
      <c r="AD229" s="151"/>
      <c r="AE229" s="31">
        <f>(SnapshotTable[[#This Row],[Annual Dividend Per Share]] / 4) * SnapshotTable[[#This Row],[Equity Shares]]</f>
        <v>0</v>
      </c>
      <c r="AF229" s="31">
        <f>SnapshotTable[[#This Row],[Quarterly Div $]] * 4</f>
        <v>0</v>
      </c>
      <c r="AG229" s="7">
        <f>IF(SnapshotTable[[#This Row],[Annual Dividend Per Share]]&gt;0, SnapshotTable[[#This Row],[Annual Dividend Per Share]]  / SnapshotTable[[#This Row],[Last Price]], 0)</f>
        <v>0</v>
      </c>
      <c r="AH229" s="151"/>
      <c r="AI229" s="5"/>
      <c r="AJ229" s="138"/>
      <c r="AK229" s="152" t="str">
        <f>IF(ISNUMBER( SnapshotTable[[#This Row],[EBF Target]]),(SnapshotTable[[#This Row],[EBF Target]] - SnapshotTable[[#This Row],[Last Price]]) / SnapshotTable[[#This Row],[Last Price]], "")</f>
        <v/>
      </c>
      <c r="AL229" s="152" t="str">
        <f>IF(AND(SnapshotTable[[#This Row],[Equity Basis Total]] &gt; 0,ISNUMBER( SnapshotTable[[#This Row],[Long Term Target]])), SnapshotTable[[#This Row],[From Basis $]] / SnapshotTable[[#This Row],[Equity Basis Total]], "")</f>
        <v/>
      </c>
      <c r="AM229" s="9">
        <f>IF( AND(SnapshotTable[[#This Row],[Equity Shares]] &gt;0,ISNUMBER( SnapshotTable[[#This Row],[Long Term Target]])),(SnapshotTable[[#This Row],[Equity Shares]] * SnapshotTable[[#This Row],[Long Term Target]]) - SnapshotTable[[#This Row],[Equity Basis Total]],0)</f>
        <v>0</v>
      </c>
      <c r="AN229" s="9">
        <f>IF( AND(SnapshotTable[[#This Row],[Equity Shares]] &gt;0,ISNUMBER( SnapshotTable[[#This Row],[Long Term Target]])),(SnapshotTable[[#This Row],[Equity Shares]]*SnapshotTable[[#This Row],[Long Term Target]]) - SnapshotTable[[#This Row],[Equity Value]],0)</f>
        <v>0</v>
      </c>
      <c r="AO229" s="152" t="str">
        <f>IF(AND(ISNUMBER( SnapshotTable[[#This Row],[Long Term Target]]), ISNUMBER(SnapshotTable[[#This Row],[Last Price]])),(SnapshotTable[[#This Row],[Long Term Target]] - SnapshotTable[[#This Row],[Last Price]]) / SnapshotTable[[#This Row],[Last Price]], "")</f>
        <v/>
      </c>
      <c r="AP229" s="5"/>
      <c r="AQ229" s="38"/>
      <c r="AR229" s="5"/>
      <c r="AS229" s="38"/>
      <c r="AT229" s="146"/>
      <c r="AU229" s="187" t="str">
        <f ca="1">IF(OR(SnapshotTable[[#This Row],[LP No Fill]]="Y",SnapshotTable[[#This Row],[SP Is Filled]],SnapshotTable[[#This Row],[LC Not Filled]]="Y",SnapshotTable[[#This Row],[SC Is Filled]]),"Y","")</f>
        <v>Y</v>
      </c>
      <c r="AV229" s="219"/>
      <c r="AW229" s="225"/>
      <c r="AX229" s="220"/>
      <c r="AY229" s="219" t="str">
        <f>IF(SnapshotTable[[#This Row],[Implied Move]]&gt;0, SnapshotTable[[#This Row],[Last Price]]-SnapshotTable[[#This Row],[Implied Move]],"")</f>
        <v/>
      </c>
      <c r="AZ229" s="219" t="str">
        <f>IF(SnapshotTable[[#This Row],[Implied Move]]&gt;0, SnapshotTable[[#This Row],[Last Price]] + SnapshotTable[[#This Row],[Implied Move]],"")</f>
        <v/>
      </c>
      <c r="BA229" s="331">
        <v>14.95</v>
      </c>
      <c r="BB229" s="347"/>
      <c r="BC229"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46283</v>
      </c>
      <c r="BD229" s="351"/>
      <c r="BE229" s="5"/>
      <c r="BF229" s="14"/>
      <c r="BG229" s="13"/>
      <c r="BH229" s="13"/>
      <c r="BI229" s="5"/>
      <c r="BJ229" s="136">
        <f>IF(SnapshotTable[[#This Row],[LP Qty]] &gt; 0, SnapshotTable[[#This Row],[LP Qty]] * SnapshotTable[[#This Row],[LP Book Price]] * 100,0)</f>
        <v>0</v>
      </c>
      <c r="BK229" s="136">
        <f>IF(SnapshotTable[[#This Row],[LP Premium]] &gt; 0, SnapshotTable[[#This Row],[LP Qty]] * SnapshotTable[[#This Row],[LP Strike Price]] * 100,0)</f>
        <v>0</v>
      </c>
      <c r="BL229" s="154"/>
      <c r="BM229" s="385" t="str">
        <f>IF(SnapshotTable[[#This Row],[LP Premium]] &gt; 0,SnapshotTable[[#This Row],[LP Exp Date]]-MAX(SnapshotTable[[#This Row],[LP Book Date]], SnapshotTable[[#This Row],[LP Fill Date]]),"")</f>
        <v/>
      </c>
      <c r="BN229" s="385" t="str">
        <f>IF(ISNUMBER( SnapshotTable[[#This Row],[LP Term]]), SnapshotTable[[#This Row],[LP Exp Date]] - MockToday,"")</f>
        <v/>
      </c>
      <c r="BO229" s="163" t="str">
        <f>IF(AND(SnapshotTable[[#This Row],[LP Exp Date]]&gt;0, SnapshotTable[[#This Row],[LP Strike Price]]&gt;0,SnapshotTable[[#This Row],[LP Qty]]&gt;0,SnapshotTable[[#This Row],[LP Book Date]]&gt;0,SnapshotTable[[#This Row],[LP Book Price]]&gt;0,SnapshotTable[[#This Row],[LP Fill Date]]=0),"Y","")</f>
        <v/>
      </c>
      <c r="BP229" s="31" t="str">
        <f>IF(AND(SnapshotTable[[#This Row],[LP No Fill]]&lt;&gt;"Y",SnapshotTable[[#This Row],[LP Contract Value]]&gt;0, SnapshotTable[[#This Row],[LP Qty]]&gt;0), SnapshotTable[[#This Row],[LP Contract Value]]*SnapshotTable[[#This Row],[LP Qty]]*100,"")</f>
        <v/>
      </c>
      <c r="BQ229" s="13">
        <f ca="1">NextMonthlyOpex</f>
        <v>46283</v>
      </c>
      <c r="BR229" s="5">
        <f ca="1">IF(SnapshotTable[[#This Row],[SP Exp Date]]&lt;&gt;"",TRUNC(SnapshotTable[[#This Row],[Last Price]]),"")</f>
        <v>11</v>
      </c>
      <c r="BS229" s="36">
        <v>10</v>
      </c>
      <c r="BT229" s="147">
        <f ca="1">WORKDAY(MockToday, 0)</f>
        <v>46235</v>
      </c>
      <c r="BU229" s="13">
        <f ca="1">WORKDAY(MockToday, 0)</f>
        <v>46235</v>
      </c>
      <c r="BV229" s="5">
        <v>1.1399999999999999</v>
      </c>
      <c r="BW229" s="419" t="b">
        <f ca="1">AND(ISNUMBER(SnapshotTable[[#This Row],[SP Exp Date]]), ISNUMBER(SnapshotTable[[#This Row],[SP Strike Price]]), ISNUMBER(SnapshotTable[[#This Row],[SP Qty]]), ISNUMBER(SnapshotTable[[#This Row],[SP Book Date]]), ISNUMBER(SnapshotTable[[#This Row],[SP Book Price]]))</f>
        <v>1</v>
      </c>
      <c r="BX229" s="419" t="b">
        <f ca="1">AND(SnapshotTable[[#This Row],[SP Is Booked]], NOT(ISBLANK(SnapshotTable[[#This Row],[SP Fill Date]])))</f>
        <v>1</v>
      </c>
      <c r="BY229" s="33">
        <f ca="1">IF(SnapshotTable[[#This Row],[SP Is Booked]], SnapshotTable[[#This Row],[SP Qty]] * SnapshotTable[[#This Row],[SP Book Price]] * 100, 0)</f>
        <v>1139.9999999999998</v>
      </c>
      <c r="BZ229" s="369">
        <v>0.25</v>
      </c>
      <c r="CA229" s="368">
        <f>SnapshotTable[[#This Row],[LP Qty]]</f>
        <v>0</v>
      </c>
      <c r="CB229" s="4">
        <f ca="1">IF(SnapshotTable[[#This Row],[SP Is Booked]], SnapshotTable[[#This Row],[SP Strike Price]] - SnapshotTable[[#This Row],[SP Book Price]], "")</f>
        <v>9.86</v>
      </c>
      <c r="CC229" s="19">
        <f ca="1">IF(SnapshotTable[[#This Row],[SP Is Booked]],SnapshotTable[[#This Row],[SP Exp Date]]-MAX(SnapshotTable[[#This Row],[SP Book Date]], SnapshotTable[[#This Row],[SP Fill Date]]),"")</f>
        <v>48</v>
      </c>
      <c r="CD229" s="7">
        <f ca="1">IF(SnapshotTable[[#This Row],[SP Is Booked]], SnapshotTable[[#This Row],[SP Book Price]]/SnapshotTable[[#This Row],[SP Strike Price]], "")</f>
        <v>0.10363636363636362</v>
      </c>
      <c r="CE229" s="7">
        <f ca="1">IF(ISNUMBER(SnapshotTable[[#This Row],[SP ROO Term]]),SnapshotTable[[#This Row],[SP ROO Term]]*(365/SnapshotTable[[#This Row],[SP Term]]),"")</f>
        <v>0.78806818181818172</v>
      </c>
      <c r="CF229" s="236">
        <f>SnapshotTable[[#This Row],[LP Strike Price]] * SnapshotTable[[#This Row],[LP Qty]] * 100</f>
        <v>0</v>
      </c>
      <c r="CG229" s="31">
        <f ca="1">IF(ISNUMBER(SnapshotTable[[#This Row],[SP Premium]]), (SnapshotTable[[#This Row],[SP Qty]] * SnapshotTable[[#This Row],[SP Strike Price]]* 100) - SnapshotTable[[#This Row],[LP Protection]], 0)</f>
        <v>11000</v>
      </c>
      <c r="CH229" s="7">
        <f ca="1">IF(ISNUMBER(SnapshotTable[[#This Row],[SP Break Even]]),-1 * (SnapshotTable[[#This Row],[SP Break Even]] - SnapshotTable[[#This Row],[Last Price]]) / SnapshotTable[[#This Row],[Last Price]], "")</f>
        <v>0.12743362831858418</v>
      </c>
      <c r="CI229" s="31">
        <f ca="1">IF(AND(ISNUMBER((SnapshotTable[[#This Row],[SP Potential Spend]])), SnapshotTable[[#This Row],[SP Strike Price]] &gt; SnapshotTable[[#This Row],[Last Price]], SnapshotTable[[#This Row],[SP Is Filled]]), SnapshotTable[[#This Row],[SP Potential Spend]] -  SnapshotTable[[#This Row],[LP Max Value]], 0)</f>
        <v>0</v>
      </c>
      <c r="CJ229" s="244"/>
      <c r="CK229" s="31">
        <f ca="1">IF(ISNUMBER(SnapshotTable[[#This Row],[SP Potential Spend]]),IF(ISNUMBER(SnapshotTable[[#This Row],[SP POW]]), SnapshotTable[[#This Row],[SP POW]] * SnapshotTable[[#This Row],[SP Potential Spend]], SnapshotTable[[#This Row],[SP Potential Spend]]), "")</f>
        <v>11000</v>
      </c>
      <c r="CL229" s="164" t="str">
        <f ca="1">IF(NOT(SnapshotTable[[#This Row],[SP Is Filled]]),(SnapshotTable[[#This Row],[SP Qty]] * SnapshotTable[[#This Row],[SP Strike Price]] * 100) - SnapshotTable[[#This Row],[LP Max Value]],"")</f>
        <v/>
      </c>
      <c r="CM229" s="31" t="str">
        <f ca="1">IF(SnapshotTable[[#This Row],[SP Actual Spend]]&lt;&gt;0, ((SnapshotTable[[#This Row],[SP Strike Price]]-SnapshotTable[[#This Row],[Last Price]]) *(SnapshotTable[[#This Row],[SP Qty]]*100) - SnapshotTable[[#This Row],[SP Premium]]) * - 1, "")</f>
        <v/>
      </c>
      <c r="CN229" s="78">
        <v>1.1200000000000001</v>
      </c>
      <c r="CO229" s="369">
        <v>0.27</v>
      </c>
      <c r="CP229" s="4" t="e">
        <f ca="1">IF(SnapshotTable[[#This Row],[SP Is Filled]], btc_max_buyback_amount(SnapshotTable[[#This Row],[SP Fill Date]],SnapshotTable[[#This Row],[SP Exp Date]], SnapshotTable[[#This Row],[SP Book Price]]),"")</f>
        <v>#NAME?</v>
      </c>
      <c r="CQ229" s="78"/>
      <c r="CR229"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29" s="155" t="e">
        <f ca="1">IF(SnapshotTable[[#This Row],[SP Is Filled]], btc_next_cutoff_date(SnapshotTable[[#This Row],[SP Fill Date]],SnapshotTable[[#This Row],[SP Exp Date]]),"")</f>
        <v>#NAME?</v>
      </c>
      <c r="CT229" s="235" t="e" cm="1">
        <f t="array" aca="1" ref="CT229" ca="1">IF(SnapshotTable[[#This Row],[SP Is Filled]], btc_should_buy_back(SnapshotTable[[#This Row],[SP Fill Date]], SnapshotTable[[#This Row],[SP Exp Date]], SnapshotTable[[#This Row],[SP Book Price]], SnapshotTable[[#This Row],[SP Current Ask]], MockToday, SnapshotTable[[#This Row],[SP Buyback Override]]),"")</f>
        <v>#NAME?</v>
      </c>
      <c r="CU229" s="143">
        <v>46220</v>
      </c>
      <c r="CV229" s="235"/>
      <c r="CW229" s="378">
        <f ca="1">IF(ISNUMBER( SnapshotTable[[#This Row],[SP Term]]), SnapshotTable[[#This Row],[SP Exp Date]] - MockToday,"")</f>
        <v>48</v>
      </c>
      <c r="CX229" s="31" t="e">
        <f ca="1">IF(SnapshotTable[[#This Row],[SP Is Filled]],SnapshotTable[[#This Row],[SP Buyback Price to Use]] * 100 * SnapshotTable[[#This Row],[SP Qty]], "")</f>
        <v>#NAME?</v>
      </c>
      <c r="CY229" s="4">
        <f ca="1">IF(ISNUMBER(SnapshotTable[[#This Row],[SP Strike Price]]), SnapshotTable[[#This Row],[SP Strike Price]] * (1 - SP_MaxLoss_StrikePct), "")</f>
        <v>10.67</v>
      </c>
      <c r="CZ229" s="31">
        <f ca="1">IF(ISNUMBER(SnapshotTable[[#This Row],[SP Strike  Stop Per Share]]),SnapshotTable[[#This Row],[SP Premium]] - ((SnapshotTable[[#This Row],[SP Strike Price]]-SnapshotTable[[#This Row],[SP Strike  Stop Per Share]]) *(SnapshotTable[[#This Row],[SP Qty]] * 100)),"")</f>
        <v>809.99999999999977</v>
      </c>
      <c r="DA229" s="4">
        <f ca="1">IF(AND(ISNUMBER(SnapshotTable[[#This Row],[SP Premium]]),SnapshotTable[[#This Row],[SP Premium]]&gt;0), SnapshotTable[[#This Row],[SP Book Price]] * (1 + SP_MaxLoss_OptionPct), "")</f>
        <v>1.71</v>
      </c>
      <c r="DB229" s="31">
        <f ca="1">IF(ISNUMBER(SnapshotTable[[#This Row],[SP Option  Stop Contract]]),(SnapshotTable[[#This Row],[SP Option  Stop Contract]] *(SnapshotTable[[#This Row],[SP Qty]] * 100) - SnapshotTable[[#This Row],[SP Premium]]),"")</f>
        <v>570.00000000000023</v>
      </c>
      <c r="DC229" s="4"/>
      <c r="DD229" s="4"/>
      <c r="DE229" s="4" t="str">
        <f>IF(AND(SnapshotTable[[#This Row],[SP Qty]]&gt;0, SnapshotTable[[#This Row],[SP Stop To Use]]&gt;0),SnapshotTable[[#This Row],[SP Premium]] - ( SnapshotTable[[#This Row],[SP Qty]] * SnapshotTable[[#This Row],[SP Stop To Use]] * 100), "")</f>
        <v/>
      </c>
      <c r="DF229" s="31">
        <f>IF(AND(SnapshotTable[[#This Row],[SP Qty]]&gt;0,SnapshotTable[[#This Row],[SP Current Ask]]&gt;0), SnapshotTable[[#This Row],[SP Qty]] * SnapshotTable[[#This Row],[SP Current Ask]] * -100, "")</f>
        <v>-1120</v>
      </c>
      <c r="DG229" s="31">
        <f ca="1">IF(ISNUMBER((SnapshotTable[[#This Row],[SP Total Value]])), SnapshotTable[[#This Row],[SP Premium]] + SnapshotTable[[#This Row],[SP Total Value]], "")</f>
        <v>19.999999999999773</v>
      </c>
      <c r="DH229" s="294">
        <f ca="1">IF(ISNUMBER((SnapshotTable[[#This Row],[SP Total Value]])), SnapshotTable[[#This Row],[SP Gain Loss]] / SnapshotTable[[#This Row],[SP Premium]], "")</f>
        <v>1.7543859649122612E-2</v>
      </c>
      <c r="DI229" s="406"/>
      <c r="DJ229" s="138"/>
      <c r="DK229" s="148"/>
      <c r="DL229" s="147"/>
      <c r="DM229" s="13"/>
      <c r="DO229" s="31">
        <f>IF(SnapshotTable[[#This Row],[LC Symbol Count]]=1, SnapshotTable[[#This Row],[LC Qty]] * SnapshotTable[[#This Row],[LC Book Price]] * 100, 0)</f>
        <v>0</v>
      </c>
      <c r="DP229" s="163" t="str">
        <f>IF(AND(SnapshotTable[[#This Row],[LC Exp Date]]&gt;0, SnapshotTable[[#This Row],[LC Strike Price]]&gt;0,SnapshotTable[[#This Row],[LC Qty]]&gt;0,SnapshotTable[[#This Row],[LC Book Date]]&gt;0,SnapshotTable[[#This Row],[LC Book Price]]&gt;0,SnapshotTable[[#This Row],[LC Fill Date]]=0),"Y","")</f>
        <v/>
      </c>
      <c r="DQ229" s="386" t="str">
        <f>IF(SnapshotTable[[#This Row],[LC Premium]] &gt; 0,SnapshotTable[[#This Row],[LC Exp Date]]-MAX(SnapshotTable[[#This Row],[LC Book Date]], SnapshotTable[[#This Row],[LC Fill Date]]),"")</f>
        <v/>
      </c>
      <c r="DR229" s="386" t="str">
        <f>IF(ISNUMBER(SnapshotTable[[#This Row],[LC Term]]), SnapshotTable[[#This Row],[LC Exp Date]] - MockToday, "")</f>
        <v/>
      </c>
      <c r="DS229" s="234" t="str">
        <f>IF(SnapshotTable[[#This Row],[LC Premium]]&gt;0,SnapshotTable[[#This Row],[LC Strike Price]] + SnapshotTable[[#This Row],[LC Book Price]],"")</f>
        <v/>
      </c>
      <c r="DU229" s="9" t="str">
        <f>IF(AND(SnapshotTable[[#This Row],[LC Symbol Count]]&gt;0, SnapshotTable[[#This Row],[LC Contract Value]]&gt;0), SnapshotTable[[#This Row],[LC Contract Value]] * SnapshotTable[[#This Row],[LC Qty]] * 100, "")</f>
        <v/>
      </c>
      <c r="DV229" s="9" t="str">
        <f>IF(AND(ISNUMBER(SnapshotTable[[#This Row],[LC Total Value]]), SnapshotTable[[#This Row],[LC Not Filled]]&lt;&gt;"Y"), SnapshotTable[[#This Row],[LC Total Value]]-SnapshotTable[[#This Row],[LC Premium]],"")</f>
        <v/>
      </c>
      <c r="DW229" s="240" t="str">
        <f>IF(ISNUMBER(SnapshotTable[[#This Row],[LC Actual Gain Loss]]), SnapshotTable[[#This Row],[LC Actual Gain Loss]] / SnapshotTable[[#This Row],[LC Premium]],"")</f>
        <v/>
      </c>
      <c r="DX229" s="284" t="str">
        <f>IF(ISNUMBER(SnapshotTable[[#This Row],[LC Book Price]]),SnapshotTable[[#This Row],[LC Book Price]] * 1.5,"")</f>
        <v/>
      </c>
      <c r="DY229" s="265" t="str">
        <f>IF(SnapshotTable[[#This Row],[LC Premium]]&gt;0, SnapshotTable[[#This Row],[LC Next Target]] * SnapshotTable[[#This Row],[LC Qty]] * 100,"")</f>
        <v/>
      </c>
      <c r="DZ229" s="265" t="str">
        <f>IF(ISNUMBER(SnapshotTable[[#This Row],[LC Target Gross]]), SnapshotTable[[#This Row],[LC Target Gross]] - SnapshotTable[[#This Row],[LC Premium]], "")</f>
        <v/>
      </c>
      <c r="EA229" s="305" t="str">
        <f>IF(ISNUMBER(SnapshotTable[[#This Row],[LC Target Gain Loss]]), SnapshotTable[[#This Row],[LC Target Gain Loss]]/SnapshotTable[[#This Row],[LC Premium]], "")</f>
        <v/>
      </c>
      <c r="EB229" s="262"/>
      <c r="EC229" s="283" t="str">
        <f>IF(SnapshotTable[[#This Row],[LC Premium]]&gt;0, SnapshotTable[[#This Row],[LC Book Price]] * (1 - LC_StopLoss_Pct),"")</f>
        <v/>
      </c>
      <c r="ED229" s="284"/>
      <c r="EE229" s="283" t="str">
        <f>IF(ISNUMBER(SnapshotTable[[#This Row],[LC Contract Value]]),IF(ISNUMBER(SnapshotTable[[#This Row],[LC Stop Loss Override]]), SnapshotTable[[#This Row],[LC Stop Loss Override]],SnapshotTable[[#This Row],[LC Stop Loss Calc Target]]),"")</f>
        <v/>
      </c>
      <c r="EF229" s="31" t="str">
        <f>IF(ISNUMBER(SnapshotTable[[#This Row],[LC Stop  To Use]]), (SnapshotTable[[#This Row],[LC Stop  To Use]] * SnapshotTable[[#This Row],[LC Qty]] * 100),"")</f>
        <v/>
      </c>
      <c r="EG229" s="9" t="str">
        <f>IF(ISNUMBER(SnapshotTable[[#This Row],[LC Total Value]]),SnapshotTable[[#This Row],[LC Stop Loss Amount]] - SnapshotTable[[#This Row],[LC Premium]],"")</f>
        <v/>
      </c>
      <c r="EH229" s="9">
        <f>IF(ISNUMBER(SnapshotTable[[#This Row],[LC Premium]]), SnapshotTable[[#This Row],[LC Qty]] * 100 * SnapshotTable[[#This Row],[LC Strike Price]], "")</f>
        <v>0</v>
      </c>
      <c r="EI229" s="240" t="str">
        <f>IF(AND(ISNUMBER(SnapshotTable[[#This Row],[LC Total Value]]),SnapshotTable[[#This Row],[LC Total Value]]&gt;0),SnapshotTable[[#This Row],[LC Stop Gain Loss]]  / SnapshotTable[[#This Row],[LC Premium]],"")</f>
        <v/>
      </c>
      <c r="EJ229" s="35">
        <f>IF(ISNUMBER(SnapshotTable[[#This Row],[Equity Shares]]),TRUNC(SnapshotTable[[#This Row],[Equity Shares]] / 100),0) + SnapshotTable[[#This Row],[LC Qty]]</f>
        <v>0</v>
      </c>
      <c r="EK229" s="147"/>
      <c r="EL229" s="138" t="str">
        <f>IF(SnapshotTable[[#This Row],[SC Exp Date]]&lt;&gt;"",TRUNC(SnapshotTable[[#This Row],[Last Price]]),"")</f>
        <v/>
      </c>
      <c r="EM229" s="148"/>
      <c r="EN229" s="147"/>
      <c r="EO229" s="147"/>
      <c r="EP229" s="138"/>
      <c r="EQ229" s="419" t="b">
        <f>AND(ISNUMBER(SnapshotTable[[#This Row],[SC Exp Date]]), ISNUMBER(SnapshotTable[[#This Row],[SC Strike Price]]), ISNUMBER(SnapshotTable[[#This Row],[SC Qty]]), ISNUMBER(SnapshotTable[[#This Row],[SC Book Date]]), ISNUMBER(SnapshotTable[[#This Row],[SC Book Price]]))</f>
        <v>0</v>
      </c>
      <c r="ER229" s="419" t="b">
        <f>AND(SnapshotTable[[#This Row],[SC Is Booked]], NOT(ISBLANK(SnapshotTable[[#This Row],[SC Fill Date]])))</f>
        <v>0</v>
      </c>
      <c r="ES229" s="370"/>
      <c r="ET229" s="34" t="str">
        <f>IF(AND(ISNUMBER(SnapshotTable[[#This Row],[SC Exp Date]]), ISNUMBER(SnapshotTable[[#This Row],[SC Book Date]])), SnapshotTable[[#This Row],[SC Exp Date]] - MAX(SnapshotTable[[#This Row],[SC Book Date]], SnapshotTable[[#This Row],[SC Fill Date]]) + 1, "")</f>
        <v/>
      </c>
      <c r="EU229" s="34" t="str">
        <f>IF(ISNUMBER(SnapshotTable[[#This Row],[SC Term]]), SnapshotTable[[#This Row],[SC Exp Date]]- MockToday, "")</f>
        <v/>
      </c>
      <c r="EV229" s="31">
        <f>IF(SnapshotTable[[#This Row],[SC Is Booked]], SnapshotTable[[#This Row],[SC Qty]] * SnapshotTable[[#This Row],[SC Book Price]] * 100, 0)</f>
        <v>0</v>
      </c>
      <c r="EW229" s="4" t="str">
        <f>IF(AND(ISNUMBER(SnapshotTable[[#This Row],[Last Price]]), ISNUMBER( SnapshotTable[[#This Row],[SC Book Price]])), SnapshotTable[[#This Row],[Last Price]] - SnapshotTable[[#This Row],[SC Book Price]],"")</f>
        <v/>
      </c>
      <c r="EX229" s="234" t="str">
        <f>IF(SnapshotTable[[#This Row],[SC Is Booked]],IF(SnapshotTable[[#This Row],[SC Intrinsic Value]] &gt; 0, SnapshotTable[[#This Row],[SC Strike Price]], SnapshotTable[[#This Row],[Last Price]]), "")</f>
        <v/>
      </c>
      <c r="EY229" s="4">
        <f>IF(SnapshotTable[[#This Row],[SC Is Booked]], (MinimumPremiumRequired * SnapshotTable[[#This Row],[SC Basis]] * SnapshotTable[[#This Row],[SC Term]]), 0)</f>
        <v>0</v>
      </c>
      <c r="EZ229" s="283"/>
      <c r="FA229" s="218"/>
      <c r="FB229" s="370"/>
      <c r="FC229" s="4">
        <f>IF(SnapshotTable[[#This Row],[SC Is Filled]], btc_max_buyback_amount(SnapshotTable[[#This Row],[SC Fill Date]],SnapshotTable[[#This Row],[SC Exp Date]], SnapshotTable[[#This Row],[SC Book Price]]),0)</f>
        <v>0</v>
      </c>
      <c r="FD229" s="5"/>
      <c r="FE229" s="144" t="str">
        <f>IF(SnapshotTable[[#This Row],[SC Is Filled]], btc_next_cutoff_date(SnapshotTable[[#This Row],[SC Fill Date]],SnapshotTable[[#This Row],[SC Exp Date]]),"")</f>
        <v/>
      </c>
      <c r="FF229" s="4" t="str" cm="1">
        <f t="array" ref="FF229">IF(SnapshotTable[[#This Row],[SC Is Filled]], btc_should_buy_back(SnapshotTable[[#This Row],[SC Fill Date]], SnapshotTable[[#This Row],[SC Exp Date]], SnapshotTable[[#This Row],[SC Book Price]], SnapshotTable[[#This Row],[SC Current Ask]], MockToday, SnapshotTable[[#This Row],[SC Buyback Override]]),"")</f>
        <v/>
      </c>
      <c r="FG229" s="4">
        <f>IF(SnapshotTable[[#This Row],[SC Is Filled]], MAX(0,SnapshotTable[[#This Row],[Last Price]]  - SnapshotTable[[#This Row],[SC Strike Price]]), 0)</f>
        <v>0</v>
      </c>
      <c r="FH229" s="382">
        <f>IF(SnapshotTable[[#This Row],[SC Is Filled]], IF(ISNUMBER(SnapshotTable[[#This Row],[SC Current Ask]]), SnapshotTable[[#This Row],[SC Current Ask]], SnapshotTable[[#This Row],[SC Book Price]]) - SnapshotTable[[#This Row],[SC Intrinsic Value]], 0)</f>
        <v>0</v>
      </c>
      <c r="FI229" s="143"/>
      <c r="FJ229" s="32" t="str">
        <f>IF(SnapshotTable[[#This Row],[SC Is Filled]],100 * SnapshotTable[[#This Row],[SC Qty]] * IF(ISNUMBER(SnapshotTable[[#This Row],[SC Buyback Override]]), SnapshotTable[[#This Row],[SC Buyback Override]], SnapshotTable[[#This Row],[SC Current Ask]]), "")</f>
        <v/>
      </c>
      <c r="FK229" s="250" t="str">
        <f>IF(SnapshotTable[[#This Row],[SC Time Val]]&gt;0, SnapshotTable[[#This Row],[SC Time Val]] / SnapshotTable[[#This Row],[Last Price]],"")</f>
        <v/>
      </c>
      <c r="FL229" s="302" t="str">
        <f>IF(SnapshotTable[[#This Row],[SC Is Booked]], ((SnapshotTable[[#This Row],[Last Price]] -SnapshotTable[[#This Row],[SC Strike Price]]) / SnapshotTable[[#This Row],[Last Price]]) * -1, "")</f>
        <v/>
      </c>
      <c r="FM229" s="157" t="str">
        <f>IF(SnapshotTable[[#This Row],[SC Is Booked]],  (SnapshotTable[[#This Row],[SC Qty]] * 100 * SnapshotTable[[#This Row],[SC Strike Price]]) - SnapshotTable[[#This Row],[SC Current Ask]], "")</f>
        <v/>
      </c>
      <c r="FN22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9" s="31" t="str">
        <f>IF(AND(ISNUMBER(SnapshotTable[[#This Row],[SC Exercise Gross]]), ISNUMBER(SnapshotTable[[#This Row],[Equity Basis Per Share]] )), SnapshotTable[[#This Row],[SC Exercise Gross]] - SnapshotTable[[#This Row],[Equity Basis Total]] +  SnapshotTable[[#This Row],[SC Premium]], "")</f>
        <v/>
      </c>
      <c r="FP229" s="5" t="str">
        <f>IF(ISNUMBER(SnapshotTable[[#This Row],[SC Exercise Gross]]), (SnapshotTable[[#This Row],[SC Exercise Gross]]) / (SnapshotTable[[#This Row],[SC Qty]] * 100), "")</f>
        <v/>
      </c>
      <c r="FQ229" s="27" t="str">
        <f>IF(SnapshotTable[[#This Row],[SC Is Booked]],SnapshotTable[[#This Row],[SC Time Val]] /SnapshotTable[[#This Row],[SC Basis]], "")</f>
        <v/>
      </c>
      <c r="FR229" s="27" t="str" cm="1">
        <f t="array" ref="FR229">IF(AND(ISNUMBER(SnapshotTable[[#This Row],[SC Term]]),ISNUMBER(SnapshotTable[[#This Row],[SC Simple ROO]])), EllmanAnnualize(SnapshotTable[[#This Row],[SC DTE]], SnapshotTable[[#This Row],[SC Simple ROO]] ),"")</f>
        <v/>
      </c>
      <c r="FS229" s="4" t="e">
        <f>IF(SnapshotTable[[#This Row],[SC Strike Price]] &gt; SnapshotTable[[#This Row],[Last Price]], SnapshotTable[[#This Row],[SC Strike Price]] - SnapshotTable[[#This Row],[Last Price]],0)</f>
        <v>#VALUE!</v>
      </c>
      <c r="FT229" s="27" t="e">
        <f>IF(AND(ISNUMBER(SnapshotTable[[#This Row],[SC Upside Potential]]), SnapshotTable[[#This Row],[SC Upside Potential]] &gt; 0),(SnapshotTable[[#This Row],[SC Upside Potential]]/ SnapshotTable[[#This Row],[ACB]]),"")</f>
        <v>#VALUE!</v>
      </c>
      <c r="FU229" s="333" t="str">
        <f>IF(SnapshotTable[[#This Row],[SC Intrinsic Value]] &gt; 0,SnapshotTable[[#This Row],[SC Intrinsic Value]],"")</f>
        <v/>
      </c>
      <c r="FV229" s="27" t="str">
        <f>IF(AND( ISNUMBER( SnapshotTable[[#This Row],[ACB]]),ISNUMBER(SnapshotTable[[#This Row],[SC Downside Protect]])),SnapshotTable[[#This Row],[SC Downside Protect]] / SnapshotTable[[#This Row],[ACB]],"")</f>
        <v/>
      </c>
      <c r="FW229" s="236" t="str">
        <f>IF(AND(ISNUMBER(SnapshotTable[[#This Row],[SC Simple ROO]]),SnapshotTable[[#This Row],[SC Simple ROO]] &gt; 0), SnapshotTable[[#This Row],[SC Premium]] + (SnapshotTable[[#This Row],[SC Qty]] * SnapshotTable[[#This Row],[SC Upside Potential]]), "")</f>
        <v/>
      </c>
      <c r="FX229" s="302" t="str" cm="1">
        <f t="array" ref="FX229">IF(ISNUMBER(SnapshotTable[[#This Row],[SC Max Dollars]]), annualize(SnapshotTable[[#This Row],[SC Term]],(SnapshotTable[[#This Row],[SC Max Dollars]]/SnapshotTable[[#This Row],[SC Basis]])),"")</f>
        <v/>
      </c>
      <c r="FY229" s="236" t="str">
        <f>IF(AND(SnapshotTable[[#This Row],[SC Qty]]&gt;0,SnapshotTable[[#This Row],[SC Current Ask]]&gt;0), SnapshotTable[[#This Row],[SC Qty]] * SnapshotTable[[#This Row],[SC Current Ask]] * -100, "")</f>
        <v/>
      </c>
      <c r="FZ229" s="31" t="str">
        <f>IF(ISNUMBER((SnapshotTable[[#This Row],[SC Current Value]])), SnapshotTable[[#This Row],[SC Premium]] + SnapshotTable[[#This Row],[SC Current Value]], "")</f>
        <v/>
      </c>
      <c r="GA229" s="294" t="str">
        <f>IFERROR( IF(ISNUMBER((SnapshotTable[[#This Row],[SC Current Value]])), SnapshotTable[[#This Row],[SC Gain Loss]] / SnapshotTable[[#This Row],[SC Premium]], ""), "")</f>
        <v/>
      </c>
      <c r="GB229" s="42">
        <f>SnapshotTable[[#This Row],[Equity Shares]] * SaleSharesToConsiderPercentage</f>
        <v>0</v>
      </c>
      <c r="GC229" s="40">
        <f>SnapshotTable[[#This Row],[Long Term Target]] * SellingPriceToConsiderBasedOnTargetPercentage</f>
        <v>0</v>
      </c>
      <c r="GD229" s="40">
        <f>SnapshotTable[[#This Row],[Last Price]] * (1+ SellingPriceToConsiderBasedOnTargetPercentage)</f>
        <v>22.035</v>
      </c>
      <c r="GE229" s="41"/>
      <c r="GF229" s="40"/>
      <c r="GG229" s="31">
        <f>SnapshotTable[[#This Row],[Booked Sale Shares]] * SnapshotTable[[#This Row],[Booked Sale Price]]</f>
        <v>0</v>
      </c>
      <c r="GH229" s="31" t="str">
        <f>IF(SnapshotTable[[#This Row],[Equity Basis Total]] &gt; 0, SnapshotTable[[#This Row],[Equity Basis Per Share]] * SnapshotTable[[#This Row],[Booked Sale Shares]], "")</f>
        <v/>
      </c>
      <c r="GI229" s="31">
        <f>IF(SnapshotTable[[#This Row],[Sale Proceeds]]&gt;0, SnapshotTable[[#This Row],[Sale Proceeds]] - SnapshotTable[[#This Row],[Sale Basis]], 0)</f>
        <v>0</v>
      </c>
      <c r="GJ229" s="27" t="str">
        <f>IF(SnapshotTable[[#This Row],[Sale G/L]]&gt;0, SnapshotTable[[#This Row],[Sale G/L]] / SnapshotTable[[#This Row],[Sale Basis]], IF(ISNUMBER(SnapshotTable[[#This Row],[SC Exercise P&amp;L (TAX)]]), SnapshotTable[[#This Row],[SC Exercise P&amp;L (TAX)]] / SnapshotTable[[#This Row],[SC Basis]], ""))</f>
        <v/>
      </c>
      <c r="GK229" s="27"/>
      <c r="GL229" s="43" t="str">
        <f>IF(AND(SnapshotTable[[#This Row],[LP Exp Date]]&gt;0,SnapshotTable[[#This Row],[LP Strike Price]]&gt;0), [1]!ToOptionSymbol(SnapshotTable[[#This Row],[Symbol]], SnapshotTable[[#This Row],[LP Strike Price]],SnapshotTable[[#This Row],[LP Exp Date]],1), "")</f>
        <v/>
      </c>
      <c r="GM229" s="30" t="str">
        <f>IF(LEN(SnapshotTable[[#This Row],[LP Symbol]])&gt;0, 1, "")</f>
        <v/>
      </c>
      <c r="GN229" s="43" t="str">
        <f ca="1">IF(AND(SnapshotTable[[#This Row],[SP Exp Date]]&gt;0,SnapshotTable[[#This Row],[SP Strike Price]]&gt;0), [1]!ToOptionSymbol(SnapshotTable[[#This Row],[Symbol]], SnapshotTable[[#This Row],[SP Strike Price]],SnapshotTable[[#This Row],[SP Exp Date]],1), "")</f>
        <v>UUUU260918P00011000</v>
      </c>
      <c r="GO229" s="30">
        <f ca="1">IF(LEN(SnapshotTable[[#This Row],[SP Symbol]])&gt;0, 1, "")</f>
        <v>1</v>
      </c>
      <c r="GP229" s="43" t="str">
        <f>IF(AND(SnapshotTable[[#This Row],[LC Exp Date]]&gt;0,SnapshotTable[[#This Row],[LC Strike Price]]&gt;0), [1]!ToOptionSymbol(SnapshotTable[[#This Row],[Symbol]], SnapshotTable[[#This Row],[LC Strike Price]],SnapshotTable[[#This Row],[LC Exp Date]],0), "")</f>
        <v/>
      </c>
      <c r="GQ229" s="30" t="str">
        <f>IF(LEN(SnapshotTable[[#This Row],[LC Symbol]])&gt;0, 1, "")</f>
        <v/>
      </c>
      <c r="GR229" s="43" t="str">
        <f>IF(AND(SnapshotTable[[#This Row],[SC Exp Date]]&gt;0,SnapshotTable[[#This Row],[SC Strike Price]]&gt;0), [1]!ToOptionSymbol(SnapshotTable[[#This Row],[Symbol]], SnapshotTable[[#This Row],[SC Strike Price]],SnapshotTable[[#This Row],[SC Exp Date]],0), "")</f>
        <v/>
      </c>
      <c r="GS229" s="30" t="str">
        <f>IF(LEN(SnapshotTable[[#This Row],[SC Symbol]])&gt;0, 1, "")</f>
        <v/>
      </c>
      <c r="GT229" s="29" t="str">
        <f ca="1">IF(COUNT(SnapshotTable[[#This Row],[LP Symbol Count]],SnapshotTable[[#This Row],[SP Symbol Count]],SnapshotTable[[#This Row],[LC Symbol Count]],SnapshotTable[[#This Row],[SC Symbol Count]])&gt;0, "Y", "")</f>
        <v>Y</v>
      </c>
      <c r="GU229"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SP </v>
      </c>
      <c r="GV229" s="231">
        <f ca="1">MAX(SnapshotTable[[#This Row],[Equity Basis Total]],SnapshotTable[[#This Row],[Equity Value]]) + (SnapshotTable[[#This Row],[SP Potential Spend]]- SnapshotTable[[#This Row],[SP Premium]] + SnapshotTable[[#This Row],[LP Premium]])+ (SnapshotTable[[#This Row],[LC Premium]] - SnapshotTable[[#This Row],[SC Premium]])</f>
        <v>9860</v>
      </c>
      <c r="GW229" s="139" t="e">
        <f ca="1">IF(AND(SnapshotTable[[#This Row],[Exposure]] &lt;&gt; 0),SnapshotTable[[#This Row],[Exposure]] / SnapshotTable[[#Totals],[Exposure]], "")</f>
        <v>#VALUE!</v>
      </c>
      <c r="HE229" s="268"/>
      <c r="HF229" s="268"/>
      <c r="HK229" s="1"/>
      <c r="HL229" s="1"/>
      <c r="HM229" s="1"/>
      <c r="HN229" s="1"/>
      <c r="HO229" s="1"/>
      <c r="HP229" s="1"/>
    </row>
    <row r="230" spans="2:224" ht="12.75" hidden="1" customHeight="1" x14ac:dyDescent="0.25">
      <c r="B230" s="12" t="s">
        <v>939</v>
      </c>
      <c r="C230" s="422">
        <v>41.13</v>
      </c>
      <c r="D230" s="208" t="s">
        <v>885</v>
      </c>
      <c r="E230" s="39">
        <f>SnapshotTable[[#This Row],[Last Price]]*(1 -CrashDiscount)</f>
        <v>34.960500000000003</v>
      </c>
      <c r="F230" s="26" t="s">
        <v>613</v>
      </c>
      <c r="G230" s="26" t="s">
        <v>9</v>
      </c>
      <c r="H230" s="149"/>
      <c r="I230" s="194">
        <v>44777.666666666664</v>
      </c>
      <c r="J230" s="195">
        <v>44777.666666666664</v>
      </c>
      <c r="K230" s="196"/>
      <c r="L230" s="326"/>
      <c r="M230" s="140"/>
      <c r="N230" s="140"/>
      <c r="O230" s="140"/>
      <c r="P230" s="22"/>
      <c r="Q230" s="25"/>
      <c r="R230" s="4" t="str">
        <f>IF(SnapshotTable[[#This Row],[Equity Basis Total]] &gt; 0, SnapshotTable[[#This Row],[Equity Basis Total]] / SnapshotTable[[#This Row],[Equity Shares]], "")</f>
        <v/>
      </c>
      <c r="S230" s="269">
        <f>SnapshotTable[[#This Row],[Last Price]] * SnapshotTable[[#This Row],[Equity Shares]]</f>
        <v>0</v>
      </c>
      <c r="T230" s="269">
        <f>SnapshotTable[[#This Row],[Equity Value]] - SnapshotTable[[#This Row],[Equity Basis Total]]</f>
        <v>0</v>
      </c>
      <c r="U230" s="270" t="str">
        <f>IF(SnapshotTable[[#This Row],[Equity Basis Total]] &gt; 0, SnapshotTable[[#This Row],[Equity G/L]] / SnapshotTable[[#This Row],[Equity Basis Total]], "")</f>
        <v/>
      </c>
      <c r="V230" s="268"/>
      <c r="W230" s="268"/>
      <c r="X230" s="4" t="str">
        <f>IF(AND(ISNUMBER(SnapshotTable[[#This Row],[Equity Basis Per Share]]),ISNUMBER(SnapshotTable[[#This Row],[Equity Target]])),SnapshotTable[[#This Row],[Equity Target]]-SnapshotTable[[#This Row],[Equity Basis Per Share]],"")</f>
        <v/>
      </c>
      <c r="Y230" s="4" t="str">
        <f>IF(AND(ISNUMBER(SnapshotTable[[#This Row],[Equity Basis Per Share]]),ISNUMBER(SnapshotTable[[#This Row],[Equity Stop Loss]])),SnapshotTable[[#This Row],[Equity Stop Loss]]-SnapshotTable[[#This Row],[Equity Basis Per Share]],"")</f>
        <v/>
      </c>
      <c r="Z230" s="275" t="str">
        <f>IFERROR( TEXT(SnapshotTable[[#This Row],[Equity Max Gain Per Share]] /ABS( SnapshotTable[[#This Row],[Equity Max Loss Per Share]]),"0.0 " ) &amp; " : 1", "")</f>
        <v/>
      </c>
      <c r="AA230" s="31" t="str">
        <f>IF(ISNUMBER(SnapshotTable[[#This Row],[Equity Max Gain Per Share]]),SnapshotTable[[#This Row],[Equity Max Gain Per Share]] * SnapshotTable[[#This Row],[Equity Shares]],"")</f>
        <v/>
      </c>
      <c r="AB230" s="31" t="str">
        <f>IF(ISNUMBER(SnapshotTable[[#This Row],[Equity Max Loss Per Share]]),SnapshotTable[[#This Row],[Equity Max Loss Per Share]] * SnapshotTable[[#This Row],[Equity Shares]],"")</f>
        <v/>
      </c>
      <c r="AC230" s="150"/>
      <c r="AD230" s="151"/>
      <c r="AE230" s="31">
        <f>(SnapshotTable[[#This Row],[Annual Dividend Per Share]] / 4) * SnapshotTable[[#This Row],[Equity Shares]]</f>
        <v>0</v>
      </c>
      <c r="AF230" s="31">
        <f>SnapshotTable[[#This Row],[Quarterly Div $]] * 4</f>
        <v>0</v>
      </c>
      <c r="AG230" s="7">
        <f>IF(SnapshotTable[[#This Row],[Annual Dividend Per Share]]&gt;0, SnapshotTable[[#This Row],[Annual Dividend Per Share]]  / SnapshotTable[[#This Row],[Last Price]], 0)</f>
        <v>0</v>
      </c>
      <c r="AH230" s="151"/>
      <c r="AI230" s="5"/>
      <c r="AJ230" s="138" t="s">
        <v>164</v>
      </c>
      <c r="AK230" s="152" t="str">
        <f>IF(ISNUMBER( SnapshotTable[[#This Row],[EBF Target]]),(SnapshotTable[[#This Row],[EBF Target]] - SnapshotTable[[#This Row],[Last Price]]) / SnapshotTable[[#This Row],[Last Price]], "")</f>
        <v/>
      </c>
      <c r="AL230" s="152" t="str">
        <f>IF(AND(SnapshotTable[[#This Row],[Equity Basis Total]] &gt; 0,ISNUMBER( SnapshotTable[[#This Row],[Long Term Target]])), SnapshotTable[[#This Row],[From Basis $]] / SnapshotTable[[#This Row],[Equity Basis Total]], "")</f>
        <v/>
      </c>
      <c r="AM230" s="9">
        <f>IF( AND(SnapshotTable[[#This Row],[Equity Shares]] &gt;0,ISNUMBER( SnapshotTable[[#This Row],[Long Term Target]])),(SnapshotTable[[#This Row],[Equity Shares]] * SnapshotTable[[#This Row],[Long Term Target]]) - SnapshotTable[[#This Row],[Equity Basis Total]],0)</f>
        <v>0</v>
      </c>
      <c r="AN230" s="9">
        <f>IF( AND(SnapshotTable[[#This Row],[Equity Shares]] &gt;0,ISNUMBER( SnapshotTable[[#This Row],[Long Term Target]])),(SnapshotTable[[#This Row],[Equity Shares]]*SnapshotTable[[#This Row],[Long Term Target]]) - SnapshotTable[[#This Row],[Equity Value]],0)</f>
        <v>0</v>
      </c>
      <c r="AO230" s="152" t="str">
        <f>IF(AND(ISNUMBER( SnapshotTable[[#This Row],[Long Term Target]]), ISNUMBER(SnapshotTable[[#This Row],[Last Price]])),(SnapshotTable[[#This Row],[Long Term Target]] - SnapshotTable[[#This Row],[Last Price]]) / SnapshotTable[[#This Row],[Last Price]], "")</f>
        <v/>
      </c>
      <c r="AP230" s="5">
        <v>25</v>
      </c>
      <c r="AQ230" s="38" t="s">
        <v>38</v>
      </c>
      <c r="AR230" s="5">
        <v>25</v>
      </c>
      <c r="AS230" s="38" t="s">
        <v>26</v>
      </c>
      <c r="AT230" s="146" t="s">
        <v>538</v>
      </c>
      <c r="AU230" s="187" t="str">
        <f>IF(OR(SnapshotTable[[#This Row],[LP No Fill]]="Y",SnapshotTable[[#This Row],[SP Is Filled]],SnapshotTable[[#This Row],[LC Not Filled]]="Y",SnapshotTable[[#This Row],[SC Is Filled]]),"Y","")</f>
        <v/>
      </c>
      <c r="AV230" s="219"/>
      <c r="AW230" s="225"/>
      <c r="AX230" s="220"/>
      <c r="AY230" s="219" t="str">
        <f>IF(SnapshotTable[[#This Row],[Implied Move]]&gt;0, SnapshotTable[[#This Row],[Last Price]]-SnapshotTable[[#This Row],[Implied Move]],"")</f>
        <v/>
      </c>
      <c r="AZ230" s="219" t="str">
        <f>IF(SnapshotTable[[#This Row],[Implied Move]]&gt;0, SnapshotTable[[#This Row],[Last Price]] + SnapshotTable[[#This Row],[Implied Move]],"")</f>
        <v/>
      </c>
      <c r="BA230" s="331"/>
      <c r="BB230" s="347"/>
      <c r="BC23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0" s="351"/>
      <c r="BE230" s="5"/>
      <c r="BF230" s="14"/>
      <c r="BG230" s="13"/>
      <c r="BH230" s="13"/>
      <c r="BI230" s="5"/>
      <c r="BJ230" s="136">
        <f>IF(SnapshotTable[[#This Row],[LP Qty]] &gt; 0, SnapshotTable[[#This Row],[LP Qty]] * SnapshotTable[[#This Row],[LP Book Price]] * 100,0)</f>
        <v>0</v>
      </c>
      <c r="BK230" s="136">
        <f>IF(SnapshotTable[[#This Row],[LP Premium]] &gt; 0, SnapshotTable[[#This Row],[LP Qty]] * SnapshotTable[[#This Row],[LP Strike Price]] * 100,0)</f>
        <v>0</v>
      </c>
      <c r="BL230" s="154"/>
      <c r="BM230" s="385" t="str">
        <f>IF(SnapshotTable[[#This Row],[LP Premium]] &gt; 0,SnapshotTable[[#This Row],[LP Exp Date]]-MAX(SnapshotTable[[#This Row],[LP Book Date]], SnapshotTable[[#This Row],[LP Fill Date]]),"")</f>
        <v/>
      </c>
      <c r="BN230" s="385" t="str">
        <f>IF(ISNUMBER( SnapshotTable[[#This Row],[LP Term]]), SnapshotTable[[#This Row],[LP Exp Date]] - MockToday,"")</f>
        <v/>
      </c>
      <c r="BO230" s="163" t="str">
        <f>IF(AND(SnapshotTable[[#This Row],[LP Exp Date]]&gt;0, SnapshotTable[[#This Row],[LP Strike Price]]&gt;0,SnapshotTable[[#This Row],[LP Qty]]&gt;0,SnapshotTable[[#This Row],[LP Book Date]]&gt;0,SnapshotTable[[#This Row],[LP Book Price]]&gt;0,SnapshotTable[[#This Row],[LP Fill Date]]=0),"Y","")</f>
        <v/>
      </c>
      <c r="BP230" s="31" t="str">
        <f>IF(AND(SnapshotTable[[#This Row],[LP No Fill]]&lt;&gt;"Y",SnapshotTable[[#This Row],[LP Contract Value]]&gt;0, SnapshotTable[[#This Row],[LP Qty]]&gt;0), SnapshotTable[[#This Row],[LP Contract Value]]*SnapshotTable[[#This Row],[LP Qty]]*100,"")</f>
        <v/>
      </c>
      <c r="BQ230" s="13"/>
      <c r="BR230" s="5" t="str">
        <f>IF(SnapshotTable[[#This Row],[SP Exp Date]]&lt;&gt;"",TRUNC(SnapshotTable[[#This Row],[Last Price]]),"")</f>
        <v/>
      </c>
      <c r="BS230" s="36"/>
      <c r="BT230" s="147"/>
      <c r="BU230" s="13"/>
      <c r="BV230" s="5"/>
      <c r="BW230" s="419" t="b">
        <f>AND(ISNUMBER(SnapshotTable[[#This Row],[SP Exp Date]]), ISNUMBER(SnapshotTable[[#This Row],[SP Strike Price]]), ISNUMBER(SnapshotTable[[#This Row],[SP Qty]]), ISNUMBER(SnapshotTable[[#This Row],[SP Book Date]]), ISNUMBER(SnapshotTable[[#This Row],[SP Book Price]]))</f>
        <v>0</v>
      </c>
      <c r="BX230" s="419" t="b">
        <f>AND(SnapshotTable[[#This Row],[SP Is Booked]], NOT(ISBLANK(SnapshotTable[[#This Row],[SP Fill Date]])))</f>
        <v>0</v>
      </c>
      <c r="BY230" s="33">
        <f>IF(SnapshotTable[[#This Row],[SP Is Booked]], SnapshotTable[[#This Row],[SP Qty]] * SnapshotTable[[#This Row],[SP Book Price]] * 100, 0)</f>
        <v>0</v>
      </c>
      <c r="BZ230" s="369"/>
      <c r="CA230" s="368">
        <f>SnapshotTable[[#This Row],[LP Qty]]</f>
        <v>0</v>
      </c>
      <c r="CB230" s="4" t="str">
        <f>IF(SnapshotTable[[#This Row],[SP Is Booked]], SnapshotTable[[#This Row],[SP Strike Price]] - SnapshotTable[[#This Row],[SP Book Price]], "")</f>
        <v/>
      </c>
      <c r="CC230" s="19" t="str">
        <f>IF(SnapshotTable[[#This Row],[SP Is Booked]],SnapshotTable[[#This Row],[SP Exp Date]]-MAX(SnapshotTable[[#This Row],[SP Book Date]], SnapshotTable[[#This Row],[SP Fill Date]]),"")</f>
        <v/>
      </c>
      <c r="CD230" s="7" t="str">
        <f>IF(SnapshotTable[[#This Row],[SP Is Booked]], SnapshotTable[[#This Row],[SP Book Price]]/SnapshotTable[[#This Row],[SP Strike Price]], "")</f>
        <v/>
      </c>
      <c r="CE230" s="7" t="str">
        <f>IF(ISNUMBER(SnapshotTable[[#This Row],[SP ROO Term]]),SnapshotTable[[#This Row],[SP ROO Term]]*(365/SnapshotTable[[#This Row],[SP Term]]),"")</f>
        <v/>
      </c>
      <c r="CF230" s="236">
        <f>SnapshotTable[[#This Row],[LP Strike Price]] * SnapshotTable[[#This Row],[LP Qty]] * 100</f>
        <v>0</v>
      </c>
      <c r="CG230" s="31" t="e">
        <f>IF(ISNUMBER(SnapshotTable[[#This Row],[SP Premium]]), (SnapshotTable[[#This Row],[SP Qty]] * SnapshotTable[[#This Row],[SP Strike Price]]* 100) - SnapshotTable[[#This Row],[LP Protection]], 0)</f>
        <v>#VALUE!</v>
      </c>
      <c r="CH230" s="7" t="str">
        <f>IF(ISNUMBER(SnapshotTable[[#This Row],[SP Break Even]]),-1 * (SnapshotTable[[#This Row],[SP Break Even]] - SnapshotTable[[#This Row],[Last Price]]) / SnapshotTable[[#This Row],[Last Price]], "")</f>
        <v/>
      </c>
      <c r="CI230" s="31">
        <f>IF(AND(ISNUMBER((SnapshotTable[[#This Row],[SP Potential Spend]])), SnapshotTable[[#This Row],[SP Strike Price]] &gt; SnapshotTable[[#This Row],[Last Price]], SnapshotTable[[#This Row],[SP Is Filled]]), SnapshotTable[[#This Row],[SP Potential Spend]] -  SnapshotTable[[#This Row],[LP Max Value]], 0)</f>
        <v>0</v>
      </c>
      <c r="CJ230" s="244"/>
      <c r="CK230" s="31" t="str">
        <f>IF(ISNUMBER(SnapshotTable[[#This Row],[SP Potential Spend]]),IF(ISNUMBER(SnapshotTable[[#This Row],[SP POW]]), SnapshotTable[[#This Row],[SP POW]] * SnapshotTable[[#This Row],[SP Potential Spend]], SnapshotTable[[#This Row],[SP Potential Spend]]), "")</f>
        <v/>
      </c>
      <c r="CL230" s="164" t="e">
        <f>IF(NOT(SnapshotTable[[#This Row],[SP Is Filled]]),(SnapshotTable[[#This Row],[SP Qty]] * SnapshotTable[[#This Row],[SP Strike Price]] * 100) - SnapshotTable[[#This Row],[LP Max Value]],"")</f>
        <v>#VALUE!</v>
      </c>
      <c r="CM230" s="31" t="str">
        <f>IF(SnapshotTable[[#This Row],[SP Actual Spend]]&lt;&gt;0, ((SnapshotTable[[#This Row],[SP Strike Price]]-SnapshotTable[[#This Row],[Last Price]]) *(SnapshotTable[[#This Row],[SP Qty]]*100) - SnapshotTable[[#This Row],[SP Premium]]) * - 1, "")</f>
        <v/>
      </c>
      <c r="CN230" s="78"/>
      <c r="CO230" s="369"/>
      <c r="CP230" s="4" t="str">
        <f>IF(SnapshotTable[[#This Row],[SP Is Filled]], btc_max_buyback_amount(SnapshotTable[[#This Row],[SP Fill Date]],SnapshotTable[[#This Row],[SP Exp Date]], SnapshotTable[[#This Row],[SP Book Price]]),"")</f>
        <v/>
      </c>
      <c r="CQ230" s="78"/>
      <c r="CR23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0" s="155" t="str">
        <f>IF(SnapshotTable[[#This Row],[SP Is Filled]], btc_next_cutoff_date(SnapshotTable[[#This Row],[SP Fill Date]],SnapshotTable[[#This Row],[SP Exp Date]]),"")</f>
        <v/>
      </c>
      <c r="CT230" s="235" t="str" cm="1">
        <f t="array" ref="CT230">IF(SnapshotTable[[#This Row],[SP Is Filled]], btc_should_buy_back(SnapshotTable[[#This Row],[SP Fill Date]], SnapshotTable[[#This Row],[SP Exp Date]], SnapshotTable[[#This Row],[SP Book Price]], SnapshotTable[[#This Row],[SP Current Ask]], MockToday, SnapshotTable[[#This Row],[SP Buyback Override]]),"")</f>
        <v/>
      </c>
      <c r="CU230" s="143"/>
      <c r="CV230" s="235"/>
      <c r="CW230" s="378" t="str">
        <f>IF(ISNUMBER( SnapshotTable[[#This Row],[SP Term]]), SnapshotTable[[#This Row],[SP Exp Date]] - MockToday,"")</f>
        <v/>
      </c>
      <c r="CX230" s="31" t="str">
        <f>IF(SnapshotTable[[#This Row],[SP Is Filled]],SnapshotTable[[#This Row],[SP Buyback Price to Use]] * 100 * SnapshotTable[[#This Row],[SP Qty]], "")</f>
        <v/>
      </c>
      <c r="CY230" s="4" t="str">
        <f>IF(ISNUMBER(SnapshotTable[[#This Row],[SP Strike Price]]), SnapshotTable[[#This Row],[SP Strike Price]] * (1 - SP_MaxLoss_StrikePct), "")</f>
        <v/>
      </c>
      <c r="CZ230" s="31" t="str">
        <f>IF(ISNUMBER(SnapshotTable[[#This Row],[SP Strike  Stop Per Share]]),SnapshotTable[[#This Row],[SP Premium]] - ((SnapshotTable[[#This Row],[SP Strike Price]]-SnapshotTable[[#This Row],[SP Strike  Stop Per Share]]) *(SnapshotTable[[#This Row],[SP Qty]] * 100)),"")</f>
        <v/>
      </c>
      <c r="DA230" s="4" t="str">
        <f>IF(AND(ISNUMBER(SnapshotTable[[#This Row],[SP Premium]]),SnapshotTable[[#This Row],[SP Premium]]&gt;0), SnapshotTable[[#This Row],[SP Book Price]] * (1 + SP_MaxLoss_OptionPct), "")</f>
        <v/>
      </c>
      <c r="DB230" s="31" t="str">
        <f>IF(ISNUMBER(SnapshotTable[[#This Row],[SP Option  Stop Contract]]),(SnapshotTable[[#This Row],[SP Option  Stop Contract]] *(SnapshotTable[[#This Row],[SP Qty]] * 100) - SnapshotTable[[#This Row],[SP Premium]]),"")</f>
        <v/>
      </c>
      <c r="DC230" s="4"/>
      <c r="DD230" s="4"/>
      <c r="DE230" s="4" t="str">
        <f>IF(AND(SnapshotTable[[#This Row],[SP Qty]]&gt;0, SnapshotTable[[#This Row],[SP Stop To Use]]&gt;0),SnapshotTable[[#This Row],[SP Premium]] - ( SnapshotTable[[#This Row],[SP Qty]] * SnapshotTable[[#This Row],[SP Stop To Use]] * 100), "")</f>
        <v/>
      </c>
      <c r="DF230" s="31" t="str">
        <f>IF(AND(SnapshotTable[[#This Row],[SP Qty]]&gt;0,SnapshotTable[[#This Row],[SP Current Ask]]&gt;0), SnapshotTable[[#This Row],[SP Qty]] * SnapshotTable[[#This Row],[SP Current Ask]] * -100, "")</f>
        <v/>
      </c>
      <c r="DG230" s="31" t="str">
        <f>IF(ISNUMBER((SnapshotTable[[#This Row],[SP Total Value]])), SnapshotTable[[#This Row],[SP Premium]] + SnapshotTable[[#This Row],[SP Total Value]], "")</f>
        <v/>
      </c>
      <c r="DH230" s="294" t="str">
        <f>IF(ISNUMBER((SnapshotTable[[#This Row],[SP Total Value]])), SnapshotTable[[#This Row],[SP Gain Loss]] / SnapshotTable[[#This Row],[SP Premium]], "")</f>
        <v/>
      </c>
      <c r="DI230" s="406"/>
      <c r="DJ230" s="138"/>
      <c r="DK230" s="148"/>
      <c r="DL230" s="13"/>
      <c r="DM230" s="13"/>
      <c r="DO230" s="31">
        <f>IF(SnapshotTable[[#This Row],[LC Symbol Count]]=1, SnapshotTable[[#This Row],[LC Qty]] * SnapshotTable[[#This Row],[LC Book Price]] * 100, 0)</f>
        <v>0</v>
      </c>
      <c r="DP230" s="163" t="str">
        <f>IF(AND(SnapshotTable[[#This Row],[LC Exp Date]]&gt;0, SnapshotTable[[#This Row],[LC Strike Price]]&gt;0,SnapshotTable[[#This Row],[LC Qty]]&gt;0,SnapshotTable[[#This Row],[LC Book Date]]&gt;0,SnapshotTable[[#This Row],[LC Book Price]]&gt;0,SnapshotTable[[#This Row],[LC Fill Date]]=0),"Y","")</f>
        <v/>
      </c>
      <c r="DQ230" s="386" t="str">
        <f>IF(SnapshotTable[[#This Row],[LC Premium]] &gt; 0,SnapshotTable[[#This Row],[LC Exp Date]]-MAX(SnapshotTable[[#This Row],[LC Book Date]], SnapshotTable[[#This Row],[LC Fill Date]]),"")</f>
        <v/>
      </c>
      <c r="DR230" s="386" t="str">
        <f>IF(ISNUMBER(SnapshotTable[[#This Row],[LC Term]]), SnapshotTable[[#This Row],[LC Exp Date]] - MockToday, "")</f>
        <v/>
      </c>
      <c r="DS230" s="234" t="str">
        <f>IF(SnapshotTable[[#This Row],[LC Premium]]&gt;0,SnapshotTable[[#This Row],[LC Strike Price]] + SnapshotTable[[#This Row],[LC Book Price]],"")</f>
        <v/>
      </c>
      <c r="DU230" s="9" t="str">
        <f>IF(AND(SnapshotTable[[#This Row],[LC Symbol Count]]&gt;0, SnapshotTable[[#This Row],[LC Contract Value]]&gt;0), SnapshotTable[[#This Row],[LC Contract Value]] * SnapshotTable[[#This Row],[LC Qty]] * 100, "")</f>
        <v/>
      </c>
      <c r="DV230" s="9" t="str">
        <f>IF(AND(ISNUMBER(SnapshotTable[[#This Row],[LC Total Value]]), SnapshotTable[[#This Row],[LC Not Filled]]&lt;&gt;"Y"), SnapshotTable[[#This Row],[LC Total Value]]-SnapshotTable[[#This Row],[LC Premium]],"")</f>
        <v/>
      </c>
      <c r="DW230" s="240" t="str">
        <f>IF(ISNUMBER(SnapshotTable[[#This Row],[LC Actual Gain Loss]]), SnapshotTable[[#This Row],[LC Actual Gain Loss]] / SnapshotTable[[#This Row],[LC Premium]],"")</f>
        <v/>
      </c>
      <c r="DX230" s="284" t="str">
        <f>IF(ISNUMBER(SnapshotTable[[#This Row],[LC Book Price]]),SnapshotTable[[#This Row],[LC Book Price]] * 1.5,"")</f>
        <v/>
      </c>
      <c r="DY230" s="265" t="str">
        <f>IF(SnapshotTable[[#This Row],[LC Premium]]&gt;0, SnapshotTable[[#This Row],[LC Next Target]] * SnapshotTable[[#This Row],[LC Qty]] * 100,"")</f>
        <v/>
      </c>
      <c r="DZ230" s="265" t="str">
        <f>IF(ISNUMBER(SnapshotTable[[#This Row],[LC Target Gross]]), SnapshotTable[[#This Row],[LC Target Gross]] - SnapshotTable[[#This Row],[LC Premium]], "")</f>
        <v/>
      </c>
      <c r="EA230" s="305" t="str">
        <f>IF(ISNUMBER(SnapshotTable[[#This Row],[LC Target Gain Loss]]), SnapshotTable[[#This Row],[LC Target Gain Loss]]/SnapshotTable[[#This Row],[LC Premium]], "")</f>
        <v/>
      </c>
      <c r="EB230" s="262"/>
      <c r="EC230" s="283" t="str">
        <f>IF(SnapshotTable[[#This Row],[LC Premium]]&gt;0, SnapshotTable[[#This Row],[LC Book Price]] * (1 - LC_StopLoss_Pct),"")</f>
        <v/>
      </c>
      <c r="ED230" s="284"/>
      <c r="EE230" s="283" t="str">
        <f>IF(ISNUMBER(SnapshotTable[[#This Row],[LC Contract Value]]),IF(ISNUMBER(SnapshotTable[[#This Row],[LC Stop Loss Override]]), SnapshotTable[[#This Row],[LC Stop Loss Override]],SnapshotTable[[#This Row],[LC Stop Loss Calc Target]]),"")</f>
        <v/>
      </c>
      <c r="EF230" s="31" t="str">
        <f>IF(ISNUMBER(SnapshotTable[[#This Row],[LC Stop  To Use]]), (SnapshotTable[[#This Row],[LC Stop  To Use]] * SnapshotTable[[#This Row],[LC Qty]] * 100),"")</f>
        <v/>
      </c>
      <c r="EG230" s="9" t="str">
        <f>IF(ISNUMBER(SnapshotTable[[#This Row],[LC Total Value]]),SnapshotTable[[#This Row],[LC Stop Loss Amount]] - SnapshotTable[[#This Row],[LC Premium]],"")</f>
        <v/>
      </c>
      <c r="EH230" s="9">
        <f>IF(ISNUMBER(SnapshotTable[[#This Row],[LC Premium]]), SnapshotTable[[#This Row],[LC Qty]] * 100 * SnapshotTable[[#This Row],[LC Strike Price]], "")</f>
        <v>0</v>
      </c>
      <c r="EI230" s="240" t="str">
        <f>IF(AND(ISNUMBER(SnapshotTable[[#This Row],[LC Total Value]]),SnapshotTable[[#This Row],[LC Total Value]]&gt;0),SnapshotTable[[#This Row],[LC Stop Gain Loss]]  / SnapshotTable[[#This Row],[LC Premium]],"")</f>
        <v/>
      </c>
      <c r="EJ230" s="35">
        <f>IF(ISNUMBER(SnapshotTable[[#This Row],[Equity Shares]]),TRUNC(SnapshotTable[[#This Row],[Equity Shares]] / 100),0) + SnapshotTable[[#This Row],[LC Qty]]</f>
        <v>0</v>
      </c>
      <c r="EK230" s="147"/>
      <c r="EL230" s="138" t="str">
        <f>IF(SnapshotTable[[#This Row],[SC Exp Date]]&lt;&gt;"",TRUNC(SnapshotTable[[#This Row],[Last Price]]),"")</f>
        <v/>
      </c>
      <c r="EM230" s="148"/>
      <c r="EN230" s="147"/>
      <c r="EO230" s="147"/>
      <c r="EP230" s="138"/>
      <c r="EQ230" s="419" t="b">
        <f>AND(ISNUMBER(SnapshotTable[[#This Row],[SC Exp Date]]), ISNUMBER(SnapshotTable[[#This Row],[SC Strike Price]]), ISNUMBER(SnapshotTable[[#This Row],[SC Qty]]), ISNUMBER(SnapshotTable[[#This Row],[SC Book Date]]), ISNUMBER(SnapshotTable[[#This Row],[SC Book Price]]))</f>
        <v>0</v>
      </c>
      <c r="ER230" s="419" t="b">
        <f>AND(SnapshotTable[[#This Row],[SC Is Booked]], NOT(ISBLANK(SnapshotTable[[#This Row],[SC Fill Date]])))</f>
        <v>0</v>
      </c>
      <c r="ES230" s="370"/>
      <c r="ET230" s="34" t="str">
        <f>IF(AND(ISNUMBER(SnapshotTable[[#This Row],[SC Exp Date]]), ISNUMBER(SnapshotTable[[#This Row],[SC Book Date]])), SnapshotTable[[#This Row],[SC Exp Date]] - MAX(SnapshotTable[[#This Row],[SC Book Date]], SnapshotTable[[#This Row],[SC Fill Date]]) + 1, "")</f>
        <v/>
      </c>
      <c r="EU230" s="34" t="str">
        <f>IF(ISNUMBER(SnapshotTable[[#This Row],[SC Term]]), SnapshotTable[[#This Row],[SC Exp Date]]- MockToday, "")</f>
        <v/>
      </c>
      <c r="EV230" s="31">
        <f>IF(SnapshotTable[[#This Row],[SC Is Booked]], SnapshotTable[[#This Row],[SC Qty]] * SnapshotTable[[#This Row],[SC Book Price]] * 100, 0)</f>
        <v>0</v>
      </c>
      <c r="EW230" s="4" t="str">
        <f>IF(AND(ISNUMBER(SnapshotTable[[#This Row],[Last Price]]), ISNUMBER( SnapshotTable[[#This Row],[SC Book Price]])), SnapshotTable[[#This Row],[Last Price]] - SnapshotTable[[#This Row],[SC Book Price]],"")</f>
        <v/>
      </c>
      <c r="EX230" s="234" t="str">
        <f>IF(SnapshotTable[[#This Row],[SC Is Booked]],IF(SnapshotTable[[#This Row],[SC Intrinsic Value]] &gt; 0, SnapshotTable[[#This Row],[SC Strike Price]], SnapshotTable[[#This Row],[Last Price]]), "")</f>
        <v/>
      </c>
      <c r="EY230" s="4">
        <f>IF(SnapshotTable[[#This Row],[SC Is Booked]], (MinimumPremiumRequired * SnapshotTable[[#This Row],[SC Basis]] * SnapshotTable[[#This Row],[SC Term]]), 0)</f>
        <v>0</v>
      </c>
      <c r="EZ230" s="283"/>
      <c r="FA230" s="218"/>
      <c r="FB230" s="370"/>
      <c r="FC230" s="4">
        <f>IF(SnapshotTable[[#This Row],[SC Is Filled]], btc_max_buyback_amount(SnapshotTable[[#This Row],[SC Fill Date]],SnapshotTable[[#This Row],[SC Exp Date]], SnapshotTable[[#This Row],[SC Book Price]]),0)</f>
        <v>0</v>
      </c>
      <c r="FD230" s="5"/>
      <c r="FE230" s="144" t="str">
        <f>IF(SnapshotTable[[#This Row],[SC Is Filled]], btc_next_cutoff_date(SnapshotTable[[#This Row],[SC Fill Date]],SnapshotTable[[#This Row],[SC Exp Date]]),"")</f>
        <v/>
      </c>
      <c r="FF230" s="4" t="str" cm="1">
        <f t="array" ref="FF230">IF(SnapshotTable[[#This Row],[SC Is Filled]], btc_should_buy_back(SnapshotTable[[#This Row],[SC Fill Date]], SnapshotTable[[#This Row],[SC Exp Date]], SnapshotTable[[#This Row],[SC Book Price]], SnapshotTable[[#This Row],[SC Current Ask]], MockToday, SnapshotTable[[#This Row],[SC Buyback Override]]),"")</f>
        <v/>
      </c>
      <c r="FG230" s="4">
        <f>IF(SnapshotTable[[#This Row],[SC Is Filled]], MAX(0,SnapshotTable[[#This Row],[Last Price]]  - SnapshotTable[[#This Row],[SC Strike Price]]), 0)</f>
        <v>0</v>
      </c>
      <c r="FH230" s="382">
        <f>IF(SnapshotTable[[#This Row],[SC Is Filled]], IF(ISNUMBER(SnapshotTable[[#This Row],[SC Current Ask]]), SnapshotTable[[#This Row],[SC Current Ask]], SnapshotTable[[#This Row],[SC Book Price]]) - SnapshotTable[[#This Row],[SC Intrinsic Value]], 0)</f>
        <v>0</v>
      </c>
      <c r="FI230" s="143"/>
      <c r="FJ230" s="32" t="str">
        <f>IF(SnapshotTable[[#This Row],[SC Is Filled]],100 * SnapshotTable[[#This Row],[SC Qty]] * IF(ISNUMBER(SnapshotTable[[#This Row],[SC Buyback Override]]), SnapshotTable[[#This Row],[SC Buyback Override]], SnapshotTable[[#This Row],[SC Current Ask]]), "")</f>
        <v/>
      </c>
      <c r="FK230" s="250" t="str">
        <f>IF(SnapshotTable[[#This Row],[SC Time Val]]&gt;0, SnapshotTable[[#This Row],[SC Time Val]] / SnapshotTable[[#This Row],[Last Price]],"")</f>
        <v/>
      </c>
      <c r="FL230" s="302" t="str">
        <f>IF(SnapshotTable[[#This Row],[SC Is Booked]], ((SnapshotTable[[#This Row],[Last Price]] -SnapshotTable[[#This Row],[SC Strike Price]]) / SnapshotTable[[#This Row],[Last Price]]) * -1, "")</f>
        <v/>
      </c>
      <c r="FM230" s="157" t="str">
        <f>IF(SnapshotTable[[#This Row],[SC Is Booked]],  (SnapshotTable[[#This Row],[SC Qty]] * 100 * SnapshotTable[[#This Row],[SC Strike Price]]) - SnapshotTable[[#This Row],[SC Current Ask]], "")</f>
        <v/>
      </c>
      <c r="FN23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0" s="31" t="str">
        <f>IF(AND(ISNUMBER(SnapshotTable[[#This Row],[SC Exercise Gross]]), ISNUMBER(SnapshotTable[[#This Row],[Equity Basis Per Share]] )), SnapshotTable[[#This Row],[SC Exercise Gross]] - SnapshotTable[[#This Row],[Equity Basis Total]] +  SnapshotTable[[#This Row],[SC Premium]], "")</f>
        <v/>
      </c>
      <c r="FP230" s="5" t="str">
        <f>IF(ISNUMBER(SnapshotTable[[#This Row],[SC Exercise Gross]]), (SnapshotTable[[#This Row],[SC Exercise Gross]]) / (SnapshotTable[[#This Row],[SC Qty]] * 100), "")</f>
        <v/>
      </c>
      <c r="FQ230" s="27" t="str">
        <f>IF(SnapshotTable[[#This Row],[SC Is Booked]],SnapshotTable[[#This Row],[SC Time Val]] /SnapshotTable[[#This Row],[SC Basis]], "")</f>
        <v/>
      </c>
      <c r="FR230" s="27" t="str" cm="1">
        <f t="array" ref="FR230">IF(AND(ISNUMBER(SnapshotTable[[#This Row],[SC Term]]),ISNUMBER(SnapshotTable[[#This Row],[SC Simple ROO]])), EllmanAnnualize(SnapshotTable[[#This Row],[SC DTE]], SnapshotTable[[#This Row],[SC Simple ROO]] ),"")</f>
        <v/>
      </c>
      <c r="FS230" s="4" t="e">
        <f>IF(SnapshotTable[[#This Row],[SC Strike Price]] &gt; SnapshotTable[[#This Row],[Last Price]], SnapshotTable[[#This Row],[SC Strike Price]] - SnapshotTable[[#This Row],[Last Price]],0)</f>
        <v>#VALUE!</v>
      </c>
      <c r="FT230" s="27" t="e">
        <f>IF(AND(ISNUMBER(SnapshotTable[[#This Row],[SC Upside Potential]]), SnapshotTable[[#This Row],[SC Upside Potential]] &gt; 0),(SnapshotTable[[#This Row],[SC Upside Potential]]/ SnapshotTable[[#This Row],[ACB]]),"")</f>
        <v>#VALUE!</v>
      </c>
      <c r="FU230" s="333" t="str">
        <f>IF(SnapshotTable[[#This Row],[SC Intrinsic Value]] &gt; 0,SnapshotTable[[#This Row],[SC Intrinsic Value]],"")</f>
        <v/>
      </c>
      <c r="FV230" s="27" t="str">
        <f>IF(AND( ISNUMBER( SnapshotTable[[#This Row],[ACB]]),ISNUMBER(SnapshotTable[[#This Row],[SC Downside Protect]])),SnapshotTable[[#This Row],[SC Downside Protect]] / SnapshotTable[[#This Row],[ACB]],"")</f>
        <v/>
      </c>
      <c r="FW230" s="236" t="str">
        <f>IF(AND(ISNUMBER(SnapshotTable[[#This Row],[SC Simple ROO]]),SnapshotTable[[#This Row],[SC Simple ROO]] &gt; 0), SnapshotTable[[#This Row],[SC Premium]] + (SnapshotTable[[#This Row],[SC Qty]] * SnapshotTable[[#This Row],[SC Upside Potential]]), "")</f>
        <v/>
      </c>
      <c r="FX230" s="302" t="str" cm="1">
        <f t="array" ref="FX230">IF(ISNUMBER(SnapshotTable[[#This Row],[SC Max Dollars]]), annualize(SnapshotTable[[#This Row],[SC Term]],(SnapshotTable[[#This Row],[SC Max Dollars]]/SnapshotTable[[#This Row],[SC Basis]])),"")</f>
        <v/>
      </c>
      <c r="FY230" s="236" t="str">
        <f>IF(AND(SnapshotTable[[#This Row],[SC Qty]]&gt;0,SnapshotTable[[#This Row],[SC Current Ask]]&gt;0), SnapshotTable[[#This Row],[SC Qty]] * SnapshotTable[[#This Row],[SC Current Ask]] * -100, "")</f>
        <v/>
      </c>
      <c r="FZ230" s="31" t="str">
        <f>IF(ISNUMBER((SnapshotTable[[#This Row],[SC Current Value]])), SnapshotTable[[#This Row],[SC Premium]] + SnapshotTable[[#This Row],[SC Current Value]], "")</f>
        <v/>
      </c>
      <c r="GA230" s="294" t="str">
        <f>IFERROR( IF(ISNUMBER((SnapshotTable[[#This Row],[SC Current Value]])), SnapshotTable[[#This Row],[SC Gain Loss]] / SnapshotTable[[#This Row],[SC Premium]], ""), "")</f>
        <v/>
      </c>
      <c r="GB230" s="42">
        <f>SnapshotTable[[#This Row],[Equity Shares]] * SaleSharesToConsiderPercentage</f>
        <v>0</v>
      </c>
      <c r="GC230" s="40" t="e">
        <f>SnapshotTable[[#This Row],[Long Term Target]] * SellingPriceToConsiderBasedOnTargetPercentage</f>
        <v>#VALUE!</v>
      </c>
      <c r="GD230" s="40">
        <f>SnapshotTable[[#This Row],[Last Price]] * (1+ SellingPriceToConsiderBasedOnTargetPercentage)</f>
        <v>80.203500000000005</v>
      </c>
      <c r="GE230" s="41"/>
      <c r="GF230" s="40"/>
      <c r="GG230" s="31">
        <f>SnapshotTable[[#This Row],[Booked Sale Shares]] * SnapshotTable[[#This Row],[Booked Sale Price]]</f>
        <v>0</v>
      </c>
      <c r="GH230" s="31" t="str">
        <f>IF(SnapshotTable[[#This Row],[Equity Basis Total]] &gt; 0, SnapshotTable[[#This Row],[Equity Basis Per Share]] * SnapshotTable[[#This Row],[Booked Sale Shares]], "")</f>
        <v/>
      </c>
      <c r="GI230" s="31">
        <f>IF(SnapshotTable[[#This Row],[Sale Proceeds]]&gt;0, SnapshotTable[[#This Row],[Sale Proceeds]] - SnapshotTable[[#This Row],[Sale Basis]], 0)</f>
        <v>0</v>
      </c>
      <c r="GJ230" s="27" t="str">
        <f>IF(SnapshotTable[[#This Row],[Sale G/L]]&gt;0, SnapshotTable[[#This Row],[Sale G/L]] / SnapshotTable[[#This Row],[Sale Basis]], IF(ISNUMBER(SnapshotTable[[#This Row],[SC Exercise P&amp;L (TAX)]]), SnapshotTable[[#This Row],[SC Exercise P&amp;L (TAX)]] / SnapshotTable[[#This Row],[SC Basis]], ""))</f>
        <v/>
      </c>
      <c r="GK230" s="27"/>
      <c r="GL230" s="43" t="str">
        <f>IF(AND(SnapshotTable[[#This Row],[LP Exp Date]]&gt;0,SnapshotTable[[#This Row],[LP Strike Price]]&gt;0), [1]!ToOptionSymbol(SnapshotTable[[#This Row],[Symbol]], SnapshotTable[[#This Row],[LP Strike Price]],SnapshotTable[[#This Row],[LP Exp Date]],1), "")</f>
        <v/>
      </c>
      <c r="GM230" s="30" t="str">
        <f>IF(LEN(SnapshotTable[[#This Row],[LP Symbol]])&gt;0, 1, "")</f>
        <v/>
      </c>
      <c r="GN230" s="43" t="str">
        <f>IF(AND(SnapshotTable[[#This Row],[SP Exp Date]]&gt;0,SnapshotTable[[#This Row],[SP Strike Price]]&gt;0), [1]!ToOptionSymbol(SnapshotTable[[#This Row],[Symbol]], SnapshotTable[[#This Row],[SP Strike Price]],SnapshotTable[[#This Row],[SP Exp Date]],1), "")</f>
        <v/>
      </c>
      <c r="GO230" s="30" t="str">
        <f>IF(LEN(SnapshotTable[[#This Row],[SP Symbol]])&gt;0, 1, "")</f>
        <v/>
      </c>
      <c r="GP230" s="43" t="str">
        <f>IF(AND(SnapshotTable[[#This Row],[LC Exp Date]]&gt;0,SnapshotTable[[#This Row],[LC Strike Price]]&gt;0), [1]!ToOptionSymbol(SnapshotTable[[#This Row],[Symbol]], SnapshotTable[[#This Row],[LC Strike Price]],SnapshotTable[[#This Row],[LC Exp Date]],0), "")</f>
        <v/>
      </c>
      <c r="GQ230" s="30" t="str">
        <f>IF(LEN(SnapshotTable[[#This Row],[LC Symbol]])&gt;0, 1, "")</f>
        <v/>
      </c>
      <c r="GR230" s="43" t="str">
        <f>IF(AND(SnapshotTable[[#This Row],[SC Exp Date]]&gt;0,SnapshotTable[[#This Row],[SC Strike Price]]&gt;0), [1]!ToOptionSymbol(SnapshotTable[[#This Row],[Symbol]], SnapshotTable[[#This Row],[SC Strike Price]],SnapshotTable[[#This Row],[SC Exp Date]],0), "")</f>
        <v/>
      </c>
      <c r="GS230" s="30" t="str">
        <f>IF(LEN(SnapshotTable[[#This Row],[SC Symbol]])&gt;0, 1, "")</f>
        <v/>
      </c>
      <c r="GT230" s="29" t="str">
        <f>IF(COUNT(SnapshotTable[[#This Row],[LP Symbol Count]],SnapshotTable[[#This Row],[SP Symbol Count]],SnapshotTable[[#This Row],[LC Symbol Count]],SnapshotTable[[#This Row],[SC Symbol Count]])&gt;0, "Y", "")</f>
        <v/>
      </c>
      <c r="GU23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0" s="231" t="e">
        <f>MAX(SnapshotTable[[#This Row],[Equity Basis Total]],SnapshotTable[[#This Row],[Equity Value]]) + (SnapshotTable[[#This Row],[SP Potential Spend]]- SnapshotTable[[#This Row],[SP Premium]] + SnapshotTable[[#This Row],[LP Premium]])+ (SnapshotTable[[#This Row],[LC Premium]] - SnapshotTable[[#This Row],[SC Premium]])</f>
        <v>#VALUE!</v>
      </c>
      <c r="GW230" s="139" t="e">
        <f>IF(AND(SnapshotTable[[#This Row],[Exposure]] &lt;&gt; 0),SnapshotTable[[#This Row],[Exposure]] / SnapshotTable[[#Totals],[Exposure]], "")</f>
        <v>#VALUE!</v>
      </c>
      <c r="GX230" s="5"/>
      <c r="HE230" s="268"/>
      <c r="HF230" s="268"/>
      <c r="HK230" s="1"/>
      <c r="HL230" s="1"/>
      <c r="HM230" s="1"/>
      <c r="HN230" s="1"/>
      <c r="HO230" s="1"/>
      <c r="HP230" s="1"/>
    </row>
    <row r="231" spans="2:224" ht="12.75" hidden="1" customHeight="1" x14ac:dyDescent="0.25">
      <c r="B231" s="12" t="s">
        <v>1013</v>
      </c>
      <c r="C231" s="422">
        <v>6.78</v>
      </c>
      <c r="D231" s="208" t="s">
        <v>578</v>
      </c>
      <c r="E231" s="39">
        <f>SnapshotTable[[#This Row],[Last Price]]*(1 -CrashDiscount)</f>
        <v>5.7629999999999999</v>
      </c>
      <c r="F231" s="26" t="s">
        <v>905</v>
      </c>
      <c r="G231" s="26" t="s">
        <v>610</v>
      </c>
      <c r="H231" s="149"/>
      <c r="I231" s="194">
        <v>44776.670138888891</v>
      </c>
      <c r="J231" s="195">
        <v>44776.670138888891</v>
      </c>
      <c r="K231" s="196" t="s">
        <v>3</v>
      </c>
      <c r="L231" s="326"/>
      <c r="M231" s="140"/>
      <c r="N231" s="140"/>
      <c r="O231" s="140"/>
      <c r="P231" s="22"/>
      <c r="Q231" s="25"/>
      <c r="R231" s="4" t="str">
        <f>IF(SnapshotTable[[#This Row],[Equity Basis Total]] &gt; 0, SnapshotTable[[#This Row],[Equity Basis Total]] / SnapshotTable[[#This Row],[Equity Shares]], "")</f>
        <v/>
      </c>
      <c r="S231" s="269">
        <f>SnapshotTable[[#This Row],[Last Price]] * SnapshotTable[[#This Row],[Equity Shares]]</f>
        <v>0</v>
      </c>
      <c r="T231" s="269">
        <f>SnapshotTable[[#This Row],[Equity Value]] - SnapshotTable[[#This Row],[Equity Basis Total]]</f>
        <v>0</v>
      </c>
      <c r="U231" s="270" t="str">
        <f>IF(SnapshotTable[[#This Row],[Equity Basis Total]] &gt; 0, SnapshotTable[[#This Row],[Equity G/L]] / SnapshotTable[[#This Row],[Equity Basis Total]], "")</f>
        <v/>
      </c>
      <c r="V231" s="268">
        <v>57</v>
      </c>
      <c r="W231" s="268">
        <v>35</v>
      </c>
      <c r="X231" s="4" t="str">
        <f>IF(AND(ISNUMBER(SnapshotTable[[#This Row],[Equity Basis Per Share]]),ISNUMBER(SnapshotTable[[#This Row],[Equity Target]])),SnapshotTable[[#This Row],[Equity Target]]-SnapshotTable[[#This Row],[Equity Basis Per Share]],"")</f>
        <v/>
      </c>
      <c r="Y231" s="4" t="str">
        <f>IF(AND(ISNUMBER(SnapshotTable[[#This Row],[Equity Basis Per Share]]),ISNUMBER(SnapshotTable[[#This Row],[Equity Stop Loss]])),SnapshotTable[[#This Row],[Equity Stop Loss]]-SnapshotTable[[#This Row],[Equity Basis Per Share]],"")</f>
        <v/>
      </c>
      <c r="Z231" s="275" t="str">
        <f>IFERROR( TEXT(SnapshotTable[[#This Row],[Equity Max Gain Per Share]] /ABS( SnapshotTable[[#This Row],[Equity Max Loss Per Share]]),"0.0 " ) &amp; " : 1", "")</f>
        <v/>
      </c>
      <c r="AA231" s="31" t="str">
        <f>IF(ISNUMBER(SnapshotTable[[#This Row],[Equity Max Gain Per Share]]),SnapshotTable[[#This Row],[Equity Max Gain Per Share]] * SnapshotTable[[#This Row],[Equity Shares]],"")</f>
        <v/>
      </c>
      <c r="AB231" s="31" t="str">
        <f>IF(ISNUMBER(SnapshotTable[[#This Row],[Equity Max Loss Per Share]]),SnapshotTable[[#This Row],[Equity Max Loss Per Share]] * SnapshotTable[[#This Row],[Equity Shares]],"")</f>
        <v/>
      </c>
      <c r="AC231" s="150"/>
      <c r="AD231" s="151"/>
      <c r="AE231" s="31">
        <f>(SnapshotTable[[#This Row],[Annual Dividend Per Share]] / 4) * SnapshotTable[[#This Row],[Equity Shares]]</f>
        <v>0</v>
      </c>
      <c r="AF231" s="31">
        <f>SnapshotTable[[#This Row],[Quarterly Div $]] * 4</f>
        <v>0</v>
      </c>
      <c r="AG231" s="7">
        <f>IF(SnapshotTable[[#This Row],[Annual Dividend Per Share]]&gt;0, SnapshotTable[[#This Row],[Annual Dividend Per Share]]  / SnapshotTable[[#This Row],[Last Price]], 0)</f>
        <v>0</v>
      </c>
      <c r="AH231" s="151"/>
      <c r="AI231" s="5"/>
      <c r="AJ231" s="138">
        <v>23.33</v>
      </c>
      <c r="AK231" s="152" t="str">
        <f>IF(ISNUMBER( SnapshotTable[[#This Row],[EBF Target]]),(SnapshotTable[[#This Row],[EBF Target]] - SnapshotTable[[#This Row],[Last Price]]) / SnapshotTable[[#This Row],[Last Price]], "")</f>
        <v/>
      </c>
      <c r="AL231" s="152" t="str">
        <f>IF(AND(SnapshotTable[[#This Row],[Equity Basis Total]] &gt; 0,ISNUMBER( SnapshotTable[[#This Row],[Long Term Target]])), SnapshotTable[[#This Row],[From Basis $]] / SnapshotTable[[#This Row],[Equity Basis Total]], "")</f>
        <v/>
      </c>
      <c r="AM231" s="9">
        <f>IF( AND(SnapshotTable[[#This Row],[Equity Shares]] &gt;0,ISNUMBER( SnapshotTable[[#This Row],[Long Term Target]])),(SnapshotTable[[#This Row],[Equity Shares]] * SnapshotTable[[#This Row],[Long Term Target]]) - SnapshotTable[[#This Row],[Equity Basis Total]],0)</f>
        <v>0</v>
      </c>
      <c r="AN231" s="9">
        <f>IF( AND(SnapshotTable[[#This Row],[Equity Shares]] &gt;0,ISNUMBER( SnapshotTable[[#This Row],[Long Term Target]])),(SnapshotTable[[#This Row],[Equity Shares]]*SnapshotTable[[#This Row],[Long Term Target]]) - SnapshotTable[[#This Row],[Equity Value]],0)</f>
        <v>0</v>
      </c>
      <c r="AO231" s="152">
        <f>IF(AND(ISNUMBER( SnapshotTable[[#This Row],[Long Term Target]]), ISNUMBER(SnapshotTable[[#This Row],[Last Price]])),(SnapshotTable[[#This Row],[Long Term Target]] - SnapshotTable[[#This Row],[Last Price]]) / SnapshotTable[[#This Row],[Last Price]], "")</f>
        <v>2.441002949852507</v>
      </c>
      <c r="AP231" s="5">
        <v>25</v>
      </c>
      <c r="AQ231" s="38" t="s">
        <v>89</v>
      </c>
      <c r="AR231" s="5">
        <v>19.850000000000001</v>
      </c>
      <c r="AS231" s="38" t="s">
        <v>32</v>
      </c>
      <c r="AT231" s="146"/>
      <c r="AU231" s="187" t="str">
        <f>IF(OR(SnapshotTable[[#This Row],[LP No Fill]]="Y",SnapshotTable[[#This Row],[SP Is Filled]],SnapshotTable[[#This Row],[LC Not Filled]]="Y",SnapshotTable[[#This Row],[SC Is Filled]]),"Y","")</f>
        <v/>
      </c>
      <c r="AV231" s="219"/>
      <c r="AW231" s="225"/>
      <c r="AX231" s="220"/>
      <c r="AY231" s="219" t="str">
        <f>IF(SnapshotTable[[#This Row],[Implied Move]]&gt;0, SnapshotTable[[#This Row],[Last Price]]-SnapshotTable[[#This Row],[Implied Move]],"")</f>
        <v/>
      </c>
      <c r="AZ231" s="219" t="str">
        <f>IF(SnapshotTable[[#This Row],[Implied Move]]&gt;0, SnapshotTable[[#This Row],[Last Price]] + SnapshotTable[[#This Row],[Implied Move]],"")</f>
        <v/>
      </c>
      <c r="BA231" s="331">
        <v>21.92</v>
      </c>
      <c r="BB231" s="347"/>
      <c r="BC23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1" s="351"/>
      <c r="BE231" s="5"/>
      <c r="BF231" s="14"/>
      <c r="BG231" s="13"/>
      <c r="BH231" s="13"/>
      <c r="BI231" s="5"/>
      <c r="BJ231" s="136">
        <f>IF(SnapshotTable[[#This Row],[LP Qty]] &gt; 0, SnapshotTable[[#This Row],[LP Qty]] * SnapshotTable[[#This Row],[LP Book Price]] * 100,0)</f>
        <v>0</v>
      </c>
      <c r="BK231" s="136">
        <f>IF(SnapshotTable[[#This Row],[LP Premium]] &gt; 0, SnapshotTable[[#This Row],[LP Qty]] * SnapshotTable[[#This Row],[LP Strike Price]] * 100,0)</f>
        <v>0</v>
      </c>
      <c r="BL231" s="154"/>
      <c r="BM231" s="385" t="str">
        <f>IF(SnapshotTable[[#This Row],[LP Premium]] &gt; 0,SnapshotTable[[#This Row],[LP Exp Date]]-MAX(SnapshotTable[[#This Row],[LP Book Date]], SnapshotTable[[#This Row],[LP Fill Date]]),"")</f>
        <v/>
      </c>
      <c r="BN231" s="385" t="str">
        <f>IF(ISNUMBER( SnapshotTable[[#This Row],[LP Term]]), SnapshotTable[[#This Row],[LP Exp Date]] - MockToday,"")</f>
        <v/>
      </c>
      <c r="BO231" s="163" t="str">
        <f>IF(AND(SnapshotTable[[#This Row],[LP Exp Date]]&gt;0, SnapshotTable[[#This Row],[LP Strike Price]]&gt;0,SnapshotTable[[#This Row],[LP Qty]]&gt;0,SnapshotTable[[#This Row],[LP Book Date]]&gt;0,SnapshotTable[[#This Row],[LP Book Price]]&gt;0,SnapshotTable[[#This Row],[LP Fill Date]]=0),"Y","")</f>
        <v/>
      </c>
      <c r="BP231" s="31" t="str">
        <f>IF(AND(SnapshotTable[[#This Row],[LP No Fill]]&lt;&gt;"Y",SnapshotTable[[#This Row],[LP Contract Value]]&gt;0, SnapshotTable[[#This Row],[LP Qty]]&gt;0), SnapshotTable[[#This Row],[LP Contract Value]]*SnapshotTable[[#This Row],[LP Qty]]*100,"")</f>
        <v/>
      </c>
      <c r="BQ231" s="13"/>
      <c r="BR231" s="5" t="str">
        <f>IF(SnapshotTable[[#This Row],[SP Exp Date]]&lt;&gt;"",TRUNC(SnapshotTable[[#This Row],[Last Price]]),"")</f>
        <v/>
      </c>
      <c r="BS231" s="36"/>
      <c r="BT231" s="147"/>
      <c r="BU231" s="13"/>
      <c r="BV231" s="5"/>
      <c r="BW231" s="419" t="b">
        <f>AND(ISNUMBER(SnapshotTable[[#This Row],[SP Exp Date]]), ISNUMBER(SnapshotTable[[#This Row],[SP Strike Price]]), ISNUMBER(SnapshotTable[[#This Row],[SP Qty]]), ISNUMBER(SnapshotTable[[#This Row],[SP Book Date]]), ISNUMBER(SnapshotTable[[#This Row],[SP Book Price]]))</f>
        <v>0</v>
      </c>
      <c r="BX231" s="419" t="b">
        <f>AND(SnapshotTable[[#This Row],[SP Is Booked]], NOT(ISBLANK(SnapshotTable[[#This Row],[SP Fill Date]])))</f>
        <v>0</v>
      </c>
      <c r="BY231" s="33">
        <f>IF(SnapshotTable[[#This Row],[SP Is Booked]], SnapshotTable[[#This Row],[SP Qty]] * SnapshotTable[[#This Row],[SP Book Price]] * 100, 0)</f>
        <v>0</v>
      </c>
      <c r="BZ231" s="369"/>
      <c r="CA231" s="368">
        <f>SnapshotTable[[#This Row],[LP Qty]]</f>
        <v>0</v>
      </c>
      <c r="CB231" s="4" t="str">
        <f>IF(SnapshotTable[[#This Row],[SP Is Booked]], SnapshotTable[[#This Row],[SP Strike Price]] - SnapshotTable[[#This Row],[SP Book Price]], "")</f>
        <v/>
      </c>
      <c r="CC231" s="19" t="str">
        <f>IF(SnapshotTable[[#This Row],[SP Is Booked]],SnapshotTable[[#This Row],[SP Exp Date]]-MAX(SnapshotTable[[#This Row],[SP Book Date]], SnapshotTable[[#This Row],[SP Fill Date]]),"")</f>
        <v/>
      </c>
      <c r="CD231" s="7" t="str">
        <f>IF(SnapshotTable[[#This Row],[SP Is Booked]], SnapshotTable[[#This Row],[SP Book Price]]/SnapshotTable[[#This Row],[SP Strike Price]], "")</f>
        <v/>
      </c>
      <c r="CE231" s="7" t="str">
        <f>IF(ISNUMBER(SnapshotTable[[#This Row],[SP ROO Term]]),SnapshotTable[[#This Row],[SP ROO Term]]*(365/SnapshotTable[[#This Row],[SP Term]]),"")</f>
        <v/>
      </c>
      <c r="CF231" s="236">
        <f>SnapshotTable[[#This Row],[LP Strike Price]] * SnapshotTable[[#This Row],[LP Qty]] * 100</f>
        <v>0</v>
      </c>
      <c r="CG231" s="31" t="e">
        <f>IF(ISNUMBER(SnapshotTable[[#This Row],[SP Premium]]), (SnapshotTable[[#This Row],[SP Qty]] * SnapshotTable[[#This Row],[SP Strike Price]]* 100) - SnapshotTable[[#This Row],[LP Protection]], 0)</f>
        <v>#VALUE!</v>
      </c>
      <c r="CH231" s="7" t="str">
        <f>IF(ISNUMBER(SnapshotTable[[#This Row],[SP Break Even]]),-1 * (SnapshotTable[[#This Row],[SP Break Even]] - SnapshotTable[[#This Row],[Last Price]]) / SnapshotTable[[#This Row],[Last Price]], "")</f>
        <v/>
      </c>
      <c r="CI231" s="31">
        <f>IF(AND(ISNUMBER((SnapshotTable[[#This Row],[SP Potential Spend]])), SnapshotTable[[#This Row],[SP Strike Price]] &gt; SnapshotTable[[#This Row],[Last Price]], SnapshotTable[[#This Row],[SP Is Filled]]), SnapshotTable[[#This Row],[SP Potential Spend]] -  SnapshotTable[[#This Row],[LP Max Value]], 0)</f>
        <v>0</v>
      </c>
      <c r="CJ231" s="244"/>
      <c r="CK231" s="31" t="str">
        <f>IF(ISNUMBER(SnapshotTable[[#This Row],[SP Potential Spend]]),IF(ISNUMBER(SnapshotTable[[#This Row],[SP POW]]), SnapshotTable[[#This Row],[SP POW]] * SnapshotTable[[#This Row],[SP Potential Spend]], SnapshotTable[[#This Row],[SP Potential Spend]]), "")</f>
        <v/>
      </c>
      <c r="CL231" s="164" t="e">
        <f>IF(NOT(SnapshotTable[[#This Row],[SP Is Filled]]),(SnapshotTable[[#This Row],[SP Qty]] * SnapshotTable[[#This Row],[SP Strike Price]] * 100) - SnapshotTable[[#This Row],[LP Max Value]],"")</f>
        <v>#VALUE!</v>
      </c>
      <c r="CM231" s="31" t="str">
        <f>IF(SnapshotTable[[#This Row],[SP Actual Spend]]&lt;&gt;0, ((SnapshotTable[[#This Row],[SP Strike Price]]-SnapshotTable[[#This Row],[Last Price]]) *(SnapshotTable[[#This Row],[SP Qty]]*100) - SnapshotTable[[#This Row],[SP Premium]]) * - 1, "")</f>
        <v/>
      </c>
      <c r="CN231" s="78"/>
      <c r="CO231" s="369"/>
      <c r="CP231" s="4" t="str">
        <f>IF(SnapshotTable[[#This Row],[SP Is Filled]], btc_max_buyback_amount(SnapshotTable[[#This Row],[SP Fill Date]],SnapshotTable[[#This Row],[SP Exp Date]], SnapshotTable[[#This Row],[SP Book Price]]),"")</f>
        <v/>
      </c>
      <c r="CQ231" s="78"/>
      <c r="CR23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1" s="155" t="str">
        <f>IF(SnapshotTable[[#This Row],[SP Is Filled]], btc_next_cutoff_date(SnapshotTable[[#This Row],[SP Fill Date]],SnapshotTable[[#This Row],[SP Exp Date]]),"")</f>
        <v/>
      </c>
      <c r="CT231" s="235" t="str" cm="1">
        <f t="array" ref="CT231">IF(SnapshotTable[[#This Row],[SP Is Filled]], btc_should_buy_back(SnapshotTable[[#This Row],[SP Fill Date]], SnapshotTable[[#This Row],[SP Exp Date]], SnapshotTable[[#This Row],[SP Book Price]], SnapshotTable[[#This Row],[SP Current Ask]], MockToday, SnapshotTable[[#This Row],[SP Buyback Override]]),"")</f>
        <v/>
      </c>
      <c r="CU231" s="143"/>
      <c r="CV231" s="235"/>
      <c r="CW231" s="378" t="str">
        <f>IF(ISNUMBER( SnapshotTable[[#This Row],[SP Term]]), SnapshotTable[[#This Row],[SP Exp Date]] - MockToday,"")</f>
        <v/>
      </c>
      <c r="CX231" s="31" t="str">
        <f>IF(SnapshotTable[[#This Row],[SP Is Filled]],SnapshotTable[[#This Row],[SP Buyback Price to Use]] * 100 * SnapshotTable[[#This Row],[SP Qty]], "")</f>
        <v/>
      </c>
      <c r="CY231" s="4" t="str">
        <f>IF(ISNUMBER(SnapshotTable[[#This Row],[SP Strike Price]]), SnapshotTable[[#This Row],[SP Strike Price]] * (1 - SP_MaxLoss_StrikePct), "")</f>
        <v/>
      </c>
      <c r="CZ231" s="31" t="str">
        <f>IF(ISNUMBER(SnapshotTable[[#This Row],[SP Strike  Stop Per Share]]),SnapshotTable[[#This Row],[SP Premium]] - ((SnapshotTable[[#This Row],[SP Strike Price]]-SnapshotTable[[#This Row],[SP Strike  Stop Per Share]]) *(SnapshotTable[[#This Row],[SP Qty]] * 100)),"")</f>
        <v/>
      </c>
      <c r="DA231" s="4" t="str">
        <f>IF(AND(ISNUMBER(SnapshotTable[[#This Row],[SP Premium]]),SnapshotTable[[#This Row],[SP Premium]]&gt;0), SnapshotTable[[#This Row],[SP Book Price]] * (1 + SP_MaxLoss_OptionPct), "")</f>
        <v/>
      </c>
      <c r="DB231" s="31" t="str">
        <f>IF(ISNUMBER(SnapshotTable[[#This Row],[SP Option  Stop Contract]]),(SnapshotTable[[#This Row],[SP Option  Stop Contract]] *(SnapshotTable[[#This Row],[SP Qty]] * 100) - SnapshotTable[[#This Row],[SP Premium]]),"")</f>
        <v/>
      </c>
      <c r="DC231" s="4"/>
      <c r="DD231" s="4"/>
      <c r="DE231" s="4" t="str">
        <f>IF(AND(SnapshotTable[[#This Row],[SP Qty]]&gt;0, SnapshotTable[[#This Row],[SP Stop To Use]]&gt;0),SnapshotTable[[#This Row],[SP Premium]] - ( SnapshotTable[[#This Row],[SP Qty]] * SnapshotTable[[#This Row],[SP Stop To Use]] * 100), "")</f>
        <v/>
      </c>
      <c r="DF231" s="31" t="str">
        <f>IF(AND(SnapshotTable[[#This Row],[SP Qty]]&gt;0,SnapshotTable[[#This Row],[SP Current Ask]]&gt;0), SnapshotTable[[#This Row],[SP Qty]] * SnapshotTable[[#This Row],[SP Current Ask]] * -100, "")</f>
        <v/>
      </c>
      <c r="DG231" s="31" t="str">
        <f>IF(ISNUMBER((SnapshotTable[[#This Row],[SP Total Value]])), SnapshotTable[[#This Row],[SP Premium]] + SnapshotTable[[#This Row],[SP Total Value]], "")</f>
        <v/>
      </c>
      <c r="DH231" s="294" t="str">
        <f>IF(ISNUMBER((SnapshotTable[[#This Row],[SP Total Value]])), SnapshotTable[[#This Row],[SP Gain Loss]] / SnapshotTable[[#This Row],[SP Premium]], "")</f>
        <v/>
      </c>
      <c r="DI231" s="406"/>
      <c r="DJ231" s="138"/>
      <c r="DK231" s="148"/>
      <c r="DL231" s="13"/>
      <c r="DM231" s="13"/>
      <c r="DO231" s="31">
        <f>IF(SnapshotTable[[#This Row],[LC Symbol Count]]=1, SnapshotTable[[#This Row],[LC Qty]] * SnapshotTable[[#This Row],[LC Book Price]] * 100, 0)</f>
        <v>0</v>
      </c>
      <c r="DP231" s="163" t="str">
        <f>IF(AND(SnapshotTable[[#This Row],[LC Exp Date]]&gt;0, SnapshotTable[[#This Row],[LC Strike Price]]&gt;0,SnapshotTable[[#This Row],[LC Qty]]&gt;0,SnapshotTable[[#This Row],[LC Book Date]]&gt;0,SnapshotTable[[#This Row],[LC Book Price]]&gt;0,SnapshotTable[[#This Row],[LC Fill Date]]=0),"Y","")</f>
        <v/>
      </c>
      <c r="DQ231" s="386" t="str">
        <f>IF(SnapshotTable[[#This Row],[LC Premium]] &gt; 0,SnapshotTable[[#This Row],[LC Exp Date]]-MAX(SnapshotTable[[#This Row],[LC Book Date]], SnapshotTable[[#This Row],[LC Fill Date]]),"")</f>
        <v/>
      </c>
      <c r="DR231" s="386" t="str">
        <f>IF(ISNUMBER(SnapshotTable[[#This Row],[LC Term]]), SnapshotTable[[#This Row],[LC Exp Date]] - MockToday, "")</f>
        <v/>
      </c>
      <c r="DS231" s="234" t="str">
        <f>IF(SnapshotTable[[#This Row],[LC Premium]]&gt;0,SnapshotTable[[#This Row],[LC Strike Price]] + SnapshotTable[[#This Row],[LC Book Price]],"")</f>
        <v/>
      </c>
      <c r="DU231" s="9" t="str">
        <f>IF(AND(SnapshotTable[[#This Row],[LC Symbol Count]]&gt;0, SnapshotTable[[#This Row],[LC Contract Value]]&gt;0), SnapshotTable[[#This Row],[LC Contract Value]] * SnapshotTable[[#This Row],[LC Qty]] * 100, "")</f>
        <v/>
      </c>
      <c r="DV231" s="9" t="str">
        <f>IF(AND(ISNUMBER(SnapshotTable[[#This Row],[LC Total Value]]), SnapshotTable[[#This Row],[LC Not Filled]]&lt;&gt;"Y"), SnapshotTable[[#This Row],[LC Total Value]]-SnapshotTable[[#This Row],[LC Premium]],"")</f>
        <v/>
      </c>
      <c r="DW231" s="240" t="str">
        <f>IF(ISNUMBER(SnapshotTable[[#This Row],[LC Actual Gain Loss]]), SnapshotTable[[#This Row],[LC Actual Gain Loss]] / SnapshotTable[[#This Row],[LC Premium]],"")</f>
        <v/>
      </c>
      <c r="DX231" s="284" t="str">
        <f>IF(ISNUMBER(SnapshotTable[[#This Row],[LC Book Price]]),SnapshotTable[[#This Row],[LC Book Price]] * 1.5,"")</f>
        <v/>
      </c>
      <c r="DY231" s="265" t="str">
        <f>IF(SnapshotTable[[#This Row],[LC Premium]]&gt;0, SnapshotTable[[#This Row],[LC Next Target]] * SnapshotTable[[#This Row],[LC Qty]] * 100,"")</f>
        <v/>
      </c>
      <c r="DZ231" s="265" t="str">
        <f>IF(ISNUMBER(SnapshotTable[[#This Row],[LC Target Gross]]), SnapshotTable[[#This Row],[LC Target Gross]] - SnapshotTable[[#This Row],[LC Premium]], "")</f>
        <v/>
      </c>
      <c r="EA231" s="305" t="str">
        <f>IF(ISNUMBER(SnapshotTable[[#This Row],[LC Target Gain Loss]]), SnapshotTable[[#This Row],[LC Target Gain Loss]]/SnapshotTable[[#This Row],[LC Premium]], "")</f>
        <v/>
      </c>
      <c r="EB231" s="262"/>
      <c r="EC231" s="283" t="str">
        <f>IF(SnapshotTable[[#This Row],[LC Premium]]&gt;0, SnapshotTable[[#This Row],[LC Book Price]] * (1 - LC_StopLoss_Pct),"")</f>
        <v/>
      </c>
      <c r="ED231" s="284"/>
      <c r="EE231" s="283" t="str">
        <f>IF(ISNUMBER(SnapshotTable[[#This Row],[LC Contract Value]]),IF(ISNUMBER(SnapshotTable[[#This Row],[LC Stop Loss Override]]), SnapshotTable[[#This Row],[LC Stop Loss Override]],SnapshotTable[[#This Row],[LC Stop Loss Calc Target]]),"")</f>
        <v/>
      </c>
      <c r="EF231" s="31" t="str">
        <f>IF(ISNUMBER(SnapshotTable[[#This Row],[LC Stop  To Use]]), (SnapshotTable[[#This Row],[LC Stop  To Use]] * SnapshotTable[[#This Row],[LC Qty]] * 100),"")</f>
        <v/>
      </c>
      <c r="EG231" s="9" t="str">
        <f>IF(ISNUMBER(SnapshotTable[[#This Row],[LC Total Value]]),SnapshotTable[[#This Row],[LC Stop Loss Amount]] - SnapshotTable[[#This Row],[LC Premium]],"")</f>
        <v/>
      </c>
      <c r="EH231" s="9">
        <f>IF(ISNUMBER(SnapshotTable[[#This Row],[LC Premium]]), SnapshotTable[[#This Row],[LC Qty]] * 100 * SnapshotTable[[#This Row],[LC Strike Price]], "")</f>
        <v>0</v>
      </c>
      <c r="EI231" s="240" t="str">
        <f>IF(AND(ISNUMBER(SnapshotTable[[#This Row],[LC Total Value]]),SnapshotTable[[#This Row],[LC Total Value]]&gt;0),SnapshotTable[[#This Row],[LC Stop Gain Loss]]  / SnapshotTable[[#This Row],[LC Premium]],"")</f>
        <v/>
      </c>
      <c r="EJ231" s="35">
        <f>IF(ISNUMBER(SnapshotTable[[#This Row],[Equity Shares]]),TRUNC(SnapshotTable[[#This Row],[Equity Shares]] / 100),0) + SnapshotTable[[#This Row],[LC Qty]]</f>
        <v>0</v>
      </c>
      <c r="EK231" s="147"/>
      <c r="EL231" s="138" t="str">
        <f>IF(SnapshotTable[[#This Row],[SC Exp Date]]&lt;&gt;"",TRUNC(SnapshotTable[[#This Row],[Last Price]]),"")</f>
        <v/>
      </c>
      <c r="EM231" s="148"/>
      <c r="EN231" s="147"/>
      <c r="EO231" s="147"/>
      <c r="EP231" s="138"/>
      <c r="EQ231" s="419" t="b">
        <f>AND(ISNUMBER(SnapshotTable[[#This Row],[SC Exp Date]]), ISNUMBER(SnapshotTable[[#This Row],[SC Strike Price]]), ISNUMBER(SnapshotTable[[#This Row],[SC Qty]]), ISNUMBER(SnapshotTable[[#This Row],[SC Book Date]]), ISNUMBER(SnapshotTable[[#This Row],[SC Book Price]]))</f>
        <v>0</v>
      </c>
      <c r="ER231" s="419" t="b">
        <f>AND(SnapshotTable[[#This Row],[SC Is Booked]], NOT(ISBLANK(SnapshotTable[[#This Row],[SC Fill Date]])))</f>
        <v>0</v>
      </c>
      <c r="ES231" s="370"/>
      <c r="ET231" s="34" t="str">
        <f>IF(AND(ISNUMBER(SnapshotTable[[#This Row],[SC Exp Date]]), ISNUMBER(SnapshotTable[[#This Row],[SC Book Date]])), SnapshotTable[[#This Row],[SC Exp Date]] - MAX(SnapshotTable[[#This Row],[SC Book Date]], SnapshotTable[[#This Row],[SC Fill Date]]) + 1, "")</f>
        <v/>
      </c>
      <c r="EU231" s="34" t="str">
        <f>IF(ISNUMBER(SnapshotTable[[#This Row],[SC Term]]), SnapshotTable[[#This Row],[SC Exp Date]]- MockToday, "")</f>
        <v/>
      </c>
      <c r="EV231" s="31">
        <f>IF(SnapshotTable[[#This Row],[SC Is Booked]], SnapshotTable[[#This Row],[SC Qty]] * SnapshotTable[[#This Row],[SC Book Price]] * 100, 0)</f>
        <v>0</v>
      </c>
      <c r="EW231" s="4" t="str">
        <f>IF(AND(ISNUMBER(SnapshotTable[[#This Row],[Last Price]]), ISNUMBER( SnapshotTable[[#This Row],[SC Book Price]])), SnapshotTable[[#This Row],[Last Price]] - SnapshotTable[[#This Row],[SC Book Price]],"")</f>
        <v/>
      </c>
      <c r="EX231" s="234" t="str">
        <f>IF(SnapshotTable[[#This Row],[SC Is Booked]],IF(SnapshotTable[[#This Row],[SC Intrinsic Value]] &gt; 0, SnapshotTable[[#This Row],[SC Strike Price]], SnapshotTable[[#This Row],[Last Price]]), "")</f>
        <v/>
      </c>
      <c r="EY231" s="4">
        <f>IF(SnapshotTable[[#This Row],[SC Is Booked]], (MinimumPremiumRequired * SnapshotTable[[#This Row],[SC Basis]] * SnapshotTable[[#This Row],[SC Term]]), 0)</f>
        <v>0</v>
      </c>
      <c r="EZ231" s="283"/>
      <c r="FA231" s="218"/>
      <c r="FB231" s="370"/>
      <c r="FC231" s="4">
        <f>IF(SnapshotTable[[#This Row],[SC Is Filled]], btc_max_buyback_amount(SnapshotTable[[#This Row],[SC Fill Date]],SnapshotTable[[#This Row],[SC Exp Date]], SnapshotTable[[#This Row],[SC Book Price]]),0)</f>
        <v>0</v>
      </c>
      <c r="FD231" s="5"/>
      <c r="FE231" s="144" t="str">
        <f>IF(SnapshotTable[[#This Row],[SC Is Filled]], btc_next_cutoff_date(SnapshotTable[[#This Row],[SC Fill Date]],SnapshotTable[[#This Row],[SC Exp Date]]),"")</f>
        <v/>
      </c>
      <c r="FF231" s="4" t="str" cm="1">
        <f t="array" ref="FF231">IF(SnapshotTable[[#This Row],[SC Is Filled]], btc_should_buy_back(SnapshotTable[[#This Row],[SC Fill Date]], SnapshotTable[[#This Row],[SC Exp Date]], SnapshotTable[[#This Row],[SC Book Price]], SnapshotTable[[#This Row],[SC Current Ask]], MockToday, SnapshotTable[[#This Row],[SC Buyback Override]]),"")</f>
        <v/>
      </c>
      <c r="FG231" s="4">
        <f>IF(SnapshotTable[[#This Row],[SC Is Filled]], MAX(0,SnapshotTable[[#This Row],[Last Price]]  - SnapshotTable[[#This Row],[SC Strike Price]]), 0)</f>
        <v>0</v>
      </c>
      <c r="FH231" s="382">
        <f>IF(SnapshotTable[[#This Row],[SC Is Filled]], IF(ISNUMBER(SnapshotTable[[#This Row],[SC Current Ask]]), SnapshotTable[[#This Row],[SC Current Ask]], SnapshotTable[[#This Row],[SC Book Price]]) - SnapshotTable[[#This Row],[SC Intrinsic Value]], 0)</f>
        <v>0</v>
      </c>
      <c r="FI231" s="143"/>
      <c r="FJ231" s="32" t="str">
        <f>IF(SnapshotTable[[#This Row],[SC Is Filled]],100 * SnapshotTable[[#This Row],[SC Qty]] * IF(ISNUMBER(SnapshotTable[[#This Row],[SC Buyback Override]]), SnapshotTable[[#This Row],[SC Buyback Override]], SnapshotTable[[#This Row],[SC Current Ask]]), "")</f>
        <v/>
      </c>
      <c r="FK231" s="250" t="str">
        <f>IF(SnapshotTable[[#This Row],[SC Time Val]]&gt;0, SnapshotTable[[#This Row],[SC Time Val]] / SnapshotTable[[#This Row],[Last Price]],"")</f>
        <v/>
      </c>
      <c r="FL231" s="302" t="str">
        <f>IF(SnapshotTable[[#This Row],[SC Is Booked]], ((SnapshotTable[[#This Row],[Last Price]] -SnapshotTable[[#This Row],[SC Strike Price]]) / SnapshotTable[[#This Row],[Last Price]]) * -1, "")</f>
        <v/>
      </c>
      <c r="FM231" s="157" t="str">
        <f>IF(SnapshotTable[[#This Row],[SC Is Booked]],  (SnapshotTable[[#This Row],[SC Qty]] * 100 * SnapshotTable[[#This Row],[SC Strike Price]]) - SnapshotTable[[#This Row],[SC Current Ask]], "")</f>
        <v/>
      </c>
      <c r="FN23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1" s="31" t="str">
        <f>IF(AND(ISNUMBER(SnapshotTable[[#This Row],[SC Exercise Gross]]), ISNUMBER(SnapshotTable[[#This Row],[Equity Basis Per Share]] )), SnapshotTable[[#This Row],[SC Exercise Gross]] - SnapshotTable[[#This Row],[Equity Basis Total]] +  SnapshotTable[[#This Row],[SC Premium]], "")</f>
        <v/>
      </c>
      <c r="FP231" s="5" t="str">
        <f>IF(ISNUMBER(SnapshotTable[[#This Row],[SC Exercise Gross]]), (SnapshotTable[[#This Row],[SC Exercise Gross]]) / (SnapshotTable[[#This Row],[SC Qty]] * 100), "")</f>
        <v/>
      </c>
      <c r="FQ231" s="27" t="str">
        <f>IF(SnapshotTable[[#This Row],[SC Is Booked]],SnapshotTable[[#This Row],[SC Time Val]] /SnapshotTable[[#This Row],[SC Basis]], "")</f>
        <v/>
      </c>
      <c r="FR231" s="27" t="str" cm="1">
        <f t="array" ref="FR231">IF(AND(ISNUMBER(SnapshotTable[[#This Row],[SC Term]]),ISNUMBER(SnapshotTable[[#This Row],[SC Simple ROO]])), EllmanAnnualize(SnapshotTable[[#This Row],[SC DTE]], SnapshotTable[[#This Row],[SC Simple ROO]] ),"")</f>
        <v/>
      </c>
      <c r="FS231" s="4" t="e">
        <f>IF(SnapshotTable[[#This Row],[SC Strike Price]] &gt; SnapshotTable[[#This Row],[Last Price]], SnapshotTable[[#This Row],[SC Strike Price]] - SnapshotTable[[#This Row],[Last Price]],0)</f>
        <v>#VALUE!</v>
      </c>
      <c r="FT231" s="27" t="e">
        <f>IF(AND(ISNUMBER(SnapshotTable[[#This Row],[SC Upside Potential]]), SnapshotTable[[#This Row],[SC Upside Potential]] &gt; 0),(SnapshotTable[[#This Row],[SC Upside Potential]]/ SnapshotTable[[#This Row],[ACB]]),"")</f>
        <v>#VALUE!</v>
      </c>
      <c r="FU231" s="333" t="str">
        <f>IF(SnapshotTable[[#This Row],[SC Intrinsic Value]] &gt; 0,SnapshotTable[[#This Row],[SC Intrinsic Value]],"")</f>
        <v/>
      </c>
      <c r="FV231" s="27" t="str">
        <f>IF(AND( ISNUMBER( SnapshotTable[[#This Row],[ACB]]),ISNUMBER(SnapshotTable[[#This Row],[SC Downside Protect]])),SnapshotTable[[#This Row],[SC Downside Protect]] / SnapshotTable[[#This Row],[ACB]],"")</f>
        <v/>
      </c>
      <c r="FW231" s="236" t="str">
        <f>IF(AND(ISNUMBER(SnapshotTable[[#This Row],[SC Simple ROO]]),SnapshotTable[[#This Row],[SC Simple ROO]] &gt; 0), SnapshotTable[[#This Row],[SC Premium]] + (SnapshotTable[[#This Row],[SC Qty]] * SnapshotTable[[#This Row],[SC Upside Potential]]), "")</f>
        <v/>
      </c>
      <c r="FX231" s="302" t="str" cm="1">
        <f t="array" ref="FX231">IF(ISNUMBER(SnapshotTable[[#This Row],[SC Max Dollars]]), annualize(SnapshotTable[[#This Row],[SC Term]],(SnapshotTable[[#This Row],[SC Max Dollars]]/SnapshotTable[[#This Row],[SC Basis]])),"")</f>
        <v/>
      </c>
      <c r="FY231" s="236" t="str">
        <f>IF(AND(SnapshotTable[[#This Row],[SC Qty]]&gt;0,SnapshotTable[[#This Row],[SC Current Ask]]&gt;0), SnapshotTable[[#This Row],[SC Qty]] * SnapshotTable[[#This Row],[SC Current Ask]] * -100, "")</f>
        <v/>
      </c>
      <c r="FZ231" s="31" t="str">
        <f>IF(ISNUMBER((SnapshotTable[[#This Row],[SC Current Value]])), SnapshotTable[[#This Row],[SC Premium]] + SnapshotTable[[#This Row],[SC Current Value]], "")</f>
        <v/>
      </c>
      <c r="GA231" s="294" t="str">
        <f>IFERROR( IF(ISNUMBER((SnapshotTable[[#This Row],[SC Current Value]])), SnapshotTable[[#This Row],[SC Gain Loss]] / SnapshotTable[[#This Row],[SC Premium]], ""), "")</f>
        <v/>
      </c>
      <c r="GB231" s="42">
        <f>SnapshotTable[[#This Row],[Equity Shares]] * SaleSharesToConsiderPercentage</f>
        <v>0</v>
      </c>
      <c r="GC231" s="40">
        <f>SnapshotTable[[#This Row],[Long Term Target]] * SellingPriceToConsiderBasedOnTargetPercentage</f>
        <v>22.163499999999999</v>
      </c>
      <c r="GD231" s="40">
        <f>SnapshotTable[[#This Row],[Last Price]] * (1+ SellingPriceToConsiderBasedOnTargetPercentage)</f>
        <v>13.221</v>
      </c>
      <c r="GE231" s="41"/>
      <c r="GF231" s="40"/>
      <c r="GG231" s="31">
        <f>SnapshotTable[[#This Row],[Booked Sale Shares]] * SnapshotTable[[#This Row],[Booked Sale Price]]</f>
        <v>0</v>
      </c>
      <c r="GH231" s="31" t="str">
        <f>IF(SnapshotTable[[#This Row],[Equity Basis Total]] &gt; 0, SnapshotTable[[#This Row],[Equity Basis Per Share]] * SnapshotTable[[#This Row],[Booked Sale Shares]], "")</f>
        <v/>
      </c>
      <c r="GI231" s="31">
        <f>IF(SnapshotTable[[#This Row],[Sale Proceeds]]&gt;0, SnapshotTable[[#This Row],[Sale Proceeds]] - SnapshotTable[[#This Row],[Sale Basis]], 0)</f>
        <v>0</v>
      </c>
      <c r="GJ231" s="27" t="str">
        <f>IF(SnapshotTable[[#This Row],[Sale G/L]]&gt;0, SnapshotTable[[#This Row],[Sale G/L]] / SnapshotTable[[#This Row],[Sale Basis]], IF(ISNUMBER(SnapshotTable[[#This Row],[SC Exercise P&amp;L (TAX)]]), SnapshotTable[[#This Row],[SC Exercise P&amp;L (TAX)]] / SnapshotTable[[#This Row],[SC Basis]], ""))</f>
        <v/>
      </c>
      <c r="GK231" s="27" t="s">
        <v>1019</v>
      </c>
      <c r="GL231" s="43" t="str">
        <f>IF(AND(SnapshotTable[[#This Row],[LP Exp Date]]&gt;0,SnapshotTable[[#This Row],[LP Strike Price]]&gt;0), [1]!ToOptionSymbol(SnapshotTable[[#This Row],[Symbol]], SnapshotTable[[#This Row],[LP Strike Price]],SnapshotTable[[#This Row],[LP Exp Date]],1), "")</f>
        <v/>
      </c>
      <c r="GM231" s="30" t="str">
        <f>IF(LEN(SnapshotTable[[#This Row],[LP Symbol]])&gt;0, 1, "")</f>
        <v/>
      </c>
      <c r="GN231" s="43" t="str">
        <f>IF(AND(SnapshotTable[[#This Row],[SP Exp Date]]&gt;0,SnapshotTable[[#This Row],[SP Strike Price]]&gt;0), [1]!ToOptionSymbol(SnapshotTable[[#This Row],[Symbol]], SnapshotTable[[#This Row],[SP Strike Price]],SnapshotTable[[#This Row],[SP Exp Date]],1), "")</f>
        <v/>
      </c>
      <c r="GO231" s="30" t="str">
        <f>IF(LEN(SnapshotTable[[#This Row],[SP Symbol]])&gt;0, 1, "")</f>
        <v/>
      </c>
      <c r="GP231" s="43" t="str">
        <f>IF(AND(SnapshotTable[[#This Row],[LC Exp Date]]&gt;0,SnapshotTable[[#This Row],[LC Strike Price]]&gt;0), [1]!ToOptionSymbol(SnapshotTable[[#This Row],[Symbol]], SnapshotTable[[#This Row],[LC Strike Price]],SnapshotTable[[#This Row],[LC Exp Date]],0), "")</f>
        <v/>
      </c>
      <c r="GQ231" s="30" t="str">
        <f>IF(LEN(SnapshotTable[[#This Row],[LC Symbol]])&gt;0, 1, "")</f>
        <v/>
      </c>
      <c r="GR231" s="43" t="str">
        <f>IF(AND(SnapshotTable[[#This Row],[SC Exp Date]]&gt;0,SnapshotTable[[#This Row],[SC Strike Price]]&gt;0), [1]!ToOptionSymbol(SnapshotTable[[#This Row],[Symbol]], SnapshotTable[[#This Row],[SC Strike Price]],SnapshotTable[[#This Row],[SC Exp Date]],0), "")</f>
        <v/>
      </c>
      <c r="GS231" s="30" t="str">
        <f>IF(LEN(SnapshotTable[[#This Row],[SC Symbol]])&gt;0, 1, "")</f>
        <v/>
      </c>
      <c r="GT231" s="29" t="str">
        <f>IF(COUNT(SnapshotTable[[#This Row],[LP Symbol Count]],SnapshotTable[[#This Row],[SP Symbol Count]],SnapshotTable[[#This Row],[LC Symbol Count]],SnapshotTable[[#This Row],[SC Symbol Count]])&gt;0, "Y", "")</f>
        <v/>
      </c>
      <c r="GU23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1" s="231" t="e">
        <f>MAX(SnapshotTable[[#This Row],[Equity Basis Total]],SnapshotTable[[#This Row],[Equity Value]]) + (SnapshotTable[[#This Row],[SP Potential Spend]]- SnapshotTable[[#This Row],[SP Premium]] + SnapshotTable[[#This Row],[LP Premium]])+ (SnapshotTable[[#This Row],[LC Premium]] - SnapshotTable[[#This Row],[SC Premium]])</f>
        <v>#VALUE!</v>
      </c>
      <c r="GW231" s="139" t="e">
        <f>IF(AND(SnapshotTable[[#This Row],[Exposure]] &lt;&gt; 0),SnapshotTable[[#This Row],[Exposure]] / SnapshotTable[[#Totals],[Exposure]], "")</f>
        <v>#VALUE!</v>
      </c>
      <c r="HE231" s="268"/>
      <c r="HF231" s="268"/>
      <c r="HK231" s="1"/>
      <c r="HL231" s="1"/>
      <c r="HM231" s="1"/>
      <c r="HN231" s="1"/>
      <c r="HO231" s="1"/>
      <c r="HP231" s="1"/>
    </row>
    <row r="232" spans="2:224" ht="12.75" hidden="1" customHeight="1" x14ac:dyDescent="0.25">
      <c r="B232" s="12" t="s">
        <v>235</v>
      </c>
      <c r="C232" s="422">
        <v>143.69</v>
      </c>
      <c r="D232" s="208"/>
      <c r="E232" s="39">
        <f>SnapshotTable[[#This Row],[Last Price]]*(1 -CrashDiscount)</f>
        <v>122.1365</v>
      </c>
      <c r="F232" s="26" t="s">
        <v>234</v>
      </c>
      <c r="G232" s="26" t="s">
        <v>17</v>
      </c>
      <c r="H232" s="149"/>
      <c r="I232" s="194">
        <v>44775.270833333336</v>
      </c>
      <c r="J232" s="195">
        <v>44775.270833333336</v>
      </c>
      <c r="K232" s="196"/>
      <c r="L232" s="326"/>
      <c r="M232" s="140"/>
      <c r="N232" s="140"/>
      <c r="O232" s="140"/>
      <c r="P232" s="22"/>
      <c r="Q232" s="25"/>
      <c r="R232" s="4" t="str">
        <f>IF(SnapshotTable[[#This Row],[Equity Basis Total]] &gt; 0, SnapshotTable[[#This Row],[Equity Basis Total]] / SnapshotTable[[#This Row],[Equity Shares]], "")</f>
        <v/>
      </c>
      <c r="S232" s="269">
        <f>SnapshotTable[[#This Row],[Last Price]] * SnapshotTable[[#This Row],[Equity Shares]]</f>
        <v>0</v>
      </c>
      <c r="T232" s="269">
        <f>SnapshotTable[[#This Row],[Equity Value]] - SnapshotTable[[#This Row],[Equity Basis Total]]</f>
        <v>0</v>
      </c>
      <c r="U232" s="270" t="str">
        <f>IF(SnapshotTable[[#This Row],[Equity Basis Total]] &gt; 0, SnapshotTable[[#This Row],[Equity G/L]] / SnapshotTable[[#This Row],[Equity Basis Total]], "")</f>
        <v/>
      </c>
      <c r="V232" s="268"/>
      <c r="W232" s="268"/>
      <c r="X232" s="4" t="str">
        <f>IF(AND(ISNUMBER(SnapshotTable[[#This Row],[Equity Basis Per Share]]),ISNUMBER(SnapshotTable[[#This Row],[Equity Target]])),SnapshotTable[[#This Row],[Equity Target]]-SnapshotTable[[#This Row],[Equity Basis Per Share]],"")</f>
        <v/>
      </c>
      <c r="Y232" s="4" t="str">
        <f>IF(AND(ISNUMBER(SnapshotTable[[#This Row],[Equity Basis Per Share]]),ISNUMBER(SnapshotTable[[#This Row],[Equity Stop Loss]])),SnapshotTable[[#This Row],[Equity Stop Loss]]-SnapshotTable[[#This Row],[Equity Basis Per Share]],"")</f>
        <v/>
      </c>
      <c r="Z232" s="275" t="str">
        <f>IFERROR( TEXT(SnapshotTable[[#This Row],[Equity Max Gain Per Share]] /ABS( SnapshotTable[[#This Row],[Equity Max Loss Per Share]]),"0.0 " ) &amp; " : 1", "")</f>
        <v/>
      </c>
      <c r="AA232" s="31" t="str">
        <f>IF(ISNUMBER(SnapshotTable[[#This Row],[Equity Max Gain Per Share]]),SnapshotTable[[#This Row],[Equity Max Gain Per Share]] * SnapshotTable[[#This Row],[Equity Shares]],"")</f>
        <v/>
      </c>
      <c r="AB232" s="31" t="str">
        <f>IF(ISNUMBER(SnapshotTable[[#This Row],[Equity Max Loss Per Share]]),SnapshotTable[[#This Row],[Equity Max Loss Per Share]] * SnapshotTable[[#This Row],[Equity Shares]],"")</f>
        <v/>
      </c>
      <c r="AC232" s="150">
        <v>1</v>
      </c>
      <c r="AD232" s="151">
        <v>42359</v>
      </c>
      <c r="AE232" s="31">
        <f>(SnapshotTable[[#This Row],[Annual Dividend Per Share]] / 4) * SnapshotTable[[#This Row],[Equity Shares]]</f>
        <v>0</v>
      </c>
      <c r="AF232" s="31">
        <f>SnapshotTable[[#This Row],[Quarterly Div $]] * 4</f>
        <v>0</v>
      </c>
      <c r="AG232" s="7">
        <f>IF(SnapshotTable[[#This Row],[Annual Dividend Per Share]]&gt;0, SnapshotTable[[#This Row],[Annual Dividend Per Share]]  / SnapshotTable[[#This Row],[Last Price]], 0)</f>
        <v>6.9594265432528363E-3</v>
      </c>
      <c r="AH232" s="151">
        <v>42243</v>
      </c>
      <c r="AI232" s="5"/>
      <c r="AJ232" s="138">
        <v>117.75</v>
      </c>
      <c r="AK232" s="152" t="str">
        <f>IF(ISNUMBER( SnapshotTable[[#This Row],[EBF Target]]),(SnapshotTable[[#This Row],[EBF Target]] - SnapshotTable[[#This Row],[Last Price]]) / SnapshotTable[[#This Row],[Last Price]], "")</f>
        <v/>
      </c>
      <c r="AL232" s="152" t="str">
        <f>IF(AND(SnapshotTable[[#This Row],[Equity Basis Total]] &gt; 0,ISNUMBER( SnapshotTable[[#This Row],[Long Term Target]])), SnapshotTable[[#This Row],[From Basis $]] / SnapshotTable[[#This Row],[Equity Basis Total]], "")</f>
        <v/>
      </c>
      <c r="AM232" s="9">
        <f>IF( AND(SnapshotTable[[#This Row],[Equity Shares]] &gt;0,ISNUMBER( SnapshotTable[[#This Row],[Long Term Target]])),(SnapshotTable[[#This Row],[Equity Shares]] * SnapshotTable[[#This Row],[Long Term Target]]) - SnapshotTable[[#This Row],[Equity Basis Total]],0)</f>
        <v>0</v>
      </c>
      <c r="AN232" s="9">
        <f>IF( AND(SnapshotTable[[#This Row],[Equity Shares]] &gt;0,ISNUMBER( SnapshotTable[[#This Row],[Long Term Target]])),(SnapshotTable[[#This Row],[Equity Shares]]*SnapshotTable[[#This Row],[Long Term Target]]) - SnapshotTable[[#This Row],[Equity Value]],0)</f>
        <v>0</v>
      </c>
      <c r="AO232" s="152">
        <f>IF(AND(ISNUMBER( SnapshotTable[[#This Row],[Long Term Target]]), ISNUMBER(SnapshotTable[[#This Row],[Last Price]])),(SnapshotTable[[#This Row],[Long Term Target]] - SnapshotTable[[#This Row],[Last Price]]) / SnapshotTable[[#This Row],[Last Price]], "")</f>
        <v>-0.18052752453197854</v>
      </c>
      <c r="AP232" s="5"/>
      <c r="AQ232" s="38"/>
      <c r="AR232" s="5"/>
      <c r="AS232" s="38"/>
      <c r="AT232" s="146"/>
      <c r="AU232" s="187" t="str">
        <f>IF(OR(SnapshotTable[[#This Row],[LP No Fill]]="Y",SnapshotTable[[#This Row],[SP Is Filled]],SnapshotTable[[#This Row],[LC Not Filled]]="Y",SnapshotTable[[#This Row],[SC Is Filled]]),"Y","")</f>
        <v/>
      </c>
      <c r="AV232" s="219"/>
      <c r="AW232" s="225"/>
      <c r="AX232" s="220"/>
      <c r="AY232" s="219" t="str">
        <f>IF(SnapshotTable[[#This Row],[Implied Move]]&gt;0, SnapshotTable[[#This Row],[Last Price]]-SnapshotTable[[#This Row],[Implied Move]],"")</f>
        <v/>
      </c>
      <c r="AZ232" s="219" t="str">
        <f>IF(SnapshotTable[[#This Row],[Implied Move]]&gt;0, SnapshotTable[[#This Row],[Last Price]] + SnapshotTable[[#This Row],[Implied Move]],"")</f>
        <v/>
      </c>
      <c r="BA232" s="331"/>
      <c r="BB232" s="347"/>
      <c r="BC23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2" s="351"/>
      <c r="BE232" s="5"/>
      <c r="BF232" s="14"/>
      <c r="BG232" s="13"/>
      <c r="BH232" s="13"/>
      <c r="BI232" s="5"/>
      <c r="BJ232" s="136">
        <f>IF(SnapshotTable[[#This Row],[LP Qty]] &gt; 0, SnapshotTable[[#This Row],[LP Qty]] * SnapshotTable[[#This Row],[LP Book Price]] * 100,0)</f>
        <v>0</v>
      </c>
      <c r="BK232" s="136">
        <f>IF(SnapshotTable[[#This Row],[LP Premium]] &gt; 0, SnapshotTable[[#This Row],[LP Qty]] * SnapshotTable[[#This Row],[LP Strike Price]] * 100,0)</f>
        <v>0</v>
      </c>
      <c r="BL232" s="154"/>
      <c r="BM232" s="385" t="str">
        <f>IF(SnapshotTable[[#This Row],[LP Premium]] &gt; 0,SnapshotTable[[#This Row],[LP Exp Date]]-MAX(SnapshotTable[[#This Row],[LP Book Date]], SnapshotTable[[#This Row],[LP Fill Date]]),"")</f>
        <v/>
      </c>
      <c r="BN232" s="385" t="str">
        <f>IF(ISNUMBER( SnapshotTable[[#This Row],[LP Term]]), SnapshotTable[[#This Row],[LP Exp Date]] - MockToday,"")</f>
        <v/>
      </c>
      <c r="BO232" s="163" t="str">
        <f>IF(AND(SnapshotTable[[#This Row],[LP Exp Date]]&gt;0, SnapshotTable[[#This Row],[LP Strike Price]]&gt;0,SnapshotTable[[#This Row],[LP Qty]]&gt;0,SnapshotTable[[#This Row],[LP Book Date]]&gt;0,SnapshotTable[[#This Row],[LP Book Price]]&gt;0,SnapshotTable[[#This Row],[LP Fill Date]]=0),"Y","")</f>
        <v/>
      </c>
      <c r="BP232" s="31" t="str">
        <f>IF(AND(SnapshotTable[[#This Row],[LP No Fill]]&lt;&gt;"Y",SnapshotTable[[#This Row],[LP Contract Value]]&gt;0, SnapshotTable[[#This Row],[LP Qty]]&gt;0), SnapshotTable[[#This Row],[LP Contract Value]]*SnapshotTable[[#This Row],[LP Qty]]*100,"")</f>
        <v/>
      </c>
      <c r="BQ232" s="13"/>
      <c r="BR232" s="5" t="str">
        <f>IF(SnapshotTable[[#This Row],[SP Exp Date]]&lt;&gt;"",TRUNC(SnapshotTable[[#This Row],[Last Price]]),"")</f>
        <v/>
      </c>
      <c r="BS232" s="36"/>
      <c r="BT232" s="147"/>
      <c r="BU232" s="13"/>
      <c r="BV232" s="5"/>
      <c r="BW232" s="419" t="b">
        <f>AND(ISNUMBER(SnapshotTable[[#This Row],[SP Exp Date]]), ISNUMBER(SnapshotTable[[#This Row],[SP Strike Price]]), ISNUMBER(SnapshotTable[[#This Row],[SP Qty]]), ISNUMBER(SnapshotTable[[#This Row],[SP Book Date]]), ISNUMBER(SnapshotTable[[#This Row],[SP Book Price]]))</f>
        <v>0</v>
      </c>
      <c r="BX232" s="419" t="b">
        <f>AND(SnapshotTable[[#This Row],[SP Is Booked]], NOT(ISBLANK(SnapshotTable[[#This Row],[SP Fill Date]])))</f>
        <v>0</v>
      </c>
      <c r="BY232" s="33">
        <f>IF(SnapshotTable[[#This Row],[SP Is Booked]], SnapshotTable[[#This Row],[SP Qty]] * SnapshotTable[[#This Row],[SP Book Price]] * 100, 0)</f>
        <v>0</v>
      </c>
      <c r="BZ232" s="369"/>
      <c r="CA232" s="368">
        <f>SnapshotTable[[#This Row],[LP Qty]]</f>
        <v>0</v>
      </c>
      <c r="CB232" s="4" t="str">
        <f>IF(SnapshotTable[[#This Row],[SP Is Booked]], SnapshotTable[[#This Row],[SP Strike Price]] - SnapshotTable[[#This Row],[SP Book Price]], "")</f>
        <v/>
      </c>
      <c r="CC232" s="19" t="str">
        <f>IF(SnapshotTable[[#This Row],[SP Is Booked]],SnapshotTable[[#This Row],[SP Exp Date]]-MAX(SnapshotTable[[#This Row],[SP Book Date]], SnapshotTable[[#This Row],[SP Fill Date]]),"")</f>
        <v/>
      </c>
      <c r="CD232" s="7" t="str">
        <f>IF(SnapshotTable[[#This Row],[SP Is Booked]], SnapshotTable[[#This Row],[SP Book Price]]/SnapshotTable[[#This Row],[SP Strike Price]], "")</f>
        <v/>
      </c>
      <c r="CE232" s="7" t="str">
        <f>IF(ISNUMBER(SnapshotTable[[#This Row],[SP ROO Term]]),SnapshotTable[[#This Row],[SP ROO Term]]*(365/SnapshotTable[[#This Row],[SP Term]]),"")</f>
        <v/>
      </c>
      <c r="CF232" s="236">
        <f>SnapshotTable[[#This Row],[LP Strike Price]] * SnapshotTable[[#This Row],[LP Qty]] * 100</f>
        <v>0</v>
      </c>
      <c r="CG232" s="31" t="e">
        <f>IF(ISNUMBER(SnapshotTable[[#This Row],[SP Premium]]), (SnapshotTable[[#This Row],[SP Qty]] * SnapshotTable[[#This Row],[SP Strike Price]]* 100) - SnapshotTable[[#This Row],[LP Protection]], 0)</f>
        <v>#VALUE!</v>
      </c>
      <c r="CH232" s="7" t="str">
        <f>IF(ISNUMBER(SnapshotTable[[#This Row],[SP Break Even]]),-1 * (SnapshotTable[[#This Row],[SP Break Even]] - SnapshotTable[[#This Row],[Last Price]]) / SnapshotTable[[#This Row],[Last Price]], "")</f>
        <v/>
      </c>
      <c r="CI232" s="31">
        <f>IF(AND(ISNUMBER((SnapshotTable[[#This Row],[SP Potential Spend]])), SnapshotTable[[#This Row],[SP Strike Price]] &gt; SnapshotTable[[#This Row],[Last Price]], SnapshotTable[[#This Row],[SP Is Filled]]), SnapshotTable[[#This Row],[SP Potential Spend]] -  SnapshotTable[[#This Row],[LP Max Value]], 0)</f>
        <v>0</v>
      </c>
      <c r="CJ232" s="244"/>
      <c r="CK232" s="31" t="str">
        <f>IF(ISNUMBER(SnapshotTable[[#This Row],[SP Potential Spend]]),IF(ISNUMBER(SnapshotTable[[#This Row],[SP POW]]), SnapshotTable[[#This Row],[SP POW]] * SnapshotTable[[#This Row],[SP Potential Spend]], SnapshotTable[[#This Row],[SP Potential Spend]]), "")</f>
        <v/>
      </c>
      <c r="CL232" s="164" t="e">
        <f>IF(NOT(SnapshotTable[[#This Row],[SP Is Filled]]),(SnapshotTable[[#This Row],[SP Qty]] * SnapshotTable[[#This Row],[SP Strike Price]] * 100) - SnapshotTable[[#This Row],[LP Max Value]],"")</f>
        <v>#VALUE!</v>
      </c>
      <c r="CM232" s="31" t="str">
        <f>IF(SnapshotTable[[#This Row],[SP Actual Spend]]&lt;&gt;0, ((SnapshotTable[[#This Row],[SP Strike Price]]-SnapshotTable[[#This Row],[Last Price]]) *(SnapshotTable[[#This Row],[SP Qty]]*100) - SnapshotTable[[#This Row],[SP Premium]]) * - 1, "")</f>
        <v/>
      </c>
      <c r="CN232" s="78"/>
      <c r="CO232" s="369"/>
      <c r="CP232" s="4" t="str">
        <f>IF(SnapshotTable[[#This Row],[SP Is Filled]], btc_max_buyback_amount(SnapshotTable[[#This Row],[SP Fill Date]],SnapshotTable[[#This Row],[SP Exp Date]], SnapshotTable[[#This Row],[SP Book Price]]),"")</f>
        <v/>
      </c>
      <c r="CQ232" s="78"/>
      <c r="CR23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2" s="155" t="str">
        <f>IF(SnapshotTable[[#This Row],[SP Is Filled]], btc_next_cutoff_date(SnapshotTable[[#This Row],[SP Fill Date]],SnapshotTable[[#This Row],[SP Exp Date]]),"")</f>
        <v/>
      </c>
      <c r="CT232" s="235" t="str" cm="1">
        <f t="array" ref="CT232">IF(SnapshotTable[[#This Row],[SP Is Filled]], btc_should_buy_back(SnapshotTable[[#This Row],[SP Fill Date]], SnapshotTable[[#This Row],[SP Exp Date]], SnapshotTable[[#This Row],[SP Book Price]], SnapshotTable[[#This Row],[SP Current Ask]], MockToday, SnapshotTable[[#This Row],[SP Buyback Override]]),"")</f>
        <v/>
      </c>
      <c r="CU232" s="143"/>
      <c r="CV232" s="235"/>
      <c r="CW232" s="378" t="str">
        <f>IF(ISNUMBER( SnapshotTable[[#This Row],[SP Term]]), SnapshotTable[[#This Row],[SP Exp Date]] - MockToday,"")</f>
        <v/>
      </c>
      <c r="CX232" s="31" t="str">
        <f>IF(SnapshotTable[[#This Row],[SP Is Filled]],SnapshotTable[[#This Row],[SP Buyback Price to Use]] * 100 * SnapshotTable[[#This Row],[SP Qty]], "")</f>
        <v/>
      </c>
      <c r="CY232" s="4" t="str">
        <f>IF(ISNUMBER(SnapshotTable[[#This Row],[SP Strike Price]]), SnapshotTable[[#This Row],[SP Strike Price]] * (1 - SP_MaxLoss_StrikePct), "")</f>
        <v/>
      </c>
      <c r="CZ232" s="31" t="str">
        <f>IF(ISNUMBER(SnapshotTable[[#This Row],[SP Strike  Stop Per Share]]),SnapshotTable[[#This Row],[SP Premium]] - ((SnapshotTable[[#This Row],[SP Strike Price]]-SnapshotTable[[#This Row],[SP Strike  Stop Per Share]]) *(SnapshotTable[[#This Row],[SP Qty]] * 100)),"")</f>
        <v/>
      </c>
      <c r="DA232" s="4" t="str">
        <f>IF(AND(ISNUMBER(SnapshotTable[[#This Row],[SP Premium]]),SnapshotTable[[#This Row],[SP Premium]]&gt;0), SnapshotTable[[#This Row],[SP Book Price]] * (1 + SP_MaxLoss_OptionPct), "")</f>
        <v/>
      </c>
      <c r="DB232" s="31" t="str">
        <f>IF(ISNUMBER(SnapshotTable[[#This Row],[SP Option  Stop Contract]]),(SnapshotTable[[#This Row],[SP Option  Stop Contract]] *(SnapshotTable[[#This Row],[SP Qty]] * 100) - SnapshotTable[[#This Row],[SP Premium]]),"")</f>
        <v/>
      </c>
      <c r="DC232" s="4"/>
      <c r="DD232" s="4"/>
      <c r="DE232" s="4" t="str">
        <f>IF(AND(SnapshotTable[[#This Row],[SP Qty]]&gt;0, SnapshotTable[[#This Row],[SP Stop To Use]]&gt;0),SnapshotTable[[#This Row],[SP Premium]] - ( SnapshotTable[[#This Row],[SP Qty]] * SnapshotTable[[#This Row],[SP Stop To Use]] * 100), "")</f>
        <v/>
      </c>
      <c r="DF232" s="31" t="str">
        <f>IF(AND(SnapshotTable[[#This Row],[SP Qty]]&gt;0,SnapshotTable[[#This Row],[SP Current Ask]]&gt;0), SnapshotTable[[#This Row],[SP Qty]] * SnapshotTable[[#This Row],[SP Current Ask]] * -100, "")</f>
        <v/>
      </c>
      <c r="DG232" s="31" t="str">
        <f>IF(ISNUMBER((SnapshotTable[[#This Row],[SP Total Value]])), SnapshotTable[[#This Row],[SP Premium]] + SnapshotTable[[#This Row],[SP Total Value]], "")</f>
        <v/>
      </c>
      <c r="DH232" s="294" t="str">
        <f>IF(ISNUMBER((SnapshotTable[[#This Row],[SP Total Value]])), SnapshotTable[[#This Row],[SP Gain Loss]] / SnapshotTable[[#This Row],[SP Premium]], "")</f>
        <v/>
      </c>
      <c r="DI232" s="406"/>
      <c r="DJ232" s="138"/>
      <c r="DK232" s="148"/>
      <c r="DL232" s="13"/>
      <c r="DM232" s="13"/>
      <c r="DO232" s="31">
        <f>IF(SnapshotTable[[#This Row],[LC Symbol Count]]=1, SnapshotTable[[#This Row],[LC Qty]] * SnapshotTable[[#This Row],[LC Book Price]] * 100, 0)</f>
        <v>0</v>
      </c>
      <c r="DP232" s="163" t="str">
        <f>IF(AND(SnapshotTable[[#This Row],[LC Exp Date]]&gt;0, SnapshotTable[[#This Row],[LC Strike Price]]&gt;0,SnapshotTable[[#This Row],[LC Qty]]&gt;0,SnapshotTable[[#This Row],[LC Book Date]]&gt;0,SnapshotTable[[#This Row],[LC Book Price]]&gt;0,SnapshotTable[[#This Row],[LC Fill Date]]=0),"Y","")</f>
        <v/>
      </c>
      <c r="DQ232" s="386" t="str">
        <f>IF(SnapshotTable[[#This Row],[LC Premium]] &gt; 0,SnapshotTable[[#This Row],[LC Exp Date]]-MAX(SnapshotTable[[#This Row],[LC Book Date]], SnapshotTable[[#This Row],[LC Fill Date]]),"")</f>
        <v/>
      </c>
      <c r="DR232" s="386" t="str">
        <f>IF(ISNUMBER(SnapshotTable[[#This Row],[LC Term]]), SnapshotTable[[#This Row],[LC Exp Date]] - MockToday, "")</f>
        <v/>
      </c>
      <c r="DS232" s="234" t="str">
        <f>IF(SnapshotTable[[#This Row],[LC Premium]]&gt;0,SnapshotTable[[#This Row],[LC Strike Price]] + SnapshotTable[[#This Row],[LC Book Price]],"")</f>
        <v/>
      </c>
      <c r="DU232" s="9" t="str">
        <f>IF(AND(SnapshotTable[[#This Row],[LC Symbol Count]]&gt;0, SnapshotTable[[#This Row],[LC Contract Value]]&gt;0), SnapshotTable[[#This Row],[LC Contract Value]] * SnapshotTable[[#This Row],[LC Qty]] * 100, "")</f>
        <v/>
      </c>
      <c r="DV232" s="9" t="str">
        <f>IF(AND(ISNUMBER(SnapshotTable[[#This Row],[LC Total Value]]), SnapshotTable[[#This Row],[LC Not Filled]]&lt;&gt;"Y"), SnapshotTable[[#This Row],[LC Total Value]]-SnapshotTable[[#This Row],[LC Premium]],"")</f>
        <v/>
      </c>
      <c r="DW232" s="240" t="str">
        <f>IF(ISNUMBER(SnapshotTable[[#This Row],[LC Actual Gain Loss]]), SnapshotTable[[#This Row],[LC Actual Gain Loss]] / SnapshotTable[[#This Row],[LC Premium]],"")</f>
        <v/>
      </c>
      <c r="DX232" s="284" t="str">
        <f>IF(ISNUMBER(SnapshotTable[[#This Row],[LC Book Price]]),SnapshotTable[[#This Row],[LC Book Price]] * 1.5,"")</f>
        <v/>
      </c>
      <c r="DY232" s="265" t="str">
        <f>IF(SnapshotTable[[#This Row],[LC Premium]]&gt;0, SnapshotTable[[#This Row],[LC Next Target]] * SnapshotTable[[#This Row],[LC Qty]] * 100,"")</f>
        <v/>
      </c>
      <c r="DZ232" s="265" t="str">
        <f>IF(ISNUMBER(SnapshotTable[[#This Row],[LC Target Gross]]), SnapshotTable[[#This Row],[LC Target Gross]] - SnapshotTable[[#This Row],[LC Premium]], "")</f>
        <v/>
      </c>
      <c r="EA232" s="305" t="str">
        <f>IF(ISNUMBER(SnapshotTable[[#This Row],[LC Target Gain Loss]]), SnapshotTable[[#This Row],[LC Target Gain Loss]]/SnapshotTable[[#This Row],[LC Premium]], "")</f>
        <v/>
      </c>
      <c r="EB232" s="262"/>
      <c r="EC232" s="283" t="str">
        <f>IF(SnapshotTable[[#This Row],[LC Premium]]&gt;0, SnapshotTable[[#This Row],[LC Book Price]] * (1 - LC_StopLoss_Pct),"")</f>
        <v/>
      </c>
      <c r="ED232" s="284"/>
      <c r="EE232" s="283" t="str">
        <f>IF(ISNUMBER(SnapshotTable[[#This Row],[LC Contract Value]]),IF(ISNUMBER(SnapshotTable[[#This Row],[LC Stop Loss Override]]), SnapshotTable[[#This Row],[LC Stop Loss Override]],SnapshotTable[[#This Row],[LC Stop Loss Calc Target]]),"")</f>
        <v/>
      </c>
      <c r="EF232" s="31" t="str">
        <f>IF(ISNUMBER(SnapshotTable[[#This Row],[LC Stop  To Use]]), (SnapshotTable[[#This Row],[LC Stop  To Use]] * SnapshotTable[[#This Row],[LC Qty]] * 100),"")</f>
        <v/>
      </c>
      <c r="EG232" s="9" t="str">
        <f>IF(ISNUMBER(SnapshotTable[[#This Row],[LC Total Value]]),SnapshotTable[[#This Row],[LC Stop Loss Amount]] - SnapshotTable[[#This Row],[LC Premium]],"")</f>
        <v/>
      </c>
      <c r="EH232" s="9">
        <f>IF(ISNUMBER(SnapshotTable[[#This Row],[LC Premium]]), SnapshotTable[[#This Row],[LC Qty]] * 100 * SnapshotTable[[#This Row],[LC Strike Price]], "")</f>
        <v>0</v>
      </c>
      <c r="EI232" s="240" t="str">
        <f>IF(AND(ISNUMBER(SnapshotTable[[#This Row],[LC Total Value]]),SnapshotTable[[#This Row],[LC Total Value]]&gt;0),SnapshotTable[[#This Row],[LC Stop Gain Loss]]  / SnapshotTable[[#This Row],[LC Premium]],"")</f>
        <v/>
      </c>
      <c r="EJ232" s="35">
        <f>IF(ISNUMBER(SnapshotTable[[#This Row],[Equity Shares]]),TRUNC(SnapshotTable[[#This Row],[Equity Shares]] / 100),0) + SnapshotTable[[#This Row],[LC Qty]]</f>
        <v>0</v>
      </c>
      <c r="EK232" s="147"/>
      <c r="EL232" s="138" t="str">
        <f>IF(SnapshotTable[[#This Row],[SC Exp Date]]&lt;&gt;"",TRUNC(SnapshotTable[[#This Row],[Last Price]]),"")</f>
        <v/>
      </c>
      <c r="EM232" s="148"/>
      <c r="EN232" s="147"/>
      <c r="EO232" s="147"/>
      <c r="EP232" s="138"/>
      <c r="EQ232" s="419" t="b">
        <f>AND(ISNUMBER(SnapshotTable[[#This Row],[SC Exp Date]]), ISNUMBER(SnapshotTable[[#This Row],[SC Strike Price]]), ISNUMBER(SnapshotTable[[#This Row],[SC Qty]]), ISNUMBER(SnapshotTable[[#This Row],[SC Book Date]]), ISNUMBER(SnapshotTable[[#This Row],[SC Book Price]]))</f>
        <v>0</v>
      </c>
      <c r="ER232" s="419" t="b">
        <f>AND(SnapshotTable[[#This Row],[SC Is Booked]], NOT(ISBLANK(SnapshotTable[[#This Row],[SC Fill Date]])))</f>
        <v>0</v>
      </c>
      <c r="ES232" s="370"/>
      <c r="ET232" s="34" t="str">
        <f>IF(AND(ISNUMBER(SnapshotTable[[#This Row],[SC Exp Date]]), ISNUMBER(SnapshotTable[[#This Row],[SC Book Date]])), SnapshotTable[[#This Row],[SC Exp Date]] - MAX(SnapshotTable[[#This Row],[SC Book Date]], SnapshotTable[[#This Row],[SC Fill Date]]) + 1, "")</f>
        <v/>
      </c>
      <c r="EU232" s="34" t="str">
        <f>IF(ISNUMBER(SnapshotTable[[#This Row],[SC Term]]), SnapshotTable[[#This Row],[SC Exp Date]]- MockToday, "")</f>
        <v/>
      </c>
      <c r="EV232" s="31">
        <f>IF(SnapshotTable[[#This Row],[SC Is Booked]], SnapshotTable[[#This Row],[SC Qty]] * SnapshotTable[[#This Row],[SC Book Price]] * 100, 0)</f>
        <v>0</v>
      </c>
      <c r="EW232" s="4" t="str">
        <f>IF(AND(ISNUMBER(SnapshotTable[[#This Row],[Last Price]]), ISNUMBER( SnapshotTable[[#This Row],[SC Book Price]])), SnapshotTable[[#This Row],[Last Price]] - SnapshotTable[[#This Row],[SC Book Price]],"")</f>
        <v/>
      </c>
      <c r="EX232" s="234" t="str">
        <f>IF(SnapshotTable[[#This Row],[SC Is Booked]],IF(SnapshotTable[[#This Row],[SC Intrinsic Value]] &gt; 0, SnapshotTable[[#This Row],[SC Strike Price]], SnapshotTable[[#This Row],[Last Price]]), "")</f>
        <v/>
      </c>
      <c r="EY232" s="4">
        <f>IF(SnapshotTable[[#This Row],[SC Is Booked]], (MinimumPremiumRequired * SnapshotTable[[#This Row],[SC Basis]] * SnapshotTable[[#This Row],[SC Term]]), 0)</f>
        <v>0</v>
      </c>
      <c r="EZ232" s="283"/>
      <c r="FA232" s="218"/>
      <c r="FB232" s="370"/>
      <c r="FC232" s="4">
        <f>IF(SnapshotTable[[#This Row],[SC Is Filled]], btc_max_buyback_amount(SnapshotTable[[#This Row],[SC Fill Date]],SnapshotTable[[#This Row],[SC Exp Date]], SnapshotTable[[#This Row],[SC Book Price]]),0)</f>
        <v>0</v>
      </c>
      <c r="FD232" s="5"/>
      <c r="FE232" s="144" t="str">
        <f>IF(SnapshotTable[[#This Row],[SC Is Filled]], btc_next_cutoff_date(SnapshotTable[[#This Row],[SC Fill Date]],SnapshotTable[[#This Row],[SC Exp Date]]),"")</f>
        <v/>
      </c>
      <c r="FF232" s="4" t="str" cm="1">
        <f t="array" ref="FF232">IF(SnapshotTable[[#This Row],[SC Is Filled]], btc_should_buy_back(SnapshotTable[[#This Row],[SC Fill Date]], SnapshotTable[[#This Row],[SC Exp Date]], SnapshotTable[[#This Row],[SC Book Price]], SnapshotTable[[#This Row],[SC Current Ask]], MockToday, SnapshotTable[[#This Row],[SC Buyback Override]]),"")</f>
        <v/>
      </c>
      <c r="FG232" s="4">
        <f>IF(SnapshotTable[[#This Row],[SC Is Filled]], MAX(0,SnapshotTable[[#This Row],[Last Price]]  - SnapshotTable[[#This Row],[SC Strike Price]]), 0)</f>
        <v>0</v>
      </c>
      <c r="FH232" s="382">
        <f>IF(SnapshotTable[[#This Row],[SC Is Filled]], IF(ISNUMBER(SnapshotTable[[#This Row],[SC Current Ask]]), SnapshotTable[[#This Row],[SC Current Ask]], SnapshotTable[[#This Row],[SC Book Price]]) - SnapshotTable[[#This Row],[SC Intrinsic Value]], 0)</f>
        <v>0</v>
      </c>
      <c r="FI232" s="143"/>
      <c r="FJ232" s="32" t="str">
        <f>IF(SnapshotTable[[#This Row],[SC Is Filled]],100 * SnapshotTable[[#This Row],[SC Qty]] * IF(ISNUMBER(SnapshotTable[[#This Row],[SC Buyback Override]]), SnapshotTable[[#This Row],[SC Buyback Override]], SnapshotTable[[#This Row],[SC Current Ask]]), "")</f>
        <v/>
      </c>
      <c r="FK232" s="250" t="str">
        <f>IF(SnapshotTable[[#This Row],[SC Time Val]]&gt;0, SnapshotTable[[#This Row],[SC Time Val]] / SnapshotTable[[#This Row],[Last Price]],"")</f>
        <v/>
      </c>
      <c r="FL232" s="302" t="str">
        <f>IF(SnapshotTable[[#This Row],[SC Is Booked]], ((SnapshotTable[[#This Row],[Last Price]] -SnapshotTable[[#This Row],[SC Strike Price]]) / SnapshotTable[[#This Row],[Last Price]]) * -1, "")</f>
        <v/>
      </c>
      <c r="FM232" s="157" t="str">
        <f>IF(SnapshotTable[[#This Row],[SC Is Booked]],  (SnapshotTable[[#This Row],[SC Qty]] * 100 * SnapshotTable[[#This Row],[SC Strike Price]]) - SnapshotTable[[#This Row],[SC Current Ask]], "")</f>
        <v/>
      </c>
      <c r="FN23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2" s="31" t="str">
        <f>IF(AND(ISNUMBER(SnapshotTable[[#This Row],[SC Exercise Gross]]), ISNUMBER(SnapshotTable[[#This Row],[Equity Basis Per Share]] )), SnapshotTable[[#This Row],[SC Exercise Gross]] - SnapshotTable[[#This Row],[Equity Basis Total]] +  SnapshotTable[[#This Row],[SC Premium]], "")</f>
        <v/>
      </c>
      <c r="FP232" s="5" t="str">
        <f>IF(ISNUMBER(SnapshotTable[[#This Row],[SC Exercise Gross]]), (SnapshotTable[[#This Row],[SC Exercise Gross]]) / (SnapshotTable[[#This Row],[SC Qty]] * 100), "")</f>
        <v/>
      </c>
      <c r="FQ232" s="27" t="str">
        <f>IF(SnapshotTable[[#This Row],[SC Is Booked]],SnapshotTable[[#This Row],[SC Time Val]] /SnapshotTable[[#This Row],[SC Basis]], "")</f>
        <v/>
      </c>
      <c r="FR232" s="27" t="str" cm="1">
        <f t="array" ref="FR232">IF(AND(ISNUMBER(SnapshotTable[[#This Row],[SC Term]]),ISNUMBER(SnapshotTable[[#This Row],[SC Simple ROO]])), EllmanAnnualize(SnapshotTable[[#This Row],[SC DTE]], SnapshotTable[[#This Row],[SC Simple ROO]] ),"")</f>
        <v/>
      </c>
      <c r="FS232" s="4" t="e">
        <f>IF(SnapshotTable[[#This Row],[SC Strike Price]] &gt; SnapshotTable[[#This Row],[Last Price]], SnapshotTable[[#This Row],[SC Strike Price]] - SnapshotTable[[#This Row],[Last Price]],0)</f>
        <v>#VALUE!</v>
      </c>
      <c r="FT232" s="27" t="e">
        <f>IF(AND(ISNUMBER(SnapshotTable[[#This Row],[SC Upside Potential]]), SnapshotTable[[#This Row],[SC Upside Potential]] &gt; 0),(SnapshotTable[[#This Row],[SC Upside Potential]]/ SnapshotTable[[#This Row],[ACB]]),"")</f>
        <v>#VALUE!</v>
      </c>
      <c r="FU232" s="333" t="str">
        <f>IF(SnapshotTable[[#This Row],[SC Intrinsic Value]] &gt; 0,SnapshotTable[[#This Row],[SC Intrinsic Value]],"")</f>
        <v/>
      </c>
      <c r="FV232" s="27" t="str">
        <f>IF(AND( ISNUMBER( SnapshotTable[[#This Row],[ACB]]),ISNUMBER(SnapshotTable[[#This Row],[SC Downside Protect]])),SnapshotTable[[#This Row],[SC Downside Protect]] / SnapshotTable[[#This Row],[ACB]],"")</f>
        <v/>
      </c>
      <c r="FW232" s="236" t="str">
        <f>IF(AND(ISNUMBER(SnapshotTable[[#This Row],[SC Simple ROO]]),SnapshotTable[[#This Row],[SC Simple ROO]] &gt; 0), SnapshotTable[[#This Row],[SC Premium]] + (SnapshotTable[[#This Row],[SC Qty]] * SnapshotTable[[#This Row],[SC Upside Potential]]), "")</f>
        <v/>
      </c>
      <c r="FX232" s="302" t="str" cm="1">
        <f t="array" ref="FX232">IF(ISNUMBER(SnapshotTable[[#This Row],[SC Max Dollars]]), annualize(SnapshotTable[[#This Row],[SC Term]],(SnapshotTable[[#This Row],[SC Max Dollars]]/SnapshotTable[[#This Row],[SC Basis]])),"")</f>
        <v/>
      </c>
      <c r="FY232" s="236" t="str">
        <f>IF(AND(SnapshotTable[[#This Row],[SC Qty]]&gt;0,SnapshotTable[[#This Row],[SC Current Ask]]&gt;0), SnapshotTable[[#This Row],[SC Qty]] * SnapshotTable[[#This Row],[SC Current Ask]] * -100, "")</f>
        <v/>
      </c>
      <c r="FZ232" s="31" t="str">
        <f>IF(ISNUMBER((SnapshotTable[[#This Row],[SC Current Value]])), SnapshotTable[[#This Row],[SC Premium]] + SnapshotTable[[#This Row],[SC Current Value]], "")</f>
        <v/>
      </c>
      <c r="GA232" s="294" t="str">
        <f>IFERROR( IF(ISNUMBER((SnapshotTable[[#This Row],[SC Current Value]])), SnapshotTable[[#This Row],[SC Gain Loss]] / SnapshotTable[[#This Row],[SC Premium]], ""), "")</f>
        <v/>
      </c>
      <c r="GB232" s="42">
        <f>SnapshotTable[[#This Row],[Equity Shares]] * SaleSharesToConsiderPercentage</f>
        <v>0</v>
      </c>
      <c r="GC232" s="40">
        <f>SnapshotTable[[#This Row],[Long Term Target]] * SellingPriceToConsiderBasedOnTargetPercentage</f>
        <v>111.8625</v>
      </c>
      <c r="GD232" s="40">
        <f>SnapshotTable[[#This Row],[Last Price]] * (1+ SellingPriceToConsiderBasedOnTargetPercentage)</f>
        <v>280.19549999999998</v>
      </c>
      <c r="GE232" s="41"/>
      <c r="GF232" s="40">
        <v>108.18</v>
      </c>
      <c r="GG232" s="31">
        <f>SnapshotTable[[#This Row],[Booked Sale Shares]] * SnapshotTable[[#This Row],[Booked Sale Price]]</f>
        <v>0</v>
      </c>
      <c r="GH232" s="31" t="str">
        <f>IF(SnapshotTable[[#This Row],[Equity Basis Total]] &gt; 0, SnapshotTable[[#This Row],[Equity Basis Per Share]] * SnapshotTable[[#This Row],[Booked Sale Shares]], "")</f>
        <v/>
      </c>
      <c r="GI232" s="31">
        <f>IF(SnapshotTable[[#This Row],[Sale Proceeds]]&gt;0, SnapshotTable[[#This Row],[Sale Proceeds]] - SnapshotTable[[#This Row],[Sale Basis]], 0)</f>
        <v>0</v>
      </c>
      <c r="GJ232" s="27" t="str">
        <f>IF(SnapshotTable[[#This Row],[Sale G/L]]&gt;0, SnapshotTable[[#This Row],[Sale G/L]] / SnapshotTable[[#This Row],[Sale Basis]], IF(ISNUMBER(SnapshotTable[[#This Row],[SC Exercise P&amp;L (TAX)]]), SnapshotTable[[#This Row],[SC Exercise P&amp;L (TAX)]] / SnapshotTable[[#This Row],[SC Basis]], ""))</f>
        <v/>
      </c>
      <c r="GK232" s="27" t="s">
        <v>737</v>
      </c>
      <c r="GL232" s="43" t="str">
        <f>IF(AND(SnapshotTable[[#This Row],[LP Exp Date]]&gt;0,SnapshotTable[[#This Row],[LP Strike Price]]&gt;0), [1]!ToOptionSymbol(SnapshotTable[[#This Row],[Symbol]], SnapshotTable[[#This Row],[LP Strike Price]],SnapshotTable[[#This Row],[LP Exp Date]],1), "")</f>
        <v/>
      </c>
      <c r="GM232" s="30" t="str">
        <f>IF(LEN(SnapshotTable[[#This Row],[LP Symbol]])&gt;0, 1, "")</f>
        <v/>
      </c>
      <c r="GN232" s="43" t="str">
        <f>IF(AND(SnapshotTable[[#This Row],[SP Exp Date]]&gt;0,SnapshotTable[[#This Row],[SP Strike Price]]&gt;0), [1]!ToOptionSymbol(SnapshotTable[[#This Row],[Symbol]], SnapshotTable[[#This Row],[SP Strike Price]],SnapshotTable[[#This Row],[SP Exp Date]],1), "")</f>
        <v/>
      </c>
      <c r="GO232" s="30" t="str">
        <f>IF(LEN(SnapshotTable[[#This Row],[SP Symbol]])&gt;0, 1, "")</f>
        <v/>
      </c>
      <c r="GP232" s="43" t="str">
        <f>IF(AND(SnapshotTable[[#This Row],[LC Exp Date]]&gt;0,SnapshotTable[[#This Row],[LC Strike Price]]&gt;0), [1]!ToOptionSymbol(SnapshotTable[[#This Row],[Symbol]], SnapshotTable[[#This Row],[LC Strike Price]],SnapshotTable[[#This Row],[LC Exp Date]],0), "")</f>
        <v/>
      </c>
      <c r="GQ232" s="30" t="str">
        <f>IF(LEN(SnapshotTable[[#This Row],[LC Symbol]])&gt;0, 1, "")</f>
        <v/>
      </c>
      <c r="GR232" s="43" t="str">
        <f>IF(AND(SnapshotTable[[#This Row],[SC Exp Date]]&gt;0,SnapshotTable[[#This Row],[SC Strike Price]]&gt;0), [1]!ToOptionSymbol(SnapshotTable[[#This Row],[Symbol]], SnapshotTable[[#This Row],[SC Strike Price]],SnapshotTable[[#This Row],[SC Exp Date]],0), "")</f>
        <v/>
      </c>
      <c r="GS232" s="30" t="str">
        <f>IF(LEN(SnapshotTable[[#This Row],[SC Symbol]])&gt;0, 1, "")</f>
        <v/>
      </c>
      <c r="GT232" s="29" t="str">
        <f>IF(COUNT(SnapshotTable[[#This Row],[LP Symbol Count]],SnapshotTable[[#This Row],[SP Symbol Count]],SnapshotTable[[#This Row],[LC Symbol Count]],SnapshotTable[[#This Row],[SC Symbol Count]])&gt;0, "Y", "")</f>
        <v/>
      </c>
      <c r="GU23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2" s="231" t="e">
        <f>MAX(SnapshotTable[[#This Row],[Equity Basis Total]],SnapshotTable[[#This Row],[Equity Value]]) + (SnapshotTable[[#This Row],[SP Potential Spend]]- SnapshotTable[[#This Row],[SP Premium]] + SnapshotTable[[#This Row],[LP Premium]])+ (SnapshotTable[[#This Row],[LC Premium]] - SnapshotTable[[#This Row],[SC Premium]])</f>
        <v>#VALUE!</v>
      </c>
      <c r="GW232" s="139" t="e">
        <f>IF(AND(SnapshotTable[[#This Row],[Exposure]] &lt;&gt; 0),SnapshotTable[[#This Row],[Exposure]] / SnapshotTable[[#Totals],[Exposure]], "")</f>
        <v>#VALUE!</v>
      </c>
      <c r="GX232" s="5"/>
      <c r="HE232" s="268"/>
      <c r="HF232" s="268"/>
      <c r="HK232" s="1"/>
      <c r="HL232" s="1"/>
      <c r="HM232" s="1"/>
      <c r="HN232" s="1"/>
      <c r="HO232" s="1"/>
      <c r="HP232" s="1"/>
    </row>
    <row r="233" spans="2:224" ht="12.75" hidden="1" customHeight="1" x14ac:dyDescent="0.25">
      <c r="B233" s="12" t="s">
        <v>909</v>
      </c>
      <c r="C233" s="422">
        <v>82.15</v>
      </c>
      <c r="D233" s="208"/>
      <c r="E233" s="39">
        <f>SnapshotTable[[#This Row],[Last Price]]*(1 -CrashDiscount)</f>
        <v>69.827500000000001</v>
      </c>
      <c r="F233" s="26" t="s">
        <v>910</v>
      </c>
      <c r="G233" s="26" t="s">
        <v>610</v>
      </c>
      <c r="H233" s="149"/>
      <c r="I233" s="194">
        <v>44727.6875</v>
      </c>
      <c r="J233" s="195">
        <v>44727.6875</v>
      </c>
      <c r="K233" s="196"/>
      <c r="L233" s="326"/>
      <c r="M233" s="140"/>
      <c r="N233" s="140"/>
      <c r="O233" s="140"/>
      <c r="P233" s="22"/>
      <c r="Q233" s="25"/>
      <c r="R233" s="4" t="str">
        <f>IF(SnapshotTable[[#This Row],[Equity Basis Total]] &gt; 0, SnapshotTable[[#This Row],[Equity Basis Total]] / SnapshotTable[[#This Row],[Equity Shares]], "")</f>
        <v/>
      </c>
      <c r="S233" s="269">
        <f>SnapshotTable[[#This Row],[Last Price]] * SnapshotTable[[#This Row],[Equity Shares]]</f>
        <v>0</v>
      </c>
      <c r="T233" s="269">
        <f>SnapshotTable[[#This Row],[Equity Value]] - SnapshotTable[[#This Row],[Equity Basis Total]]</f>
        <v>0</v>
      </c>
      <c r="U233" s="270" t="str">
        <f>IF(SnapshotTable[[#This Row],[Equity Basis Total]] &gt; 0, SnapshotTable[[#This Row],[Equity G/L]] / SnapshotTable[[#This Row],[Equity Basis Total]], "")</f>
        <v/>
      </c>
      <c r="V233" s="268"/>
      <c r="W233" s="268"/>
      <c r="X233" s="4" t="str">
        <f>IF(AND(ISNUMBER(SnapshotTable[[#This Row],[Equity Basis Per Share]]),ISNUMBER(SnapshotTable[[#This Row],[Equity Target]])),SnapshotTable[[#This Row],[Equity Target]]-SnapshotTable[[#This Row],[Equity Basis Per Share]],"")</f>
        <v/>
      </c>
      <c r="Y233" s="4" t="str">
        <f>IF(AND(ISNUMBER(SnapshotTable[[#This Row],[Equity Basis Per Share]]),ISNUMBER(SnapshotTable[[#This Row],[Equity Stop Loss]])),SnapshotTable[[#This Row],[Equity Stop Loss]]-SnapshotTable[[#This Row],[Equity Basis Per Share]],"")</f>
        <v/>
      </c>
      <c r="Z233" s="275" t="str">
        <f>IFERROR( TEXT(SnapshotTable[[#This Row],[Equity Max Gain Per Share]] /ABS( SnapshotTable[[#This Row],[Equity Max Loss Per Share]]),"0.0 " ) &amp; " : 1", "")</f>
        <v/>
      </c>
      <c r="AA233" s="31" t="str">
        <f>IF(ISNUMBER(SnapshotTable[[#This Row],[Equity Max Gain Per Share]]),SnapshotTable[[#This Row],[Equity Max Gain Per Share]] * SnapshotTable[[#This Row],[Equity Shares]],"")</f>
        <v/>
      </c>
      <c r="AB233" s="31" t="str">
        <f>IF(ISNUMBER(SnapshotTable[[#This Row],[Equity Max Loss Per Share]]),SnapshotTable[[#This Row],[Equity Max Loss Per Share]] * SnapshotTable[[#This Row],[Equity Shares]],"")</f>
        <v/>
      </c>
      <c r="AC233" s="150"/>
      <c r="AD233" s="151"/>
      <c r="AE233" s="31">
        <f>(SnapshotTable[[#This Row],[Annual Dividend Per Share]] / 4) * SnapshotTable[[#This Row],[Equity Shares]]</f>
        <v>0</v>
      </c>
      <c r="AF233" s="31">
        <f>SnapshotTable[[#This Row],[Quarterly Div $]] * 4</f>
        <v>0</v>
      </c>
      <c r="AG233" s="7">
        <f>IF(SnapshotTable[[#This Row],[Annual Dividend Per Share]]&gt;0, SnapshotTable[[#This Row],[Annual Dividend Per Share]]  / SnapshotTable[[#This Row],[Last Price]], 0)</f>
        <v>0</v>
      </c>
      <c r="AH233" s="151"/>
      <c r="AI233" s="5"/>
      <c r="AJ233" s="138">
        <v>87.53</v>
      </c>
      <c r="AK233" s="152" t="str">
        <f>IF(ISNUMBER( SnapshotTable[[#This Row],[EBF Target]]),(SnapshotTable[[#This Row],[EBF Target]] - SnapshotTable[[#This Row],[Last Price]]) / SnapshotTable[[#This Row],[Last Price]], "")</f>
        <v/>
      </c>
      <c r="AL233" s="152" t="str">
        <f>IF(AND(SnapshotTable[[#This Row],[Equity Basis Total]] &gt; 0,ISNUMBER( SnapshotTable[[#This Row],[Long Term Target]])), SnapshotTable[[#This Row],[From Basis $]] / SnapshotTable[[#This Row],[Equity Basis Total]], "")</f>
        <v/>
      </c>
      <c r="AM233" s="9">
        <f>IF( AND(SnapshotTable[[#This Row],[Equity Shares]] &gt;0,ISNUMBER( SnapshotTable[[#This Row],[Long Term Target]])),(SnapshotTable[[#This Row],[Equity Shares]] * SnapshotTable[[#This Row],[Long Term Target]]) - SnapshotTable[[#This Row],[Equity Basis Total]],0)</f>
        <v>0</v>
      </c>
      <c r="AN233" s="9">
        <f>IF( AND(SnapshotTable[[#This Row],[Equity Shares]] &gt;0,ISNUMBER( SnapshotTable[[#This Row],[Long Term Target]])),(SnapshotTable[[#This Row],[Equity Shares]]*SnapshotTable[[#This Row],[Long Term Target]]) - SnapshotTable[[#This Row],[Equity Value]],0)</f>
        <v>0</v>
      </c>
      <c r="AO233" s="152">
        <f>IF(AND(ISNUMBER( SnapshotTable[[#This Row],[Long Term Target]]), ISNUMBER(SnapshotTable[[#This Row],[Last Price]])),(SnapshotTable[[#This Row],[Long Term Target]] - SnapshotTable[[#This Row],[Last Price]]) / SnapshotTable[[#This Row],[Last Price]], "")</f>
        <v>6.5489957395009069E-2</v>
      </c>
      <c r="AP233" s="5">
        <v>75</v>
      </c>
      <c r="AQ233" s="38" t="s">
        <v>38</v>
      </c>
      <c r="AR233" s="5">
        <v>75</v>
      </c>
      <c r="AS233" s="38" t="s">
        <v>26</v>
      </c>
      <c r="AT233" s="146" t="s">
        <v>538</v>
      </c>
      <c r="AU233" s="187" t="str">
        <f>IF(OR(SnapshotTable[[#This Row],[LP No Fill]]="Y",SnapshotTable[[#This Row],[SP Is Filled]],SnapshotTable[[#This Row],[LC Not Filled]]="Y",SnapshotTable[[#This Row],[SC Is Filled]]),"Y","")</f>
        <v/>
      </c>
      <c r="AV233" s="219"/>
      <c r="AW233" s="225"/>
      <c r="AX233" s="220"/>
      <c r="AY233" s="219" t="str">
        <f>IF(SnapshotTable[[#This Row],[Implied Move]]&gt;0, SnapshotTable[[#This Row],[Last Price]]-SnapshotTable[[#This Row],[Implied Move]],"")</f>
        <v/>
      </c>
      <c r="AZ233" s="219" t="str">
        <f>IF(SnapshotTable[[#This Row],[Implied Move]]&gt;0, SnapshotTable[[#This Row],[Last Price]] + SnapshotTable[[#This Row],[Implied Move]],"")</f>
        <v/>
      </c>
      <c r="BA233" s="331"/>
      <c r="BB233" s="347"/>
      <c r="BC23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3" s="351"/>
      <c r="BE233" s="138"/>
      <c r="BF233" s="166"/>
      <c r="BG233" s="167"/>
      <c r="BH233" s="167"/>
      <c r="BI233" s="221"/>
      <c r="BJ233" s="153">
        <f>IF(SnapshotTable[[#This Row],[LP Qty]] &gt; 0, SnapshotTable[[#This Row],[LP Qty]] * SnapshotTable[[#This Row],[LP Book Price]] * 100,0)</f>
        <v>0</v>
      </c>
      <c r="BK233" s="136">
        <f>IF(SnapshotTable[[#This Row],[LP Premium]] &gt; 0, SnapshotTable[[#This Row],[LP Qty]] * SnapshotTable[[#This Row],[LP Strike Price]] * 100,0)</f>
        <v>0</v>
      </c>
      <c r="BL233" s="154"/>
      <c r="BM233" s="385" t="str">
        <f>IF(SnapshotTable[[#This Row],[LP Premium]] &gt; 0,SnapshotTable[[#This Row],[LP Exp Date]]-MAX(SnapshotTable[[#This Row],[LP Book Date]], SnapshotTable[[#This Row],[LP Fill Date]]),"")</f>
        <v/>
      </c>
      <c r="BN233" s="385" t="str">
        <f>IF(ISNUMBER( SnapshotTable[[#This Row],[LP Term]]), SnapshotTable[[#This Row],[LP Exp Date]] - MockToday,"")</f>
        <v/>
      </c>
      <c r="BO233" s="163" t="str">
        <f>IF(AND(SnapshotTable[[#This Row],[LP Exp Date]]&gt;0, SnapshotTable[[#This Row],[LP Strike Price]]&gt;0,SnapshotTable[[#This Row],[LP Qty]]&gt;0,SnapshotTable[[#This Row],[LP Book Date]]&gt;0,SnapshotTable[[#This Row],[LP Book Price]]&gt;0,SnapshotTable[[#This Row],[LP Fill Date]]=0),"Y","")</f>
        <v/>
      </c>
      <c r="BP233" s="31" t="str">
        <f>IF(AND(SnapshotTable[[#This Row],[LP No Fill]]&lt;&gt;"Y",SnapshotTable[[#This Row],[LP Contract Value]]&gt;0, SnapshotTable[[#This Row],[LP Qty]]&gt;0), SnapshotTable[[#This Row],[LP Contract Value]]*SnapshotTable[[#This Row],[LP Qty]]*100,"")</f>
        <v/>
      </c>
      <c r="BQ233" s="13"/>
      <c r="BR233" s="5" t="str">
        <f>IF(SnapshotTable[[#This Row],[SP Exp Date]]&lt;&gt;"",TRUNC(SnapshotTable[[#This Row],[Last Price]]),"")</f>
        <v/>
      </c>
      <c r="BS233" s="36"/>
      <c r="BT233" s="147"/>
      <c r="BU233" s="13"/>
      <c r="BV233" s="5"/>
      <c r="BW233" s="419" t="b">
        <f>AND(ISNUMBER(SnapshotTable[[#This Row],[SP Exp Date]]), ISNUMBER(SnapshotTable[[#This Row],[SP Strike Price]]), ISNUMBER(SnapshotTable[[#This Row],[SP Qty]]), ISNUMBER(SnapshotTable[[#This Row],[SP Book Date]]), ISNUMBER(SnapshotTable[[#This Row],[SP Book Price]]))</f>
        <v>0</v>
      </c>
      <c r="BX233" s="419" t="b">
        <f>AND(SnapshotTable[[#This Row],[SP Is Booked]], NOT(ISBLANK(SnapshotTable[[#This Row],[SP Fill Date]])))</f>
        <v>0</v>
      </c>
      <c r="BY233" s="33">
        <f>IF(SnapshotTable[[#This Row],[SP Is Booked]], SnapshotTable[[#This Row],[SP Qty]] * SnapshotTable[[#This Row],[SP Book Price]] * 100, 0)</f>
        <v>0</v>
      </c>
      <c r="BZ233" s="369"/>
      <c r="CA233" s="368">
        <f>SnapshotTable[[#This Row],[LP Qty]]</f>
        <v>0</v>
      </c>
      <c r="CB233" s="4" t="str">
        <f>IF(SnapshotTable[[#This Row],[SP Is Booked]], SnapshotTable[[#This Row],[SP Strike Price]] - SnapshotTable[[#This Row],[SP Book Price]], "")</f>
        <v/>
      </c>
      <c r="CC233" s="19" t="str">
        <f>IF(SnapshotTable[[#This Row],[SP Is Booked]],SnapshotTable[[#This Row],[SP Exp Date]]-MAX(SnapshotTable[[#This Row],[SP Book Date]], SnapshotTable[[#This Row],[SP Fill Date]]),"")</f>
        <v/>
      </c>
      <c r="CD233" s="7" t="str">
        <f>IF(SnapshotTable[[#This Row],[SP Is Booked]], SnapshotTable[[#This Row],[SP Book Price]]/SnapshotTable[[#This Row],[SP Strike Price]], "")</f>
        <v/>
      </c>
      <c r="CE233" s="7" t="str">
        <f>IF(ISNUMBER(SnapshotTable[[#This Row],[SP ROO Term]]),SnapshotTable[[#This Row],[SP ROO Term]]*(365/SnapshotTable[[#This Row],[SP Term]]),"")</f>
        <v/>
      </c>
      <c r="CF233" s="236">
        <f>SnapshotTable[[#This Row],[LP Strike Price]] * SnapshotTable[[#This Row],[LP Qty]] * 100</f>
        <v>0</v>
      </c>
      <c r="CG233" s="31" t="e">
        <f>IF(ISNUMBER(SnapshotTable[[#This Row],[SP Premium]]), (SnapshotTable[[#This Row],[SP Qty]] * SnapshotTable[[#This Row],[SP Strike Price]]* 100) - SnapshotTable[[#This Row],[LP Protection]], 0)</f>
        <v>#VALUE!</v>
      </c>
      <c r="CH233" s="7" t="str">
        <f>IF(ISNUMBER(SnapshotTable[[#This Row],[SP Break Even]]),-1 * (SnapshotTable[[#This Row],[SP Break Even]] - SnapshotTable[[#This Row],[Last Price]]) / SnapshotTable[[#This Row],[Last Price]], "")</f>
        <v/>
      </c>
      <c r="CI233" s="31">
        <f>IF(AND(ISNUMBER((SnapshotTable[[#This Row],[SP Potential Spend]])), SnapshotTable[[#This Row],[SP Strike Price]] &gt; SnapshotTable[[#This Row],[Last Price]], SnapshotTable[[#This Row],[SP Is Filled]]), SnapshotTable[[#This Row],[SP Potential Spend]] -  SnapshotTable[[#This Row],[LP Max Value]], 0)</f>
        <v>0</v>
      </c>
      <c r="CJ233" s="244"/>
      <c r="CK233" s="31" t="str">
        <f>IF(ISNUMBER(SnapshotTable[[#This Row],[SP Potential Spend]]),IF(ISNUMBER(SnapshotTable[[#This Row],[SP POW]]), SnapshotTable[[#This Row],[SP POW]] * SnapshotTable[[#This Row],[SP Potential Spend]], SnapshotTable[[#This Row],[SP Potential Spend]]), "")</f>
        <v/>
      </c>
      <c r="CL233" s="164" t="e">
        <f>IF(NOT(SnapshotTable[[#This Row],[SP Is Filled]]),(SnapshotTable[[#This Row],[SP Qty]] * SnapshotTable[[#This Row],[SP Strike Price]] * 100) - SnapshotTable[[#This Row],[LP Max Value]],"")</f>
        <v>#VALUE!</v>
      </c>
      <c r="CM233" s="31" t="str">
        <f>IF(SnapshotTable[[#This Row],[SP Actual Spend]]&lt;&gt;0, ((SnapshotTable[[#This Row],[SP Strike Price]]-SnapshotTable[[#This Row],[Last Price]]) *(SnapshotTable[[#This Row],[SP Qty]]*100) - SnapshotTable[[#This Row],[SP Premium]]) * - 1, "")</f>
        <v/>
      </c>
      <c r="CN233" s="227"/>
      <c r="CO233" s="369"/>
      <c r="CP233" s="4" t="str">
        <f>IF(SnapshotTable[[#This Row],[SP Is Filled]], btc_max_buyback_amount(SnapshotTable[[#This Row],[SP Fill Date]],SnapshotTable[[#This Row],[SP Exp Date]], SnapshotTable[[#This Row],[SP Book Price]]),"")</f>
        <v/>
      </c>
      <c r="CQ233" s="78"/>
      <c r="CR23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3" s="155" t="str">
        <f>IF(SnapshotTable[[#This Row],[SP Is Filled]], btc_next_cutoff_date(SnapshotTable[[#This Row],[SP Fill Date]],SnapshotTable[[#This Row],[SP Exp Date]]),"")</f>
        <v/>
      </c>
      <c r="CT233" s="235" t="str" cm="1">
        <f t="array" ref="CT233">IF(SnapshotTable[[#This Row],[SP Is Filled]], btc_should_buy_back(SnapshotTable[[#This Row],[SP Fill Date]], SnapshotTable[[#This Row],[SP Exp Date]], SnapshotTable[[#This Row],[SP Book Price]], SnapshotTable[[#This Row],[SP Current Ask]], MockToday, SnapshotTable[[#This Row],[SP Buyback Override]]),"")</f>
        <v/>
      </c>
      <c r="CU233" s="156"/>
      <c r="CV233" s="235"/>
      <c r="CW233" s="378" t="str">
        <f>IF(ISNUMBER( SnapshotTable[[#This Row],[SP Term]]), SnapshotTable[[#This Row],[SP Exp Date]] - MockToday,"")</f>
        <v/>
      </c>
      <c r="CX233" s="31" t="str">
        <f>IF(SnapshotTable[[#This Row],[SP Is Filled]],SnapshotTable[[#This Row],[SP Buyback Price to Use]] * 100 * SnapshotTable[[#This Row],[SP Qty]], "")</f>
        <v/>
      </c>
      <c r="CY233" s="4" t="str">
        <f>IF(ISNUMBER(SnapshotTable[[#This Row],[SP Strike Price]]), SnapshotTable[[#This Row],[SP Strike Price]] * (1 - SP_MaxLoss_StrikePct), "")</f>
        <v/>
      </c>
      <c r="CZ233" s="31" t="str">
        <f>IF(ISNUMBER(SnapshotTable[[#This Row],[SP Strike  Stop Per Share]]),SnapshotTable[[#This Row],[SP Premium]] - ((SnapshotTable[[#This Row],[SP Strike Price]]-SnapshotTable[[#This Row],[SP Strike  Stop Per Share]]) *(SnapshotTable[[#This Row],[SP Qty]] * 100)),"")</f>
        <v/>
      </c>
      <c r="DA233" s="4" t="str">
        <f>IF(AND(ISNUMBER(SnapshotTable[[#This Row],[SP Premium]]),SnapshotTable[[#This Row],[SP Premium]]&gt;0), SnapshotTable[[#This Row],[SP Book Price]] * (1 + SP_MaxLoss_OptionPct), "")</f>
        <v/>
      </c>
      <c r="DB233" s="31" t="str">
        <f>IF(ISNUMBER(SnapshotTable[[#This Row],[SP Option  Stop Contract]]),(SnapshotTable[[#This Row],[SP Option  Stop Contract]] *(SnapshotTable[[#This Row],[SP Qty]] * 100) - SnapshotTable[[#This Row],[SP Premium]]),"")</f>
        <v/>
      </c>
      <c r="DC233" s="4"/>
      <c r="DD233" s="4"/>
      <c r="DE233" s="4" t="str">
        <f>IF(AND(SnapshotTable[[#This Row],[SP Qty]]&gt;0, SnapshotTable[[#This Row],[SP Stop To Use]]&gt;0),SnapshotTable[[#This Row],[SP Premium]] - ( SnapshotTable[[#This Row],[SP Qty]] * SnapshotTable[[#This Row],[SP Stop To Use]] * 100), "")</f>
        <v/>
      </c>
      <c r="DF233" s="31" t="str">
        <f>IF(AND(SnapshotTable[[#This Row],[SP Qty]]&gt;0,SnapshotTable[[#This Row],[SP Current Ask]]&gt;0), SnapshotTable[[#This Row],[SP Qty]] * SnapshotTable[[#This Row],[SP Current Ask]] * -100, "")</f>
        <v/>
      </c>
      <c r="DG233" s="31" t="str">
        <f>IF(ISNUMBER((SnapshotTable[[#This Row],[SP Total Value]])), SnapshotTable[[#This Row],[SP Premium]] + SnapshotTable[[#This Row],[SP Total Value]], "")</f>
        <v/>
      </c>
      <c r="DH233" s="294" t="str">
        <f>IF(ISNUMBER((SnapshotTable[[#This Row],[SP Total Value]])), SnapshotTable[[#This Row],[SP Gain Loss]] / SnapshotTable[[#This Row],[SP Premium]], "")</f>
        <v/>
      </c>
      <c r="DI233" s="406"/>
      <c r="DJ233" s="138"/>
      <c r="DK233" s="148"/>
      <c r="DL233" s="147"/>
      <c r="DM233" s="147"/>
      <c r="DO233" s="31">
        <f>IF(SnapshotTable[[#This Row],[LC Symbol Count]]=1, SnapshotTable[[#This Row],[LC Qty]] * SnapshotTable[[#This Row],[LC Book Price]] * 100, 0)</f>
        <v>0</v>
      </c>
      <c r="DP233" s="289" t="str">
        <f>IF(AND(SnapshotTable[[#This Row],[LC Exp Date]]&gt;0, SnapshotTable[[#This Row],[LC Strike Price]]&gt;0,SnapshotTable[[#This Row],[LC Qty]]&gt;0,SnapshotTable[[#This Row],[LC Book Date]]&gt;0,SnapshotTable[[#This Row],[LC Book Price]]&gt;0,SnapshotTable[[#This Row],[LC Fill Date]]=0),"Y","")</f>
        <v/>
      </c>
      <c r="DQ233" s="386" t="str">
        <f>IF(SnapshotTable[[#This Row],[LC Premium]] &gt; 0,SnapshotTable[[#This Row],[LC Exp Date]]-MAX(SnapshotTable[[#This Row],[LC Book Date]], SnapshotTable[[#This Row],[LC Fill Date]]),"")</f>
        <v/>
      </c>
      <c r="DR233" s="386" t="str">
        <f>IF(ISNUMBER(SnapshotTable[[#This Row],[LC Term]]), SnapshotTable[[#This Row],[LC Exp Date]] - MockToday, "")</f>
        <v/>
      </c>
      <c r="DS233" s="234" t="str">
        <f>IF(SnapshotTable[[#This Row],[LC Premium]]&gt;0,SnapshotTable[[#This Row],[LC Strike Price]] + SnapshotTable[[#This Row],[LC Book Price]],"")</f>
        <v/>
      </c>
      <c r="DU233" s="9" t="str">
        <f>IF(AND(SnapshotTable[[#This Row],[LC Symbol Count]]&gt;0, SnapshotTable[[#This Row],[LC Contract Value]]&gt;0), SnapshotTable[[#This Row],[LC Contract Value]] * SnapshotTable[[#This Row],[LC Qty]] * 100, "")</f>
        <v/>
      </c>
      <c r="DV233" s="9" t="str">
        <f>IF(AND(ISNUMBER(SnapshotTable[[#This Row],[LC Total Value]]), SnapshotTable[[#This Row],[LC Not Filled]]&lt;&gt;"Y"), SnapshotTable[[#This Row],[LC Total Value]]-SnapshotTable[[#This Row],[LC Premium]],"")</f>
        <v/>
      </c>
      <c r="DW233" s="240" t="str">
        <f>IF(ISNUMBER(SnapshotTable[[#This Row],[LC Actual Gain Loss]]), SnapshotTable[[#This Row],[LC Actual Gain Loss]] / SnapshotTable[[#This Row],[LC Premium]],"")</f>
        <v/>
      </c>
      <c r="DX233" s="284" t="str">
        <f>IF(ISNUMBER(SnapshotTable[[#This Row],[LC Book Price]]),SnapshotTable[[#This Row],[LC Book Price]] * 1.5,"")</f>
        <v/>
      </c>
      <c r="DY233" s="265" t="str">
        <f>IF(SnapshotTable[[#This Row],[LC Premium]]&gt;0, SnapshotTable[[#This Row],[LC Next Target]] * SnapshotTable[[#This Row],[LC Qty]] * 100,"")</f>
        <v/>
      </c>
      <c r="DZ233" s="265" t="str">
        <f>IF(ISNUMBER(SnapshotTable[[#This Row],[LC Target Gross]]), SnapshotTable[[#This Row],[LC Target Gross]] - SnapshotTable[[#This Row],[LC Premium]], "")</f>
        <v/>
      </c>
      <c r="EA233" s="305" t="str">
        <f>IF(ISNUMBER(SnapshotTable[[#This Row],[LC Target Gain Loss]]), SnapshotTable[[#This Row],[LC Target Gain Loss]]/SnapshotTable[[#This Row],[LC Premium]], "")</f>
        <v/>
      </c>
      <c r="EB233" s="262"/>
      <c r="EC233" s="283" t="str">
        <f>IF(SnapshotTable[[#This Row],[LC Premium]]&gt;0, SnapshotTable[[#This Row],[LC Book Price]] * (1 - LC_StopLoss_Pct),"")</f>
        <v/>
      </c>
      <c r="ED233" s="284"/>
      <c r="EE233" s="283" t="str">
        <f>IF(ISNUMBER(SnapshotTable[[#This Row],[LC Contract Value]]),IF(ISNUMBER(SnapshotTable[[#This Row],[LC Stop Loss Override]]), SnapshotTable[[#This Row],[LC Stop Loss Override]],SnapshotTable[[#This Row],[LC Stop Loss Calc Target]]),"")</f>
        <v/>
      </c>
      <c r="EF233" s="31" t="str">
        <f>IF(ISNUMBER(SnapshotTable[[#This Row],[LC Stop  To Use]]), (SnapshotTable[[#This Row],[LC Stop  To Use]] * SnapshotTable[[#This Row],[LC Qty]] * 100),"")</f>
        <v/>
      </c>
      <c r="EG233" s="9" t="str">
        <f>IF(ISNUMBER(SnapshotTable[[#This Row],[LC Total Value]]),SnapshotTable[[#This Row],[LC Stop Loss Amount]] - SnapshotTable[[#This Row],[LC Premium]],"")</f>
        <v/>
      </c>
      <c r="EH233" s="9">
        <f>IF(ISNUMBER(SnapshotTable[[#This Row],[LC Premium]]), SnapshotTable[[#This Row],[LC Qty]] * 100 * SnapshotTable[[#This Row],[LC Strike Price]], "")</f>
        <v>0</v>
      </c>
      <c r="EI233" s="240" t="str">
        <f>IF(AND(ISNUMBER(SnapshotTable[[#This Row],[LC Total Value]]),SnapshotTable[[#This Row],[LC Total Value]]&gt;0),SnapshotTable[[#This Row],[LC Stop Gain Loss]]  / SnapshotTable[[#This Row],[LC Premium]],"")</f>
        <v/>
      </c>
      <c r="EJ233" s="35">
        <f>IF(ISNUMBER(SnapshotTable[[#This Row],[Equity Shares]]),TRUNC(SnapshotTable[[#This Row],[Equity Shares]] / 100),0) + SnapshotTable[[#This Row],[LC Qty]]</f>
        <v>0</v>
      </c>
      <c r="EK233" s="147"/>
      <c r="EL233" s="138" t="str">
        <f>IF(SnapshotTable[[#This Row],[SC Exp Date]]&lt;&gt;"",TRUNC(SnapshotTable[[#This Row],[Last Price]]),"")</f>
        <v/>
      </c>
      <c r="EM233" s="148"/>
      <c r="EN233" s="147"/>
      <c r="EO233" s="147"/>
      <c r="EP233" s="138"/>
      <c r="EQ233" s="419" t="b">
        <f>AND(ISNUMBER(SnapshotTable[[#This Row],[SC Exp Date]]), ISNUMBER(SnapshotTable[[#This Row],[SC Strike Price]]), ISNUMBER(SnapshotTable[[#This Row],[SC Qty]]), ISNUMBER(SnapshotTable[[#This Row],[SC Book Date]]), ISNUMBER(SnapshotTable[[#This Row],[SC Book Price]]))</f>
        <v>0</v>
      </c>
      <c r="ER233" s="419" t="b">
        <f>AND(SnapshotTable[[#This Row],[SC Is Booked]], NOT(ISBLANK(SnapshotTable[[#This Row],[SC Fill Date]])))</f>
        <v>0</v>
      </c>
      <c r="ES233" s="370"/>
      <c r="ET233" s="34" t="str">
        <f>IF(AND(ISNUMBER(SnapshotTable[[#This Row],[SC Exp Date]]), ISNUMBER(SnapshotTable[[#This Row],[SC Book Date]])), SnapshotTable[[#This Row],[SC Exp Date]] - MAX(SnapshotTable[[#This Row],[SC Book Date]], SnapshotTable[[#This Row],[SC Fill Date]]) + 1, "")</f>
        <v/>
      </c>
      <c r="EU233" s="34" t="str">
        <f>IF(ISNUMBER(SnapshotTable[[#This Row],[SC Term]]), SnapshotTable[[#This Row],[SC Exp Date]]- MockToday, "")</f>
        <v/>
      </c>
      <c r="EV233" s="31">
        <f>IF(SnapshotTable[[#This Row],[SC Is Booked]], SnapshotTable[[#This Row],[SC Qty]] * SnapshotTable[[#This Row],[SC Book Price]] * 100, 0)</f>
        <v>0</v>
      </c>
      <c r="EW233" s="4" t="str">
        <f>IF(AND(ISNUMBER(SnapshotTable[[#This Row],[Last Price]]), ISNUMBER( SnapshotTable[[#This Row],[SC Book Price]])), SnapshotTable[[#This Row],[Last Price]] - SnapshotTable[[#This Row],[SC Book Price]],"")</f>
        <v/>
      </c>
      <c r="EX233" s="234" t="str">
        <f>IF(SnapshotTable[[#This Row],[SC Is Booked]],IF(SnapshotTable[[#This Row],[SC Intrinsic Value]] &gt; 0, SnapshotTable[[#This Row],[SC Strike Price]], SnapshotTable[[#This Row],[Last Price]]), "")</f>
        <v/>
      </c>
      <c r="EY233" s="4">
        <f>IF(SnapshotTable[[#This Row],[SC Is Booked]], (MinimumPremiumRequired * SnapshotTable[[#This Row],[SC Basis]] * SnapshotTable[[#This Row],[SC Term]]), 0)</f>
        <v>0</v>
      </c>
      <c r="EZ233" s="283"/>
      <c r="FA233" s="218"/>
      <c r="FB233" s="370"/>
      <c r="FC233" s="4">
        <f>IF(SnapshotTable[[#This Row],[SC Is Filled]], btc_max_buyback_amount(SnapshotTable[[#This Row],[SC Fill Date]],SnapshotTable[[#This Row],[SC Exp Date]], SnapshotTable[[#This Row],[SC Book Price]]),0)</f>
        <v>0</v>
      </c>
      <c r="FD233" s="5"/>
      <c r="FE233" s="144" t="str">
        <f>IF(SnapshotTable[[#This Row],[SC Is Filled]], btc_next_cutoff_date(SnapshotTable[[#This Row],[SC Fill Date]],SnapshotTable[[#This Row],[SC Exp Date]]),"")</f>
        <v/>
      </c>
      <c r="FF233" s="4" t="str" cm="1">
        <f t="array" ref="FF233">IF(SnapshotTable[[#This Row],[SC Is Filled]], btc_should_buy_back(SnapshotTable[[#This Row],[SC Fill Date]], SnapshotTable[[#This Row],[SC Exp Date]], SnapshotTable[[#This Row],[SC Book Price]], SnapshotTable[[#This Row],[SC Current Ask]], MockToday, SnapshotTable[[#This Row],[SC Buyback Override]]),"")</f>
        <v/>
      </c>
      <c r="FG233" s="4">
        <f>IF(SnapshotTable[[#This Row],[SC Is Filled]], MAX(0,SnapshotTable[[#This Row],[Last Price]]  - SnapshotTable[[#This Row],[SC Strike Price]]), 0)</f>
        <v>0</v>
      </c>
      <c r="FH233" s="382">
        <f>IF(SnapshotTable[[#This Row],[SC Is Filled]], IF(ISNUMBER(SnapshotTable[[#This Row],[SC Current Ask]]), SnapshotTable[[#This Row],[SC Current Ask]], SnapshotTable[[#This Row],[SC Book Price]]) - SnapshotTable[[#This Row],[SC Intrinsic Value]], 0)</f>
        <v>0</v>
      </c>
      <c r="FI233" s="143"/>
      <c r="FJ233" s="32" t="str">
        <f>IF(SnapshotTable[[#This Row],[SC Is Filled]],100 * SnapshotTable[[#This Row],[SC Qty]] * IF(ISNUMBER(SnapshotTable[[#This Row],[SC Buyback Override]]), SnapshotTable[[#This Row],[SC Buyback Override]], SnapshotTable[[#This Row],[SC Current Ask]]), "")</f>
        <v/>
      </c>
      <c r="FK233" s="250" t="str">
        <f>IF(SnapshotTable[[#This Row],[SC Time Val]]&gt;0, SnapshotTable[[#This Row],[SC Time Val]] / SnapshotTable[[#This Row],[Last Price]],"")</f>
        <v/>
      </c>
      <c r="FL233" s="302" t="str">
        <f>IF(SnapshotTable[[#This Row],[SC Is Booked]], ((SnapshotTable[[#This Row],[Last Price]] -SnapshotTable[[#This Row],[SC Strike Price]]) / SnapshotTable[[#This Row],[Last Price]]) * -1, "")</f>
        <v/>
      </c>
      <c r="FM233" s="157" t="str">
        <f>IF(SnapshotTable[[#This Row],[SC Is Booked]],  (SnapshotTable[[#This Row],[SC Qty]] * 100 * SnapshotTable[[#This Row],[SC Strike Price]]) - SnapshotTable[[#This Row],[SC Current Ask]], "")</f>
        <v/>
      </c>
      <c r="FN233"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3" s="157" t="str">
        <f>IF(AND(ISNUMBER(SnapshotTable[[#This Row],[SC Exercise Gross]]), ISNUMBER(SnapshotTable[[#This Row],[Equity Basis Per Share]] )), SnapshotTable[[#This Row],[SC Exercise Gross]] - SnapshotTable[[#This Row],[Equity Basis Total]] +  SnapshotTable[[#This Row],[SC Premium]], "")</f>
        <v/>
      </c>
      <c r="FP233" s="5" t="str">
        <f>IF(ISNUMBER(SnapshotTable[[#This Row],[SC Exercise Gross]]), (SnapshotTable[[#This Row],[SC Exercise Gross]]) / (SnapshotTable[[#This Row],[SC Qty]] * 100), "")</f>
        <v/>
      </c>
      <c r="FQ233" s="27" t="str">
        <f>IF(SnapshotTable[[#This Row],[SC Is Booked]],SnapshotTable[[#This Row],[SC Time Val]] /SnapshotTable[[#This Row],[SC Basis]], "")</f>
        <v/>
      </c>
      <c r="FR233" s="27" t="str" cm="1">
        <f t="array" ref="FR233">IF(AND(ISNUMBER(SnapshotTable[[#This Row],[SC Term]]),ISNUMBER(SnapshotTable[[#This Row],[SC Simple ROO]])), EllmanAnnualize(SnapshotTable[[#This Row],[SC DTE]], SnapshotTable[[#This Row],[SC Simple ROO]] ),"")</f>
        <v/>
      </c>
      <c r="FS233" s="4" t="e">
        <f>IF(SnapshotTable[[#This Row],[SC Strike Price]] &gt; SnapshotTable[[#This Row],[Last Price]], SnapshotTable[[#This Row],[SC Strike Price]] - SnapshotTable[[#This Row],[Last Price]],0)</f>
        <v>#VALUE!</v>
      </c>
      <c r="FT233" s="27" t="e">
        <f>IF(AND(ISNUMBER(SnapshotTable[[#This Row],[SC Upside Potential]]), SnapshotTable[[#This Row],[SC Upside Potential]] &gt; 0),(SnapshotTable[[#This Row],[SC Upside Potential]]/ SnapshotTable[[#This Row],[ACB]]),"")</f>
        <v>#VALUE!</v>
      </c>
      <c r="FU233" s="333" t="str">
        <f>IF(SnapshotTable[[#This Row],[SC Intrinsic Value]] &gt; 0,SnapshotTable[[#This Row],[SC Intrinsic Value]],"")</f>
        <v/>
      </c>
      <c r="FV233" s="27" t="str">
        <f>IF(AND( ISNUMBER( SnapshotTable[[#This Row],[ACB]]),ISNUMBER(SnapshotTable[[#This Row],[SC Downside Protect]])),SnapshotTable[[#This Row],[SC Downside Protect]] / SnapshotTable[[#This Row],[ACB]],"")</f>
        <v/>
      </c>
      <c r="FW233" s="236" t="str">
        <f>IF(AND(ISNUMBER(SnapshotTable[[#This Row],[SC Simple ROO]]),SnapshotTable[[#This Row],[SC Simple ROO]] &gt; 0), SnapshotTable[[#This Row],[SC Premium]] + (SnapshotTable[[#This Row],[SC Qty]] * SnapshotTable[[#This Row],[SC Upside Potential]]), "")</f>
        <v/>
      </c>
      <c r="FX233" s="302" t="str" cm="1">
        <f t="array" ref="FX233">IF(ISNUMBER(SnapshotTable[[#This Row],[SC Max Dollars]]), annualize(SnapshotTable[[#This Row],[SC Term]],(SnapshotTable[[#This Row],[SC Max Dollars]]/SnapshotTable[[#This Row],[SC Basis]])),"")</f>
        <v/>
      </c>
      <c r="FY233" s="236" t="str">
        <f>IF(AND(SnapshotTable[[#This Row],[SC Qty]]&gt;0,SnapshotTable[[#This Row],[SC Current Ask]]&gt;0), SnapshotTable[[#This Row],[SC Qty]] * SnapshotTable[[#This Row],[SC Current Ask]] * -100, "")</f>
        <v/>
      </c>
      <c r="FZ233" s="235" t="str">
        <f>IF(ISNUMBER((SnapshotTable[[#This Row],[SC Current Value]])), SnapshotTable[[#This Row],[SC Premium]] + SnapshotTable[[#This Row],[SC Current Value]], "")</f>
        <v/>
      </c>
      <c r="GA233" s="294" t="str">
        <f>IFERROR( IF(ISNUMBER((SnapshotTable[[#This Row],[SC Current Value]])), SnapshotTable[[#This Row],[SC Gain Loss]] / SnapshotTable[[#This Row],[SC Premium]], ""), "")</f>
        <v/>
      </c>
      <c r="GB233" s="42">
        <f>SnapshotTable[[#This Row],[Equity Shares]] * SaleSharesToConsiderPercentage</f>
        <v>0</v>
      </c>
      <c r="GC233" s="40">
        <f>SnapshotTable[[#This Row],[Long Term Target]] * SellingPriceToConsiderBasedOnTargetPercentage</f>
        <v>83.153499999999994</v>
      </c>
      <c r="GD233" s="40">
        <f>SnapshotTable[[#This Row],[Last Price]] * (1+ SellingPriceToConsiderBasedOnTargetPercentage)</f>
        <v>160.1925</v>
      </c>
      <c r="GE233" s="41"/>
      <c r="GF233" s="40"/>
      <c r="GG233" s="31">
        <f>SnapshotTable[[#This Row],[Booked Sale Shares]] * SnapshotTable[[#This Row],[Booked Sale Price]]</f>
        <v>0</v>
      </c>
      <c r="GH233" s="31" t="str">
        <f>IF(SnapshotTable[[#This Row],[Equity Basis Total]] &gt; 0, SnapshotTable[[#This Row],[Equity Basis Per Share]] * SnapshotTable[[#This Row],[Booked Sale Shares]], "")</f>
        <v/>
      </c>
      <c r="GI233" s="31">
        <f>IF(SnapshotTable[[#This Row],[Sale Proceeds]]&gt;0, SnapshotTable[[#This Row],[Sale Proceeds]] - SnapshotTable[[#This Row],[Sale Basis]], 0)</f>
        <v>0</v>
      </c>
      <c r="GJ233" s="158" t="str">
        <f>IF(SnapshotTable[[#This Row],[Sale G/L]]&gt;0, SnapshotTable[[#This Row],[Sale G/L]] / SnapshotTable[[#This Row],[Sale Basis]], IF(ISNUMBER(SnapshotTable[[#This Row],[SC Exercise P&amp;L (TAX)]]), SnapshotTable[[#This Row],[SC Exercise P&amp;L (TAX)]] / SnapshotTable[[#This Row],[SC Basis]], ""))</f>
        <v/>
      </c>
      <c r="GK233" s="158"/>
      <c r="GL233" s="159" t="str">
        <f>IF(AND(SnapshotTable[[#This Row],[LP Exp Date]]&gt;0,SnapshotTable[[#This Row],[LP Strike Price]]&gt;0), [1]!ToOptionSymbol(SnapshotTable[[#This Row],[Symbol]], SnapshotTable[[#This Row],[LP Strike Price]],SnapshotTable[[#This Row],[LP Exp Date]],1), "")</f>
        <v/>
      </c>
      <c r="GM233" s="30" t="str">
        <f>IF(LEN(SnapshotTable[[#This Row],[LP Symbol]])&gt;0, 1, "")</f>
        <v/>
      </c>
      <c r="GN233" s="43" t="str">
        <f>IF(AND(SnapshotTable[[#This Row],[SP Exp Date]]&gt;0,SnapshotTable[[#This Row],[SP Strike Price]]&gt;0), [1]!ToOptionSymbol(SnapshotTable[[#This Row],[Symbol]], SnapshotTable[[#This Row],[SP Strike Price]],SnapshotTable[[#This Row],[SP Exp Date]],1), "")</f>
        <v/>
      </c>
      <c r="GO233" s="30" t="str">
        <f>IF(LEN(SnapshotTable[[#This Row],[SP Symbol]])&gt;0, 1, "")</f>
        <v/>
      </c>
      <c r="GP233" s="159" t="str">
        <f>IF(AND(SnapshotTable[[#This Row],[LC Exp Date]]&gt;0,SnapshotTable[[#This Row],[LC Strike Price]]&gt;0), [1]!ToOptionSymbol(SnapshotTable[[#This Row],[Symbol]], SnapshotTable[[#This Row],[LC Strike Price]],SnapshotTable[[#This Row],[LC Exp Date]],0), "")</f>
        <v/>
      </c>
      <c r="GQ233" s="160" t="str">
        <f>IF(LEN(SnapshotTable[[#This Row],[LC Symbol]])&gt;0, 1, "")</f>
        <v/>
      </c>
      <c r="GR233" s="159" t="str">
        <f>IF(AND(SnapshotTable[[#This Row],[SC Exp Date]]&gt;0,SnapshotTable[[#This Row],[SC Strike Price]]&gt;0), [1]!ToOptionSymbol(SnapshotTable[[#This Row],[Symbol]], SnapshotTable[[#This Row],[SC Strike Price]],SnapshotTable[[#This Row],[SC Exp Date]],0), "")</f>
        <v/>
      </c>
      <c r="GS233" s="160" t="str">
        <f>IF(LEN(SnapshotTable[[#This Row],[SC Symbol]])&gt;0, 1, "")</f>
        <v/>
      </c>
      <c r="GT233" s="161" t="str">
        <f>IF(COUNT(SnapshotTable[[#This Row],[LP Symbol Count]],SnapshotTable[[#This Row],[SP Symbol Count]],SnapshotTable[[#This Row],[LC Symbol Count]],SnapshotTable[[#This Row],[SC Symbol Count]])&gt;0, "Y", "")</f>
        <v/>
      </c>
      <c r="GU23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3" s="231" t="e">
        <f>MAX(SnapshotTable[[#This Row],[Equity Basis Total]],SnapshotTable[[#This Row],[Equity Value]]) + (SnapshotTable[[#This Row],[SP Potential Spend]]- SnapshotTable[[#This Row],[SP Premium]] + SnapshotTable[[#This Row],[LP Premium]])+ (SnapshotTable[[#This Row],[LC Premium]] - SnapshotTable[[#This Row],[SC Premium]])</f>
        <v>#VALUE!</v>
      </c>
      <c r="GW233" s="139" t="e">
        <f>IF(AND(SnapshotTable[[#This Row],[Exposure]] &lt;&gt; 0),SnapshotTable[[#This Row],[Exposure]] / SnapshotTable[[#Totals],[Exposure]], "")</f>
        <v>#VALUE!</v>
      </c>
      <c r="GX233" s="5"/>
      <c r="HE233" s="268"/>
      <c r="HF233" s="268"/>
      <c r="HK233" s="1"/>
      <c r="HL233" s="1"/>
      <c r="HM233" s="1"/>
      <c r="HN233" s="1"/>
      <c r="HO233" s="1"/>
      <c r="HP233" s="1"/>
    </row>
    <row r="234" spans="2:224" ht="12.75" hidden="1" customHeight="1" x14ac:dyDescent="0.25">
      <c r="B234" s="12" t="s">
        <v>1239</v>
      </c>
      <c r="C234" s="422">
        <v>174.28</v>
      </c>
      <c r="D234" s="208"/>
      <c r="E234" s="39">
        <f>SnapshotTable[[#This Row],[Last Price]]*(1 -CrashDiscount)</f>
        <v>148.13800000000001</v>
      </c>
      <c r="F234" s="325" t="s">
        <v>1029</v>
      </c>
      <c r="G234" s="325" t="s">
        <v>822</v>
      </c>
      <c r="H234" s="149"/>
      <c r="I234" s="194"/>
      <c r="J234" s="195"/>
      <c r="K234" s="196"/>
      <c r="L234" s="326"/>
      <c r="M234" s="140"/>
      <c r="N234" s="140"/>
      <c r="O234" s="140"/>
      <c r="P234" s="22"/>
      <c r="Q234" s="25"/>
      <c r="R234" s="4" t="str">
        <f>IF(SnapshotTable[[#This Row],[Equity Basis Total]] &gt; 0, SnapshotTable[[#This Row],[Equity Basis Total]] / SnapshotTable[[#This Row],[Equity Shares]], "")</f>
        <v/>
      </c>
      <c r="S234" s="269">
        <f>SnapshotTable[[#This Row],[Last Price]] * SnapshotTable[[#This Row],[Equity Shares]]</f>
        <v>0</v>
      </c>
      <c r="T234" s="269">
        <f>SnapshotTable[[#This Row],[Equity Value]] - SnapshotTable[[#This Row],[Equity Basis Total]]</f>
        <v>0</v>
      </c>
      <c r="U234" s="270" t="str">
        <f>IF(SnapshotTable[[#This Row],[Equity Basis Total]] &gt; 0, SnapshotTable[[#This Row],[Equity G/L]] / SnapshotTable[[#This Row],[Equity Basis Total]], "")</f>
        <v/>
      </c>
      <c r="V234" s="268"/>
      <c r="W234" s="268"/>
      <c r="X234" s="4" t="str">
        <f>IF(AND(ISNUMBER(SnapshotTable[[#This Row],[Equity Basis Per Share]]),ISNUMBER(SnapshotTable[[#This Row],[Equity Target]])),SnapshotTable[[#This Row],[Equity Target]]-SnapshotTable[[#This Row],[Equity Basis Per Share]],"")</f>
        <v/>
      </c>
      <c r="Y234" s="4" t="str">
        <f>IF(AND(ISNUMBER(SnapshotTable[[#This Row],[Equity Basis Per Share]]),ISNUMBER(SnapshotTable[[#This Row],[Equity Stop Loss]])),SnapshotTable[[#This Row],[Equity Stop Loss]]-SnapshotTable[[#This Row],[Equity Basis Per Share]],"")</f>
        <v/>
      </c>
      <c r="Z234" s="275" t="str">
        <f>IFERROR( TEXT(SnapshotTable[[#This Row],[Equity Max Gain Per Share]] /ABS( SnapshotTable[[#This Row],[Equity Max Loss Per Share]]),"0.0 " ) &amp; " : 1", "")</f>
        <v/>
      </c>
      <c r="AA234" s="31" t="str">
        <f>IF(ISNUMBER(SnapshotTable[[#This Row],[Equity Max Gain Per Share]]),SnapshotTable[[#This Row],[Equity Max Gain Per Share]] * SnapshotTable[[#This Row],[Equity Shares]],"")</f>
        <v/>
      </c>
      <c r="AB234" s="31" t="str">
        <f>IF(ISNUMBER(SnapshotTable[[#This Row],[Equity Max Loss Per Share]]),SnapshotTable[[#This Row],[Equity Max Loss Per Share]] * SnapshotTable[[#This Row],[Equity Shares]],"")</f>
        <v/>
      </c>
      <c r="AC234" s="150"/>
      <c r="AD234" s="151"/>
      <c r="AE234" s="31">
        <f>(SnapshotTable[[#This Row],[Annual Dividend Per Share]] / 4) * SnapshotTable[[#This Row],[Equity Shares]]</f>
        <v>0</v>
      </c>
      <c r="AF234" s="31">
        <f>SnapshotTable[[#This Row],[Quarterly Div $]] * 4</f>
        <v>0</v>
      </c>
      <c r="AG234" s="7">
        <f>IF(SnapshotTable[[#This Row],[Annual Dividend Per Share]]&gt;0, SnapshotTable[[#This Row],[Annual Dividend Per Share]]  / SnapshotTable[[#This Row],[Last Price]], 0)</f>
        <v>0</v>
      </c>
      <c r="AH234" s="151"/>
      <c r="AI234" s="5"/>
      <c r="AJ234" s="138"/>
      <c r="AK234" s="152" t="str">
        <f>IF(ISNUMBER( SnapshotTable[[#This Row],[EBF Target]]),(SnapshotTable[[#This Row],[EBF Target]] - SnapshotTable[[#This Row],[Last Price]]) / SnapshotTable[[#This Row],[Last Price]], "")</f>
        <v/>
      </c>
      <c r="AL234" s="152" t="str">
        <f>IF(AND(SnapshotTable[[#This Row],[Equity Basis Total]] &gt; 0,ISNUMBER( SnapshotTable[[#This Row],[Long Term Target]])), SnapshotTable[[#This Row],[From Basis $]] / SnapshotTable[[#This Row],[Equity Basis Total]], "")</f>
        <v/>
      </c>
      <c r="AM234" s="9">
        <f>IF( AND(SnapshotTable[[#This Row],[Equity Shares]] &gt;0,ISNUMBER( SnapshotTable[[#This Row],[Long Term Target]])),(SnapshotTable[[#This Row],[Equity Shares]] * SnapshotTable[[#This Row],[Long Term Target]]) - SnapshotTable[[#This Row],[Equity Basis Total]],0)</f>
        <v>0</v>
      </c>
      <c r="AN234" s="9">
        <f>IF( AND(SnapshotTable[[#This Row],[Equity Shares]] &gt;0,ISNUMBER( SnapshotTable[[#This Row],[Long Term Target]])),(SnapshotTable[[#This Row],[Equity Shares]]*SnapshotTable[[#This Row],[Long Term Target]]) - SnapshotTable[[#This Row],[Equity Value]],0)</f>
        <v>0</v>
      </c>
      <c r="AO234" s="152" t="str">
        <f>IF(AND(ISNUMBER( SnapshotTable[[#This Row],[Long Term Target]]), ISNUMBER(SnapshotTable[[#This Row],[Last Price]])),(SnapshotTable[[#This Row],[Long Term Target]] - SnapshotTable[[#This Row],[Last Price]]) / SnapshotTable[[#This Row],[Last Price]], "")</f>
        <v/>
      </c>
      <c r="AP234" s="5"/>
      <c r="AQ234" s="38"/>
      <c r="AR234" s="5"/>
      <c r="AS234" s="38"/>
      <c r="AT234" s="146"/>
      <c r="AU234" s="187" t="str">
        <f>IF(OR(SnapshotTable[[#This Row],[LP No Fill]]="Y",SnapshotTable[[#This Row],[SP Is Filled]],SnapshotTable[[#This Row],[LC Not Filled]]="Y",SnapshotTable[[#This Row],[SC Is Filled]]),"Y","")</f>
        <v/>
      </c>
      <c r="AV234" s="219"/>
      <c r="AW234" s="225"/>
      <c r="AX234" s="220"/>
      <c r="AY234" s="219" t="str">
        <f>IF(SnapshotTable[[#This Row],[Implied Move]]&gt;0, SnapshotTable[[#This Row],[Last Price]]-SnapshotTable[[#This Row],[Implied Move]],"")</f>
        <v/>
      </c>
      <c r="AZ234" s="219" t="str">
        <f>IF(SnapshotTable[[#This Row],[Implied Move]]&gt;0, SnapshotTable[[#This Row],[Last Price]] + SnapshotTable[[#This Row],[Implied Move]],"")</f>
        <v/>
      </c>
      <c r="BA234" s="331">
        <v>256.83999999999997</v>
      </c>
      <c r="BB234" s="347"/>
      <c r="BC23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4" s="351"/>
      <c r="BE234" s="5"/>
      <c r="BF234" s="14"/>
      <c r="BG234" s="13"/>
      <c r="BH234" s="13"/>
      <c r="BI234" s="5"/>
      <c r="BJ234" s="136">
        <f>IF(SnapshotTable[[#This Row],[LP Qty]] &gt; 0, SnapshotTable[[#This Row],[LP Qty]] * SnapshotTable[[#This Row],[LP Book Price]] * 100,0)</f>
        <v>0</v>
      </c>
      <c r="BK234" s="136">
        <f>IF(SnapshotTable[[#This Row],[LP Premium]] &gt; 0, SnapshotTable[[#This Row],[LP Qty]] * SnapshotTable[[#This Row],[LP Strike Price]] * 100,0)</f>
        <v>0</v>
      </c>
      <c r="BL234" s="154"/>
      <c r="BM234" s="385" t="str">
        <f>IF(SnapshotTable[[#This Row],[LP Premium]] &gt; 0,SnapshotTable[[#This Row],[LP Exp Date]]-MAX(SnapshotTable[[#This Row],[LP Book Date]], SnapshotTable[[#This Row],[LP Fill Date]]),"")</f>
        <v/>
      </c>
      <c r="BN234" s="385" t="str">
        <f>IF(ISNUMBER( SnapshotTable[[#This Row],[LP Term]]), SnapshotTable[[#This Row],[LP Exp Date]] - MockToday,"")</f>
        <v/>
      </c>
      <c r="BO234" s="163" t="str">
        <f>IF(AND(SnapshotTable[[#This Row],[LP Exp Date]]&gt;0, SnapshotTable[[#This Row],[LP Strike Price]]&gt;0,SnapshotTable[[#This Row],[LP Qty]]&gt;0,SnapshotTable[[#This Row],[LP Book Date]]&gt;0,SnapshotTable[[#This Row],[LP Book Price]]&gt;0,SnapshotTable[[#This Row],[LP Fill Date]]=0),"Y","")</f>
        <v/>
      </c>
      <c r="BP234" s="31" t="str">
        <f>IF(AND(SnapshotTable[[#This Row],[LP No Fill]]&lt;&gt;"Y",SnapshotTable[[#This Row],[LP Contract Value]]&gt;0, SnapshotTable[[#This Row],[LP Qty]]&gt;0), SnapshotTable[[#This Row],[LP Contract Value]]*SnapshotTable[[#This Row],[LP Qty]]*100,"")</f>
        <v/>
      </c>
      <c r="BQ234" s="13"/>
      <c r="BR234" s="5" t="str">
        <f>IF(SnapshotTable[[#This Row],[SP Exp Date]]&lt;&gt;"",TRUNC(SnapshotTable[[#This Row],[Last Price]]),"")</f>
        <v/>
      </c>
      <c r="BS234" s="36"/>
      <c r="BT234" s="147"/>
      <c r="BU234" s="13"/>
      <c r="BV234" s="5"/>
      <c r="BW234" s="419" t="b">
        <f>AND(ISNUMBER(SnapshotTable[[#This Row],[SP Exp Date]]), ISNUMBER(SnapshotTable[[#This Row],[SP Strike Price]]), ISNUMBER(SnapshotTable[[#This Row],[SP Qty]]), ISNUMBER(SnapshotTable[[#This Row],[SP Book Date]]), ISNUMBER(SnapshotTable[[#This Row],[SP Book Price]]))</f>
        <v>0</v>
      </c>
      <c r="BX234" s="419" t="b">
        <f>AND(SnapshotTable[[#This Row],[SP Is Booked]], NOT(ISBLANK(SnapshotTable[[#This Row],[SP Fill Date]])))</f>
        <v>0</v>
      </c>
      <c r="BY234" s="33">
        <f>IF(SnapshotTable[[#This Row],[SP Is Booked]], SnapshotTable[[#This Row],[SP Qty]] * SnapshotTable[[#This Row],[SP Book Price]] * 100, 0)</f>
        <v>0</v>
      </c>
      <c r="BZ234" s="369"/>
      <c r="CA234" s="368">
        <f>SnapshotTable[[#This Row],[LP Qty]]</f>
        <v>0</v>
      </c>
      <c r="CB234" s="4" t="str">
        <f>IF(SnapshotTable[[#This Row],[SP Is Booked]], SnapshotTable[[#This Row],[SP Strike Price]] - SnapshotTable[[#This Row],[SP Book Price]], "")</f>
        <v/>
      </c>
      <c r="CC234" s="19" t="str">
        <f>IF(SnapshotTable[[#This Row],[SP Is Booked]],SnapshotTable[[#This Row],[SP Exp Date]]-MAX(SnapshotTable[[#This Row],[SP Book Date]], SnapshotTable[[#This Row],[SP Fill Date]]),"")</f>
        <v/>
      </c>
      <c r="CD234" s="7" t="str">
        <f>IF(SnapshotTable[[#This Row],[SP Is Booked]], SnapshotTable[[#This Row],[SP Book Price]]/SnapshotTable[[#This Row],[SP Strike Price]], "")</f>
        <v/>
      </c>
      <c r="CE234" s="7" t="str">
        <f>IF(ISNUMBER(SnapshotTable[[#This Row],[SP ROO Term]]),SnapshotTable[[#This Row],[SP ROO Term]]*(365/SnapshotTable[[#This Row],[SP Term]]),"")</f>
        <v/>
      </c>
      <c r="CF234" s="236">
        <f>SnapshotTable[[#This Row],[LP Strike Price]] * SnapshotTable[[#This Row],[LP Qty]] * 100</f>
        <v>0</v>
      </c>
      <c r="CG234" s="31" t="e">
        <f>IF(ISNUMBER(SnapshotTable[[#This Row],[SP Premium]]), (SnapshotTable[[#This Row],[SP Qty]] * SnapshotTable[[#This Row],[SP Strike Price]]* 100) - SnapshotTable[[#This Row],[LP Protection]], 0)</f>
        <v>#VALUE!</v>
      </c>
      <c r="CH234" s="7" t="str">
        <f>IF(ISNUMBER(SnapshotTable[[#This Row],[SP Break Even]]),-1 * (SnapshotTable[[#This Row],[SP Break Even]] - SnapshotTable[[#This Row],[Last Price]]) / SnapshotTable[[#This Row],[Last Price]], "")</f>
        <v/>
      </c>
      <c r="CI234" s="31">
        <f>IF(AND(ISNUMBER((SnapshotTable[[#This Row],[SP Potential Spend]])), SnapshotTable[[#This Row],[SP Strike Price]] &gt; SnapshotTable[[#This Row],[Last Price]], SnapshotTable[[#This Row],[SP Is Filled]]), SnapshotTable[[#This Row],[SP Potential Spend]] -  SnapshotTable[[#This Row],[LP Max Value]], 0)</f>
        <v>0</v>
      </c>
      <c r="CJ234" s="244"/>
      <c r="CK234" s="31" t="str">
        <f>IF(ISNUMBER(SnapshotTable[[#This Row],[SP Potential Spend]]),IF(ISNUMBER(SnapshotTable[[#This Row],[SP POW]]), SnapshotTable[[#This Row],[SP POW]] * SnapshotTable[[#This Row],[SP Potential Spend]], SnapshotTable[[#This Row],[SP Potential Spend]]), "")</f>
        <v/>
      </c>
      <c r="CL234" s="164" t="e">
        <f>IF(NOT(SnapshotTable[[#This Row],[SP Is Filled]]),(SnapshotTable[[#This Row],[SP Qty]] * SnapshotTable[[#This Row],[SP Strike Price]] * 100) - SnapshotTable[[#This Row],[LP Max Value]],"")</f>
        <v>#VALUE!</v>
      </c>
      <c r="CM234" s="31" t="str">
        <f>IF(SnapshotTable[[#This Row],[SP Actual Spend]]&lt;&gt;0, ((SnapshotTable[[#This Row],[SP Strike Price]]-SnapshotTable[[#This Row],[Last Price]]) *(SnapshotTable[[#This Row],[SP Qty]]*100) - SnapshotTable[[#This Row],[SP Premium]]) * - 1, "")</f>
        <v/>
      </c>
      <c r="CN234" s="78"/>
      <c r="CO234" s="369"/>
      <c r="CP234" s="4" t="str">
        <f>IF(SnapshotTable[[#This Row],[SP Is Filled]], btc_max_buyback_amount(SnapshotTable[[#This Row],[SP Fill Date]],SnapshotTable[[#This Row],[SP Exp Date]], SnapshotTable[[#This Row],[SP Book Price]]),"")</f>
        <v/>
      </c>
      <c r="CQ234" s="78"/>
      <c r="CR23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4" s="155" t="str">
        <f>IF(SnapshotTable[[#This Row],[SP Is Filled]], btc_next_cutoff_date(SnapshotTable[[#This Row],[SP Fill Date]],SnapshotTable[[#This Row],[SP Exp Date]]),"")</f>
        <v/>
      </c>
      <c r="CT234" s="235" t="str" cm="1">
        <f t="array" ref="CT234">IF(SnapshotTable[[#This Row],[SP Is Filled]], btc_should_buy_back(SnapshotTable[[#This Row],[SP Fill Date]], SnapshotTable[[#This Row],[SP Exp Date]], SnapshotTable[[#This Row],[SP Book Price]], SnapshotTable[[#This Row],[SP Current Ask]], MockToday, SnapshotTable[[#This Row],[SP Buyback Override]]),"")</f>
        <v/>
      </c>
      <c r="CU234" s="156"/>
      <c r="CV234" s="235"/>
      <c r="CW234" s="378" t="str">
        <f>IF(ISNUMBER( SnapshotTable[[#This Row],[SP Term]]), SnapshotTable[[#This Row],[SP Exp Date]] - MockToday,"")</f>
        <v/>
      </c>
      <c r="CX234" s="31" t="str">
        <f>IF(SnapshotTable[[#This Row],[SP Is Filled]],SnapshotTable[[#This Row],[SP Buyback Price to Use]] * 100 * SnapshotTable[[#This Row],[SP Qty]], "")</f>
        <v/>
      </c>
      <c r="CY234" s="4" t="str">
        <f>IF(ISNUMBER(SnapshotTable[[#This Row],[SP Strike Price]]), SnapshotTable[[#This Row],[SP Strike Price]] * (1 - SP_MaxLoss_StrikePct), "")</f>
        <v/>
      </c>
      <c r="CZ234" s="31" t="str">
        <f>IF(ISNUMBER(SnapshotTable[[#This Row],[SP Strike  Stop Per Share]]),SnapshotTable[[#This Row],[SP Premium]] - ((SnapshotTable[[#This Row],[SP Strike Price]]-SnapshotTable[[#This Row],[SP Strike  Stop Per Share]]) *(SnapshotTable[[#This Row],[SP Qty]] * 100)),"")</f>
        <v/>
      </c>
      <c r="DA234" s="4" t="str">
        <f>IF(AND(ISNUMBER(SnapshotTable[[#This Row],[SP Premium]]),SnapshotTable[[#This Row],[SP Premium]]&gt;0), SnapshotTable[[#This Row],[SP Book Price]] * (1 + SP_MaxLoss_OptionPct), "")</f>
        <v/>
      </c>
      <c r="DB234" s="31" t="str">
        <f>IF(ISNUMBER(SnapshotTable[[#This Row],[SP Option  Stop Contract]]),(SnapshotTable[[#This Row],[SP Option  Stop Contract]] *(SnapshotTable[[#This Row],[SP Qty]] * 100) - SnapshotTable[[#This Row],[SP Premium]]),"")</f>
        <v/>
      </c>
      <c r="DC234" s="4"/>
      <c r="DD234" s="4"/>
      <c r="DE234" s="4" t="str">
        <f>IF(AND(SnapshotTable[[#This Row],[SP Qty]]&gt;0, SnapshotTable[[#This Row],[SP Stop To Use]]&gt;0),SnapshotTable[[#This Row],[SP Premium]] - ( SnapshotTable[[#This Row],[SP Qty]] * SnapshotTable[[#This Row],[SP Stop To Use]] * 100), "")</f>
        <v/>
      </c>
      <c r="DF234" s="31" t="str">
        <f>IF(AND(SnapshotTable[[#This Row],[SP Qty]]&gt;0,SnapshotTable[[#This Row],[SP Current Ask]]&gt;0), SnapshotTable[[#This Row],[SP Qty]] * SnapshotTable[[#This Row],[SP Current Ask]] * -100, "")</f>
        <v/>
      </c>
      <c r="DG234" s="31" t="str">
        <f>IF(ISNUMBER((SnapshotTable[[#This Row],[SP Total Value]])), SnapshotTable[[#This Row],[SP Premium]] + SnapshotTable[[#This Row],[SP Total Value]], "")</f>
        <v/>
      </c>
      <c r="DH234" s="294" t="str">
        <f>IF(ISNUMBER((SnapshotTable[[#This Row],[SP Total Value]])), SnapshotTable[[#This Row],[SP Gain Loss]] / SnapshotTable[[#This Row],[SP Premium]], "")</f>
        <v/>
      </c>
      <c r="DI234" s="406"/>
      <c r="DJ234" s="138"/>
      <c r="DK234" s="148"/>
      <c r="DL234" s="13"/>
      <c r="DM234" s="13"/>
      <c r="DO234" s="31">
        <f>IF(SnapshotTable[[#This Row],[LC Symbol Count]]=1, SnapshotTable[[#This Row],[LC Qty]] * SnapshotTable[[#This Row],[LC Book Price]] * 100, 0)</f>
        <v>0</v>
      </c>
      <c r="DP234" s="163" t="str">
        <f>IF(AND(SnapshotTable[[#This Row],[LC Exp Date]]&gt;0, SnapshotTable[[#This Row],[LC Strike Price]]&gt;0,SnapshotTable[[#This Row],[LC Qty]]&gt;0,SnapshotTable[[#This Row],[LC Book Date]]&gt;0,SnapshotTable[[#This Row],[LC Book Price]]&gt;0,SnapshotTable[[#This Row],[LC Fill Date]]=0),"Y","")</f>
        <v/>
      </c>
      <c r="DQ234" s="386" t="str">
        <f>IF(SnapshotTable[[#This Row],[LC Premium]] &gt; 0,SnapshotTable[[#This Row],[LC Exp Date]]-MAX(SnapshotTable[[#This Row],[LC Book Date]], SnapshotTable[[#This Row],[LC Fill Date]]),"")</f>
        <v/>
      </c>
      <c r="DR234" s="386" t="str">
        <f>IF(ISNUMBER(SnapshotTable[[#This Row],[LC Term]]), SnapshotTable[[#This Row],[LC Exp Date]] - MockToday, "")</f>
        <v/>
      </c>
      <c r="DS234" s="234" t="str">
        <f>IF(SnapshotTable[[#This Row],[LC Premium]]&gt;0,SnapshotTable[[#This Row],[LC Strike Price]] + SnapshotTable[[#This Row],[LC Book Price]],"")</f>
        <v/>
      </c>
      <c r="DU234" s="9" t="str">
        <f>IF(AND(SnapshotTable[[#This Row],[LC Symbol Count]]&gt;0, SnapshotTable[[#This Row],[LC Contract Value]]&gt;0), SnapshotTable[[#This Row],[LC Contract Value]] * SnapshotTable[[#This Row],[LC Qty]] * 100, "")</f>
        <v/>
      </c>
      <c r="DV234" s="9" t="str">
        <f>IF(AND(ISNUMBER(SnapshotTable[[#This Row],[LC Total Value]]), SnapshotTable[[#This Row],[LC Not Filled]]&lt;&gt;"Y"), SnapshotTable[[#This Row],[LC Total Value]]-SnapshotTable[[#This Row],[LC Premium]],"")</f>
        <v/>
      </c>
      <c r="DW234" s="240" t="str">
        <f>IF(ISNUMBER(SnapshotTable[[#This Row],[LC Actual Gain Loss]]), SnapshotTable[[#This Row],[LC Actual Gain Loss]] / SnapshotTable[[#This Row],[LC Premium]],"")</f>
        <v/>
      </c>
      <c r="DX234" s="284" t="str">
        <f>IF(ISNUMBER(SnapshotTable[[#This Row],[LC Book Price]]),SnapshotTable[[#This Row],[LC Book Price]] * 1.5,"")</f>
        <v/>
      </c>
      <c r="DY234" s="265" t="str">
        <f>IF(SnapshotTable[[#This Row],[LC Premium]]&gt;0, SnapshotTable[[#This Row],[LC Next Target]] * SnapshotTable[[#This Row],[LC Qty]] * 100,"")</f>
        <v/>
      </c>
      <c r="DZ234" s="265" t="str">
        <f>IF(ISNUMBER(SnapshotTable[[#This Row],[LC Target Gross]]), SnapshotTable[[#This Row],[LC Target Gross]] - SnapshotTable[[#This Row],[LC Premium]], "")</f>
        <v/>
      </c>
      <c r="EA234" s="305" t="str">
        <f>IF(ISNUMBER(SnapshotTable[[#This Row],[LC Target Gain Loss]]), SnapshotTable[[#This Row],[LC Target Gain Loss]]/SnapshotTable[[#This Row],[LC Premium]], "")</f>
        <v/>
      </c>
      <c r="EB234" s="262"/>
      <c r="EC234" s="283" t="str">
        <f>IF(SnapshotTable[[#This Row],[LC Premium]]&gt;0, SnapshotTable[[#This Row],[LC Book Price]] * (1 - LC_StopLoss_Pct),"")</f>
        <v/>
      </c>
      <c r="ED234" s="284"/>
      <c r="EE234" s="283" t="str">
        <f>IF(ISNUMBER(SnapshotTable[[#This Row],[LC Contract Value]]),IF(ISNUMBER(SnapshotTable[[#This Row],[LC Stop Loss Override]]), SnapshotTable[[#This Row],[LC Stop Loss Override]],SnapshotTable[[#This Row],[LC Stop Loss Calc Target]]),"")</f>
        <v/>
      </c>
      <c r="EF234" s="31" t="str">
        <f>IF(ISNUMBER(SnapshotTable[[#This Row],[LC Stop  To Use]]), (SnapshotTable[[#This Row],[LC Stop  To Use]] * SnapshotTable[[#This Row],[LC Qty]] * 100),"")</f>
        <v/>
      </c>
      <c r="EG234" s="9" t="str">
        <f>IF(ISNUMBER(SnapshotTable[[#This Row],[LC Total Value]]),SnapshotTable[[#This Row],[LC Stop Loss Amount]] - SnapshotTable[[#This Row],[LC Premium]],"")</f>
        <v/>
      </c>
      <c r="EH234" s="9">
        <f>IF(ISNUMBER(SnapshotTable[[#This Row],[LC Premium]]), SnapshotTable[[#This Row],[LC Qty]] * 100 * SnapshotTable[[#This Row],[LC Strike Price]], "")</f>
        <v>0</v>
      </c>
      <c r="EI234" s="240" t="str">
        <f>IF(AND(ISNUMBER(SnapshotTable[[#This Row],[LC Total Value]]),SnapshotTable[[#This Row],[LC Total Value]]&gt;0),SnapshotTable[[#This Row],[LC Stop Gain Loss]]  / SnapshotTable[[#This Row],[LC Premium]],"")</f>
        <v/>
      </c>
      <c r="EJ234" s="35">
        <f>IF(ISNUMBER(SnapshotTable[[#This Row],[Equity Shares]]),TRUNC(SnapshotTable[[#This Row],[Equity Shares]] / 100),0) + SnapshotTable[[#This Row],[LC Qty]]</f>
        <v>0</v>
      </c>
      <c r="EK234" s="147"/>
      <c r="EL234" s="138" t="str">
        <f>IF(SnapshotTable[[#This Row],[SC Exp Date]]&lt;&gt;"",TRUNC(SnapshotTable[[#This Row],[Last Price]]),"")</f>
        <v/>
      </c>
      <c r="EM234" s="148"/>
      <c r="EN234" s="147"/>
      <c r="EO234" s="147"/>
      <c r="EP234" s="138"/>
      <c r="EQ234" s="419" t="b">
        <f>AND(ISNUMBER(SnapshotTable[[#This Row],[SC Exp Date]]), ISNUMBER(SnapshotTable[[#This Row],[SC Strike Price]]), ISNUMBER(SnapshotTable[[#This Row],[SC Qty]]), ISNUMBER(SnapshotTable[[#This Row],[SC Book Date]]), ISNUMBER(SnapshotTable[[#This Row],[SC Book Price]]))</f>
        <v>0</v>
      </c>
      <c r="ER234" s="419" t="b">
        <f>AND(SnapshotTable[[#This Row],[SC Is Booked]], NOT(ISBLANK(SnapshotTable[[#This Row],[SC Fill Date]])))</f>
        <v>0</v>
      </c>
      <c r="ES234" s="370"/>
      <c r="ET234" s="34" t="str">
        <f>IF(AND(ISNUMBER(SnapshotTable[[#This Row],[SC Exp Date]]), ISNUMBER(SnapshotTable[[#This Row],[SC Book Date]])), SnapshotTable[[#This Row],[SC Exp Date]] - MAX(SnapshotTable[[#This Row],[SC Book Date]], SnapshotTable[[#This Row],[SC Fill Date]]) + 1, "")</f>
        <v/>
      </c>
      <c r="EU234" s="34" t="str">
        <f>IF(ISNUMBER(SnapshotTable[[#This Row],[SC Term]]), SnapshotTable[[#This Row],[SC Exp Date]]- MockToday, "")</f>
        <v/>
      </c>
      <c r="EV234" s="31">
        <f>IF(SnapshotTable[[#This Row],[SC Is Booked]], SnapshotTable[[#This Row],[SC Qty]] * SnapshotTable[[#This Row],[SC Book Price]] * 100, 0)</f>
        <v>0</v>
      </c>
      <c r="EW234" s="4" t="str">
        <f>IF(AND(ISNUMBER(SnapshotTable[[#This Row],[Last Price]]), ISNUMBER( SnapshotTable[[#This Row],[SC Book Price]])), SnapshotTable[[#This Row],[Last Price]] - SnapshotTable[[#This Row],[SC Book Price]],"")</f>
        <v/>
      </c>
      <c r="EX234" s="234" t="str">
        <f>IF(SnapshotTable[[#This Row],[SC Is Booked]],IF(SnapshotTable[[#This Row],[SC Intrinsic Value]] &gt; 0, SnapshotTable[[#This Row],[SC Strike Price]], SnapshotTable[[#This Row],[Last Price]]), "")</f>
        <v/>
      </c>
      <c r="EY234" s="4">
        <f>IF(SnapshotTable[[#This Row],[SC Is Booked]], (MinimumPremiumRequired * SnapshotTable[[#This Row],[SC Basis]] * SnapshotTable[[#This Row],[SC Term]]), 0)</f>
        <v>0</v>
      </c>
      <c r="EZ234" s="283"/>
      <c r="FA234" s="218"/>
      <c r="FB234" s="370"/>
      <c r="FC234" s="4">
        <f>IF(SnapshotTable[[#This Row],[SC Is Filled]], btc_max_buyback_amount(SnapshotTable[[#This Row],[SC Fill Date]],SnapshotTable[[#This Row],[SC Exp Date]], SnapshotTable[[#This Row],[SC Book Price]]),0)</f>
        <v>0</v>
      </c>
      <c r="FD234" s="5"/>
      <c r="FE234" s="144" t="str">
        <f>IF(SnapshotTable[[#This Row],[SC Is Filled]], btc_next_cutoff_date(SnapshotTable[[#This Row],[SC Fill Date]],SnapshotTable[[#This Row],[SC Exp Date]]),"")</f>
        <v/>
      </c>
      <c r="FF234" s="4" t="str" cm="1">
        <f t="array" ref="FF234">IF(SnapshotTable[[#This Row],[SC Is Filled]], btc_should_buy_back(SnapshotTable[[#This Row],[SC Fill Date]], SnapshotTable[[#This Row],[SC Exp Date]], SnapshotTable[[#This Row],[SC Book Price]], SnapshotTable[[#This Row],[SC Current Ask]], MockToday, SnapshotTable[[#This Row],[SC Buyback Override]]),"")</f>
        <v/>
      </c>
      <c r="FG234" s="4">
        <f>IF(SnapshotTable[[#This Row],[SC Is Filled]], MAX(0,SnapshotTable[[#This Row],[Last Price]]  - SnapshotTable[[#This Row],[SC Strike Price]]), 0)</f>
        <v>0</v>
      </c>
      <c r="FH234" s="382">
        <f>IF(SnapshotTable[[#This Row],[SC Is Filled]], IF(ISNUMBER(SnapshotTable[[#This Row],[SC Current Ask]]), SnapshotTable[[#This Row],[SC Current Ask]], SnapshotTable[[#This Row],[SC Book Price]]) - SnapshotTable[[#This Row],[SC Intrinsic Value]], 0)</f>
        <v>0</v>
      </c>
      <c r="FI234" s="143"/>
      <c r="FJ234" s="32" t="str">
        <f>IF(SnapshotTable[[#This Row],[SC Is Filled]],100 * SnapshotTable[[#This Row],[SC Qty]] * IF(ISNUMBER(SnapshotTable[[#This Row],[SC Buyback Override]]), SnapshotTable[[#This Row],[SC Buyback Override]], SnapshotTable[[#This Row],[SC Current Ask]]), "")</f>
        <v/>
      </c>
      <c r="FK234" s="250" t="str">
        <f>IF(SnapshotTable[[#This Row],[SC Time Val]]&gt;0, SnapshotTable[[#This Row],[SC Time Val]] / SnapshotTable[[#This Row],[Last Price]],"")</f>
        <v/>
      </c>
      <c r="FL234" s="302" t="str">
        <f>IF(SnapshotTable[[#This Row],[SC Is Booked]], ((SnapshotTable[[#This Row],[Last Price]] -SnapshotTable[[#This Row],[SC Strike Price]]) / SnapshotTable[[#This Row],[Last Price]]) * -1, "")</f>
        <v/>
      </c>
      <c r="FM234" s="157" t="str">
        <f>IF(SnapshotTable[[#This Row],[SC Is Booked]],  (SnapshotTable[[#This Row],[SC Qty]] * 100 * SnapshotTable[[#This Row],[SC Strike Price]]) - SnapshotTable[[#This Row],[SC Current Ask]], "")</f>
        <v/>
      </c>
      <c r="FN23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4" s="31" t="str">
        <f>IF(AND(ISNUMBER(SnapshotTable[[#This Row],[SC Exercise Gross]]), ISNUMBER(SnapshotTable[[#This Row],[Equity Basis Per Share]] )), SnapshotTable[[#This Row],[SC Exercise Gross]] - SnapshotTable[[#This Row],[Equity Basis Total]] +  SnapshotTable[[#This Row],[SC Premium]], "")</f>
        <v/>
      </c>
      <c r="FP234" s="5" t="str">
        <f>IF(ISNUMBER(SnapshotTable[[#This Row],[SC Exercise Gross]]), (SnapshotTable[[#This Row],[SC Exercise Gross]]) / (SnapshotTable[[#This Row],[SC Qty]] * 100), "")</f>
        <v/>
      </c>
      <c r="FQ234" s="27" t="str">
        <f>IF(SnapshotTable[[#This Row],[SC Is Booked]],SnapshotTable[[#This Row],[SC Time Val]] /SnapshotTable[[#This Row],[SC Basis]], "")</f>
        <v/>
      </c>
      <c r="FR234" s="27" t="str" cm="1">
        <f t="array" ref="FR234">IF(AND(ISNUMBER(SnapshotTable[[#This Row],[SC Term]]),ISNUMBER(SnapshotTable[[#This Row],[SC Simple ROO]])), EllmanAnnualize(SnapshotTable[[#This Row],[SC DTE]], SnapshotTable[[#This Row],[SC Simple ROO]] ),"")</f>
        <v/>
      </c>
      <c r="FS234" s="4" t="e">
        <f>IF(SnapshotTable[[#This Row],[SC Strike Price]] &gt; SnapshotTable[[#This Row],[Last Price]], SnapshotTable[[#This Row],[SC Strike Price]] - SnapshotTable[[#This Row],[Last Price]],0)</f>
        <v>#VALUE!</v>
      </c>
      <c r="FT234" s="27" t="e">
        <f>IF(AND(ISNUMBER(SnapshotTable[[#This Row],[SC Upside Potential]]), SnapshotTable[[#This Row],[SC Upside Potential]] &gt; 0),(SnapshotTable[[#This Row],[SC Upside Potential]]/ SnapshotTable[[#This Row],[ACB]]),"")</f>
        <v>#VALUE!</v>
      </c>
      <c r="FU234" s="333" t="str">
        <f>IF(SnapshotTable[[#This Row],[SC Intrinsic Value]] &gt; 0,SnapshotTable[[#This Row],[SC Intrinsic Value]],"")</f>
        <v/>
      </c>
      <c r="FV234" s="27" t="str">
        <f>IF(AND( ISNUMBER( SnapshotTable[[#This Row],[ACB]]),ISNUMBER(SnapshotTable[[#This Row],[SC Downside Protect]])),SnapshotTable[[#This Row],[SC Downside Protect]] / SnapshotTable[[#This Row],[ACB]],"")</f>
        <v/>
      </c>
      <c r="FW234" s="236" t="str">
        <f>IF(AND(ISNUMBER(SnapshotTable[[#This Row],[SC Simple ROO]]),SnapshotTable[[#This Row],[SC Simple ROO]] &gt; 0), SnapshotTable[[#This Row],[SC Premium]] + (SnapshotTable[[#This Row],[SC Qty]] * SnapshotTable[[#This Row],[SC Upside Potential]]), "")</f>
        <v/>
      </c>
      <c r="FX234" s="302" t="str" cm="1">
        <f t="array" ref="FX234">IF(ISNUMBER(SnapshotTable[[#This Row],[SC Max Dollars]]), annualize(SnapshotTable[[#This Row],[SC Term]],(SnapshotTable[[#This Row],[SC Max Dollars]]/SnapshotTable[[#This Row],[SC Basis]])),"")</f>
        <v/>
      </c>
      <c r="FY234" s="236" t="str">
        <f>IF(AND(SnapshotTable[[#This Row],[SC Qty]]&gt;0,SnapshotTable[[#This Row],[SC Current Ask]]&gt;0), SnapshotTable[[#This Row],[SC Qty]] * SnapshotTable[[#This Row],[SC Current Ask]] * -100, "")</f>
        <v/>
      </c>
      <c r="FZ234" s="31" t="str">
        <f>IF(ISNUMBER((SnapshotTable[[#This Row],[SC Current Value]])), SnapshotTable[[#This Row],[SC Premium]] + SnapshotTable[[#This Row],[SC Current Value]], "")</f>
        <v/>
      </c>
      <c r="GA234" s="294" t="str">
        <f>IFERROR( IF(ISNUMBER((SnapshotTable[[#This Row],[SC Current Value]])), SnapshotTable[[#This Row],[SC Gain Loss]] / SnapshotTable[[#This Row],[SC Premium]], ""), "")</f>
        <v/>
      </c>
      <c r="GB234" s="42">
        <f>SnapshotTable[[#This Row],[Equity Shares]] * SaleSharesToConsiderPercentage</f>
        <v>0</v>
      </c>
      <c r="GC234" s="40">
        <f>SnapshotTable[[#This Row],[Long Term Target]] * SellingPriceToConsiderBasedOnTargetPercentage</f>
        <v>0</v>
      </c>
      <c r="GD234" s="40">
        <f>SnapshotTable[[#This Row],[Last Price]] * (1+ SellingPriceToConsiderBasedOnTargetPercentage)</f>
        <v>339.846</v>
      </c>
      <c r="GE234" s="41"/>
      <c r="GF234" s="40"/>
      <c r="GG234" s="31">
        <f>SnapshotTable[[#This Row],[Booked Sale Shares]] * SnapshotTable[[#This Row],[Booked Sale Price]]</f>
        <v>0</v>
      </c>
      <c r="GH234" s="31" t="str">
        <f>IF(SnapshotTable[[#This Row],[Equity Basis Total]] &gt; 0, SnapshotTable[[#This Row],[Equity Basis Per Share]] * SnapshotTable[[#This Row],[Booked Sale Shares]], "")</f>
        <v/>
      </c>
      <c r="GI234" s="31">
        <f>IF(SnapshotTable[[#This Row],[Sale Proceeds]]&gt;0, SnapshotTable[[#This Row],[Sale Proceeds]] - SnapshotTable[[#This Row],[Sale Basis]], 0)</f>
        <v>0</v>
      </c>
      <c r="GJ234" s="27" t="str">
        <f>IF(SnapshotTable[[#This Row],[Sale G/L]]&gt;0, SnapshotTable[[#This Row],[Sale G/L]] / SnapshotTable[[#This Row],[Sale Basis]], IF(ISNUMBER(SnapshotTable[[#This Row],[SC Exercise P&amp;L (TAX)]]), SnapshotTable[[#This Row],[SC Exercise P&amp;L (TAX)]] / SnapshotTable[[#This Row],[SC Basis]], ""))</f>
        <v/>
      </c>
      <c r="GK234" s="27"/>
      <c r="GL234" s="43" t="str">
        <f>IF(AND(SnapshotTable[[#This Row],[LP Exp Date]]&gt;0,SnapshotTable[[#This Row],[LP Strike Price]]&gt;0), [1]!ToOptionSymbol(SnapshotTable[[#This Row],[Symbol]], SnapshotTable[[#This Row],[LP Strike Price]],SnapshotTable[[#This Row],[LP Exp Date]],1), "")</f>
        <v/>
      </c>
      <c r="GM234" s="30" t="str">
        <f>IF(LEN(SnapshotTable[[#This Row],[LP Symbol]])&gt;0, 1, "")</f>
        <v/>
      </c>
      <c r="GN234" s="43" t="str">
        <f>IF(AND(SnapshotTable[[#This Row],[SP Exp Date]]&gt;0,SnapshotTable[[#This Row],[SP Strike Price]]&gt;0), [1]!ToOptionSymbol(SnapshotTable[[#This Row],[Symbol]], SnapshotTable[[#This Row],[SP Strike Price]],SnapshotTable[[#This Row],[SP Exp Date]],1), "")</f>
        <v/>
      </c>
      <c r="GO234" s="30" t="str">
        <f>IF(LEN(SnapshotTable[[#This Row],[SP Symbol]])&gt;0, 1, "")</f>
        <v/>
      </c>
      <c r="GP234" s="43" t="str">
        <f>IF(AND(SnapshotTable[[#This Row],[LC Exp Date]]&gt;0,SnapshotTable[[#This Row],[LC Strike Price]]&gt;0), [1]!ToOptionSymbol(SnapshotTable[[#This Row],[Symbol]], SnapshotTable[[#This Row],[LC Strike Price]],SnapshotTable[[#This Row],[LC Exp Date]],0), "")</f>
        <v/>
      </c>
      <c r="GQ234" s="30" t="str">
        <f>IF(LEN(SnapshotTable[[#This Row],[LC Symbol]])&gt;0, 1, "")</f>
        <v/>
      </c>
      <c r="GR234" s="43" t="str">
        <f>IF(AND(SnapshotTable[[#This Row],[SC Exp Date]]&gt;0,SnapshotTable[[#This Row],[SC Strike Price]]&gt;0), [1]!ToOptionSymbol(SnapshotTable[[#This Row],[Symbol]], SnapshotTable[[#This Row],[SC Strike Price]],SnapshotTable[[#This Row],[SC Exp Date]],0), "")</f>
        <v/>
      </c>
      <c r="GS234" s="30" t="str">
        <f>IF(LEN(SnapshotTable[[#This Row],[SC Symbol]])&gt;0, 1, "")</f>
        <v/>
      </c>
      <c r="GT234" s="29" t="str">
        <f>IF(COUNT(SnapshotTable[[#This Row],[LP Symbol Count]],SnapshotTable[[#This Row],[SP Symbol Count]],SnapshotTable[[#This Row],[LC Symbol Count]],SnapshotTable[[#This Row],[SC Symbol Count]])&gt;0, "Y", "")</f>
        <v/>
      </c>
      <c r="GU23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4" s="231" t="e">
        <f>MAX(SnapshotTable[[#This Row],[Equity Basis Total]],SnapshotTable[[#This Row],[Equity Value]]) + (SnapshotTable[[#This Row],[SP Potential Spend]]- SnapshotTable[[#This Row],[SP Premium]] + SnapshotTable[[#This Row],[LP Premium]])+ (SnapshotTable[[#This Row],[LC Premium]] - SnapshotTable[[#This Row],[SC Premium]])</f>
        <v>#VALUE!</v>
      </c>
      <c r="GW234" s="139" t="e">
        <f>IF(AND(SnapshotTable[[#This Row],[Exposure]] &lt;&gt; 0),SnapshotTable[[#This Row],[Exposure]] / SnapshotTable[[#Totals],[Exposure]], "")</f>
        <v>#VALUE!</v>
      </c>
      <c r="GX234" s="2"/>
      <c r="HE234" s="268"/>
      <c r="HF234" s="268"/>
      <c r="HK234" s="1"/>
      <c r="HL234" s="1"/>
      <c r="HM234" s="1"/>
      <c r="HN234" s="1"/>
      <c r="HO234" s="1"/>
      <c r="HP234" s="1"/>
    </row>
    <row r="235" spans="2:224" ht="12.75" hidden="1" customHeight="1" x14ac:dyDescent="0.25">
      <c r="B235" s="12" t="s">
        <v>1275</v>
      </c>
      <c r="C235" s="422">
        <v>5.24</v>
      </c>
      <c r="D235" s="208"/>
      <c r="E235" s="39">
        <f>SnapshotTable[[#This Row],[Last Price]]*(1 -CrashDiscount)</f>
        <v>4.4539999999999997</v>
      </c>
      <c r="F235" s="325" t="s">
        <v>1276</v>
      </c>
      <c r="G235" s="325" t="s">
        <v>872</v>
      </c>
      <c r="H235" s="149"/>
      <c r="I235" s="194"/>
      <c r="J235" s="195"/>
      <c r="K235" s="196"/>
      <c r="L235" s="326"/>
      <c r="M235" s="140"/>
      <c r="N235" s="140"/>
      <c r="O235" s="140"/>
      <c r="P235" s="22">
        <v>1000</v>
      </c>
      <c r="Q235" s="25">
        <v>6097</v>
      </c>
      <c r="R235" s="4">
        <f>IF(SnapshotTable[[#This Row],[Equity Basis Total]] &gt; 0, SnapshotTable[[#This Row],[Equity Basis Total]] / SnapshotTable[[#This Row],[Equity Shares]], "")</f>
        <v>6.0970000000000004</v>
      </c>
      <c r="S235" s="269">
        <f>SnapshotTable[[#This Row],[Last Price]] * SnapshotTable[[#This Row],[Equity Shares]]</f>
        <v>5240</v>
      </c>
      <c r="T235" s="269">
        <f>SnapshotTable[[#This Row],[Equity Value]] - SnapshotTable[[#This Row],[Equity Basis Total]]</f>
        <v>-857</v>
      </c>
      <c r="U235" s="270">
        <f>IF(SnapshotTable[[#This Row],[Equity Basis Total]] &gt; 0, SnapshotTable[[#This Row],[Equity G/L]] / SnapshotTable[[#This Row],[Equity Basis Total]], "")</f>
        <v>-0.14056093160570773</v>
      </c>
      <c r="V235" s="268">
        <v>8.5</v>
      </c>
      <c r="W235" s="268">
        <v>5.3</v>
      </c>
      <c r="X235" s="4">
        <f>IF(AND(ISNUMBER(SnapshotTable[[#This Row],[Equity Basis Per Share]]),ISNUMBER(SnapshotTable[[#This Row],[Equity Target]])),SnapshotTable[[#This Row],[Equity Target]]-SnapshotTable[[#This Row],[Equity Basis Per Share]],"")</f>
        <v>2.4029999999999996</v>
      </c>
      <c r="Y235" s="4">
        <f>IF(AND(ISNUMBER(SnapshotTable[[#This Row],[Equity Basis Per Share]]),ISNUMBER(SnapshotTable[[#This Row],[Equity Stop Loss]])),SnapshotTable[[#This Row],[Equity Stop Loss]]-SnapshotTable[[#This Row],[Equity Basis Per Share]],"")</f>
        <v>-0.7970000000000006</v>
      </c>
      <c r="Z235" s="275" t="str">
        <f>IFERROR( TEXT(SnapshotTable[[#This Row],[Equity Max Gain Per Share]] /ABS( SnapshotTable[[#This Row],[Equity Max Loss Per Share]]),"0.0 " ) &amp; " : 1", "")</f>
        <v>3.0  : 1</v>
      </c>
      <c r="AA235" s="31">
        <f>IF(ISNUMBER(SnapshotTable[[#This Row],[Equity Max Gain Per Share]]),SnapshotTable[[#This Row],[Equity Max Gain Per Share]] * SnapshotTable[[#This Row],[Equity Shares]],"")</f>
        <v>2402.9999999999995</v>
      </c>
      <c r="AB235" s="31">
        <f>IF(ISNUMBER(SnapshotTable[[#This Row],[Equity Max Loss Per Share]]),SnapshotTable[[#This Row],[Equity Max Loss Per Share]] * SnapshotTable[[#This Row],[Equity Shares]],"")</f>
        <v>-797.00000000000057</v>
      </c>
      <c r="AC235" s="150"/>
      <c r="AD235" s="151"/>
      <c r="AE235" s="31">
        <f>(SnapshotTable[[#This Row],[Annual Dividend Per Share]] / 4) * SnapshotTable[[#This Row],[Equity Shares]]</f>
        <v>0</v>
      </c>
      <c r="AF235" s="31">
        <f>SnapshotTable[[#This Row],[Quarterly Div $]] * 4</f>
        <v>0</v>
      </c>
      <c r="AG235" s="7">
        <f>IF(SnapshotTable[[#This Row],[Annual Dividend Per Share]]&gt;0, SnapshotTable[[#This Row],[Annual Dividend Per Share]]  / SnapshotTable[[#This Row],[Last Price]], 0)</f>
        <v>0</v>
      </c>
      <c r="AH235" s="151"/>
      <c r="AI235" s="5"/>
      <c r="AJ235" s="138"/>
      <c r="AK235" s="152" t="str">
        <f>IF(ISNUMBER( SnapshotTable[[#This Row],[EBF Target]]),(SnapshotTable[[#This Row],[EBF Target]] - SnapshotTable[[#This Row],[Last Price]]) / SnapshotTable[[#This Row],[Last Price]], "")</f>
        <v/>
      </c>
      <c r="AL235" s="152" t="str">
        <f>IF(AND(SnapshotTable[[#This Row],[Equity Basis Total]] &gt; 0,ISNUMBER( SnapshotTable[[#This Row],[Long Term Target]])), SnapshotTable[[#This Row],[From Basis $]] / SnapshotTable[[#This Row],[Equity Basis Total]], "")</f>
        <v/>
      </c>
      <c r="AM235" s="9">
        <f>IF( AND(SnapshotTable[[#This Row],[Equity Shares]] &gt;0,ISNUMBER( SnapshotTable[[#This Row],[Long Term Target]])),(SnapshotTable[[#This Row],[Equity Shares]] * SnapshotTable[[#This Row],[Long Term Target]]) - SnapshotTable[[#This Row],[Equity Basis Total]],0)</f>
        <v>0</v>
      </c>
      <c r="AN235" s="9">
        <f>IF( AND(SnapshotTable[[#This Row],[Equity Shares]] &gt;0,ISNUMBER( SnapshotTable[[#This Row],[Long Term Target]])),(SnapshotTable[[#This Row],[Equity Shares]]*SnapshotTable[[#This Row],[Long Term Target]]) - SnapshotTable[[#This Row],[Equity Value]],0)</f>
        <v>0</v>
      </c>
      <c r="AO235" s="152" t="str">
        <f>IF(AND(ISNUMBER( SnapshotTable[[#This Row],[Long Term Target]]), ISNUMBER(SnapshotTable[[#This Row],[Last Price]])),(SnapshotTable[[#This Row],[Long Term Target]] - SnapshotTable[[#This Row],[Last Price]]) / SnapshotTable[[#This Row],[Last Price]], "")</f>
        <v/>
      </c>
      <c r="AP235" s="5"/>
      <c r="AQ235" s="38"/>
      <c r="AR235" s="5"/>
      <c r="AS235" s="38"/>
      <c r="AT235" s="146"/>
      <c r="AU235" s="187" t="str">
        <f ca="1">IF(OR(SnapshotTable[[#This Row],[LP No Fill]]="Y",SnapshotTable[[#This Row],[SP Is Filled]],SnapshotTable[[#This Row],[LC Not Filled]]="Y",SnapshotTable[[#This Row],[SC Is Filled]]),"Y","")</f>
        <v>Y</v>
      </c>
      <c r="AV235" s="219"/>
      <c r="AW235" s="225"/>
      <c r="AX235" s="220"/>
      <c r="AY235" s="219" t="str">
        <f>IF(SnapshotTable[[#This Row],[Implied Move]]&gt;0, SnapshotTable[[#This Row],[Last Price]]-SnapshotTable[[#This Row],[Implied Move]],"")</f>
        <v/>
      </c>
      <c r="AZ235" s="219" t="str">
        <f>IF(SnapshotTable[[#This Row],[Implied Move]]&gt;0, SnapshotTable[[#This Row],[Last Price]] + SnapshotTable[[#This Row],[Implied Move]],"")</f>
        <v/>
      </c>
      <c r="BA235" s="331">
        <v>5.48</v>
      </c>
      <c r="BB235" s="347"/>
      <c r="BC235"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46283</v>
      </c>
      <c r="BD235" s="351"/>
      <c r="BE235" s="5"/>
      <c r="BF235" s="14"/>
      <c r="BG235" s="13"/>
      <c r="BH235" s="13"/>
      <c r="BI235" s="5"/>
      <c r="BJ235" s="136">
        <f>IF(SnapshotTable[[#This Row],[LP Qty]] &gt; 0, SnapshotTable[[#This Row],[LP Qty]] * SnapshotTable[[#This Row],[LP Book Price]] * 100,0)</f>
        <v>0</v>
      </c>
      <c r="BK235" s="136">
        <f>IF(SnapshotTable[[#This Row],[LP Premium]] &gt; 0, SnapshotTable[[#This Row],[LP Qty]] * SnapshotTable[[#This Row],[LP Strike Price]] * 100,0)</f>
        <v>0</v>
      </c>
      <c r="BL235" s="154"/>
      <c r="BM235" s="385" t="str">
        <f>IF(SnapshotTable[[#This Row],[LP Premium]] &gt; 0,SnapshotTable[[#This Row],[LP Exp Date]]-MAX(SnapshotTable[[#This Row],[LP Book Date]], SnapshotTable[[#This Row],[LP Fill Date]]),"")</f>
        <v/>
      </c>
      <c r="BN235" s="385" t="str">
        <f>IF(ISNUMBER( SnapshotTable[[#This Row],[LP Term]]), SnapshotTable[[#This Row],[LP Exp Date]] - MockToday,"")</f>
        <v/>
      </c>
      <c r="BO235" s="163" t="str">
        <f>IF(AND(SnapshotTable[[#This Row],[LP Exp Date]]&gt;0, SnapshotTable[[#This Row],[LP Strike Price]]&gt;0,SnapshotTable[[#This Row],[LP Qty]]&gt;0,SnapshotTable[[#This Row],[LP Book Date]]&gt;0,SnapshotTable[[#This Row],[LP Book Price]]&gt;0,SnapshotTable[[#This Row],[LP Fill Date]]=0),"Y","")</f>
        <v/>
      </c>
      <c r="BP235" s="31" t="str">
        <f>IF(AND(SnapshotTable[[#This Row],[LP No Fill]]&lt;&gt;"Y",SnapshotTable[[#This Row],[LP Contract Value]]&gt;0, SnapshotTable[[#This Row],[LP Qty]]&gt;0), SnapshotTable[[#This Row],[LP Contract Value]]*SnapshotTable[[#This Row],[LP Qty]]*100,"")</f>
        <v/>
      </c>
      <c r="BQ235" s="13">
        <f ca="1">NextMonthlyOpex</f>
        <v>46283</v>
      </c>
      <c r="BR235" s="5">
        <f ca="1">IF(SnapshotTable[[#This Row],[SP Exp Date]]&lt;&gt;"",TRUNC(SnapshotTable[[#This Row],[Last Price]]),"")</f>
        <v>5</v>
      </c>
      <c r="BS235" s="36">
        <v>10</v>
      </c>
      <c r="BT235" s="147">
        <f ca="1">WORKDAY(MockToday, 0)</f>
        <v>46235</v>
      </c>
      <c r="BU235" s="13">
        <f ca="1">WORKDAY(MockToday, 0)</f>
        <v>46235</v>
      </c>
      <c r="BV235" s="5">
        <v>0.62</v>
      </c>
      <c r="BW235" s="419" t="b">
        <f ca="1">AND(ISNUMBER(SnapshotTable[[#This Row],[SP Exp Date]]), ISNUMBER(SnapshotTable[[#This Row],[SP Strike Price]]), ISNUMBER(SnapshotTable[[#This Row],[SP Qty]]), ISNUMBER(SnapshotTable[[#This Row],[SP Book Date]]), ISNUMBER(SnapshotTable[[#This Row],[SP Book Price]]))</f>
        <v>1</v>
      </c>
      <c r="BX235" s="419" t="b">
        <f ca="1">AND(SnapshotTable[[#This Row],[SP Is Booked]], NOT(ISBLANK(SnapshotTable[[#This Row],[SP Fill Date]])))</f>
        <v>1</v>
      </c>
      <c r="BY235" s="33">
        <f ca="1">IF(SnapshotTable[[#This Row],[SP Is Booked]], SnapshotTable[[#This Row],[SP Qty]] * SnapshotTable[[#This Row],[SP Book Price]] * 100, 0)</f>
        <v>620</v>
      </c>
      <c r="BZ235" s="369">
        <v>0.42</v>
      </c>
      <c r="CA235" s="368">
        <f>SnapshotTable[[#This Row],[LP Qty]]</f>
        <v>0</v>
      </c>
      <c r="CB235" s="4">
        <f ca="1">IF(SnapshotTable[[#This Row],[SP Is Booked]], SnapshotTable[[#This Row],[SP Strike Price]] - SnapshotTable[[#This Row],[SP Book Price]], "")</f>
        <v>4.38</v>
      </c>
      <c r="CC235" s="19">
        <f ca="1">IF(SnapshotTable[[#This Row],[SP Is Booked]],SnapshotTable[[#This Row],[SP Exp Date]]-MAX(SnapshotTable[[#This Row],[SP Book Date]], SnapshotTable[[#This Row],[SP Fill Date]]),"")</f>
        <v>48</v>
      </c>
      <c r="CD235" s="7">
        <f ca="1">IF(SnapshotTable[[#This Row],[SP Is Booked]], SnapshotTable[[#This Row],[SP Book Price]]/SnapshotTable[[#This Row],[SP Strike Price]], "")</f>
        <v>0.124</v>
      </c>
      <c r="CE235" s="7">
        <f ca="1">IF(ISNUMBER(SnapshotTable[[#This Row],[SP ROO Term]]),SnapshotTable[[#This Row],[SP ROO Term]]*(365/SnapshotTable[[#This Row],[SP Term]]),"")</f>
        <v>0.94291666666666674</v>
      </c>
      <c r="CF235" s="236">
        <f>SnapshotTable[[#This Row],[LP Strike Price]] * SnapshotTable[[#This Row],[LP Qty]] * 100</f>
        <v>0</v>
      </c>
      <c r="CG235" s="31">
        <f ca="1">IF(ISNUMBER(SnapshotTable[[#This Row],[SP Premium]]), (SnapshotTable[[#This Row],[SP Qty]] * SnapshotTable[[#This Row],[SP Strike Price]]* 100) - SnapshotTable[[#This Row],[LP Protection]], 0)</f>
        <v>5000</v>
      </c>
      <c r="CH235" s="7">
        <f ca="1">IF(ISNUMBER(SnapshotTable[[#This Row],[SP Break Even]]),-1 * (SnapshotTable[[#This Row],[SP Break Even]] - SnapshotTable[[#This Row],[Last Price]]) / SnapshotTable[[#This Row],[Last Price]], "")</f>
        <v>0.1641221374045802</v>
      </c>
      <c r="CI235" s="31">
        <f ca="1">IF(AND(ISNUMBER((SnapshotTable[[#This Row],[SP Potential Spend]])), SnapshotTable[[#This Row],[SP Strike Price]] &gt; SnapshotTable[[#This Row],[Last Price]], SnapshotTable[[#This Row],[SP Is Filled]]), SnapshotTable[[#This Row],[SP Potential Spend]] -  SnapshotTable[[#This Row],[LP Max Value]], 0)</f>
        <v>0</v>
      </c>
      <c r="CJ235" s="244"/>
      <c r="CK235" s="31">
        <f ca="1">IF(ISNUMBER(SnapshotTable[[#This Row],[SP Potential Spend]]),IF(ISNUMBER(SnapshotTable[[#This Row],[SP POW]]), SnapshotTable[[#This Row],[SP POW]] * SnapshotTable[[#This Row],[SP Potential Spend]], SnapshotTable[[#This Row],[SP Potential Spend]]), "")</f>
        <v>5000</v>
      </c>
      <c r="CL235" s="164" t="str">
        <f ca="1">IF(NOT(SnapshotTable[[#This Row],[SP Is Filled]]),(SnapshotTable[[#This Row],[SP Qty]] * SnapshotTable[[#This Row],[SP Strike Price]] * 100) - SnapshotTable[[#This Row],[LP Max Value]],"")</f>
        <v/>
      </c>
      <c r="CM235" s="31" t="str">
        <f ca="1">IF(SnapshotTable[[#This Row],[SP Actual Spend]]&lt;&gt;0, ((SnapshotTable[[#This Row],[SP Strike Price]]-SnapshotTable[[#This Row],[Last Price]]) *(SnapshotTable[[#This Row],[SP Qty]]*100) - SnapshotTable[[#This Row],[SP Premium]]) * - 1, "")</f>
        <v/>
      </c>
      <c r="CN235" s="78">
        <v>0.4</v>
      </c>
      <c r="CO235" s="369">
        <v>0.28000000000000003</v>
      </c>
      <c r="CP235" s="4" t="e">
        <f ca="1">IF(SnapshotTable[[#This Row],[SP Is Filled]], btc_max_buyback_amount(SnapshotTable[[#This Row],[SP Fill Date]],SnapshotTable[[#This Row],[SP Exp Date]], SnapshotTable[[#This Row],[SP Book Price]]),"")</f>
        <v>#NAME?</v>
      </c>
      <c r="CQ235" s="78"/>
      <c r="CR235"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35" s="155" t="e">
        <f ca="1">IF(SnapshotTable[[#This Row],[SP Is Filled]], btc_next_cutoff_date(SnapshotTable[[#This Row],[SP Fill Date]],SnapshotTable[[#This Row],[SP Exp Date]]),"")</f>
        <v>#NAME?</v>
      </c>
      <c r="CT235" s="235" t="e" cm="1">
        <f t="array" aca="1" ref="CT235" ca="1">IF(SnapshotTable[[#This Row],[SP Is Filled]], btc_should_buy_back(SnapshotTable[[#This Row],[SP Fill Date]], SnapshotTable[[#This Row],[SP Exp Date]], SnapshotTable[[#This Row],[SP Book Price]], SnapshotTable[[#This Row],[SP Current Ask]], MockToday, SnapshotTable[[#This Row],[SP Buyback Override]]),"")</f>
        <v>#NAME?</v>
      </c>
      <c r="CU235" s="143">
        <v>46220</v>
      </c>
      <c r="CV235" s="235"/>
      <c r="CW235" s="378">
        <f ca="1">IF(ISNUMBER( SnapshotTable[[#This Row],[SP Term]]), SnapshotTable[[#This Row],[SP Exp Date]] - MockToday,"")</f>
        <v>48</v>
      </c>
      <c r="CX235" s="31" t="e">
        <f ca="1">IF(SnapshotTable[[#This Row],[SP Is Filled]],SnapshotTable[[#This Row],[SP Buyback Price to Use]] * 100 * SnapshotTable[[#This Row],[SP Qty]], "")</f>
        <v>#NAME?</v>
      </c>
      <c r="CY235" s="4">
        <f ca="1">IF(ISNUMBER(SnapshotTable[[#This Row],[SP Strike Price]]), SnapshotTable[[#This Row],[SP Strike Price]] * (1 - SP_MaxLoss_StrikePct), "")</f>
        <v>4.8499999999999996</v>
      </c>
      <c r="CZ235" s="31">
        <f ca="1">IF(ISNUMBER(SnapshotTable[[#This Row],[SP Strike  Stop Per Share]]),SnapshotTable[[#This Row],[SP Premium]] - ((SnapshotTable[[#This Row],[SP Strike Price]]-SnapshotTable[[#This Row],[SP Strike  Stop Per Share]]) *(SnapshotTable[[#This Row],[SP Qty]] * 100)),"")</f>
        <v>469.99999999999966</v>
      </c>
      <c r="DA235" s="4">
        <f ca="1">IF(AND(ISNUMBER(SnapshotTable[[#This Row],[SP Premium]]),SnapshotTable[[#This Row],[SP Premium]]&gt;0), SnapshotTable[[#This Row],[SP Book Price]] * (1 + SP_MaxLoss_OptionPct), "")</f>
        <v>0.92999999999999994</v>
      </c>
      <c r="DB235" s="31">
        <f ca="1">IF(ISNUMBER(SnapshotTable[[#This Row],[SP Option  Stop Contract]]),(SnapshotTable[[#This Row],[SP Option  Stop Contract]] *(SnapshotTable[[#This Row],[SP Qty]] * 100) - SnapshotTable[[#This Row],[SP Premium]]),"")</f>
        <v>309.99999999999989</v>
      </c>
      <c r="DC235" s="4"/>
      <c r="DD235" s="4"/>
      <c r="DE235" s="4" t="str">
        <f>IF(AND(SnapshotTable[[#This Row],[SP Qty]]&gt;0, SnapshotTable[[#This Row],[SP Stop To Use]]&gt;0),SnapshotTable[[#This Row],[SP Premium]] - ( SnapshotTable[[#This Row],[SP Qty]] * SnapshotTable[[#This Row],[SP Stop To Use]] * 100), "")</f>
        <v/>
      </c>
      <c r="DF235" s="31">
        <f>IF(AND(SnapshotTable[[#This Row],[SP Qty]]&gt;0,SnapshotTable[[#This Row],[SP Current Ask]]&gt;0), SnapshotTable[[#This Row],[SP Qty]] * SnapshotTable[[#This Row],[SP Current Ask]] * -100, "")</f>
        <v>-400</v>
      </c>
      <c r="DG235" s="31">
        <f ca="1">IF(ISNUMBER((SnapshotTable[[#This Row],[SP Total Value]])), SnapshotTable[[#This Row],[SP Premium]] + SnapshotTable[[#This Row],[SP Total Value]], "")</f>
        <v>220</v>
      </c>
      <c r="DH235" s="294">
        <f ca="1">IF(ISNUMBER((SnapshotTable[[#This Row],[SP Total Value]])), SnapshotTable[[#This Row],[SP Gain Loss]] / SnapshotTable[[#This Row],[SP Premium]], "")</f>
        <v>0.35483870967741937</v>
      </c>
      <c r="DI235" s="406"/>
      <c r="DJ235" s="138"/>
      <c r="DK235" s="148"/>
      <c r="DL235" s="13"/>
      <c r="DM235" s="13"/>
      <c r="DO235" s="31">
        <f>IF(SnapshotTable[[#This Row],[LC Symbol Count]]=1, SnapshotTable[[#This Row],[LC Qty]] * SnapshotTable[[#This Row],[LC Book Price]] * 100, 0)</f>
        <v>0</v>
      </c>
      <c r="DP235" s="163" t="str">
        <f>IF(AND(SnapshotTable[[#This Row],[LC Exp Date]]&gt;0, SnapshotTable[[#This Row],[LC Strike Price]]&gt;0,SnapshotTable[[#This Row],[LC Qty]]&gt;0,SnapshotTable[[#This Row],[LC Book Date]]&gt;0,SnapshotTable[[#This Row],[LC Book Price]]&gt;0,SnapshotTable[[#This Row],[LC Fill Date]]=0),"Y","")</f>
        <v/>
      </c>
      <c r="DQ235" s="386" t="str">
        <f>IF(SnapshotTable[[#This Row],[LC Premium]] &gt; 0,SnapshotTable[[#This Row],[LC Exp Date]]-MAX(SnapshotTable[[#This Row],[LC Book Date]], SnapshotTable[[#This Row],[LC Fill Date]]),"")</f>
        <v/>
      </c>
      <c r="DR235" s="386" t="str">
        <f>IF(ISNUMBER(SnapshotTable[[#This Row],[LC Term]]), SnapshotTable[[#This Row],[LC Exp Date]] - MockToday, "")</f>
        <v/>
      </c>
      <c r="DS235" s="234" t="str">
        <f>IF(SnapshotTable[[#This Row],[LC Premium]]&gt;0,SnapshotTable[[#This Row],[LC Strike Price]] + SnapshotTable[[#This Row],[LC Book Price]],"")</f>
        <v/>
      </c>
      <c r="DU235" s="9" t="str">
        <f>IF(AND(SnapshotTable[[#This Row],[LC Symbol Count]]&gt;0, SnapshotTable[[#This Row],[LC Contract Value]]&gt;0), SnapshotTable[[#This Row],[LC Contract Value]] * SnapshotTable[[#This Row],[LC Qty]] * 100, "")</f>
        <v/>
      </c>
      <c r="DV235" s="9" t="str">
        <f>IF(AND(ISNUMBER(SnapshotTable[[#This Row],[LC Total Value]]), SnapshotTable[[#This Row],[LC Not Filled]]&lt;&gt;"Y"), SnapshotTable[[#This Row],[LC Total Value]]-SnapshotTable[[#This Row],[LC Premium]],"")</f>
        <v/>
      </c>
      <c r="DW235" s="240" t="str">
        <f>IF(ISNUMBER(SnapshotTable[[#This Row],[LC Actual Gain Loss]]), SnapshotTable[[#This Row],[LC Actual Gain Loss]] / SnapshotTable[[#This Row],[LC Premium]],"")</f>
        <v/>
      </c>
      <c r="DX235" s="284" t="str">
        <f>IF(ISNUMBER(SnapshotTable[[#This Row],[LC Book Price]]),SnapshotTable[[#This Row],[LC Book Price]] * 1.5,"")</f>
        <v/>
      </c>
      <c r="DY235" s="265" t="str">
        <f>IF(SnapshotTable[[#This Row],[LC Premium]]&gt;0, SnapshotTable[[#This Row],[LC Next Target]] * SnapshotTable[[#This Row],[LC Qty]] * 100,"")</f>
        <v/>
      </c>
      <c r="DZ235" s="265" t="str">
        <f>IF(ISNUMBER(SnapshotTable[[#This Row],[LC Target Gross]]), SnapshotTable[[#This Row],[LC Target Gross]] - SnapshotTable[[#This Row],[LC Premium]], "")</f>
        <v/>
      </c>
      <c r="EA235" s="305" t="str">
        <f>IF(ISNUMBER(SnapshotTable[[#This Row],[LC Target Gain Loss]]), SnapshotTable[[#This Row],[LC Target Gain Loss]]/SnapshotTable[[#This Row],[LC Premium]], "")</f>
        <v/>
      </c>
      <c r="EB235" s="262"/>
      <c r="EC235" s="283" t="str">
        <f>IF(SnapshotTable[[#This Row],[LC Premium]]&gt;0, SnapshotTable[[#This Row],[LC Book Price]] * (1 - LC_StopLoss_Pct),"")</f>
        <v/>
      </c>
      <c r="ED235" s="284"/>
      <c r="EE235" s="283" t="str">
        <f>IF(ISNUMBER(SnapshotTable[[#This Row],[LC Contract Value]]),IF(ISNUMBER(SnapshotTable[[#This Row],[LC Stop Loss Override]]), SnapshotTable[[#This Row],[LC Stop Loss Override]],SnapshotTable[[#This Row],[LC Stop Loss Calc Target]]),"")</f>
        <v/>
      </c>
      <c r="EF235" s="31" t="str">
        <f>IF(ISNUMBER(SnapshotTable[[#This Row],[LC Stop  To Use]]), (SnapshotTable[[#This Row],[LC Stop  To Use]] * SnapshotTable[[#This Row],[LC Qty]] * 100),"")</f>
        <v/>
      </c>
      <c r="EG235" s="9" t="str">
        <f>IF(ISNUMBER(SnapshotTable[[#This Row],[LC Total Value]]),SnapshotTable[[#This Row],[LC Stop Loss Amount]] - SnapshotTable[[#This Row],[LC Premium]],"")</f>
        <v/>
      </c>
      <c r="EH235" s="9">
        <f>IF(ISNUMBER(SnapshotTable[[#This Row],[LC Premium]]), SnapshotTable[[#This Row],[LC Qty]] * 100 * SnapshotTable[[#This Row],[LC Strike Price]], "")</f>
        <v>0</v>
      </c>
      <c r="EI235" s="240" t="str">
        <f>IF(AND(ISNUMBER(SnapshotTable[[#This Row],[LC Total Value]]),SnapshotTable[[#This Row],[LC Total Value]]&gt;0),SnapshotTable[[#This Row],[LC Stop Gain Loss]]  / SnapshotTable[[#This Row],[LC Premium]],"")</f>
        <v/>
      </c>
      <c r="EJ235" s="35">
        <f>IF(ISNUMBER(SnapshotTable[[#This Row],[Equity Shares]]),TRUNC(SnapshotTable[[#This Row],[Equity Shares]] / 100),0) + SnapshotTable[[#This Row],[LC Qty]]</f>
        <v>10</v>
      </c>
      <c r="EK235" s="147"/>
      <c r="EL235" s="138" t="str">
        <f>IF(SnapshotTable[[#This Row],[SC Exp Date]]&lt;&gt;"",TRUNC(SnapshotTable[[#This Row],[Last Price]]),"")</f>
        <v/>
      </c>
      <c r="EM235" s="148"/>
      <c r="EN235" s="147"/>
      <c r="EO235" s="147"/>
      <c r="EP235" s="138"/>
      <c r="EQ235" s="419" t="b">
        <f>AND(ISNUMBER(SnapshotTable[[#This Row],[SC Exp Date]]), ISNUMBER(SnapshotTable[[#This Row],[SC Strike Price]]), ISNUMBER(SnapshotTable[[#This Row],[SC Qty]]), ISNUMBER(SnapshotTable[[#This Row],[SC Book Date]]), ISNUMBER(SnapshotTable[[#This Row],[SC Book Price]]))</f>
        <v>0</v>
      </c>
      <c r="ER235" s="419" t="b">
        <f>AND(SnapshotTable[[#This Row],[SC Is Booked]], NOT(ISBLANK(SnapshotTable[[#This Row],[SC Fill Date]])))</f>
        <v>0</v>
      </c>
      <c r="ES235" s="370"/>
      <c r="ET235" s="34" t="str">
        <f>IF(AND(ISNUMBER(SnapshotTable[[#This Row],[SC Exp Date]]), ISNUMBER(SnapshotTable[[#This Row],[SC Book Date]])), SnapshotTable[[#This Row],[SC Exp Date]] - MAX(SnapshotTable[[#This Row],[SC Book Date]], SnapshotTable[[#This Row],[SC Fill Date]]) + 1, "")</f>
        <v/>
      </c>
      <c r="EU235" s="34" t="str">
        <f>IF(ISNUMBER(SnapshotTable[[#This Row],[SC Term]]), SnapshotTable[[#This Row],[SC Exp Date]]- MockToday, "")</f>
        <v/>
      </c>
      <c r="EV235" s="31">
        <f>IF(SnapshotTable[[#This Row],[SC Is Booked]], SnapshotTable[[#This Row],[SC Qty]] * SnapshotTable[[#This Row],[SC Book Price]] * 100, 0)</f>
        <v>0</v>
      </c>
      <c r="EW235" s="4" t="str">
        <f>IF(AND(ISNUMBER(SnapshotTable[[#This Row],[Last Price]]), ISNUMBER( SnapshotTable[[#This Row],[SC Book Price]])), SnapshotTable[[#This Row],[Last Price]] - SnapshotTable[[#This Row],[SC Book Price]],"")</f>
        <v/>
      </c>
      <c r="EX235" s="234" t="str">
        <f>IF(SnapshotTable[[#This Row],[SC Is Booked]],IF(SnapshotTable[[#This Row],[SC Intrinsic Value]] &gt; 0, SnapshotTable[[#This Row],[SC Strike Price]], SnapshotTable[[#This Row],[Last Price]]), "")</f>
        <v/>
      </c>
      <c r="EY235" s="4">
        <f>IF(SnapshotTable[[#This Row],[SC Is Booked]], (MinimumPremiumRequired * SnapshotTable[[#This Row],[SC Basis]] * SnapshotTable[[#This Row],[SC Term]]), 0)</f>
        <v>0</v>
      </c>
      <c r="EZ235" s="283"/>
      <c r="FA235" s="218"/>
      <c r="FB235" s="370"/>
      <c r="FC235" s="4">
        <f>IF(SnapshotTable[[#This Row],[SC Is Filled]], btc_max_buyback_amount(SnapshotTable[[#This Row],[SC Fill Date]],SnapshotTable[[#This Row],[SC Exp Date]], SnapshotTable[[#This Row],[SC Book Price]]),0)</f>
        <v>0</v>
      </c>
      <c r="FD235" s="5"/>
      <c r="FE235" s="144" t="str">
        <f>IF(SnapshotTable[[#This Row],[SC Is Filled]], btc_next_cutoff_date(SnapshotTable[[#This Row],[SC Fill Date]],SnapshotTable[[#This Row],[SC Exp Date]]),"")</f>
        <v/>
      </c>
      <c r="FF235" s="4" t="str" cm="1">
        <f t="array" ref="FF235">IF(SnapshotTable[[#This Row],[SC Is Filled]], btc_should_buy_back(SnapshotTable[[#This Row],[SC Fill Date]], SnapshotTable[[#This Row],[SC Exp Date]], SnapshotTable[[#This Row],[SC Book Price]], SnapshotTable[[#This Row],[SC Current Ask]], MockToday, SnapshotTable[[#This Row],[SC Buyback Override]]),"")</f>
        <v/>
      </c>
      <c r="FG235" s="4">
        <f>IF(SnapshotTable[[#This Row],[SC Is Filled]], MAX(0,SnapshotTable[[#This Row],[Last Price]]  - SnapshotTable[[#This Row],[SC Strike Price]]), 0)</f>
        <v>0</v>
      </c>
      <c r="FH235" s="382">
        <f>IF(SnapshotTable[[#This Row],[SC Is Filled]], IF(ISNUMBER(SnapshotTable[[#This Row],[SC Current Ask]]), SnapshotTable[[#This Row],[SC Current Ask]], SnapshotTable[[#This Row],[SC Book Price]]) - SnapshotTable[[#This Row],[SC Intrinsic Value]], 0)</f>
        <v>0</v>
      </c>
      <c r="FI235" s="143"/>
      <c r="FJ235" s="32" t="str">
        <f>IF(SnapshotTable[[#This Row],[SC Is Filled]],100 * SnapshotTable[[#This Row],[SC Qty]] * IF(ISNUMBER(SnapshotTable[[#This Row],[SC Buyback Override]]), SnapshotTable[[#This Row],[SC Buyback Override]], SnapshotTable[[#This Row],[SC Current Ask]]), "")</f>
        <v/>
      </c>
      <c r="FK235" s="250" t="str">
        <f>IF(SnapshotTable[[#This Row],[SC Time Val]]&gt;0, SnapshotTable[[#This Row],[SC Time Val]] / SnapshotTable[[#This Row],[Last Price]],"")</f>
        <v/>
      </c>
      <c r="FL235" s="302" t="str">
        <f>IF(SnapshotTable[[#This Row],[SC Is Booked]], ((SnapshotTable[[#This Row],[Last Price]] -SnapshotTable[[#This Row],[SC Strike Price]]) / SnapshotTable[[#This Row],[Last Price]]) * -1, "")</f>
        <v/>
      </c>
      <c r="FM235" s="157" t="str">
        <f>IF(SnapshotTable[[#This Row],[SC Is Booked]],  (SnapshotTable[[#This Row],[SC Qty]] * 100 * SnapshotTable[[#This Row],[SC Strike Price]]) - SnapshotTable[[#This Row],[SC Current Ask]], "")</f>
        <v/>
      </c>
      <c r="FN23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5" s="31" t="str">
        <f>IF(AND(ISNUMBER(SnapshotTable[[#This Row],[SC Exercise Gross]]), ISNUMBER(SnapshotTable[[#This Row],[Equity Basis Per Share]] )), SnapshotTable[[#This Row],[SC Exercise Gross]] - SnapshotTable[[#This Row],[Equity Basis Total]] +  SnapshotTable[[#This Row],[SC Premium]], "")</f>
        <v/>
      </c>
      <c r="FP235" s="5" t="str">
        <f>IF(ISNUMBER(SnapshotTable[[#This Row],[SC Exercise Gross]]), (SnapshotTable[[#This Row],[SC Exercise Gross]]) / (SnapshotTable[[#This Row],[SC Qty]] * 100), "")</f>
        <v/>
      </c>
      <c r="FQ235" s="27" t="str">
        <f>IF(SnapshotTable[[#This Row],[SC Is Booked]],SnapshotTable[[#This Row],[SC Time Val]] /SnapshotTable[[#This Row],[SC Basis]], "")</f>
        <v/>
      </c>
      <c r="FR235" s="27" t="str" cm="1">
        <f t="array" ref="FR235">IF(AND(ISNUMBER(SnapshotTable[[#This Row],[SC Term]]),ISNUMBER(SnapshotTable[[#This Row],[SC Simple ROO]])), EllmanAnnualize(SnapshotTable[[#This Row],[SC DTE]], SnapshotTable[[#This Row],[SC Simple ROO]] ),"")</f>
        <v/>
      </c>
      <c r="FS235" s="4" t="e">
        <f>IF(SnapshotTable[[#This Row],[SC Strike Price]] &gt; SnapshotTable[[#This Row],[Last Price]], SnapshotTable[[#This Row],[SC Strike Price]] - SnapshotTable[[#This Row],[Last Price]],0)</f>
        <v>#VALUE!</v>
      </c>
      <c r="FT235" s="27" t="e">
        <f>IF(AND(ISNUMBER(SnapshotTable[[#This Row],[SC Upside Potential]]), SnapshotTable[[#This Row],[SC Upside Potential]] &gt; 0),(SnapshotTable[[#This Row],[SC Upside Potential]]/ SnapshotTable[[#This Row],[ACB]]),"")</f>
        <v>#VALUE!</v>
      </c>
      <c r="FU235" s="333" t="str">
        <f>IF(SnapshotTable[[#This Row],[SC Intrinsic Value]] &gt; 0,SnapshotTable[[#This Row],[SC Intrinsic Value]],"")</f>
        <v/>
      </c>
      <c r="FV235" s="27" t="str">
        <f>IF(AND( ISNUMBER( SnapshotTable[[#This Row],[ACB]]),ISNUMBER(SnapshotTable[[#This Row],[SC Downside Protect]])),SnapshotTable[[#This Row],[SC Downside Protect]] / SnapshotTable[[#This Row],[ACB]],"")</f>
        <v/>
      </c>
      <c r="FW235" s="236" t="str">
        <f>IF(AND(ISNUMBER(SnapshotTable[[#This Row],[SC Simple ROO]]),SnapshotTable[[#This Row],[SC Simple ROO]] &gt; 0), SnapshotTable[[#This Row],[SC Premium]] + (SnapshotTable[[#This Row],[SC Qty]] * SnapshotTable[[#This Row],[SC Upside Potential]]), "")</f>
        <v/>
      </c>
      <c r="FX235" s="302" t="str" cm="1">
        <f t="array" ref="FX235">IF(ISNUMBER(SnapshotTable[[#This Row],[SC Max Dollars]]), annualize(SnapshotTable[[#This Row],[SC Term]],(SnapshotTable[[#This Row],[SC Max Dollars]]/SnapshotTable[[#This Row],[SC Basis]])),"")</f>
        <v/>
      </c>
      <c r="FY235" s="236" t="str">
        <f>IF(AND(SnapshotTable[[#This Row],[SC Qty]]&gt;0,SnapshotTable[[#This Row],[SC Current Ask]]&gt;0), SnapshotTable[[#This Row],[SC Qty]] * SnapshotTable[[#This Row],[SC Current Ask]] * -100, "")</f>
        <v/>
      </c>
      <c r="FZ235" s="31" t="str">
        <f>IF(ISNUMBER((SnapshotTable[[#This Row],[SC Current Value]])), SnapshotTable[[#This Row],[SC Premium]] + SnapshotTable[[#This Row],[SC Current Value]], "")</f>
        <v/>
      </c>
      <c r="GA235" s="294" t="str">
        <f>IFERROR( IF(ISNUMBER((SnapshotTable[[#This Row],[SC Current Value]])), SnapshotTable[[#This Row],[SC Gain Loss]] / SnapshotTable[[#This Row],[SC Premium]], ""), "")</f>
        <v/>
      </c>
      <c r="GB235" s="42">
        <f>SnapshotTable[[#This Row],[Equity Shares]] * SaleSharesToConsiderPercentage</f>
        <v>200</v>
      </c>
      <c r="GC235" s="40">
        <f>SnapshotTable[[#This Row],[Long Term Target]] * SellingPriceToConsiderBasedOnTargetPercentage</f>
        <v>0</v>
      </c>
      <c r="GD235" s="40">
        <f>SnapshotTable[[#This Row],[Last Price]] * (1+ SellingPriceToConsiderBasedOnTargetPercentage)</f>
        <v>10.218</v>
      </c>
      <c r="GE235" s="41"/>
      <c r="GF235" s="40"/>
      <c r="GG235" s="31">
        <f>SnapshotTable[[#This Row],[Booked Sale Shares]] * SnapshotTable[[#This Row],[Booked Sale Price]]</f>
        <v>0</v>
      </c>
      <c r="GH235" s="31">
        <f>IF(SnapshotTable[[#This Row],[Equity Basis Total]] &gt; 0, SnapshotTable[[#This Row],[Equity Basis Per Share]] * SnapshotTable[[#This Row],[Booked Sale Shares]], "")</f>
        <v>0</v>
      </c>
      <c r="GI235" s="31">
        <f>IF(SnapshotTable[[#This Row],[Sale Proceeds]]&gt;0, SnapshotTable[[#This Row],[Sale Proceeds]] - SnapshotTable[[#This Row],[Sale Basis]], 0)</f>
        <v>0</v>
      </c>
      <c r="GJ235" s="27" t="str">
        <f>IF(SnapshotTable[[#This Row],[Sale G/L]]&gt;0, SnapshotTable[[#This Row],[Sale G/L]] / SnapshotTable[[#This Row],[Sale Basis]], IF(ISNUMBER(SnapshotTable[[#This Row],[SC Exercise P&amp;L (TAX)]]), SnapshotTable[[#This Row],[SC Exercise P&amp;L (TAX)]] / SnapshotTable[[#This Row],[SC Basis]], ""))</f>
        <v/>
      </c>
      <c r="GK235" s="27"/>
      <c r="GL235" s="43" t="str">
        <f>IF(AND(SnapshotTable[[#This Row],[LP Exp Date]]&gt;0,SnapshotTable[[#This Row],[LP Strike Price]]&gt;0), [1]!ToOptionSymbol(SnapshotTable[[#This Row],[Symbol]], SnapshotTable[[#This Row],[LP Strike Price]],SnapshotTable[[#This Row],[LP Exp Date]],1), "")</f>
        <v/>
      </c>
      <c r="GM235" s="30" t="str">
        <f>IF(LEN(SnapshotTable[[#This Row],[LP Symbol]])&gt;0, 1, "")</f>
        <v/>
      </c>
      <c r="GN235" s="43" t="str">
        <f ca="1">IF(AND(SnapshotTable[[#This Row],[SP Exp Date]]&gt;0,SnapshotTable[[#This Row],[SP Strike Price]]&gt;0), [1]!ToOptionSymbol(SnapshotTable[[#This Row],[Symbol]], SnapshotTable[[#This Row],[SP Strike Price]],SnapshotTable[[#This Row],[SP Exp Date]],1), "")</f>
        <v>EVLV260918P00005000</v>
      </c>
      <c r="GO235" s="30">
        <f ca="1">IF(LEN(SnapshotTable[[#This Row],[SP Symbol]])&gt;0, 1, "")</f>
        <v>1</v>
      </c>
      <c r="GP235" s="43" t="str">
        <f>IF(AND(SnapshotTable[[#This Row],[LC Exp Date]]&gt;0,SnapshotTable[[#This Row],[LC Strike Price]]&gt;0), [1]!ToOptionSymbol(SnapshotTable[[#This Row],[Symbol]], SnapshotTable[[#This Row],[LC Strike Price]],SnapshotTable[[#This Row],[LC Exp Date]],0), "")</f>
        <v/>
      </c>
      <c r="GQ235" s="30" t="str">
        <f>IF(LEN(SnapshotTable[[#This Row],[LC Symbol]])&gt;0, 1, "")</f>
        <v/>
      </c>
      <c r="GR235" s="43" t="str">
        <f>IF(AND(SnapshotTable[[#This Row],[SC Exp Date]]&gt;0,SnapshotTable[[#This Row],[SC Strike Price]]&gt;0), [1]!ToOptionSymbol(SnapshotTable[[#This Row],[Symbol]], SnapshotTable[[#This Row],[SC Strike Price]],SnapshotTable[[#This Row],[SC Exp Date]],0), "")</f>
        <v/>
      </c>
      <c r="GS235" s="30" t="str">
        <f>IF(LEN(SnapshotTable[[#This Row],[SC Symbol]])&gt;0, 1, "")</f>
        <v/>
      </c>
      <c r="GT235" s="29" t="str">
        <f ca="1">IF(COUNT(SnapshotTable[[#This Row],[LP Symbol Count]],SnapshotTable[[#This Row],[SP Symbol Count]],SnapshotTable[[#This Row],[LC Symbol Count]],SnapshotTable[[#This Row],[SC Symbol Count]])&gt;0, "Y", "")</f>
        <v>Y</v>
      </c>
      <c r="GU235"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v>
      </c>
      <c r="GV235" s="231">
        <f ca="1">MAX(SnapshotTable[[#This Row],[Equity Basis Total]],SnapshotTable[[#This Row],[Equity Value]]) + (SnapshotTable[[#This Row],[SP Potential Spend]]- SnapshotTable[[#This Row],[SP Premium]] + SnapshotTable[[#This Row],[LP Premium]])+ (SnapshotTable[[#This Row],[LC Premium]] - SnapshotTable[[#This Row],[SC Premium]])</f>
        <v>10477</v>
      </c>
      <c r="GW235" s="139" t="e">
        <f ca="1">IF(AND(SnapshotTable[[#This Row],[Exposure]] &lt;&gt; 0),SnapshotTable[[#This Row],[Exposure]] / SnapshotTable[[#Totals],[Exposure]], "")</f>
        <v>#VALUE!</v>
      </c>
      <c r="GX235" s="5"/>
      <c r="HE235" s="268"/>
      <c r="HF235" s="268"/>
      <c r="HK235" s="1"/>
      <c r="HL235" s="1"/>
      <c r="HM235" s="1"/>
      <c r="HN235" s="1"/>
      <c r="HO235" s="1"/>
      <c r="HP235" s="1"/>
    </row>
    <row r="236" spans="2:224" ht="12.75" hidden="1" customHeight="1" x14ac:dyDescent="0.25">
      <c r="B236" s="12" t="s">
        <v>469</v>
      </c>
      <c r="C236" s="422">
        <v>829.7</v>
      </c>
      <c r="D236" s="208" t="s">
        <v>578</v>
      </c>
      <c r="E236" s="39">
        <f>SnapshotTable[[#This Row],[Last Price]]*(1 -CrashDiscount)</f>
        <v>705.245</v>
      </c>
      <c r="F236" s="26" t="s">
        <v>210</v>
      </c>
      <c r="G236" s="26" t="s">
        <v>9</v>
      </c>
      <c r="H236" s="149"/>
      <c r="I236" s="194">
        <v>44807</v>
      </c>
      <c r="J236" s="195">
        <v>44807</v>
      </c>
      <c r="K236" s="196" t="s">
        <v>3</v>
      </c>
      <c r="L236" s="326"/>
      <c r="M236" s="140"/>
      <c r="N236" s="140"/>
      <c r="O236" s="140">
        <v>4</v>
      </c>
      <c r="P236" s="22"/>
      <c r="Q236" s="25"/>
      <c r="R236" s="4" t="str">
        <f>IF(SnapshotTable[[#This Row],[Equity Basis Total]] &gt; 0, SnapshotTable[[#This Row],[Equity Basis Total]] / SnapshotTable[[#This Row],[Equity Shares]], "")</f>
        <v/>
      </c>
      <c r="S236" s="269">
        <f>SnapshotTable[[#This Row],[Last Price]] * SnapshotTable[[#This Row],[Equity Shares]]</f>
        <v>0</v>
      </c>
      <c r="T236" s="269">
        <f>SnapshotTable[[#This Row],[Equity Value]] - SnapshotTable[[#This Row],[Equity Basis Total]]</f>
        <v>0</v>
      </c>
      <c r="U236" s="270" t="str">
        <f>IF(SnapshotTable[[#This Row],[Equity Basis Total]] &gt; 0, SnapshotTable[[#This Row],[Equity G/L]] / SnapshotTable[[#This Row],[Equity Basis Total]], "")</f>
        <v/>
      </c>
      <c r="V236" s="268"/>
      <c r="W236" s="268"/>
      <c r="X236" s="4" t="str">
        <f>IF(AND(ISNUMBER(SnapshotTable[[#This Row],[Equity Basis Per Share]]),ISNUMBER(SnapshotTable[[#This Row],[Equity Target]])),SnapshotTable[[#This Row],[Equity Target]]-SnapshotTable[[#This Row],[Equity Basis Per Share]],"")</f>
        <v/>
      </c>
      <c r="Y236" s="4" t="str">
        <f>IF(AND(ISNUMBER(SnapshotTable[[#This Row],[Equity Basis Per Share]]),ISNUMBER(SnapshotTable[[#This Row],[Equity Stop Loss]])),SnapshotTable[[#This Row],[Equity Stop Loss]]-SnapshotTable[[#This Row],[Equity Basis Per Share]],"")</f>
        <v/>
      </c>
      <c r="Z236" s="275" t="str">
        <f>IFERROR( TEXT(SnapshotTable[[#This Row],[Equity Max Gain Per Share]] /ABS( SnapshotTable[[#This Row],[Equity Max Loss Per Share]]),"0.0 " ) &amp; " : 1", "")</f>
        <v/>
      </c>
      <c r="AA236" s="31" t="str">
        <f>IF(ISNUMBER(SnapshotTable[[#This Row],[Equity Max Gain Per Share]]),SnapshotTable[[#This Row],[Equity Max Gain Per Share]] * SnapshotTable[[#This Row],[Equity Shares]],"")</f>
        <v/>
      </c>
      <c r="AB236" s="31" t="str">
        <f>IF(ISNUMBER(SnapshotTable[[#This Row],[Equity Max Loss Per Share]]),SnapshotTable[[#This Row],[Equity Max Loss Per Share]] * SnapshotTable[[#This Row],[Equity Shares]],"")</f>
        <v/>
      </c>
      <c r="AC236" s="150"/>
      <c r="AD236" s="151"/>
      <c r="AE236" s="31">
        <f>(SnapshotTable[[#This Row],[Annual Dividend Per Share]] / 4) * SnapshotTable[[#This Row],[Equity Shares]]</f>
        <v>0</v>
      </c>
      <c r="AF236" s="31">
        <f>SnapshotTable[[#This Row],[Quarterly Div $]] * 4</f>
        <v>0</v>
      </c>
      <c r="AG236" s="7">
        <f>IF(SnapshotTable[[#This Row],[Annual Dividend Per Share]]&gt;0, SnapshotTable[[#This Row],[Annual Dividend Per Share]]  / SnapshotTable[[#This Row],[Last Price]], 0)</f>
        <v>0</v>
      </c>
      <c r="AH236" s="151"/>
      <c r="AI236" s="5">
        <v>140</v>
      </c>
      <c r="AJ236" s="138">
        <v>96</v>
      </c>
      <c r="AK236" s="152">
        <f>IF(ISNUMBER( SnapshotTable[[#This Row],[EBF Target]]),(SnapshotTable[[#This Row],[EBF Target]] - SnapshotTable[[#This Row],[Last Price]]) / SnapshotTable[[#This Row],[Last Price]], "")</f>
        <v>-0.8312643124020731</v>
      </c>
      <c r="AL236" s="152" t="str">
        <f>IF(AND(SnapshotTable[[#This Row],[Equity Basis Total]] &gt; 0,ISNUMBER( SnapshotTable[[#This Row],[Long Term Target]])), SnapshotTable[[#This Row],[From Basis $]] / SnapshotTable[[#This Row],[Equity Basis Total]], "")</f>
        <v/>
      </c>
      <c r="AM236" s="9">
        <f>IF( AND(SnapshotTable[[#This Row],[Equity Shares]] &gt;0,ISNUMBER( SnapshotTable[[#This Row],[Long Term Target]])),(SnapshotTable[[#This Row],[Equity Shares]] * SnapshotTable[[#This Row],[Long Term Target]]) - SnapshotTable[[#This Row],[Equity Basis Total]],0)</f>
        <v>0</v>
      </c>
      <c r="AN236" s="9">
        <f>IF( AND(SnapshotTable[[#This Row],[Equity Shares]] &gt;0,ISNUMBER( SnapshotTable[[#This Row],[Long Term Target]])),(SnapshotTable[[#This Row],[Equity Shares]]*SnapshotTable[[#This Row],[Long Term Target]]) - SnapshotTable[[#This Row],[Equity Value]],0)</f>
        <v>0</v>
      </c>
      <c r="AO236" s="152">
        <f>IF(AND(ISNUMBER( SnapshotTable[[#This Row],[Long Term Target]]), ISNUMBER(SnapshotTable[[#This Row],[Last Price]])),(SnapshotTable[[#This Row],[Long Term Target]] - SnapshotTable[[#This Row],[Last Price]]) / SnapshotTable[[#This Row],[Last Price]], "")</f>
        <v>-0.88429552850427862</v>
      </c>
      <c r="AP236" s="5">
        <v>110</v>
      </c>
      <c r="AQ236" s="38" t="s">
        <v>89</v>
      </c>
      <c r="AR236" s="5">
        <v>81.11</v>
      </c>
      <c r="AS236" s="38" t="s">
        <v>32</v>
      </c>
      <c r="AT236" s="146" t="s">
        <v>813</v>
      </c>
      <c r="AU236" s="187" t="str">
        <f>IF(OR(SnapshotTable[[#This Row],[LP No Fill]]="Y",SnapshotTable[[#This Row],[SP Is Filled]],SnapshotTable[[#This Row],[LC Not Filled]]="Y",SnapshotTable[[#This Row],[SC Is Filled]]),"Y","")</f>
        <v/>
      </c>
      <c r="AV236" s="219"/>
      <c r="AW236" s="225"/>
      <c r="AX236" s="220"/>
      <c r="AY236" s="219" t="str">
        <f>IF(SnapshotTable[[#This Row],[Implied Move]]&gt;0, SnapshotTable[[#This Row],[Last Price]]-SnapshotTable[[#This Row],[Implied Move]],"")</f>
        <v/>
      </c>
      <c r="AZ236" s="219" t="str">
        <f>IF(SnapshotTable[[#This Row],[Implied Move]]&gt;0, SnapshotTable[[#This Row],[Last Price]] + SnapshotTable[[#This Row],[Implied Move]],"")</f>
        <v/>
      </c>
      <c r="BA236" s="331"/>
      <c r="BB236" s="347"/>
      <c r="BC23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6" s="351"/>
      <c r="BE236" s="5"/>
      <c r="BF236" s="14"/>
      <c r="BG236" s="13"/>
      <c r="BH236" s="13"/>
      <c r="BI236" s="5"/>
      <c r="BJ236" s="136">
        <f>IF(SnapshotTable[[#This Row],[LP Qty]] &gt; 0, SnapshotTable[[#This Row],[LP Qty]] * SnapshotTable[[#This Row],[LP Book Price]] * 100,0)</f>
        <v>0</v>
      </c>
      <c r="BK236" s="136">
        <f>IF(SnapshotTable[[#This Row],[LP Premium]] &gt; 0, SnapshotTable[[#This Row],[LP Qty]] * SnapshotTable[[#This Row],[LP Strike Price]] * 100,0)</f>
        <v>0</v>
      </c>
      <c r="BL236" s="154"/>
      <c r="BM236" s="385" t="str">
        <f>IF(SnapshotTable[[#This Row],[LP Premium]] &gt; 0,SnapshotTable[[#This Row],[LP Exp Date]]-MAX(SnapshotTable[[#This Row],[LP Book Date]], SnapshotTable[[#This Row],[LP Fill Date]]),"")</f>
        <v/>
      </c>
      <c r="BN236" s="385" t="str">
        <f>IF(ISNUMBER( SnapshotTable[[#This Row],[LP Term]]), SnapshotTable[[#This Row],[LP Exp Date]] - MockToday,"")</f>
        <v/>
      </c>
      <c r="BO236" s="163" t="str">
        <f>IF(AND(SnapshotTable[[#This Row],[LP Exp Date]]&gt;0, SnapshotTable[[#This Row],[LP Strike Price]]&gt;0,SnapshotTable[[#This Row],[LP Qty]]&gt;0,SnapshotTable[[#This Row],[LP Book Date]]&gt;0,SnapshotTable[[#This Row],[LP Book Price]]&gt;0,SnapshotTable[[#This Row],[LP Fill Date]]=0),"Y","")</f>
        <v/>
      </c>
      <c r="BP236" s="31" t="str">
        <f>IF(AND(SnapshotTable[[#This Row],[LP No Fill]]&lt;&gt;"Y",SnapshotTable[[#This Row],[LP Contract Value]]&gt;0, SnapshotTable[[#This Row],[LP Qty]]&gt;0), SnapshotTable[[#This Row],[LP Contract Value]]*SnapshotTable[[#This Row],[LP Qty]]*100,"")</f>
        <v/>
      </c>
      <c r="BQ236" s="13"/>
      <c r="BR236" s="5" t="str">
        <f>IF(SnapshotTable[[#This Row],[SP Exp Date]]&lt;&gt;"",TRUNC(SnapshotTable[[#This Row],[Last Price]]),"")</f>
        <v/>
      </c>
      <c r="BS236" s="36"/>
      <c r="BT236" s="147"/>
      <c r="BU236" s="13"/>
      <c r="BV236" s="5"/>
      <c r="BW236" s="419" t="b">
        <f>AND(ISNUMBER(SnapshotTable[[#This Row],[SP Exp Date]]), ISNUMBER(SnapshotTable[[#This Row],[SP Strike Price]]), ISNUMBER(SnapshotTable[[#This Row],[SP Qty]]), ISNUMBER(SnapshotTable[[#This Row],[SP Book Date]]), ISNUMBER(SnapshotTable[[#This Row],[SP Book Price]]))</f>
        <v>0</v>
      </c>
      <c r="BX236" s="419" t="b">
        <f>AND(SnapshotTable[[#This Row],[SP Is Booked]], NOT(ISBLANK(SnapshotTable[[#This Row],[SP Fill Date]])))</f>
        <v>0</v>
      </c>
      <c r="BY236" s="33">
        <f>IF(SnapshotTable[[#This Row],[SP Is Booked]], SnapshotTable[[#This Row],[SP Qty]] * SnapshotTable[[#This Row],[SP Book Price]] * 100, 0)</f>
        <v>0</v>
      </c>
      <c r="BZ236" s="369"/>
      <c r="CA236" s="368">
        <f>SnapshotTable[[#This Row],[LP Qty]]</f>
        <v>0</v>
      </c>
      <c r="CB236" s="4" t="str">
        <f>IF(SnapshotTable[[#This Row],[SP Is Booked]], SnapshotTable[[#This Row],[SP Strike Price]] - SnapshotTable[[#This Row],[SP Book Price]], "")</f>
        <v/>
      </c>
      <c r="CC236" s="19" t="str">
        <f>IF(SnapshotTable[[#This Row],[SP Is Booked]],SnapshotTable[[#This Row],[SP Exp Date]]-MAX(SnapshotTable[[#This Row],[SP Book Date]], SnapshotTable[[#This Row],[SP Fill Date]]),"")</f>
        <v/>
      </c>
      <c r="CD236" s="7" t="str">
        <f>IF(SnapshotTable[[#This Row],[SP Is Booked]], SnapshotTable[[#This Row],[SP Book Price]]/SnapshotTable[[#This Row],[SP Strike Price]], "")</f>
        <v/>
      </c>
      <c r="CE236" s="7" t="str">
        <f>IF(ISNUMBER(SnapshotTable[[#This Row],[SP ROO Term]]),SnapshotTable[[#This Row],[SP ROO Term]]*(365/SnapshotTable[[#This Row],[SP Term]]),"")</f>
        <v/>
      </c>
      <c r="CF236" s="236">
        <f>SnapshotTable[[#This Row],[LP Strike Price]] * SnapshotTable[[#This Row],[LP Qty]] * 100</f>
        <v>0</v>
      </c>
      <c r="CG236" s="31" t="e">
        <f>IF(ISNUMBER(SnapshotTable[[#This Row],[SP Premium]]), (SnapshotTable[[#This Row],[SP Qty]] * SnapshotTable[[#This Row],[SP Strike Price]]* 100) - SnapshotTable[[#This Row],[LP Protection]], 0)</f>
        <v>#VALUE!</v>
      </c>
      <c r="CH236" s="7" t="str">
        <f>IF(ISNUMBER(SnapshotTable[[#This Row],[SP Break Even]]),-1 * (SnapshotTable[[#This Row],[SP Break Even]] - SnapshotTable[[#This Row],[Last Price]]) / SnapshotTable[[#This Row],[Last Price]], "")</f>
        <v/>
      </c>
      <c r="CI236" s="31">
        <f>IF(AND(ISNUMBER((SnapshotTable[[#This Row],[SP Potential Spend]])), SnapshotTable[[#This Row],[SP Strike Price]] &gt; SnapshotTable[[#This Row],[Last Price]], SnapshotTable[[#This Row],[SP Is Filled]]), SnapshotTable[[#This Row],[SP Potential Spend]] -  SnapshotTable[[#This Row],[LP Max Value]], 0)</f>
        <v>0</v>
      </c>
      <c r="CJ236" s="244"/>
      <c r="CK236" s="31" t="str">
        <f>IF(ISNUMBER(SnapshotTable[[#This Row],[SP Potential Spend]]),IF(ISNUMBER(SnapshotTable[[#This Row],[SP POW]]), SnapshotTable[[#This Row],[SP POW]] * SnapshotTable[[#This Row],[SP Potential Spend]], SnapshotTable[[#This Row],[SP Potential Spend]]), "")</f>
        <v/>
      </c>
      <c r="CL236" s="164" t="e">
        <f>IF(NOT(SnapshotTable[[#This Row],[SP Is Filled]]),(SnapshotTable[[#This Row],[SP Qty]] * SnapshotTable[[#This Row],[SP Strike Price]] * 100) - SnapshotTable[[#This Row],[LP Max Value]],"")</f>
        <v>#VALUE!</v>
      </c>
      <c r="CM236" s="31" t="str">
        <f>IF(SnapshotTable[[#This Row],[SP Actual Spend]]&lt;&gt;0, ((SnapshotTable[[#This Row],[SP Strike Price]]-SnapshotTable[[#This Row],[Last Price]]) *(SnapshotTable[[#This Row],[SP Qty]]*100) - SnapshotTable[[#This Row],[SP Premium]]) * - 1, "")</f>
        <v/>
      </c>
      <c r="CN236" s="78"/>
      <c r="CO236" s="369"/>
      <c r="CP236" s="4" t="str">
        <f>IF(SnapshotTable[[#This Row],[SP Is Filled]], btc_max_buyback_amount(SnapshotTable[[#This Row],[SP Fill Date]],SnapshotTable[[#This Row],[SP Exp Date]], SnapshotTable[[#This Row],[SP Book Price]]),"")</f>
        <v/>
      </c>
      <c r="CQ236" s="78"/>
      <c r="CR23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6" s="155" t="str">
        <f>IF(SnapshotTable[[#This Row],[SP Is Filled]], btc_next_cutoff_date(SnapshotTable[[#This Row],[SP Fill Date]],SnapshotTable[[#This Row],[SP Exp Date]]),"")</f>
        <v/>
      </c>
      <c r="CT236" s="235" t="str" cm="1">
        <f t="array" ref="CT236">IF(SnapshotTable[[#This Row],[SP Is Filled]], btc_should_buy_back(SnapshotTable[[#This Row],[SP Fill Date]], SnapshotTable[[#This Row],[SP Exp Date]], SnapshotTable[[#This Row],[SP Book Price]], SnapshotTable[[#This Row],[SP Current Ask]], MockToday, SnapshotTable[[#This Row],[SP Buyback Override]]),"")</f>
        <v/>
      </c>
      <c r="CU236" s="143"/>
      <c r="CV236" s="235"/>
      <c r="CW236" s="378" t="str">
        <f>IF(ISNUMBER( SnapshotTable[[#This Row],[SP Term]]), SnapshotTable[[#This Row],[SP Exp Date]] - MockToday,"")</f>
        <v/>
      </c>
      <c r="CX236" s="31" t="str">
        <f>IF(SnapshotTable[[#This Row],[SP Is Filled]],SnapshotTable[[#This Row],[SP Buyback Price to Use]] * 100 * SnapshotTable[[#This Row],[SP Qty]], "")</f>
        <v/>
      </c>
      <c r="CY236" s="4" t="str">
        <f>IF(ISNUMBER(SnapshotTable[[#This Row],[SP Strike Price]]), SnapshotTable[[#This Row],[SP Strike Price]] * (1 - SP_MaxLoss_StrikePct), "")</f>
        <v/>
      </c>
      <c r="CZ236" s="31" t="str">
        <f>IF(ISNUMBER(SnapshotTable[[#This Row],[SP Strike  Stop Per Share]]),SnapshotTable[[#This Row],[SP Premium]] - ((SnapshotTable[[#This Row],[SP Strike Price]]-SnapshotTable[[#This Row],[SP Strike  Stop Per Share]]) *(SnapshotTable[[#This Row],[SP Qty]] * 100)),"")</f>
        <v/>
      </c>
      <c r="DA236" s="4" t="str">
        <f>IF(AND(ISNUMBER(SnapshotTable[[#This Row],[SP Premium]]),SnapshotTable[[#This Row],[SP Premium]]&gt;0), SnapshotTable[[#This Row],[SP Book Price]] * (1 + SP_MaxLoss_OptionPct), "")</f>
        <v/>
      </c>
      <c r="DB236" s="31" t="str">
        <f>IF(ISNUMBER(SnapshotTable[[#This Row],[SP Option  Stop Contract]]),(SnapshotTable[[#This Row],[SP Option  Stop Contract]] *(SnapshotTable[[#This Row],[SP Qty]] * 100) - SnapshotTable[[#This Row],[SP Premium]]),"")</f>
        <v/>
      </c>
      <c r="DC236" s="4"/>
      <c r="DD236" s="4"/>
      <c r="DE236" s="4" t="str">
        <f>IF(AND(SnapshotTable[[#This Row],[SP Qty]]&gt;0, SnapshotTable[[#This Row],[SP Stop To Use]]&gt;0),SnapshotTable[[#This Row],[SP Premium]] - ( SnapshotTable[[#This Row],[SP Qty]] * SnapshotTable[[#This Row],[SP Stop To Use]] * 100), "")</f>
        <v/>
      </c>
      <c r="DF236" s="31" t="str">
        <f>IF(AND(SnapshotTable[[#This Row],[SP Qty]]&gt;0,SnapshotTable[[#This Row],[SP Current Ask]]&gt;0), SnapshotTable[[#This Row],[SP Qty]] * SnapshotTable[[#This Row],[SP Current Ask]] * -100, "")</f>
        <v/>
      </c>
      <c r="DG236" s="31" t="str">
        <f>IF(ISNUMBER((SnapshotTable[[#This Row],[SP Total Value]])), SnapshotTable[[#This Row],[SP Premium]] + SnapshotTable[[#This Row],[SP Total Value]], "")</f>
        <v/>
      </c>
      <c r="DH236" s="294" t="str">
        <f>IF(ISNUMBER((SnapshotTable[[#This Row],[SP Total Value]])), SnapshotTable[[#This Row],[SP Gain Loss]] / SnapshotTable[[#This Row],[SP Premium]], "")</f>
        <v/>
      </c>
      <c r="DI236" s="406"/>
      <c r="DJ236" s="138"/>
      <c r="DK236" s="148"/>
      <c r="DL236" s="13"/>
      <c r="DM236" s="13"/>
      <c r="DO236" s="31">
        <f>IF(SnapshotTable[[#This Row],[LC Symbol Count]]=1, SnapshotTable[[#This Row],[LC Qty]] * SnapshotTable[[#This Row],[LC Book Price]] * 100, 0)</f>
        <v>0</v>
      </c>
      <c r="DP236" s="163" t="str">
        <f>IF(AND(SnapshotTable[[#This Row],[LC Exp Date]]&gt;0, SnapshotTable[[#This Row],[LC Strike Price]]&gt;0,SnapshotTable[[#This Row],[LC Qty]]&gt;0,SnapshotTable[[#This Row],[LC Book Date]]&gt;0,SnapshotTable[[#This Row],[LC Book Price]]&gt;0,SnapshotTable[[#This Row],[LC Fill Date]]=0),"Y","")</f>
        <v/>
      </c>
      <c r="DQ236" s="386" t="str">
        <f>IF(SnapshotTable[[#This Row],[LC Premium]] &gt; 0,SnapshotTable[[#This Row],[LC Exp Date]]-MAX(SnapshotTable[[#This Row],[LC Book Date]], SnapshotTable[[#This Row],[LC Fill Date]]),"")</f>
        <v/>
      </c>
      <c r="DR236" s="386" t="str">
        <f>IF(ISNUMBER(SnapshotTable[[#This Row],[LC Term]]), SnapshotTable[[#This Row],[LC Exp Date]] - MockToday, "")</f>
        <v/>
      </c>
      <c r="DS236" s="234" t="str">
        <f>IF(SnapshotTable[[#This Row],[LC Premium]]&gt;0,SnapshotTable[[#This Row],[LC Strike Price]] + SnapshotTable[[#This Row],[LC Book Price]],"")</f>
        <v/>
      </c>
      <c r="DU236" s="9" t="str">
        <f>IF(AND(SnapshotTable[[#This Row],[LC Symbol Count]]&gt;0, SnapshotTable[[#This Row],[LC Contract Value]]&gt;0), SnapshotTable[[#This Row],[LC Contract Value]] * SnapshotTable[[#This Row],[LC Qty]] * 100, "")</f>
        <v/>
      </c>
      <c r="DV236" s="9" t="str">
        <f>IF(AND(ISNUMBER(SnapshotTable[[#This Row],[LC Total Value]]), SnapshotTable[[#This Row],[LC Not Filled]]&lt;&gt;"Y"), SnapshotTable[[#This Row],[LC Total Value]]-SnapshotTable[[#This Row],[LC Premium]],"")</f>
        <v/>
      </c>
      <c r="DW236" s="240" t="str">
        <f>IF(ISNUMBER(SnapshotTable[[#This Row],[LC Actual Gain Loss]]), SnapshotTable[[#This Row],[LC Actual Gain Loss]] / SnapshotTable[[#This Row],[LC Premium]],"")</f>
        <v/>
      </c>
      <c r="DX236" s="284" t="str">
        <f>IF(ISNUMBER(SnapshotTable[[#This Row],[LC Book Price]]),SnapshotTable[[#This Row],[LC Book Price]] * 1.5,"")</f>
        <v/>
      </c>
      <c r="DY236" s="265" t="str">
        <f>IF(SnapshotTable[[#This Row],[LC Premium]]&gt;0, SnapshotTable[[#This Row],[LC Next Target]] * SnapshotTable[[#This Row],[LC Qty]] * 100,"")</f>
        <v/>
      </c>
      <c r="DZ236" s="265" t="str">
        <f>IF(ISNUMBER(SnapshotTable[[#This Row],[LC Target Gross]]), SnapshotTable[[#This Row],[LC Target Gross]] - SnapshotTable[[#This Row],[LC Premium]], "")</f>
        <v/>
      </c>
      <c r="EA236" s="305" t="str">
        <f>IF(ISNUMBER(SnapshotTable[[#This Row],[LC Target Gain Loss]]), SnapshotTable[[#This Row],[LC Target Gain Loss]]/SnapshotTable[[#This Row],[LC Premium]], "")</f>
        <v/>
      </c>
      <c r="EB236" s="262"/>
      <c r="EC236" s="283" t="str">
        <f>IF(SnapshotTable[[#This Row],[LC Premium]]&gt;0, SnapshotTable[[#This Row],[LC Book Price]] * (1 - LC_StopLoss_Pct),"")</f>
        <v/>
      </c>
      <c r="ED236" s="284"/>
      <c r="EE236" s="283" t="str">
        <f>IF(ISNUMBER(SnapshotTable[[#This Row],[LC Contract Value]]),IF(ISNUMBER(SnapshotTable[[#This Row],[LC Stop Loss Override]]), SnapshotTable[[#This Row],[LC Stop Loss Override]],SnapshotTable[[#This Row],[LC Stop Loss Calc Target]]),"")</f>
        <v/>
      </c>
      <c r="EF236" s="31" t="str">
        <f>IF(ISNUMBER(SnapshotTable[[#This Row],[LC Stop  To Use]]), (SnapshotTable[[#This Row],[LC Stop  To Use]] * SnapshotTable[[#This Row],[LC Qty]] * 100),"")</f>
        <v/>
      </c>
      <c r="EG236" s="9" t="str">
        <f>IF(ISNUMBER(SnapshotTable[[#This Row],[LC Total Value]]),SnapshotTable[[#This Row],[LC Stop Loss Amount]] - SnapshotTable[[#This Row],[LC Premium]],"")</f>
        <v/>
      </c>
      <c r="EH236" s="9">
        <f>IF(ISNUMBER(SnapshotTable[[#This Row],[LC Premium]]), SnapshotTable[[#This Row],[LC Qty]] * 100 * SnapshotTable[[#This Row],[LC Strike Price]], "")</f>
        <v>0</v>
      </c>
      <c r="EI236" s="240" t="str">
        <f>IF(AND(ISNUMBER(SnapshotTable[[#This Row],[LC Total Value]]),SnapshotTable[[#This Row],[LC Total Value]]&gt;0),SnapshotTable[[#This Row],[LC Stop Gain Loss]]  / SnapshotTable[[#This Row],[LC Premium]],"")</f>
        <v/>
      </c>
      <c r="EJ236" s="35">
        <f>IF(ISNUMBER(SnapshotTable[[#This Row],[Equity Shares]]),TRUNC(SnapshotTable[[#This Row],[Equity Shares]] / 100),0) + SnapshotTable[[#This Row],[LC Qty]]</f>
        <v>0</v>
      </c>
      <c r="EK236" s="147"/>
      <c r="EL236" s="138" t="str">
        <f>IF(SnapshotTable[[#This Row],[SC Exp Date]]&lt;&gt;"",TRUNC(SnapshotTable[[#This Row],[Last Price]]),"")</f>
        <v/>
      </c>
      <c r="EM236" s="148"/>
      <c r="EN236" s="147"/>
      <c r="EO236" s="147"/>
      <c r="EP236" s="138"/>
      <c r="EQ236" s="419" t="b">
        <f>AND(ISNUMBER(SnapshotTable[[#This Row],[SC Exp Date]]), ISNUMBER(SnapshotTable[[#This Row],[SC Strike Price]]), ISNUMBER(SnapshotTable[[#This Row],[SC Qty]]), ISNUMBER(SnapshotTable[[#This Row],[SC Book Date]]), ISNUMBER(SnapshotTable[[#This Row],[SC Book Price]]))</f>
        <v>0</v>
      </c>
      <c r="ER236" s="419" t="b">
        <f>AND(SnapshotTable[[#This Row],[SC Is Booked]], NOT(ISBLANK(SnapshotTable[[#This Row],[SC Fill Date]])))</f>
        <v>0</v>
      </c>
      <c r="ES236" s="370"/>
      <c r="ET236" s="34" t="str">
        <f>IF(AND(ISNUMBER(SnapshotTable[[#This Row],[SC Exp Date]]), ISNUMBER(SnapshotTable[[#This Row],[SC Book Date]])), SnapshotTable[[#This Row],[SC Exp Date]] - MAX(SnapshotTable[[#This Row],[SC Book Date]], SnapshotTable[[#This Row],[SC Fill Date]]) + 1, "")</f>
        <v/>
      </c>
      <c r="EU236" s="34" t="str">
        <f>IF(ISNUMBER(SnapshotTable[[#This Row],[SC Term]]), SnapshotTable[[#This Row],[SC Exp Date]]- MockToday, "")</f>
        <v/>
      </c>
      <c r="EV236" s="31">
        <f>IF(SnapshotTable[[#This Row],[SC Is Booked]], SnapshotTable[[#This Row],[SC Qty]] * SnapshotTable[[#This Row],[SC Book Price]] * 100, 0)</f>
        <v>0</v>
      </c>
      <c r="EW236" s="4" t="str">
        <f>IF(AND(ISNUMBER(SnapshotTable[[#This Row],[Last Price]]), ISNUMBER( SnapshotTable[[#This Row],[SC Book Price]])), SnapshotTable[[#This Row],[Last Price]] - SnapshotTable[[#This Row],[SC Book Price]],"")</f>
        <v/>
      </c>
      <c r="EX236" s="234" t="str">
        <f>IF(SnapshotTable[[#This Row],[SC Is Booked]],IF(SnapshotTable[[#This Row],[SC Intrinsic Value]] &gt; 0, SnapshotTable[[#This Row],[SC Strike Price]], SnapshotTable[[#This Row],[Last Price]]), "")</f>
        <v/>
      </c>
      <c r="EY236" s="4">
        <f>IF(SnapshotTable[[#This Row],[SC Is Booked]], (MinimumPremiumRequired * SnapshotTable[[#This Row],[SC Basis]] * SnapshotTable[[#This Row],[SC Term]]), 0)</f>
        <v>0</v>
      </c>
      <c r="EZ236" s="283"/>
      <c r="FA236" s="218"/>
      <c r="FB236" s="370"/>
      <c r="FC236" s="4">
        <f>IF(SnapshotTable[[#This Row],[SC Is Filled]], btc_max_buyback_amount(SnapshotTable[[#This Row],[SC Fill Date]],SnapshotTable[[#This Row],[SC Exp Date]], SnapshotTable[[#This Row],[SC Book Price]]),0)</f>
        <v>0</v>
      </c>
      <c r="FD236" s="5"/>
      <c r="FE236" s="144" t="str">
        <f>IF(SnapshotTable[[#This Row],[SC Is Filled]], btc_next_cutoff_date(SnapshotTable[[#This Row],[SC Fill Date]],SnapshotTable[[#This Row],[SC Exp Date]]),"")</f>
        <v/>
      </c>
      <c r="FF236" s="4" t="str" cm="1">
        <f t="array" ref="FF236">IF(SnapshotTable[[#This Row],[SC Is Filled]], btc_should_buy_back(SnapshotTable[[#This Row],[SC Fill Date]], SnapshotTable[[#This Row],[SC Exp Date]], SnapshotTable[[#This Row],[SC Book Price]], SnapshotTable[[#This Row],[SC Current Ask]], MockToday, SnapshotTable[[#This Row],[SC Buyback Override]]),"")</f>
        <v/>
      </c>
      <c r="FG236" s="4">
        <f>IF(SnapshotTable[[#This Row],[SC Is Filled]], MAX(0,SnapshotTable[[#This Row],[Last Price]]  - SnapshotTable[[#This Row],[SC Strike Price]]), 0)</f>
        <v>0</v>
      </c>
      <c r="FH236" s="382">
        <f>IF(SnapshotTable[[#This Row],[SC Is Filled]], IF(ISNUMBER(SnapshotTable[[#This Row],[SC Current Ask]]), SnapshotTable[[#This Row],[SC Current Ask]], SnapshotTable[[#This Row],[SC Book Price]]) - SnapshotTable[[#This Row],[SC Intrinsic Value]], 0)</f>
        <v>0</v>
      </c>
      <c r="FI236" s="143"/>
      <c r="FJ236" s="32" t="str">
        <f>IF(SnapshotTable[[#This Row],[SC Is Filled]],100 * SnapshotTable[[#This Row],[SC Qty]] * IF(ISNUMBER(SnapshotTable[[#This Row],[SC Buyback Override]]), SnapshotTable[[#This Row],[SC Buyback Override]], SnapshotTable[[#This Row],[SC Current Ask]]), "")</f>
        <v/>
      </c>
      <c r="FK236" s="250" t="str">
        <f>IF(SnapshotTable[[#This Row],[SC Time Val]]&gt;0, SnapshotTable[[#This Row],[SC Time Val]] / SnapshotTable[[#This Row],[Last Price]],"")</f>
        <v/>
      </c>
      <c r="FL236" s="302" t="str">
        <f>IF(SnapshotTable[[#This Row],[SC Is Booked]], ((SnapshotTable[[#This Row],[Last Price]] -SnapshotTable[[#This Row],[SC Strike Price]]) / SnapshotTable[[#This Row],[Last Price]]) * -1, "")</f>
        <v/>
      </c>
      <c r="FM236" s="157" t="str">
        <f>IF(SnapshotTable[[#This Row],[SC Is Booked]],  (SnapshotTable[[#This Row],[SC Qty]] * 100 * SnapshotTable[[#This Row],[SC Strike Price]]) - SnapshotTable[[#This Row],[SC Current Ask]], "")</f>
        <v/>
      </c>
      <c r="FN23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6" s="31" t="str">
        <f>IF(AND(ISNUMBER(SnapshotTable[[#This Row],[SC Exercise Gross]]), ISNUMBER(SnapshotTable[[#This Row],[Equity Basis Per Share]] )), SnapshotTable[[#This Row],[SC Exercise Gross]] - SnapshotTable[[#This Row],[Equity Basis Total]] +  SnapshotTable[[#This Row],[SC Premium]], "")</f>
        <v/>
      </c>
      <c r="FP236" s="5" t="str">
        <f>IF(ISNUMBER(SnapshotTable[[#This Row],[SC Exercise Gross]]), (SnapshotTable[[#This Row],[SC Exercise Gross]]) / (SnapshotTable[[#This Row],[SC Qty]] * 100), "")</f>
        <v/>
      </c>
      <c r="FQ236" s="27" t="str">
        <f>IF(SnapshotTable[[#This Row],[SC Is Booked]],SnapshotTable[[#This Row],[SC Time Val]] /SnapshotTable[[#This Row],[SC Basis]], "")</f>
        <v/>
      </c>
      <c r="FR236" s="27" t="str" cm="1">
        <f t="array" ref="FR236">IF(AND(ISNUMBER(SnapshotTable[[#This Row],[SC Term]]),ISNUMBER(SnapshotTable[[#This Row],[SC Simple ROO]])), EllmanAnnualize(SnapshotTable[[#This Row],[SC DTE]], SnapshotTable[[#This Row],[SC Simple ROO]] ),"")</f>
        <v/>
      </c>
      <c r="FS236" s="4" t="e">
        <f>IF(SnapshotTable[[#This Row],[SC Strike Price]] &gt; SnapshotTable[[#This Row],[Last Price]], SnapshotTable[[#This Row],[SC Strike Price]] - SnapshotTable[[#This Row],[Last Price]],0)</f>
        <v>#VALUE!</v>
      </c>
      <c r="FT236" s="27" t="e">
        <f>IF(AND(ISNUMBER(SnapshotTable[[#This Row],[SC Upside Potential]]), SnapshotTable[[#This Row],[SC Upside Potential]] &gt; 0),(SnapshotTable[[#This Row],[SC Upside Potential]]/ SnapshotTable[[#This Row],[ACB]]),"")</f>
        <v>#VALUE!</v>
      </c>
      <c r="FU236" s="333" t="str">
        <f>IF(SnapshotTable[[#This Row],[SC Intrinsic Value]] &gt; 0,SnapshotTable[[#This Row],[SC Intrinsic Value]],"")</f>
        <v/>
      </c>
      <c r="FV236" s="27" t="str">
        <f>IF(AND( ISNUMBER( SnapshotTable[[#This Row],[ACB]]),ISNUMBER(SnapshotTable[[#This Row],[SC Downside Protect]])),SnapshotTable[[#This Row],[SC Downside Protect]] / SnapshotTable[[#This Row],[ACB]],"")</f>
        <v/>
      </c>
      <c r="FW236" s="236" t="str">
        <f>IF(AND(ISNUMBER(SnapshotTable[[#This Row],[SC Simple ROO]]),SnapshotTable[[#This Row],[SC Simple ROO]] &gt; 0), SnapshotTable[[#This Row],[SC Premium]] + (SnapshotTable[[#This Row],[SC Qty]] * SnapshotTable[[#This Row],[SC Upside Potential]]), "")</f>
        <v/>
      </c>
      <c r="FX236" s="302" t="str" cm="1">
        <f t="array" ref="FX236">IF(ISNUMBER(SnapshotTable[[#This Row],[SC Max Dollars]]), annualize(SnapshotTable[[#This Row],[SC Term]],(SnapshotTable[[#This Row],[SC Max Dollars]]/SnapshotTable[[#This Row],[SC Basis]])),"")</f>
        <v/>
      </c>
      <c r="FY236" s="236" t="str">
        <f>IF(AND(SnapshotTable[[#This Row],[SC Qty]]&gt;0,SnapshotTable[[#This Row],[SC Current Ask]]&gt;0), SnapshotTable[[#This Row],[SC Qty]] * SnapshotTable[[#This Row],[SC Current Ask]] * -100, "")</f>
        <v/>
      </c>
      <c r="FZ236" s="31" t="str">
        <f>IF(ISNUMBER((SnapshotTable[[#This Row],[SC Current Value]])), SnapshotTable[[#This Row],[SC Premium]] + SnapshotTable[[#This Row],[SC Current Value]], "")</f>
        <v/>
      </c>
      <c r="GA236" s="294" t="str">
        <f>IFERROR( IF(ISNUMBER((SnapshotTable[[#This Row],[SC Current Value]])), SnapshotTable[[#This Row],[SC Gain Loss]] / SnapshotTable[[#This Row],[SC Premium]], ""), "")</f>
        <v/>
      </c>
      <c r="GB236" s="42">
        <f>SnapshotTable[[#This Row],[Equity Shares]] * SaleSharesToConsiderPercentage</f>
        <v>0</v>
      </c>
      <c r="GC236" s="40">
        <f>SnapshotTable[[#This Row],[Long Term Target]] * SellingPriceToConsiderBasedOnTargetPercentage</f>
        <v>91.199999999999989</v>
      </c>
      <c r="GD236" s="40">
        <f>SnapshotTable[[#This Row],[Last Price]] * (1+ SellingPriceToConsiderBasedOnTargetPercentage)</f>
        <v>1617.915</v>
      </c>
      <c r="GE236" s="41"/>
      <c r="GF236" s="40"/>
      <c r="GG236" s="31">
        <f>SnapshotTable[[#This Row],[Booked Sale Shares]] * SnapshotTable[[#This Row],[Booked Sale Price]]</f>
        <v>0</v>
      </c>
      <c r="GH236" s="31" t="str">
        <f>IF(SnapshotTable[[#This Row],[Equity Basis Total]] &gt; 0, SnapshotTable[[#This Row],[Equity Basis Per Share]] * SnapshotTable[[#This Row],[Booked Sale Shares]], "")</f>
        <v/>
      </c>
      <c r="GI236" s="31">
        <f>IF(SnapshotTable[[#This Row],[Sale Proceeds]]&gt;0, SnapshotTable[[#This Row],[Sale Proceeds]] - SnapshotTable[[#This Row],[Sale Basis]], 0)</f>
        <v>0</v>
      </c>
      <c r="GJ236" s="27" t="str">
        <f>IF(SnapshotTable[[#This Row],[Sale G/L]]&gt;0, SnapshotTable[[#This Row],[Sale G/L]] / SnapshotTable[[#This Row],[Sale Basis]], IF(ISNUMBER(SnapshotTable[[#This Row],[SC Exercise P&amp;L (TAX)]]), SnapshotTable[[#This Row],[SC Exercise P&amp;L (TAX)]] / SnapshotTable[[#This Row],[SC Basis]], ""))</f>
        <v/>
      </c>
      <c r="GK236" s="27" t="s">
        <v>738</v>
      </c>
      <c r="GL236" s="43" t="str">
        <f>IF(AND(SnapshotTable[[#This Row],[LP Exp Date]]&gt;0,SnapshotTable[[#This Row],[LP Strike Price]]&gt;0), [1]!ToOptionSymbol(SnapshotTable[[#This Row],[Symbol]], SnapshotTable[[#This Row],[LP Strike Price]],SnapshotTable[[#This Row],[LP Exp Date]],1), "")</f>
        <v/>
      </c>
      <c r="GM236" s="30" t="str">
        <f>IF(LEN(SnapshotTable[[#This Row],[LP Symbol]])&gt;0, 1, "")</f>
        <v/>
      </c>
      <c r="GN236" s="43" t="str">
        <f>IF(AND(SnapshotTable[[#This Row],[SP Exp Date]]&gt;0,SnapshotTable[[#This Row],[SP Strike Price]]&gt;0), [1]!ToOptionSymbol(SnapshotTable[[#This Row],[Symbol]], SnapshotTable[[#This Row],[SP Strike Price]],SnapshotTable[[#This Row],[SP Exp Date]],1), "")</f>
        <v/>
      </c>
      <c r="GO236" s="30" t="str">
        <f>IF(LEN(SnapshotTable[[#This Row],[SP Symbol]])&gt;0, 1, "")</f>
        <v/>
      </c>
      <c r="GP236" s="43" t="str">
        <f>IF(AND(SnapshotTable[[#This Row],[LC Exp Date]]&gt;0,SnapshotTable[[#This Row],[LC Strike Price]]&gt;0), [1]!ToOptionSymbol(SnapshotTable[[#This Row],[Symbol]], SnapshotTable[[#This Row],[LC Strike Price]],SnapshotTable[[#This Row],[LC Exp Date]],0), "")</f>
        <v/>
      </c>
      <c r="GQ236" s="30" t="str">
        <f>IF(LEN(SnapshotTable[[#This Row],[LC Symbol]])&gt;0, 1, "")</f>
        <v/>
      </c>
      <c r="GR236" s="43" t="str">
        <f>IF(AND(SnapshotTable[[#This Row],[SC Exp Date]]&gt;0,SnapshotTable[[#This Row],[SC Strike Price]]&gt;0), [1]!ToOptionSymbol(SnapshotTable[[#This Row],[Symbol]], SnapshotTable[[#This Row],[SC Strike Price]],SnapshotTable[[#This Row],[SC Exp Date]],0), "")</f>
        <v/>
      </c>
      <c r="GS236" s="30" t="str">
        <f>IF(LEN(SnapshotTable[[#This Row],[SC Symbol]])&gt;0, 1, "")</f>
        <v/>
      </c>
      <c r="GT236" s="29" t="str">
        <f>IF(COUNT(SnapshotTable[[#This Row],[LP Symbol Count]],SnapshotTable[[#This Row],[SP Symbol Count]],SnapshotTable[[#This Row],[LC Symbol Count]],SnapshotTable[[#This Row],[SC Symbol Count]])&gt;0, "Y", "")</f>
        <v/>
      </c>
      <c r="GU23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6" s="231" t="e">
        <f>MAX(SnapshotTable[[#This Row],[Equity Basis Total]],SnapshotTable[[#This Row],[Equity Value]]) + (SnapshotTable[[#This Row],[SP Potential Spend]]- SnapshotTable[[#This Row],[SP Premium]] + SnapshotTable[[#This Row],[LP Premium]])+ (SnapshotTable[[#This Row],[LC Premium]] - SnapshotTable[[#This Row],[SC Premium]])</f>
        <v>#VALUE!</v>
      </c>
      <c r="GW236" s="139" t="e">
        <f>IF(AND(SnapshotTable[[#This Row],[Exposure]] &lt;&gt; 0),SnapshotTable[[#This Row],[Exposure]] / SnapshotTable[[#Totals],[Exposure]], "")</f>
        <v>#VALUE!</v>
      </c>
      <c r="GX236" s="5"/>
      <c r="HE236" s="268"/>
      <c r="HF236" s="268"/>
      <c r="HK236" s="1"/>
      <c r="HL236" s="1"/>
      <c r="HM236" s="1"/>
      <c r="HN236" s="1"/>
      <c r="HO236" s="1"/>
      <c r="HP236" s="1"/>
    </row>
    <row r="237" spans="2:224" ht="12.75" hidden="1" customHeight="1" x14ac:dyDescent="0.25">
      <c r="B237" s="12" t="s">
        <v>815</v>
      </c>
      <c r="C237" s="422">
        <v>32.26</v>
      </c>
      <c r="D237" s="208" t="s">
        <v>1025</v>
      </c>
      <c r="E237" s="39">
        <f>SnapshotTable[[#This Row],[Last Price]]*(1 -CrashDiscount)</f>
        <v>27.420999999999996</v>
      </c>
      <c r="F237" s="26" t="s">
        <v>60</v>
      </c>
      <c r="G237" s="26" t="s">
        <v>14</v>
      </c>
      <c r="H237" s="149"/>
      <c r="I237" s="194">
        <v>45041.288194444445</v>
      </c>
      <c r="J237" s="195">
        <v>45041.288194444445</v>
      </c>
      <c r="K237" s="196"/>
      <c r="L237" s="326"/>
      <c r="M237" s="140"/>
      <c r="N237" s="140"/>
      <c r="O237" s="140"/>
      <c r="P237" s="22"/>
      <c r="Q237" s="25"/>
      <c r="R237" s="4" t="str">
        <f>IF(SnapshotTable[[#This Row],[Equity Basis Total]] &gt; 0, SnapshotTable[[#This Row],[Equity Basis Total]] / SnapshotTable[[#This Row],[Equity Shares]], "")</f>
        <v/>
      </c>
      <c r="S237" s="269">
        <f>SnapshotTable[[#This Row],[Last Price]] * SnapshotTable[[#This Row],[Equity Shares]]</f>
        <v>0</v>
      </c>
      <c r="T237" s="269">
        <f>SnapshotTable[[#This Row],[Equity Value]] - SnapshotTable[[#This Row],[Equity Basis Total]]</f>
        <v>0</v>
      </c>
      <c r="U237" s="270" t="str">
        <f>IF(SnapshotTable[[#This Row],[Equity Basis Total]] &gt; 0, SnapshotTable[[#This Row],[Equity G/L]] / SnapshotTable[[#This Row],[Equity Basis Total]], "")</f>
        <v/>
      </c>
      <c r="V237" s="268"/>
      <c r="W237" s="268"/>
      <c r="X237" s="4" t="str">
        <f>IF(AND(ISNUMBER(SnapshotTable[[#This Row],[Equity Basis Per Share]]),ISNUMBER(SnapshotTable[[#This Row],[Equity Target]])),SnapshotTable[[#This Row],[Equity Target]]-SnapshotTable[[#This Row],[Equity Basis Per Share]],"")</f>
        <v/>
      </c>
      <c r="Y237" s="4" t="str">
        <f>IF(AND(ISNUMBER(SnapshotTable[[#This Row],[Equity Basis Per Share]]),ISNUMBER(SnapshotTable[[#This Row],[Equity Stop Loss]])),SnapshotTable[[#This Row],[Equity Stop Loss]]-SnapshotTable[[#This Row],[Equity Basis Per Share]],"")</f>
        <v/>
      </c>
      <c r="Z237" s="275" t="str">
        <f>IFERROR( TEXT(SnapshotTable[[#This Row],[Equity Max Gain Per Share]] /ABS( SnapshotTable[[#This Row],[Equity Max Loss Per Share]]),"0.0 " ) &amp; " : 1", "")</f>
        <v/>
      </c>
      <c r="AA237" s="31" t="str">
        <f>IF(ISNUMBER(SnapshotTable[[#This Row],[Equity Max Gain Per Share]]),SnapshotTable[[#This Row],[Equity Max Gain Per Share]] * SnapshotTable[[#This Row],[Equity Shares]],"")</f>
        <v/>
      </c>
      <c r="AB237" s="31" t="str">
        <f>IF(ISNUMBER(SnapshotTable[[#This Row],[Equity Max Loss Per Share]]),SnapshotTable[[#This Row],[Equity Max Loss Per Share]] * SnapshotTable[[#This Row],[Equity Shares]],"")</f>
        <v/>
      </c>
      <c r="AC237" s="150"/>
      <c r="AD237" s="151"/>
      <c r="AE237" s="31">
        <f>(SnapshotTable[[#This Row],[Annual Dividend Per Share]] / 4) * SnapshotTable[[#This Row],[Equity Shares]]</f>
        <v>0</v>
      </c>
      <c r="AF237" s="31">
        <f>SnapshotTable[[#This Row],[Quarterly Div $]] * 4</f>
        <v>0</v>
      </c>
      <c r="AG237" s="7">
        <f>IF(SnapshotTable[[#This Row],[Annual Dividend Per Share]]&gt;0, SnapshotTable[[#This Row],[Annual Dividend Per Share]]  / SnapshotTable[[#This Row],[Last Price]], 0)</f>
        <v>0</v>
      </c>
      <c r="AH237" s="151"/>
      <c r="AI237" s="5"/>
      <c r="AJ237" s="138">
        <v>5.78</v>
      </c>
      <c r="AK237" s="152" t="str">
        <f>IF(ISNUMBER( SnapshotTable[[#This Row],[EBF Target]]),(SnapshotTable[[#This Row],[EBF Target]] - SnapshotTable[[#This Row],[Last Price]]) / SnapshotTable[[#This Row],[Last Price]], "")</f>
        <v/>
      </c>
      <c r="AL237" s="152" t="str">
        <f>IF(AND(SnapshotTable[[#This Row],[Equity Basis Total]] &gt; 0,ISNUMBER( SnapshotTable[[#This Row],[Long Term Target]])), SnapshotTable[[#This Row],[From Basis $]] / SnapshotTable[[#This Row],[Equity Basis Total]], "")</f>
        <v/>
      </c>
      <c r="AM237" s="9">
        <f>IF( AND(SnapshotTable[[#This Row],[Equity Shares]] &gt;0,ISNUMBER( SnapshotTable[[#This Row],[Long Term Target]])),(SnapshotTable[[#This Row],[Equity Shares]] * SnapshotTable[[#This Row],[Long Term Target]]) - SnapshotTable[[#This Row],[Equity Basis Total]],0)</f>
        <v>0</v>
      </c>
      <c r="AN237" s="9">
        <f>IF( AND(SnapshotTable[[#This Row],[Equity Shares]] &gt;0,ISNUMBER( SnapshotTable[[#This Row],[Long Term Target]])),(SnapshotTable[[#This Row],[Equity Shares]]*SnapshotTable[[#This Row],[Long Term Target]]) - SnapshotTable[[#This Row],[Equity Value]],0)</f>
        <v>0</v>
      </c>
      <c r="AO237" s="152">
        <f>IF(AND(ISNUMBER( SnapshotTable[[#This Row],[Long Term Target]]), ISNUMBER(SnapshotTable[[#This Row],[Last Price]])),(SnapshotTable[[#This Row],[Long Term Target]] - SnapshotTable[[#This Row],[Last Price]]) / SnapshotTable[[#This Row],[Last Price]], "")</f>
        <v>-0.82083075015499063</v>
      </c>
      <c r="AP237" s="5"/>
      <c r="AQ237" s="38"/>
      <c r="AR237" s="5"/>
      <c r="AS237" s="38"/>
      <c r="AT237" s="146"/>
      <c r="AU237" s="187" t="str">
        <f>IF(OR(SnapshotTable[[#This Row],[LP No Fill]]="Y",SnapshotTable[[#This Row],[SP Is Filled]],SnapshotTable[[#This Row],[LC Not Filled]]="Y",SnapshotTable[[#This Row],[SC Is Filled]]),"Y","")</f>
        <v/>
      </c>
      <c r="AV237" s="219"/>
      <c r="AW237" s="225"/>
      <c r="AX237" s="220"/>
      <c r="AY237" s="219" t="str">
        <f>IF(SnapshotTable[[#This Row],[Implied Move]]&gt;0, SnapshotTable[[#This Row],[Last Price]]-SnapshotTable[[#This Row],[Implied Move]],"")</f>
        <v/>
      </c>
      <c r="AZ237" s="219" t="str">
        <f>IF(SnapshotTable[[#This Row],[Implied Move]]&gt;0, SnapshotTable[[#This Row],[Last Price]] + SnapshotTable[[#This Row],[Implied Move]],"")</f>
        <v/>
      </c>
      <c r="BA237" s="331">
        <v>41.63</v>
      </c>
      <c r="BB237" s="347"/>
      <c r="BC23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7" s="351"/>
      <c r="BE237" s="138"/>
      <c r="BF237" s="166"/>
      <c r="BG237" s="167"/>
      <c r="BH237" s="167"/>
      <c r="BI237" s="5"/>
      <c r="BJ237" s="153">
        <f>IF(SnapshotTable[[#This Row],[LP Qty]] &gt; 0, SnapshotTable[[#This Row],[LP Qty]] * SnapshotTable[[#This Row],[LP Book Price]] * 100,0)</f>
        <v>0</v>
      </c>
      <c r="BK237" s="136">
        <f>IF(SnapshotTable[[#This Row],[LP Premium]] &gt; 0, SnapshotTable[[#This Row],[LP Qty]] * SnapshotTable[[#This Row],[LP Strike Price]] * 100,0)</f>
        <v>0</v>
      </c>
      <c r="BL237" s="154"/>
      <c r="BM237" s="385" t="str">
        <f>IF(SnapshotTable[[#This Row],[LP Premium]] &gt; 0,SnapshotTable[[#This Row],[LP Exp Date]]-MAX(SnapshotTable[[#This Row],[LP Book Date]], SnapshotTable[[#This Row],[LP Fill Date]]),"")</f>
        <v/>
      </c>
      <c r="BN237" s="385" t="str">
        <f>IF(ISNUMBER( SnapshotTable[[#This Row],[LP Term]]), SnapshotTable[[#This Row],[LP Exp Date]] - MockToday,"")</f>
        <v/>
      </c>
      <c r="BO237" s="163" t="str">
        <f>IF(AND(SnapshotTable[[#This Row],[LP Exp Date]]&gt;0, SnapshotTable[[#This Row],[LP Strike Price]]&gt;0,SnapshotTable[[#This Row],[LP Qty]]&gt;0,SnapshotTable[[#This Row],[LP Book Date]]&gt;0,SnapshotTable[[#This Row],[LP Book Price]]&gt;0,SnapshotTable[[#This Row],[LP Fill Date]]=0),"Y","")</f>
        <v/>
      </c>
      <c r="BP237" s="31" t="str">
        <f>IF(AND(SnapshotTable[[#This Row],[LP No Fill]]&lt;&gt;"Y",SnapshotTable[[#This Row],[LP Contract Value]]&gt;0, SnapshotTable[[#This Row],[LP Qty]]&gt;0), SnapshotTable[[#This Row],[LP Contract Value]]*SnapshotTable[[#This Row],[LP Qty]]*100,"")</f>
        <v/>
      </c>
      <c r="BQ237" s="13"/>
      <c r="BR237" s="5" t="str">
        <f>IF(SnapshotTable[[#This Row],[SP Exp Date]]&lt;&gt;"",TRUNC(SnapshotTable[[#This Row],[Last Price]]),"")</f>
        <v/>
      </c>
      <c r="BS237" s="36"/>
      <c r="BT237" s="147"/>
      <c r="BU237" s="13"/>
      <c r="BV237" s="5"/>
      <c r="BW237" s="419" t="b">
        <f>AND(ISNUMBER(SnapshotTable[[#This Row],[SP Exp Date]]), ISNUMBER(SnapshotTable[[#This Row],[SP Strike Price]]), ISNUMBER(SnapshotTable[[#This Row],[SP Qty]]), ISNUMBER(SnapshotTable[[#This Row],[SP Book Date]]), ISNUMBER(SnapshotTable[[#This Row],[SP Book Price]]))</f>
        <v>0</v>
      </c>
      <c r="BX237" s="419" t="b">
        <f>AND(SnapshotTable[[#This Row],[SP Is Booked]], NOT(ISBLANK(SnapshotTable[[#This Row],[SP Fill Date]])))</f>
        <v>0</v>
      </c>
      <c r="BY237" s="33">
        <f>IF(SnapshotTable[[#This Row],[SP Is Booked]], SnapshotTable[[#This Row],[SP Qty]] * SnapshotTable[[#This Row],[SP Book Price]] * 100, 0)</f>
        <v>0</v>
      </c>
      <c r="BZ237" s="369"/>
      <c r="CA237" s="368">
        <f>SnapshotTable[[#This Row],[LP Qty]]</f>
        <v>0</v>
      </c>
      <c r="CB237" s="4" t="str">
        <f>IF(SnapshotTable[[#This Row],[SP Is Booked]], SnapshotTable[[#This Row],[SP Strike Price]] - SnapshotTable[[#This Row],[SP Book Price]], "")</f>
        <v/>
      </c>
      <c r="CC237" s="19" t="str">
        <f>IF(SnapshotTable[[#This Row],[SP Is Booked]],SnapshotTable[[#This Row],[SP Exp Date]]-MAX(SnapshotTable[[#This Row],[SP Book Date]], SnapshotTable[[#This Row],[SP Fill Date]]),"")</f>
        <v/>
      </c>
      <c r="CD237" s="7" t="str">
        <f>IF(SnapshotTable[[#This Row],[SP Is Booked]], SnapshotTable[[#This Row],[SP Book Price]]/SnapshotTable[[#This Row],[SP Strike Price]], "")</f>
        <v/>
      </c>
      <c r="CE237" s="7" t="str">
        <f>IF(ISNUMBER(SnapshotTable[[#This Row],[SP ROO Term]]),SnapshotTable[[#This Row],[SP ROO Term]]*(365/SnapshotTable[[#This Row],[SP Term]]),"")</f>
        <v/>
      </c>
      <c r="CF237" s="236">
        <f>SnapshotTable[[#This Row],[LP Strike Price]] * SnapshotTable[[#This Row],[LP Qty]] * 100</f>
        <v>0</v>
      </c>
      <c r="CG237" s="31" t="e">
        <f>IF(ISNUMBER(SnapshotTable[[#This Row],[SP Premium]]), (SnapshotTable[[#This Row],[SP Qty]] * SnapshotTable[[#This Row],[SP Strike Price]]* 100) - SnapshotTable[[#This Row],[LP Protection]], 0)</f>
        <v>#VALUE!</v>
      </c>
      <c r="CH237" s="7" t="str">
        <f>IF(ISNUMBER(SnapshotTable[[#This Row],[SP Break Even]]),-1 * (SnapshotTable[[#This Row],[SP Break Even]] - SnapshotTable[[#This Row],[Last Price]]) / SnapshotTable[[#This Row],[Last Price]], "")</f>
        <v/>
      </c>
      <c r="CI237" s="31">
        <f>IF(AND(ISNUMBER((SnapshotTable[[#This Row],[SP Potential Spend]])), SnapshotTable[[#This Row],[SP Strike Price]] &gt; SnapshotTable[[#This Row],[Last Price]], SnapshotTable[[#This Row],[SP Is Filled]]), SnapshotTable[[#This Row],[SP Potential Spend]] -  SnapshotTable[[#This Row],[LP Max Value]], 0)</f>
        <v>0</v>
      </c>
      <c r="CJ237" s="244"/>
      <c r="CK237" s="31" t="str">
        <f>IF(ISNUMBER(SnapshotTable[[#This Row],[SP Potential Spend]]),IF(ISNUMBER(SnapshotTable[[#This Row],[SP POW]]), SnapshotTable[[#This Row],[SP POW]] * SnapshotTable[[#This Row],[SP Potential Spend]], SnapshotTable[[#This Row],[SP Potential Spend]]), "")</f>
        <v/>
      </c>
      <c r="CL237" s="164" t="e">
        <f>IF(NOT(SnapshotTable[[#This Row],[SP Is Filled]]),(SnapshotTable[[#This Row],[SP Qty]] * SnapshotTable[[#This Row],[SP Strike Price]] * 100) - SnapshotTable[[#This Row],[LP Max Value]],"")</f>
        <v>#VALUE!</v>
      </c>
      <c r="CM237" s="31" t="str">
        <f>IF(SnapshotTable[[#This Row],[SP Actual Spend]]&lt;&gt;0, ((SnapshotTable[[#This Row],[SP Strike Price]]-SnapshotTable[[#This Row],[Last Price]]) *(SnapshotTable[[#This Row],[SP Qty]]*100) - SnapshotTable[[#This Row],[SP Premium]]) * - 1, "")</f>
        <v/>
      </c>
      <c r="CN237" s="154"/>
      <c r="CO237" s="369"/>
      <c r="CP237" s="4" t="str">
        <f>IF(SnapshotTable[[#This Row],[SP Is Filled]], btc_max_buyback_amount(SnapshotTable[[#This Row],[SP Fill Date]],SnapshotTable[[#This Row],[SP Exp Date]], SnapshotTable[[#This Row],[SP Book Price]]),"")</f>
        <v/>
      </c>
      <c r="CQ237" s="78"/>
      <c r="CR23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7" s="155" t="str">
        <f>IF(SnapshotTable[[#This Row],[SP Is Filled]], btc_next_cutoff_date(SnapshotTable[[#This Row],[SP Fill Date]],SnapshotTable[[#This Row],[SP Exp Date]]),"")</f>
        <v/>
      </c>
      <c r="CT237" s="235" t="str" cm="1">
        <f t="array" ref="CT237">IF(SnapshotTable[[#This Row],[SP Is Filled]], btc_should_buy_back(SnapshotTable[[#This Row],[SP Fill Date]], SnapshotTable[[#This Row],[SP Exp Date]], SnapshotTable[[#This Row],[SP Book Price]], SnapshotTable[[#This Row],[SP Current Ask]], MockToday, SnapshotTable[[#This Row],[SP Buyback Override]]),"")</f>
        <v/>
      </c>
      <c r="CU237" s="156"/>
      <c r="CV237" s="235"/>
      <c r="CW237" s="378" t="str">
        <f>IF(ISNUMBER( SnapshotTable[[#This Row],[SP Term]]), SnapshotTable[[#This Row],[SP Exp Date]] - MockToday,"")</f>
        <v/>
      </c>
      <c r="CX237" s="31" t="str">
        <f>IF(SnapshotTable[[#This Row],[SP Is Filled]],SnapshotTable[[#This Row],[SP Buyback Price to Use]] * 100 * SnapshotTable[[#This Row],[SP Qty]], "")</f>
        <v/>
      </c>
      <c r="CY237" s="4" t="str">
        <f>IF(ISNUMBER(SnapshotTable[[#This Row],[SP Strike Price]]), SnapshotTable[[#This Row],[SP Strike Price]] * (1 - SP_MaxLoss_StrikePct), "")</f>
        <v/>
      </c>
      <c r="CZ237" s="31" t="str">
        <f>IF(ISNUMBER(SnapshotTable[[#This Row],[SP Strike  Stop Per Share]]),SnapshotTable[[#This Row],[SP Premium]] - ((SnapshotTable[[#This Row],[SP Strike Price]]-SnapshotTable[[#This Row],[SP Strike  Stop Per Share]]) *(SnapshotTable[[#This Row],[SP Qty]] * 100)),"")</f>
        <v/>
      </c>
      <c r="DA237" s="4" t="str">
        <f>IF(AND(ISNUMBER(SnapshotTable[[#This Row],[SP Premium]]),SnapshotTable[[#This Row],[SP Premium]]&gt;0), SnapshotTable[[#This Row],[SP Book Price]] * (1 + SP_MaxLoss_OptionPct), "")</f>
        <v/>
      </c>
      <c r="DB237" s="31" t="str">
        <f>IF(ISNUMBER(SnapshotTable[[#This Row],[SP Option  Stop Contract]]),(SnapshotTable[[#This Row],[SP Option  Stop Contract]] *(SnapshotTable[[#This Row],[SP Qty]] * 100) - SnapshotTable[[#This Row],[SP Premium]]),"")</f>
        <v/>
      </c>
      <c r="DC237" s="4"/>
      <c r="DD237" s="4"/>
      <c r="DE237" s="4" t="str">
        <f>IF(AND(SnapshotTable[[#This Row],[SP Qty]]&gt;0, SnapshotTable[[#This Row],[SP Stop To Use]]&gt;0),SnapshotTable[[#This Row],[SP Premium]] - ( SnapshotTable[[#This Row],[SP Qty]] * SnapshotTable[[#This Row],[SP Stop To Use]] * 100), "")</f>
        <v/>
      </c>
      <c r="DF237" s="31" t="str">
        <f>IF(AND(SnapshotTable[[#This Row],[SP Qty]]&gt;0,SnapshotTable[[#This Row],[SP Current Ask]]&gt;0), SnapshotTable[[#This Row],[SP Qty]] * SnapshotTable[[#This Row],[SP Current Ask]] * -100, "")</f>
        <v/>
      </c>
      <c r="DG237" s="31" t="str">
        <f>IF(ISNUMBER((SnapshotTable[[#This Row],[SP Total Value]])), SnapshotTable[[#This Row],[SP Premium]] + SnapshotTable[[#This Row],[SP Total Value]], "")</f>
        <v/>
      </c>
      <c r="DH237" s="294" t="str">
        <f>IF(ISNUMBER((SnapshotTable[[#This Row],[SP Total Value]])), SnapshotTable[[#This Row],[SP Gain Loss]] / SnapshotTable[[#This Row],[SP Premium]], "")</f>
        <v/>
      </c>
      <c r="DI237" s="406"/>
      <c r="DJ237" s="138"/>
      <c r="DK237" s="148"/>
      <c r="DL237" s="147"/>
      <c r="DM237" s="147"/>
      <c r="DO237" s="31">
        <f>IF(SnapshotTable[[#This Row],[LC Symbol Count]]=1, SnapshotTable[[#This Row],[LC Qty]] * SnapshotTable[[#This Row],[LC Book Price]] * 100, 0)</f>
        <v>0</v>
      </c>
      <c r="DP237" s="163" t="str">
        <f>IF(AND(SnapshotTable[[#This Row],[LC Exp Date]]&gt;0, SnapshotTable[[#This Row],[LC Strike Price]]&gt;0,SnapshotTable[[#This Row],[LC Qty]]&gt;0,SnapshotTable[[#This Row],[LC Book Date]]&gt;0,SnapshotTable[[#This Row],[LC Book Price]]&gt;0,SnapshotTable[[#This Row],[LC Fill Date]]=0),"Y","")</f>
        <v/>
      </c>
      <c r="DQ237" s="386" t="str">
        <f>IF(SnapshotTable[[#This Row],[LC Premium]] &gt; 0,SnapshotTable[[#This Row],[LC Exp Date]]-MAX(SnapshotTable[[#This Row],[LC Book Date]], SnapshotTable[[#This Row],[LC Fill Date]]),"")</f>
        <v/>
      </c>
      <c r="DR237" s="386" t="str">
        <f>IF(ISNUMBER(SnapshotTable[[#This Row],[LC Term]]), SnapshotTable[[#This Row],[LC Exp Date]] - MockToday, "")</f>
        <v/>
      </c>
      <c r="DS237" s="234" t="str">
        <f>IF(SnapshotTable[[#This Row],[LC Premium]]&gt;0,SnapshotTable[[#This Row],[LC Strike Price]] + SnapshotTable[[#This Row],[LC Book Price]],"")</f>
        <v/>
      </c>
      <c r="DU237" s="9" t="str">
        <f>IF(AND(SnapshotTable[[#This Row],[LC Symbol Count]]&gt;0, SnapshotTable[[#This Row],[LC Contract Value]]&gt;0), SnapshotTable[[#This Row],[LC Contract Value]] * SnapshotTable[[#This Row],[LC Qty]] * 100, "")</f>
        <v/>
      </c>
      <c r="DV237" s="9" t="str">
        <f>IF(AND(ISNUMBER(SnapshotTable[[#This Row],[LC Total Value]]), SnapshotTable[[#This Row],[LC Not Filled]]&lt;&gt;"Y"), SnapshotTable[[#This Row],[LC Total Value]]-SnapshotTable[[#This Row],[LC Premium]],"")</f>
        <v/>
      </c>
      <c r="DW237" s="240" t="str">
        <f>IF(ISNUMBER(SnapshotTable[[#This Row],[LC Actual Gain Loss]]), SnapshotTable[[#This Row],[LC Actual Gain Loss]] / SnapshotTable[[#This Row],[LC Premium]],"")</f>
        <v/>
      </c>
      <c r="DX237" s="284" t="str">
        <f>IF(ISNUMBER(SnapshotTable[[#This Row],[LC Book Price]]),SnapshotTable[[#This Row],[LC Book Price]] * 1.5,"")</f>
        <v/>
      </c>
      <c r="DY237" s="265" t="str">
        <f>IF(SnapshotTable[[#This Row],[LC Premium]]&gt;0, SnapshotTable[[#This Row],[LC Next Target]] * SnapshotTable[[#This Row],[LC Qty]] * 100,"")</f>
        <v/>
      </c>
      <c r="DZ237" s="265" t="str">
        <f>IF(ISNUMBER(SnapshotTable[[#This Row],[LC Target Gross]]), SnapshotTable[[#This Row],[LC Target Gross]] - SnapshotTable[[#This Row],[LC Premium]], "")</f>
        <v/>
      </c>
      <c r="EA237" s="305" t="str">
        <f>IF(ISNUMBER(SnapshotTable[[#This Row],[LC Target Gain Loss]]), SnapshotTable[[#This Row],[LC Target Gain Loss]]/SnapshotTable[[#This Row],[LC Premium]], "")</f>
        <v/>
      </c>
      <c r="EB237" s="262"/>
      <c r="EC237" s="283" t="str">
        <f>IF(SnapshotTable[[#This Row],[LC Premium]]&gt;0, SnapshotTable[[#This Row],[LC Book Price]] * (1 - LC_StopLoss_Pct),"")</f>
        <v/>
      </c>
      <c r="ED237" s="284"/>
      <c r="EE237" s="283" t="str">
        <f>IF(ISNUMBER(SnapshotTable[[#This Row],[LC Contract Value]]),IF(ISNUMBER(SnapshotTable[[#This Row],[LC Stop Loss Override]]), SnapshotTable[[#This Row],[LC Stop Loss Override]],SnapshotTable[[#This Row],[LC Stop Loss Calc Target]]),"")</f>
        <v/>
      </c>
      <c r="EF237" s="31" t="str">
        <f>IF(ISNUMBER(SnapshotTable[[#This Row],[LC Stop  To Use]]), (SnapshotTable[[#This Row],[LC Stop  To Use]] * SnapshotTable[[#This Row],[LC Qty]] * 100),"")</f>
        <v/>
      </c>
      <c r="EG237" s="9" t="str">
        <f>IF(ISNUMBER(SnapshotTable[[#This Row],[LC Total Value]]),SnapshotTable[[#This Row],[LC Stop Loss Amount]] - SnapshotTable[[#This Row],[LC Premium]],"")</f>
        <v/>
      </c>
      <c r="EH237" s="9">
        <f>IF(ISNUMBER(SnapshotTable[[#This Row],[LC Premium]]), SnapshotTable[[#This Row],[LC Qty]] * 100 * SnapshotTable[[#This Row],[LC Strike Price]], "")</f>
        <v>0</v>
      </c>
      <c r="EI237" s="240" t="str">
        <f>IF(AND(ISNUMBER(SnapshotTable[[#This Row],[LC Total Value]]),SnapshotTable[[#This Row],[LC Total Value]]&gt;0),SnapshotTable[[#This Row],[LC Stop Gain Loss]]  / SnapshotTable[[#This Row],[LC Premium]],"")</f>
        <v/>
      </c>
      <c r="EJ237" s="35">
        <f>IF(ISNUMBER(SnapshotTable[[#This Row],[Equity Shares]]),TRUNC(SnapshotTable[[#This Row],[Equity Shares]] / 100),0) + SnapshotTable[[#This Row],[LC Qty]]</f>
        <v>0</v>
      </c>
      <c r="EK237" s="147"/>
      <c r="EL237" s="138" t="str">
        <f>IF(SnapshotTable[[#This Row],[SC Exp Date]]&lt;&gt;"",TRUNC(SnapshotTable[[#This Row],[Last Price]]),"")</f>
        <v/>
      </c>
      <c r="EM237" s="148"/>
      <c r="EN237" s="147"/>
      <c r="EO237" s="147"/>
      <c r="EP237" s="138"/>
      <c r="EQ237" s="419" t="b">
        <f>AND(ISNUMBER(SnapshotTable[[#This Row],[SC Exp Date]]), ISNUMBER(SnapshotTable[[#This Row],[SC Strike Price]]), ISNUMBER(SnapshotTable[[#This Row],[SC Qty]]), ISNUMBER(SnapshotTable[[#This Row],[SC Book Date]]), ISNUMBER(SnapshotTable[[#This Row],[SC Book Price]]))</f>
        <v>0</v>
      </c>
      <c r="ER237" s="419" t="b">
        <f>AND(SnapshotTable[[#This Row],[SC Is Booked]], NOT(ISBLANK(SnapshotTable[[#This Row],[SC Fill Date]])))</f>
        <v>0</v>
      </c>
      <c r="ES237" s="370"/>
      <c r="ET237" s="34" t="str">
        <f>IF(AND(ISNUMBER(SnapshotTable[[#This Row],[SC Exp Date]]), ISNUMBER(SnapshotTable[[#This Row],[SC Book Date]])), SnapshotTable[[#This Row],[SC Exp Date]] - MAX(SnapshotTable[[#This Row],[SC Book Date]], SnapshotTable[[#This Row],[SC Fill Date]]) + 1, "")</f>
        <v/>
      </c>
      <c r="EU237" s="34" t="str">
        <f>IF(ISNUMBER(SnapshotTable[[#This Row],[SC Term]]), SnapshotTable[[#This Row],[SC Exp Date]]- MockToday, "")</f>
        <v/>
      </c>
      <c r="EV237" s="31">
        <f>IF(SnapshotTable[[#This Row],[SC Is Booked]], SnapshotTable[[#This Row],[SC Qty]] * SnapshotTable[[#This Row],[SC Book Price]] * 100, 0)</f>
        <v>0</v>
      </c>
      <c r="EW237" s="4" t="str">
        <f>IF(AND(ISNUMBER(SnapshotTable[[#This Row],[Last Price]]), ISNUMBER( SnapshotTable[[#This Row],[SC Book Price]])), SnapshotTable[[#This Row],[Last Price]] - SnapshotTable[[#This Row],[SC Book Price]],"")</f>
        <v/>
      </c>
      <c r="EX237" s="234" t="str">
        <f>IF(SnapshotTable[[#This Row],[SC Is Booked]],IF(SnapshotTable[[#This Row],[SC Intrinsic Value]] &gt; 0, SnapshotTable[[#This Row],[SC Strike Price]], SnapshotTable[[#This Row],[Last Price]]), "")</f>
        <v/>
      </c>
      <c r="EY237" s="4">
        <f>IF(SnapshotTable[[#This Row],[SC Is Booked]], (MinimumPremiumRequired * SnapshotTable[[#This Row],[SC Basis]] * SnapshotTable[[#This Row],[SC Term]]), 0)</f>
        <v>0</v>
      </c>
      <c r="EZ237" s="283"/>
      <c r="FA237" s="218"/>
      <c r="FB237" s="370"/>
      <c r="FC237" s="4">
        <f>IF(SnapshotTable[[#This Row],[SC Is Filled]], btc_max_buyback_amount(SnapshotTable[[#This Row],[SC Fill Date]],SnapshotTable[[#This Row],[SC Exp Date]], SnapshotTable[[#This Row],[SC Book Price]]),0)</f>
        <v>0</v>
      </c>
      <c r="FD237" s="5"/>
      <c r="FE237" s="144" t="str">
        <f>IF(SnapshotTable[[#This Row],[SC Is Filled]], btc_next_cutoff_date(SnapshotTable[[#This Row],[SC Fill Date]],SnapshotTable[[#This Row],[SC Exp Date]]),"")</f>
        <v/>
      </c>
      <c r="FF237" s="4" t="str" cm="1">
        <f t="array" ref="FF237">IF(SnapshotTable[[#This Row],[SC Is Filled]], btc_should_buy_back(SnapshotTable[[#This Row],[SC Fill Date]], SnapshotTable[[#This Row],[SC Exp Date]], SnapshotTable[[#This Row],[SC Book Price]], SnapshotTable[[#This Row],[SC Current Ask]], MockToday, SnapshotTable[[#This Row],[SC Buyback Override]]),"")</f>
        <v/>
      </c>
      <c r="FG237" s="4">
        <f>IF(SnapshotTable[[#This Row],[SC Is Filled]], MAX(0,SnapshotTable[[#This Row],[Last Price]]  - SnapshotTable[[#This Row],[SC Strike Price]]), 0)</f>
        <v>0</v>
      </c>
      <c r="FH237" s="382">
        <f>IF(SnapshotTable[[#This Row],[SC Is Filled]], IF(ISNUMBER(SnapshotTable[[#This Row],[SC Current Ask]]), SnapshotTable[[#This Row],[SC Current Ask]], SnapshotTable[[#This Row],[SC Book Price]]) - SnapshotTable[[#This Row],[SC Intrinsic Value]], 0)</f>
        <v>0</v>
      </c>
      <c r="FI237" s="143"/>
      <c r="FJ237" s="32" t="str">
        <f>IF(SnapshotTable[[#This Row],[SC Is Filled]],100 * SnapshotTable[[#This Row],[SC Qty]] * IF(ISNUMBER(SnapshotTable[[#This Row],[SC Buyback Override]]), SnapshotTable[[#This Row],[SC Buyback Override]], SnapshotTable[[#This Row],[SC Current Ask]]), "")</f>
        <v/>
      </c>
      <c r="FK237" s="250" t="str">
        <f>IF(SnapshotTable[[#This Row],[SC Time Val]]&gt;0, SnapshotTable[[#This Row],[SC Time Val]] / SnapshotTable[[#This Row],[Last Price]],"")</f>
        <v/>
      </c>
      <c r="FL237" s="302" t="str">
        <f>IF(SnapshotTable[[#This Row],[SC Is Booked]], ((SnapshotTable[[#This Row],[Last Price]] -SnapshotTable[[#This Row],[SC Strike Price]]) / SnapshotTable[[#This Row],[Last Price]]) * -1, "")</f>
        <v/>
      </c>
      <c r="FM237" s="157" t="str">
        <f>IF(SnapshotTable[[#This Row],[SC Is Booked]],  (SnapshotTable[[#This Row],[SC Qty]] * 100 * SnapshotTable[[#This Row],[SC Strike Price]]) - SnapshotTable[[#This Row],[SC Current Ask]], "")</f>
        <v/>
      </c>
      <c r="FN237"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7" s="157" t="str">
        <f>IF(AND(ISNUMBER(SnapshotTable[[#This Row],[SC Exercise Gross]]), ISNUMBER(SnapshotTable[[#This Row],[Equity Basis Per Share]] )), SnapshotTable[[#This Row],[SC Exercise Gross]] - SnapshotTable[[#This Row],[Equity Basis Total]] +  SnapshotTable[[#This Row],[SC Premium]], "")</f>
        <v/>
      </c>
      <c r="FP237" s="5" t="str">
        <f>IF(ISNUMBER(SnapshotTable[[#This Row],[SC Exercise Gross]]), (SnapshotTable[[#This Row],[SC Exercise Gross]]) / (SnapshotTable[[#This Row],[SC Qty]] * 100), "")</f>
        <v/>
      </c>
      <c r="FQ237" s="27" t="str">
        <f>IF(SnapshotTable[[#This Row],[SC Is Booked]],SnapshotTable[[#This Row],[SC Time Val]] /SnapshotTable[[#This Row],[SC Basis]], "")</f>
        <v/>
      </c>
      <c r="FR237" s="27" t="str" cm="1">
        <f t="array" ref="FR237">IF(AND(ISNUMBER(SnapshotTable[[#This Row],[SC Term]]),ISNUMBER(SnapshotTable[[#This Row],[SC Simple ROO]])), EllmanAnnualize(SnapshotTable[[#This Row],[SC DTE]], SnapshotTable[[#This Row],[SC Simple ROO]] ),"")</f>
        <v/>
      </c>
      <c r="FS237" s="4" t="e">
        <f>IF(SnapshotTable[[#This Row],[SC Strike Price]] &gt; SnapshotTable[[#This Row],[Last Price]], SnapshotTable[[#This Row],[SC Strike Price]] - SnapshotTable[[#This Row],[Last Price]],0)</f>
        <v>#VALUE!</v>
      </c>
      <c r="FT237" s="27" t="e">
        <f>IF(AND(ISNUMBER(SnapshotTable[[#This Row],[SC Upside Potential]]), SnapshotTable[[#This Row],[SC Upside Potential]] &gt; 0),(SnapshotTable[[#This Row],[SC Upside Potential]]/ SnapshotTable[[#This Row],[ACB]]),"")</f>
        <v>#VALUE!</v>
      </c>
      <c r="FU237" s="333" t="str">
        <f>IF(SnapshotTable[[#This Row],[SC Intrinsic Value]] &gt; 0,SnapshotTable[[#This Row],[SC Intrinsic Value]],"")</f>
        <v/>
      </c>
      <c r="FV237" s="27" t="str">
        <f>IF(AND( ISNUMBER( SnapshotTable[[#This Row],[ACB]]),ISNUMBER(SnapshotTable[[#This Row],[SC Downside Protect]])),SnapshotTable[[#This Row],[SC Downside Protect]] / SnapshotTable[[#This Row],[ACB]],"")</f>
        <v/>
      </c>
      <c r="FW237" s="236" t="str">
        <f>IF(AND(ISNUMBER(SnapshotTable[[#This Row],[SC Simple ROO]]),SnapshotTable[[#This Row],[SC Simple ROO]] &gt; 0), SnapshotTable[[#This Row],[SC Premium]] + (SnapshotTable[[#This Row],[SC Qty]] * SnapshotTable[[#This Row],[SC Upside Potential]]), "")</f>
        <v/>
      </c>
      <c r="FX237" s="302" t="str" cm="1">
        <f t="array" ref="FX237">IF(ISNUMBER(SnapshotTable[[#This Row],[SC Max Dollars]]), annualize(SnapshotTable[[#This Row],[SC Term]],(SnapshotTable[[#This Row],[SC Max Dollars]]/SnapshotTable[[#This Row],[SC Basis]])),"")</f>
        <v/>
      </c>
      <c r="FY237" s="236" t="str">
        <f>IF(AND(SnapshotTable[[#This Row],[SC Qty]]&gt;0,SnapshotTable[[#This Row],[SC Current Ask]]&gt;0), SnapshotTable[[#This Row],[SC Qty]] * SnapshotTable[[#This Row],[SC Current Ask]] * -100, "")</f>
        <v/>
      </c>
      <c r="FZ237" s="31" t="str">
        <f>IF(ISNUMBER((SnapshotTable[[#This Row],[SC Current Value]])), SnapshotTable[[#This Row],[SC Premium]] + SnapshotTable[[#This Row],[SC Current Value]], "")</f>
        <v/>
      </c>
      <c r="GA237" s="294" t="str">
        <f>IFERROR( IF(ISNUMBER((SnapshotTable[[#This Row],[SC Current Value]])), SnapshotTable[[#This Row],[SC Gain Loss]] / SnapshotTable[[#This Row],[SC Premium]], ""), "")</f>
        <v/>
      </c>
      <c r="GB237" s="42">
        <f>SnapshotTable[[#This Row],[Equity Shares]] * SaleSharesToConsiderPercentage</f>
        <v>0</v>
      </c>
      <c r="GC237" s="40">
        <f>SnapshotTable[[#This Row],[Long Term Target]] * SellingPriceToConsiderBasedOnTargetPercentage</f>
        <v>5.4909999999999997</v>
      </c>
      <c r="GD237" s="40">
        <f>SnapshotTable[[#This Row],[Last Price]] * (1+ SellingPriceToConsiderBasedOnTargetPercentage)</f>
        <v>62.906999999999996</v>
      </c>
      <c r="GE237" s="41"/>
      <c r="GF237" s="40"/>
      <c r="GG237" s="31">
        <f>SnapshotTable[[#This Row],[Booked Sale Shares]] * SnapshotTable[[#This Row],[Booked Sale Price]]</f>
        <v>0</v>
      </c>
      <c r="GH237" s="31" t="str">
        <f>IF(SnapshotTable[[#This Row],[Equity Basis Total]] &gt; 0, SnapshotTable[[#This Row],[Equity Basis Per Share]] * SnapshotTable[[#This Row],[Booked Sale Shares]], "")</f>
        <v/>
      </c>
      <c r="GI237" s="31">
        <f>IF(SnapshotTable[[#This Row],[Sale Proceeds]]&gt;0, SnapshotTable[[#This Row],[Sale Proceeds]] - SnapshotTable[[#This Row],[Sale Basis]], 0)</f>
        <v>0</v>
      </c>
      <c r="GJ237" s="158" t="str">
        <f>IF(SnapshotTable[[#This Row],[Sale G/L]]&gt;0, SnapshotTable[[#This Row],[Sale G/L]] / SnapshotTable[[#This Row],[Sale Basis]], IF(ISNUMBER(SnapshotTable[[#This Row],[SC Exercise P&amp;L (TAX)]]), SnapshotTable[[#This Row],[SC Exercise P&amp;L (TAX)]] / SnapshotTable[[#This Row],[SC Basis]], ""))</f>
        <v/>
      </c>
      <c r="GK237" s="158" t="s">
        <v>775</v>
      </c>
      <c r="GL237" s="159" t="str">
        <f>IF(AND(SnapshotTable[[#This Row],[LP Exp Date]]&gt;0,SnapshotTable[[#This Row],[LP Strike Price]]&gt;0), [1]!ToOptionSymbol(SnapshotTable[[#This Row],[Symbol]], SnapshotTable[[#This Row],[LP Strike Price]],SnapshotTable[[#This Row],[LP Exp Date]],1), "")</f>
        <v/>
      </c>
      <c r="GM237" s="30" t="str">
        <f>IF(LEN(SnapshotTable[[#This Row],[LP Symbol]])&gt;0, 1, "")</f>
        <v/>
      </c>
      <c r="GN237" s="43" t="str">
        <f>IF(AND(SnapshotTable[[#This Row],[SP Exp Date]]&gt;0,SnapshotTable[[#This Row],[SP Strike Price]]&gt;0), [1]!ToOptionSymbol(SnapshotTable[[#This Row],[Symbol]], SnapshotTable[[#This Row],[SP Strike Price]],SnapshotTable[[#This Row],[SP Exp Date]],1), "")</f>
        <v/>
      </c>
      <c r="GO237" s="30" t="str">
        <f>IF(LEN(SnapshotTable[[#This Row],[SP Symbol]])&gt;0, 1, "")</f>
        <v/>
      </c>
      <c r="GP237" s="159" t="str">
        <f>IF(AND(SnapshotTable[[#This Row],[LC Exp Date]]&gt;0,SnapshotTable[[#This Row],[LC Strike Price]]&gt;0), [1]!ToOptionSymbol(SnapshotTable[[#This Row],[Symbol]], SnapshotTable[[#This Row],[LC Strike Price]],SnapshotTable[[#This Row],[LC Exp Date]],0), "")</f>
        <v/>
      </c>
      <c r="GQ237" s="160" t="str">
        <f>IF(LEN(SnapshotTable[[#This Row],[LC Symbol]])&gt;0, 1, "")</f>
        <v/>
      </c>
      <c r="GR237" s="159" t="str">
        <f>IF(AND(SnapshotTable[[#This Row],[SC Exp Date]]&gt;0,SnapshotTable[[#This Row],[SC Strike Price]]&gt;0), [1]!ToOptionSymbol(SnapshotTable[[#This Row],[Symbol]], SnapshotTable[[#This Row],[SC Strike Price]],SnapshotTable[[#This Row],[SC Exp Date]],0), "")</f>
        <v/>
      </c>
      <c r="GS237" s="160" t="str">
        <f>IF(LEN(SnapshotTable[[#This Row],[SC Symbol]])&gt;0, 1, "")</f>
        <v/>
      </c>
      <c r="GT237" s="161" t="str">
        <f>IF(COUNT(SnapshotTable[[#This Row],[LP Symbol Count]],SnapshotTable[[#This Row],[SP Symbol Count]],SnapshotTable[[#This Row],[LC Symbol Count]],SnapshotTable[[#This Row],[SC Symbol Count]])&gt;0, "Y", "")</f>
        <v/>
      </c>
      <c r="GU23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7" s="231" t="e">
        <f>MAX(SnapshotTable[[#This Row],[Equity Basis Total]],SnapshotTable[[#This Row],[Equity Value]]) + (SnapshotTable[[#This Row],[SP Potential Spend]]- SnapshotTable[[#This Row],[SP Premium]] + SnapshotTable[[#This Row],[LP Premium]])+ (SnapshotTable[[#This Row],[LC Premium]] - SnapshotTable[[#This Row],[SC Premium]])</f>
        <v>#VALUE!</v>
      </c>
      <c r="GW237" s="139" t="e">
        <f>IF(AND(SnapshotTable[[#This Row],[Exposure]] &lt;&gt; 0),SnapshotTable[[#This Row],[Exposure]] / SnapshotTable[[#Totals],[Exposure]], "")</f>
        <v>#VALUE!</v>
      </c>
      <c r="GX237" s="5"/>
      <c r="HE237" s="268"/>
      <c r="HF237" s="268"/>
      <c r="HK237" s="1"/>
      <c r="HL237" s="1"/>
      <c r="HM237" s="1"/>
      <c r="HN237" s="1"/>
      <c r="HO237" s="1"/>
      <c r="HP237" s="1"/>
    </row>
    <row r="238" spans="2:224" ht="12.75" hidden="1" customHeight="1" x14ac:dyDescent="0.25">
      <c r="B238" s="12" t="s">
        <v>86</v>
      </c>
      <c r="C238" s="422">
        <v>1163.01</v>
      </c>
      <c r="D238" s="208"/>
      <c r="E238" s="39">
        <f>SnapshotTable[[#This Row],[Last Price]]*(1 -CrashDiscount)</f>
        <v>988.55849999999998</v>
      </c>
      <c r="F238" s="26" t="s">
        <v>85</v>
      </c>
      <c r="G238" s="26" t="s">
        <v>49</v>
      </c>
      <c r="H238" s="149"/>
      <c r="I238" s="194">
        <v>44866.267361111109</v>
      </c>
      <c r="J238" s="195">
        <v>44866.267361111109</v>
      </c>
      <c r="K238" s="196" t="s">
        <v>3</v>
      </c>
      <c r="L238" s="326" t="s">
        <v>84</v>
      </c>
      <c r="M238" s="140"/>
      <c r="N238" s="140"/>
      <c r="O238" s="140"/>
      <c r="P238" s="22"/>
      <c r="Q238" s="25"/>
      <c r="R238" s="4" t="str">
        <f>IF(SnapshotTable[[#This Row],[Equity Basis Total]] &gt; 0, SnapshotTable[[#This Row],[Equity Basis Total]] / SnapshotTable[[#This Row],[Equity Shares]], "")</f>
        <v/>
      </c>
      <c r="S238" s="269">
        <f>SnapshotTable[[#This Row],[Last Price]] * SnapshotTable[[#This Row],[Equity Shares]]</f>
        <v>0</v>
      </c>
      <c r="T238" s="269">
        <f>SnapshotTable[[#This Row],[Equity Value]] - SnapshotTable[[#This Row],[Equity Basis Total]]</f>
        <v>0</v>
      </c>
      <c r="U238" s="270" t="str">
        <f>IF(SnapshotTable[[#This Row],[Equity Basis Total]] &gt; 0, SnapshotTable[[#This Row],[Equity G/L]] / SnapshotTable[[#This Row],[Equity Basis Total]], "")</f>
        <v/>
      </c>
      <c r="V238" s="268"/>
      <c r="W238" s="268"/>
      <c r="X238" s="4" t="str">
        <f>IF(AND(ISNUMBER(SnapshotTable[[#This Row],[Equity Basis Per Share]]),ISNUMBER(SnapshotTable[[#This Row],[Equity Target]])),SnapshotTable[[#This Row],[Equity Target]]-SnapshotTable[[#This Row],[Equity Basis Per Share]],"")</f>
        <v/>
      </c>
      <c r="Y238" s="4" t="str">
        <f>IF(AND(ISNUMBER(SnapshotTable[[#This Row],[Equity Basis Per Share]]),ISNUMBER(SnapshotTable[[#This Row],[Equity Stop Loss]])),SnapshotTable[[#This Row],[Equity Stop Loss]]-SnapshotTable[[#This Row],[Equity Basis Per Share]],"")</f>
        <v/>
      </c>
      <c r="Z238" s="275" t="str">
        <f>IFERROR( TEXT(SnapshotTable[[#This Row],[Equity Max Gain Per Share]] /ABS( SnapshotTable[[#This Row],[Equity Max Loss Per Share]]),"0.0 " ) &amp; " : 1", "")</f>
        <v/>
      </c>
      <c r="AA238" s="31" t="str">
        <f>IF(ISNUMBER(SnapshotTable[[#This Row],[Equity Max Gain Per Share]]),SnapshotTable[[#This Row],[Equity Max Gain Per Share]] * SnapshotTable[[#This Row],[Equity Shares]],"")</f>
        <v/>
      </c>
      <c r="AB238" s="31" t="str">
        <f>IF(ISNUMBER(SnapshotTable[[#This Row],[Equity Max Loss Per Share]]),SnapshotTable[[#This Row],[Equity Max Loss Per Share]] * SnapshotTable[[#This Row],[Equity Shares]],"")</f>
        <v/>
      </c>
      <c r="AC238" s="150">
        <v>2.04</v>
      </c>
      <c r="AD238" s="151">
        <v>42623</v>
      </c>
      <c r="AE238" s="31">
        <f>(SnapshotTable[[#This Row],[Annual Dividend Per Share]] / 4) * SnapshotTable[[#This Row],[Equity Shares]]</f>
        <v>0</v>
      </c>
      <c r="AF238" s="31">
        <f>SnapshotTable[[#This Row],[Quarterly Div $]] * 4</f>
        <v>0</v>
      </c>
      <c r="AG238" s="7">
        <f>IF(SnapshotTable[[#This Row],[Annual Dividend Per Share]]&gt;0, SnapshotTable[[#This Row],[Annual Dividend Per Share]]  / SnapshotTable[[#This Row],[Last Price]], 0)</f>
        <v>1.7540691825521707E-3</v>
      </c>
      <c r="AH238" s="151">
        <v>43599</v>
      </c>
      <c r="AI238" s="5"/>
      <c r="AJ238" s="138">
        <v>147.29</v>
      </c>
      <c r="AK238" s="152" t="str">
        <f>IF(ISNUMBER( SnapshotTable[[#This Row],[EBF Target]]),(SnapshotTable[[#This Row],[EBF Target]] - SnapshotTable[[#This Row],[Last Price]]) / SnapshotTable[[#This Row],[Last Price]], "")</f>
        <v/>
      </c>
      <c r="AL238" s="152" t="str">
        <f>IF(AND(SnapshotTable[[#This Row],[Equity Basis Total]] &gt; 0,ISNUMBER( SnapshotTable[[#This Row],[Long Term Target]])), SnapshotTable[[#This Row],[From Basis $]] / SnapshotTable[[#This Row],[Equity Basis Total]], "")</f>
        <v/>
      </c>
      <c r="AM238" s="9">
        <f>IF( AND(SnapshotTable[[#This Row],[Equity Shares]] &gt;0,ISNUMBER( SnapshotTable[[#This Row],[Long Term Target]])),(SnapshotTable[[#This Row],[Equity Shares]] * SnapshotTable[[#This Row],[Long Term Target]]) - SnapshotTable[[#This Row],[Equity Basis Total]],0)</f>
        <v>0</v>
      </c>
      <c r="AN238" s="9">
        <f>IF( AND(SnapshotTable[[#This Row],[Equity Shares]] &gt;0,ISNUMBER( SnapshotTable[[#This Row],[Long Term Target]])),(SnapshotTable[[#This Row],[Equity Shares]]*SnapshotTable[[#This Row],[Long Term Target]]) - SnapshotTable[[#This Row],[Equity Value]],0)</f>
        <v>0</v>
      </c>
      <c r="AO238" s="152">
        <f>IF(AND(ISNUMBER( SnapshotTable[[#This Row],[Long Term Target]]), ISNUMBER(SnapshotTable[[#This Row],[Last Price]])),(SnapshotTable[[#This Row],[Long Term Target]] - SnapshotTable[[#This Row],[Last Price]]) / SnapshotTable[[#This Row],[Last Price]], "")</f>
        <v>-0.87335448534406412</v>
      </c>
      <c r="AP238" s="5">
        <v>335</v>
      </c>
      <c r="AQ238" s="38" t="s">
        <v>1062</v>
      </c>
      <c r="AR238" s="5">
        <v>320</v>
      </c>
      <c r="AS238" s="38" t="s">
        <v>26</v>
      </c>
      <c r="AT238" s="146" t="s">
        <v>538</v>
      </c>
      <c r="AU238" s="187" t="str">
        <f>IF(OR(SnapshotTable[[#This Row],[LP No Fill]]="Y",SnapshotTable[[#This Row],[SP Is Filled]],SnapshotTable[[#This Row],[LC Not Filled]]="Y",SnapshotTable[[#This Row],[SC Is Filled]]),"Y","")</f>
        <v/>
      </c>
      <c r="AV238" s="219"/>
      <c r="AW238" s="225"/>
      <c r="AX238" s="220"/>
      <c r="AY238" s="219" t="str">
        <f>IF(SnapshotTable[[#This Row],[Implied Move]]&gt;0, SnapshotTable[[#This Row],[Last Price]]-SnapshotTable[[#This Row],[Implied Move]],"")</f>
        <v/>
      </c>
      <c r="AZ238" s="219" t="str">
        <f>IF(SnapshotTable[[#This Row],[Implied Move]]&gt;0, SnapshotTable[[#This Row],[Last Price]] + SnapshotTable[[#This Row],[Implied Move]],"")</f>
        <v/>
      </c>
      <c r="BA238" s="331">
        <v>324.27999999999997</v>
      </c>
      <c r="BB238" s="347"/>
      <c r="BC23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8" s="351"/>
      <c r="BE238" s="5"/>
      <c r="BF238" s="14"/>
      <c r="BG238" s="13"/>
      <c r="BH238" s="13"/>
      <c r="BI238" s="5"/>
      <c r="BJ238" s="136">
        <f>IF(SnapshotTable[[#This Row],[LP Qty]] &gt; 0, SnapshotTable[[#This Row],[LP Qty]] * SnapshotTable[[#This Row],[LP Book Price]] * 100,0)</f>
        <v>0</v>
      </c>
      <c r="BK238" s="136">
        <f>IF(SnapshotTable[[#This Row],[LP Premium]] &gt; 0, SnapshotTable[[#This Row],[LP Qty]] * SnapshotTable[[#This Row],[LP Strike Price]] * 100,0)</f>
        <v>0</v>
      </c>
      <c r="BL238" s="154"/>
      <c r="BM238" s="385" t="str">
        <f>IF(SnapshotTable[[#This Row],[LP Premium]] &gt; 0,SnapshotTable[[#This Row],[LP Exp Date]]-MAX(SnapshotTable[[#This Row],[LP Book Date]], SnapshotTable[[#This Row],[LP Fill Date]]),"")</f>
        <v/>
      </c>
      <c r="BN238" s="385" t="str">
        <f>IF(ISNUMBER( SnapshotTable[[#This Row],[LP Term]]), SnapshotTable[[#This Row],[LP Exp Date]] - MockToday,"")</f>
        <v/>
      </c>
      <c r="BO238" s="163" t="str">
        <f>IF(AND(SnapshotTable[[#This Row],[LP Exp Date]]&gt;0, SnapshotTable[[#This Row],[LP Strike Price]]&gt;0,SnapshotTable[[#This Row],[LP Qty]]&gt;0,SnapshotTable[[#This Row],[LP Book Date]]&gt;0,SnapshotTable[[#This Row],[LP Book Price]]&gt;0,SnapshotTable[[#This Row],[LP Fill Date]]=0),"Y","")</f>
        <v/>
      </c>
      <c r="BP238" s="31" t="str">
        <f>IF(AND(SnapshotTable[[#This Row],[LP No Fill]]&lt;&gt;"Y",SnapshotTable[[#This Row],[LP Contract Value]]&gt;0, SnapshotTable[[#This Row],[LP Qty]]&gt;0), SnapshotTable[[#This Row],[LP Contract Value]]*SnapshotTable[[#This Row],[LP Qty]]*100,"")</f>
        <v/>
      </c>
      <c r="BQ238" s="13"/>
      <c r="BR238" s="5" t="str">
        <f>IF(SnapshotTable[[#This Row],[SP Exp Date]]&lt;&gt;"",TRUNC(SnapshotTable[[#This Row],[Last Price]]),"")</f>
        <v/>
      </c>
      <c r="BS238" s="36"/>
      <c r="BT238" s="147"/>
      <c r="BU238" s="13"/>
      <c r="BV238" s="5"/>
      <c r="BW238" s="419" t="b">
        <f>AND(ISNUMBER(SnapshotTable[[#This Row],[SP Exp Date]]), ISNUMBER(SnapshotTable[[#This Row],[SP Strike Price]]), ISNUMBER(SnapshotTable[[#This Row],[SP Qty]]), ISNUMBER(SnapshotTable[[#This Row],[SP Book Date]]), ISNUMBER(SnapshotTable[[#This Row],[SP Book Price]]))</f>
        <v>0</v>
      </c>
      <c r="BX238" s="419" t="b">
        <f>AND(SnapshotTable[[#This Row],[SP Is Booked]], NOT(ISBLANK(SnapshotTable[[#This Row],[SP Fill Date]])))</f>
        <v>0</v>
      </c>
      <c r="BY238" s="33">
        <f>IF(SnapshotTable[[#This Row],[SP Is Booked]], SnapshotTable[[#This Row],[SP Qty]] * SnapshotTable[[#This Row],[SP Book Price]] * 100, 0)</f>
        <v>0</v>
      </c>
      <c r="BZ238" s="369"/>
      <c r="CA238" s="368">
        <f>SnapshotTable[[#This Row],[LP Qty]]</f>
        <v>0</v>
      </c>
      <c r="CB238" s="4" t="str">
        <f>IF(SnapshotTable[[#This Row],[SP Is Booked]], SnapshotTable[[#This Row],[SP Strike Price]] - SnapshotTable[[#This Row],[SP Book Price]], "")</f>
        <v/>
      </c>
      <c r="CC238" s="19" t="str">
        <f>IF(SnapshotTable[[#This Row],[SP Is Booked]],SnapshotTable[[#This Row],[SP Exp Date]]-MAX(SnapshotTable[[#This Row],[SP Book Date]], SnapshotTable[[#This Row],[SP Fill Date]]),"")</f>
        <v/>
      </c>
      <c r="CD238" s="7" t="str">
        <f>IF(SnapshotTable[[#This Row],[SP Is Booked]], SnapshotTable[[#This Row],[SP Book Price]]/SnapshotTable[[#This Row],[SP Strike Price]], "")</f>
        <v/>
      </c>
      <c r="CE238" s="7" t="str">
        <f>IF(ISNUMBER(SnapshotTable[[#This Row],[SP ROO Term]]),SnapshotTable[[#This Row],[SP ROO Term]]*(365/SnapshotTable[[#This Row],[SP Term]]),"")</f>
        <v/>
      </c>
      <c r="CF238" s="236">
        <f>SnapshotTable[[#This Row],[LP Strike Price]] * SnapshotTable[[#This Row],[LP Qty]] * 100</f>
        <v>0</v>
      </c>
      <c r="CG238" s="31" t="e">
        <f>IF(ISNUMBER(SnapshotTable[[#This Row],[SP Premium]]), (SnapshotTable[[#This Row],[SP Qty]] * SnapshotTable[[#This Row],[SP Strike Price]]* 100) - SnapshotTable[[#This Row],[LP Protection]], 0)</f>
        <v>#VALUE!</v>
      </c>
      <c r="CH238" s="7" t="str">
        <f>IF(ISNUMBER(SnapshotTable[[#This Row],[SP Break Even]]),-1 * (SnapshotTable[[#This Row],[SP Break Even]] - SnapshotTable[[#This Row],[Last Price]]) / SnapshotTable[[#This Row],[Last Price]], "")</f>
        <v/>
      </c>
      <c r="CI238" s="31">
        <f>IF(AND(ISNUMBER((SnapshotTable[[#This Row],[SP Potential Spend]])), SnapshotTable[[#This Row],[SP Strike Price]] &gt; SnapshotTable[[#This Row],[Last Price]], SnapshotTable[[#This Row],[SP Is Filled]]), SnapshotTable[[#This Row],[SP Potential Spend]] -  SnapshotTable[[#This Row],[LP Max Value]], 0)</f>
        <v>0</v>
      </c>
      <c r="CJ238" s="244"/>
      <c r="CK238" s="31" t="str">
        <f>IF(ISNUMBER(SnapshotTable[[#This Row],[SP Potential Spend]]),IF(ISNUMBER(SnapshotTable[[#This Row],[SP POW]]), SnapshotTable[[#This Row],[SP POW]] * SnapshotTable[[#This Row],[SP Potential Spend]], SnapshotTable[[#This Row],[SP Potential Spend]]), "")</f>
        <v/>
      </c>
      <c r="CL238" s="164" t="e">
        <f>IF(NOT(SnapshotTable[[#This Row],[SP Is Filled]]),(SnapshotTable[[#This Row],[SP Qty]] * SnapshotTable[[#This Row],[SP Strike Price]] * 100) - SnapshotTable[[#This Row],[LP Max Value]],"")</f>
        <v>#VALUE!</v>
      </c>
      <c r="CM238" s="31" t="str">
        <f>IF(SnapshotTable[[#This Row],[SP Actual Spend]]&lt;&gt;0, ((SnapshotTable[[#This Row],[SP Strike Price]]-SnapshotTable[[#This Row],[Last Price]]) *(SnapshotTable[[#This Row],[SP Qty]]*100) - SnapshotTable[[#This Row],[SP Premium]]) * - 1, "")</f>
        <v/>
      </c>
      <c r="CN238" s="78"/>
      <c r="CO238" s="369"/>
      <c r="CP238" s="4" t="str">
        <f>IF(SnapshotTable[[#This Row],[SP Is Filled]], btc_max_buyback_amount(SnapshotTable[[#This Row],[SP Fill Date]],SnapshotTable[[#This Row],[SP Exp Date]], SnapshotTable[[#This Row],[SP Book Price]]),"")</f>
        <v/>
      </c>
      <c r="CQ238" s="78"/>
      <c r="CR23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8" s="155" t="str">
        <f>IF(SnapshotTable[[#This Row],[SP Is Filled]], btc_next_cutoff_date(SnapshotTable[[#This Row],[SP Fill Date]],SnapshotTable[[#This Row],[SP Exp Date]]),"")</f>
        <v/>
      </c>
      <c r="CT238" s="235" t="str" cm="1">
        <f t="array" ref="CT238">IF(SnapshotTable[[#This Row],[SP Is Filled]], btc_should_buy_back(SnapshotTable[[#This Row],[SP Fill Date]], SnapshotTable[[#This Row],[SP Exp Date]], SnapshotTable[[#This Row],[SP Book Price]], SnapshotTable[[#This Row],[SP Current Ask]], MockToday, SnapshotTable[[#This Row],[SP Buyback Override]]),"")</f>
        <v/>
      </c>
      <c r="CU238" s="143"/>
      <c r="CV238" s="235"/>
      <c r="CW238" s="378" t="str">
        <f>IF(ISNUMBER( SnapshotTable[[#This Row],[SP Term]]), SnapshotTable[[#This Row],[SP Exp Date]] - MockToday,"")</f>
        <v/>
      </c>
      <c r="CX238" s="31" t="str">
        <f>IF(SnapshotTable[[#This Row],[SP Is Filled]],SnapshotTable[[#This Row],[SP Buyback Price to Use]] * 100 * SnapshotTable[[#This Row],[SP Qty]], "")</f>
        <v/>
      </c>
      <c r="CY238" s="4" t="str">
        <f>IF(ISNUMBER(SnapshotTable[[#This Row],[SP Strike Price]]), SnapshotTable[[#This Row],[SP Strike Price]] * (1 - SP_MaxLoss_StrikePct), "")</f>
        <v/>
      </c>
      <c r="CZ238" s="31" t="str">
        <f>IF(ISNUMBER(SnapshotTable[[#This Row],[SP Strike  Stop Per Share]]),SnapshotTable[[#This Row],[SP Premium]] - ((SnapshotTable[[#This Row],[SP Strike Price]]-SnapshotTable[[#This Row],[SP Strike  Stop Per Share]]) *(SnapshotTable[[#This Row],[SP Qty]] * 100)),"")</f>
        <v/>
      </c>
      <c r="DA238" s="4" t="str">
        <f>IF(AND(ISNUMBER(SnapshotTable[[#This Row],[SP Premium]]),SnapshotTable[[#This Row],[SP Premium]]&gt;0), SnapshotTable[[#This Row],[SP Book Price]] * (1 + SP_MaxLoss_OptionPct), "")</f>
        <v/>
      </c>
      <c r="DB238" s="31" t="str">
        <f>IF(ISNUMBER(SnapshotTable[[#This Row],[SP Option  Stop Contract]]),(SnapshotTable[[#This Row],[SP Option  Stop Contract]] *(SnapshotTable[[#This Row],[SP Qty]] * 100) - SnapshotTable[[#This Row],[SP Premium]]),"")</f>
        <v/>
      </c>
      <c r="DC238" s="4"/>
      <c r="DD238" s="4"/>
      <c r="DE238" s="4" t="str">
        <f>IF(AND(SnapshotTable[[#This Row],[SP Qty]]&gt;0, SnapshotTable[[#This Row],[SP Stop To Use]]&gt;0),SnapshotTable[[#This Row],[SP Premium]] - ( SnapshotTable[[#This Row],[SP Qty]] * SnapshotTable[[#This Row],[SP Stop To Use]] * 100), "")</f>
        <v/>
      </c>
      <c r="DF238" s="31" t="str">
        <f>IF(AND(SnapshotTable[[#This Row],[SP Qty]]&gt;0,SnapshotTable[[#This Row],[SP Current Ask]]&gt;0), SnapshotTable[[#This Row],[SP Qty]] * SnapshotTable[[#This Row],[SP Current Ask]] * -100, "")</f>
        <v/>
      </c>
      <c r="DG238" s="31" t="str">
        <f>IF(ISNUMBER((SnapshotTable[[#This Row],[SP Total Value]])), SnapshotTable[[#This Row],[SP Premium]] + SnapshotTable[[#This Row],[SP Total Value]], "")</f>
        <v/>
      </c>
      <c r="DH238" s="294" t="str">
        <f>IF(ISNUMBER((SnapshotTable[[#This Row],[SP Total Value]])), SnapshotTable[[#This Row],[SP Gain Loss]] / SnapshotTable[[#This Row],[SP Premium]], "")</f>
        <v/>
      </c>
      <c r="DI238" s="406"/>
      <c r="DJ238" s="138"/>
      <c r="DK238" s="148"/>
      <c r="DL238" s="13"/>
      <c r="DM238" s="13"/>
      <c r="DO238" s="31">
        <f>IF(SnapshotTable[[#This Row],[LC Symbol Count]]=1, SnapshotTable[[#This Row],[LC Qty]] * SnapshotTable[[#This Row],[LC Book Price]] * 100, 0)</f>
        <v>0</v>
      </c>
      <c r="DP238" s="163" t="str">
        <f>IF(AND(SnapshotTable[[#This Row],[LC Exp Date]]&gt;0, SnapshotTable[[#This Row],[LC Strike Price]]&gt;0,SnapshotTable[[#This Row],[LC Qty]]&gt;0,SnapshotTable[[#This Row],[LC Book Date]]&gt;0,SnapshotTable[[#This Row],[LC Book Price]]&gt;0,SnapshotTable[[#This Row],[LC Fill Date]]=0),"Y","")</f>
        <v/>
      </c>
      <c r="DQ238" s="386" t="str">
        <f>IF(SnapshotTable[[#This Row],[LC Premium]] &gt; 0,SnapshotTable[[#This Row],[LC Exp Date]]-MAX(SnapshotTable[[#This Row],[LC Book Date]], SnapshotTable[[#This Row],[LC Fill Date]]),"")</f>
        <v/>
      </c>
      <c r="DR238" s="386" t="str">
        <f>IF(ISNUMBER(SnapshotTable[[#This Row],[LC Term]]), SnapshotTable[[#This Row],[LC Exp Date]] - MockToday, "")</f>
        <v/>
      </c>
      <c r="DS238" s="234" t="str">
        <f>IF(SnapshotTable[[#This Row],[LC Premium]]&gt;0,SnapshotTable[[#This Row],[LC Strike Price]] + SnapshotTable[[#This Row],[LC Book Price]],"")</f>
        <v/>
      </c>
      <c r="DU238" s="9" t="str">
        <f>IF(AND(SnapshotTable[[#This Row],[LC Symbol Count]]&gt;0, SnapshotTable[[#This Row],[LC Contract Value]]&gt;0), SnapshotTable[[#This Row],[LC Contract Value]] * SnapshotTable[[#This Row],[LC Qty]] * 100, "")</f>
        <v/>
      </c>
      <c r="DV238" s="9" t="str">
        <f>IF(AND(ISNUMBER(SnapshotTable[[#This Row],[LC Total Value]]), SnapshotTable[[#This Row],[LC Not Filled]]&lt;&gt;"Y"), SnapshotTable[[#This Row],[LC Total Value]]-SnapshotTable[[#This Row],[LC Premium]],"")</f>
        <v/>
      </c>
      <c r="DW238" s="240" t="str">
        <f>IF(ISNUMBER(SnapshotTable[[#This Row],[LC Actual Gain Loss]]), SnapshotTable[[#This Row],[LC Actual Gain Loss]] / SnapshotTable[[#This Row],[LC Premium]],"")</f>
        <v/>
      </c>
      <c r="DX238" s="284" t="str">
        <f>IF(ISNUMBER(SnapshotTable[[#This Row],[LC Book Price]]),SnapshotTable[[#This Row],[LC Book Price]] * 1.5,"")</f>
        <v/>
      </c>
      <c r="DY238" s="265" t="str">
        <f>IF(SnapshotTable[[#This Row],[LC Premium]]&gt;0, SnapshotTable[[#This Row],[LC Next Target]] * SnapshotTable[[#This Row],[LC Qty]] * 100,"")</f>
        <v/>
      </c>
      <c r="DZ238" s="265" t="str">
        <f>IF(ISNUMBER(SnapshotTable[[#This Row],[LC Target Gross]]), SnapshotTable[[#This Row],[LC Target Gross]] - SnapshotTable[[#This Row],[LC Premium]], "")</f>
        <v/>
      </c>
      <c r="EA238" s="305" t="str">
        <f>IF(ISNUMBER(SnapshotTable[[#This Row],[LC Target Gain Loss]]), SnapshotTable[[#This Row],[LC Target Gain Loss]]/SnapshotTable[[#This Row],[LC Premium]], "")</f>
        <v/>
      </c>
      <c r="EB238" s="262"/>
      <c r="EC238" s="283" t="str">
        <f>IF(SnapshotTable[[#This Row],[LC Premium]]&gt;0, SnapshotTable[[#This Row],[LC Book Price]] * (1 - LC_StopLoss_Pct),"")</f>
        <v/>
      </c>
      <c r="ED238" s="284"/>
      <c r="EE238" s="283" t="str">
        <f>IF(ISNUMBER(SnapshotTable[[#This Row],[LC Contract Value]]),IF(ISNUMBER(SnapshotTable[[#This Row],[LC Stop Loss Override]]), SnapshotTable[[#This Row],[LC Stop Loss Override]],SnapshotTable[[#This Row],[LC Stop Loss Calc Target]]),"")</f>
        <v/>
      </c>
      <c r="EF238" s="31" t="str">
        <f>IF(ISNUMBER(SnapshotTable[[#This Row],[LC Stop  To Use]]), (SnapshotTable[[#This Row],[LC Stop  To Use]] * SnapshotTable[[#This Row],[LC Qty]] * 100),"")</f>
        <v/>
      </c>
      <c r="EG238" s="9" t="str">
        <f>IF(ISNUMBER(SnapshotTable[[#This Row],[LC Total Value]]),SnapshotTable[[#This Row],[LC Stop Loss Amount]] - SnapshotTable[[#This Row],[LC Premium]],"")</f>
        <v/>
      </c>
      <c r="EH238" s="9">
        <f>IF(ISNUMBER(SnapshotTable[[#This Row],[LC Premium]]), SnapshotTable[[#This Row],[LC Qty]] * 100 * SnapshotTable[[#This Row],[LC Strike Price]], "")</f>
        <v>0</v>
      </c>
      <c r="EI238" s="240" t="str">
        <f>IF(AND(ISNUMBER(SnapshotTable[[#This Row],[LC Total Value]]),SnapshotTable[[#This Row],[LC Total Value]]&gt;0),SnapshotTable[[#This Row],[LC Stop Gain Loss]]  / SnapshotTable[[#This Row],[LC Premium]],"")</f>
        <v/>
      </c>
      <c r="EJ238" s="35">
        <f>IF(ISNUMBER(SnapshotTable[[#This Row],[Equity Shares]]),TRUNC(SnapshotTable[[#This Row],[Equity Shares]] / 100),0) + SnapshotTable[[#This Row],[LC Qty]]</f>
        <v>0</v>
      </c>
      <c r="EK238" s="147"/>
      <c r="EL238" s="138" t="str">
        <f>IF(SnapshotTable[[#This Row],[SC Exp Date]]&lt;&gt;"",TRUNC(SnapshotTable[[#This Row],[Last Price]]),"")</f>
        <v/>
      </c>
      <c r="EM238" s="148"/>
      <c r="EN238" s="147"/>
      <c r="EO238" s="147"/>
      <c r="EP238" s="138"/>
      <c r="EQ238" s="419" t="b">
        <f>AND(ISNUMBER(SnapshotTable[[#This Row],[SC Exp Date]]), ISNUMBER(SnapshotTable[[#This Row],[SC Strike Price]]), ISNUMBER(SnapshotTable[[#This Row],[SC Qty]]), ISNUMBER(SnapshotTable[[#This Row],[SC Book Date]]), ISNUMBER(SnapshotTable[[#This Row],[SC Book Price]]))</f>
        <v>0</v>
      </c>
      <c r="ER238" s="419" t="b">
        <f>AND(SnapshotTable[[#This Row],[SC Is Booked]], NOT(ISBLANK(SnapshotTable[[#This Row],[SC Fill Date]])))</f>
        <v>0</v>
      </c>
      <c r="ES238" s="370"/>
      <c r="ET238" s="34" t="str">
        <f>IF(AND(ISNUMBER(SnapshotTable[[#This Row],[SC Exp Date]]), ISNUMBER(SnapshotTable[[#This Row],[SC Book Date]])), SnapshotTable[[#This Row],[SC Exp Date]] - MAX(SnapshotTable[[#This Row],[SC Book Date]], SnapshotTable[[#This Row],[SC Fill Date]]) + 1, "")</f>
        <v/>
      </c>
      <c r="EU238" s="34" t="str">
        <f>IF(ISNUMBER(SnapshotTable[[#This Row],[SC Term]]), SnapshotTable[[#This Row],[SC Exp Date]]- MockToday, "")</f>
        <v/>
      </c>
      <c r="EV238" s="31">
        <f>IF(SnapshotTable[[#This Row],[SC Is Booked]], SnapshotTable[[#This Row],[SC Qty]] * SnapshotTable[[#This Row],[SC Book Price]] * 100, 0)</f>
        <v>0</v>
      </c>
      <c r="EW238" s="4" t="str">
        <f>IF(AND(ISNUMBER(SnapshotTable[[#This Row],[Last Price]]), ISNUMBER( SnapshotTable[[#This Row],[SC Book Price]])), SnapshotTable[[#This Row],[Last Price]] - SnapshotTable[[#This Row],[SC Book Price]],"")</f>
        <v/>
      </c>
      <c r="EX238" s="234" t="str">
        <f>IF(SnapshotTable[[#This Row],[SC Is Booked]],IF(SnapshotTable[[#This Row],[SC Intrinsic Value]] &gt; 0, SnapshotTable[[#This Row],[SC Strike Price]], SnapshotTable[[#This Row],[Last Price]]), "")</f>
        <v/>
      </c>
      <c r="EY238" s="4">
        <f>IF(SnapshotTable[[#This Row],[SC Is Booked]], (MinimumPremiumRequired * SnapshotTable[[#This Row],[SC Basis]] * SnapshotTable[[#This Row],[SC Term]]), 0)</f>
        <v>0</v>
      </c>
      <c r="EZ238" s="283"/>
      <c r="FA238" s="218"/>
      <c r="FB238" s="370"/>
      <c r="FC238" s="4">
        <f>IF(SnapshotTable[[#This Row],[SC Is Filled]], btc_max_buyback_amount(SnapshotTable[[#This Row],[SC Fill Date]],SnapshotTable[[#This Row],[SC Exp Date]], SnapshotTable[[#This Row],[SC Book Price]]),0)</f>
        <v>0</v>
      </c>
      <c r="FD238" s="5"/>
      <c r="FE238" s="144" t="str">
        <f>IF(SnapshotTable[[#This Row],[SC Is Filled]], btc_next_cutoff_date(SnapshotTable[[#This Row],[SC Fill Date]],SnapshotTable[[#This Row],[SC Exp Date]]),"")</f>
        <v/>
      </c>
      <c r="FF238" s="4" t="str" cm="1">
        <f t="array" ref="FF238">IF(SnapshotTable[[#This Row],[SC Is Filled]], btc_should_buy_back(SnapshotTable[[#This Row],[SC Fill Date]], SnapshotTable[[#This Row],[SC Exp Date]], SnapshotTable[[#This Row],[SC Book Price]], SnapshotTable[[#This Row],[SC Current Ask]], MockToday, SnapshotTable[[#This Row],[SC Buyback Override]]),"")</f>
        <v/>
      </c>
      <c r="FG238" s="4">
        <f>IF(SnapshotTable[[#This Row],[SC Is Filled]], MAX(0,SnapshotTable[[#This Row],[Last Price]]  - SnapshotTable[[#This Row],[SC Strike Price]]), 0)</f>
        <v>0</v>
      </c>
      <c r="FH238" s="382">
        <f>IF(SnapshotTable[[#This Row],[SC Is Filled]], IF(ISNUMBER(SnapshotTable[[#This Row],[SC Current Ask]]), SnapshotTable[[#This Row],[SC Current Ask]], SnapshotTable[[#This Row],[SC Book Price]]) - SnapshotTable[[#This Row],[SC Intrinsic Value]], 0)</f>
        <v>0</v>
      </c>
      <c r="FI238" s="143"/>
      <c r="FJ238" s="32" t="str">
        <f>IF(SnapshotTable[[#This Row],[SC Is Filled]],100 * SnapshotTable[[#This Row],[SC Qty]] * IF(ISNUMBER(SnapshotTable[[#This Row],[SC Buyback Override]]), SnapshotTable[[#This Row],[SC Buyback Override]], SnapshotTable[[#This Row],[SC Current Ask]]), "")</f>
        <v/>
      </c>
      <c r="FK238" s="250" t="str">
        <f>IF(SnapshotTable[[#This Row],[SC Time Val]]&gt;0, SnapshotTable[[#This Row],[SC Time Val]] / SnapshotTable[[#This Row],[Last Price]],"")</f>
        <v/>
      </c>
      <c r="FL238" s="302" t="str">
        <f>IF(SnapshotTable[[#This Row],[SC Is Booked]], ((SnapshotTable[[#This Row],[Last Price]] -SnapshotTable[[#This Row],[SC Strike Price]]) / SnapshotTable[[#This Row],[Last Price]]) * -1, "")</f>
        <v/>
      </c>
      <c r="FM238" s="157" t="str">
        <f>IF(SnapshotTable[[#This Row],[SC Is Booked]],  (SnapshotTable[[#This Row],[SC Qty]] * 100 * SnapshotTable[[#This Row],[SC Strike Price]]) - SnapshotTable[[#This Row],[SC Current Ask]], "")</f>
        <v/>
      </c>
      <c r="FN23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8" s="31" t="str">
        <f>IF(AND(ISNUMBER(SnapshotTable[[#This Row],[SC Exercise Gross]]), ISNUMBER(SnapshotTable[[#This Row],[Equity Basis Per Share]] )), SnapshotTable[[#This Row],[SC Exercise Gross]] - SnapshotTable[[#This Row],[Equity Basis Total]] +  SnapshotTable[[#This Row],[SC Premium]], "")</f>
        <v/>
      </c>
      <c r="FP238" s="5" t="str">
        <f>IF(ISNUMBER(SnapshotTable[[#This Row],[SC Exercise Gross]]), (SnapshotTable[[#This Row],[SC Exercise Gross]]) / (SnapshotTable[[#This Row],[SC Qty]] * 100), "")</f>
        <v/>
      </c>
      <c r="FQ238" s="27" t="str">
        <f>IF(SnapshotTable[[#This Row],[SC Is Booked]],SnapshotTable[[#This Row],[SC Time Val]] /SnapshotTable[[#This Row],[SC Basis]], "")</f>
        <v/>
      </c>
      <c r="FR238" s="27" t="str" cm="1">
        <f t="array" ref="FR238">IF(AND(ISNUMBER(SnapshotTable[[#This Row],[SC Term]]),ISNUMBER(SnapshotTable[[#This Row],[SC Simple ROO]])), EllmanAnnualize(SnapshotTable[[#This Row],[SC DTE]], SnapshotTable[[#This Row],[SC Simple ROO]] ),"")</f>
        <v/>
      </c>
      <c r="FS238" s="4" t="e">
        <f>IF(SnapshotTable[[#This Row],[SC Strike Price]] &gt; SnapshotTable[[#This Row],[Last Price]], SnapshotTable[[#This Row],[SC Strike Price]] - SnapshotTable[[#This Row],[Last Price]],0)</f>
        <v>#VALUE!</v>
      </c>
      <c r="FT238" s="27" t="e">
        <f>IF(AND(ISNUMBER(SnapshotTable[[#This Row],[SC Upside Potential]]), SnapshotTable[[#This Row],[SC Upside Potential]] &gt; 0),(SnapshotTable[[#This Row],[SC Upside Potential]]/ SnapshotTable[[#This Row],[ACB]]),"")</f>
        <v>#VALUE!</v>
      </c>
      <c r="FU238" s="333" t="str">
        <f>IF(SnapshotTable[[#This Row],[SC Intrinsic Value]] &gt; 0,SnapshotTable[[#This Row],[SC Intrinsic Value]],"")</f>
        <v/>
      </c>
      <c r="FV238" s="27" t="str">
        <f>IF(AND( ISNUMBER( SnapshotTable[[#This Row],[ACB]]),ISNUMBER(SnapshotTable[[#This Row],[SC Downside Protect]])),SnapshotTable[[#This Row],[SC Downside Protect]] / SnapshotTable[[#This Row],[ACB]],"")</f>
        <v/>
      </c>
      <c r="FW238" s="236" t="str">
        <f>IF(AND(ISNUMBER(SnapshotTable[[#This Row],[SC Simple ROO]]),SnapshotTable[[#This Row],[SC Simple ROO]] &gt; 0), SnapshotTable[[#This Row],[SC Premium]] + (SnapshotTable[[#This Row],[SC Qty]] * SnapshotTable[[#This Row],[SC Upside Potential]]), "")</f>
        <v/>
      </c>
      <c r="FX238" s="302" t="str" cm="1">
        <f t="array" ref="FX238">IF(ISNUMBER(SnapshotTable[[#This Row],[SC Max Dollars]]), annualize(SnapshotTable[[#This Row],[SC Term]],(SnapshotTable[[#This Row],[SC Max Dollars]]/SnapshotTable[[#This Row],[SC Basis]])),"")</f>
        <v/>
      </c>
      <c r="FY238" s="236" t="str">
        <f>IF(AND(SnapshotTable[[#This Row],[SC Qty]]&gt;0,SnapshotTable[[#This Row],[SC Current Ask]]&gt;0), SnapshotTable[[#This Row],[SC Qty]] * SnapshotTable[[#This Row],[SC Current Ask]] * -100, "")</f>
        <v/>
      </c>
      <c r="FZ238" s="31" t="str">
        <f>IF(ISNUMBER((SnapshotTable[[#This Row],[SC Current Value]])), SnapshotTable[[#This Row],[SC Premium]] + SnapshotTable[[#This Row],[SC Current Value]], "")</f>
        <v/>
      </c>
      <c r="GA238" s="294" t="str">
        <f>IFERROR( IF(ISNUMBER((SnapshotTable[[#This Row],[SC Current Value]])), SnapshotTable[[#This Row],[SC Gain Loss]] / SnapshotTable[[#This Row],[SC Premium]], ""), "")</f>
        <v/>
      </c>
      <c r="GB238" s="42">
        <f>SnapshotTable[[#This Row],[Equity Shares]] * SaleSharesToConsiderPercentage</f>
        <v>0</v>
      </c>
      <c r="GC238" s="40">
        <f>SnapshotTable[[#This Row],[Long Term Target]] * SellingPriceToConsiderBasedOnTargetPercentage</f>
        <v>139.9255</v>
      </c>
      <c r="GD238" s="40">
        <f>SnapshotTable[[#This Row],[Last Price]] * (1+ SellingPriceToConsiderBasedOnTargetPercentage)</f>
        <v>2267.8694999999998</v>
      </c>
      <c r="GE238" s="41"/>
      <c r="GF238" s="40"/>
      <c r="GG238" s="31">
        <f>SnapshotTable[[#This Row],[Booked Sale Shares]] * SnapshotTable[[#This Row],[Booked Sale Price]]</f>
        <v>0</v>
      </c>
      <c r="GH238" s="31" t="str">
        <f>IF(SnapshotTable[[#This Row],[Equity Basis Total]] &gt; 0, SnapshotTable[[#This Row],[Equity Basis Per Share]] * SnapshotTable[[#This Row],[Booked Sale Shares]], "")</f>
        <v/>
      </c>
      <c r="GI238" s="31">
        <f>IF(SnapshotTable[[#This Row],[Sale Proceeds]]&gt;0, SnapshotTable[[#This Row],[Sale Proceeds]] - SnapshotTable[[#This Row],[Sale Basis]], 0)</f>
        <v>0</v>
      </c>
      <c r="GJ238" s="27" t="str">
        <f>IF(SnapshotTable[[#This Row],[Sale G/L]]&gt;0, SnapshotTable[[#This Row],[Sale G/L]] / SnapshotTable[[#This Row],[Sale Basis]], IF(ISNUMBER(SnapshotTable[[#This Row],[SC Exercise P&amp;L (TAX)]]), SnapshotTable[[#This Row],[SC Exercise P&amp;L (TAX)]] / SnapshotTable[[#This Row],[SC Basis]], ""))</f>
        <v/>
      </c>
      <c r="GK238" s="27" t="s">
        <v>740</v>
      </c>
      <c r="GL238" s="43" t="str">
        <f>IF(AND(SnapshotTable[[#This Row],[LP Exp Date]]&gt;0,SnapshotTable[[#This Row],[LP Strike Price]]&gt;0), [1]!ToOptionSymbol(SnapshotTable[[#This Row],[Symbol]], SnapshotTable[[#This Row],[LP Strike Price]],SnapshotTable[[#This Row],[LP Exp Date]],1), "")</f>
        <v/>
      </c>
      <c r="GM238" s="30" t="str">
        <f>IF(LEN(SnapshotTable[[#This Row],[LP Symbol]])&gt;0, 1, "")</f>
        <v/>
      </c>
      <c r="GN238" s="43" t="str">
        <f>IF(AND(SnapshotTable[[#This Row],[SP Exp Date]]&gt;0,SnapshotTable[[#This Row],[SP Strike Price]]&gt;0), [1]!ToOptionSymbol(SnapshotTable[[#This Row],[Symbol]], SnapshotTable[[#This Row],[SP Strike Price]],SnapshotTable[[#This Row],[SP Exp Date]],1), "")</f>
        <v/>
      </c>
      <c r="GO238" s="30" t="str">
        <f>IF(LEN(SnapshotTable[[#This Row],[SP Symbol]])&gt;0, 1, "")</f>
        <v/>
      </c>
      <c r="GP238" s="43" t="str">
        <f>IF(AND(SnapshotTable[[#This Row],[LC Exp Date]]&gt;0,SnapshotTable[[#This Row],[LC Strike Price]]&gt;0), [1]!ToOptionSymbol(SnapshotTable[[#This Row],[Symbol]], SnapshotTable[[#This Row],[LC Strike Price]],SnapshotTable[[#This Row],[LC Exp Date]],0), "")</f>
        <v/>
      </c>
      <c r="GQ238" s="30" t="str">
        <f>IF(LEN(SnapshotTable[[#This Row],[LC Symbol]])&gt;0, 1, "")</f>
        <v/>
      </c>
      <c r="GR238" s="43" t="str">
        <f>IF(AND(SnapshotTable[[#This Row],[SC Exp Date]]&gt;0,SnapshotTable[[#This Row],[SC Strike Price]]&gt;0), [1]!ToOptionSymbol(SnapshotTable[[#This Row],[Symbol]], SnapshotTable[[#This Row],[SC Strike Price]],SnapshotTable[[#This Row],[SC Exp Date]],0), "")</f>
        <v/>
      </c>
      <c r="GS238" s="30" t="str">
        <f>IF(LEN(SnapshotTable[[#This Row],[SC Symbol]])&gt;0, 1, "")</f>
        <v/>
      </c>
      <c r="GT238" s="29" t="str">
        <f>IF(COUNT(SnapshotTable[[#This Row],[LP Symbol Count]],SnapshotTable[[#This Row],[SP Symbol Count]],SnapshotTable[[#This Row],[LC Symbol Count]],SnapshotTable[[#This Row],[SC Symbol Count]])&gt;0, "Y", "")</f>
        <v/>
      </c>
      <c r="GU23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8" s="231" t="e">
        <f>MAX(SnapshotTable[[#This Row],[Equity Basis Total]],SnapshotTable[[#This Row],[Equity Value]]) + (SnapshotTable[[#This Row],[SP Potential Spend]]- SnapshotTable[[#This Row],[SP Premium]] + SnapshotTable[[#This Row],[LP Premium]])+ (SnapshotTable[[#This Row],[LC Premium]] - SnapshotTable[[#This Row],[SC Premium]])</f>
        <v>#VALUE!</v>
      </c>
      <c r="GW238" s="139" t="e">
        <f>IF(AND(SnapshotTable[[#This Row],[Exposure]] &lt;&gt; 0),SnapshotTable[[#This Row],[Exposure]] / SnapshotTable[[#Totals],[Exposure]], "")</f>
        <v>#VALUE!</v>
      </c>
      <c r="GX238" s="5"/>
      <c r="HE238" s="268"/>
      <c r="HF238" s="268"/>
      <c r="HK238" s="1"/>
      <c r="HL238" s="1"/>
      <c r="HM238" s="1"/>
      <c r="HN238" s="1"/>
      <c r="HO238" s="1"/>
      <c r="HP238" s="1"/>
    </row>
    <row r="239" spans="2:224" ht="12.75" hidden="1" customHeight="1" x14ac:dyDescent="0.25">
      <c r="B239" s="12" t="s">
        <v>253</v>
      </c>
      <c r="C239" s="422">
        <v>514.36</v>
      </c>
      <c r="D239" s="208"/>
      <c r="E239" s="39">
        <f>SnapshotTable[[#This Row],[Last Price]]*(1 -CrashDiscount)</f>
        <v>437.20600000000002</v>
      </c>
      <c r="F239" s="26" t="s">
        <v>135</v>
      </c>
      <c r="G239" s="26" t="s">
        <v>20</v>
      </c>
      <c r="H239" s="149"/>
      <c r="I239" s="194">
        <v>44852.3125</v>
      </c>
      <c r="J239" s="195">
        <v>44852.3125</v>
      </c>
      <c r="K239" s="196"/>
      <c r="L239" s="326"/>
      <c r="M239" s="140"/>
      <c r="N239" s="140"/>
      <c r="O239" s="140">
        <v>1</v>
      </c>
      <c r="P239" s="22"/>
      <c r="Q239" s="25"/>
      <c r="R239" s="4" t="str">
        <f>IF(SnapshotTable[[#This Row],[Equity Basis Total]] &gt; 0, SnapshotTable[[#This Row],[Equity Basis Total]] / SnapshotTable[[#This Row],[Equity Shares]], "")</f>
        <v/>
      </c>
      <c r="S239" s="269">
        <f>SnapshotTable[[#This Row],[Last Price]] * SnapshotTable[[#This Row],[Equity Shares]]</f>
        <v>0</v>
      </c>
      <c r="T239" s="269">
        <f>SnapshotTable[[#This Row],[Equity Value]] - SnapshotTable[[#This Row],[Equity Basis Total]]</f>
        <v>0</v>
      </c>
      <c r="U239" s="270" t="str">
        <f>IF(SnapshotTable[[#This Row],[Equity Basis Total]] &gt; 0, SnapshotTable[[#This Row],[Equity G/L]] / SnapshotTable[[#This Row],[Equity Basis Total]], "")</f>
        <v/>
      </c>
      <c r="V239" s="268"/>
      <c r="W239" s="268"/>
      <c r="X239" s="4" t="str">
        <f>IF(AND(ISNUMBER(SnapshotTable[[#This Row],[Equity Basis Per Share]]),ISNUMBER(SnapshotTable[[#This Row],[Equity Target]])),SnapshotTable[[#This Row],[Equity Target]]-SnapshotTable[[#This Row],[Equity Basis Per Share]],"")</f>
        <v/>
      </c>
      <c r="Y239" s="4" t="str">
        <f>IF(AND(ISNUMBER(SnapshotTable[[#This Row],[Equity Basis Per Share]]),ISNUMBER(SnapshotTable[[#This Row],[Equity Stop Loss]])),SnapshotTable[[#This Row],[Equity Stop Loss]]-SnapshotTable[[#This Row],[Equity Basis Per Share]],"")</f>
        <v/>
      </c>
      <c r="Z239" s="275" t="str">
        <f>IFERROR( TEXT(SnapshotTable[[#This Row],[Equity Max Gain Per Share]] /ABS( SnapshotTable[[#This Row],[Equity Max Loss Per Share]]),"0.0 " ) &amp; " : 1", "")</f>
        <v/>
      </c>
      <c r="AA239" s="31" t="str">
        <f>IF(ISNUMBER(SnapshotTable[[#This Row],[Equity Max Gain Per Share]]),SnapshotTable[[#This Row],[Equity Max Gain Per Share]] * SnapshotTable[[#This Row],[Equity Shares]],"")</f>
        <v/>
      </c>
      <c r="AB239" s="31" t="str">
        <f>IF(ISNUMBER(SnapshotTable[[#This Row],[Equity Max Loss Per Share]]),SnapshotTable[[#This Row],[Equity Max Loss Per Share]] * SnapshotTable[[#This Row],[Equity Shares]],"")</f>
        <v/>
      </c>
      <c r="AC239" s="150">
        <v>6.6</v>
      </c>
      <c r="AD239" s="151">
        <v>42637</v>
      </c>
      <c r="AE239" s="31">
        <f>(SnapshotTable[[#This Row],[Annual Dividend Per Share]] / 4) * SnapshotTable[[#This Row],[Equity Shares]]</f>
        <v>0</v>
      </c>
      <c r="AF239" s="31">
        <f>SnapshotTable[[#This Row],[Quarterly Div $]] * 4</f>
        <v>0</v>
      </c>
      <c r="AG239" s="7">
        <f>IF(SnapshotTable[[#This Row],[Annual Dividend Per Share]]&gt;0, SnapshotTable[[#This Row],[Annual Dividend Per Share]]  / SnapshotTable[[#This Row],[Last Price]], 0)</f>
        <v>1.2831479897348159E-2</v>
      </c>
      <c r="AH239" s="151">
        <v>43799</v>
      </c>
      <c r="AI239" s="5"/>
      <c r="AJ239" s="138">
        <v>434.12</v>
      </c>
      <c r="AK239" s="152" t="str">
        <f>IF(ISNUMBER( SnapshotTable[[#This Row],[EBF Target]]),(SnapshotTable[[#This Row],[EBF Target]] - SnapshotTable[[#This Row],[Last Price]]) / SnapshotTable[[#This Row],[Last Price]], "")</f>
        <v/>
      </c>
      <c r="AL239" s="152" t="str">
        <f>IF(AND(SnapshotTable[[#This Row],[Equity Basis Total]] &gt; 0,ISNUMBER( SnapshotTable[[#This Row],[Long Term Target]])), SnapshotTable[[#This Row],[From Basis $]] / SnapshotTable[[#This Row],[Equity Basis Total]], "")</f>
        <v/>
      </c>
      <c r="AM239" s="9">
        <f>IF( AND(SnapshotTable[[#This Row],[Equity Shares]] &gt;0,ISNUMBER( SnapshotTable[[#This Row],[Long Term Target]])),(SnapshotTable[[#This Row],[Equity Shares]] * SnapshotTable[[#This Row],[Long Term Target]]) - SnapshotTable[[#This Row],[Equity Basis Total]],0)</f>
        <v>0</v>
      </c>
      <c r="AN239" s="9">
        <f>IF( AND(SnapshotTable[[#This Row],[Equity Shares]] &gt;0,ISNUMBER( SnapshotTable[[#This Row],[Long Term Target]])),(SnapshotTable[[#This Row],[Equity Shares]]*SnapshotTable[[#This Row],[Long Term Target]]) - SnapshotTable[[#This Row],[Equity Value]],0)</f>
        <v>0</v>
      </c>
      <c r="AO239" s="152">
        <f>IF(AND(ISNUMBER( SnapshotTable[[#This Row],[Long Term Target]]), ISNUMBER(SnapshotTable[[#This Row],[Last Price]])),(SnapshotTable[[#This Row],[Long Term Target]] - SnapshotTable[[#This Row],[Last Price]]) / SnapshotTable[[#This Row],[Last Price]], "")</f>
        <v>-0.15599968893382068</v>
      </c>
      <c r="AP239" s="5">
        <v>385</v>
      </c>
      <c r="AQ239" s="38" t="s">
        <v>38</v>
      </c>
      <c r="AR239" s="5">
        <v>385</v>
      </c>
      <c r="AS239" s="38" t="s">
        <v>26</v>
      </c>
      <c r="AT239" s="146" t="s">
        <v>538</v>
      </c>
      <c r="AU239" s="187" t="str">
        <f>IF(OR(SnapshotTable[[#This Row],[LP No Fill]]="Y",SnapshotTable[[#This Row],[SP Is Filled]],SnapshotTable[[#This Row],[LC Not Filled]]="Y",SnapshotTable[[#This Row],[SC Is Filled]]),"Y","")</f>
        <v/>
      </c>
      <c r="AV239" s="219"/>
      <c r="AW239" s="225"/>
      <c r="AX239" s="220"/>
      <c r="AY239" s="219" t="str">
        <f>IF(SnapshotTable[[#This Row],[Implied Move]]&gt;0, SnapshotTable[[#This Row],[Last Price]]-SnapshotTable[[#This Row],[Implied Move]],"")</f>
        <v/>
      </c>
      <c r="AZ239" s="219" t="str">
        <f>IF(SnapshotTable[[#This Row],[Implied Move]]&gt;0, SnapshotTable[[#This Row],[Last Price]] + SnapshotTable[[#This Row],[Implied Move]],"")</f>
        <v/>
      </c>
      <c r="BA239" s="331">
        <v>382.55</v>
      </c>
      <c r="BB239" s="347"/>
      <c r="BC23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9" s="351"/>
      <c r="BE239" s="5"/>
      <c r="BF239" s="14"/>
      <c r="BG239" s="13"/>
      <c r="BH239" s="13"/>
      <c r="BI239" s="5"/>
      <c r="BJ239" s="136">
        <f>IF(SnapshotTable[[#This Row],[LP Qty]] &gt; 0, SnapshotTable[[#This Row],[LP Qty]] * SnapshotTable[[#This Row],[LP Book Price]] * 100,0)</f>
        <v>0</v>
      </c>
      <c r="BK239" s="136">
        <f>IF(SnapshotTable[[#This Row],[LP Premium]] &gt; 0, SnapshotTable[[#This Row],[LP Qty]] * SnapshotTable[[#This Row],[LP Strike Price]] * 100,0)</f>
        <v>0</v>
      </c>
      <c r="BL239" s="154"/>
      <c r="BM239" s="385" t="str">
        <f>IF(SnapshotTable[[#This Row],[LP Premium]] &gt; 0,SnapshotTable[[#This Row],[LP Exp Date]]-MAX(SnapshotTable[[#This Row],[LP Book Date]], SnapshotTable[[#This Row],[LP Fill Date]]),"")</f>
        <v/>
      </c>
      <c r="BN239" s="385" t="str">
        <f>IF(ISNUMBER( SnapshotTable[[#This Row],[LP Term]]), SnapshotTable[[#This Row],[LP Exp Date]] - MockToday,"")</f>
        <v/>
      </c>
      <c r="BO239" s="163" t="str">
        <f>IF(AND(SnapshotTable[[#This Row],[LP Exp Date]]&gt;0, SnapshotTable[[#This Row],[LP Strike Price]]&gt;0,SnapshotTable[[#This Row],[LP Qty]]&gt;0,SnapshotTable[[#This Row],[LP Book Date]]&gt;0,SnapshotTable[[#This Row],[LP Book Price]]&gt;0,SnapshotTable[[#This Row],[LP Fill Date]]=0),"Y","")</f>
        <v/>
      </c>
      <c r="BP239" s="31" t="str">
        <f>IF(AND(SnapshotTable[[#This Row],[LP No Fill]]&lt;&gt;"Y",SnapshotTable[[#This Row],[LP Contract Value]]&gt;0, SnapshotTable[[#This Row],[LP Qty]]&gt;0), SnapshotTable[[#This Row],[LP Contract Value]]*SnapshotTable[[#This Row],[LP Qty]]*100,"")</f>
        <v/>
      </c>
      <c r="BQ239" s="13"/>
      <c r="BR239" s="5" t="str">
        <f>IF(SnapshotTable[[#This Row],[SP Exp Date]]&lt;&gt;"",TRUNC(SnapshotTable[[#This Row],[Last Price]]),"")</f>
        <v/>
      </c>
      <c r="BS239" s="36"/>
      <c r="BT239" s="147"/>
      <c r="BU239" s="13"/>
      <c r="BV239" s="5"/>
      <c r="BW239" s="419" t="b">
        <f>AND(ISNUMBER(SnapshotTable[[#This Row],[SP Exp Date]]), ISNUMBER(SnapshotTable[[#This Row],[SP Strike Price]]), ISNUMBER(SnapshotTable[[#This Row],[SP Qty]]), ISNUMBER(SnapshotTable[[#This Row],[SP Book Date]]), ISNUMBER(SnapshotTable[[#This Row],[SP Book Price]]))</f>
        <v>0</v>
      </c>
      <c r="BX239" s="419" t="b">
        <f>AND(SnapshotTable[[#This Row],[SP Is Booked]], NOT(ISBLANK(SnapshotTable[[#This Row],[SP Fill Date]])))</f>
        <v>0</v>
      </c>
      <c r="BY239" s="33">
        <f>IF(SnapshotTable[[#This Row],[SP Is Booked]], SnapshotTable[[#This Row],[SP Qty]] * SnapshotTable[[#This Row],[SP Book Price]] * 100, 0)</f>
        <v>0</v>
      </c>
      <c r="BZ239" s="369"/>
      <c r="CA239" s="368">
        <f>SnapshotTable[[#This Row],[LP Qty]]</f>
        <v>0</v>
      </c>
      <c r="CB239" s="4" t="str">
        <f>IF(SnapshotTable[[#This Row],[SP Is Booked]], SnapshotTable[[#This Row],[SP Strike Price]] - SnapshotTable[[#This Row],[SP Book Price]], "")</f>
        <v/>
      </c>
      <c r="CC239" s="19" t="str">
        <f>IF(SnapshotTable[[#This Row],[SP Is Booked]],SnapshotTable[[#This Row],[SP Exp Date]]-MAX(SnapshotTable[[#This Row],[SP Book Date]], SnapshotTable[[#This Row],[SP Fill Date]]),"")</f>
        <v/>
      </c>
      <c r="CD239" s="7" t="str">
        <f>IF(SnapshotTable[[#This Row],[SP Is Booked]], SnapshotTable[[#This Row],[SP Book Price]]/SnapshotTable[[#This Row],[SP Strike Price]], "")</f>
        <v/>
      </c>
      <c r="CE239" s="7" t="str">
        <f>IF(ISNUMBER(SnapshotTable[[#This Row],[SP ROO Term]]),SnapshotTable[[#This Row],[SP ROO Term]]*(365/SnapshotTable[[#This Row],[SP Term]]),"")</f>
        <v/>
      </c>
      <c r="CF239" s="236">
        <f>SnapshotTable[[#This Row],[LP Strike Price]] * SnapshotTable[[#This Row],[LP Qty]] * 100</f>
        <v>0</v>
      </c>
      <c r="CG239" s="31" t="e">
        <f>IF(ISNUMBER(SnapshotTable[[#This Row],[SP Premium]]), (SnapshotTable[[#This Row],[SP Qty]] * SnapshotTable[[#This Row],[SP Strike Price]]* 100) - SnapshotTable[[#This Row],[LP Protection]], 0)</f>
        <v>#VALUE!</v>
      </c>
      <c r="CH239" s="7" t="str">
        <f>IF(ISNUMBER(SnapshotTable[[#This Row],[SP Break Even]]),-1 * (SnapshotTable[[#This Row],[SP Break Even]] - SnapshotTable[[#This Row],[Last Price]]) / SnapshotTable[[#This Row],[Last Price]], "")</f>
        <v/>
      </c>
      <c r="CI239" s="31">
        <f>IF(AND(ISNUMBER((SnapshotTable[[#This Row],[SP Potential Spend]])), SnapshotTable[[#This Row],[SP Strike Price]] &gt; SnapshotTable[[#This Row],[Last Price]], SnapshotTable[[#This Row],[SP Is Filled]]), SnapshotTable[[#This Row],[SP Potential Spend]] -  SnapshotTable[[#This Row],[LP Max Value]], 0)</f>
        <v>0</v>
      </c>
      <c r="CJ239" s="244"/>
      <c r="CK239" s="31" t="str">
        <f>IF(ISNUMBER(SnapshotTable[[#This Row],[SP Potential Spend]]),IF(ISNUMBER(SnapshotTable[[#This Row],[SP POW]]), SnapshotTable[[#This Row],[SP POW]] * SnapshotTable[[#This Row],[SP Potential Spend]], SnapshotTable[[#This Row],[SP Potential Spend]]), "")</f>
        <v/>
      </c>
      <c r="CL239" s="164" t="e">
        <f>IF(NOT(SnapshotTable[[#This Row],[SP Is Filled]]),(SnapshotTable[[#This Row],[SP Qty]] * SnapshotTable[[#This Row],[SP Strike Price]] * 100) - SnapshotTable[[#This Row],[LP Max Value]],"")</f>
        <v>#VALUE!</v>
      </c>
      <c r="CM239" s="31" t="str">
        <f>IF(SnapshotTable[[#This Row],[SP Actual Spend]]&lt;&gt;0, ((SnapshotTable[[#This Row],[SP Strike Price]]-SnapshotTable[[#This Row],[Last Price]]) *(SnapshotTable[[#This Row],[SP Qty]]*100) - SnapshotTable[[#This Row],[SP Premium]]) * - 1, "")</f>
        <v/>
      </c>
      <c r="CN239" s="78"/>
      <c r="CO239" s="369"/>
      <c r="CP239" s="4" t="str">
        <f>IF(SnapshotTable[[#This Row],[SP Is Filled]], btc_max_buyback_amount(SnapshotTable[[#This Row],[SP Fill Date]],SnapshotTable[[#This Row],[SP Exp Date]], SnapshotTable[[#This Row],[SP Book Price]]),"")</f>
        <v/>
      </c>
      <c r="CQ239" s="78"/>
      <c r="CR23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9" s="155" t="str">
        <f>IF(SnapshotTable[[#This Row],[SP Is Filled]], btc_next_cutoff_date(SnapshotTable[[#This Row],[SP Fill Date]],SnapshotTable[[#This Row],[SP Exp Date]]),"")</f>
        <v/>
      </c>
      <c r="CT239" s="235" t="str" cm="1">
        <f t="array" ref="CT239">IF(SnapshotTable[[#This Row],[SP Is Filled]], btc_should_buy_back(SnapshotTable[[#This Row],[SP Fill Date]], SnapshotTable[[#This Row],[SP Exp Date]], SnapshotTable[[#This Row],[SP Book Price]], SnapshotTable[[#This Row],[SP Current Ask]], MockToday, SnapshotTable[[#This Row],[SP Buyback Override]]),"")</f>
        <v/>
      </c>
      <c r="CU239" s="143">
        <v>44771</v>
      </c>
      <c r="CV239" s="235"/>
      <c r="CW239" s="378" t="str">
        <f>IF(ISNUMBER( SnapshotTable[[#This Row],[SP Term]]), SnapshotTable[[#This Row],[SP Exp Date]] - MockToday,"")</f>
        <v/>
      </c>
      <c r="CX239" s="31" t="str">
        <f>IF(SnapshotTable[[#This Row],[SP Is Filled]],SnapshotTable[[#This Row],[SP Buyback Price to Use]] * 100 * SnapshotTable[[#This Row],[SP Qty]], "")</f>
        <v/>
      </c>
      <c r="CY239" s="4" t="str">
        <f>IF(ISNUMBER(SnapshotTable[[#This Row],[SP Strike Price]]), SnapshotTable[[#This Row],[SP Strike Price]] * (1 - SP_MaxLoss_StrikePct), "")</f>
        <v/>
      </c>
      <c r="CZ239" s="31" t="str">
        <f>IF(ISNUMBER(SnapshotTable[[#This Row],[SP Strike  Stop Per Share]]),SnapshotTable[[#This Row],[SP Premium]] - ((SnapshotTable[[#This Row],[SP Strike Price]]-SnapshotTable[[#This Row],[SP Strike  Stop Per Share]]) *(SnapshotTable[[#This Row],[SP Qty]] * 100)),"")</f>
        <v/>
      </c>
      <c r="DA239" s="4" t="str">
        <f>IF(AND(ISNUMBER(SnapshotTable[[#This Row],[SP Premium]]),SnapshotTable[[#This Row],[SP Premium]]&gt;0), SnapshotTable[[#This Row],[SP Book Price]] * (1 + SP_MaxLoss_OptionPct), "")</f>
        <v/>
      </c>
      <c r="DB239" s="31" t="str">
        <f>IF(ISNUMBER(SnapshotTable[[#This Row],[SP Option  Stop Contract]]),(SnapshotTable[[#This Row],[SP Option  Stop Contract]] *(SnapshotTable[[#This Row],[SP Qty]] * 100) - SnapshotTable[[#This Row],[SP Premium]]),"")</f>
        <v/>
      </c>
      <c r="DC239" s="4"/>
      <c r="DD239" s="4"/>
      <c r="DE239" s="4" t="str">
        <f>IF(AND(SnapshotTable[[#This Row],[SP Qty]]&gt;0, SnapshotTable[[#This Row],[SP Stop To Use]]&gt;0),SnapshotTable[[#This Row],[SP Premium]] - ( SnapshotTable[[#This Row],[SP Qty]] * SnapshotTable[[#This Row],[SP Stop To Use]] * 100), "")</f>
        <v/>
      </c>
      <c r="DF239" s="31" t="str">
        <f>IF(AND(SnapshotTable[[#This Row],[SP Qty]]&gt;0,SnapshotTable[[#This Row],[SP Current Ask]]&gt;0), SnapshotTable[[#This Row],[SP Qty]] * SnapshotTable[[#This Row],[SP Current Ask]] * -100, "")</f>
        <v/>
      </c>
      <c r="DG239" s="31" t="str">
        <f>IF(ISNUMBER((SnapshotTable[[#This Row],[SP Total Value]])), SnapshotTable[[#This Row],[SP Premium]] + SnapshotTable[[#This Row],[SP Total Value]], "")</f>
        <v/>
      </c>
      <c r="DH239" s="294" t="str">
        <f>IF(ISNUMBER((SnapshotTable[[#This Row],[SP Total Value]])), SnapshotTable[[#This Row],[SP Gain Loss]] / SnapshotTable[[#This Row],[SP Premium]], "")</f>
        <v/>
      </c>
      <c r="DI239" s="406"/>
      <c r="DJ239" s="138"/>
      <c r="DK239" s="148"/>
      <c r="DL239" s="13"/>
      <c r="DM239" s="13"/>
      <c r="DO239" s="31">
        <f>IF(SnapshotTable[[#This Row],[LC Symbol Count]]=1, SnapshotTable[[#This Row],[LC Qty]] * SnapshotTable[[#This Row],[LC Book Price]] * 100, 0)</f>
        <v>0</v>
      </c>
      <c r="DP239" s="163" t="str">
        <f>IF(AND(SnapshotTable[[#This Row],[LC Exp Date]]&gt;0, SnapshotTable[[#This Row],[LC Strike Price]]&gt;0,SnapshotTable[[#This Row],[LC Qty]]&gt;0,SnapshotTable[[#This Row],[LC Book Date]]&gt;0,SnapshotTable[[#This Row],[LC Book Price]]&gt;0,SnapshotTable[[#This Row],[LC Fill Date]]=0),"Y","")</f>
        <v/>
      </c>
      <c r="DQ239" s="386" t="str">
        <f>IF(SnapshotTable[[#This Row],[LC Premium]] &gt; 0,SnapshotTable[[#This Row],[LC Exp Date]]-MAX(SnapshotTable[[#This Row],[LC Book Date]], SnapshotTable[[#This Row],[LC Fill Date]]),"")</f>
        <v/>
      </c>
      <c r="DR239" s="386" t="str">
        <f>IF(ISNUMBER(SnapshotTable[[#This Row],[LC Term]]), SnapshotTable[[#This Row],[LC Exp Date]] - MockToday, "")</f>
        <v/>
      </c>
      <c r="DS239" s="234" t="str">
        <f>IF(SnapshotTable[[#This Row],[LC Premium]]&gt;0,SnapshotTable[[#This Row],[LC Strike Price]] + SnapshotTable[[#This Row],[LC Book Price]],"")</f>
        <v/>
      </c>
      <c r="DU239" s="9" t="str">
        <f>IF(AND(SnapshotTable[[#This Row],[LC Symbol Count]]&gt;0, SnapshotTable[[#This Row],[LC Contract Value]]&gt;0), SnapshotTable[[#This Row],[LC Contract Value]] * SnapshotTable[[#This Row],[LC Qty]] * 100, "")</f>
        <v/>
      </c>
      <c r="DV239" s="9" t="str">
        <f>IF(AND(ISNUMBER(SnapshotTable[[#This Row],[LC Total Value]]), SnapshotTable[[#This Row],[LC Not Filled]]&lt;&gt;"Y"), SnapshotTable[[#This Row],[LC Total Value]]-SnapshotTable[[#This Row],[LC Premium]],"")</f>
        <v/>
      </c>
      <c r="DW239" s="240" t="str">
        <f>IF(ISNUMBER(SnapshotTable[[#This Row],[LC Actual Gain Loss]]), SnapshotTable[[#This Row],[LC Actual Gain Loss]] / SnapshotTable[[#This Row],[LC Premium]],"")</f>
        <v/>
      </c>
      <c r="DX239" s="284" t="str">
        <f>IF(ISNUMBER(SnapshotTable[[#This Row],[LC Book Price]]),SnapshotTable[[#This Row],[LC Book Price]] * 1.5,"")</f>
        <v/>
      </c>
      <c r="DY239" s="265" t="str">
        <f>IF(SnapshotTable[[#This Row],[LC Premium]]&gt;0, SnapshotTable[[#This Row],[LC Next Target]] * SnapshotTable[[#This Row],[LC Qty]] * 100,"")</f>
        <v/>
      </c>
      <c r="DZ239" s="265" t="str">
        <f>IF(ISNUMBER(SnapshotTable[[#This Row],[LC Target Gross]]), SnapshotTable[[#This Row],[LC Target Gross]] - SnapshotTable[[#This Row],[LC Premium]], "")</f>
        <v/>
      </c>
      <c r="EA239" s="305" t="str">
        <f>IF(ISNUMBER(SnapshotTable[[#This Row],[LC Target Gain Loss]]), SnapshotTable[[#This Row],[LC Target Gain Loss]]/SnapshotTable[[#This Row],[LC Premium]], "")</f>
        <v/>
      </c>
      <c r="EB239" s="262"/>
      <c r="EC239" s="283" t="str">
        <f>IF(SnapshotTable[[#This Row],[LC Premium]]&gt;0, SnapshotTable[[#This Row],[LC Book Price]] * (1 - LC_StopLoss_Pct),"")</f>
        <v/>
      </c>
      <c r="ED239" s="284"/>
      <c r="EE239" s="283" t="str">
        <f>IF(ISNUMBER(SnapshotTable[[#This Row],[LC Contract Value]]),IF(ISNUMBER(SnapshotTable[[#This Row],[LC Stop Loss Override]]), SnapshotTable[[#This Row],[LC Stop Loss Override]],SnapshotTable[[#This Row],[LC Stop Loss Calc Target]]),"")</f>
        <v/>
      </c>
      <c r="EF239" s="31" t="str">
        <f>IF(ISNUMBER(SnapshotTable[[#This Row],[LC Stop  To Use]]), (SnapshotTable[[#This Row],[LC Stop  To Use]] * SnapshotTable[[#This Row],[LC Qty]] * 100),"")</f>
        <v/>
      </c>
      <c r="EG239" s="9" t="str">
        <f>IF(ISNUMBER(SnapshotTable[[#This Row],[LC Total Value]]),SnapshotTable[[#This Row],[LC Stop Loss Amount]] - SnapshotTable[[#This Row],[LC Premium]],"")</f>
        <v/>
      </c>
      <c r="EH239" s="9">
        <f>IF(ISNUMBER(SnapshotTable[[#This Row],[LC Premium]]), SnapshotTable[[#This Row],[LC Qty]] * 100 * SnapshotTable[[#This Row],[LC Strike Price]], "")</f>
        <v>0</v>
      </c>
      <c r="EI239" s="240" t="str">
        <f>IF(AND(ISNUMBER(SnapshotTable[[#This Row],[LC Total Value]]),SnapshotTable[[#This Row],[LC Total Value]]&gt;0),SnapshotTable[[#This Row],[LC Stop Gain Loss]]  / SnapshotTable[[#This Row],[LC Premium]],"")</f>
        <v/>
      </c>
      <c r="EJ239" s="35">
        <f>IF(ISNUMBER(SnapshotTable[[#This Row],[Equity Shares]]),TRUNC(SnapshotTable[[#This Row],[Equity Shares]] / 100),0) + SnapshotTable[[#This Row],[LC Qty]]</f>
        <v>0</v>
      </c>
      <c r="EK239" s="147"/>
      <c r="EL239" s="138" t="str">
        <f>IF(SnapshotTable[[#This Row],[SC Exp Date]]&lt;&gt;"",TRUNC(SnapshotTable[[#This Row],[Last Price]]),"")</f>
        <v/>
      </c>
      <c r="EM239" s="148"/>
      <c r="EN239" s="147"/>
      <c r="EO239" s="147"/>
      <c r="EP239" s="138"/>
      <c r="EQ239" s="419" t="b">
        <f>AND(ISNUMBER(SnapshotTable[[#This Row],[SC Exp Date]]), ISNUMBER(SnapshotTable[[#This Row],[SC Strike Price]]), ISNUMBER(SnapshotTable[[#This Row],[SC Qty]]), ISNUMBER(SnapshotTable[[#This Row],[SC Book Date]]), ISNUMBER(SnapshotTable[[#This Row],[SC Book Price]]))</f>
        <v>0</v>
      </c>
      <c r="ER239" s="419" t="b">
        <f>AND(SnapshotTable[[#This Row],[SC Is Booked]], NOT(ISBLANK(SnapshotTable[[#This Row],[SC Fill Date]])))</f>
        <v>0</v>
      </c>
      <c r="ES239" s="370"/>
      <c r="ET239" s="34" t="str">
        <f>IF(AND(ISNUMBER(SnapshotTable[[#This Row],[SC Exp Date]]), ISNUMBER(SnapshotTable[[#This Row],[SC Book Date]])), SnapshotTable[[#This Row],[SC Exp Date]] - MAX(SnapshotTable[[#This Row],[SC Book Date]], SnapshotTable[[#This Row],[SC Fill Date]]) + 1, "")</f>
        <v/>
      </c>
      <c r="EU239" s="34" t="str">
        <f>IF(ISNUMBER(SnapshotTable[[#This Row],[SC Term]]), SnapshotTable[[#This Row],[SC Exp Date]]- MockToday, "")</f>
        <v/>
      </c>
      <c r="EV239" s="31">
        <f>IF(SnapshotTable[[#This Row],[SC Is Booked]], SnapshotTable[[#This Row],[SC Qty]] * SnapshotTable[[#This Row],[SC Book Price]] * 100, 0)</f>
        <v>0</v>
      </c>
      <c r="EW239" s="4" t="str">
        <f>IF(AND(ISNUMBER(SnapshotTable[[#This Row],[Last Price]]), ISNUMBER( SnapshotTable[[#This Row],[SC Book Price]])), SnapshotTable[[#This Row],[Last Price]] - SnapshotTable[[#This Row],[SC Book Price]],"")</f>
        <v/>
      </c>
      <c r="EX239" s="234" t="str">
        <f>IF(SnapshotTable[[#This Row],[SC Is Booked]],IF(SnapshotTable[[#This Row],[SC Intrinsic Value]] &gt; 0, SnapshotTable[[#This Row],[SC Strike Price]], SnapshotTable[[#This Row],[Last Price]]), "")</f>
        <v/>
      </c>
      <c r="EY239" s="4">
        <f>IF(SnapshotTable[[#This Row],[SC Is Booked]], (MinimumPremiumRequired * SnapshotTable[[#This Row],[SC Basis]] * SnapshotTable[[#This Row],[SC Term]]), 0)</f>
        <v>0</v>
      </c>
      <c r="EZ239" s="283"/>
      <c r="FA239" s="218"/>
      <c r="FB239" s="370"/>
      <c r="FC239" s="4">
        <f>IF(SnapshotTable[[#This Row],[SC Is Filled]], btc_max_buyback_amount(SnapshotTable[[#This Row],[SC Fill Date]],SnapshotTable[[#This Row],[SC Exp Date]], SnapshotTable[[#This Row],[SC Book Price]]),0)</f>
        <v>0</v>
      </c>
      <c r="FD239" s="5"/>
      <c r="FE239" s="144" t="str">
        <f>IF(SnapshotTable[[#This Row],[SC Is Filled]], btc_next_cutoff_date(SnapshotTable[[#This Row],[SC Fill Date]],SnapshotTable[[#This Row],[SC Exp Date]]),"")</f>
        <v/>
      </c>
      <c r="FF239" s="4" t="str" cm="1">
        <f t="array" ref="FF239">IF(SnapshotTable[[#This Row],[SC Is Filled]], btc_should_buy_back(SnapshotTable[[#This Row],[SC Fill Date]], SnapshotTable[[#This Row],[SC Exp Date]], SnapshotTable[[#This Row],[SC Book Price]], SnapshotTable[[#This Row],[SC Current Ask]], MockToday, SnapshotTable[[#This Row],[SC Buyback Override]]),"")</f>
        <v/>
      </c>
      <c r="FG239" s="4">
        <f>IF(SnapshotTable[[#This Row],[SC Is Filled]], MAX(0,SnapshotTable[[#This Row],[Last Price]]  - SnapshotTable[[#This Row],[SC Strike Price]]), 0)</f>
        <v>0</v>
      </c>
      <c r="FH239" s="382">
        <f>IF(SnapshotTable[[#This Row],[SC Is Filled]], IF(ISNUMBER(SnapshotTable[[#This Row],[SC Current Ask]]), SnapshotTable[[#This Row],[SC Current Ask]], SnapshotTable[[#This Row],[SC Book Price]]) - SnapshotTable[[#This Row],[SC Intrinsic Value]], 0)</f>
        <v>0</v>
      </c>
      <c r="FI239" s="143"/>
      <c r="FJ239" s="32" t="str">
        <f>IF(SnapshotTable[[#This Row],[SC Is Filled]],100 * SnapshotTable[[#This Row],[SC Qty]] * IF(ISNUMBER(SnapshotTable[[#This Row],[SC Buyback Override]]), SnapshotTable[[#This Row],[SC Buyback Override]], SnapshotTable[[#This Row],[SC Current Ask]]), "")</f>
        <v/>
      </c>
      <c r="FK239" s="250" t="str">
        <f>IF(SnapshotTable[[#This Row],[SC Time Val]]&gt;0, SnapshotTable[[#This Row],[SC Time Val]] / SnapshotTable[[#This Row],[Last Price]],"")</f>
        <v/>
      </c>
      <c r="FL239" s="302" t="str">
        <f>IF(SnapshotTable[[#This Row],[SC Is Booked]], ((SnapshotTable[[#This Row],[Last Price]] -SnapshotTable[[#This Row],[SC Strike Price]]) / SnapshotTable[[#This Row],[Last Price]]) * -1, "")</f>
        <v/>
      </c>
      <c r="FM239" s="157" t="str">
        <f>IF(SnapshotTable[[#This Row],[SC Is Booked]],  (SnapshotTable[[#This Row],[SC Qty]] * 100 * SnapshotTable[[#This Row],[SC Strike Price]]) - SnapshotTable[[#This Row],[SC Current Ask]], "")</f>
        <v/>
      </c>
      <c r="FN23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9" s="31" t="str">
        <f>IF(AND(ISNUMBER(SnapshotTable[[#This Row],[SC Exercise Gross]]), ISNUMBER(SnapshotTable[[#This Row],[Equity Basis Per Share]] )), SnapshotTable[[#This Row],[SC Exercise Gross]] - SnapshotTable[[#This Row],[Equity Basis Total]] +  SnapshotTable[[#This Row],[SC Premium]], "")</f>
        <v/>
      </c>
      <c r="FP239" s="5" t="str">
        <f>IF(ISNUMBER(SnapshotTable[[#This Row],[SC Exercise Gross]]), (SnapshotTable[[#This Row],[SC Exercise Gross]]) / (SnapshotTable[[#This Row],[SC Qty]] * 100), "")</f>
        <v/>
      </c>
      <c r="FQ239" s="27" t="str">
        <f>IF(SnapshotTable[[#This Row],[SC Is Booked]],SnapshotTable[[#This Row],[SC Time Val]] /SnapshotTable[[#This Row],[SC Basis]], "")</f>
        <v/>
      </c>
      <c r="FR239" s="27" t="str" cm="1">
        <f t="array" ref="FR239">IF(AND(ISNUMBER(SnapshotTable[[#This Row],[SC Term]]),ISNUMBER(SnapshotTable[[#This Row],[SC Simple ROO]])), EllmanAnnualize(SnapshotTable[[#This Row],[SC DTE]], SnapshotTable[[#This Row],[SC Simple ROO]] ),"")</f>
        <v/>
      </c>
      <c r="FS239" s="4" t="e">
        <f>IF(SnapshotTable[[#This Row],[SC Strike Price]] &gt; SnapshotTable[[#This Row],[Last Price]], SnapshotTable[[#This Row],[SC Strike Price]] - SnapshotTable[[#This Row],[Last Price]],0)</f>
        <v>#VALUE!</v>
      </c>
      <c r="FT239" s="27" t="e">
        <f>IF(AND(ISNUMBER(SnapshotTable[[#This Row],[SC Upside Potential]]), SnapshotTable[[#This Row],[SC Upside Potential]] &gt; 0),(SnapshotTable[[#This Row],[SC Upside Potential]]/ SnapshotTable[[#This Row],[ACB]]),"")</f>
        <v>#VALUE!</v>
      </c>
      <c r="FU239" s="333" t="str">
        <f>IF(SnapshotTable[[#This Row],[SC Intrinsic Value]] &gt; 0,SnapshotTable[[#This Row],[SC Intrinsic Value]],"")</f>
        <v/>
      </c>
      <c r="FV239" s="27" t="str">
        <f>IF(AND( ISNUMBER( SnapshotTable[[#This Row],[ACB]]),ISNUMBER(SnapshotTable[[#This Row],[SC Downside Protect]])),SnapshotTable[[#This Row],[SC Downside Protect]] / SnapshotTable[[#This Row],[ACB]],"")</f>
        <v/>
      </c>
      <c r="FW239" s="236" t="str">
        <f>IF(AND(ISNUMBER(SnapshotTable[[#This Row],[SC Simple ROO]]),SnapshotTable[[#This Row],[SC Simple ROO]] &gt; 0), SnapshotTable[[#This Row],[SC Premium]] + (SnapshotTable[[#This Row],[SC Qty]] * SnapshotTable[[#This Row],[SC Upside Potential]]), "")</f>
        <v/>
      </c>
      <c r="FX239" s="302" t="str" cm="1">
        <f t="array" ref="FX239">IF(ISNUMBER(SnapshotTable[[#This Row],[SC Max Dollars]]), annualize(SnapshotTable[[#This Row],[SC Term]],(SnapshotTable[[#This Row],[SC Max Dollars]]/SnapshotTable[[#This Row],[SC Basis]])),"")</f>
        <v/>
      </c>
      <c r="FY239" s="236" t="str">
        <f>IF(AND(SnapshotTable[[#This Row],[SC Qty]]&gt;0,SnapshotTable[[#This Row],[SC Current Ask]]&gt;0), SnapshotTable[[#This Row],[SC Qty]] * SnapshotTable[[#This Row],[SC Current Ask]] * -100, "")</f>
        <v/>
      </c>
      <c r="FZ239" s="31" t="str">
        <f>IF(ISNUMBER((SnapshotTable[[#This Row],[SC Current Value]])), SnapshotTable[[#This Row],[SC Premium]] + SnapshotTable[[#This Row],[SC Current Value]], "")</f>
        <v/>
      </c>
      <c r="GA239" s="294" t="str">
        <f>IFERROR( IF(ISNUMBER((SnapshotTable[[#This Row],[SC Current Value]])), SnapshotTable[[#This Row],[SC Gain Loss]] / SnapshotTable[[#This Row],[SC Premium]], ""), "")</f>
        <v/>
      </c>
      <c r="GB239" s="42">
        <f>SnapshotTable[[#This Row],[Equity Shares]] * SaleSharesToConsiderPercentage</f>
        <v>0</v>
      </c>
      <c r="GC239" s="40">
        <f>SnapshotTable[[#This Row],[Long Term Target]] * SellingPriceToConsiderBasedOnTargetPercentage</f>
        <v>412.41399999999999</v>
      </c>
      <c r="GD239" s="40">
        <f>SnapshotTable[[#This Row],[Last Price]] * (1+ SellingPriceToConsiderBasedOnTargetPercentage)</f>
        <v>1003.002</v>
      </c>
      <c r="GE239" s="41"/>
      <c r="GF239" s="40"/>
      <c r="GG239" s="31">
        <f>SnapshotTable[[#This Row],[Booked Sale Shares]] * SnapshotTable[[#This Row],[Booked Sale Price]]</f>
        <v>0</v>
      </c>
      <c r="GH239" s="31" t="str">
        <f>IF(SnapshotTable[[#This Row],[Equity Basis Total]] &gt; 0, SnapshotTable[[#This Row],[Equity Basis Per Share]] * SnapshotTable[[#This Row],[Booked Sale Shares]], "")</f>
        <v/>
      </c>
      <c r="GI239" s="31">
        <f>IF(SnapshotTable[[#This Row],[Sale Proceeds]]&gt;0, SnapshotTable[[#This Row],[Sale Proceeds]] - SnapshotTable[[#This Row],[Sale Basis]], 0)</f>
        <v>0</v>
      </c>
      <c r="GJ239" s="27" t="str">
        <f>IF(SnapshotTable[[#This Row],[Sale G/L]]&gt;0, SnapshotTable[[#This Row],[Sale G/L]] / SnapshotTable[[#This Row],[Sale Basis]], IF(ISNUMBER(SnapshotTable[[#This Row],[SC Exercise P&amp;L (TAX)]]), SnapshotTable[[#This Row],[SC Exercise P&amp;L (TAX)]] / SnapshotTable[[#This Row],[SC Basis]], ""))</f>
        <v/>
      </c>
      <c r="GK239" s="27" t="s">
        <v>741</v>
      </c>
      <c r="GL239" s="43" t="str">
        <f>IF(AND(SnapshotTable[[#This Row],[LP Exp Date]]&gt;0,SnapshotTable[[#This Row],[LP Strike Price]]&gt;0), [1]!ToOptionSymbol(SnapshotTable[[#This Row],[Symbol]], SnapshotTable[[#This Row],[LP Strike Price]],SnapshotTable[[#This Row],[LP Exp Date]],1), "")</f>
        <v/>
      </c>
      <c r="GM239" s="30" t="str">
        <f>IF(LEN(SnapshotTable[[#This Row],[LP Symbol]])&gt;0, 1, "")</f>
        <v/>
      </c>
      <c r="GN239" s="43" t="str">
        <f>IF(AND(SnapshotTable[[#This Row],[SP Exp Date]]&gt;0,SnapshotTable[[#This Row],[SP Strike Price]]&gt;0), [1]!ToOptionSymbol(SnapshotTable[[#This Row],[Symbol]], SnapshotTable[[#This Row],[SP Strike Price]],SnapshotTable[[#This Row],[SP Exp Date]],1), "")</f>
        <v/>
      </c>
      <c r="GO239" s="30" t="str">
        <f>IF(LEN(SnapshotTable[[#This Row],[SP Symbol]])&gt;0, 1, "")</f>
        <v/>
      </c>
      <c r="GP239" s="43" t="str">
        <f>IF(AND(SnapshotTable[[#This Row],[LC Exp Date]]&gt;0,SnapshotTable[[#This Row],[LC Strike Price]]&gt;0), [1]!ToOptionSymbol(SnapshotTable[[#This Row],[Symbol]], SnapshotTable[[#This Row],[LC Strike Price]],SnapshotTable[[#This Row],[LC Exp Date]],0), "")</f>
        <v/>
      </c>
      <c r="GQ239" s="30" t="str">
        <f>IF(LEN(SnapshotTable[[#This Row],[LC Symbol]])&gt;0, 1, "")</f>
        <v/>
      </c>
      <c r="GR239" s="43" t="str">
        <f>IF(AND(SnapshotTable[[#This Row],[SC Exp Date]]&gt;0,SnapshotTable[[#This Row],[SC Strike Price]]&gt;0), [1]!ToOptionSymbol(SnapshotTable[[#This Row],[Symbol]], SnapshotTable[[#This Row],[SC Strike Price]],SnapshotTable[[#This Row],[SC Exp Date]],0), "")</f>
        <v/>
      </c>
      <c r="GS239" s="30" t="str">
        <f>IF(LEN(SnapshotTable[[#This Row],[SC Symbol]])&gt;0, 1, "")</f>
        <v/>
      </c>
      <c r="GT239" s="29" t="str">
        <f>IF(COUNT(SnapshotTable[[#This Row],[LP Symbol Count]],SnapshotTable[[#This Row],[SP Symbol Count]],SnapshotTable[[#This Row],[LC Symbol Count]],SnapshotTable[[#This Row],[SC Symbol Count]])&gt;0, "Y", "")</f>
        <v/>
      </c>
      <c r="GU23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9" s="231" t="e">
        <f>MAX(SnapshotTable[[#This Row],[Equity Basis Total]],SnapshotTable[[#This Row],[Equity Value]]) + (SnapshotTable[[#This Row],[SP Potential Spend]]- SnapshotTable[[#This Row],[SP Premium]] + SnapshotTable[[#This Row],[LP Premium]])+ (SnapshotTable[[#This Row],[LC Premium]] - SnapshotTable[[#This Row],[SC Premium]])</f>
        <v>#VALUE!</v>
      </c>
      <c r="GW239" s="139" t="e">
        <f>IF(AND(SnapshotTable[[#This Row],[Exposure]] &lt;&gt; 0),SnapshotTable[[#This Row],[Exposure]] / SnapshotTable[[#Totals],[Exposure]], "")</f>
        <v>#VALUE!</v>
      </c>
      <c r="HE239" s="268"/>
      <c r="HF239" s="268"/>
      <c r="HK239" s="1"/>
      <c r="HL239" s="1"/>
      <c r="HM239" s="1"/>
      <c r="HN239" s="1"/>
      <c r="HO239" s="1"/>
      <c r="HP239" s="1"/>
    </row>
    <row r="240" spans="2:224" ht="12.75" hidden="1" customHeight="1" x14ac:dyDescent="0.25">
      <c r="B240" s="12" t="s">
        <v>1038</v>
      </c>
      <c r="C240" s="422">
        <v>267.39999999999998</v>
      </c>
      <c r="D240" s="208" t="s">
        <v>578</v>
      </c>
      <c r="E240" s="39">
        <f>SnapshotTable[[#This Row],[Last Price]]*(1 -CrashDiscount)</f>
        <v>227.28999999999996</v>
      </c>
      <c r="F240" s="26" t="s">
        <v>1039</v>
      </c>
      <c r="G240" s="325" t="s">
        <v>822</v>
      </c>
      <c r="H240" s="149"/>
      <c r="I240" s="194">
        <v>44959</v>
      </c>
      <c r="J240" s="195">
        <v>44959</v>
      </c>
      <c r="K240" s="196"/>
      <c r="L240" s="327"/>
      <c r="M240" s="140"/>
      <c r="N240" s="140"/>
      <c r="O240" s="140"/>
      <c r="P240" s="328"/>
      <c r="Q240" s="25"/>
      <c r="R240" s="4" t="str">
        <f>IF(SnapshotTable[[#This Row],[Equity Basis Total]] &gt; 0, SnapshotTable[[#This Row],[Equity Basis Total]] / SnapshotTable[[#This Row],[Equity Shares]], "")</f>
        <v/>
      </c>
      <c r="S240" s="329">
        <f>SnapshotTable[[#This Row],[Last Price]] * SnapshotTable[[#This Row],[Equity Shares]]</f>
        <v>0</v>
      </c>
      <c r="T240" s="269">
        <f>SnapshotTable[[#This Row],[Equity Value]] - SnapshotTable[[#This Row],[Equity Basis Total]]</f>
        <v>0</v>
      </c>
      <c r="U240" s="270" t="str">
        <f>IF(SnapshotTable[[#This Row],[Equity Basis Total]] &gt; 0, SnapshotTable[[#This Row],[Equity G/L]] / SnapshotTable[[#This Row],[Equity Basis Total]], "")</f>
        <v/>
      </c>
      <c r="V240" s="268">
        <v>157</v>
      </c>
      <c r="W240" s="268">
        <v>133.9</v>
      </c>
      <c r="X240" s="4" t="str">
        <f>IF(AND(ISNUMBER(SnapshotTable[[#This Row],[Equity Basis Per Share]]),ISNUMBER(SnapshotTable[[#This Row],[Equity Target]])),SnapshotTable[[#This Row],[Equity Target]]-SnapshotTable[[#This Row],[Equity Basis Per Share]],"")</f>
        <v/>
      </c>
      <c r="Y240" s="4" t="str">
        <f>IF(AND(ISNUMBER(SnapshotTable[[#This Row],[Equity Basis Per Share]]),ISNUMBER(SnapshotTable[[#This Row],[Equity Stop Loss]])),SnapshotTable[[#This Row],[Equity Stop Loss]]-SnapshotTable[[#This Row],[Equity Basis Per Share]],"")</f>
        <v/>
      </c>
      <c r="Z240" s="275" t="str">
        <f>IFERROR( TEXT(SnapshotTable[[#This Row],[Equity Max Gain Per Share]] /ABS( SnapshotTable[[#This Row],[Equity Max Loss Per Share]]),"0.0 " ) &amp; " : 1", "")</f>
        <v/>
      </c>
      <c r="AA240" s="31" t="str">
        <f>IF(ISNUMBER(SnapshotTable[[#This Row],[Equity Max Gain Per Share]]),SnapshotTable[[#This Row],[Equity Max Gain Per Share]] * SnapshotTable[[#This Row],[Equity Shares]],"")</f>
        <v/>
      </c>
      <c r="AB240" s="31" t="str">
        <f>IF(ISNUMBER(SnapshotTable[[#This Row],[Equity Max Loss Per Share]]),SnapshotTable[[#This Row],[Equity Max Loss Per Share]] * SnapshotTable[[#This Row],[Equity Shares]],"")</f>
        <v/>
      </c>
      <c r="AC240" s="150"/>
      <c r="AD240" s="350"/>
      <c r="AE240" s="31">
        <f>(SnapshotTable[[#This Row],[Annual Dividend Per Share]] / 4) * SnapshotTable[[#This Row],[Equity Shares]]</f>
        <v>0</v>
      </c>
      <c r="AF240" s="31">
        <f>SnapshotTable[[#This Row],[Quarterly Div $]] * 4</f>
        <v>0</v>
      </c>
      <c r="AG240" s="7">
        <f>IF(SnapshotTable[[#This Row],[Annual Dividend Per Share]]&gt;0, SnapshotTable[[#This Row],[Annual Dividend Per Share]]  / SnapshotTable[[#This Row],[Last Price]], 0)</f>
        <v>0</v>
      </c>
      <c r="AH240" s="151"/>
      <c r="AI240" s="330"/>
      <c r="AJ240" s="138">
        <v>158.55000000000001</v>
      </c>
      <c r="AK240" s="152" t="str">
        <f>IF(ISNUMBER( SnapshotTable[[#This Row],[EBF Target]]),(SnapshotTable[[#This Row],[EBF Target]] - SnapshotTable[[#This Row],[Last Price]]) / SnapshotTable[[#This Row],[Last Price]], "")</f>
        <v/>
      </c>
      <c r="AL240" s="152" t="str">
        <f>IF(AND(SnapshotTable[[#This Row],[Equity Basis Total]] &gt; 0,ISNUMBER( SnapshotTable[[#This Row],[Long Term Target]])), SnapshotTable[[#This Row],[From Basis $]] / SnapshotTable[[#This Row],[Equity Basis Total]], "")</f>
        <v/>
      </c>
      <c r="AM240" s="9">
        <f>IF( AND(SnapshotTable[[#This Row],[Equity Shares]] &gt;0,ISNUMBER( SnapshotTable[[#This Row],[Long Term Target]])),(SnapshotTable[[#This Row],[Equity Shares]] * SnapshotTable[[#This Row],[Long Term Target]]) - SnapshotTable[[#This Row],[Equity Basis Total]],0)</f>
        <v>0</v>
      </c>
      <c r="AN240" s="9">
        <f>IF( AND(SnapshotTable[[#This Row],[Equity Shares]] &gt;0,ISNUMBER( SnapshotTable[[#This Row],[Long Term Target]])),(SnapshotTable[[#This Row],[Equity Shares]]*SnapshotTable[[#This Row],[Long Term Target]]) - SnapshotTable[[#This Row],[Equity Value]],0)</f>
        <v>0</v>
      </c>
      <c r="AO240" s="152">
        <f>IF(AND(ISNUMBER( SnapshotTable[[#This Row],[Long Term Target]]), ISNUMBER(SnapshotTable[[#This Row],[Last Price]])),(SnapshotTable[[#This Row],[Long Term Target]] - SnapshotTable[[#This Row],[Last Price]]) / SnapshotTable[[#This Row],[Last Price]], "")</f>
        <v>-0.40706806282722502</v>
      </c>
      <c r="AP240" s="5">
        <v>165</v>
      </c>
      <c r="AQ240" s="38" t="s">
        <v>89</v>
      </c>
      <c r="AR240" s="5">
        <v>150</v>
      </c>
      <c r="AS240" s="38" t="s">
        <v>32</v>
      </c>
      <c r="AT240" s="146" t="s">
        <v>575</v>
      </c>
      <c r="AU240" s="187" t="str">
        <f>IF(OR(SnapshotTable[[#This Row],[LP No Fill]]="Y",SnapshotTable[[#This Row],[SP Is Filled]],SnapshotTable[[#This Row],[LC Not Filled]]="Y",SnapshotTable[[#This Row],[SC Is Filled]]),"Y","")</f>
        <v/>
      </c>
      <c r="AV240" s="338"/>
      <c r="AW240" s="339"/>
      <c r="AX240" s="220"/>
      <c r="AY240" s="219" t="str">
        <f>IF(SnapshotTable[[#This Row],[Implied Move]]&gt;0, SnapshotTable[[#This Row],[Last Price]]-SnapshotTable[[#This Row],[Implied Move]],"")</f>
        <v/>
      </c>
      <c r="AZ240" s="219" t="str">
        <f>IF(SnapshotTable[[#This Row],[Implied Move]]&gt;0, SnapshotTable[[#This Row],[Last Price]] + SnapshotTable[[#This Row],[Implied Move]],"")</f>
        <v/>
      </c>
      <c r="BA240" s="331">
        <v>2.4300000000000002</v>
      </c>
      <c r="BB240" s="347"/>
      <c r="BC24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0" s="351"/>
      <c r="BE240" s="138"/>
      <c r="BF240" s="166"/>
      <c r="BG240" s="167"/>
      <c r="BH240" s="167"/>
      <c r="BI240" s="221"/>
      <c r="BJ240" s="153">
        <f>IF(SnapshotTable[[#This Row],[LP Qty]] &gt; 0, SnapshotTable[[#This Row],[LP Qty]] * SnapshotTable[[#This Row],[LP Book Price]] * 100,0)</f>
        <v>0</v>
      </c>
      <c r="BK240" s="136">
        <f>IF(SnapshotTable[[#This Row],[LP Premium]] &gt; 0, SnapshotTable[[#This Row],[LP Qty]] * SnapshotTable[[#This Row],[LP Strike Price]] * 100,0)</f>
        <v>0</v>
      </c>
      <c r="BL240" s="154"/>
      <c r="BM240" s="385" t="str">
        <f>IF(SnapshotTable[[#This Row],[LP Premium]] &gt; 0,SnapshotTable[[#This Row],[LP Exp Date]]-MAX(SnapshotTable[[#This Row],[LP Book Date]], SnapshotTable[[#This Row],[LP Fill Date]]),"")</f>
        <v/>
      </c>
      <c r="BN240" s="385" t="str">
        <f>IF(ISNUMBER( SnapshotTable[[#This Row],[LP Term]]), SnapshotTable[[#This Row],[LP Exp Date]] - MockToday,"")</f>
        <v/>
      </c>
      <c r="BO240" s="163" t="str">
        <f>IF(AND(SnapshotTable[[#This Row],[LP Exp Date]]&gt;0, SnapshotTable[[#This Row],[LP Strike Price]]&gt;0,SnapshotTable[[#This Row],[LP Qty]]&gt;0,SnapshotTable[[#This Row],[LP Book Date]]&gt;0,SnapshotTable[[#This Row],[LP Book Price]]&gt;0,SnapshotTable[[#This Row],[LP Fill Date]]=0),"Y","")</f>
        <v/>
      </c>
      <c r="BP240" s="31" t="str">
        <f>IF(AND(SnapshotTable[[#This Row],[LP No Fill]]&lt;&gt;"Y",SnapshotTable[[#This Row],[LP Contract Value]]&gt;0, SnapshotTable[[#This Row],[LP Qty]]&gt;0), SnapshotTable[[#This Row],[LP Contract Value]]*SnapshotTable[[#This Row],[LP Qty]]*100,"")</f>
        <v/>
      </c>
      <c r="BQ240" s="13"/>
      <c r="BR240" s="5" t="str">
        <f>IF(SnapshotTable[[#This Row],[SP Exp Date]]&lt;&gt;"",TRUNC(SnapshotTable[[#This Row],[Last Price]]),"")</f>
        <v/>
      </c>
      <c r="BS240" s="36"/>
      <c r="BT240" s="147"/>
      <c r="BU240" s="13"/>
      <c r="BV240" s="5"/>
      <c r="BW240" s="419" t="b">
        <f>AND(ISNUMBER(SnapshotTable[[#This Row],[SP Exp Date]]), ISNUMBER(SnapshotTable[[#This Row],[SP Strike Price]]), ISNUMBER(SnapshotTable[[#This Row],[SP Qty]]), ISNUMBER(SnapshotTable[[#This Row],[SP Book Date]]), ISNUMBER(SnapshotTable[[#This Row],[SP Book Price]]))</f>
        <v>0</v>
      </c>
      <c r="BX240" s="419" t="b">
        <f>AND(SnapshotTable[[#This Row],[SP Is Booked]], NOT(ISBLANK(SnapshotTable[[#This Row],[SP Fill Date]])))</f>
        <v>0</v>
      </c>
      <c r="BY240" s="33">
        <f>IF(SnapshotTable[[#This Row],[SP Is Booked]], SnapshotTable[[#This Row],[SP Qty]] * SnapshotTable[[#This Row],[SP Book Price]] * 100, 0)</f>
        <v>0</v>
      </c>
      <c r="BZ240" s="369"/>
      <c r="CA240" s="368">
        <f>SnapshotTable[[#This Row],[LP Qty]]</f>
        <v>0</v>
      </c>
      <c r="CB240" s="4" t="str">
        <f>IF(SnapshotTable[[#This Row],[SP Is Booked]], SnapshotTable[[#This Row],[SP Strike Price]] - SnapshotTable[[#This Row],[SP Book Price]], "")</f>
        <v/>
      </c>
      <c r="CC240" s="19" t="str">
        <f>IF(SnapshotTable[[#This Row],[SP Is Booked]],SnapshotTable[[#This Row],[SP Exp Date]]-MAX(SnapshotTable[[#This Row],[SP Book Date]], SnapshotTable[[#This Row],[SP Fill Date]]),"")</f>
        <v/>
      </c>
      <c r="CD240" s="7" t="str">
        <f>IF(SnapshotTable[[#This Row],[SP Is Booked]], SnapshotTable[[#This Row],[SP Book Price]]/SnapshotTable[[#This Row],[SP Strike Price]], "")</f>
        <v/>
      </c>
      <c r="CE240" s="7" t="str">
        <f>IF(ISNUMBER(SnapshotTable[[#This Row],[SP ROO Term]]),SnapshotTable[[#This Row],[SP ROO Term]]*(365/SnapshotTable[[#This Row],[SP Term]]),"")</f>
        <v/>
      </c>
      <c r="CF240" s="236">
        <f>SnapshotTable[[#This Row],[LP Strike Price]] * SnapshotTable[[#This Row],[LP Qty]] * 100</f>
        <v>0</v>
      </c>
      <c r="CG240" s="31" t="e">
        <f>IF(ISNUMBER(SnapshotTable[[#This Row],[SP Premium]]), (SnapshotTable[[#This Row],[SP Qty]] * SnapshotTable[[#This Row],[SP Strike Price]]* 100) - SnapshotTable[[#This Row],[LP Protection]], 0)</f>
        <v>#VALUE!</v>
      </c>
      <c r="CH240" s="7" t="str">
        <f>IF(ISNUMBER(SnapshotTable[[#This Row],[SP Break Even]]),-1 * (SnapshotTable[[#This Row],[SP Break Even]] - SnapshotTable[[#This Row],[Last Price]]) / SnapshotTable[[#This Row],[Last Price]], "")</f>
        <v/>
      </c>
      <c r="CI240" s="31">
        <f>IF(AND(ISNUMBER((SnapshotTable[[#This Row],[SP Potential Spend]])), SnapshotTable[[#This Row],[SP Strike Price]] &gt; SnapshotTable[[#This Row],[Last Price]], SnapshotTable[[#This Row],[SP Is Filled]]), SnapshotTable[[#This Row],[SP Potential Spend]] -  SnapshotTable[[#This Row],[LP Max Value]], 0)</f>
        <v>0</v>
      </c>
      <c r="CJ240" s="244"/>
      <c r="CK240" s="31" t="str">
        <f>IF(ISNUMBER(SnapshotTable[[#This Row],[SP Potential Spend]]),IF(ISNUMBER(SnapshotTable[[#This Row],[SP POW]]), SnapshotTable[[#This Row],[SP POW]] * SnapshotTable[[#This Row],[SP Potential Spend]], SnapshotTable[[#This Row],[SP Potential Spend]]), "")</f>
        <v/>
      </c>
      <c r="CL240" s="164" t="e">
        <f>IF(NOT(SnapshotTable[[#This Row],[SP Is Filled]]),(SnapshotTable[[#This Row],[SP Qty]] * SnapshotTable[[#This Row],[SP Strike Price]] * 100) - SnapshotTable[[#This Row],[LP Max Value]],"")</f>
        <v>#VALUE!</v>
      </c>
      <c r="CM240" s="31" t="str">
        <f>IF(SnapshotTable[[#This Row],[SP Actual Spend]]&lt;&gt;0, ((SnapshotTable[[#This Row],[SP Strike Price]]-SnapshotTable[[#This Row],[Last Price]]) *(SnapshotTable[[#This Row],[SP Qty]]*100) - SnapshotTable[[#This Row],[SP Premium]]) * - 1, "")</f>
        <v/>
      </c>
      <c r="CN240" s="154"/>
      <c r="CO240" s="369"/>
      <c r="CP240" s="320" t="str">
        <f>IF(SnapshotTable[[#This Row],[SP Is Filled]], btc_max_buyback_amount(SnapshotTable[[#This Row],[SP Fill Date]],SnapshotTable[[#This Row],[SP Exp Date]], SnapshotTable[[#This Row],[SP Book Price]]),"")</f>
        <v/>
      </c>
      <c r="CQ240" s="78"/>
      <c r="CR240" s="76"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0" s="155" t="str">
        <f>IF(SnapshotTable[[#This Row],[SP Is Filled]], btc_next_cutoff_date(SnapshotTable[[#This Row],[SP Fill Date]],SnapshotTable[[#This Row],[SP Exp Date]]),"")</f>
        <v/>
      </c>
      <c r="CT240" s="235" t="str" cm="1">
        <f t="array" ref="CT240">IF(SnapshotTable[[#This Row],[SP Is Filled]], btc_should_buy_back(SnapshotTable[[#This Row],[SP Fill Date]], SnapshotTable[[#This Row],[SP Exp Date]], SnapshotTable[[#This Row],[SP Book Price]], SnapshotTable[[#This Row],[SP Current Ask]], MockToday, SnapshotTable[[#This Row],[SP Buyback Override]]),"")</f>
        <v/>
      </c>
      <c r="CU240" s="156"/>
      <c r="CV240" s="235"/>
      <c r="CW240" s="378" t="str">
        <f>IF(ISNUMBER( SnapshotTable[[#This Row],[SP Term]]), SnapshotTable[[#This Row],[SP Exp Date]] - MockToday,"")</f>
        <v/>
      </c>
      <c r="CX240" s="31" t="str">
        <f>IF(SnapshotTable[[#This Row],[SP Is Filled]],SnapshotTable[[#This Row],[SP Buyback Price to Use]] * 100 * SnapshotTable[[#This Row],[SP Qty]], "")</f>
        <v/>
      </c>
      <c r="CY240" s="4" t="str">
        <f>IF(ISNUMBER(SnapshotTable[[#This Row],[SP Strike Price]]), SnapshotTable[[#This Row],[SP Strike Price]] * (1 - SP_MaxLoss_StrikePct), "")</f>
        <v/>
      </c>
      <c r="CZ240" s="31" t="str">
        <f>IF(ISNUMBER(SnapshotTable[[#This Row],[SP Strike  Stop Per Share]]),SnapshotTable[[#This Row],[SP Premium]] - ((SnapshotTable[[#This Row],[SP Strike Price]]-SnapshotTable[[#This Row],[SP Strike  Stop Per Share]]) *(SnapshotTable[[#This Row],[SP Qty]] * 100)),"")</f>
        <v/>
      </c>
      <c r="DA240" s="4" t="str">
        <f>IF(AND(ISNUMBER(SnapshotTable[[#This Row],[SP Premium]]),SnapshotTable[[#This Row],[SP Premium]]&gt;0), SnapshotTable[[#This Row],[SP Book Price]] * (1 + SP_MaxLoss_OptionPct), "")</f>
        <v/>
      </c>
      <c r="DB240" s="31" t="str">
        <f>IF(ISNUMBER(SnapshotTable[[#This Row],[SP Option  Stop Contract]]),(SnapshotTable[[#This Row],[SP Option  Stop Contract]] *(SnapshotTable[[#This Row],[SP Qty]] * 100) - SnapshotTable[[#This Row],[SP Premium]]),"")</f>
        <v/>
      </c>
      <c r="DC240" s="4"/>
      <c r="DD240" s="4"/>
      <c r="DE240" s="4" t="str">
        <f>IF(AND(SnapshotTable[[#This Row],[SP Qty]]&gt;0, SnapshotTable[[#This Row],[SP Stop To Use]]&gt;0),SnapshotTable[[#This Row],[SP Premium]] - ( SnapshotTable[[#This Row],[SP Qty]] * SnapshotTable[[#This Row],[SP Stop To Use]] * 100), "")</f>
        <v/>
      </c>
      <c r="DF240" s="31" t="str">
        <f>IF(AND(SnapshotTable[[#This Row],[SP Qty]]&gt;0,SnapshotTable[[#This Row],[SP Current Ask]]&gt;0), SnapshotTable[[#This Row],[SP Qty]] * SnapshotTable[[#This Row],[SP Current Ask]] * -100, "")</f>
        <v/>
      </c>
      <c r="DG240" s="31" t="str">
        <f>IF(ISNUMBER((SnapshotTable[[#This Row],[SP Total Value]])), SnapshotTable[[#This Row],[SP Premium]] + SnapshotTable[[#This Row],[SP Total Value]], "")</f>
        <v/>
      </c>
      <c r="DH240" s="294" t="str">
        <f>IF(ISNUMBER((SnapshotTable[[#This Row],[SP Total Value]])), SnapshotTable[[#This Row],[SP Gain Loss]] / SnapshotTable[[#This Row],[SP Premium]], "")</f>
        <v/>
      </c>
      <c r="DI240" s="406"/>
      <c r="DJ240" s="138"/>
      <c r="DK240" s="148"/>
      <c r="DL240" s="147"/>
      <c r="DM240" s="147"/>
      <c r="DO240" s="31">
        <f>IF(SnapshotTable[[#This Row],[LC Symbol Count]]=1, SnapshotTable[[#This Row],[LC Qty]] * SnapshotTable[[#This Row],[LC Book Price]] * 100, 0)</f>
        <v>0</v>
      </c>
      <c r="DP240" s="289" t="str">
        <f>IF(AND(SnapshotTable[[#This Row],[LC Exp Date]]&gt;0, SnapshotTable[[#This Row],[LC Strike Price]]&gt;0,SnapshotTable[[#This Row],[LC Qty]]&gt;0,SnapshotTable[[#This Row],[LC Book Date]]&gt;0,SnapshotTable[[#This Row],[LC Book Price]]&gt;0,SnapshotTable[[#This Row],[LC Fill Date]]=0),"Y","")</f>
        <v/>
      </c>
      <c r="DQ240" s="386" t="str">
        <f>IF(SnapshotTable[[#This Row],[LC Premium]] &gt; 0,SnapshotTable[[#This Row],[LC Exp Date]]-MAX(SnapshotTable[[#This Row],[LC Book Date]], SnapshotTable[[#This Row],[LC Fill Date]]),"")</f>
        <v/>
      </c>
      <c r="DR240" s="386" t="str">
        <f>IF(ISNUMBER(SnapshotTable[[#This Row],[LC Term]]), SnapshotTable[[#This Row],[LC Exp Date]] - MockToday, "")</f>
        <v/>
      </c>
      <c r="DS240" s="234" t="str">
        <f>IF(SnapshotTable[[#This Row],[LC Premium]]&gt;0,SnapshotTable[[#This Row],[LC Strike Price]] + SnapshotTable[[#This Row],[LC Book Price]],"")</f>
        <v/>
      </c>
      <c r="DT240" s="5">
        <v>2.85</v>
      </c>
      <c r="DU240" s="9">
        <f>IF(AND(SnapshotTable[[#This Row],[LC Symbol Count]]&gt;0, SnapshotTable[[#This Row],[LC Contract Value]]&gt;0), SnapshotTable[[#This Row],[LC Contract Value]] * SnapshotTable[[#This Row],[LC Qty]] * 100, "")</f>
        <v>0</v>
      </c>
      <c r="DV240" s="9">
        <f>IF(AND(ISNUMBER(SnapshotTable[[#This Row],[LC Total Value]]), SnapshotTable[[#This Row],[LC Not Filled]]&lt;&gt;"Y"), SnapshotTable[[#This Row],[LC Total Value]]-SnapshotTable[[#This Row],[LC Premium]],"")</f>
        <v>0</v>
      </c>
      <c r="DW240" s="240" t="e">
        <f>IF(ISNUMBER(SnapshotTable[[#This Row],[LC Actual Gain Loss]]), SnapshotTable[[#This Row],[LC Actual Gain Loss]] / SnapshotTable[[#This Row],[LC Premium]],"")</f>
        <v>#DIV/0!</v>
      </c>
      <c r="DX240" s="284" t="str">
        <f>IF(ISNUMBER(SnapshotTable[[#This Row],[LC Book Price]]),SnapshotTable[[#This Row],[LC Book Price]] * 1.5,"")</f>
        <v/>
      </c>
      <c r="DY240" s="265" t="str">
        <f>IF(SnapshotTable[[#This Row],[LC Premium]]&gt;0, SnapshotTable[[#This Row],[LC Next Target]] * SnapshotTable[[#This Row],[LC Qty]] * 100,"")</f>
        <v/>
      </c>
      <c r="DZ240" s="265" t="str">
        <f>IF(ISNUMBER(SnapshotTable[[#This Row],[LC Target Gross]]), SnapshotTable[[#This Row],[LC Target Gross]] - SnapshotTable[[#This Row],[LC Premium]], "")</f>
        <v/>
      </c>
      <c r="EA240" s="305" t="str">
        <f>IF(ISNUMBER(SnapshotTable[[#This Row],[LC Target Gain Loss]]), SnapshotTable[[#This Row],[LC Target Gain Loss]]/SnapshotTable[[#This Row],[LC Premium]], "")</f>
        <v/>
      </c>
      <c r="EB240" s="262"/>
      <c r="EC240" s="290" t="str">
        <f>IF(SnapshotTable[[#This Row],[LC Premium]]&gt;0, SnapshotTable[[#This Row],[LC Book Price]] * (1 - LC_StopLoss_Pct),"")</f>
        <v/>
      </c>
      <c r="ED240" s="284"/>
      <c r="EE240" s="290" t="str">
        <f>IF(ISNUMBER(SnapshotTable[[#This Row],[LC Contract Value]]),IF(ISNUMBER(SnapshotTable[[#This Row],[LC Stop Loss Override]]), SnapshotTable[[#This Row],[LC Stop Loss Override]],SnapshotTable[[#This Row],[LC Stop Loss Calc Target]]),"")</f>
        <v/>
      </c>
      <c r="EF240" s="321" t="str">
        <f>IF(ISNUMBER(SnapshotTable[[#This Row],[LC Stop  To Use]]), (SnapshotTable[[#This Row],[LC Stop  To Use]] * SnapshotTable[[#This Row],[LC Qty]] * 100),"")</f>
        <v/>
      </c>
      <c r="EG240" s="9" t="e">
        <f>IF(ISNUMBER(SnapshotTable[[#This Row],[LC Total Value]]),SnapshotTable[[#This Row],[LC Stop Loss Amount]] - SnapshotTable[[#This Row],[LC Premium]],"")</f>
        <v>#VALUE!</v>
      </c>
      <c r="EH240" s="9">
        <f>IF(ISNUMBER(SnapshotTable[[#This Row],[LC Premium]]), SnapshotTable[[#This Row],[LC Qty]] * 100 * SnapshotTable[[#This Row],[LC Strike Price]], "")</f>
        <v>0</v>
      </c>
      <c r="EI240" s="240" t="str">
        <f>IF(AND(ISNUMBER(SnapshotTable[[#This Row],[LC Total Value]]),SnapshotTable[[#This Row],[LC Total Value]]&gt;0),SnapshotTable[[#This Row],[LC Stop Gain Loss]]  / SnapshotTable[[#This Row],[LC Premium]],"")</f>
        <v/>
      </c>
      <c r="EJ240" s="35">
        <f>IF(ISNUMBER(SnapshotTable[[#This Row],[Equity Shares]]),TRUNC(SnapshotTable[[#This Row],[Equity Shares]] / 100),0) + SnapshotTable[[#This Row],[LC Qty]]</f>
        <v>0</v>
      </c>
      <c r="EK240" s="147"/>
      <c r="EL240" s="138" t="str">
        <f>IF(SnapshotTable[[#This Row],[SC Exp Date]]&lt;&gt;"",TRUNC(SnapshotTable[[#This Row],[Last Price]]),"")</f>
        <v/>
      </c>
      <c r="EM240" s="148"/>
      <c r="EN240" s="147"/>
      <c r="EO240" s="147"/>
      <c r="EP240" s="138"/>
      <c r="EQ240" s="419" t="b">
        <f>AND(ISNUMBER(SnapshotTable[[#This Row],[SC Exp Date]]), ISNUMBER(SnapshotTable[[#This Row],[SC Strike Price]]), ISNUMBER(SnapshotTable[[#This Row],[SC Qty]]), ISNUMBER(SnapshotTable[[#This Row],[SC Book Date]]), ISNUMBER(SnapshotTable[[#This Row],[SC Book Price]]))</f>
        <v>0</v>
      </c>
      <c r="ER240" s="419" t="b">
        <f>AND(SnapshotTable[[#This Row],[SC Is Booked]], NOT(ISBLANK(SnapshotTable[[#This Row],[SC Fill Date]])))</f>
        <v>0</v>
      </c>
      <c r="ES240" s="370"/>
      <c r="ET240" s="34" t="str">
        <f>IF(AND(ISNUMBER(SnapshotTable[[#This Row],[SC Exp Date]]), ISNUMBER(SnapshotTable[[#This Row],[SC Book Date]])), SnapshotTable[[#This Row],[SC Exp Date]] - MAX(SnapshotTable[[#This Row],[SC Book Date]], SnapshotTable[[#This Row],[SC Fill Date]]) + 1, "")</f>
        <v/>
      </c>
      <c r="EU240" s="34" t="str">
        <f>IF(ISNUMBER(SnapshotTable[[#This Row],[SC Term]]), SnapshotTable[[#This Row],[SC Exp Date]]- MockToday, "")</f>
        <v/>
      </c>
      <c r="EV240" s="31">
        <f>IF(SnapshotTable[[#This Row],[SC Is Booked]], SnapshotTable[[#This Row],[SC Qty]] * SnapshotTable[[#This Row],[SC Book Price]] * 100, 0)</f>
        <v>0</v>
      </c>
      <c r="EW240" s="4" t="str">
        <f>IF(AND(ISNUMBER(SnapshotTable[[#This Row],[Last Price]]), ISNUMBER( SnapshotTable[[#This Row],[SC Book Price]])), SnapshotTable[[#This Row],[Last Price]] - SnapshotTable[[#This Row],[SC Book Price]],"")</f>
        <v/>
      </c>
      <c r="EX240" s="234" t="str">
        <f>IF(SnapshotTable[[#This Row],[SC Is Booked]],IF(SnapshotTable[[#This Row],[SC Intrinsic Value]] &gt; 0, SnapshotTable[[#This Row],[SC Strike Price]], SnapshotTable[[#This Row],[Last Price]]), "")</f>
        <v/>
      </c>
      <c r="EY240" s="4">
        <f>IF(SnapshotTable[[#This Row],[SC Is Booked]], (MinimumPremiumRequired * SnapshotTable[[#This Row],[SC Basis]] * SnapshotTable[[#This Row],[SC Term]]), 0)</f>
        <v>0</v>
      </c>
      <c r="EZ240" s="283"/>
      <c r="FA240" s="218"/>
      <c r="FB240" s="370"/>
      <c r="FC240" s="4">
        <f>IF(SnapshotTable[[#This Row],[SC Is Filled]], btc_max_buyback_amount(SnapshotTable[[#This Row],[SC Fill Date]],SnapshotTable[[#This Row],[SC Exp Date]], SnapshotTable[[#This Row],[SC Book Price]]),0)</f>
        <v>0</v>
      </c>
      <c r="FD240" s="5"/>
      <c r="FE240" s="144" t="str">
        <f>IF(SnapshotTable[[#This Row],[SC Is Filled]], btc_next_cutoff_date(SnapshotTable[[#This Row],[SC Fill Date]],SnapshotTable[[#This Row],[SC Exp Date]]),"")</f>
        <v/>
      </c>
      <c r="FF240" s="4" t="str" cm="1">
        <f t="array" ref="FF240">IF(SnapshotTable[[#This Row],[SC Is Filled]], btc_should_buy_back(SnapshotTable[[#This Row],[SC Fill Date]], SnapshotTable[[#This Row],[SC Exp Date]], SnapshotTable[[#This Row],[SC Book Price]], SnapshotTable[[#This Row],[SC Current Ask]], MockToday, SnapshotTable[[#This Row],[SC Buyback Override]]),"")</f>
        <v/>
      </c>
      <c r="FG240" s="4">
        <f>IF(SnapshotTable[[#This Row],[SC Is Filled]], MAX(0,SnapshotTable[[#This Row],[Last Price]]  - SnapshotTable[[#This Row],[SC Strike Price]]), 0)</f>
        <v>0</v>
      </c>
      <c r="FH240" s="382">
        <f>IF(SnapshotTable[[#This Row],[SC Is Filled]], IF(ISNUMBER(SnapshotTable[[#This Row],[SC Current Ask]]), SnapshotTable[[#This Row],[SC Current Ask]], SnapshotTable[[#This Row],[SC Book Price]]) - SnapshotTable[[#This Row],[SC Intrinsic Value]], 0)</f>
        <v>0</v>
      </c>
      <c r="FI240" s="143"/>
      <c r="FJ240" s="32" t="str">
        <f>IF(SnapshotTable[[#This Row],[SC Is Filled]],100 * SnapshotTable[[#This Row],[SC Qty]] * IF(ISNUMBER(SnapshotTable[[#This Row],[SC Buyback Override]]), SnapshotTable[[#This Row],[SC Buyback Override]], SnapshotTable[[#This Row],[SC Current Ask]]), "")</f>
        <v/>
      </c>
      <c r="FK240" s="250" t="str">
        <f>IF(SnapshotTable[[#This Row],[SC Time Val]]&gt;0, SnapshotTable[[#This Row],[SC Time Val]] / SnapshotTable[[#This Row],[Last Price]],"")</f>
        <v/>
      </c>
      <c r="FL240" s="302" t="str">
        <f>IF(SnapshotTable[[#This Row],[SC Is Booked]], ((SnapshotTable[[#This Row],[Last Price]] -SnapshotTable[[#This Row],[SC Strike Price]]) / SnapshotTable[[#This Row],[Last Price]]) * -1, "")</f>
        <v/>
      </c>
      <c r="FM240" s="157" t="str">
        <f>IF(SnapshotTable[[#This Row],[SC Is Booked]],  (SnapshotTable[[#This Row],[SC Qty]] * 100 * SnapshotTable[[#This Row],[SC Strike Price]]) - SnapshotTable[[#This Row],[SC Current Ask]], "")</f>
        <v/>
      </c>
      <c r="FN240"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0" s="157" t="str">
        <f>IF(AND(ISNUMBER(SnapshotTable[[#This Row],[SC Exercise Gross]]), ISNUMBER(SnapshotTable[[#This Row],[Equity Basis Per Share]] )), SnapshotTable[[#This Row],[SC Exercise Gross]] - SnapshotTable[[#This Row],[Equity Basis Total]] +  SnapshotTable[[#This Row],[SC Premium]], "")</f>
        <v/>
      </c>
      <c r="FP240" s="5" t="str">
        <f>IF(ISNUMBER(SnapshotTable[[#This Row],[SC Exercise Gross]]), (SnapshotTable[[#This Row],[SC Exercise Gross]]) / (SnapshotTable[[#This Row],[SC Qty]] * 100), "")</f>
        <v/>
      </c>
      <c r="FQ240" s="27" t="str">
        <f>IF(SnapshotTable[[#This Row],[SC Is Booked]],SnapshotTable[[#This Row],[SC Time Val]] /SnapshotTable[[#This Row],[SC Basis]], "")</f>
        <v/>
      </c>
      <c r="FR240" s="27" t="str" cm="1">
        <f t="array" ref="FR240">IF(AND(ISNUMBER(SnapshotTable[[#This Row],[SC Term]]),ISNUMBER(SnapshotTable[[#This Row],[SC Simple ROO]])), EllmanAnnualize(SnapshotTable[[#This Row],[SC DTE]], SnapshotTable[[#This Row],[SC Simple ROO]] ),"")</f>
        <v/>
      </c>
      <c r="FS240" s="4" t="e">
        <f>IF(SnapshotTable[[#This Row],[SC Strike Price]] &gt; SnapshotTable[[#This Row],[Last Price]], SnapshotTable[[#This Row],[SC Strike Price]] - SnapshotTable[[#This Row],[Last Price]],0)</f>
        <v>#VALUE!</v>
      </c>
      <c r="FT240" s="27" t="e">
        <f>IF(AND(ISNUMBER(SnapshotTable[[#This Row],[SC Upside Potential]]), SnapshotTable[[#This Row],[SC Upside Potential]] &gt; 0),(SnapshotTable[[#This Row],[SC Upside Potential]]/ SnapshotTable[[#This Row],[ACB]]),"")</f>
        <v>#VALUE!</v>
      </c>
      <c r="FU240" s="333" t="str">
        <f>IF(SnapshotTable[[#This Row],[SC Intrinsic Value]] &gt; 0,SnapshotTable[[#This Row],[SC Intrinsic Value]],"")</f>
        <v/>
      </c>
      <c r="FV240" s="27" t="str">
        <f>IF(AND( ISNUMBER( SnapshotTable[[#This Row],[ACB]]),ISNUMBER(SnapshotTable[[#This Row],[SC Downside Protect]])),SnapshotTable[[#This Row],[SC Downside Protect]] / SnapshotTable[[#This Row],[ACB]],"")</f>
        <v/>
      </c>
      <c r="FW240" s="236" t="str">
        <f>IF(AND(ISNUMBER(SnapshotTable[[#This Row],[SC Simple ROO]]),SnapshotTable[[#This Row],[SC Simple ROO]] &gt; 0), SnapshotTable[[#This Row],[SC Premium]] + (SnapshotTable[[#This Row],[SC Qty]] * SnapshotTable[[#This Row],[SC Upside Potential]]), "")</f>
        <v/>
      </c>
      <c r="FX240" s="302" t="str" cm="1">
        <f t="array" ref="FX240">IF(ISNUMBER(SnapshotTable[[#This Row],[SC Max Dollars]]), annualize(SnapshotTable[[#This Row],[SC Term]],(SnapshotTable[[#This Row],[SC Max Dollars]]/SnapshotTable[[#This Row],[SC Basis]])),"")</f>
        <v/>
      </c>
      <c r="FY240" s="236" t="str">
        <f>IF(AND(SnapshotTable[[#This Row],[SC Qty]]&gt;0,SnapshotTable[[#This Row],[SC Current Ask]]&gt;0), SnapshotTable[[#This Row],[SC Qty]] * SnapshotTable[[#This Row],[SC Current Ask]] * -100, "")</f>
        <v/>
      </c>
      <c r="FZ240" s="235" t="str">
        <f>IF(ISNUMBER((SnapshotTable[[#This Row],[SC Current Value]])), SnapshotTable[[#This Row],[SC Premium]] + SnapshotTable[[#This Row],[SC Current Value]], "")</f>
        <v/>
      </c>
      <c r="GA240" s="294" t="str">
        <f>IFERROR( IF(ISNUMBER((SnapshotTable[[#This Row],[SC Current Value]])), SnapshotTable[[#This Row],[SC Gain Loss]] / SnapshotTable[[#This Row],[SC Premium]], ""), "")</f>
        <v/>
      </c>
      <c r="GB240" s="42">
        <f>SnapshotTable[[#This Row],[Equity Shares]] * SaleSharesToConsiderPercentage</f>
        <v>0</v>
      </c>
      <c r="GC240" s="40">
        <f>SnapshotTable[[#This Row],[Long Term Target]] * SellingPriceToConsiderBasedOnTargetPercentage</f>
        <v>150.6225</v>
      </c>
      <c r="GD240" s="40">
        <f>SnapshotTable[[#This Row],[Last Price]] * (1+ SellingPriceToConsiderBasedOnTargetPercentage)</f>
        <v>521.42999999999995</v>
      </c>
      <c r="GE240" s="41"/>
      <c r="GF240" s="40"/>
      <c r="GG240" s="31">
        <f>SnapshotTable[[#This Row],[Booked Sale Shares]] * SnapshotTable[[#This Row],[Booked Sale Price]]</f>
        <v>0</v>
      </c>
      <c r="GH240" s="31" t="str">
        <f>IF(SnapshotTable[[#This Row],[Equity Basis Total]] &gt; 0, SnapshotTable[[#This Row],[Equity Basis Per Share]] * SnapshotTable[[#This Row],[Booked Sale Shares]], "")</f>
        <v/>
      </c>
      <c r="GI240" s="31">
        <f>IF(SnapshotTable[[#This Row],[Sale Proceeds]]&gt;0, SnapshotTable[[#This Row],[Sale Proceeds]] - SnapshotTable[[#This Row],[Sale Basis]], 0)</f>
        <v>0</v>
      </c>
      <c r="GJ240" s="158" t="str">
        <f>IF(SnapshotTable[[#This Row],[Sale G/L]]&gt;0, SnapshotTable[[#This Row],[Sale G/L]] / SnapshotTable[[#This Row],[Sale Basis]], IF(ISNUMBER(SnapshotTable[[#This Row],[SC Exercise P&amp;L (TAX)]]), SnapshotTable[[#This Row],[SC Exercise P&amp;L (TAX)]] / SnapshotTable[[#This Row],[SC Basis]], ""))</f>
        <v/>
      </c>
      <c r="GK240" s="27"/>
      <c r="GL240" s="159" t="str">
        <f>IF(AND(SnapshotTable[[#This Row],[LP Exp Date]]&gt;0,SnapshotTable[[#This Row],[LP Strike Price]]&gt;0), [1]!ToOptionSymbol(SnapshotTable[[#This Row],[Symbol]], SnapshotTable[[#This Row],[LP Strike Price]],SnapshotTable[[#This Row],[LP Exp Date]],1), "")</f>
        <v/>
      </c>
      <c r="GM240" s="30" t="str">
        <f>IF(LEN(SnapshotTable[[#This Row],[LP Symbol]])&gt;0, 1, "")</f>
        <v/>
      </c>
      <c r="GN240" s="43" t="str">
        <f>IF(AND(SnapshotTable[[#This Row],[SP Exp Date]]&gt;0,SnapshotTable[[#This Row],[SP Strike Price]]&gt;0), [1]!ToOptionSymbol(SnapshotTable[[#This Row],[Symbol]], SnapshotTable[[#This Row],[SP Strike Price]],SnapshotTable[[#This Row],[SP Exp Date]],1), "")</f>
        <v/>
      </c>
      <c r="GO240" s="30" t="str">
        <f>IF(LEN(SnapshotTable[[#This Row],[SP Symbol]])&gt;0, 1, "")</f>
        <v/>
      </c>
      <c r="GP240" s="159" t="str">
        <f>IF(AND(SnapshotTable[[#This Row],[LC Exp Date]]&gt;0,SnapshotTable[[#This Row],[LC Strike Price]]&gt;0), [1]!ToOptionSymbol(SnapshotTable[[#This Row],[Symbol]], SnapshotTable[[#This Row],[LC Strike Price]],SnapshotTable[[#This Row],[LC Exp Date]],0), "")</f>
        <v/>
      </c>
      <c r="GQ240" s="160" t="str">
        <f>IF(LEN(SnapshotTable[[#This Row],[LC Symbol]])&gt;0, 1, "")</f>
        <v/>
      </c>
      <c r="GR240" s="159" t="str">
        <f>IF(AND(SnapshotTable[[#This Row],[SC Exp Date]]&gt;0,SnapshotTable[[#This Row],[SC Strike Price]]&gt;0), [1]!ToOptionSymbol(SnapshotTable[[#This Row],[Symbol]], SnapshotTable[[#This Row],[SC Strike Price]],SnapshotTable[[#This Row],[SC Exp Date]],0), "")</f>
        <v/>
      </c>
      <c r="GS240" s="160" t="str">
        <f>IF(LEN(SnapshotTable[[#This Row],[SC Symbol]])&gt;0, 1, "")</f>
        <v/>
      </c>
      <c r="GT240" s="161" t="str">
        <f>IF(COUNT(SnapshotTable[[#This Row],[LP Symbol Count]],SnapshotTable[[#This Row],[SP Symbol Count]],SnapshotTable[[#This Row],[LC Symbol Count]],SnapshotTable[[#This Row],[SC Symbol Count]])&gt;0, "Y", "")</f>
        <v/>
      </c>
      <c r="GU24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0" s="231" t="e">
        <f>MAX(SnapshotTable[[#This Row],[Equity Basis Total]],SnapshotTable[[#This Row],[Equity Value]]) + (SnapshotTable[[#This Row],[SP Potential Spend]]- SnapshotTable[[#This Row],[SP Premium]] + SnapshotTable[[#This Row],[LP Premium]])+ (SnapshotTable[[#This Row],[LC Premium]] - SnapshotTable[[#This Row],[SC Premium]])</f>
        <v>#VALUE!</v>
      </c>
      <c r="GW240" s="139" t="e">
        <f>IF(AND(SnapshotTable[[#This Row],[Exposure]] &lt;&gt; 0),SnapshotTable[[#This Row],[Exposure]] / SnapshotTable[[#Totals],[Exposure]], "")</f>
        <v>#VALUE!</v>
      </c>
      <c r="GX240" s="5"/>
      <c r="HE240" s="268"/>
      <c r="HF240" s="268"/>
      <c r="HK240" s="1"/>
      <c r="HL240" s="1"/>
      <c r="HM240" s="1"/>
      <c r="HN240" s="1"/>
      <c r="HO240" s="1"/>
      <c r="HP240" s="1"/>
    </row>
    <row r="241" spans="2:224" ht="12.75" hidden="1" customHeight="1" x14ac:dyDescent="0.25">
      <c r="B241" s="12" t="s">
        <v>1047</v>
      </c>
      <c r="C241" s="422">
        <v>104.61</v>
      </c>
      <c r="D241" s="208"/>
      <c r="E241" s="39">
        <f>SnapshotTable[[#This Row],[Last Price]]*(1 -CrashDiscount)</f>
        <v>88.918499999999995</v>
      </c>
      <c r="F241" s="26" t="s">
        <v>604</v>
      </c>
      <c r="G241" s="26" t="s">
        <v>49</v>
      </c>
      <c r="H241" s="149"/>
      <c r="I241" s="194">
        <v>44868.291666666664</v>
      </c>
      <c r="J241" s="195">
        <v>44868.291666666664</v>
      </c>
      <c r="K241" s="196"/>
      <c r="L241" s="326"/>
      <c r="M241" s="140"/>
      <c r="N241" s="140"/>
      <c r="O241" s="140"/>
      <c r="P241" s="22"/>
      <c r="Q241" s="25"/>
      <c r="R241" s="4" t="str">
        <f>IF(SnapshotTable[[#This Row],[Equity Basis Total]] &gt; 0, SnapshotTable[[#This Row],[Equity Basis Total]] / SnapshotTable[[#This Row],[Equity Shares]], "")</f>
        <v/>
      </c>
      <c r="S241" s="269">
        <f>SnapshotTable[[#This Row],[Last Price]] * SnapshotTable[[#This Row],[Equity Shares]]</f>
        <v>0</v>
      </c>
      <c r="T241" s="269">
        <f>SnapshotTable[[#This Row],[Equity Value]] - SnapshotTable[[#This Row],[Equity Basis Total]]</f>
        <v>0</v>
      </c>
      <c r="U241" s="270" t="str">
        <f>IF(SnapshotTable[[#This Row],[Equity Basis Total]] &gt; 0, SnapshotTable[[#This Row],[Equity G/L]] / SnapshotTable[[#This Row],[Equity Basis Total]], "")</f>
        <v/>
      </c>
      <c r="V241" s="268"/>
      <c r="W241" s="268"/>
      <c r="X241" s="4" t="str">
        <f>IF(AND(ISNUMBER(SnapshotTable[[#This Row],[Equity Basis Per Share]]),ISNUMBER(SnapshotTable[[#This Row],[Equity Target]])),SnapshotTable[[#This Row],[Equity Target]]-SnapshotTable[[#This Row],[Equity Basis Per Share]],"")</f>
        <v/>
      </c>
      <c r="Y241" s="4" t="str">
        <f>IF(AND(ISNUMBER(SnapshotTable[[#This Row],[Equity Basis Per Share]]),ISNUMBER(SnapshotTable[[#This Row],[Equity Stop Loss]])),SnapshotTable[[#This Row],[Equity Stop Loss]]-SnapshotTable[[#This Row],[Equity Basis Per Share]],"")</f>
        <v/>
      </c>
      <c r="Z241" s="275" t="str">
        <f>IFERROR( TEXT(SnapshotTable[[#This Row],[Equity Max Gain Per Share]] /ABS( SnapshotTable[[#This Row],[Equity Max Loss Per Share]]),"0.0 " ) &amp; " : 1", "")</f>
        <v/>
      </c>
      <c r="AA241" s="31" t="str">
        <f>IF(ISNUMBER(SnapshotTable[[#This Row],[Equity Max Gain Per Share]]),SnapshotTable[[#This Row],[Equity Max Gain Per Share]] * SnapshotTable[[#This Row],[Equity Shares]],"")</f>
        <v/>
      </c>
      <c r="AB241" s="31" t="str">
        <f>IF(ISNUMBER(SnapshotTable[[#This Row],[Equity Max Loss Per Share]]),SnapshotTable[[#This Row],[Equity Max Loss Per Share]] * SnapshotTable[[#This Row],[Equity Shares]],"")</f>
        <v/>
      </c>
      <c r="AC241" s="150"/>
      <c r="AD241" s="151"/>
      <c r="AE241" s="31">
        <f>(SnapshotTable[[#This Row],[Annual Dividend Per Share]] / 4) * SnapshotTable[[#This Row],[Equity Shares]]</f>
        <v>0</v>
      </c>
      <c r="AF241" s="31">
        <f>SnapshotTable[[#This Row],[Quarterly Div $]] * 4</f>
        <v>0</v>
      </c>
      <c r="AG241" s="7">
        <f>IF(SnapshotTable[[#This Row],[Annual Dividend Per Share]]&gt;0, SnapshotTable[[#This Row],[Annual Dividend Per Share]]  / SnapshotTable[[#This Row],[Last Price]], 0)</f>
        <v>0</v>
      </c>
      <c r="AH241" s="151"/>
      <c r="AI241" s="5"/>
      <c r="AJ241" s="138">
        <v>92</v>
      </c>
      <c r="AK241" s="152" t="str">
        <f>IF(ISNUMBER( SnapshotTable[[#This Row],[EBF Target]]),(SnapshotTable[[#This Row],[EBF Target]] - SnapshotTable[[#This Row],[Last Price]]) / SnapshotTable[[#This Row],[Last Price]], "")</f>
        <v/>
      </c>
      <c r="AL241" s="152" t="str">
        <f>IF(AND(SnapshotTable[[#This Row],[Equity Basis Total]] &gt; 0,ISNUMBER( SnapshotTable[[#This Row],[Long Term Target]])), SnapshotTable[[#This Row],[From Basis $]] / SnapshotTable[[#This Row],[Equity Basis Total]], "")</f>
        <v/>
      </c>
      <c r="AM241" s="9">
        <f>IF( AND(SnapshotTable[[#This Row],[Equity Shares]] &gt;0,ISNUMBER( SnapshotTable[[#This Row],[Long Term Target]])),(SnapshotTable[[#This Row],[Equity Shares]] * SnapshotTable[[#This Row],[Long Term Target]]) - SnapshotTable[[#This Row],[Equity Basis Total]],0)</f>
        <v>0</v>
      </c>
      <c r="AN241" s="9">
        <f>IF( AND(SnapshotTable[[#This Row],[Equity Shares]] &gt;0,ISNUMBER( SnapshotTable[[#This Row],[Long Term Target]])),(SnapshotTable[[#This Row],[Equity Shares]]*SnapshotTable[[#This Row],[Long Term Target]]) - SnapshotTable[[#This Row],[Equity Value]],0)</f>
        <v>0</v>
      </c>
      <c r="AO241" s="152">
        <f>IF(AND(ISNUMBER( SnapshotTable[[#This Row],[Long Term Target]]), ISNUMBER(SnapshotTable[[#This Row],[Last Price]])),(SnapshotTable[[#This Row],[Long Term Target]] - SnapshotTable[[#This Row],[Last Price]]) / SnapshotTable[[#This Row],[Last Price]], "")</f>
        <v>-0.12054296912341075</v>
      </c>
      <c r="AP241" s="5">
        <v>65</v>
      </c>
      <c r="AQ241" s="38" t="s">
        <v>38</v>
      </c>
      <c r="AR241" s="5">
        <v>65</v>
      </c>
      <c r="AS241" s="38" t="s">
        <v>26</v>
      </c>
      <c r="AT241" s="146" t="s">
        <v>538</v>
      </c>
      <c r="AU241" s="187" t="str">
        <f>IF(OR(SnapshotTable[[#This Row],[LP No Fill]]="Y",SnapshotTable[[#This Row],[SP Is Filled]],SnapshotTable[[#This Row],[LC Not Filled]]="Y",SnapshotTable[[#This Row],[SC Is Filled]]),"Y","")</f>
        <v/>
      </c>
      <c r="AV241" s="219"/>
      <c r="AW241" s="225"/>
      <c r="AX241" s="220"/>
      <c r="AY241" s="219" t="str">
        <f>IF(SnapshotTable[[#This Row],[Implied Move]]&gt;0, SnapshotTable[[#This Row],[Last Price]]-SnapshotTable[[#This Row],[Implied Move]],"")</f>
        <v/>
      </c>
      <c r="AZ241" s="219" t="str">
        <f>IF(SnapshotTable[[#This Row],[Implied Move]]&gt;0, SnapshotTable[[#This Row],[Last Price]] + SnapshotTable[[#This Row],[Implied Move]],"")</f>
        <v/>
      </c>
      <c r="BA241" s="331">
        <v>61.5</v>
      </c>
      <c r="BB241" s="347"/>
      <c r="BC24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1" s="351"/>
      <c r="BE241" s="5"/>
      <c r="BF241" s="14"/>
      <c r="BG241" s="13"/>
      <c r="BH241" s="13"/>
      <c r="BI241" s="5"/>
      <c r="BJ241" s="136">
        <f>IF(SnapshotTable[[#This Row],[LP Qty]] &gt; 0, SnapshotTable[[#This Row],[LP Qty]] * SnapshotTable[[#This Row],[LP Book Price]] * 100,0)</f>
        <v>0</v>
      </c>
      <c r="BK241" s="136">
        <f>IF(SnapshotTable[[#This Row],[LP Premium]] &gt; 0, SnapshotTable[[#This Row],[LP Qty]] * SnapshotTable[[#This Row],[LP Strike Price]] * 100,0)</f>
        <v>0</v>
      </c>
      <c r="BL241" s="154"/>
      <c r="BM241" s="385" t="str">
        <f>IF(SnapshotTable[[#This Row],[LP Premium]] &gt; 0,SnapshotTable[[#This Row],[LP Exp Date]]-MAX(SnapshotTable[[#This Row],[LP Book Date]], SnapshotTable[[#This Row],[LP Fill Date]]),"")</f>
        <v/>
      </c>
      <c r="BN241" s="385" t="str">
        <f>IF(ISNUMBER( SnapshotTable[[#This Row],[LP Term]]), SnapshotTable[[#This Row],[LP Exp Date]] - MockToday,"")</f>
        <v/>
      </c>
      <c r="BO241" s="163" t="str">
        <f>IF(AND(SnapshotTable[[#This Row],[LP Exp Date]]&gt;0, SnapshotTable[[#This Row],[LP Strike Price]]&gt;0,SnapshotTable[[#This Row],[LP Qty]]&gt;0,SnapshotTable[[#This Row],[LP Book Date]]&gt;0,SnapshotTable[[#This Row],[LP Book Price]]&gt;0,SnapshotTable[[#This Row],[LP Fill Date]]=0),"Y","")</f>
        <v/>
      </c>
      <c r="BP241" s="31" t="str">
        <f>IF(AND(SnapshotTable[[#This Row],[LP No Fill]]&lt;&gt;"Y",SnapshotTable[[#This Row],[LP Contract Value]]&gt;0, SnapshotTable[[#This Row],[LP Qty]]&gt;0), SnapshotTable[[#This Row],[LP Contract Value]]*SnapshotTable[[#This Row],[LP Qty]]*100,"")</f>
        <v/>
      </c>
      <c r="BQ241" s="13"/>
      <c r="BR241" s="5" t="str">
        <f>IF(SnapshotTable[[#This Row],[SP Exp Date]]&lt;&gt;"",TRUNC(SnapshotTable[[#This Row],[Last Price]]),"")</f>
        <v/>
      </c>
      <c r="BS241" s="36"/>
      <c r="BT241" s="147"/>
      <c r="BU241" s="13"/>
      <c r="BV241" s="5"/>
      <c r="BW241" s="419" t="b">
        <f>AND(ISNUMBER(SnapshotTable[[#This Row],[SP Exp Date]]), ISNUMBER(SnapshotTable[[#This Row],[SP Strike Price]]), ISNUMBER(SnapshotTable[[#This Row],[SP Qty]]), ISNUMBER(SnapshotTable[[#This Row],[SP Book Date]]), ISNUMBER(SnapshotTable[[#This Row],[SP Book Price]]))</f>
        <v>0</v>
      </c>
      <c r="BX241" s="419" t="b">
        <f>AND(SnapshotTable[[#This Row],[SP Is Booked]], NOT(ISBLANK(SnapshotTable[[#This Row],[SP Fill Date]])))</f>
        <v>0</v>
      </c>
      <c r="BY241" s="33">
        <f>IF(SnapshotTable[[#This Row],[SP Is Booked]], SnapshotTable[[#This Row],[SP Qty]] * SnapshotTable[[#This Row],[SP Book Price]] * 100, 0)</f>
        <v>0</v>
      </c>
      <c r="BZ241" s="369"/>
      <c r="CA241" s="368">
        <f>SnapshotTable[[#This Row],[LP Qty]]</f>
        <v>0</v>
      </c>
      <c r="CB241" s="4" t="str">
        <f>IF(SnapshotTable[[#This Row],[SP Is Booked]], SnapshotTable[[#This Row],[SP Strike Price]] - SnapshotTable[[#This Row],[SP Book Price]], "")</f>
        <v/>
      </c>
      <c r="CC241" s="19" t="str">
        <f>IF(SnapshotTable[[#This Row],[SP Is Booked]],SnapshotTable[[#This Row],[SP Exp Date]]-MAX(SnapshotTable[[#This Row],[SP Book Date]], SnapshotTable[[#This Row],[SP Fill Date]]),"")</f>
        <v/>
      </c>
      <c r="CD241" s="7" t="str">
        <f>IF(SnapshotTable[[#This Row],[SP Is Booked]], SnapshotTable[[#This Row],[SP Book Price]]/SnapshotTable[[#This Row],[SP Strike Price]], "")</f>
        <v/>
      </c>
      <c r="CE241" s="7" t="str">
        <f>IF(ISNUMBER(SnapshotTable[[#This Row],[SP ROO Term]]),SnapshotTable[[#This Row],[SP ROO Term]]*(365/SnapshotTable[[#This Row],[SP Term]]),"")</f>
        <v/>
      </c>
      <c r="CF241" s="236">
        <f>SnapshotTable[[#This Row],[LP Strike Price]] * SnapshotTable[[#This Row],[LP Qty]] * 100</f>
        <v>0</v>
      </c>
      <c r="CG241" s="31" t="e">
        <f>IF(ISNUMBER(SnapshotTable[[#This Row],[SP Premium]]), (SnapshotTable[[#This Row],[SP Qty]] * SnapshotTable[[#This Row],[SP Strike Price]]* 100) - SnapshotTable[[#This Row],[LP Protection]], 0)</f>
        <v>#VALUE!</v>
      </c>
      <c r="CH241" s="7" t="str">
        <f>IF(ISNUMBER(SnapshotTable[[#This Row],[SP Break Even]]),-1 * (SnapshotTable[[#This Row],[SP Break Even]] - SnapshotTable[[#This Row],[Last Price]]) / SnapshotTable[[#This Row],[Last Price]], "")</f>
        <v/>
      </c>
      <c r="CI241" s="31">
        <f>IF(AND(ISNUMBER((SnapshotTable[[#This Row],[SP Potential Spend]])), SnapshotTable[[#This Row],[SP Strike Price]] &gt; SnapshotTable[[#This Row],[Last Price]], SnapshotTable[[#This Row],[SP Is Filled]]), SnapshotTable[[#This Row],[SP Potential Spend]] -  SnapshotTable[[#This Row],[LP Max Value]], 0)</f>
        <v>0</v>
      </c>
      <c r="CJ241" s="244"/>
      <c r="CK241" s="31" t="str">
        <f>IF(ISNUMBER(SnapshotTable[[#This Row],[SP Potential Spend]]),IF(ISNUMBER(SnapshotTable[[#This Row],[SP POW]]), SnapshotTable[[#This Row],[SP POW]] * SnapshotTable[[#This Row],[SP Potential Spend]], SnapshotTable[[#This Row],[SP Potential Spend]]), "")</f>
        <v/>
      </c>
      <c r="CL241" s="164" t="e">
        <f>IF(NOT(SnapshotTable[[#This Row],[SP Is Filled]]),(SnapshotTable[[#This Row],[SP Qty]] * SnapshotTable[[#This Row],[SP Strike Price]] * 100) - SnapshotTable[[#This Row],[LP Max Value]],"")</f>
        <v>#VALUE!</v>
      </c>
      <c r="CM241" s="31" t="str">
        <f>IF(SnapshotTable[[#This Row],[SP Actual Spend]]&lt;&gt;0, ((SnapshotTable[[#This Row],[SP Strike Price]]-SnapshotTable[[#This Row],[Last Price]]) *(SnapshotTable[[#This Row],[SP Qty]]*100) - SnapshotTable[[#This Row],[SP Premium]]) * - 1, "")</f>
        <v/>
      </c>
      <c r="CN241" s="78"/>
      <c r="CO241" s="369"/>
      <c r="CP241" s="4" t="str">
        <f>IF(SnapshotTable[[#This Row],[SP Is Filled]], btc_max_buyback_amount(SnapshotTable[[#This Row],[SP Fill Date]],SnapshotTable[[#This Row],[SP Exp Date]], SnapshotTable[[#This Row],[SP Book Price]]),"")</f>
        <v/>
      </c>
      <c r="CQ241" s="78"/>
      <c r="CR24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1" s="155" t="str">
        <f>IF(SnapshotTable[[#This Row],[SP Is Filled]], btc_next_cutoff_date(SnapshotTable[[#This Row],[SP Fill Date]],SnapshotTable[[#This Row],[SP Exp Date]]),"")</f>
        <v/>
      </c>
      <c r="CT241" s="235" t="str" cm="1">
        <f t="array" ref="CT241">IF(SnapshotTable[[#This Row],[SP Is Filled]], btc_should_buy_back(SnapshotTable[[#This Row],[SP Fill Date]], SnapshotTable[[#This Row],[SP Exp Date]], SnapshotTable[[#This Row],[SP Book Price]], SnapshotTable[[#This Row],[SP Current Ask]], MockToday, SnapshotTable[[#This Row],[SP Buyback Override]]),"")</f>
        <v/>
      </c>
      <c r="CU241" s="143"/>
      <c r="CV241" s="235"/>
      <c r="CW241" s="378" t="str">
        <f>IF(ISNUMBER( SnapshotTable[[#This Row],[SP Term]]), SnapshotTable[[#This Row],[SP Exp Date]] - MockToday,"")</f>
        <v/>
      </c>
      <c r="CX241" s="31" t="str">
        <f>IF(SnapshotTable[[#This Row],[SP Is Filled]],SnapshotTable[[#This Row],[SP Buyback Price to Use]] * 100 * SnapshotTable[[#This Row],[SP Qty]], "")</f>
        <v/>
      </c>
      <c r="CY241" s="4" t="str">
        <f>IF(ISNUMBER(SnapshotTable[[#This Row],[SP Strike Price]]), SnapshotTable[[#This Row],[SP Strike Price]] * (1 - SP_MaxLoss_StrikePct), "")</f>
        <v/>
      </c>
      <c r="CZ241" s="31" t="str">
        <f>IF(ISNUMBER(SnapshotTable[[#This Row],[SP Strike  Stop Per Share]]),SnapshotTable[[#This Row],[SP Premium]] - ((SnapshotTable[[#This Row],[SP Strike Price]]-SnapshotTable[[#This Row],[SP Strike  Stop Per Share]]) *(SnapshotTable[[#This Row],[SP Qty]] * 100)),"")</f>
        <v/>
      </c>
      <c r="DA241" s="4" t="str">
        <f>IF(AND(ISNUMBER(SnapshotTable[[#This Row],[SP Premium]]),SnapshotTable[[#This Row],[SP Premium]]&gt;0), SnapshotTable[[#This Row],[SP Book Price]] * (1 + SP_MaxLoss_OptionPct), "")</f>
        <v/>
      </c>
      <c r="DB241" s="31" t="str">
        <f>IF(ISNUMBER(SnapshotTable[[#This Row],[SP Option  Stop Contract]]),(SnapshotTable[[#This Row],[SP Option  Stop Contract]] *(SnapshotTable[[#This Row],[SP Qty]] * 100) - SnapshotTable[[#This Row],[SP Premium]]),"")</f>
        <v/>
      </c>
      <c r="DC241" s="4"/>
      <c r="DD241" s="4"/>
      <c r="DE241" s="4" t="str">
        <f>IF(AND(SnapshotTable[[#This Row],[SP Qty]]&gt;0, SnapshotTable[[#This Row],[SP Stop To Use]]&gt;0),SnapshotTable[[#This Row],[SP Premium]] - ( SnapshotTable[[#This Row],[SP Qty]] * SnapshotTable[[#This Row],[SP Stop To Use]] * 100), "")</f>
        <v/>
      </c>
      <c r="DF241" s="31" t="str">
        <f>IF(AND(SnapshotTable[[#This Row],[SP Qty]]&gt;0,SnapshotTable[[#This Row],[SP Current Ask]]&gt;0), SnapshotTable[[#This Row],[SP Qty]] * SnapshotTable[[#This Row],[SP Current Ask]] * -100, "")</f>
        <v/>
      </c>
      <c r="DG241" s="31" t="str">
        <f>IF(ISNUMBER((SnapshotTable[[#This Row],[SP Total Value]])), SnapshotTable[[#This Row],[SP Premium]] + SnapshotTable[[#This Row],[SP Total Value]], "")</f>
        <v/>
      </c>
      <c r="DH241" s="294" t="str">
        <f>IF(ISNUMBER((SnapshotTable[[#This Row],[SP Total Value]])), SnapshotTable[[#This Row],[SP Gain Loss]] / SnapshotTable[[#This Row],[SP Premium]], "")</f>
        <v/>
      </c>
      <c r="DI241" s="406"/>
      <c r="DJ241" s="138"/>
      <c r="DK241" s="148"/>
      <c r="DL241" s="13"/>
      <c r="DM241" s="13"/>
      <c r="DO241" s="31">
        <f>IF(SnapshotTable[[#This Row],[LC Symbol Count]]=1, SnapshotTable[[#This Row],[LC Qty]] * SnapshotTable[[#This Row],[LC Book Price]] * 100, 0)</f>
        <v>0</v>
      </c>
      <c r="DP241" s="163" t="str">
        <f>IF(AND(SnapshotTable[[#This Row],[LC Exp Date]]&gt;0, SnapshotTable[[#This Row],[LC Strike Price]]&gt;0,SnapshotTable[[#This Row],[LC Qty]]&gt;0,SnapshotTable[[#This Row],[LC Book Date]]&gt;0,SnapshotTable[[#This Row],[LC Book Price]]&gt;0,SnapshotTable[[#This Row],[LC Fill Date]]=0),"Y","")</f>
        <v/>
      </c>
      <c r="DQ241" s="386" t="str">
        <f>IF(SnapshotTable[[#This Row],[LC Premium]] &gt; 0,SnapshotTable[[#This Row],[LC Exp Date]]-MAX(SnapshotTable[[#This Row],[LC Book Date]], SnapshotTable[[#This Row],[LC Fill Date]]),"")</f>
        <v/>
      </c>
      <c r="DR241" s="386" t="str">
        <f>IF(ISNUMBER(SnapshotTable[[#This Row],[LC Term]]), SnapshotTable[[#This Row],[LC Exp Date]] - MockToday, "")</f>
        <v/>
      </c>
      <c r="DS241" s="234" t="str">
        <f>IF(SnapshotTable[[#This Row],[LC Premium]]&gt;0,SnapshotTable[[#This Row],[LC Strike Price]] + SnapshotTable[[#This Row],[LC Book Price]],"")</f>
        <v/>
      </c>
      <c r="DU241" s="9" t="str">
        <f>IF(AND(SnapshotTable[[#This Row],[LC Symbol Count]]&gt;0, SnapshotTable[[#This Row],[LC Contract Value]]&gt;0), SnapshotTable[[#This Row],[LC Contract Value]] * SnapshotTable[[#This Row],[LC Qty]] * 100, "")</f>
        <v/>
      </c>
      <c r="DV241" s="9" t="str">
        <f>IF(AND(ISNUMBER(SnapshotTable[[#This Row],[LC Total Value]]), SnapshotTable[[#This Row],[LC Not Filled]]&lt;&gt;"Y"), SnapshotTable[[#This Row],[LC Total Value]]-SnapshotTable[[#This Row],[LC Premium]],"")</f>
        <v/>
      </c>
      <c r="DW241" s="240" t="str">
        <f>IF(ISNUMBER(SnapshotTable[[#This Row],[LC Actual Gain Loss]]), SnapshotTable[[#This Row],[LC Actual Gain Loss]] / SnapshotTable[[#This Row],[LC Premium]],"")</f>
        <v/>
      </c>
      <c r="DX241" s="284" t="str">
        <f>IF(ISNUMBER(SnapshotTable[[#This Row],[LC Book Price]]),SnapshotTable[[#This Row],[LC Book Price]] * 1.5,"")</f>
        <v/>
      </c>
      <c r="DY241" s="265" t="str">
        <f>IF(SnapshotTable[[#This Row],[LC Premium]]&gt;0, SnapshotTable[[#This Row],[LC Next Target]] * SnapshotTable[[#This Row],[LC Qty]] * 100,"")</f>
        <v/>
      </c>
      <c r="DZ241" s="265" t="str">
        <f>IF(ISNUMBER(SnapshotTable[[#This Row],[LC Target Gross]]), SnapshotTable[[#This Row],[LC Target Gross]] - SnapshotTable[[#This Row],[LC Premium]], "")</f>
        <v/>
      </c>
      <c r="EA241" s="305" t="str">
        <f>IF(ISNUMBER(SnapshotTable[[#This Row],[LC Target Gain Loss]]), SnapshotTable[[#This Row],[LC Target Gain Loss]]/SnapshotTable[[#This Row],[LC Premium]], "")</f>
        <v/>
      </c>
      <c r="EB241" s="262"/>
      <c r="EC241" s="283" t="str">
        <f>IF(SnapshotTable[[#This Row],[LC Premium]]&gt;0, SnapshotTable[[#This Row],[LC Book Price]] * (1 - LC_StopLoss_Pct),"")</f>
        <v/>
      </c>
      <c r="ED241" s="284"/>
      <c r="EE241" s="283" t="str">
        <f>IF(ISNUMBER(SnapshotTable[[#This Row],[LC Contract Value]]),IF(ISNUMBER(SnapshotTable[[#This Row],[LC Stop Loss Override]]), SnapshotTable[[#This Row],[LC Stop Loss Override]],SnapshotTable[[#This Row],[LC Stop Loss Calc Target]]),"")</f>
        <v/>
      </c>
      <c r="EF241" s="31" t="str">
        <f>IF(ISNUMBER(SnapshotTable[[#This Row],[LC Stop  To Use]]), (SnapshotTable[[#This Row],[LC Stop  To Use]] * SnapshotTable[[#This Row],[LC Qty]] * 100),"")</f>
        <v/>
      </c>
      <c r="EG241" s="9" t="str">
        <f>IF(ISNUMBER(SnapshotTable[[#This Row],[LC Total Value]]),SnapshotTable[[#This Row],[LC Stop Loss Amount]] - SnapshotTable[[#This Row],[LC Premium]],"")</f>
        <v/>
      </c>
      <c r="EH241" s="9">
        <f>IF(ISNUMBER(SnapshotTable[[#This Row],[LC Premium]]), SnapshotTable[[#This Row],[LC Qty]] * 100 * SnapshotTable[[#This Row],[LC Strike Price]], "")</f>
        <v>0</v>
      </c>
      <c r="EI241" s="240" t="str">
        <f>IF(AND(ISNUMBER(SnapshotTable[[#This Row],[LC Total Value]]),SnapshotTable[[#This Row],[LC Total Value]]&gt;0),SnapshotTable[[#This Row],[LC Stop Gain Loss]]  / SnapshotTable[[#This Row],[LC Premium]],"")</f>
        <v/>
      </c>
      <c r="EJ241" s="35">
        <f>IF(ISNUMBER(SnapshotTable[[#This Row],[Equity Shares]]),TRUNC(SnapshotTable[[#This Row],[Equity Shares]] / 100),0) + SnapshotTable[[#This Row],[LC Qty]]</f>
        <v>0</v>
      </c>
      <c r="EK241" s="147"/>
      <c r="EL241" s="138" t="str">
        <f>IF(SnapshotTable[[#This Row],[SC Exp Date]]&lt;&gt;"",TRUNC(SnapshotTable[[#This Row],[Last Price]]),"")</f>
        <v/>
      </c>
      <c r="EM241" s="148"/>
      <c r="EN241" s="147"/>
      <c r="EO241" s="147"/>
      <c r="EP241" s="138"/>
      <c r="EQ241" s="419" t="b">
        <f>AND(ISNUMBER(SnapshotTable[[#This Row],[SC Exp Date]]), ISNUMBER(SnapshotTable[[#This Row],[SC Strike Price]]), ISNUMBER(SnapshotTable[[#This Row],[SC Qty]]), ISNUMBER(SnapshotTable[[#This Row],[SC Book Date]]), ISNUMBER(SnapshotTable[[#This Row],[SC Book Price]]))</f>
        <v>0</v>
      </c>
      <c r="ER241" s="419" t="b">
        <f>AND(SnapshotTable[[#This Row],[SC Is Booked]], NOT(ISBLANK(SnapshotTable[[#This Row],[SC Fill Date]])))</f>
        <v>0</v>
      </c>
      <c r="ES241" s="370"/>
      <c r="ET241" s="34" t="str">
        <f>IF(AND(ISNUMBER(SnapshotTable[[#This Row],[SC Exp Date]]), ISNUMBER(SnapshotTable[[#This Row],[SC Book Date]])), SnapshotTable[[#This Row],[SC Exp Date]] - MAX(SnapshotTable[[#This Row],[SC Book Date]], SnapshotTable[[#This Row],[SC Fill Date]]) + 1, "")</f>
        <v/>
      </c>
      <c r="EU241" s="34" t="str">
        <f>IF(ISNUMBER(SnapshotTable[[#This Row],[SC Term]]), SnapshotTable[[#This Row],[SC Exp Date]]- MockToday, "")</f>
        <v/>
      </c>
      <c r="EV241" s="31">
        <f>IF(SnapshotTable[[#This Row],[SC Is Booked]], SnapshotTable[[#This Row],[SC Qty]] * SnapshotTable[[#This Row],[SC Book Price]] * 100, 0)</f>
        <v>0</v>
      </c>
      <c r="EW241" s="4" t="str">
        <f>IF(AND(ISNUMBER(SnapshotTable[[#This Row],[Last Price]]), ISNUMBER( SnapshotTable[[#This Row],[SC Book Price]])), SnapshotTable[[#This Row],[Last Price]] - SnapshotTable[[#This Row],[SC Book Price]],"")</f>
        <v/>
      </c>
      <c r="EX241" s="234" t="str">
        <f>IF(SnapshotTable[[#This Row],[SC Is Booked]],IF(SnapshotTable[[#This Row],[SC Intrinsic Value]] &gt; 0, SnapshotTable[[#This Row],[SC Strike Price]], SnapshotTable[[#This Row],[Last Price]]), "")</f>
        <v/>
      </c>
      <c r="EY241" s="4">
        <f>IF(SnapshotTable[[#This Row],[SC Is Booked]], (MinimumPremiumRequired * SnapshotTable[[#This Row],[SC Basis]] * SnapshotTable[[#This Row],[SC Term]]), 0)</f>
        <v>0</v>
      </c>
      <c r="EZ241" s="283"/>
      <c r="FA241" s="218"/>
      <c r="FB241" s="370"/>
      <c r="FC241" s="4">
        <f>IF(SnapshotTable[[#This Row],[SC Is Filled]], btc_max_buyback_amount(SnapshotTable[[#This Row],[SC Fill Date]],SnapshotTable[[#This Row],[SC Exp Date]], SnapshotTable[[#This Row],[SC Book Price]]),0)</f>
        <v>0</v>
      </c>
      <c r="FD241" s="5"/>
      <c r="FE241" s="144" t="str">
        <f>IF(SnapshotTable[[#This Row],[SC Is Filled]], btc_next_cutoff_date(SnapshotTable[[#This Row],[SC Fill Date]],SnapshotTable[[#This Row],[SC Exp Date]]),"")</f>
        <v/>
      </c>
      <c r="FF241" s="4" t="str" cm="1">
        <f t="array" ref="FF241">IF(SnapshotTable[[#This Row],[SC Is Filled]], btc_should_buy_back(SnapshotTable[[#This Row],[SC Fill Date]], SnapshotTable[[#This Row],[SC Exp Date]], SnapshotTable[[#This Row],[SC Book Price]], SnapshotTable[[#This Row],[SC Current Ask]], MockToday, SnapshotTable[[#This Row],[SC Buyback Override]]),"")</f>
        <v/>
      </c>
      <c r="FG241" s="4">
        <f>IF(SnapshotTable[[#This Row],[SC Is Filled]], MAX(0,SnapshotTable[[#This Row],[Last Price]]  - SnapshotTable[[#This Row],[SC Strike Price]]), 0)</f>
        <v>0</v>
      </c>
      <c r="FH241" s="382">
        <f>IF(SnapshotTable[[#This Row],[SC Is Filled]], IF(ISNUMBER(SnapshotTable[[#This Row],[SC Current Ask]]), SnapshotTable[[#This Row],[SC Current Ask]], SnapshotTable[[#This Row],[SC Book Price]]) - SnapshotTable[[#This Row],[SC Intrinsic Value]], 0)</f>
        <v>0</v>
      </c>
      <c r="FI241" s="143"/>
      <c r="FJ241" s="32" t="str">
        <f>IF(SnapshotTable[[#This Row],[SC Is Filled]],100 * SnapshotTable[[#This Row],[SC Qty]] * IF(ISNUMBER(SnapshotTable[[#This Row],[SC Buyback Override]]), SnapshotTable[[#This Row],[SC Buyback Override]], SnapshotTable[[#This Row],[SC Current Ask]]), "")</f>
        <v/>
      </c>
      <c r="FK241" s="250" t="str">
        <f>IF(SnapshotTable[[#This Row],[SC Time Val]]&gt;0, SnapshotTable[[#This Row],[SC Time Val]] / SnapshotTable[[#This Row],[Last Price]],"")</f>
        <v/>
      </c>
      <c r="FL241" s="302" t="str">
        <f>IF(SnapshotTable[[#This Row],[SC Is Booked]], ((SnapshotTable[[#This Row],[Last Price]] -SnapshotTable[[#This Row],[SC Strike Price]]) / SnapshotTable[[#This Row],[Last Price]]) * -1, "")</f>
        <v/>
      </c>
      <c r="FM241" s="157" t="str">
        <f>IF(SnapshotTable[[#This Row],[SC Is Booked]],  (SnapshotTable[[#This Row],[SC Qty]] * 100 * SnapshotTable[[#This Row],[SC Strike Price]]) - SnapshotTable[[#This Row],[SC Current Ask]], "")</f>
        <v/>
      </c>
      <c r="FN24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1" s="31" t="str">
        <f>IF(AND(ISNUMBER(SnapshotTable[[#This Row],[SC Exercise Gross]]), ISNUMBER(SnapshotTable[[#This Row],[Equity Basis Per Share]] )), SnapshotTable[[#This Row],[SC Exercise Gross]] - SnapshotTable[[#This Row],[Equity Basis Total]] +  SnapshotTable[[#This Row],[SC Premium]], "")</f>
        <v/>
      </c>
      <c r="FP241" s="5" t="str">
        <f>IF(ISNUMBER(SnapshotTable[[#This Row],[SC Exercise Gross]]), (SnapshotTable[[#This Row],[SC Exercise Gross]]) / (SnapshotTable[[#This Row],[SC Qty]] * 100), "")</f>
        <v/>
      </c>
      <c r="FQ241" s="27" t="str">
        <f>IF(SnapshotTable[[#This Row],[SC Is Booked]],SnapshotTable[[#This Row],[SC Time Val]] /SnapshotTable[[#This Row],[SC Basis]], "")</f>
        <v/>
      </c>
      <c r="FR241" s="27" t="str" cm="1">
        <f t="array" ref="FR241">IF(AND(ISNUMBER(SnapshotTable[[#This Row],[SC Term]]),ISNUMBER(SnapshotTable[[#This Row],[SC Simple ROO]])), EllmanAnnualize(SnapshotTable[[#This Row],[SC DTE]], SnapshotTable[[#This Row],[SC Simple ROO]] ),"")</f>
        <v/>
      </c>
      <c r="FS241" s="4" t="e">
        <f>IF(SnapshotTable[[#This Row],[SC Strike Price]] &gt; SnapshotTable[[#This Row],[Last Price]], SnapshotTable[[#This Row],[SC Strike Price]] - SnapshotTable[[#This Row],[Last Price]],0)</f>
        <v>#VALUE!</v>
      </c>
      <c r="FT241" s="27" t="e">
        <f>IF(AND(ISNUMBER(SnapshotTable[[#This Row],[SC Upside Potential]]), SnapshotTable[[#This Row],[SC Upside Potential]] &gt; 0),(SnapshotTable[[#This Row],[SC Upside Potential]]/ SnapshotTable[[#This Row],[ACB]]),"")</f>
        <v>#VALUE!</v>
      </c>
      <c r="FU241" s="333" t="str">
        <f>IF(SnapshotTable[[#This Row],[SC Intrinsic Value]] &gt; 0,SnapshotTable[[#This Row],[SC Intrinsic Value]],"")</f>
        <v/>
      </c>
      <c r="FV241" s="27" t="str">
        <f>IF(AND( ISNUMBER( SnapshotTable[[#This Row],[ACB]]),ISNUMBER(SnapshotTable[[#This Row],[SC Downside Protect]])),SnapshotTable[[#This Row],[SC Downside Protect]] / SnapshotTable[[#This Row],[ACB]],"")</f>
        <v/>
      </c>
      <c r="FW241" s="236" t="str">
        <f>IF(AND(ISNUMBER(SnapshotTable[[#This Row],[SC Simple ROO]]),SnapshotTable[[#This Row],[SC Simple ROO]] &gt; 0), SnapshotTable[[#This Row],[SC Premium]] + (SnapshotTable[[#This Row],[SC Qty]] * SnapshotTable[[#This Row],[SC Upside Potential]]), "")</f>
        <v/>
      </c>
      <c r="FX241" s="302" t="str" cm="1">
        <f t="array" ref="FX241">IF(ISNUMBER(SnapshotTable[[#This Row],[SC Max Dollars]]), annualize(SnapshotTable[[#This Row],[SC Term]],(SnapshotTable[[#This Row],[SC Max Dollars]]/SnapshotTable[[#This Row],[SC Basis]])),"")</f>
        <v/>
      </c>
      <c r="FY241" s="236" t="str">
        <f>IF(AND(SnapshotTable[[#This Row],[SC Qty]]&gt;0,SnapshotTable[[#This Row],[SC Current Ask]]&gt;0), SnapshotTable[[#This Row],[SC Qty]] * SnapshotTable[[#This Row],[SC Current Ask]] * -100, "")</f>
        <v/>
      </c>
      <c r="FZ241" s="31" t="str">
        <f>IF(ISNUMBER((SnapshotTable[[#This Row],[SC Current Value]])), SnapshotTable[[#This Row],[SC Premium]] + SnapshotTable[[#This Row],[SC Current Value]], "")</f>
        <v/>
      </c>
      <c r="GA241" s="294" t="str">
        <f>IFERROR( IF(ISNUMBER((SnapshotTable[[#This Row],[SC Current Value]])), SnapshotTable[[#This Row],[SC Gain Loss]] / SnapshotTable[[#This Row],[SC Premium]], ""), "")</f>
        <v/>
      </c>
      <c r="GB241" s="42">
        <f>SnapshotTable[[#This Row],[Equity Shares]] * SaleSharesToConsiderPercentage</f>
        <v>0</v>
      </c>
      <c r="GC241" s="40">
        <f>SnapshotTable[[#This Row],[Long Term Target]] * SellingPriceToConsiderBasedOnTargetPercentage</f>
        <v>87.399999999999991</v>
      </c>
      <c r="GD241" s="40">
        <f>SnapshotTable[[#This Row],[Last Price]] * (1+ SellingPriceToConsiderBasedOnTargetPercentage)</f>
        <v>203.98949999999999</v>
      </c>
      <c r="GE241" s="41"/>
      <c r="GF241" s="40"/>
      <c r="GG241" s="31">
        <f>SnapshotTable[[#This Row],[Booked Sale Shares]] * SnapshotTable[[#This Row],[Booked Sale Price]]</f>
        <v>0</v>
      </c>
      <c r="GH241" s="31" t="str">
        <f>IF(SnapshotTable[[#This Row],[Equity Basis Total]] &gt; 0, SnapshotTable[[#This Row],[Equity Basis Per Share]] * SnapshotTable[[#This Row],[Booked Sale Shares]], "")</f>
        <v/>
      </c>
      <c r="GI241" s="31">
        <f>IF(SnapshotTable[[#This Row],[Sale Proceeds]]&gt;0, SnapshotTable[[#This Row],[Sale Proceeds]] - SnapshotTable[[#This Row],[Sale Basis]], 0)</f>
        <v>0</v>
      </c>
      <c r="GJ241" s="27" t="str">
        <f>IF(SnapshotTable[[#This Row],[Sale G/L]]&gt;0, SnapshotTable[[#This Row],[Sale G/L]] / SnapshotTable[[#This Row],[Sale Basis]], IF(ISNUMBER(SnapshotTable[[#This Row],[SC Exercise P&amp;L (TAX)]]), SnapshotTable[[#This Row],[SC Exercise P&amp;L (TAX)]] / SnapshotTable[[#This Row],[SC Basis]], ""))</f>
        <v/>
      </c>
      <c r="GK241" s="27" t="s">
        <v>1048</v>
      </c>
      <c r="GL241" s="43" t="str">
        <f>IF(AND(SnapshotTable[[#This Row],[LP Exp Date]]&gt;0,SnapshotTable[[#This Row],[LP Strike Price]]&gt;0), [1]!ToOptionSymbol(SnapshotTable[[#This Row],[Symbol]], SnapshotTable[[#This Row],[LP Strike Price]],SnapshotTable[[#This Row],[LP Exp Date]],1), "")</f>
        <v/>
      </c>
      <c r="GM241" s="30" t="str">
        <f>IF(LEN(SnapshotTable[[#This Row],[LP Symbol]])&gt;0, 1, "")</f>
        <v/>
      </c>
      <c r="GN241" s="43" t="str">
        <f>IF(AND(SnapshotTable[[#This Row],[SP Exp Date]]&gt;0,SnapshotTable[[#This Row],[SP Strike Price]]&gt;0), [1]!ToOptionSymbol(SnapshotTable[[#This Row],[Symbol]], SnapshotTable[[#This Row],[SP Strike Price]],SnapshotTable[[#This Row],[SP Exp Date]],1), "")</f>
        <v/>
      </c>
      <c r="GO241" s="30" t="str">
        <f>IF(LEN(SnapshotTable[[#This Row],[SP Symbol]])&gt;0, 1, "")</f>
        <v/>
      </c>
      <c r="GP241" s="43" t="str">
        <f>IF(AND(SnapshotTable[[#This Row],[LC Exp Date]]&gt;0,SnapshotTable[[#This Row],[LC Strike Price]]&gt;0), [1]!ToOptionSymbol(SnapshotTable[[#This Row],[Symbol]], SnapshotTable[[#This Row],[LC Strike Price]],SnapshotTable[[#This Row],[LC Exp Date]],0), "")</f>
        <v/>
      </c>
      <c r="GQ241" s="30" t="str">
        <f>IF(LEN(SnapshotTable[[#This Row],[LC Symbol]])&gt;0, 1, "")</f>
        <v/>
      </c>
      <c r="GR241" s="43" t="str">
        <f>IF(AND(SnapshotTable[[#This Row],[SC Exp Date]]&gt;0,SnapshotTable[[#This Row],[SC Strike Price]]&gt;0), [1]!ToOptionSymbol(SnapshotTable[[#This Row],[Symbol]], SnapshotTable[[#This Row],[SC Strike Price]],SnapshotTable[[#This Row],[SC Exp Date]],0), "")</f>
        <v/>
      </c>
      <c r="GS241" s="30" t="str">
        <f>IF(LEN(SnapshotTable[[#This Row],[SC Symbol]])&gt;0, 1, "")</f>
        <v/>
      </c>
      <c r="GT241" s="29" t="str">
        <f>IF(COUNT(SnapshotTable[[#This Row],[LP Symbol Count]],SnapshotTable[[#This Row],[SP Symbol Count]],SnapshotTable[[#This Row],[LC Symbol Count]],SnapshotTable[[#This Row],[SC Symbol Count]])&gt;0, "Y", "")</f>
        <v/>
      </c>
      <c r="GU24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1" s="231" t="e">
        <f>MAX(SnapshotTable[[#This Row],[Equity Basis Total]],SnapshotTable[[#This Row],[Equity Value]]) + (SnapshotTable[[#This Row],[SP Potential Spend]]- SnapshotTable[[#This Row],[SP Premium]] + SnapshotTable[[#This Row],[LP Premium]])+ (SnapshotTable[[#This Row],[LC Premium]] - SnapshotTable[[#This Row],[SC Premium]])</f>
        <v>#VALUE!</v>
      </c>
      <c r="GW241" s="139" t="e">
        <f>IF(AND(SnapshotTable[[#This Row],[Exposure]] &lt;&gt; 0),SnapshotTable[[#This Row],[Exposure]] / SnapshotTable[[#Totals],[Exposure]], "")</f>
        <v>#VALUE!</v>
      </c>
      <c r="GX241" s="5"/>
      <c r="HE241" s="268"/>
      <c r="HF241" s="268"/>
      <c r="HK241" s="1"/>
      <c r="HL241" s="1"/>
      <c r="HM241" s="1"/>
      <c r="HN241" s="1"/>
      <c r="HO241" s="1"/>
      <c r="HP241" s="1"/>
    </row>
    <row r="242" spans="2:224" ht="12.75" hidden="1" customHeight="1" x14ac:dyDescent="0.25">
      <c r="B242" s="12" t="s">
        <v>8</v>
      </c>
      <c r="C242" s="422">
        <v>204.35</v>
      </c>
      <c r="D242" s="208" t="s">
        <v>594</v>
      </c>
      <c r="E242" s="39">
        <f>SnapshotTable[[#This Row],[Last Price]]*(1 -CrashDiscount)</f>
        <v>173.69749999999999</v>
      </c>
      <c r="F242" s="26" t="s">
        <v>141</v>
      </c>
      <c r="G242" s="26" t="s">
        <v>14</v>
      </c>
      <c r="H242" s="149"/>
      <c r="I242" s="194">
        <v>44790.25</v>
      </c>
      <c r="J242" s="195">
        <v>44790.25</v>
      </c>
      <c r="K242" s="196"/>
      <c r="L242" s="326"/>
      <c r="M242" s="140"/>
      <c r="N242" s="140"/>
      <c r="O242" s="140"/>
      <c r="P242" s="22"/>
      <c r="Q242" s="25"/>
      <c r="R242" s="4" t="str">
        <f>IF(SnapshotTable[[#This Row],[Equity Basis Total]] &gt; 0, SnapshotTable[[#This Row],[Equity Basis Total]] / SnapshotTable[[#This Row],[Equity Shares]], "")</f>
        <v/>
      </c>
      <c r="S242" s="269">
        <f>SnapshotTable[[#This Row],[Last Price]] * SnapshotTable[[#This Row],[Equity Shares]]</f>
        <v>0</v>
      </c>
      <c r="T242" s="269">
        <f>SnapshotTable[[#This Row],[Equity Value]] - SnapshotTable[[#This Row],[Equity Basis Total]]</f>
        <v>0</v>
      </c>
      <c r="U242" s="270" t="str">
        <f>IF(SnapshotTable[[#This Row],[Equity Basis Total]] &gt; 0, SnapshotTable[[#This Row],[Equity G/L]] / SnapshotTable[[#This Row],[Equity Basis Total]], "")</f>
        <v/>
      </c>
      <c r="V242" s="268"/>
      <c r="W242" s="268"/>
      <c r="X242" s="4" t="str">
        <f>IF(AND(ISNUMBER(SnapshotTable[[#This Row],[Equity Basis Per Share]]),ISNUMBER(SnapshotTable[[#This Row],[Equity Target]])),SnapshotTable[[#This Row],[Equity Target]]-SnapshotTable[[#This Row],[Equity Basis Per Share]],"")</f>
        <v/>
      </c>
      <c r="Y242" s="4" t="str">
        <f>IF(AND(ISNUMBER(SnapshotTable[[#This Row],[Equity Basis Per Share]]),ISNUMBER(SnapshotTable[[#This Row],[Equity Stop Loss]])),SnapshotTable[[#This Row],[Equity Stop Loss]]-SnapshotTable[[#This Row],[Equity Basis Per Share]],"")</f>
        <v/>
      </c>
      <c r="Z242" s="275" t="str">
        <f>IFERROR( TEXT(SnapshotTable[[#This Row],[Equity Max Gain Per Share]] /ABS( SnapshotTable[[#This Row],[Equity Max Loss Per Share]]),"0.0 " ) &amp; " : 1", "")</f>
        <v/>
      </c>
      <c r="AA242" s="31" t="str">
        <f>IF(ISNUMBER(SnapshotTable[[#This Row],[Equity Max Gain Per Share]]),SnapshotTable[[#This Row],[Equity Max Gain Per Share]] * SnapshotTable[[#This Row],[Equity Shares]],"")</f>
        <v/>
      </c>
      <c r="AB242" s="31" t="str">
        <f>IF(ISNUMBER(SnapshotTable[[#This Row],[Equity Max Loss Per Share]]),SnapshotTable[[#This Row],[Equity Max Loss Per Share]] * SnapshotTable[[#This Row],[Equity Shares]],"")</f>
        <v/>
      </c>
      <c r="AC242" s="150">
        <v>1.1200000000000001</v>
      </c>
      <c r="AD242" s="151">
        <v>42312</v>
      </c>
      <c r="AE242" s="31">
        <f>(SnapshotTable[[#This Row],[Annual Dividend Per Share]] / 4) * SnapshotTable[[#This Row],[Equity Shares]]</f>
        <v>0</v>
      </c>
      <c r="AF242" s="31">
        <f>SnapshotTable[[#This Row],[Quarterly Div $]] * 4</f>
        <v>0</v>
      </c>
      <c r="AG242" s="7">
        <f>IF(SnapshotTable[[#This Row],[Annual Dividend Per Share]]&gt;0, SnapshotTable[[#This Row],[Annual Dividend Per Share]]  / SnapshotTable[[#This Row],[Last Price]], 0)</f>
        <v>5.480792757523857E-3</v>
      </c>
      <c r="AH242" s="151">
        <v>42201</v>
      </c>
      <c r="AI242" s="5"/>
      <c r="AJ242" s="138">
        <v>117.76</v>
      </c>
      <c r="AK242" s="152" t="str">
        <f>IF(ISNUMBER( SnapshotTable[[#This Row],[EBF Target]]),(SnapshotTable[[#This Row],[EBF Target]] - SnapshotTable[[#This Row],[Last Price]]) / SnapshotTable[[#This Row],[Last Price]], "")</f>
        <v/>
      </c>
      <c r="AL242" s="152" t="str">
        <f>IF(AND(SnapshotTable[[#This Row],[Equity Basis Total]] &gt; 0,ISNUMBER( SnapshotTable[[#This Row],[Long Term Target]])), SnapshotTable[[#This Row],[From Basis $]] / SnapshotTable[[#This Row],[Equity Basis Total]], "")</f>
        <v/>
      </c>
      <c r="AM242" s="9">
        <f>IF( AND(SnapshotTable[[#This Row],[Equity Shares]] &gt;0,ISNUMBER( SnapshotTable[[#This Row],[Long Term Target]])),(SnapshotTable[[#This Row],[Equity Shares]] * SnapshotTable[[#This Row],[Long Term Target]]) - SnapshotTable[[#This Row],[Equity Basis Total]],0)</f>
        <v>0</v>
      </c>
      <c r="AN242" s="9">
        <f>IF( AND(SnapshotTable[[#This Row],[Equity Shares]] &gt;0,ISNUMBER( SnapshotTable[[#This Row],[Long Term Target]])),(SnapshotTable[[#This Row],[Equity Shares]]*SnapshotTable[[#This Row],[Long Term Target]]) - SnapshotTable[[#This Row],[Equity Value]],0)</f>
        <v>0</v>
      </c>
      <c r="AO242" s="152">
        <f>IF(AND(ISNUMBER( SnapshotTable[[#This Row],[Long Term Target]]), ISNUMBER(SnapshotTable[[#This Row],[Last Price]])),(SnapshotTable[[#This Row],[Long Term Target]] - SnapshotTable[[#This Row],[Last Price]]) / SnapshotTable[[#This Row],[Last Price]], "")</f>
        <v>-0.4237337900660631</v>
      </c>
      <c r="AP242" s="5">
        <v>120</v>
      </c>
      <c r="AQ242" s="38" t="s">
        <v>45</v>
      </c>
      <c r="AR242" s="5">
        <v>115</v>
      </c>
      <c r="AS242" s="38" t="s">
        <v>110</v>
      </c>
      <c r="AT242" s="146" t="s">
        <v>549</v>
      </c>
      <c r="AU242" s="187" t="str">
        <f>IF(OR(SnapshotTable[[#This Row],[LP No Fill]]="Y",SnapshotTable[[#This Row],[SP Is Filled]],SnapshotTable[[#This Row],[LC Not Filled]]="Y",SnapshotTable[[#This Row],[SC Is Filled]]),"Y","")</f>
        <v/>
      </c>
      <c r="AV242" s="219"/>
      <c r="AW242" s="225"/>
      <c r="AX242" s="220"/>
      <c r="AY242" s="219" t="str">
        <f>IF(SnapshotTable[[#This Row],[Implied Move]]&gt;0, SnapshotTable[[#This Row],[Last Price]]-SnapshotTable[[#This Row],[Implied Move]],"")</f>
        <v/>
      </c>
      <c r="AZ242" s="219" t="str">
        <f>IF(SnapshotTable[[#This Row],[Implied Move]]&gt;0, SnapshotTable[[#This Row],[Last Price]] + SnapshotTable[[#This Row],[Implied Move]],"")</f>
        <v/>
      </c>
      <c r="BA242" s="331"/>
      <c r="BB242" s="347"/>
      <c r="BC24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2" s="351"/>
      <c r="BE242" s="5"/>
      <c r="BF242" s="14"/>
      <c r="BG242" s="13"/>
      <c r="BH242" s="13"/>
      <c r="BI242" s="5"/>
      <c r="BJ242" s="136">
        <f>IF(SnapshotTable[[#This Row],[LP Qty]] &gt; 0, SnapshotTable[[#This Row],[LP Qty]] * SnapshotTable[[#This Row],[LP Book Price]] * 100,0)</f>
        <v>0</v>
      </c>
      <c r="BK242" s="136">
        <f>IF(SnapshotTable[[#This Row],[LP Premium]] &gt; 0, SnapshotTable[[#This Row],[LP Qty]] * SnapshotTable[[#This Row],[LP Strike Price]] * 100,0)</f>
        <v>0</v>
      </c>
      <c r="BL242" s="154"/>
      <c r="BM242" s="385" t="str">
        <f>IF(SnapshotTable[[#This Row],[LP Premium]] &gt; 0,SnapshotTable[[#This Row],[LP Exp Date]]-MAX(SnapshotTable[[#This Row],[LP Book Date]], SnapshotTable[[#This Row],[LP Fill Date]]),"")</f>
        <v/>
      </c>
      <c r="BN242" s="385" t="str">
        <f>IF(ISNUMBER( SnapshotTable[[#This Row],[LP Term]]), SnapshotTable[[#This Row],[LP Exp Date]] - MockToday,"")</f>
        <v/>
      </c>
      <c r="BO242" s="163" t="str">
        <f>IF(AND(SnapshotTable[[#This Row],[LP Exp Date]]&gt;0, SnapshotTable[[#This Row],[LP Strike Price]]&gt;0,SnapshotTable[[#This Row],[LP Qty]]&gt;0,SnapshotTable[[#This Row],[LP Book Date]]&gt;0,SnapshotTable[[#This Row],[LP Book Price]]&gt;0,SnapshotTable[[#This Row],[LP Fill Date]]=0),"Y","")</f>
        <v/>
      </c>
      <c r="BP242" s="31" t="str">
        <f>IF(AND(SnapshotTable[[#This Row],[LP No Fill]]&lt;&gt;"Y",SnapshotTable[[#This Row],[LP Contract Value]]&gt;0, SnapshotTable[[#This Row],[LP Qty]]&gt;0), SnapshotTable[[#This Row],[LP Contract Value]]*SnapshotTable[[#This Row],[LP Qty]]*100,"")</f>
        <v/>
      </c>
      <c r="BQ242" s="13"/>
      <c r="BR242" s="5" t="str">
        <f>IF(SnapshotTable[[#This Row],[SP Exp Date]]&lt;&gt;"",TRUNC(SnapshotTable[[#This Row],[Last Price]]),"")</f>
        <v/>
      </c>
      <c r="BS242" s="36"/>
      <c r="BT242" s="147"/>
      <c r="BU242" s="13"/>
      <c r="BV242" s="5"/>
      <c r="BW242" s="419" t="b">
        <f>AND(ISNUMBER(SnapshotTable[[#This Row],[SP Exp Date]]), ISNUMBER(SnapshotTable[[#This Row],[SP Strike Price]]), ISNUMBER(SnapshotTable[[#This Row],[SP Qty]]), ISNUMBER(SnapshotTable[[#This Row],[SP Book Date]]), ISNUMBER(SnapshotTable[[#This Row],[SP Book Price]]))</f>
        <v>0</v>
      </c>
      <c r="BX242" s="419" t="b">
        <f>AND(SnapshotTable[[#This Row],[SP Is Booked]], NOT(ISBLANK(SnapshotTable[[#This Row],[SP Fill Date]])))</f>
        <v>0</v>
      </c>
      <c r="BY242" s="33">
        <f>IF(SnapshotTable[[#This Row],[SP Is Booked]], SnapshotTable[[#This Row],[SP Qty]] * SnapshotTable[[#This Row],[SP Book Price]] * 100, 0)</f>
        <v>0</v>
      </c>
      <c r="BZ242" s="369"/>
      <c r="CA242" s="368">
        <f>SnapshotTable[[#This Row],[LP Qty]]</f>
        <v>0</v>
      </c>
      <c r="CB242" s="4" t="str">
        <f>IF(SnapshotTable[[#This Row],[SP Is Booked]], SnapshotTable[[#This Row],[SP Strike Price]] - SnapshotTable[[#This Row],[SP Book Price]], "")</f>
        <v/>
      </c>
      <c r="CC242" s="19" t="str">
        <f>IF(SnapshotTable[[#This Row],[SP Is Booked]],SnapshotTable[[#This Row],[SP Exp Date]]-MAX(SnapshotTable[[#This Row],[SP Book Date]], SnapshotTable[[#This Row],[SP Fill Date]]),"")</f>
        <v/>
      </c>
      <c r="CD242" s="7" t="str">
        <f>IF(SnapshotTable[[#This Row],[SP Is Booked]], SnapshotTable[[#This Row],[SP Book Price]]/SnapshotTable[[#This Row],[SP Strike Price]], "")</f>
        <v/>
      </c>
      <c r="CE242" s="7" t="str">
        <f>IF(ISNUMBER(SnapshotTable[[#This Row],[SP ROO Term]]),SnapshotTable[[#This Row],[SP ROO Term]]*(365/SnapshotTable[[#This Row],[SP Term]]),"")</f>
        <v/>
      </c>
      <c r="CF242" s="236">
        <f>SnapshotTable[[#This Row],[LP Strike Price]] * SnapshotTable[[#This Row],[LP Qty]] * 100</f>
        <v>0</v>
      </c>
      <c r="CG242" s="31" t="e">
        <f>IF(ISNUMBER(SnapshotTable[[#This Row],[SP Premium]]), (SnapshotTable[[#This Row],[SP Qty]] * SnapshotTable[[#This Row],[SP Strike Price]]* 100) - SnapshotTable[[#This Row],[LP Protection]], 0)</f>
        <v>#VALUE!</v>
      </c>
      <c r="CH242" s="7" t="str">
        <f>IF(ISNUMBER(SnapshotTable[[#This Row],[SP Break Even]]),-1 * (SnapshotTable[[#This Row],[SP Break Even]] - SnapshotTable[[#This Row],[Last Price]]) / SnapshotTable[[#This Row],[Last Price]], "")</f>
        <v/>
      </c>
      <c r="CI242" s="31">
        <f>IF(AND(ISNUMBER((SnapshotTable[[#This Row],[SP Potential Spend]])), SnapshotTable[[#This Row],[SP Strike Price]] &gt; SnapshotTable[[#This Row],[Last Price]], SnapshotTable[[#This Row],[SP Is Filled]]), SnapshotTable[[#This Row],[SP Potential Spend]] -  SnapshotTable[[#This Row],[LP Max Value]], 0)</f>
        <v>0</v>
      </c>
      <c r="CJ242" s="244"/>
      <c r="CK242" s="31" t="str">
        <f>IF(ISNUMBER(SnapshotTable[[#This Row],[SP Potential Spend]]),IF(ISNUMBER(SnapshotTable[[#This Row],[SP POW]]), SnapshotTable[[#This Row],[SP POW]] * SnapshotTable[[#This Row],[SP Potential Spend]], SnapshotTable[[#This Row],[SP Potential Spend]]), "")</f>
        <v/>
      </c>
      <c r="CL242" s="164" t="e">
        <f>IF(NOT(SnapshotTable[[#This Row],[SP Is Filled]]),(SnapshotTable[[#This Row],[SP Qty]] * SnapshotTable[[#This Row],[SP Strike Price]] * 100) - SnapshotTable[[#This Row],[LP Max Value]],"")</f>
        <v>#VALUE!</v>
      </c>
      <c r="CM242" s="31" t="str">
        <f>IF(SnapshotTable[[#This Row],[SP Actual Spend]]&lt;&gt;0, ((SnapshotTable[[#This Row],[SP Strike Price]]-SnapshotTable[[#This Row],[Last Price]]) *(SnapshotTable[[#This Row],[SP Qty]]*100) - SnapshotTable[[#This Row],[SP Premium]]) * - 1, "")</f>
        <v/>
      </c>
      <c r="CN242" s="78"/>
      <c r="CO242" s="369"/>
      <c r="CP242" s="4" t="str">
        <f>IF(SnapshotTable[[#This Row],[SP Is Filled]], btc_max_buyback_amount(SnapshotTable[[#This Row],[SP Fill Date]],SnapshotTable[[#This Row],[SP Exp Date]], SnapshotTable[[#This Row],[SP Book Price]]),"")</f>
        <v/>
      </c>
      <c r="CQ242" s="78"/>
      <c r="CR24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2" s="155" t="str">
        <f>IF(SnapshotTable[[#This Row],[SP Is Filled]], btc_next_cutoff_date(SnapshotTable[[#This Row],[SP Fill Date]],SnapshotTable[[#This Row],[SP Exp Date]]),"")</f>
        <v/>
      </c>
      <c r="CT242" s="235" t="str" cm="1">
        <f t="array" ref="CT242">IF(SnapshotTable[[#This Row],[SP Is Filled]], btc_should_buy_back(SnapshotTable[[#This Row],[SP Fill Date]], SnapshotTable[[#This Row],[SP Exp Date]], SnapshotTable[[#This Row],[SP Book Price]], SnapshotTable[[#This Row],[SP Current Ask]], MockToday, SnapshotTable[[#This Row],[SP Buyback Override]]),"")</f>
        <v/>
      </c>
      <c r="CU242" s="143"/>
      <c r="CV242" s="235"/>
      <c r="CW242" s="378" t="str">
        <f>IF(ISNUMBER( SnapshotTable[[#This Row],[SP Term]]), SnapshotTable[[#This Row],[SP Exp Date]] - MockToday,"")</f>
        <v/>
      </c>
      <c r="CX242" s="31" t="str">
        <f>IF(SnapshotTable[[#This Row],[SP Is Filled]],SnapshotTable[[#This Row],[SP Buyback Price to Use]] * 100 * SnapshotTable[[#This Row],[SP Qty]], "")</f>
        <v/>
      </c>
      <c r="CY242" s="4" t="str">
        <f>IF(ISNUMBER(SnapshotTable[[#This Row],[SP Strike Price]]), SnapshotTable[[#This Row],[SP Strike Price]] * (1 - SP_MaxLoss_StrikePct), "")</f>
        <v/>
      </c>
      <c r="CZ242" s="31" t="str">
        <f>IF(ISNUMBER(SnapshotTable[[#This Row],[SP Strike  Stop Per Share]]),SnapshotTable[[#This Row],[SP Premium]] - ((SnapshotTable[[#This Row],[SP Strike Price]]-SnapshotTable[[#This Row],[SP Strike  Stop Per Share]]) *(SnapshotTable[[#This Row],[SP Qty]] * 100)),"")</f>
        <v/>
      </c>
      <c r="DA242" s="4" t="str">
        <f>IF(AND(ISNUMBER(SnapshotTable[[#This Row],[SP Premium]]),SnapshotTable[[#This Row],[SP Premium]]&gt;0), SnapshotTable[[#This Row],[SP Book Price]] * (1 + SP_MaxLoss_OptionPct), "")</f>
        <v/>
      </c>
      <c r="DB242" s="31" t="str">
        <f>IF(ISNUMBER(SnapshotTable[[#This Row],[SP Option  Stop Contract]]),(SnapshotTable[[#This Row],[SP Option  Stop Contract]] *(SnapshotTable[[#This Row],[SP Qty]] * 100) - SnapshotTable[[#This Row],[SP Premium]]),"")</f>
        <v/>
      </c>
      <c r="DC242" s="4"/>
      <c r="DD242" s="4"/>
      <c r="DE242" s="4" t="str">
        <f>IF(AND(SnapshotTable[[#This Row],[SP Qty]]&gt;0, SnapshotTable[[#This Row],[SP Stop To Use]]&gt;0),SnapshotTable[[#This Row],[SP Premium]] - ( SnapshotTable[[#This Row],[SP Qty]] * SnapshotTable[[#This Row],[SP Stop To Use]] * 100), "")</f>
        <v/>
      </c>
      <c r="DF242" s="31" t="str">
        <f>IF(AND(SnapshotTable[[#This Row],[SP Qty]]&gt;0,SnapshotTable[[#This Row],[SP Current Ask]]&gt;0), SnapshotTable[[#This Row],[SP Qty]] * SnapshotTable[[#This Row],[SP Current Ask]] * -100, "")</f>
        <v/>
      </c>
      <c r="DG242" s="31" t="str">
        <f>IF(ISNUMBER((SnapshotTable[[#This Row],[SP Total Value]])), SnapshotTable[[#This Row],[SP Premium]] + SnapshotTable[[#This Row],[SP Total Value]], "")</f>
        <v/>
      </c>
      <c r="DH242" s="294" t="str">
        <f>IF(ISNUMBER((SnapshotTable[[#This Row],[SP Total Value]])), SnapshotTable[[#This Row],[SP Gain Loss]] / SnapshotTable[[#This Row],[SP Premium]], "")</f>
        <v/>
      </c>
      <c r="DI242" s="406"/>
      <c r="DJ242" s="138"/>
      <c r="DK242" s="148"/>
      <c r="DL242" s="13"/>
      <c r="DM242" s="13"/>
      <c r="DO242" s="31">
        <f>IF(SnapshotTable[[#This Row],[LC Symbol Count]]=1, SnapshotTable[[#This Row],[LC Qty]] * SnapshotTable[[#This Row],[LC Book Price]] * 100, 0)</f>
        <v>0</v>
      </c>
      <c r="DP242" s="163" t="str">
        <f>IF(AND(SnapshotTable[[#This Row],[LC Exp Date]]&gt;0, SnapshotTable[[#This Row],[LC Strike Price]]&gt;0,SnapshotTable[[#This Row],[LC Qty]]&gt;0,SnapshotTable[[#This Row],[LC Book Date]]&gt;0,SnapshotTable[[#This Row],[LC Book Price]]&gt;0,SnapshotTable[[#This Row],[LC Fill Date]]=0),"Y","")</f>
        <v/>
      </c>
      <c r="DQ242" s="386" t="str">
        <f>IF(SnapshotTable[[#This Row],[LC Premium]] &gt; 0,SnapshotTable[[#This Row],[LC Exp Date]]-MAX(SnapshotTable[[#This Row],[LC Book Date]], SnapshotTable[[#This Row],[LC Fill Date]]),"")</f>
        <v/>
      </c>
      <c r="DR242" s="386" t="str">
        <f>IF(ISNUMBER(SnapshotTable[[#This Row],[LC Term]]), SnapshotTable[[#This Row],[LC Exp Date]] - MockToday, "")</f>
        <v/>
      </c>
      <c r="DS242" s="234" t="str">
        <f>IF(SnapshotTable[[#This Row],[LC Premium]]&gt;0,SnapshotTable[[#This Row],[LC Strike Price]] + SnapshotTable[[#This Row],[LC Book Price]],"")</f>
        <v/>
      </c>
      <c r="DU242" s="9" t="str">
        <f>IF(AND(SnapshotTable[[#This Row],[LC Symbol Count]]&gt;0, SnapshotTable[[#This Row],[LC Contract Value]]&gt;0), SnapshotTable[[#This Row],[LC Contract Value]] * SnapshotTable[[#This Row],[LC Qty]] * 100, "")</f>
        <v/>
      </c>
      <c r="DV242" s="9" t="str">
        <f>IF(AND(ISNUMBER(SnapshotTable[[#This Row],[LC Total Value]]), SnapshotTable[[#This Row],[LC Not Filled]]&lt;&gt;"Y"), SnapshotTable[[#This Row],[LC Total Value]]-SnapshotTable[[#This Row],[LC Premium]],"")</f>
        <v/>
      </c>
      <c r="DW242" s="240" t="str">
        <f>IF(ISNUMBER(SnapshotTable[[#This Row],[LC Actual Gain Loss]]), SnapshotTable[[#This Row],[LC Actual Gain Loss]] / SnapshotTable[[#This Row],[LC Premium]],"")</f>
        <v/>
      </c>
      <c r="DX242" s="284" t="str">
        <f>IF(ISNUMBER(SnapshotTable[[#This Row],[LC Book Price]]),SnapshotTable[[#This Row],[LC Book Price]] * 1.5,"")</f>
        <v/>
      </c>
      <c r="DY242" s="265" t="str">
        <f>IF(SnapshotTable[[#This Row],[LC Premium]]&gt;0, SnapshotTable[[#This Row],[LC Next Target]] * SnapshotTable[[#This Row],[LC Qty]] * 100,"")</f>
        <v/>
      </c>
      <c r="DZ242" s="265" t="str">
        <f>IF(ISNUMBER(SnapshotTable[[#This Row],[LC Target Gross]]), SnapshotTable[[#This Row],[LC Target Gross]] - SnapshotTable[[#This Row],[LC Premium]], "")</f>
        <v/>
      </c>
      <c r="EA242" s="305" t="str">
        <f>IF(ISNUMBER(SnapshotTable[[#This Row],[LC Target Gain Loss]]), SnapshotTable[[#This Row],[LC Target Gain Loss]]/SnapshotTable[[#This Row],[LC Premium]], "")</f>
        <v/>
      </c>
      <c r="EB242" s="262"/>
      <c r="EC242" s="283" t="str">
        <f>IF(SnapshotTable[[#This Row],[LC Premium]]&gt;0, SnapshotTable[[#This Row],[LC Book Price]] * (1 - LC_StopLoss_Pct),"")</f>
        <v/>
      </c>
      <c r="ED242" s="284"/>
      <c r="EE242" s="283" t="str">
        <f>IF(ISNUMBER(SnapshotTable[[#This Row],[LC Contract Value]]),IF(ISNUMBER(SnapshotTable[[#This Row],[LC Stop Loss Override]]), SnapshotTable[[#This Row],[LC Stop Loss Override]],SnapshotTable[[#This Row],[LC Stop Loss Calc Target]]),"")</f>
        <v/>
      </c>
      <c r="EF242" s="31" t="str">
        <f>IF(ISNUMBER(SnapshotTable[[#This Row],[LC Stop  To Use]]), (SnapshotTable[[#This Row],[LC Stop  To Use]] * SnapshotTable[[#This Row],[LC Qty]] * 100),"")</f>
        <v/>
      </c>
      <c r="EG242" s="9" t="str">
        <f>IF(ISNUMBER(SnapshotTable[[#This Row],[LC Total Value]]),SnapshotTable[[#This Row],[LC Stop Loss Amount]] - SnapshotTable[[#This Row],[LC Premium]],"")</f>
        <v/>
      </c>
      <c r="EH242" s="9">
        <f>IF(ISNUMBER(SnapshotTable[[#This Row],[LC Premium]]), SnapshotTable[[#This Row],[LC Qty]] * 100 * SnapshotTable[[#This Row],[LC Strike Price]], "")</f>
        <v>0</v>
      </c>
      <c r="EI242" s="240" t="str">
        <f>IF(AND(ISNUMBER(SnapshotTable[[#This Row],[LC Total Value]]),SnapshotTable[[#This Row],[LC Total Value]]&gt;0),SnapshotTable[[#This Row],[LC Stop Gain Loss]]  / SnapshotTable[[#This Row],[LC Premium]],"")</f>
        <v/>
      </c>
      <c r="EJ242" s="35">
        <f>IF(ISNUMBER(SnapshotTable[[#This Row],[Equity Shares]]),TRUNC(SnapshotTable[[#This Row],[Equity Shares]] / 100),0) + SnapshotTable[[#This Row],[LC Qty]]</f>
        <v>0</v>
      </c>
      <c r="EK242" s="147"/>
      <c r="EL242" s="138" t="str">
        <f>IF(SnapshotTable[[#This Row],[SC Exp Date]]&lt;&gt;"",TRUNC(SnapshotTable[[#This Row],[Last Price]]),"")</f>
        <v/>
      </c>
      <c r="EM242" s="148"/>
      <c r="EN242" s="147"/>
      <c r="EO242" s="147"/>
      <c r="EP242" s="138"/>
      <c r="EQ242" s="419" t="b">
        <f>AND(ISNUMBER(SnapshotTable[[#This Row],[SC Exp Date]]), ISNUMBER(SnapshotTable[[#This Row],[SC Strike Price]]), ISNUMBER(SnapshotTable[[#This Row],[SC Qty]]), ISNUMBER(SnapshotTable[[#This Row],[SC Book Date]]), ISNUMBER(SnapshotTable[[#This Row],[SC Book Price]]))</f>
        <v>0</v>
      </c>
      <c r="ER242" s="419" t="b">
        <f>AND(SnapshotTable[[#This Row],[SC Is Booked]], NOT(ISBLANK(SnapshotTable[[#This Row],[SC Fill Date]])))</f>
        <v>0</v>
      </c>
      <c r="ES242" s="370"/>
      <c r="ET242" s="34" t="str">
        <f>IF(AND(ISNUMBER(SnapshotTable[[#This Row],[SC Exp Date]]), ISNUMBER(SnapshotTable[[#This Row],[SC Book Date]])), SnapshotTable[[#This Row],[SC Exp Date]] - MAX(SnapshotTable[[#This Row],[SC Book Date]], SnapshotTable[[#This Row],[SC Fill Date]]) + 1, "")</f>
        <v/>
      </c>
      <c r="EU242" s="34" t="str">
        <f>IF(ISNUMBER(SnapshotTable[[#This Row],[SC Term]]), SnapshotTable[[#This Row],[SC Exp Date]]- MockToday, "")</f>
        <v/>
      </c>
      <c r="EV242" s="31">
        <f>IF(SnapshotTable[[#This Row],[SC Is Booked]], SnapshotTable[[#This Row],[SC Qty]] * SnapshotTable[[#This Row],[SC Book Price]] * 100, 0)</f>
        <v>0</v>
      </c>
      <c r="EW242" s="4" t="str">
        <f>IF(AND(ISNUMBER(SnapshotTable[[#This Row],[Last Price]]), ISNUMBER( SnapshotTable[[#This Row],[SC Book Price]])), SnapshotTable[[#This Row],[Last Price]] - SnapshotTable[[#This Row],[SC Book Price]],"")</f>
        <v/>
      </c>
      <c r="EX242" s="234" t="str">
        <f>IF(SnapshotTable[[#This Row],[SC Is Booked]],IF(SnapshotTable[[#This Row],[SC Intrinsic Value]] &gt; 0, SnapshotTable[[#This Row],[SC Strike Price]], SnapshotTable[[#This Row],[Last Price]]), "")</f>
        <v/>
      </c>
      <c r="EY242" s="4">
        <f>IF(SnapshotTable[[#This Row],[SC Is Booked]], (MinimumPremiumRequired * SnapshotTable[[#This Row],[SC Basis]] * SnapshotTable[[#This Row],[SC Term]]), 0)</f>
        <v>0</v>
      </c>
      <c r="EZ242" s="283"/>
      <c r="FA242" s="218"/>
      <c r="FB242" s="370"/>
      <c r="FC242" s="4">
        <f>IF(SnapshotTable[[#This Row],[SC Is Filled]], btc_max_buyback_amount(SnapshotTable[[#This Row],[SC Fill Date]],SnapshotTable[[#This Row],[SC Exp Date]], SnapshotTable[[#This Row],[SC Book Price]]),0)</f>
        <v>0</v>
      </c>
      <c r="FD242" s="5"/>
      <c r="FE242" s="144" t="str">
        <f>IF(SnapshotTable[[#This Row],[SC Is Filled]], btc_next_cutoff_date(SnapshotTable[[#This Row],[SC Fill Date]],SnapshotTable[[#This Row],[SC Exp Date]]),"")</f>
        <v/>
      </c>
      <c r="FF242" s="4" t="str" cm="1">
        <f t="array" ref="FF242">IF(SnapshotTable[[#This Row],[SC Is Filled]], btc_should_buy_back(SnapshotTable[[#This Row],[SC Fill Date]], SnapshotTable[[#This Row],[SC Exp Date]], SnapshotTable[[#This Row],[SC Book Price]], SnapshotTable[[#This Row],[SC Current Ask]], MockToday, SnapshotTable[[#This Row],[SC Buyback Override]]),"")</f>
        <v/>
      </c>
      <c r="FG242" s="4">
        <f>IF(SnapshotTable[[#This Row],[SC Is Filled]], MAX(0,SnapshotTable[[#This Row],[Last Price]]  - SnapshotTable[[#This Row],[SC Strike Price]]), 0)</f>
        <v>0</v>
      </c>
      <c r="FH242" s="382">
        <f>IF(SnapshotTable[[#This Row],[SC Is Filled]], IF(ISNUMBER(SnapshotTable[[#This Row],[SC Current Ask]]), SnapshotTable[[#This Row],[SC Current Ask]], SnapshotTable[[#This Row],[SC Book Price]]) - SnapshotTable[[#This Row],[SC Intrinsic Value]], 0)</f>
        <v>0</v>
      </c>
      <c r="FI242" s="143"/>
      <c r="FJ242" s="32" t="str">
        <f>IF(SnapshotTable[[#This Row],[SC Is Filled]],100 * SnapshotTable[[#This Row],[SC Qty]] * IF(ISNUMBER(SnapshotTable[[#This Row],[SC Buyback Override]]), SnapshotTable[[#This Row],[SC Buyback Override]], SnapshotTable[[#This Row],[SC Current Ask]]), "")</f>
        <v/>
      </c>
      <c r="FK242" s="250" t="str">
        <f>IF(SnapshotTable[[#This Row],[SC Time Val]]&gt;0, SnapshotTable[[#This Row],[SC Time Val]] / SnapshotTable[[#This Row],[Last Price]],"")</f>
        <v/>
      </c>
      <c r="FL242" s="302" t="str">
        <f>IF(SnapshotTable[[#This Row],[SC Is Booked]], ((SnapshotTable[[#This Row],[Last Price]] -SnapshotTable[[#This Row],[SC Strike Price]]) / SnapshotTable[[#This Row],[Last Price]]) * -1, "")</f>
        <v/>
      </c>
      <c r="FM242" s="157" t="str">
        <f>IF(SnapshotTable[[#This Row],[SC Is Booked]],  (SnapshotTable[[#This Row],[SC Qty]] * 100 * SnapshotTable[[#This Row],[SC Strike Price]]) - SnapshotTable[[#This Row],[SC Current Ask]], "")</f>
        <v/>
      </c>
      <c r="FN24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2" s="31" t="str">
        <f>IF(AND(ISNUMBER(SnapshotTable[[#This Row],[SC Exercise Gross]]), ISNUMBER(SnapshotTable[[#This Row],[Equity Basis Per Share]] )), SnapshotTable[[#This Row],[SC Exercise Gross]] - SnapshotTable[[#This Row],[Equity Basis Total]] +  SnapshotTable[[#This Row],[SC Premium]], "")</f>
        <v/>
      </c>
      <c r="FP242" s="5" t="str">
        <f>IF(ISNUMBER(SnapshotTable[[#This Row],[SC Exercise Gross]]), (SnapshotTable[[#This Row],[SC Exercise Gross]]) / (SnapshotTable[[#This Row],[SC Qty]] * 100), "")</f>
        <v/>
      </c>
      <c r="FQ242" s="27" t="str">
        <f>IF(SnapshotTable[[#This Row],[SC Is Booked]],SnapshotTable[[#This Row],[SC Time Val]] /SnapshotTable[[#This Row],[SC Basis]], "")</f>
        <v/>
      </c>
      <c r="FR242" s="27" t="str" cm="1">
        <f t="array" ref="FR242">IF(AND(ISNUMBER(SnapshotTable[[#This Row],[SC Term]]),ISNUMBER(SnapshotTable[[#This Row],[SC Simple ROO]])), EllmanAnnualize(SnapshotTable[[#This Row],[SC DTE]], SnapshotTable[[#This Row],[SC Simple ROO]] ),"")</f>
        <v/>
      </c>
      <c r="FS242" s="4" t="e">
        <f>IF(SnapshotTable[[#This Row],[SC Strike Price]] &gt; SnapshotTable[[#This Row],[Last Price]], SnapshotTable[[#This Row],[SC Strike Price]] - SnapshotTable[[#This Row],[Last Price]],0)</f>
        <v>#VALUE!</v>
      </c>
      <c r="FT242" s="27" t="e">
        <f>IF(AND(ISNUMBER(SnapshotTable[[#This Row],[SC Upside Potential]]), SnapshotTable[[#This Row],[SC Upside Potential]] &gt; 0),(SnapshotTable[[#This Row],[SC Upside Potential]]/ SnapshotTable[[#This Row],[ACB]]),"")</f>
        <v>#VALUE!</v>
      </c>
      <c r="FU242" s="333" t="str">
        <f>IF(SnapshotTable[[#This Row],[SC Intrinsic Value]] &gt; 0,SnapshotTable[[#This Row],[SC Intrinsic Value]],"")</f>
        <v/>
      </c>
      <c r="FV242" s="27" t="str">
        <f>IF(AND( ISNUMBER( SnapshotTable[[#This Row],[ACB]]),ISNUMBER(SnapshotTable[[#This Row],[SC Downside Protect]])),SnapshotTable[[#This Row],[SC Downside Protect]] / SnapshotTable[[#This Row],[ACB]],"")</f>
        <v/>
      </c>
      <c r="FW242" s="236" t="str">
        <f>IF(AND(ISNUMBER(SnapshotTable[[#This Row],[SC Simple ROO]]),SnapshotTable[[#This Row],[SC Simple ROO]] &gt; 0), SnapshotTable[[#This Row],[SC Premium]] + (SnapshotTable[[#This Row],[SC Qty]] * SnapshotTable[[#This Row],[SC Upside Potential]]), "")</f>
        <v/>
      </c>
      <c r="FX242" s="302" t="str" cm="1">
        <f t="array" ref="FX242">IF(ISNUMBER(SnapshotTable[[#This Row],[SC Max Dollars]]), annualize(SnapshotTable[[#This Row],[SC Term]],(SnapshotTable[[#This Row],[SC Max Dollars]]/SnapshotTable[[#This Row],[SC Basis]])),"")</f>
        <v/>
      </c>
      <c r="FY242" s="236" t="str">
        <f>IF(AND(SnapshotTable[[#This Row],[SC Qty]]&gt;0,SnapshotTable[[#This Row],[SC Current Ask]]&gt;0), SnapshotTable[[#This Row],[SC Qty]] * SnapshotTable[[#This Row],[SC Current Ask]] * -100, "")</f>
        <v/>
      </c>
      <c r="FZ242" s="31" t="str">
        <f>IF(ISNUMBER((SnapshotTable[[#This Row],[SC Current Value]])), SnapshotTable[[#This Row],[SC Premium]] + SnapshotTable[[#This Row],[SC Current Value]], "")</f>
        <v/>
      </c>
      <c r="GA242" s="294" t="str">
        <f>IFERROR( IF(ISNUMBER((SnapshotTable[[#This Row],[SC Current Value]])), SnapshotTable[[#This Row],[SC Gain Loss]] / SnapshotTable[[#This Row],[SC Premium]], ""), "")</f>
        <v/>
      </c>
      <c r="GB242" s="42">
        <f>SnapshotTable[[#This Row],[Equity Shares]] * SaleSharesToConsiderPercentage</f>
        <v>0</v>
      </c>
      <c r="GC242" s="40">
        <f>SnapshotTable[[#This Row],[Long Term Target]] * SellingPriceToConsiderBasedOnTargetPercentage</f>
        <v>111.872</v>
      </c>
      <c r="GD242" s="40">
        <f>SnapshotTable[[#This Row],[Last Price]] * (1+ SellingPriceToConsiderBasedOnTargetPercentage)</f>
        <v>398.48249999999996</v>
      </c>
      <c r="GE242" s="41"/>
      <c r="GF242" s="40"/>
      <c r="GG242" s="31">
        <f>SnapshotTable[[#This Row],[Booked Sale Shares]] * SnapshotTable[[#This Row],[Booked Sale Price]]</f>
        <v>0</v>
      </c>
      <c r="GH242" s="31" t="str">
        <f>IF(SnapshotTable[[#This Row],[Equity Basis Total]] &gt; 0, SnapshotTable[[#This Row],[Equity Basis Per Share]] * SnapshotTable[[#This Row],[Booked Sale Shares]], "")</f>
        <v/>
      </c>
      <c r="GI242" s="31">
        <f>IF(SnapshotTable[[#This Row],[Sale Proceeds]]&gt;0, SnapshotTable[[#This Row],[Sale Proceeds]] - SnapshotTable[[#This Row],[Sale Basis]], 0)</f>
        <v>0</v>
      </c>
      <c r="GJ242" s="27" t="str">
        <f>IF(SnapshotTable[[#This Row],[Sale G/L]]&gt;0, SnapshotTable[[#This Row],[Sale G/L]] / SnapshotTable[[#This Row],[Sale Basis]], IF(ISNUMBER(SnapshotTable[[#This Row],[SC Exercise P&amp;L (TAX)]]), SnapshotTable[[#This Row],[SC Exercise P&amp;L (TAX)]] / SnapshotTable[[#This Row],[SC Basis]], ""))</f>
        <v/>
      </c>
      <c r="GK242" s="27" t="s">
        <v>742</v>
      </c>
      <c r="GL242" s="43" t="str">
        <f>IF(AND(SnapshotTable[[#This Row],[LP Exp Date]]&gt;0,SnapshotTable[[#This Row],[LP Strike Price]]&gt;0), [1]!ToOptionSymbol(SnapshotTable[[#This Row],[Symbol]], SnapshotTable[[#This Row],[LP Strike Price]],SnapshotTable[[#This Row],[LP Exp Date]],1), "")</f>
        <v/>
      </c>
      <c r="GM242" s="30" t="str">
        <f>IF(LEN(SnapshotTable[[#This Row],[LP Symbol]])&gt;0, 1, "")</f>
        <v/>
      </c>
      <c r="GN242" s="43" t="str">
        <f>IF(AND(SnapshotTable[[#This Row],[SP Exp Date]]&gt;0,SnapshotTable[[#This Row],[SP Strike Price]]&gt;0), [1]!ToOptionSymbol(SnapshotTable[[#This Row],[Symbol]], SnapshotTable[[#This Row],[SP Strike Price]],SnapshotTable[[#This Row],[SP Exp Date]],1), "")</f>
        <v/>
      </c>
      <c r="GO242" s="30" t="str">
        <f>IF(LEN(SnapshotTable[[#This Row],[SP Symbol]])&gt;0, 1, "")</f>
        <v/>
      </c>
      <c r="GP242" s="43" t="str">
        <f>IF(AND(SnapshotTable[[#This Row],[LC Exp Date]]&gt;0,SnapshotTable[[#This Row],[LC Strike Price]]&gt;0), [1]!ToOptionSymbol(SnapshotTable[[#This Row],[Symbol]], SnapshotTable[[#This Row],[LC Strike Price]],SnapshotTable[[#This Row],[LC Exp Date]],0), "")</f>
        <v/>
      </c>
      <c r="GQ242" s="30" t="str">
        <f>IF(LEN(SnapshotTable[[#This Row],[LC Symbol]])&gt;0, 1, "")</f>
        <v/>
      </c>
      <c r="GR242" s="43" t="str">
        <f>IF(AND(SnapshotTable[[#This Row],[SC Exp Date]]&gt;0,SnapshotTable[[#This Row],[SC Strike Price]]&gt;0), [1]!ToOptionSymbol(SnapshotTable[[#This Row],[Symbol]], SnapshotTable[[#This Row],[SC Strike Price]],SnapshotTable[[#This Row],[SC Exp Date]],0), "")</f>
        <v/>
      </c>
      <c r="GS242" s="30" t="str">
        <f>IF(LEN(SnapshotTable[[#This Row],[SC Symbol]])&gt;0, 1, "")</f>
        <v/>
      </c>
      <c r="GT242" s="29" t="str">
        <f>IF(COUNT(SnapshotTable[[#This Row],[LP Symbol Count]],SnapshotTable[[#This Row],[SP Symbol Count]],SnapshotTable[[#This Row],[LC Symbol Count]],SnapshotTable[[#This Row],[SC Symbol Count]])&gt;0, "Y", "")</f>
        <v/>
      </c>
      <c r="GU24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2" s="231" t="e">
        <f>MAX(SnapshotTable[[#This Row],[Equity Basis Total]],SnapshotTable[[#This Row],[Equity Value]]) + (SnapshotTable[[#This Row],[SP Potential Spend]]- SnapshotTable[[#This Row],[SP Premium]] + SnapshotTable[[#This Row],[LP Premium]])+ (SnapshotTable[[#This Row],[LC Premium]] - SnapshotTable[[#This Row],[SC Premium]])</f>
        <v>#VALUE!</v>
      </c>
      <c r="GW242" s="139" t="e">
        <f>IF(AND(SnapshotTable[[#This Row],[Exposure]] &lt;&gt; 0),SnapshotTable[[#This Row],[Exposure]] / SnapshotTable[[#Totals],[Exposure]], "")</f>
        <v>#VALUE!</v>
      </c>
      <c r="HE242" s="268"/>
      <c r="HF242" s="268"/>
      <c r="HK242" s="1"/>
      <c r="HL242" s="1"/>
      <c r="HM242" s="1"/>
      <c r="HN242" s="1"/>
      <c r="HO242" s="1"/>
      <c r="HP242" s="1"/>
    </row>
    <row r="243" spans="2:224" ht="12.75" hidden="1" customHeight="1" x14ac:dyDescent="0.25">
      <c r="B243" s="12" t="s">
        <v>494</v>
      </c>
      <c r="C243" s="422">
        <v>319.29000000000002</v>
      </c>
      <c r="D243" s="208"/>
      <c r="E243" s="39">
        <f>SnapshotTable[[#This Row],[Last Price]]*(1 -CrashDiscount)</f>
        <v>271.3965</v>
      </c>
      <c r="F243" s="26" t="s">
        <v>243</v>
      </c>
      <c r="G243" s="26" t="s">
        <v>9</v>
      </c>
      <c r="H243" s="149"/>
      <c r="I243" s="194">
        <v>44762.670138888891</v>
      </c>
      <c r="J243" s="195">
        <v>44762.670138888891</v>
      </c>
      <c r="K243" s="196"/>
      <c r="L243" s="326"/>
      <c r="M243" s="140"/>
      <c r="N243" s="140"/>
      <c r="O243" s="140"/>
      <c r="P243" s="22"/>
      <c r="Q243" s="25"/>
      <c r="R243" s="4" t="str">
        <f>IF(SnapshotTable[[#This Row],[Equity Basis Total]] &gt; 0, SnapshotTable[[#This Row],[Equity Basis Total]] / SnapshotTable[[#This Row],[Equity Shares]], "")</f>
        <v/>
      </c>
      <c r="S243" s="269">
        <f>SnapshotTable[[#This Row],[Last Price]] * SnapshotTable[[#This Row],[Equity Shares]]</f>
        <v>0</v>
      </c>
      <c r="T243" s="269">
        <f>SnapshotTable[[#This Row],[Equity Value]] - SnapshotTable[[#This Row],[Equity Basis Total]]</f>
        <v>0</v>
      </c>
      <c r="U243" s="270" t="str">
        <f>IF(SnapshotTable[[#This Row],[Equity Basis Total]] &gt; 0, SnapshotTable[[#This Row],[Equity G/L]] / SnapshotTable[[#This Row],[Equity Basis Total]], "")</f>
        <v/>
      </c>
      <c r="V243" s="268"/>
      <c r="W243" s="268"/>
      <c r="X243" s="4" t="str">
        <f>IF(AND(ISNUMBER(SnapshotTable[[#This Row],[Equity Basis Per Share]]),ISNUMBER(SnapshotTable[[#This Row],[Equity Target]])),SnapshotTable[[#This Row],[Equity Target]]-SnapshotTable[[#This Row],[Equity Basis Per Share]],"")</f>
        <v/>
      </c>
      <c r="Y243" s="4" t="str">
        <f>IF(AND(ISNUMBER(SnapshotTable[[#This Row],[Equity Basis Per Share]]),ISNUMBER(SnapshotTable[[#This Row],[Equity Stop Loss]])),SnapshotTable[[#This Row],[Equity Stop Loss]]-SnapshotTable[[#This Row],[Equity Basis Per Share]],"")</f>
        <v/>
      </c>
      <c r="Z243" s="275" t="str">
        <f>IFERROR( TEXT(SnapshotTable[[#This Row],[Equity Max Gain Per Share]] /ABS( SnapshotTable[[#This Row],[Equity Max Loss Per Share]]),"0.0 " ) &amp; " : 1", "")</f>
        <v/>
      </c>
      <c r="AA243" s="31" t="str">
        <f>IF(ISNUMBER(SnapshotTable[[#This Row],[Equity Max Gain Per Share]]),SnapshotTable[[#This Row],[Equity Max Gain Per Share]] * SnapshotTable[[#This Row],[Equity Shares]],"")</f>
        <v/>
      </c>
      <c r="AB243" s="31" t="str">
        <f>IF(ISNUMBER(SnapshotTable[[#This Row],[Equity Max Loss Per Share]]),SnapshotTable[[#This Row],[Equity Max Loss Per Share]] * SnapshotTable[[#This Row],[Equity Shares]],"")</f>
        <v/>
      </c>
      <c r="AC243" s="150">
        <v>4.5999999999999996</v>
      </c>
      <c r="AD243" s="151" t="s">
        <v>560</v>
      </c>
      <c r="AE243" s="31">
        <f>(SnapshotTable[[#This Row],[Annual Dividend Per Share]] / 4) * SnapshotTable[[#This Row],[Equity Shares]]</f>
        <v>0</v>
      </c>
      <c r="AF243" s="31">
        <f>SnapshotTable[[#This Row],[Quarterly Div $]] * 4</f>
        <v>0</v>
      </c>
      <c r="AG243" s="7">
        <f>IF(SnapshotTable[[#This Row],[Annual Dividend Per Share]]&gt;0, SnapshotTable[[#This Row],[Annual Dividend Per Share]]  / SnapshotTable[[#This Row],[Last Price]], 0)</f>
        <v>1.4406965454602396E-2</v>
      </c>
      <c r="AH243" s="151">
        <v>43829</v>
      </c>
      <c r="AI243" s="5">
        <v>230</v>
      </c>
      <c r="AJ243" s="138">
        <v>334.68</v>
      </c>
      <c r="AK243" s="152">
        <f>IF(ISNUMBER( SnapshotTable[[#This Row],[EBF Target]]),(SnapshotTable[[#This Row],[EBF Target]] - SnapshotTable[[#This Row],[Last Price]]) / SnapshotTable[[#This Row],[Last Price]], "")</f>
        <v>-0.27965172726988008</v>
      </c>
      <c r="AL243" s="152" t="str">
        <f>IF(AND(SnapshotTable[[#This Row],[Equity Basis Total]] &gt; 0,ISNUMBER( SnapshotTable[[#This Row],[Long Term Target]])), SnapshotTable[[#This Row],[From Basis $]] / SnapshotTable[[#This Row],[Equity Basis Total]], "")</f>
        <v/>
      </c>
      <c r="AM243" s="9">
        <f>IF( AND(SnapshotTable[[#This Row],[Equity Shares]] &gt;0,ISNUMBER( SnapshotTable[[#This Row],[Long Term Target]])),(SnapshotTable[[#This Row],[Equity Shares]] * SnapshotTable[[#This Row],[Long Term Target]]) - SnapshotTable[[#This Row],[Equity Basis Total]],0)</f>
        <v>0</v>
      </c>
      <c r="AN243" s="9">
        <f>IF( AND(SnapshotTable[[#This Row],[Equity Shares]] &gt;0,ISNUMBER( SnapshotTable[[#This Row],[Long Term Target]])),(SnapshotTable[[#This Row],[Equity Shares]]*SnapshotTable[[#This Row],[Long Term Target]]) - SnapshotTable[[#This Row],[Equity Value]],0)</f>
        <v>0</v>
      </c>
      <c r="AO243" s="152">
        <f>IF(AND(ISNUMBER( SnapshotTable[[#This Row],[Long Term Target]]), ISNUMBER(SnapshotTable[[#This Row],[Last Price]])),(SnapshotTable[[#This Row],[Long Term Target]] - SnapshotTable[[#This Row],[Last Price]]) / SnapshotTable[[#This Row],[Last Price]], "")</f>
        <v>4.820069529268059E-2</v>
      </c>
      <c r="AP243" s="5"/>
      <c r="AQ243" s="38"/>
      <c r="AR243" s="5"/>
      <c r="AS243" s="38"/>
      <c r="AT243" s="146"/>
      <c r="AU243" s="187" t="str">
        <f>IF(OR(SnapshotTable[[#This Row],[LP No Fill]]="Y",SnapshotTable[[#This Row],[SP Is Filled]],SnapshotTable[[#This Row],[LC Not Filled]]="Y",SnapshotTable[[#This Row],[SC Is Filled]]),"Y","")</f>
        <v/>
      </c>
      <c r="AV243" s="219"/>
      <c r="AW243" s="225"/>
      <c r="AX243" s="220"/>
      <c r="AY243" s="219" t="str">
        <f>IF(SnapshotTable[[#This Row],[Implied Move]]&gt;0, SnapshotTable[[#This Row],[Last Price]]-SnapshotTable[[#This Row],[Implied Move]],"")</f>
        <v/>
      </c>
      <c r="AZ243" s="219" t="str">
        <f>IF(SnapshotTable[[#This Row],[Implied Move]]&gt;0, SnapshotTable[[#This Row],[Last Price]] + SnapshotTable[[#This Row],[Implied Move]],"")</f>
        <v/>
      </c>
      <c r="BA243" s="331"/>
      <c r="BB243" s="347"/>
      <c r="BC24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3" s="351"/>
      <c r="BE243" s="5"/>
      <c r="BF243" s="14"/>
      <c r="BG243" s="13"/>
      <c r="BH243" s="13"/>
      <c r="BI243" s="5"/>
      <c r="BJ243" s="136">
        <f>IF(SnapshotTable[[#This Row],[LP Qty]] &gt; 0, SnapshotTable[[#This Row],[LP Qty]] * SnapshotTable[[#This Row],[LP Book Price]] * 100,0)</f>
        <v>0</v>
      </c>
      <c r="BK243" s="136">
        <f>IF(SnapshotTable[[#This Row],[LP Premium]] &gt; 0, SnapshotTable[[#This Row],[LP Qty]] * SnapshotTable[[#This Row],[LP Strike Price]] * 100,0)</f>
        <v>0</v>
      </c>
      <c r="BL243" s="154"/>
      <c r="BM243" s="385" t="str">
        <f>IF(SnapshotTable[[#This Row],[LP Premium]] &gt; 0,SnapshotTable[[#This Row],[LP Exp Date]]-MAX(SnapshotTable[[#This Row],[LP Book Date]], SnapshotTable[[#This Row],[LP Fill Date]]),"")</f>
        <v/>
      </c>
      <c r="BN243" s="385" t="str">
        <f>IF(ISNUMBER( SnapshotTable[[#This Row],[LP Term]]), SnapshotTable[[#This Row],[LP Exp Date]] - MockToday,"")</f>
        <v/>
      </c>
      <c r="BO243" s="163" t="str">
        <f>IF(AND(SnapshotTable[[#This Row],[LP Exp Date]]&gt;0, SnapshotTable[[#This Row],[LP Strike Price]]&gt;0,SnapshotTable[[#This Row],[LP Qty]]&gt;0,SnapshotTable[[#This Row],[LP Book Date]]&gt;0,SnapshotTable[[#This Row],[LP Book Price]]&gt;0,SnapshotTable[[#This Row],[LP Fill Date]]=0),"Y","")</f>
        <v/>
      </c>
      <c r="BP243" s="31" t="str">
        <f>IF(AND(SnapshotTable[[#This Row],[LP No Fill]]&lt;&gt;"Y",SnapshotTable[[#This Row],[LP Contract Value]]&gt;0, SnapshotTable[[#This Row],[LP Qty]]&gt;0), SnapshotTable[[#This Row],[LP Contract Value]]*SnapshotTable[[#This Row],[LP Qty]]*100,"")</f>
        <v/>
      </c>
      <c r="BQ243" s="13"/>
      <c r="BR243" s="5" t="str">
        <f>IF(SnapshotTable[[#This Row],[SP Exp Date]]&lt;&gt;"",TRUNC(SnapshotTable[[#This Row],[Last Price]]),"")</f>
        <v/>
      </c>
      <c r="BS243" s="36"/>
      <c r="BT243" s="147"/>
      <c r="BU243" s="13"/>
      <c r="BV243" s="5"/>
      <c r="BW243" s="419" t="b">
        <f>AND(ISNUMBER(SnapshotTable[[#This Row],[SP Exp Date]]), ISNUMBER(SnapshotTable[[#This Row],[SP Strike Price]]), ISNUMBER(SnapshotTable[[#This Row],[SP Qty]]), ISNUMBER(SnapshotTable[[#This Row],[SP Book Date]]), ISNUMBER(SnapshotTable[[#This Row],[SP Book Price]]))</f>
        <v>0</v>
      </c>
      <c r="BX243" s="419" t="b">
        <f>AND(SnapshotTable[[#This Row],[SP Is Booked]], NOT(ISBLANK(SnapshotTable[[#This Row],[SP Fill Date]])))</f>
        <v>0</v>
      </c>
      <c r="BY243" s="33">
        <f>IF(SnapshotTable[[#This Row],[SP Is Booked]], SnapshotTable[[#This Row],[SP Qty]] * SnapshotTable[[#This Row],[SP Book Price]] * 100, 0)</f>
        <v>0</v>
      </c>
      <c r="BZ243" s="369"/>
      <c r="CA243" s="368">
        <f>SnapshotTable[[#This Row],[LP Qty]]</f>
        <v>0</v>
      </c>
      <c r="CB243" s="4" t="str">
        <f>IF(SnapshotTable[[#This Row],[SP Is Booked]], SnapshotTable[[#This Row],[SP Strike Price]] - SnapshotTable[[#This Row],[SP Book Price]], "")</f>
        <v/>
      </c>
      <c r="CC243" s="19" t="str">
        <f>IF(SnapshotTable[[#This Row],[SP Is Booked]],SnapshotTable[[#This Row],[SP Exp Date]]-MAX(SnapshotTable[[#This Row],[SP Book Date]], SnapshotTable[[#This Row],[SP Fill Date]]),"")</f>
        <v/>
      </c>
      <c r="CD243" s="7" t="str">
        <f>IF(SnapshotTable[[#This Row],[SP Is Booked]], SnapshotTable[[#This Row],[SP Book Price]]/SnapshotTable[[#This Row],[SP Strike Price]], "")</f>
        <v/>
      </c>
      <c r="CE243" s="7" t="str">
        <f>IF(ISNUMBER(SnapshotTable[[#This Row],[SP ROO Term]]),SnapshotTable[[#This Row],[SP ROO Term]]*(365/SnapshotTable[[#This Row],[SP Term]]),"")</f>
        <v/>
      </c>
      <c r="CF243" s="236">
        <f>SnapshotTable[[#This Row],[LP Strike Price]] * SnapshotTable[[#This Row],[LP Qty]] * 100</f>
        <v>0</v>
      </c>
      <c r="CG243" s="31" t="e">
        <f>IF(ISNUMBER(SnapshotTable[[#This Row],[SP Premium]]), (SnapshotTable[[#This Row],[SP Qty]] * SnapshotTable[[#This Row],[SP Strike Price]]* 100) - SnapshotTable[[#This Row],[LP Protection]], 0)</f>
        <v>#VALUE!</v>
      </c>
      <c r="CH243" s="7" t="str">
        <f>IF(ISNUMBER(SnapshotTable[[#This Row],[SP Break Even]]),-1 * (SnapshotTable[[#This Row],[SP Break Even]] - SnapshotTable[[#This Row],[Last Price]]) / SnapshotTable[[#This Row],[Last Price]], "")</f>
        <v/>
      </c>
      <c r="CI243" s="31">
        <f>IF(AND(ISNUMBER((SnapshotTable[[#This Row],[SP Potential Spend]])), SnapshotTable[[#This Row],[SP Strike Price]] &gt; SnapshotTable[[#This Row],[Last Price]], SnapshotTable[[#This Row],[SP Is Filled]]), SnapshotTable[[#This Row],[SP Potential Spend]] -  SnapshotTable[[#This Row],[LP Max Value]], 0)</f>
        <v>0</v>
      </c>
      <c r="CJ243" s="244"/>
      <c r="CK243" s="31" t="str">
        <f>IF(ISNUMBER(SnapshotTable[[#This Row],[SP Potential Spend]]),IF(ISNUMBER(SnapshotTable[[#This Row],[SP POW]]), SnapshotTable[[#This Row],[SP POW]] * SnapshotTable[[#This Row],[SP Potential Spend]], SnapshotTable[[#This Row],[SP Potential Spend]]), "")</f>
        <v/>
      </c>
      <c r="CL243" s="164" t="e">
        <f>IF(NOT(SnapshotTable[[#This Row],[SP Is Filled]]),(SnapshotTable[[#This Row],[SP Qty]] * SnapshotTable[[#This Row],[SP Strike Price]] * 100) - SnapshotTable[[#This Row],[LP Max Value]],"")</f>
        <v>#VALUE!</v>
      </c>
      <c r="CM243" s="31" t="str">
        <f>IF(SnapshotTable[[#This Row],[SP Actual Spend]]&lt;&gt;0, ((SnapshotTable[[#This Row],[SP Strike Price]]-SnapshotTable[[#This Row],[Last Price]]) *(SnapshotTable[[#This Row],[SP Qty]]*100) - SnapshotTable[[#This Row],[SP Premium]]) * - 1, "")</f>
        <v/>
      </c>
      <c r="CN243" s="78"/>
      <c r="CO243" s="369"/>
      <c r="CP243" s="4" t="str">
        <f>IF(SnapshotTable[[#This Row],[SP Is Filled]], btc_max_buyback_amount(SnapshotTable[[#This Row],[SP Fill Date]],SnapshotTable[[#This Row],[SP Exp Date]], SnapshotTable[[#This Row],[SP Book Price]]),"")</f>
        <v/>
      </c>
      <c r="CQ243" s="78"/>
      <c r="CR24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3" s="155" t="str">
        <f>IF(SnapshotTable[[#This Row],[SP Is Filled]], btc_next_cutoff_date(SnapshotTable[[#This Row],[SP Fill Date]],SnapshotTable[[#This Row],[SP Exp Date]]),"")</f>
        <v/>
      </c>
      <c r="CT243" s="235" t="str" cm="1">
        <f t="array" ref="CT243">IF(SnapshotTable[[#This Row],[SP Is Filled]], btc_should_buy_back(SnapshotTable[[#This Row],[SP Fill Date]], SnapshotTable[[#This Row],[SP Exp Date]], SnapshotTable[[#This Row],[SP Book Price]], SnapshotTable[[#This Row],[SP Current Ask]], MockToday, SnapshotTable[[#This Row],[SP Buyback Override]]),"")</f>
        <v/>
      </c>
      <c r="CU243" s="143"/>
      <c r="CV243" s="235"/>
      <c r="CW243" s="378" t="str">
        <f>IF(ISNUMBER( SnapshotTable[[#This Row],[SP Term]]), SnapshotTable[[#This Row],[SP Exp Date]] - MockToday,"")</f>
        <v/>
      </c>
      <c r="CX243" s="31" t="str">
        <f>IF(SnapshotTable[[#This Row],[SP Is Filled]],SnapshotTable[[#This Row],[SP Buyback Price to Use]] * 100 * SnapshotTable[[#This Row],[SP Qty]], "")</f>
        <v/>
      </c>
      <c r="CY243" s="4" t="str">
        <f>IF(ISNUMBER(SnapshotTable[[#This Row],[SP Strike Price]]), SnapshotTable[[#This Row],[SP Strike Price]] * (1 - SP_MaxLoss_StrikePct), "")</f>
        <v/>
      </c>
      <c r="CZ243" s="31" t="str">
        <f>IF(ISNUMBER(SnapshotTable[[#This Row],[SP Strike  Stop Per Share]]),SnapshotTable[[#This Row],[SP Premium]] - ((SnapshotTable[[#This Row],[SP Strike Price]]-SnapshotTable[[#This Row],[SP Strike  Stop Per Share]]) *(SnapshotTable[[#This Row],[SP Qty]] * 100)),"")</f>
        <v/>
      </c>
      <c r="DA243" s="4" t="str">
        <f>IF(AND(ISNUMBER(SnapshotTable[[#This Row],[SP Premium]]),SnapshotTable[[#This Row],[SP Premium]]&gt;0), SnapshotTable[[#This Row],[SP Book Price]] * (1 + SP_MaxLoss_OptionPct), "")</f>
        <v/>
      </c>
      <c r="DB243" s="31" t="str">
        <f>IF(ISNUMBER(SnapshotTable[[#This Row],[SP Option  Stop Contract]]),(SnapshotTable[[#This Row],[SP Option  Stop Contract]] *(SnapshotTable[[#This Row],[SP Qty]] * 100) - SnapshotTable[[#This Row],[SP Premium]]),"")</f>
        <v/>
      </c>
      <c r="DC243" s="4"/>
      <c r="DD243" s="4"/>
      <c r="DE243" s="4" t="str">
        <f>IF(AND(SnapshotTable[[#This Row],[SP Qty]]&gt;0, SnapshotTable[[#This Row],[SP Stop To Use]]&gt;0),SnapshotTable[[#This Row],[SP Premium]] - ( SnapshotTable[[#This Row],[SP Qty]] * SnapshotTable[[#This Row],[SP Stop To Use]] * 100), "")</f>
        <v/>
      </c>
      <c r="DF243" s="31" t="str">
        <f>IF(AND(SnapshotTable[[#This Row],[SP Qty]]&gt;0,SnapshotTable[[#This Row],[SP Current Ask]]&gt;0), SnapshotTable[[#This Row],[SP Qty]] * SnapshotTable[[#This Row],[SP Current Ask]] * -100, "")</f>
        <v/>
      </c>
      <c r="DG243" s="31" t="str">
        <f>IF(ISNUMBER((SnapshotTable[[#This Row],[SP Total Value]])), SnapshotTable[[#This Row],[SP Premium]] + SnapshotTable[[#This Row],[SP Total Value]], "")</f>
        <v/>
      </c>
      <c r="DH243" s="294" t="str">
        <f>IF(ISNUMBER((SnapshotTable[[#This Row],[SP Total Value]])), SnapshotTable[[#This Row],[SP Gain Loss]] / SnapshotTable[[#This Row],[SP Premium]], "")</f>
        <v/>
      </c>
      <c r="DI243" s="406"/>
      <c r="DJ243" s="138"/>
      <c r="DK243" s="148"/>
      <c r="DL243" s="13"/>
      <c r="DM243" s="13"/>
      <c r="DO243" s="31">
        <f>IF(SnapshotTable[[#This Row],[LC Symbol Count]]=1, SnapshotTable[[#This Row],[LC Qty]] * SnapshotTable[[#This Row],[LC Book Price]] * 100, 0)</f>
        <v>0</v>
      </c>
      <c r="DP243" s="163" t="str">
        <f>IF(AND(SnapshotTable[[#This Row],[LC Exp Date]]&gt;0, SnapshotTable[[#This Row],[LC Strike Price]]&gt;0,SnapshotTable[[#This Row],[LC Qty]]&gt;0,SnapshotTable[[#This Row],[LC Book Date]]&gt;0,SnapshotTable[[#This Row],[LC Book Price]]&gt;0,SnapshotTable[[#This Row],[LC Fill Date]]=0),"Y","")</f>
        <v/>
      </c>
      <c r="DQ243" s="386" t="str">
        <f>IF(SnapshotTable[[#This Row],[LC Premium]] &gt; 0,SnapshotTable[[#This Row],[LC Exp Date]]-MAX(SnapshotTable[[#This Row],[LC Book Date]], SnapshotTable[[#This Row],[LC Fill Date]]),"")</f>
        <v/>
      </c>
      <c r="DR243" s="386" t="str">
        <f>IF(ISNUMBER(SnapshotTable[[#This Row],[LC Term]]), SnapshotTable[[#This Row],[LC Exp Date]] - MockToday, "")</f>
        <v/>
      </c>
      <c r="DS243" s="234" t="str">
        <f>IF(SnapshotTable[[#This Row],[LC Premium]]&gt;0,SnapshotTable[[#This Row],[LC Strike Price]] + SnapshotTable[[#This Row],[LC Book Price]],"")</f>
        <v/>
      </c>
      <c r="DU243" s="9" t="str">
        <f>IF(AND(SnapshotTable[[#This Row],[LC Symbol Count]]&gt;0, SnapshotTable[[#This Row],[LC Contract Value]]&gt;0), SnapshotTable[[#This Row],[LC Contract Value]] * SnapshotTable[[#This Row],[LC Qty]] * 100, "")</f>
        <v/>
      </c>
      <c r="DV243" s="9" t="str">
        <f>IF(AND(ISNUMBER(SnapshotTable[[#This Row],[LC Total Value]]), SnapshotTable[[#This Row],[LC Not Filled]]&lt;&gt;"Y"), SnapshotTable[[#This Row],[LC Total Value]]-SnapshotTable[[#This Row],[LC Premium]],"")</f>
        <v/>
      </c>
      <c r="DW243" s="240" t="str">
        <f>IF(ISNUMBER(SnapshotTable[[#This Row],[LC Actual Gain Loss]]), SnapshotTable[[#This Row],[LC Actual Gain Loss]] / SnapshotTable[[#This Row],[LC Premium]],"")</f>
        <v/>
      </c>
      <c r="DX243" s="284" t="str">
        <f>IF(ISNUMBER(SnapshotTable[[#This Row],[LC Book Price]]),SnapshotTable[[#This Row],[LC Book Price]] * 1.5,"")</f>
        <v/>
      </c>
      <c r="DY243" s="265" t="str">
        <f>IF(SnapshotTable[[#This Row],[LC Premium]]&gt;0, SnapshotTable[[#This Row],[LC Next Target]] * SnapshotTable[[#This Row],[LC Qty]] * 100,"")</f>
        <v/>
      </c>
      <c r="DZ243" s="265" t="str">
        <f>IF(ISNUMBER(SnapshotTable[[#This Row],[LC Target Gross]]), SnapshotTable[[#This Row],[LC Target Gross]] - SnapshotTable[[#This Row],[LC Premium]], "")</f>
        <v/>
      </c>
      <c r="EA243" s="305" t="str">
        <f>IF(ISNUMBER(SnapshotTable[[#This Row],[LC Target Gain Loss]]), SnapshotTable[[#This Row],[LC Target Gain Loss]]/SnapshotTable[[#This Row],[LC Premium]], "")</f>
        <v/>
      </c>
      <c r="EB243" s="262"/>
      <c r="EC243" s="283" t="str">
        <f>IF(SnapshotTable[[#This Row],[LC Premium]]&gt;0, SnapshotTable[[#This Row],[LC Book Price]] * (1 - LC_StopLoss_Pct),"")</f>
        <v/>
      </c>
      <c r="ED243" s="284"/>
      <c r="EE243" s="283" t="str">
        <f>IF(ISNUMBER(SnapshotTable[[#This Row],[LC Contract Value]]),IF(ISNUMBER(SnapshotTable[[#This Row],[LC Stop Loss Override]]), SnapshotTable[[#This Row],[LC Stop Loss Override]],SnapshotTable[[#This Row],[LC Stop Loss Calc Target]]),"")</f>
        <v/>
      </c>
      <c r="EF243" s="31" t="str">
        <f>IF(ISNUMBER(SnapshotTable[[#This Row],[LC Stop  To Use]]), (SnapshotTable[[#This Row],[LC Stop  To Use]] * SnapshotTable[[#This Row],[LC Qty]] * 100),"")</f>
        <v/>
      </c>
      <c r="EG243" s="9" t="str">
        <f>IF(ISNUMBER(SnapshotTable[[#This Row],[LC Total Value]]),SnapshotTable[[#This Row],[LC Stop Loss Amount]] - SnapshotTable[[#This Row],[LC Premium]],"")</f>
        <v/>
      </c>
      <c r="EH243" s="9">
        <f>IF(ISNUMBER(SnapshotTable[[#This Row],[LC Premium]]), SnapshotTable[[#This Row],[LC Qty]] * 100 * SnapshotTable[[#This Row],[LC Strike Price]], "")</f>
        <v>0</v>
      </c>
      <c r="EI243" s="240" t="str">
        <f>IF(AND(ISNUMBER(SnapshotTable[[#This Row],[LC Total Value]]),SnapshotTable[[#This Row],[LC Total Value]]&gt;0),SnapshotTable[[#This Row],[LC Stop Gain Loss]]  / SnapshotTable[[#This Row],[LC Premium]],"")</f>
        <v/>
      </c>
      <c r="EJ243" s="35">
        <f>IF(ISNUMBER(SnapshotTable[[#This Row],[Equity Shares]]),TRUNC(SnapshotTable[[#This Row],[Equity Shares]] / 100),0) + SnapshotTable[[#This Row],[LC Qty]]</f>
        <v>0</v>
      </c>
      <c r="EK243" s="147"/>
      <c r="EL243" s="138" t="str">
        <f>IF(SnapshotTable[[#This Row],[SC Exp Date]]&lt;&gt;"",TRUNC(SnapshotTable[[#This Row],[Last Price]]),"")</f>
        <v/>
      </c>
      <c r="EM243" s="148"/>
      <c r="EN243" s="147"/>
      <c r="EO243" s="147"/>
      <c r="EP243" s="138"/>
      <c r="EQ243" s="419" t="b">
        <f>AND(ISNUMBER(SnapshotTable[[#This Row],[SC Exp Date]]), ISNUMBER(SnapshotTable[[#This Row],[SC Strike Price]]), ISNUMBER(SnapshotTable[[#This Row],[SC Qty]]), ISNUMBER(SnapshotTable[[#This Row],[SC Book Date]]), ISNUMBER(SnapshotTable[[#This Row],[SC Book Price]]))</f>
        <v>0</v>
      </c>
      <c r="ER243" s="419" t="b">
        <f>AND(SnapshotTable[[#This Row],[SC Is Booked]], NOT(ISBLANK(SnapshotTable[[#This Row],[SC Fill Date]])))</f>
        <v>0</v>
      </c>
      <c r="ES243" s="370"/>
      <c r="ET243" s="34" t="str">
        <f>IF(AND(ISNUMBER(SnapshotTable[[#This Row],[SC Exp Date]]), ISNUMBER(SnapshotTable[[#This Row],[SC Book Date]])), SnapshotTable[[#This Row],[SC Exp Date]] - MAX(SnapshotTable[[#This Row],[SC Book Date]], SnapshotTable[[#This Row],[SC Fill Date]]) + 1, "")</f>
        <v/>
      </c>
      <c r="EU243" s="34" t="str">
        <f>IF(ISNUMBER(SnapshotTable[[#This Row],[SC Term]]), SnapshotTable[[#This Row],[SC Exp Date]]- MockToday, "")</f>
        <v/>
      </c>
      <c r="EV243" s="31">
        <f>IF(SnapshotTable[[#This Row],[SC Is Booked]], SnapshotTable[[#This Row],[SC Qty]] * SnapshotTable[[#This Row],[SC Book Price]] * 100, 0)</f>
        <v>0</v>
      </c>
      <c r="EW243" s="4" t="str">
        <f>IF(AND(ISNUMBER(SnapshotTable[[#This Row],[Last Price]]), ISNUMBER( SnapshotTable[[#This Row],[SC Book Price]])), SnapshotTable[[#This Row],[Last Price]] - SnapshotTable[[#This Row],[SC Book Price]],"")</f>
        <v/>
      </c>
      <c r="EX243" s="234" t="str">
        <f>IF(SnapshotTable[[#This Row],[SC Is Booked]],IF(SnapshotTable[[#This Row],[SC Intrinsic Value]] &gt; 0, SnapshotTable[[#This Row],[SC Strike Price]], SnapshotTable[[#This Row],[Last Price]]), "")</f>
        <v/>
      </c>
      <c r="EY243" s="4">
        <f>IF(SnapshotTable[[#This Row],[SC Is Booked]], (MinimumPremiumRequired * SnapshotTable[[#This Row],[SC Basis]] * SnapshotTable[[#This Row],[SC Term]]), 0)</f>
        <v>0</v>
      </c>
      <c r="EZ243" s="283"/>
      <c r="FA243" s="218"/>
      <c r="FB243" s="370"/>
      <c r="FC243" s="4">
        <f>IF(SnapshotTable[[#This Row],[SC Is Filled]], btc_max_buyback_amount(SnapshotTable[[#This Row],[SC Fill Date]],SnapshotTable[[#This Row],[SC Exp Date]], SnapshotTable[[#This Row],[SC Book Price]]),0)</f>
        <v>0</v>
      </c>
      <c r="FD243" s="5"/>
      <c r="FE243" s="144" t="str">
        <f>IF(SnapshotTable[[#This Row],[SC Is Filled]], btc_next_cutoff_date(SnapshotTable[[#This Row],[SC Fill Date]],SnapshotTable[[#This Row],[SC Exp Date]]),"")</f>
        <v/>
      </c>
      <c r="FF243" s="4" t="str" cm="1">
        <f t="array" ref="FF243">IF(SnapshotTable[[#This Row],[SC Is Filled]], btc_should_buy_back(SnapshotTable[[#This Row],[SC Fill Date]], SnapshotTable[[#This Row],[SC Exp Date]], SnapshotTable[[#This Row],[SC Book Price]], SnapshotTable[[#This Row],[SC Current Ask]], MockToday, SnapshotTable[[#This Row],[SC Buyback Override]]),"")</f>
        <v/>
      </c>
      <c r="FG243" s="4">
        <f>IF(SnapshotTable[[#This Row],[SC Is Filled]], MAX(0,SnapshotTable[[#This Row],[Last Price]]  - SnapshotTable[[#This Row],[SC Strike Price]]), 0)</f>
        <v>0</v>
      </c>
      <c r="FH243" s="382">
        <f>IF(SnapshotTable[[#This Row],[SC Is Filled]], IF(ISNUMBER(SnapshotTable[[#This Row],[SC Current Ask]]), SnapshotTable[[#This Row],[SC Current Ask]], SnapshotTable[[#This Row],[SC Book Price]]) - SnapshotTable[[#This Row],[SC Intrinsic Value]], 0)</f>
        <v>0</v>
      </c>
      <c r="FI243" s="143"/>
      <c r="FJ243" s="32" t="str">
        <f>IF(SnapshotTable[[#This Row],[SC Is Filled]],100 * SnapshotTable[[#This Row],[SC Qty]] * IF(ISNUMBER(SnapshotTable[[#This Row],[SC Buyback Override]]), SnapshotTable[[#This Row],[SC Buyback Override]], SnapshotTable[[#This Row],[SC Current Ask]]), "")</f>
        <v/>
      </c>
      <c r="FK243" s="250" t="str">
        <f>IF(SnapshotTable[[#This Row],[SC Time Val]]&gt;0, SnapshotTable[[#This Row],[SC Time Val]] / SnapshotTable[[#This Row],[Last Price]],"")</f>
        <v/>
      </c>
      <c r="FL243" s="302" t="str">
        <f>IF(SnapshotTable[[#This Row],[SC Is Booked]], ((SnapshotTable[[#This Row],[Last Price]] -SnapshotTable[[#This Row],[SC Strike Price]]) / SnapshotTable[[#This Row],[Last Price]]) * -1, "")</f>
        <v/>
      </c>
      <c r="FM243" s="157" t="str">
        <f>IF(SnapshotTable[[#This Row],[SC Is Booked]],  (SnapshotTable[[#This Row],[SC Qty]] * 100 * SnapshotTable[[#This Row],[SC Strike Price]]) - SnapshotTable[[#This Row],[SC Current Ask]], "")</f>
        <v/>
      </c>
      <c r="FN24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3" s="31" t="str">
        <f>IF(AND(ISNUMBER(SnapshotTable[[#This Row],[SC Exercise Gross]]), ISNUMBER(SnapshotTable[[#This Row],[Equity Basis Per Share]] )), SnapshotTable[[#This Row],[SC Exercise Gross]] - SnapshotTable[[#This Row],[Equity Basis Total]] +  SnapshotTable[[#This Row],[SC Premium]], "")</f>
        <v/>
      </c>
      <c r="FP243" s="5" t="str">
        <f>IF(ISNUMBER(SnapshotTable[[#This Row],[SC Exercise Gross]]), (SnapshotTable[[#This Row],[SC Exercise Gross]]) / (SnapshotTable[[#This Row],[SC Qty]] * 100), "")</f>
        <v/>
      </c>
      <c r="FQ243" s="27" t="str">
        <f>IF(SnapshotTable[[#This Row],[SC Is Booked]],SnapshotTable[[#This Row],[SC Time Val]] /SnapshotTable[[#This Row],[SC Basis]], "")</f>
        <v/>
      </c>
      <c r="FR243" s="27" t="str" cm="1">
        <f t="array" ref="FR243">IF(AND(ISNUMBER(SnapshotTable[[#This Row],[SC Term]]),ISNUMBER(SnapshotTable[[#This Row],[SC Simple ROO]])), EllmanAnnualize(SnapshotTable[[#This Row],[SC DTE]], SnapshotTable[[#This Row],[SC Simple ROO]] ),"")</f>
        <v/>
      </c>
      <c r="FS243" s="4" t="e">
        <f>IF(SnapshotTable[[#This Row],[SC Strike Price]] &gt; SnapshotTable[[#This Row],[Last Price]], SnapshotTable[[#This Row],[SC Strike Price]] - SnapshotTable[[#This Row],[Last Price]],0)</f>
        <v>#VALUE!</v>
      </c>
      <c r="FT243" s="27" t="e">
        <f>IF(AND(ISNUMBER(SnapshotTable[[#This Row],[SC Upside Potential]]), SnapshotTable[[#This Row],[SC Upside Potential]] &gt; 0),(SnapshotTable[[#This Row],[SC Upside Potential]]/ SnapshotTable[[#This Row],[ACB]]),"")</f>
        <v>#VALUE!</v>
      </c>
      <c r="FU243" s="333" t="str">
        <f>IF(SnapshotTable[[#This Row],[SC Intrinsic Value]] &gt; 0,SnapshotTable[[#This Row],[SC Intrinsic Value]],"")</f>
        <v/>
      </c>
      <c r="FV243" s="27" t="str">
        <f>IF(AND( ISNUMBER( SnapshotTable[[#This Row],[ACB]]),ISNUMBER(SnapshotTable[[#This Row],[SC Downside Protect]])),SnapshotTable[[#This Row],[SC Downside Protect]] / SnapshotTable[[#This Row],[ACB]],"")</f>
        <v/>
      </c>
      <c r="FW243" s="236" t="str">
        <f>IF(AND(ISNUMBER(SnapshotTable[[#This Row],[SC Simple ROO]]),SnapshotTable[[#This Row],[SC Simple ROO]] &gt; 0), SnapshotTable[[#This Row],[SC Premium]] + (SnapshotTable[[#This Row],[SC Qty]] * SnapshotTable[[#This Row],[SC Upside Potential]]), "")</f>
        <v/>
      </c>
      <c r="FX243" s="302" t="str" cm="1">
        <f t="array" ref="FX243">IF(ISNUMBER(SnapshotTable[[#This Row],[SC Max Dollars]]), annualize(SnapshotTable[[#This Row],[SC Term]],(SnapshotTable[[#This Row],[SC Max Dollars]]/SnapshotTable[[#This Row],[SC Basis]])),"")</f>
        <v/>
      </c>
      <c r="FY243" s="236" t="str">
        <f>IF(AND(SnapshotTable[[#This Row],[SC Qty]]&gt;0,SnapshotTable[[#This Row],[SC Current Ask]]&gt;0), SnapshotTable[[#This Row],[SC Qty]] * SnapshotTable[[#This Row],[SC Current Ask]] * -100, "")</f>
        <v/>
      </c>
      <c r="FZ243" s="31" t="str">
        <f>IF(ISNUMBER((SnapshotTable[[#This Row],[SC Current Value]])), SnapshotTable[[#This Row],[SC Premium]] + SnapshotTable[[#This Row],[SC Current Value]], "")</f>
        <v/>
      </c>
      <c r="GA243" s="294" t="str">
        <f>IFERROR( IF(ISNUMBER((SnapshotTable[[#This Row],[SC Current Value]])), SnapshotTable[[#This Row],[SC Gain Loss]] / SnapshotTable[[#This Row],[SC Premium]], ""), "")</f>
        <v/>
      </c>
      <c r="GB243" s="42">
        <f>SnapshotTable[[#This Row],[Equity Shares]] * SaleSharesToConsiderPercentage</f>
        <v>0</v>
      </c>
      <c r="GC243" s="40">
        <f>SnapshotTable[[#This Row],[Long Term Target]] * SellingPriceToConsiderBasedOnTargetPercentage</f>
        <v>317.94599999999997</v>
      </c>
      <c r="GD243" s="40">
        <f>SnapshotTable[[#This Row],[Last Price]] * (1+ SellingPriceToConsiderBasedOnTargetPercentage)</f>
        <v>622.6155</v>
      </c>
      <c r="GE243" s="41"/>
      <c r="GF243" s="40"/>
      <c r="GG243" s="31">
        <f>SnapshotTable[[#This Row],[Booked Sale Shares]] * SnapshotTable[[#This Row],[Booked Sale Price]]</f>
        <v>0</v>
      </c>
      <c r="GH243" s="31" t="str">
        <f>IF(SnapshotTable[[#This Row],[Equity Basis Total]] &gt; 0, SnapshotTable[[#This Row],[Equity Basis Per Share]] * SnapshotTable[[#This Row],[Booked Sale Shares]], "")</f>
        <v/>
      </c>
      <c r="GI243" s="31">
        <f>IF(SnapshotTable[[#This Row],[Sale Proceeds]]&gt;0, SnapshotTable[[#This Row],[Sale Proceeds]] - SnapshotTable[[#This Row],[Sale Basis]], 0)</f>
        <v>0</v>
      </c>
      <c r="GJ243" s="27" t="str">
        <f>IF(SnapshotTable[[#This Row],[Sale G/L]]&gt;0, SnapshotTable[[#This Row],[Sale G/L]] / SnapshotTable[[#This Row],[Sale Basis]], IF(ISNUMBER(SnapshotTable[[#This Row],[SC Exercise P&amp;L (TAX)]]), SnapshotTable[[#This Row],[SC Exercise P&amp;L (TAX)]] / SnapshotTable[[#This Row],[SC Basis]], ""))</f>
        <v/>
      </c>
      <c r="GK243" s="27" t="s">
        <v>743</v>
      </c>
      <c r="GL243" s="43" t="str">
        <f>IF(AND(SnapshotTable[[#This Row],[LP Exp Date]]&gt;0,SnapshotTable[[#This Row],[LP Strike Price]]&gt;0), [1]!ToOptionSymbol(SnapshotTable[[#This Row],[Symbol]], SnapshotTable[[#This Row],[LP Strike Price]],SnapshotTable[[#This Row],[LP Exp Date]],1), "")</f>
        <v/>
      </c>
      <c r="GM243" s="30" t="str">
        <f>IF(LEN(SnapshotTable[[#This Row],[LP Symbol]])&gt;0, 1, "")</f>
        <v/>
      </c>
      <c r="GN243" s="43" t="str">
        <f>IF(AND(SnapshotTable[[#This Row],[SP Exp Date]]&gt;0,SnapshotTable[[#This Row],[SP Strike Price]]&gt;0), [1]!ToOptionSymbol(SnapshotTable[[#This Row],[Symbol]], SnapshotTable[[#This Row],[SP Strike Price]],SnapshotTable[[#This Row],[SP Exp Date]],1), "")</f>
        <v/>
      </c>
      <c r="GO243" s="30" t="str">
        <f>IF(LEN(SnapshotTable[[#This Row],[SP Symbol]])&gt;0, 1, "")</f>
        <v/>
      </c>
      <c r="GP243" s="43" t="str">
        <f>IF(AND(SnapshotTable[[#This Row],[LC Exp Date]]&gt;0,SnapshotTable[[#This Row],[LC Strike Price]]&gt;0), [1]!ToOptionSymbol(SnapshotTable[[#This Row],[Symbol]], SnapshotTable[[#This Row],[LC Strike Price]],SnapshotTable[[#This Row],[LC Exp Date]],0), "")</f>
        <v/>
      </c>
      <c r="GQ243" s="30" t="str">
        <f>IF(LEN(SnapshotTable[[#This Row],[LC Symbol]])&gt;0, 1, "")</f>
        <v/>
      </c>
      <c r="GR243" s="43" t="str">
        <f>IF(AND(SnapshotTable[[#This Row],[SC Exp Date]]&gt;0,SnapshotTable[[#This Row],[SC Strike Price]]&gt;0), [1]!ToOptionSymbol(SnapshotTable[[#This Row],[Symbol]], SnapshotTable[[#This Row],[SC Strike Price]],SnapshotTable[[#This Row],[SC Exp Date]],0), "")</f>
        <v/>
      </c>
      <c r="GS243" s="30" t="str">
        <f>IF(LEN(SnapshotTable[[#This Row],[SC Symbol]])&gt;0, 1, "")</f>
        <v/>
      </c>
      <c r="GT243" s="29" t="str">
        <f>IF(COUNT(SnapshotTable[[#This Row],[LP Symbol Count]],SnapshotTable[[#This Row],[SP Symbol Count]],SnapshotTable[[#This Row],[LC Symbol Count]],SnapshotTable[[#This Row],[SC Symbol Count]])&gt;0, "Y", "")</f>
        <v/>
      </c>
      <c r="GU24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3" s="231" t="e">
        <f>MAX(SnapshotTable[[#This Row],[Equity Basis Total]],SnapshotTable[[#This Row],[Equity Value]]) + (SnapshotTable[[#This Row],[SP Potential Spend]]- SnapshotTable[[#This Row],[SP Premium]] + SnapshotTable[[#This Row],[LP Premium]])+ (SnapshotTable[[#This Row],[LC Premium]] - SnapshotTable[[#This Row],[SC Premium]])</f>
        <v>#VALUE!</v>
      </c>
      <c r="GW243" s="139" t="e">
        <f>IF(AND(SnapshotTable[[#This Row],[Exposure]] &lt;&gt; 0),SnapshotTable[[#This Row],[Exposure]] / SnapshotTable[[#Totals],[Exposure]], "")</f>
        <v>#VALUE!</v>
      </c>
      <c r="GX243" s="5"/>
      <c r="HE243" s="268"/>
      <c r="HF243" s="268"/>
      <c r="HK243" s="1"/>
      <c r="HL243" s="1"/>
      <c r="HM243" s="1"/>
      <c r="HN243" s="1"/>
      <c r="HO243" s="1"/>
      <c r="HP243" s="1"/>
    </row>
    <row r="244" spans="2:224" ht="12.75" hidden="1" customHeight="1" x14ac:dyDescent="0.25">
      <c r="B244" s="12" t="s">
        <v>252</v>
      </c>
      <c r="C244" s="387">
        <v>237.8</v>
      </c>
      <c r="D244" s="208" t="s">
        <v>578</v>
      </c>
      <c r="E244" s="39">
        <f>SnapshotTable[[#This Row],[Last Price]]*(1 -CrashDiscount)</f>
        <v>202.13</v>
      </c>
      <c r="F244" s="26" t="s">
        <v>904</v>
      </c>
      <c r="G244" s="26" t="s">
        <v>610</v>
      </c>
      <c r="H244" s="149"/>
      <c r="I244" s="194">
        <v>45225</v>
      </c>
      <c r="J244" s="195">
        <v>45050.666666666664</v>
      </c>
      <c r="K244" s="196"/>
      <c r="L244" s="326"/>
      <c r="M244" s="140">
        <v>2</v>
      </c>
      <c r="N244" s="140" t="b">
        <v>1</v>
      </c>
      <c r="O244" s="140">
        <v>2</v>
      </c>
      <c r="P244" s="22">
        <v>100</v>
      </c>
      <c r="Q244" s="25">
        <v>25000</v>
      </c>
      <c r="R244" s="4">
        <f>IF(SnapshotTable[[#This Row],[Equity Basis Total]] &gt; 0, SnapshotTable[[#This Row],[Equity Basis Total]] / SnapshotTable[[#This Row],[Equity Shares]], "")</f>
        <v>250</v>
      </c>
      <c r="S244" s="269">
        <f>SnapshotTable[[#This Row],[Last Price]] * SnapshotTable[[#This Row],[Equity Shares]]</f>
        <v>23780</v>
      </c>
      <c r="T244" s="269">
        <f>SnapshotTable[[#This Row],[Equity Value]] - SnapshotTable[[#This Row],[Equity Basis Total]]</f>
        <v>-1220</v>
      </c>
      <c r="U244" s="270">
        <f>IF(SnapshotTable[[#This Row],[Equity Basis Total]] &gt; 0, SnapshotTable[[#This Row],[Equity G/L]] / SnapshotTable[[#This Row],[Equity Basis Total]], "")</f>
        <v>-4.8800000000000003E-2</v>
      </c>
      <c r="V244" s="268">
        <v>240</v>
      </c>
      <c r="W244" s="268">
        <v>195</v>
      </c>
      <c r="X244" s="4">
        <f>IF(AND(ISNUMBER(SnapshotTable[[#This Row],[Equity Basis Per Share]]),ISNUMBER(SnapshotTable[[#This Row],[Equity Target]])),SnapshotTable[[#This Row],[Equity Target]]-SnapshotTable[[#This Row],[Equity Basis Per Share]],"")</f>
        <v>-10</v>
      </c>
      <c r="Y244" s="4">
        <f>IF(AND(ISNUMBER(SnapshotTable[[#This Row],[Equity Basis Per Share]]),ISNUMBER(SnapshotTable[[#This Row],[Equity Stop Loss]])),SnapshotTable[[#This Row],[Equity Stop Loss]]-SnapshotTable[[#This Row],[Equity Basis Per Share]],"")</f>
        <v>-55</v>
      </c>
      <c r="Z244" s="275" t="str">
        <f>IFERROR( TEXT(SnapshotTable[[#This Row],[Equity Max Gain Per Share]] /ABS( SnapshotTable[[#This Row],[Equity Max Loss Per Share]]),"0.0 " ) &amp; " : 1", "")</f>
        <v>-0.2  : 1</v>
      </c>
      <c r="AA244" s="31">
        <f>IF(ISNUMBER(SnapshotTable[[#This Row],[Equity Max Gain Per Share]]),SnapshotTable[[#This Row],[Equity Max Gain Per Share]] * SnapshotTable[[#This Row],[Equity Shares]],"")</f>
        <v>-1000</v>
      </c>
      <c r="AB244" s="31">
        <f>IF(ISNUMBER(SnapshotTable[[#This Row],[Equity Max Loss Per Share]]),SnapshotTable[[#This Row],[Equity Max Loss Per Share]] * SnapshotTable[[#This Row],[Equity Shares]],"")</f>
        <v>-5500</v>
      </c>
      <c r="AC244" s="150"/>
      <c r="AD244" s="151" t="s">
        <v>2</v>
      </c>
      <c r="AE244" s="31">
        <f>(SnapshotTable[[#This Row],[Annual Dividend Per Share]] / 4) * SnapshotTable[[#This Row],[Equity Shares]]</f>
        <v>0</v>
      </c>
      <c r="AF244" s="31">
        <f>SnapshotTable[[#This Row],[Quarterly Div $]] * 4</f>
        <v>0</v>
      </c>
      <c r="AG244" s="7">
        <f>IF(SnapshotTable[[#This Row],[Annual Dividend Per Share]]&gt;0, SnapshotTable[[#This Row],[Annual Dividend Per Share]]  / SnapshotTable[[#This Row],[Last Price]], 0)</f>
        <v>0</v>
      </c>
      <c r="AH244" s="151"/>
      <c r="AI244" s="5"/>
      <c r="AJ244" s="138"/>
      <c r="AK244" s="152" t="str">
        <f>IF(ISNUMBER( SnapshotTable[[#This Row],[EBF Target]]),(SnapshotTable[[#This Row],[EBF Target]] - SnapshotTable[[#This Row],[Last Price]]) / SnapshotTable[[#This Row],[Last Price]], "")</f>
        <v/>
      </c>
      <c r="AL244" s="152" t="str">
        <f>IF(AND(SnapshotTable[[#This Row],[Equity Basis Total]] &gt; 0,ISNUMBER( SnapshotTable[[#This Row],[Long Term Target]])), SnapshotTable[[#This Row],[From Basis $]] / SnapshotTable[[#This Row],[Equity Basis Total]], "")</f>
        <v/>
      </c>
      <c r="AM244" s="9">
        <f>IF( AND(SnapshotTable[[#This Row],[Equity Shares]] &gt;0,ISNUMBER( SnapshotTable[[#This Row],[Long Term Target]])),(SnapshotTable[[#This Row],[Equity Shares]] * SnapshotTable[[#This Row],[Long Term Target]]) - SnapshotTable[[#This Row],[Equity Basis Total]],0)</f>
        <v>0</v>
      </c>
      <c r="AN244" s="9">
        <f>IF( AND(SnapshotTable[[#This Row],[Equity Shares]] &gt;0,ISNUMBER( SnapshotTable[[#This Row],[Long Term Target]])),(SnapshotTable[[#This Row],[Equity Shares]]*SnapshotTable[[#This Row],[Long Term Target]]) - SnapshotTable[[#This Row],[Equity Value]],0)</f>
        <v>0</v>
      </c>
      <c r="AO244" s="152" t="str">
        <f>IF(AND(ISNUMBER( SnapshotTable[[#This Row],[Long Term Target]]), ISNUMBER(SnapshotTable[[#This Row],[Last Price]])),(SnapshotTable[[#This Row],[Long Term Target]] - SnapshotTable[[#This Row],[Last Price]]) / SnapshotTable[[#This Row],[Last Price]], "")</f>
        <v/>
      </c>
      <c r="AP244" s="5"/>
      <c r="AQ244" s="38"/>
      <c r="AR244" s="5"/>
      <c r="AS244" s="38"/>
      <c r="AT244" s="146"/>
      <c r="AU244" s="187" t="str">
        <f ca="1">IF(OR(SnapshotTable[[#This Row],[LP No Fill]]="Y",SnapshotTable[[#This Row],[SP Is Filled]],SnapshotTable[[#This Row],[LC Not Filled]]="Y",SnapshotTable[[#This Row],[SC Is Filled]]),"Y","")</f>
        <v>Y</v>
      </c>
      <c r="AV244" s="219"/>
      <c r="AW244" s="225"/>
      <c r="AX244" s="220"/>
      <c r="AY244" s="219" t="str">
        <f>IF(SnapshotTable[[#This Row],[Implied Move]]&gt;0, SnapshotTable[[#This Row],[Last Price]]-SnapshotTable[[#This Row],[Implied Move]],"")</f>
        <v/>
      </c>
      <c r="AZ244" s="219" t="str">
        <f>IF(SnapshotTable[[#This Row],[Implied Move]]&gt;0, SnapshotTable[[#This Row],[Last Price]] + SnapshotTable[[#This Row],[Implied Move]],"")</f>
        <v/>
      </c>
      <c r="BA244" s="331">
        <v>234.62</v>
      </c>
      <c r="BB244" s="347"/>
      <c r="BC244"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46241</v>
      </c>
      <c r="BD244" s="351"/>
      <c r="BE244" s="5"/>
      <c r="BF244" s="14"/>
      <c r="BG244" s="13"/>
      <c r="BH244" s="13"/>
      <c r="BI244" s="5"/>
      <c r="BJ244" s="136">
        <f>IF(SnapshotTable[[#This Row],[LP Qty]] &gt; 0, SnapshotTable[[#This Row],[LP Qty]] * SnapshotTable[[#This Row],[LP Book Price]] * 100,0)</f>
        <v>0</v>
      </c>
      <c r="BK244" s="136">
        <f>IF(SnapshotTable[[#This Row],[LP Premium]] &gt; 0, SnapshotTable[[#This Row],[LP Qty]] * SnapshotTable[[#This Row],[LP Strike Price]] * 100,0)</f>
        <v>0</v>
      </c>
      <c r="BL244" s="154"/>
      <c r="BM244" s="385" t="str">
        <f>IF(SnapshotTable[[#This Row],[LP Premium]] &gt; 0,SnapshotTable[[#This Row],[LP Exp Date]]-MAX(SnapshotTable[[#This Row],[LP Book Date]], SnapshotTable[[#This Row],[LP Fill Date]]),"")</f>
        <v/>
      </c>
      <c r="BN244" s="385" t="str">
        <f>IF(ISNUMBER( SnapshotTable[[#This Row],[LP Term]]), SnapshotTable[[#This Row],[LP Exp Date]] - MockToday,"")</f>
        <v/>
      </c>
      <c r="BO244" s="163" t="str">
        <f>IF(AND(SnapshotTable[[#This Row],[LP Exp Date]]&gt;0, SnapshotTable[[#This Row],[LP Strike Price]]&gt;0,SnapshotTable[[#This Row],[LP Qty]]&gt;0,SnapshotTable[[#This Row],[LP Book Date]]&gt;0,SnapshotTable[[#This Row],[LP Book Price]]&gt;0,SnapshotTable[[#This Row],[LP Fill Date]]=0),"Y","")</f>
        <v/>
      </c>
      <c r="BP244" s="31" t="str">
        <f>IF(AND(SnapshotTable[[#This Row],[LP No Fill]]&lt;&gt;"Y",SnapshotTable[[#This Row],[LP Contract Value]]&gt;0, SnapshotTable[[#This Row],[LP Qty]]&gt;0), SnapshotTable[[#This Row],[LP Contract Value]]*SnapshotTable[[#This Row],[LP Qty]]*100,"")</f>
        <v/>
      </c>
      <c r="BQ244" s="13"/>
      <c r="BR244" s="5" t="str">
        <f>IF(SnapshotTable[[#This Row],[SP Exp Date]]&lt;&gt;"",TRUNC(SnapshotTable[[#This Row],[Last Price]]),"")</f>
        <v/>
      </c>
      <c r="BS244" s="36"/>
      <c r="BT244" s="147"/>
      <c r="BU244" s="13"/>
      <c r="BV244" s="5"/>
      <c r="BW244" s="419" t="b">
        <f>AND(ISNUMBER(SnapshotTable[[#This Row],[SP Exp Date]]), ISNUMBER(SnapshotTable[[#This Row],[SP Strike Price]]), ISNUMBER(SnapshotTable[[#This Row],[SP Qty]]), ISNUMBER(SnapshotTable[[#This Row],[SP Book Date]]), ISNUMBER(SnapshotTable[[#This Row],[SP Book Price]]))</f>
        <v>0</v>
      </c>
      <c r="BX244" s="419" t="b">
        <f>AND(SnapshotTable[[#This Row],[SP Is Booked]], NOT(ISBLANK(SnapshotTable[[#This Row],[SP Fill Date]])))</f>
        <v>0</v>
      </c>
      <c r="BY244" s="33">
        <f>IF(SnapshotTable[[#This Row],[SP Is Booked]], SnapshotTable[[#This Row],[SP Qty]] * SnapshotTable[[#This Row],[SP Book Price]] * 100, 0)</f>
        <v>0</v>
      </c>
      <c r="BZ244" s="369"/>
      <c r="CA244" s="368">
        <f>SnapshotTable[[#This Row],[LP Qty]]</f>
        <v>0</v>
      </c>
      <c r="CB244" s="4" t="str">
        <f>IF(SnapshotTable[[#This Row],[SP Is Booked]], SnapshotTable[[#This Row],[SP Strike Price]] - SnapshotTable[[#This Row],[SP Book Price]], "")</f>
        <v/>
      </c>
      <c r="CC244" s="19" t="str">
        <f>IF(SnapshotTable[[#This Row],[SP Is Booked]],SnapshotTable[[#This Row],[SP Exp Date]]-MAX(SnapshotTable[[#This Row],[SP Book Date]], SnapshotTable[[#This Row],[SP Fill Date]]),"")</f>
        <v/>
      </c>
      <c r="CD244" s="7" t="str">
        <f>IF(SnapshotTable[[#This Row],[SP Is Booked]], SnapshotTable[[#This Row],[SP Book Price]]/SnapshotTable[[#This Row],[SP Strike Price]], "")</f>
        <v/>
      </c>
      <c r="CE244" s="7" t="str">
        <f>IF(ISNUMBER(SnapshotTable[[#This Row],[SP ROO Term]]),SnapshotTable[[#This Row],[SP ROO Term]]*(365/SnapshotTable[[#This Row],[SP Term]]),"")</f>
        <v/>
      </c>
      <c r="CF244" s="236">
        <f>SnapshotTable[[#This Row],[LP Strike Price]] * SnapshotTable[[#This Row],[LP Qty]] * 100</f>
        <v>0</v>
      </c>
      <c r="CG244" s="31" t="e">
        <f>IF(ISNUMBER(SnapshotTable[[#This Row],[SP Premium]]), (SnapshotTable[[#This Row],[SP Qty]] * SnapshotTable[[#This Row],[SP Strike Price]]* 100) - SnapshotTable[[#This Row],[LP Protection]], 0)</f>
        <v>#VALUE!</v>
      </c>
      <c r="CH244" s="7" t="str">
        <f>IF(ISNUMBER(SnapshotTable[[#This Row],[SP Break Even]]),-1 * (SnapshotTable[[#This Row],[SP Break Even]] - SnapshotTable[[#This Row],[Last Price]]) / SnapshotTable[[#This Row],[Last Price]], "")</f>
        <v/>
      </c>
      <c r="CI244" s="31">
        <f>IF(AND(ISNUMBER((SnapshotTable[[#This Row],[SP Potential Spend]])), SnapshotTable[[#This Row],[SP Strike Price]] &gt; SnapshotTable[[#This Row],[Last Price]], SnapshotTable[[#This Row],[SP Is Filled]]), SnapshotTable[[#This Row],[SP Potential Spend]] -  SnapshotTable[[#This Row],[LP Max Value]], 0)</f>
        <v>0</v>
      </c>
      <c r="CJ244" s="244"/>
      <c r="CK244" s="31" t="str">
        <f>IF(ISNUMBER(SnapshotTable[[#This Row],[SP Potential Spend]]),IF(ISNUMBER(SnapshotTable[[#This Row],[SP POW]]), SnapshotTable[[#This Row],[SP POW]] * SnapshotTable[[#This Row],[SP Potential Spend]], SnapshotTable[[#This Row],[SP Potential Spend]]), "")</f>
        <v/>
      </c>
      <c r="CL244" s="164" t="e">
        <f>IF(NOT(SnapshotTable[[#This Row],[SP Is Filled]]),(SnapshotTable[[#This Row],[SP Qty]] * SnapshotTable[[#This Row],[SP Strike Price]] * 100) - SnapshotTable[[#This Row],[LP Max Value]],"")</f>
        <v>#VALUE!</v>
      </c>
      <c r="CM244" s="31" t="str">
        <f>IF(SnapshotTable[[#This Row],[SP Actual Spend]]&lt;&gt;0, ((SnapshotTable[[#This Row],[SP Strike Price]]-SnapshotTable[[#This Row],[Last Price]]) *(SnapshotTable[[#This Row],[SP Qty]]*100) - SnapshotTable[[#This Row],[SP Premium]]) * - 1, "")</f>
        <v/>
      </c>
      <c r="CN244" s="78"/>
      <c r="CO244" s="369"/>
      <c r="CP244" s="4" t="str">
        <f>IF(SnapshotTable[[#This Row],[SP Is Filled]], btc_max_buyback_amount(SnapshotTable[[#This Row],[SP Fill Date]],SnapshotTable[[#This Row],[SP Exp Date]], SnapshotTable[[#This Row],[SP Book Price]]),"")</f>
        <v/>
      </c>
      <c r="CQ244" s="78"/>
      <c r="CR24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4" s="155" t="str">
        <f>IF(SnapshotTable[[#This Row],[SP Is Filled]], btc_next_cutoff_date(SnapshotTable[[#This Row],[SP Fill Date]],SnapshotTable[[#This Row],[SP Exp Date]]),"")</f>
        <v/>
      </c>
      <c r="CT244" s="235" t="str" cm="1">
        <f t="array" ref="CT244">IF(SnapshotTable[[#This Row],[SP Is Filled]], btc_should_buy_back(SnapshotTable[[#This Row],[SP Fill Date]], SnapshotTable[[#This Row],[SP Exp Date]], SnapshotTable[[#This Row],[SP Book Price]], SnapshotTable[[#This Row],[SP Current Ask]], MockToday, SnapshotTable[[#This Row],[SP Buyback Override]]),"")</f>
        <v/>
      </c>
      <c r="CU244" s="143"/>
      <c r="CV244" s="235"/>
      <c r="CW244" s="378" t="str">
        <f>IF(ISNUMBER( SnapshotTable[[#This Row],[SP Term]]), SnapshotTable[[#This Row],[SP Exp Date]] - MockToday,"")</f>
        <v/>
      </c>
      <c r="CX244" s="31" t="str">
        <f>IF(SnapshotTable[[#This Row],[SP Is Filled]],SnapshotTable[[#This Row],[SP Buyback Price to Use]] * 100 * SnapshotTable[[#This Row],[SP Qty]], "")</f>
        <v/>
      </c>
      <c r="CY244" s="4" t="str">
        <f>IF(ISNUMBER(SnapshotTable[[#This Row],[SP Strike Price]]), SnapshotTable[[#This Row],[SP Strike Price]] * (1 - SP_MaxLoss_StrikePct), "")</f>
        <v/>
      </c>
      <c r="CZ244" s="31" t="str">
        <f>IF(ISNUMBER(SnapshotTable[[#This Row],[SP Strike  Stop Per Share]]),SnapshotTable[[#This Row],[SP Premium]] - ((SnapshotTable[[#This Row],[SP Strike Price]]-SnapshotTable[[#This Row],[SP Strike  Stop Per Share]]) *(SnapshotTable[[#This Row],[SP Qty]] * 100)),"")</f>
        <v/>
      </c>
      <c r="DA244" s="4" t="str">
        <f>IF(AND(ISNUMBER(SnapshotTable[[#This Row],[SP Premium]]),SnapshotTable[[#This Row],[SP Premium]]&gt;0), SnapshotTable[[#This Row],[SP Book Price]] * (1 + SP_MaxLoss_OptionPct), "")</f>
        <v/>
      </c>
      <c r="DB244" s="31" t="str">
        <f>IF(ISNUMBER(SnapshotTable[[#This Row],[SP Option  Stop Contract]]),(SnapshotTable[[#This Row],[SP Option  Stop Contract]] *(SnapshotTable[[#This Row],[SP Qty]] * 100) - SnapshotTable[[#This Row],[SP Premium]]),"")</f>
        <v/>
      </c>
      <c r="DC244" s="4">
        <v>4.07</v>
      </c>
      <c r="DD244" s="4"/>
      <c r="DE244" s="4" t="str">
        <f>IF(AND(SnapshotTable[[#This Row],[SP Qty]]&gt;0, SnapshotTable[[#This Row],[SP Stop To Use]]&gt;0),SnapshotTable[[#This Row],[SP Premium]] - ( SnapshotTable[[#This Row],[SP Qty]] * SnapshotTable[[#This Row],[SP Stop To Use]] * 100), "")</f>
        <v/>
      </c>
      <c r="DF244" s="31" t="str">
        <f>IF(AND(SnapshotTable[[#This Row],[SP Qty]]&gt;0,SnapshotTable[[#This Row],[SP Current Ask]]&gt;0), SnapshotTable[[#This Row],[SP Qty]] * SnapshotTable[[#This Row],[SP Current Ask]] * -100, "")</f>
        <v/>
      </c>
      <c r="DG244" s="31" t="str">
        <f>IF(ISNUMBER((SnapshotTable[[#This Row],[SP Total Value]])), SnapshotTable[[#This Row],[SP Premium]] + SnapshotTable[[#This Row],[SP Total Value]], "")</f>
        <v/>
      </c>
      <c r="DH244" s="294" t="str">
        <f>IF(ISNUMBER((SnapshotTable[[#This Row],[SP Total Value]])), SnapshotTable[[#This Row],[SP Gain Loss]] / SnapshotTable[[#This Row],[SP Premium]], "")</f>
        <v/>
      </c>
      <c r="DI244" s="406"/>
      <c r="DJ244" s="138"/>
      <c r="DK244" s="148"/>
      <c r="DL244" s="13"/>
      <c r="DM244" s="13"/>
      <c r="DO244" s="31">
        <f>IF(SnapshotTable[[#This Row],[LC Symbol Count]]=1, SnapshotTable[[#This Row],[LC Qty]] * SnapshotTable[[#This Row],[LC Book Price]] * 100, 0)</f>
        <v>0</v>
      </c>
      <c r="DP244" s="163" t="str">
        <f>IF(AND(SnapshotTable[[#This Row],[LC Exp Date]]&gt;0, SnapshotTable[[#This Row],[LC Strike Price]]&gt;0,SnapshotTable[[#This Row],[LC Qty]]&gt;0,SnapshotTable[[#This Row],[LC Book Date]]&gt;0,SnapshotTable[[#This Row],[LC Book Price]]&gt;0,SnapshotTable[[#This Row],[LC Fill Date]]=0),"Y","")</f>
        <v/>
      </c>
      <c r="DQ244" s="386" t="str">
        <f>IF(SnapshotTable[[#This Row],[LC Premium]] &gt; 0,SnapshotTable[[#This Row],[LC Exp Date]]-MAX(SnapshotTable[[#This Row],[LC Book Date]], SnapshotTable[[#This Row],[LC Fill Date]]),"")</f>
        <v/>
      </c>
      <c r="DR244" s="386" t="str">
        <f>IF(ISNUMBER(SnapshotTable[[#This Row],[LC Term]]), SnapshotTable[[#This Row],[LC Exp Date]] - MockToday, "")</f>
        <v/>
      </c>
      <c r="DS244" s="234" t="str">
        <f>IF(SnapshotTable[[#This Row],[LC Premium]]&gt;0,SnapshotTable[[#This Row],[LC Strike Price]] + SnapshotTable[[#This Row],[LC Book Price]],"")</f>
        <v/>
      </c>
      <c r="DU244" s="9" t="str">
        <f>IF(AND(SnapshotTable[[#This Row],[LC Symbol Count]]&gt;0, SnapshotTable[[#This Row],[LC Contract Value]]&gt;0), SnapshotTable[[#This Row],[LC Contract Value]] * SnapshotTable[[#This Row],[LC Qty]] * 100, "")</f>
        <v/>
      </c>
      <c r="DV244" s="9" t="str">
        <f>IF(AND(ISNUMBER(SnapshotTable[[#This Row],[LC Total Value]]), SnapshotTable[[#This Row],[LC Not Filled]]&lt;&gt;"Y"), SnapshotTable[[#This Row],[LC Total Value]]-SnapshotTable[[#This Row],[LC Premium]],"")</f>
        <v/>
      </c>
      <c r="DW244" s="240" t="str">
        <f>IF(ISNUMBER(SnapshotTable[[#This Row],[LC Actual Gain Loss]]), SnapshotTable[[#This Row],[LC Actual Gain Loss]] / SnapshotTable[[#This Row],[LC Premium]],"")</f>
        <v/>
      </c>
      <c r="DX244" s="284" t="str">
        <f>IF(ISNUMBER(SnapshotTable[[#This Row],[LC Book Price]]),SnapshotTable[[#This Row],[LC Book Price]] * 1.5,"")</f>
        <v/>
      </c>
      <c r="DY244" s="265" t="str">
        <f>IF(SnapshotTable[[#This Row],[LC Premium]]&gt;0, SnapshotTable[[#This Row],[LC Next Target]] * SnapshotTable[[#This Row],[LC Qty]] * 100,"")</f>
        <v/>
      </c>
      <c r="DZ244" s="265" t="str">
        <f>IF(ISNUMBER(SnapshotTable[[#This Row],[LC Target Gross]]), SnapshotTable[[#This Row],[LC Target Gross]] - SnapshotTable[[#This Row],[LC Premium]], "")</f>
        <v/>
      </c>
      <c r="EA244" s="305" t="str">
        <f>IF(ISNUMBER(SnapshotTable[[#This Row],[LC Target Gain Loss]]), SnapshotTable[[#This Row],[LC Target Gain Loss]]/SnapshotTable[[#This Row],[LC Premium]], "")</f>
        <v/>
      </c>
      <c r="EB244" s="262"/>
      <c r="EC244" s="283" t="str">
        <f>IF(SnapshotTable[[#This Row],[LC Premium]]&gt;0, SnapshotTable[[#This Row],[LC Book Price]] * (1 - LC_StopLoss_Pct),"")</f>
        <v/>
      </c>
      <c r="ED244" s="284"/>
      <c r="EE244" s="283" t="str">
        <f>IF(ISNUMBER(SnapshotTable[[#This Row],[LC Contract Value]]),IF(ISNUMBER(SnapshotTable[[#This Row],[LC Stop Loss Override]]), SnapshotTable[[#This Row],[LC Stop Loss Override]],SnapshotTable[[#This Row],[LC Stop Loss Calc Target]]),"")</f>
        <v/>
      </c>
      <c r="EF244" s="31" t="str">
        <f>IF(ISNUMBER(SnapshotTable[[#This Row],[LC Stop  To Use]]), (SnapshotTable[[#This Row],[LC Stop  To Use]] * SnapshotTable[[#This Row],[LC Qty]] * 100),"")</f>
        <v/>
      </c>
      <c r="EG244" s="9" t="str">
        <f>IF(ISNUMBER(SnapshotTable[[#This Row],[LC Total Value]]),SnapshotTable[[#This Row],[LC Stop Loss Amount]] - SnapshotTable[[#This Row],[LC Premium]],"")</f>
        <v/>
      </c>
      <c r="EH244" s="9">
        <f>IF(ISNUMBER(SnapshotTable[[#This Row],[LC Premium]]), SnapshotTable[[#This Row],[LC Qty]] * 100 * SnapshotTable[[#This Row],[LC Strike Price]], "")</f>
        <v>0</v>
      </c>
      <c r="EI244" s="240" t="str">
        <f>IF(AND(ISNUMBER(SnapshotTable[[#This Row],[LC Total Value]]),SnapshotTable[[#This Row],[LC Total Value]]&gt;0),SnapshotTable[[#This Row],[LC Stop Gain Loss]]  / SnapshotTable[[#This Row],[LC Premium]],"")</f>
        <v/>
      </c>
      <c r="EJ244" s="35">
        <f>IF(ISNUMBER(SnapshotTable[[#This Row],[Equity Shares]]),TRUNC(SnapshotTable[[#This Row],[Equity Shares]] / 100),0) + SnapshotTable[[#This Row],[LC Qty]]</f>
        <v>1</v>
      </c>
      <c r="EK244" s="147">
        <f ca="1">NextFridayOpex</f>
        <v>46241</v>
      </c>
      <c r="EL244" s="138">
        <f ca="1">IF(SnapshotTable[[#This Row],[SC Exp Date]]&lt;&gt;"",TRUNC(SnapshotTable[[#This Row],[Last Price]]),"")</f>
        <v>237</v>
      </c>
      <c r="EM244" s="148">
        <v>1</v>
      </c>
      <c r="EN244" s="147">
        <f ca="1">WORKDAY(MockToday, 0)</f>
        <v>46235</v>
      </c>
      <c r="EO244" s="147">
        <f ca="1">SnapshotTable[[#This Row],[SC Book Date]]</f>
        <v>46235</v>
      </c>
      <c r="EP244" s="138">
        <v>2.5</v>
      </c>
      <c r="EQ244" s="419" t="b">
        <f ca="1">AND(ISNUMBER(SnapshotTable[[#This Row],[SC Exp Date]]), ISNUMBER(SnapshotTable[[#This Row],[SC Strike Price]]), ISNUMBER(SnapshotTable[[#This Row],[SC Qty]]), ISNUMBER(SnapshotTable[[#This Row],[SC Book Date]]), ISNUMBER(SnapshotTable[[#This Row],[SC Book Price]]))</f>
        <v>1</v>
      </c>
      <c r="ER244" s="419" t="b">
        <f ca="1">AND(SnapshotTable[[#This Row],[SC Is Booked]], NOT(ISBLANK(SnapshotTable[[#This Row],[SC Fill Date]])))</f>
        <v>1</v>
      </c>
      <c r="ES244" s="370">
        <v>0.5</v>
      </c>
      <c r="ET244" s="34">
        <f ca="1">IF(AND(ISNUMBER(SnapshotTable[[#This Row],[SC Exp Date]]), ISNUMBER(SnapshotTable[[#This Row],[SC Book Date]])), SnapshotTable[[#This Row],[SC Exp Date]] - MAX(SnapshotTable[[#This Row],[SC Book Date]], SnapshotTable[[#This Row],[SC Fill Date]]) + 1, "")</f>
        <v>7</v>
      </c>
      <c r="EU244" s="34">
        <f ca="1">IF(ISNUMBER(SnapshotTable[[#This Row],[SC Term]]), SnapshotTable[[#This Row],[SC Exp Date]]- MockToday, "")</f>
        <v>6</v>
      </c>
      <c r="EV244" s="31">
        <f ca="1">IF(SnapshotTable[[#This Row],[SC Is Booked]], SnapshotTable[[#This Row],[SC Qty]] * SnapshotTable[[#This Row],[SC Book Price]] * 100, 0)</f>
        <v>250</v>
      </c>
      <c r="EW244" s="4">
        <f>IF(AND(ISNUMBER(SnapshotTable[[#This Row],[Last Price]]), ISNUMBER( SnapshotTable[[#This Row],[SC Book Price]])), SnapshotTable[[#This Row],[Last Price]] - SnapshotTable[[#This Row],[SC Book Price]],"")</f>
        <v>235.3</v>
      </c>
      <c r="EX244" s="234">
        <f ca="1">IF(SnapshotTable[[#This Row],[SC Is Booked]],IF(SnapshotTable[[#This Row],[SC Intrinsic Value]] &gt; 0, SnapshotTable[[#This Row],[SC Strike Price]], SnapshotTable[[#This Row],[Last Price]]), "")</f>
        <v>237</v>
      </c>
      <c r="EY244" s="4">
        <f ca="1">IF(SnapshotTable[[#This Row],[SC Is Booked]], (MinimumPremiumRequired * SnapshotTable[[#This Row],[SC Basis]] * SnapshotTable[[#This Row],[SC Term]]), 0)</f>
        <v>1.659</v>
      </c>
      <c r="EZ244" s="283"/>
      <c r="FA244" s="218">
        <v>3.65</v>
      </c>
      <c r="FB244" s="370">
        <v>0.46</v>
      </c>
      <c r="FC244" s="4" t="e">
        <f ca="1">IF(SnapshotTable[[#This Row],[SC Is Filled]], btc_max_buyback_amount(SnapshotTable[[#This Row],[SC Fill Date]],SnapshotTable[[#This Row],[SC Exp Date]], SnapshotTable[[#This Row],[SC Book Price]]),0)</f>
        <v>#NAME?</v>
      </c>
      <c r="FD244" s="5"/>
      <c r="FE244" s="144" t="e">
        <f ca="1">IF(SnapshotTable[[#This Row],[SC Is Filled]], btc_next_cutoff_date(SnapshotTable[[#This Row],[SC Fill Date]],SnapshotTable[[#This Row],[SC Exp Date]]),"")</f>
        <v>#NAME?</v>
      </c>
      <c r="FF244" s="4" t="e" cm="1">
        <f t="array" aca="1" ref="FF244" ca="1">IF(SnapshotTable[[#This Row],[SC Is Filled]], btc_should_buy_back(SnapshotTable[[#This Row],[SC Fill Date]], SnapshotTable[[#This Row],[SC Exp Date]], SnapshotTable[[#This Row],[SC Book Price]], SnapshotTable[[#This Row],[SC Current Ask]], MockToday, SnapshotTable[[#This Row],[SC Buyback Override]]),"")</f>
        <v>#NAME?</v>
      </c>
      <c r="FG244" s="4">
        <f ca="1">IF(SnapshotTable[[#This Row],[SC Is Filled]], MAX(0,SnapshotTable[[#This Row],[Last Price]]  - SnapshotTable[[#This Row],[SC Strike Price]]), 0)</f>
        <v>0.80000000000001137</v>
      </c>
      <c r="FH244" s="382">
        <f ca="1">IF(SnapshotTable[[#This Row],[SC Is Filled]], IF(ISNUMBER(SnapshotTable[[#This Row],[SC Current Ask]]), SnapshotTable[[#This Row],[SC Current Ask]], SnapshotTable[[#This Row],[SC Book Price]]) - SnapshotTable[[#This Row],[SC Intrinsic Value]], 0)</f>
        <v>2.8499999999999885</v>
      </c>
      <c r="FI244" s="143">
        <v>46216</v>
      </c>
      <c r="FJ244" s="32">
        <f ca="1">IF(SnapshotTable[[#This Row],[SC Is Filled]],100 * SnapshotTable[[#This Row],[SC Qty]] * IF(ISNUMBER(SnapshotTable[[#This Row],[SC Buyback Override]]), SnapshotTable[[#This Row],[SC Buyback Override]], SnapshotTable[[#This Row],[SC Current Ask]]), "")</f>
        <v>365</v>
      </c>
      <c r="FK244" s="250">
        <f ca="1">IF(SnapshotTable[[#This Row],[SC Time Val]]&gt;0, SnapshotTable[[#This Row],[SC Time Val]] / SnapshotTable[[#This Row],[Last Price]],"")</f>
        <v>1.1984861227922576E-2</v>
      </c>
      <c r="FL244" s="302">
        <f ca="1">IF(SnapshotTable[[#This Row],[SC Is Booked]], ((SnapshotTable[[#This Row],[Last Price]] -SnapshotTable[[#This Row],[SC Strike Price]]) / SnapshotTable[[#This Row],[Last Price]]) * -1, "")</f>
        <v>-3.3641715727502578E-3</v>
      </c>
      <c r="FM244" s="157">
        <f ca="1">IF(SnapshotTable[[#This Row],[SC Is Booked]],  (SnapshotTable[[#This Row],[SC Qty]] * 100 * SnapshotTable[[#This Row],[SC Strike Price]]) - SnapshotTable[[#This Row],[SC Current Ask]], "")</f>
        <v>23696.35</v>
      </c>
      <c r="FN244" s="31">
        <f ca="1">IF(AND(ISNUMBER(SnapshotTable[[#This Row],[SC Exercise Gross]]), SnapshotTable[[#This Row],[SC Exercise Gross]] &lt; (SnapshotTable[[#This Row],[SC Qty]] * 100 * SnapshotTable[[#This Row],[Last Price]])),  (SnapshotTable[[#This Row],[SC Qty]] * 100 * SnapshotTable[[#This Row],[Last Price]]) - SnapshotTable[[#This Row],[SC Exercise Gross]], "")</f>
        <v>83.650000000001455</v>
      </c>
      <c r="FO244" s="31">
        <f ca="1">IF(AND(ISNUMBER(SnapshotTable[[#This Row],[SC Exercise Gross]]), ISNUMBER(SnapshotTable[[#This Row],[Equity Basis Per Share]] )), SnapshotTable[[#This Row],[SC Exercise Gross]] - SnapshotTable[[#This Row],[Equity Basis Total]] +  SnapshotTable[[#This Row],[SC Premium]], "")</f>
        <v>-1053.6500000000015</v>
      </c>
      <c r="FP244" s="5">
        <f ca="1">IF(ISNUMBER(SnapshotTable[[#This Row],[SC Exercise Gross]]), (SnapshotTable[[#This Row],[SC Exercise Gross]]) / (SnapshotTable[[#This Row],[SC Qty]] * 100), "")</f>
        <v>236.96349999999998</v>
      </c>
      <c r="FQ244" s="27">
        <f ca="1">IF(SnapshotTable[[#This Row],[SC Is Booked]],SnapshotTable[[#This Row],[SC Time Val]] /SnapshotTable[[#This Row],[SC Basis]], "")</f>
        <v>1.2025316455696154E-2</v>
      </c>
      <c r="FR244" s="27" t="e" cm="1">
        <f t="array" aca="1" ref="FR244" ca="1">IF(AND(ISNUMBER(SnapshotTable[[#This Row],[SC Term]]),ISNUMBER(SnapshotTable[[#This Row],[SC Simple ROO]])), EllmanAnnualize(SnapshotTable[[#This Row],[SC DTE]], SnapshotTable[[#This Row],[SC Simple ROO]] ),"")</f>
        <v>#NAME?</v>
      </c>
      <c r="FS244" s="4">
        <f ca="1">IF(SnapshotTable[[#This Row],[SC Strike Price]] &gt; SnapshotTable[[#This Row],[Last Price]], SnapshotTable[[#This Row],[SC Strike Price]] - SnapshotTable[[#This Row],[Last Price]],0)</f>
        <v>0</v>
      </c>
      <c r="FT244" s="27" t="str">
        <f ca="1">IF(AND(ISNUMBER(SnapshotTable[[#This Row],[SC Upside Potential]]), SnapshotTable[[#This Row],[SC Upside Potential]] &gt; 0),(SnapshotTable[[#This Row],[SC Upside Potential]]/ SnapshotTable[[#This Row],[ACB]]),"")</f>
        <v/>
      </c>
      <c r="FU244" s="333">
        <f ca="1">IF(SnapshotTable[[#This Row],[SC Intrinsic Value]] &gt; 0,SnapshotTable[[#This Row],[SC Intrinsic Value]],"")</f>
        <v>0.80000000000001137</v>
      </c>
      <c r="FV244" s="27">
        <f ca="1">IF(AND( ISNUMBER( SnapshotTable[[#This Row],[ACB]]),ISNUMBER(SnapshotTable[[#This Row],[SC Downside Protect]])),SnapshotTable[[#This Row],[SC Downside Protect]] / SnapshotTable[[#This Row],[ACB]],"")</f>
        <v>3.409768988151101E-3</v>
      </c>
      <c r="FW244" s="236">
        <f ca="1">IF(AND(ISNUMBER(SnapshotTable[[#This Row],[SC Simple ROO]]),SnapshotTable[[#This Row],[SC Simple ROO]] &gt; 0), SnapshotTable[[#This Row],[SC Premium]] + (SnapshotTable[[#This Row],[SC Qty]] * SnapshotTable[[#This Row],[SC Upside Potential]]), "")</f>
        <v>250</v>
      </c>
      <c r="FX244" s="302" t="e" cm="1">
        <f t="array" aca="1" ref="FX244" ca="1">IF(ISNUMBER(SnapshotTable[[#This Row],[SC Max Dollars]]), annualize(SnapshotTable[[#This Row],[SC Term]],(SnapshotTable[[#This Row],[SC Max Dollars]]/SnapshotTable[[#This Row],[SC Basis]])),"")</f>
        <v>#NAME?</v>
      </c>
      <c r="FY244" s="236">
        <f>IF(AND(SnapshotTable[[#This Row],[SC Qty]]&gt;0,SnapshotTable[[#This Row],[SC Current Ask]]&gt;0), SnapshotTable[[#This Row],[SC Qty]] * SnapshotTable[[#This Row],[SC Current Ask]] * -100, "")</f>
        <v>-365</v>
      </c>
      <c r="FZ244" s="31">
        <f ca="1">IF(ISNUMBER((SnapshotTable[[#This Row],[SC Current Value]])), SnapshotTable[[#This Row],[SC Premium]] + SnapshotTable[[#This Row],[SC Current Value]], "")</f>
        <v>-115</v>
      </c>
      <c r="GA244" s="294">
        <f ca="1">IFERROR( IF(ISNUMBER((SnapshotTable[[#This Row],[SC Current Value]])), SnapshotTable[[#This Row],[SC Gain Loss]] / SnapshotTable[[#This Row],[SC Premium]], ""), "")</f>
        <v>-0.46</v>
      </c>
      <c r="GB244" s="42">
        <f>SnapshotTable[[#This Row],[Equity Shares]] * SaleSharesToConsiderPercentage</f>
        <v>20</v>
      </c>
      <c r="GC244" s="40">
        <f>SnapshotTable[[#This Row],[Long Term Target]] * SellingPriceToConsiderBasedOnTargetPercentage</f>
        <v>0</v>
      </c>
      <c r="GD244" s="40">
        <f>SnapshotTable[[#This Row],[Last Price]] * (1+ SellingPriceToConsiderBasedOnTargetPercentage)</f>
        <v>463.71000000000004</v>
      </c>
      <c r="GE244" s="41"/>
      <c r="GF244" s="40"/>
      <c r="GG244" s="31">
        <f>SnapshotTable[[#This Row],[Booked Sale Shares]] * SnapshotTable[[#This Row],[Booked Sale Price]]</f>
        <v>0</v>
      </c>
      <c r="GH244" s="31">
        <f>IF(SnapshotTable[[#This Row],[Equity Basis Total]] &gt; 0, SnapshotTable[[#This Row],[Equity Basis Per Share]] * SnapshotTable[[#This Row],[Booked Sale Shares]], "")</f>
        <v>0</v>
      </c>
      <c r="GI244" s="31">
        <f>IF(SnapshotTable[[#This Row],[Sale Proceeds]]&gt;0, SnapshotTable[[#This Row],[Sale Proceeds]] - SnapshotTable[[#This Row],[Sale Basis]], 0)</f>
        <v>0</v>
      </c>
      <c r="GJ244" s="27">
        <f ca="1">IF(SnapshotTable[[#This Row],[Sale G/L]]&gt;0, SnapshotTable[[#This Row],[Sale G/L]] / SnapshotTable[[#This Row],[Sale Basis]], IF(ISNUMBER(SnapshotTable[[#This Row],[SC Exercise P&amp;L (TAX)]]), SnapshotTable[[#This Row],[SC Exercise P&amp;L (TAX)]] / SnapshotTable[[#This Row],[SC Basis]], ""))</f>
        <v>-4.4457805907173054</v>
      </c>
      <c r="GK244" s="27" t="s">
        <v>747</v>
      </c>
      <c r="GL244" s="43" t="str">
        <f>IF(AND(SnapshotTable[[#This Row],[LP Exp Date]]&gt;0,SnapshotTable[[#This Row],[LP Strike Price]]&gt;0), [1]!ToOptionSymbol(SnapshotTable[[#This Row],[Symbol]], SnapshotTable[[#This Row],[LP Strike Price]],SnapshotTable[[#This Row],[LP Exp Date]],1), "")</f>
        <v/>
      </c>
      <c r="GM244" s="30" t="str">
        <f>IF(LEN(SnapshotTable[[#This Row],[LP Symbol]])&gt;0, 1, "")</f>
        <v/>
      </c>
      <c r="GN244" s="43" t="str">
        <f>IF(AND(SnapshotTable[[#This Row],[SP Exp Date]]&gt;0,SnapshotTable[[#This Row],[SP Strike Price]]&gt;0), [1]!ToOptionSymbol(SnapshotTable[[#This Row],[Symbol]], SnapshotTable[[#This Row],[SP Strike Price]],SnapshotTable[[#This Row],[SP Exp Date]],1), "")</f>
        <v/>
      </c>
      <c r="GO244" s="30" t="str">
        <f>IF(LEN(SnapshotTable[[#This Row],[SP Symbol]])&gt;0, 1, "")</f>
        <v/>
      </c>
      <c r="GP244" s="43" t="str">
        <f>IF(AND(SnapshotTable[[#This Row],[LC Exp Date]]&gt;0,SnapshotTable[[#This Row],[LC Strike Price]]&gt;0), [1]!ToOptionSymbol(SnapshotTable[[#This Row],[Symbol]], SnapshotTable[[#This Row],[LC Strike Price]],SnapshotTable[[#This Row],[LC Exp Date]],0), "")</f>
        <v/>
      </c>
      <c r="GQ244" s="30" t="str">
        <f>IF(LEN(SnapshotTable[[#This Row],[LC Symbol]])&gt;0, 1, "")</f>
        <v/>
      </c>
      <c r="GR244" s="43" t="str">
        <f ca="1">IF(AND(SnapshotTable[[#This Row],[SC Exp Date]]&gt;0,SnapshotTable[[#This Row],[SC Strike Price]]&gt;0), [1]!ToOptionSymbol(SnapshotTable[[#This Row],[Symbol]], SnapshotTable[[#This Row],[SC Strike Price]],SnapshotTable[[#This Row],[SC Exp Date]],0), "")</f>
        <v>AMZN260807C00237000</v>
      </c>
      <c r="GS244" s="30">
        <f ca="1">IF(LEN(SnapshotTable[[#This Row],[SC Symbol]])&gt;0, 1, "")</f>
        <v>1</v>
      </c>
      <c r="GT244" s="29" t="str">
        <f ca="1">IF(COUNT(SnapshotTable[[#This Row],[LP Symbol Count]],SnapshotTable[[#This Row],[SP Symbol Count]],SnapshotTable[[#This Row],[LC Symbol Count]],SnapshotTable[[#This Row],[SC Symbol Count]])&gt;0, "Y", "")</f>
        <v>Y</v>
      </c>
      <c r="GU244"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SC </v>
      </c>
      <c r="GV244" s="231" t="e">
        <f ca="1">MAX(SnapshotTable[[#This Row],[Equity Basis Total]],SnapshotTable[[#This Row],[Equity Value]]) + (SnapshotTable[[#This Row],[SP Potential Spend]]- SnapshotTable[[#This Row],[SP Premium]] + SnapshotTable[[#This Row],[LP Premium]])+ (SnapshotTable[[#This Row],[LC Premium]] - SnapshotTable[[#This Row],[SC Premium]])</f>
        <v>#VALUE!</v>
      </c>
      <c r="GW244" s="139" t="e">
        <f ca="1">IF(AND(SnapshotTable[[#This Row],[Exposure]] &lt;&gt; 0),SnapshotTable[[#This Row],[Exposure]] / SnapshotTable[[#Totals],[Exposure]], "")</f>
        <v>#VALUE!</v>
      </c>
      <c r="GX244" s="5"/>
      <c r="HE244" s="268"/>
      <c r="HF244" s="268"/>
      <c r="HK244" s="1"/>
      <c r="HL244" s="1"/>
      <c r="HM244" s="1"/>
      <c r="HN244" s="1"/>
      <c r="HO244" s="1"/>
      <c r="HP244" s="1"/>
    </row>
    <row r="245" spans="2:224" ht="12.75" hidden="1" customHeight="1" x14ac:dyDescent="0.25">
      <c r="B245" s="12" t="s">
        <v>71</v>
      </c>
      <c r="C245" s="422">
        <v>47.66</v>
      </c>
      <c r="D245" s="208"/>
      <c r="E245" s="39">
        <f>SnapshotTable[[#This Row],[Last Price]]*(1 -CrashDiscount)</f>
        <v>40.510999999999996</v>
      </c>
      <c r="F245" s="26" t="s">
        <v>70</v>
      </c>
      <c r="G245" s="26" t="s">
        <v>14</v>
      </c>
      <c r="H245" s="149"/>
      <c r="I245" s="194">
        <v>44770.28125</v>
      </c>
      <c r="J245" s="195">
        <v>44770.28125</v>
      </c>
      <c r="K245" s="196"/>
      <c r="L245" s="326"/>
      <c r="M245" s="140"/>
      <c r="N245" s="140"/>
      <c r="O245" s="140"/>
      <c r="P245" s="22"/>
      <c r="Q245" s="25"/>
      <c r="R245" s="4" t="str">
        <f>IF(SnapshotTable[[#This Row],[Equity Basis Total]] &gt; 0, SnapshotTable[[#This Row],[Equity Basis Total]] / SnapshotTable[[#This Row],[Equity Shares]], "")</f>
        <v/>
      </c>
      <c r="S245" s="269">
        <f>SnapshotTable[[#This Row],[Last Price]] * SnapshotTable[[#This Row],[Equity Shares]]</f>
        <v>0</v>
      </c>
      <c r="T245" s="269">
        <f>SnapshotTable[[#This Row],[Equity Value]] - SnapshotTable[[#This Row],[Equity Basis Total]]</f>
        <v>0</v>
      </c>
      <c r="U245" s="270" t="str">
        <f>IF(SnapshotTable[[#This Row],[Equity Basis Total]] &gt; 0, SnapshotTable[[#This Row],[Equity G/L]] / SnapshotTable[[#This Row],[Equity Basis Total]], "")</f>
        <v/>
      </c>
      <c r="V245" s="268"/>
      <c r="W245" s="268"/>
      <c r="X245" s="4" t="str">
        <f>IF(AND(ISNUMBER(SnapshotTable[[#This Row],[Equity Basis Per Share]]),ISNUMBER(SnapshotTable[[#This Row],[Equity Target]])),SnapshotTable[[#This Row],[Equity Target]]-SnapshotTable[[#This Row],[Equity Basis Per Share]],"")</f>
        <v/>
      </c>
      <c r="Y245" s="4" t="str">
        <f>IF(AND(ISNUMBER(SnapshotTable[[#This Row],[Equity Basis Per Share]]),ISNUMBER(SnapshotTable[[#This Row],[Equity Stop Loss]])),SnapshotTable[[#This Row],[Equity Stop Loss]]-SnapshotTable[[#This Row],[Equity Basis Per Share]],"")</f>
        <v/>
      </c>
      <c r="Z245" s="275" t="str">
        <f>IFERROR( TEXT(SnapshotTable[[#This Row],[Equity Max Gain Per Share]] /ABS( SnapshotTable[[#This Row],[Equity Max Loss Per Share]]),"0.0 " ) &amp; " : 1", "")</f>
        <v/>
      </c>
      <c r="AA245" s="31" t="str">
        <f>IF(ISNUMBER(SnapshotTable[[#This Row],[Equity Max Gain Per Share]]),SnapshotTable[[#This Row],[Equity Max Gain Per Share]] * SnapshotTable[[#This Row],[Equity Shares]],"")</f>
        <v/>
      </c>
      <c r="AB245" s="31" t="str">
        <f>IF(ISNUMBER(SnapshotTable[[#This Row],[Equity Max Loss Per Share]]),SnapshotTable[[#This Row],[Equity Max Loss Per Share]] * SnapshotTable[[#This Row],[Equity Shares]],"")</f>
        <v/>
      </c>
      <c r="AC245" s="150">
        <v>0.5</v>
      </c>
      <c r="AD245" s="151">
        <v>42992</v>
      </c>
      <c r="AE245" s="31">
        <f>(SnapshotTable[[#This Row],[Annual Dividend Per Share]] / 4) * SnapshotTable[[#This Row],[Equity Shares]]</f>
        <v>0</v>
      </c>
      <c r="AF245" s="31">
        <f>SnapshotTable[[#This Row],[Quarterly Div $]] * 4</f>
        <v>0</v>
      </c>
      <c r="AG245" s="7">
        <f>IF(SnapshotTable[[#This Row],[Annual Dividend Per Share]]&gt;0, SnapshotTable[[#This Row],[Annual Dividend Per Share]]  / SnapshotTable[[#This Row],[Last Price]], 0)</f>
        <v>1.0490977759127152E-2</v>
      </c>
      <c r="AH245" s="151">
        <v>42979</v>
      </c>
      <c r="AI245" s="5"/>
      <c r="AJ245" s="138">
        <v>44.56</v>
      </c>
      <c r="AK245" s="152" t="str">
        <f>IF(ISNUMBER( SnapshotTable[[#This Row],[EBF Target]]),(SnapshotTable[[#This Row],[EBF Target]] - SnapshotTable[[#This Row],[Last Price]]) / SnapshotTable[[#This Row],[Last Price]], "")</f>
        <v/>
      </c>
      <c r="AL245" s="152" t="str">
        <f>IF(AND(SnapshotTable[[#This Row],[Equity Basis Total]] &gt; 0,ISNUMBER( SnapshotTable[[#This Row],[Long Term Target]])), SnapshotTable[[#This Row],[From Basis $]] / SnapshotTable[[#This Row],[Equity Basis Total]], "")</f>
        <v/>
      </c>
      <c r="AM245" s="9">
        <f>IF( AND(SnapshotTable[[#This Row],[Equity Shares]] &gt;0,ISNUMBER( SnapshotTable[[#This Row],[Long Term Target]])),(SnapshotTable[[#This Row],[Equity Shares]] * SnapshotTable[[#This Row],[Long Term Target]]) - SnapshotTable[[#This Row],[Equity Basis Total]],0)</f>
        <v>0</v>
      </c>
      <c r="AN245" s="9">
        <f>IF( AND(SnapshotTable[[#This Row],[Equity Shares]] &gt;0,ISNUMBER( SnapshotTable[[#This Row],[Long Term Target]])),(SnapshotTable[[#This Row],[Equity Shares]]*SnapshotTable[[#This Row],[Long Term Target]]) - SnapshotTable[[#This Row],[Equity Value]],0)</f>
        <v>0</v>
      </c>
      <c r="AO245" s="152">
        <f>IF(AND(ISNUMBER( SnapshotTable[[#This Row],[Long Term Target]]), ISNUMBER(SnapshotTable[[#This Row],[Last Price]])),(SnapshotTable[[#This Row],[Long Term Target]] - SnapshotTable[[#This Row],[Last Price]]) / SnapshotTable[[#This Row],[Last Price]], "")</f>
        <v>-6.5044062106588224E-2</v>
      </c>
      <c r="AP245" s="5">
        <v>50.5</v>
      </c>
      <c r="AQ245" s="38" t="s">
        <v>38</v>
      </c>
      <c r="AR245" s="5">
        <v>50.5</v>
      </c>
      <c r="AS245" s="38" t="s">
        <v>26</v>
      </c>
      <c r="AT245" s="146"/>
      <c r="AU245" s="187" t="str">
        <f>IF(OR(SnapshotTable[[#This Row],[LP No Fill]]="Y",SnapshotTable[[#This Row],[SP Is Filled]],SnapshotTable[[#This Row],[LC Not Filled]]="Y",SnapshotTable[[#This Row],[SC Is Filled]]),"Y","")</f>
        <v/>
      </c>
      <c r="AV245" s="219"/>
      <c r="AW245" s="225"/>
      <c r="AX245" s="220"/>
      <c r="AY245" s="219" t="str">
        <f>IF(SnapshotTable[[#This Row],[Implied Move]]&gt;0, SnapshotTable[[#This Row],[Last Price]]-SnapshotTable[[#This Row],[Implied Move]],"")</f>
        <v/>
      </c>
      <c r="AZ245" s="219" t="str">
        <f>IF(SnapshotTable[[#This Row],[Implied Move]]&gt;0, SnapshotTable[[#This Row],[Last Price]] + SnapshotTable[[#This Row],[Implied Move]],"")</f>
        <v/>
      </c>
      <c r="BA245" s="331"/>
      <c r="BB245" s="347"/>
      <c r="BC24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5" s="351"/>
      <c r="BE245" s="5"/>
      <c r="BF245" s="14"/>
      <c r="BG245" s="13"/>
      <c r="BH245" s="13"/>
      <c r="BI245" s="5"/>
      <c r="BJ245" s="136">
        <f>IF(SnapshotTable[[#This Row],[LP Qty]] &gt; 0, SnapshotTable[[#This Row],[LP Qty]] * SnapshotTable[[#This Row],[LP Book Price]] * 100,0)</f>
        <v>0</v>
      </c>
      <c r="BK245" s="136">
        <f>IF(SnapshotTable[[#This Row],[LP Premium]] &gt; 0, SnapshotTable[[#This Row],[LP Qty]] * SnapshotTable[[#This Row],[LP Strike Price]] * 100,0)</f>
        <v>0</v>
      </c>
      <c r="BL245" s="154"/>
      <c r="BM245" s="385" t="str">
        <f>IF(SnapshotTable[[#This Row],[LP Premium]] &gt; 0,SnapshotTable[[#This Row],[LP Exp Date]]-MAX(SnapshotTable[[#This Row],[LP Book Date]], SnapshotTable[[#This Row],[LP Fill Date]]),"")</f>
        <v/>
      </c>
      <c r="BN245" s="385" t="str">
        <f>IF(ISNUMBER( SnapshotTable[[#This Row],[LP Term]]), SnapshotTable[[#This Row],[LP Exp Date]] - MockToday,"")</f>
        <v/>
      </c>
      <c r="BO245" s="163" t="str">
        <f>IF(AND(SnapshotTable[[#This Row],[LP Exp Date]]&gt;0, SnapshotTable[[#This Row],[LP Strike Price]]&gt;0,SnapshotTable[[#This Row],[LP Qty]]&gt;0,SnapshotTable[[#This Row],[LP Book Date]]&gt;0,SnapshotTable[[#This Row],[LP Book Price]]&gt;0,SnapshotTable[[#This Row],[LP Fill Date]]=0),"Y","")</f>
        <v/>
      </c>
      <c r="BP245" s="31" t="str">
        <f>IF(AND(SnapshotTable[[#This Row],[LP No Fill]]&lt;&gt;"Y",SnapshotTable[[#This Row],[LP Contract Value]]&gt;0, SnapshotTable[[#This Row],[LP Qty]]&gt;0), SnapshotTable[[#This Row],[LP Contract Value]]*SnapshotTable[[#This Row],[LP Qty]]*100,"")</f>
        <v/>
      </c>
      <c r="BQ245" s="13"/>
      <c r="BR245" s="5" t="str">
        <f>IF(SnapshotTable[[#This Row],[SP Exp Date]]&lt;&gt;"",TRUNC(SnapshotTable[[#This Row],[Last Price]]),"")</f>
        <v/>
      </c>
      <c r="BS245" s="36"/>
      <c r="BT245" s="147"/>
      <c r="BU245" s="13"/>
      <c r="BV245" s="5"/>
      <c r="BW245" s="419" t="b">
        <f>AND(ISNUMBER(SnapshotTable[[#This Row],[SP Exp Date]]), ISNUMBER(SnapshotTable[[#This Row],[SP Strike Price]]), ISNUMBER(SnapshotTable[[#This Row],[SP Qty]]), ISNUMBER(SnapshotTable[[#This Row],[SP Book Date]]), ISNUMBER(SnapshotTable[[#This Row],[SP Book Price]]))</f>
        <v>0</v>
      </c>
      <c r="BX245" s="419" t="b">
        <f>AND(SnapshotTable[[#This Row],[SP Is Booked]], NOT(ISBLANK(SnapshotTable[[#This Row],[SP Fill Date]])))</f>
        <v>0</v>
      </c>
      <c r="BY245" s="33">
        <f>IF(SnapshotTable[[#This Row],[SP Is Booked]], SnapshotTable[[#This Row],[SP Qty]] * SnapshotTable[[#This Row],[SP Book Price]] * 100, 0)</f>
        <v>0</v>
      </c>
      <c r="BZ245" s="369"/>
      <c r="CA245" s="368">
        <f>SnapshotTable[[#This Row],[LP Qty]]</f>
        <v>0</v>
      </c>
      <c r="CB245" s="4" t="str">
        <f>IF(SnapshotTable[[#This Row],[SP Is Booked]], SnapshotTable[[#This Row],[SP Strike Price]] - SnapshotTable[[#This Row],[SP Book Price]], "")</f>
        <v/>
      </c>
      <c r="CC245" s="19" t="str">
        <f>IF(SnapshotTable[[#This Row],[SP Is Booked]],SnapshotTable[[#This Row],[SP Exp Date]]-MAX(SnapshotTable[[#This Row],[SP Book Date]], SnapshotTable[[#This Row],[SP Fill Date]]),"")</f>
        <v/>
      </c>
      <c r="CD245" s="7" t="str">
        <f>IF(SnapshotTable[[#This Row],[SP Is Booked]], SnapshotTable[[#This Row],[SP Book Price]]/SnapshotTable[[#This Row],[SP Strike Price]], "")</f>
        <v/>
      </c>
      <c r="CE245" s="7" t="str">
        <f>IF(ISNUMBER(SnapshotTable[[#This Row],[SP ROO Term]]),SnapshotTable[[#This Row],[SP ROO Term]]*(365/SnapshotTable[[#This Row],[SP Term]]),"")</f>
        <v/>
      </c>
      <c r="CF245" s="236">
        <f>SnapshotTable[[#This Row],[LP Strike Price]] * SnapshotTable[[#This Row],[LP Qty]] * 100</f>
        <v>0</v>
      </c>
      <c r="CG245" s="31" t="e">
        <f>IF(ISNUMBER(SnapshotTable[[#This Row],[SP Premium]]), (SnapshotTable[[#This Row],[SP Qty]] * SnapshotTable[[#This Row],[SP Strike Price]]* 100) - SnapshotTable[[#This Row],[LP Protection]], 0)</f>
        <v>#VALUE!</v>
      </c>
      <c r="CH245" s="7" t="str">
        <f>IF(ISNUMBER(SnapshotTable[[#This Row],[SP Break Even]]),-1 * (SnapshotTable[[#This Row],[SP Break Even]] - SnapshotTable[[#This Row],[Last Price]]) / SnapshotTable[[#This Row],[Last Price]], "")</f>
        <v/>
      </c>
      <c r="CI245" s="31">
        <f>IF(AND(ISNUMBER((SnapshotTable[[#This Row],[SP Potential Spend]])), SnapshotTable[[#This Row],[SP Strike Price]] &gt; SnapshotTable[[#This Row],[Last Price]], SnapshotTable[[#This Row],[SP Is Filled]]), SnapshotTable[[#This Row],[SP Potential Spend]] -  SnapshotTable[[#This Row],[LP Max Value]], 0)</f>
        <v>0</v>
      </c>
      <c r="CJ245" s="244"/>
      <c r="CK245" s="31" t="str">
        <f>IF(ISNUMBER(SnapshotTable[[#This Row],[SP Potential Spend]]),IF(ISNUMBER(SnapshotTable[[#This Row],[SP POW]]), SnapshotTable[[#This Row],[SP POW]] * SnapshotTable[[#This Row],[SP Potential Spend]], SnapshotTable[[#This Row],[SP Potential Spend]]), "")</f>
        <v/>
      </c>
      <c r="CL245" s="164" t="e">
        <f>IF(NOT(SnapshotTable[[#This Row],[SP Is Filled]]),(SnapshotTable[[#This Row],[SP Qty]] * SnapshotTable[[#This Row],[SP Strike Price]] * 100) - SnapshotTable[[#This Row],[LP Max Value]],"")</f>
        <v>#VALUE!</v>
      </c>
      <c r="CM245" s="31" t="str">
        <f>IF(SnapshotTable[[#This Row],[SP Actual Spend]]&lt;&gt;0, ((SnapshotTable[[#This Row],[SP Strike Price]]-SnapshotTable[[#This Row],[Last Price]]) *(SnapshotTable[[#This Row],[SP Qty]]*100) - SnapshotTable[[#This Row],[SP Premium]]) * - 1, "")</f>
        <v/>
      </c>
      <c r="CN245" s="78"/>
      <c r="CO245" s="369"/>
      <c r="CP245" s="4" t="str">
        <f>IF(SnapshotTable[[#This Row],[SP Is Filled]], btc_max_buyback_amount(SnapshotTable[[#This Row],[SP Fill Date]],SnapshotTable[[#This Row],[SP Exp Date]], SnapshotTable[[#This Row],[SP Book Price]]),"")</f>
        <v/>
      </c>
      <c r="CQ245" s="78"/>
      <c r="CR24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5" s="155" t="str">
        <f>IF(SnapshotTable[[#This Row],[SP Is Filled]], btc_next_cutoff_date(SnapshotTable[[#This Row],[SP Fill Date]],SnapshotTable[[#This Row],[SP Exp Date]]),"")</f>
        <v/>
      </c>
      <c r="CT245" s="235" t="str" cm="1">
        <f t="array" ref="CT245">IF(SnapshotTable[[#This Row],[SP Is Filled]], btc_should_buy_back(SnapshotTable[[#This Row],[SP Fill Date]], SnapshotTable[[#This Row],[SP Exp Date]], SnapshotTable[[#This Row],[SP Book Price]], SnapshotTable[[#This Row],[SP Current Ask]], MockToday, SnapshotTable[[#This Row],[SP Buyback Override]]),"")</f>
        <v/>
      </c>
      <c r="CU245" s="143"/>
      <c r="CV245" s="235"/>
      <c r="CW245" s="378" t="str">
        <f>IF(ISNUMBER( SnapshotTable[[#This Row],[SP Term]]), SnapshotTable[[#This Row],[SP Exp Date]] - MockToday,"")</f>
        <v/>
      </c>
      <c r="CX245" s="31" t="str">
        <f>IF(SnapshotTable[[#This Row],[SP Is Filled]],SnapshotTable[[#This Row],[SP Buyback Price to Use]] * 100 * SnapshotTable[[#This Row],[SP Qty]], "")</f>
        <v/>
      </c>
      <c r="CY245" s="4" t="str">
        <f>IF(ISNUMBER(SnapshotTable[[#This Row],[SP Strike Price]]), SnapshotTable[[#This Row],[SP Strike Price]] * (1 - SP_MaxLoss_StrikePct), "")</f>
        <v/>
      </c>
      <c r="CZ245" s="31" t="str">
        <f>IF(ISNUMBER(SnapshotTable[[#This Row],[SP Strike  Stop Per Share]]),SnapshotTable[[#This Row],[SP Premium]] - ((SnapshotTable[[#This Row],[SP Strike Price]]-SnapshotTable[[#This Row],[SP Strike  Stop Per Share]]) *(SnapshotTable[[#This Row],[SP Qty]] * 100)),"")</f>
        <v/>
      </c>
      <c r="DA245" s="4" t="str">
        <f>IF(AND(ISNUMBER(SnapshotTable[[#This Row],[SP Premium]]),SnapshotTable[[#This Row],[SP Premium]]&gt;0), SnapshotTable[[#This Row],[SP Book Price]] * (1 + SP_MaxLoss_OptionPct), "")</f>
        <v/>
      </c>
      <c r="DB245" s="31" t="str">
        <f>IF(ISNUMBER(SnapshotTable[[#This Row],[SP Option  Stop Contract]]),(SnapshotTable[[#This Row],[SP Option  Stop Contract]] *(SnapshotTable[[#This Row],[SP Qty]] * 100) - SnapshotTable[[#This Row],[SP Premium]]),"")</f>
        <v/>
      </c>
      <c r="DC245" s="4"/>
      <c r="DD245" s="4"/>
      <c r="DE245" s="4" t="str">
        <f>IF(AND(SnapshotTable[[#This Row],[SP Qty]]&gt;0, SnapshotTable[[#This Row],[SP Stop To Use]]&gt;0),SnapshotTable[[#This Row],[SP Premium]] - ( SnapshotTable[[#This Row],[SP Qty]] * SnapshotTable[[#This Row],[SP Stop To Use]] * 100), "")</f>
        <v/>
      </c>
      <c r="DF245" s="31" t="str">
        <f>IF(AND(SnapshotTable[[#This Row],[SP Qty]]&gt;0,SnapshotTable[[#This Row],[SP Current Ask]]&gt;0), SnapshotTable[[#This Row],[SP Qty]] * SnapshotTable[[#This Row],[SP Current Ask]] * -100, "")</f>
        <v/>
      </c>
      <c r="DG245" s="31" t="str">
        <f>IF(ISNUMBER((SnapshotTable[[#This Row],[SP Total Value]])), SnapshotTable[[#This Row],[SP Premium]] + SnapshotTable[[#This Row],[SP Total Value]], "")</f>
        <v/>
      </c>
      <c r="DH245" s="294" t="str">
        <f>IF(ISNUMBER((SnapshotTable[[#This Row],[SP Total Value]])), SnapshotTable[[#This Row],[SP Gain Loss]] / SnapshotTable[[#This Row],[SP Premium]], "")</f>
        <v/>
      </c>
      <c r="DI245" s="406"/>
      <c r="DJ245" s="138"/>
      <c r="DK245" s="148"/>
      <c r="DL245" s="13"/>
      <c r="DM245" s="13"/>
      <c r="DO245" s="31">
        <f>IF(SnapshotTable[[#This Row],[LC Symbol Count]]=1, SnapshotTable[[#This Row],[LC Qty]] * SnapshotTable[[#This Row],[LC Book Price]] * 100, 0)</f>
        <v>0</v>
      </c>
      <c r="DP245" s="163" t="str">
        <f>IF(AND(SnapshotTable[[#This Row],[LC Exp Date]]&gt;0, SnapshotTable[[#This Row],[LC Strike Price]]&gt;0,SnapshotTable[[#This Row],[LC Qty]]&gt;0,SnapshotTable[[#This Row],[LC Book Date]]&gt;0,SnapshotTable[[#This Row],[LC Book Price]]&gt;0,SnapshotTable[[#This Row],[LC Fill Date]]=0),"Y","")</f>
        <v/>
      </c>
      <c r="DQ245" s="386" t="str">
        <f>IF(SnapshotTable[[#This Row],[LC Premium]] &gt; 0,SnapshotTable[[#This Row],[LC Exp Date]]-MAX(SnapshotTable[[#This Row],[LC Book Date]], SnapshotTable[[#This Row],[LC Fill Date]]),"")</f>
        <v/>
      </c>
      <c r="DR245" s="386" t="str">
        <f>IF(ISNUMBER(SnapshotTable[[#This Row],[LC Term]]), SnapshotTable[[#This Row],[LC Exp Date]] - MockToday, "")</f>
        <v/>
      </c>
      <c r="DS245" s="234" t="str">
        <f>IF(SnapshotTable[[#This Row],[LC Premium]]&gt;0,SnapshotTable[[#This Row],[LC Strike Price]] + SnapshotTable[[#This Row],[LC Book Price]],"")</f>
        <v/>
      </c>
      <c r="DU245" s="9" t="str">
        <f>IF(AND(SnapshotTable[[#This Row],[LC Symbol Count]]&gt;0, SnapshotTable[[#This Row],[LC Contract Value]]&gt;0), SnapshotTable[[#This Row],[LC Contract Value]] * SnapshotTable[[#This Row],[LC Qty]] * 100, "")</f>
        <v/>
      </c>
      <c r="DV245" s="9" t="str">
        <f>IF(AND(ISNUMBER(SnapshotTable[[#This Row],[LC Total Value]]), SnapshotTable[[#This Row],[LC Not Filled]]&lt;&gt;"Y"), SnapshotTable[[#This Row],[LC Total Value]]-SnapshotTable[[#This Row],[LC Premium]],"")</f>
        <v/>
      </c>
      <c r="DW245" s="240" t="str">
        <f>IF(ISNUMBER(SnapshotTable[[#This Row],[LC Actual Gain Loss]]), SnapshotTable[[#This Row],[LC Actual Gain Loss]] / SnapshotTable[[#This Row],[LC Premium]],"")</f>
        <v/>
      </c>
      <c r="DX245" s="284" t="str">
        <f>IF(ISNUMBER(SnapshotTable[[#This Row],[LC Book Price]]),SnapshotTable[[#This Row],[LC Book Price]] * 1.5,"")</f>
        <v/>
      </c>
      <c r="DY245" s="265" t="str">
        <f>IF(SnapshotTable[[#This Row],[LC Premium]]&gt;0, SnapshotTable[[#This Row],[LC Next Target]] * SnapshotTable[[#This Row],[LC Qty]] * 100,"")</f>
        <v/>
      </c>
      <c r="DZ245" s="265" t="str">
        <f>IF(ISNUMBER(SnapshotTable[[#This Row],[LC Target Gross]]), SnapshotTable[[#This Row],[LC Target Gross]] - SnapshotTable[[#This Row],[LC Premium]], "")</f>
        <v/>
      </c>
      <c r="EA245" s="305" t="str">
        <f>IF(ISNUMBER(SnapshotTable[[#This Row],[LC Target Gain Loss]]), SnapshotTable[[#This Row],[LC Target Gain Loss]]/SnapshotTable[[#This Row],[LC Premium]], "")</f>
        <v/>
      </c>
      <c r="EB245" s="262"/>
      <c r="EC245" s="283" t="str">
        <f>IF(SnapshotTable[[#This Row],[LC Premium]]&gt;0, SnapshotTable[[#This Row],[LC Book Price]] * (1 - LC_StopLoss_Pct),"")</f>
        <v/>
      </c>
      <c r="ED245" s="284"/>
      <c r="EE245" s="283" t="str">
        <f>IF(ISNUMBER(SnapshotTable[[#This Row],[LC Contract Value]]),IF(ISNUMBER(SnapshotTable[[#This Row],[LC Stop Loss Override]]), SnapshotTable[[#This Row],[LC Stop Loss Override]],SnapshotTable[[#This Row],[LC Stop Loss Calc Target]]),"")</f>
        <v/>
      </c>
      <c r="EF245" s="31" t="str">
        <f>IF(ISNUMBER(SnapshotTable[[#This Row],[LC Stop  To Use]]), (SnapshotTable[[#This Row],[LC Stop  To Use]] * SnapshotTable[[#This Row],[LC Qty]] * 100),"")</f>
        <v/>
      </c>
      <c r="EG245" s="9" t="str">
        <f>IF(ISNUMBER(SnapshotTable[[#This Row],[LC Total Value]]),SnapshotTable[[#This Row],[LC Stop Loss Amount]] - SnapshotTable[[#This Row],[LC Premium]],"")</f>
        <v/>
      </c>
      <c r="EH245" s="9">
        <f>IF(ISNUMBER(SnapshotTable[[#This Row],[LC Premium]]), SnapshotTable[[#This Row],[LC Qty]] * 100 * SnapshotTable[[#This Row],[LC Strike Price]], "")</f>
        <v>0</v>
      </c>
      <c r="EI245" s="240" t="str">
        <f>IF(AND(ISNUMBER(SnapshotTable[[#This Row],[LC Total Value]]),SnapshotTable[[#This Row],[LC Total Value]]&gt;0),SnapshotTable[[#This Row],[LC Stop Gain Loss]]  / SnapshotTable[[#This Row],[LC Premium]],"")</f>
        <v/>
      </c>
      <c r="EJ245" s="35">
        <f>IF(ISNUMBER(SnapshotTable[[#This Row],[Equity Shares]]),TRUNC(SnapshotTable[[#This Row],[Equity Shares]] / 100),0) + SnapshotTable[[#This Row],[LC Qty]]</f>
        <v>0</v>
      </c>
      <c r="EK245" s="147"/>
      <c r="EL245" s="138" t="str">
        <f>IF(SnapshotTable[[#This Row],[SC Exp Date]]&lt;&gt;"",TRUNC(SnapshotTable[[#This Row],[Last Price]]),"")</f>
        <v/>
      </c>
      <c r="EM245" s="148"/>
      <c r="EN245" s="147"/>
      <c r="EO245" s="147"/>
      <c r="EP245" s="138"/>
      <c r="EQ245" s="419" t="b">
        <f>AND(ISNUMBER(SnapshotTable[[#This Row],[SC Exp Date]]), ISNUMBER(SnapshotTable[[#This Row],[SC Strike Price]]), ISNUMBER(SnapshotTable[[#This Row],[SC Qty]]), ISNUMBER(SnapshotTable[[#This Row],[SC Book Date]]), ISNUMBER(SnapshotTable[[#This Row],[SC Book Price]]))</f>
        <v>0</v>
      </c>
      <c r="ER245" s="419" t="b">
        <f>AND(SnapshotTable[[#This Row],[SC Is Booked]], NOT(ISBLANK(SnapshotTable[[#This Row],[SC Fill Date]])))</f>
        <v>0</v>
      </c>
      <c r="ES245" s="370"/>
      <c r="ET245" s="34" t="str">
        <f>IF(AND(ISNUMBER(SnapshotTable[[#This Row],[SC Exp Date]]), ISNUMBER(SnapshotTable[[#This Row],[SC Book Date]])), SnapshotTable[[#This Row],[SC Exp Date]] - MAX(SnapshotTable[[#This Row],[SC Book Date]], SnapshotTable[[#This Row],[SC Fill Date]]) + 1, "")</f>
        <v/>
      </c>
      <c r="EU245" s="34" t="str">
        <f>IF(ISNUMBER(SnapshotTable[[#This Row],[SC Term]]), SnapshotTable[[#This Row],[SC Exp Date]]- MockToday, "")</f>
        <v/>
      </c>
      <c r="EV245" s="31">
        <f>IF(SnapshotTable[[#This Row],[SC Is Booked]], SnapshotTable[[#This Row],[SC Qty]] * SnapshotTable[[#This Row],[SC Book Price]] * 100, 0)</f>
        <v>0</v>
      </c>
      <c r="EW245" s="4" t="str">
        <f>IF(AND(ISNUMBER(SnapshotTable[[#This Row],[Last Price]]), ISNUMBER( SnapshotTable[[#This Row],[SC Book Price]])), SnapshotTable[[#This Row],[Last Price]] - SnapshotTable[[#This Row],[SC Book Price]],"")</f>
        <v/>
      </c>
      <c r="EX245" s="234" t="str">
        <f>IF(SnapshotTable[[#This Row],[SC Is Booked]],IF(SnapshotTable[[#This Row],[SC Intrinsic Value]] &gt; 0, SnapshotTable[[#This Row],[SC Strike Price]], SnapshotTable[[#This Row],[Last Price]]), "")</f>
        <v/>
      </c>
      <c r="EY245" s="4">
        <f>IF(SnapshotTable[[#This Row],[SC Is Booked]], (MinimumPremiumRequired * SnapshotTable[[#This Row],[SC Basis]] * SnapshotTable[[#This Row],[SC Term]]), 0)</f>
        <v>0</v>
      </c>
      <c r="EZ245" s="283"/>
      <c r="FA245" s="218"/>
      <c r="FB245" s="370"/>
      <c r="FC245" s="4">
        <f>IF(SnapshotTable[[#This Row],[SC Is Filled]], btc_max_buyback_amount(SnapshotTable[[#This Row],[SC Fill Date]],SnapshotTable[[#This Row],[SC Exp Date]], SnapshotTable[[#This Row],[SC Book Price]]),0)</f>
        <v>0</v>
      </c>
      <c r="FD245" s="5"/>
      <c r="FE245" s="144" t="str">
        <f>IF(SnapshotTable[[#This Row],[SC Is Filled]], btc_next_cutoff_date(SnapshotTable[[#This Row],[SC Fill Date]],SnapshotTable[[#This Row],[SC Exp Date]]),"")</f>
        <v/>
      </c>
      <c r="FF245" s="4" t="str" cm="1">
        <f t="array" ref="FF245">IF(SnapshotTable[[#This Row],[SC Is Filled]], btc_should_buy_back(SnapshotTable[[#This Row],[SC Fill Date]], SnapshotTable[[#This Row],[SC Exp Date]], SnapshotTable[[#This Row],[SC Book Price]], SnapshotTable[[#This Row],[SC Current Ask]], MockToday, SnapshotTable[[#This Row],[SC Buyback Override]]),"")</f>
        <v/>
      </c>
      <c r="FG245" s="4">
        <f>IF(SnapshotTable[[#This Row],[SC Is Filled]], MAX(0,SnapshotTable[[#This Row],[Last Price]]  - SnapshotTable[[#This Row],[SC Strike Price]]), 0)</f>
        <v>0</v>
      </c>
      <c r="FH245" s="382">
        <f>IF(SnapshotTable[[#This Row],[SC Is Filled]], IF(ISNUMBER(SnapshotTable[[#This Row],[SC Current Ask]]), SnapshotTable[[#This Row],[SC Current Ask]], SnapshotTable[[#This Row],[SC Book Price]]) - SnapshotTable[[#This Row],[SC Intrinsic Value]], 0)</f>
        <v>0</v>
      </c>
      <c r="FI245" s="143"/>
      <c r="FJ245" s="32" t="str">
        <f>IF(SnapshotTable[[#This Row],[SC Is Filled]],100 * SnapshotTable[[#This Row],[SC Qty]] * IF(ISNUMBER(SnapshotTable[[#This Row],[SC Buyback Override]]), SnapshotTable[[#This Row],[SC Buyback Override]], SnapshotTable[[#This Row],[SC Current Ask]]), "")</f>
        <v/>
      </c>
      <c r="FK245" s="250" t="str">
        <f>IF(SnapshotTable[[#This Row],[SC Time Val]]&gt;0, SnapshotTable[[#This Row],[SC Time Val]] / SnapshotTable[[#This Row],[Last Price]],"")</f>
        <v/>
      </c>
      <c r="FL245" s="302" t="str">
        <f>IF(SnapshotTable[[#This Row],[SC Is Booked]], ((SnapshotTable[[#This Row],[Last Price]] -SnapshotTable[[#This Row],[SC Strike Price]]) / SnapshotTable[[#This Row],[Last Price]]) * -1, "")</f>
        <v/>
      </c>
      <c r="FM245" s="157" t="str">
        <f>IF(SnapshotTable[[#This Row],[SC Is Booked]],  (SnapshotTable[[#This Row],[SC Qty]] * 100 * SnapshotTable[[#This Row],[SC Strike Price]]) - SnapshotTable[[#This Row],[SC Current Ask]], "")</f>
        <v/>
      </c>
      <c r="FN24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5" s="31" t="str">
        <f>IF(AND(ISNUMBER(SnapshotTable[[#This Row],[SC Exercise Gross]]), ISNUMBER(SnapshotTable[[#This Row],[Equity Basis Per Share]] )), SnapshotTable[[#This Row],[SC Exercise Gross]] - SnapshotTable[[#This Row],[Equity Basis Total]] +  SnapshotTable[[#This Row],[SC Premium]], "")</f>
        <v/>
      </c>
      <c r="FP245" s="5" t="str">
        <f>IF(ISNUMBER(SnapshotTable[[#This Row],[SC Exercise Gross]]), (SnapshotTable[[#This Row],[SC Exercise Gross]]) / (SnapshotTable[[#This Row],[SC Qty]] * 100), "")</f>
        <v/>
      </c>
      <c r="FQ245" s="27" t="str">
        <f>IF(SnapshotTable[[#This Row],[SC Is Booked]],SnapshotTable[[#This Row],[SC Time Val]] /SnapshotTable[[#This Row],[SC Basis]], "")</f>
        <v/>
      </c>
      <c r="FR245" s="27" t="str" cm="1">
        <f t="array" ref="FR245">IF(AND(ISNUMBER(SnapshotTable[[#This Row],[SC Term]]),ISNUMBER(SnapshotTable[[#This Row],[SC Simple ROO]])), EllmanAnnualize(SnapshotTable[[#This Row],[SC DTE]], SnapshotTable[[#This Row],[SC Simple ROO]] ),"")</f>
        <v/>
      </c>
      <c r="FS245" s="4" t="e">
        <f>IF(SnapshotTable[[#This Row],[SC Strike Price]] &gt; SnapshotTable[[#This Row],[Last Price]], SnapshotTable[[#This Row],[SC Strike Price]] - SnapshotTable[[#This Row],[Last Price]],0)</f>
        <v>#VALUE!</v>
      </c>
      <c r="FT245" s="27" t="e">
        <f>IF(AND(ISNUMBER(SnapshotTable[[#This Row],[SC Upside Potential]]), SnapshotTable[[#This Row],[SC Upside Potential]] &gt; 0),(SnapshotTable[[#This Row],[SC Upside Potential]]/ SnapshotTable[[#This Row],[ACB]]),"")</f>
        <v>#VALUE!</v>
      </c>
      <c r="FU245" s="333" t="str">
        <f>IF(SnapshotTable[[#This Row],[SC Intrinsic Value]] &gt; 0,SnapshotTable[[#This Row],[SC Intrinsic Value]],"")</f>
        <v/>
      </c>
      <c r="FV245" s="27" t="str">
        <f>IF(AND( ISNUMBER( SnapshotTable[[#This Row],[ACB]]),ISNUMBER(SnapshotTable[[#This Row],[SC Downside Protect]])),SnapshotTable[[#This Row],[SC Downside Protect]] / SnapshotTable[[#This Row],[ACB]],"")</f>
        <v/>
      </c>
      <c r="FW245" s="236" t="str">
        <f>IF(AND(ISNUMBER(SnapshotTable[[#This Row],[SC Simple ROO]]),SnapshotTable[[#This Row],[SC Simple ROO]] &gt; 0), SnapshotTable[[#This Row],[SC Premium]] + (SnapshotTable[[#This Row],[SC Qty]] * SnapshotTable[[#This Row],[SC Upside Potential]]), "")</f>
        <v/>
      </c>
      <c r="FX245" s="302" t="str" cm="1">
        <f t="array" ref="FX245">IF(ISNUMBER(SnapshotTable[[#This Row],[SC Max Dollars]]), annualize(SnapshotTable[[#This Row],[SC Term]],(SnapshotTable[[#This Row],[SC Max Dollars]]/SnapshotTable[[#This Row],[SC Basis]])),"")</f>
        <v/>
      </c>
      <c r="FY245" s="236" t="str">
        <f>IF(AND(SnapshotTable[[#This Row],[SC Qty]]&gt;0,SnapshotTable[[#This Row],[SC Current Ask]]&gt;0), SnapshotTable[[#This Row],[SC Qty]] * SnapshotTable[[#This Row],[SC Current Ask]] * -100, "")</f>
        <v/>
      </c>
      <c r="FZ245" s="31" t="str">
        <f>IF(ISNUMBER((SnapshotTable[[#This Row],[SC Current Value]])), SnapshotTable[[#This Row],[SC Premium]] + SnapshotTable[[#This Row],[SC Current Value]], "")</f>
        <v/>
      </c>
      <c r="GA245" s="294" t="str">
        <f>IFERROR( IF(ISNUMBER((SnapshotTable[[#This Row],[SC Current Value]])), SnapshotTable[[#This Row],[SC Gain Loss]] / SnapshotTable[[#This Row],[SC Premium]], ""), "")</f>
        <v/>
      </c>
      <c r="GB245" s="42">
        <f>SnapshotTable[[#This Row],[Equity Shares]] * SaleSharesToConsiderPercentage</f>
        <v>0</v>
      </c>
      <c r="GC245" s="40">
        <f>SnapshotTable[[#This Row],[Long Term Target]] * SellingPriceToConsiderBasedOnTargetPercentage</f>
        <v>42.332000000000001</v>
      </c>
      <c r="GD245" s="40">
        <f>SnapshotTable[[#This Row],[Last Price]] * (1+ SellingPriceToConsiderBasedOnTargetPercentage)</f>
        <v>92.936999999999998</v>
      </c>
      <c r="GE245" s="41"/>
      <c r="GF245" s="40"/>
      <c r="GG245" s="31">
        <f>SnapshotTable[[#This Row],[Booked Sale Shares]] * SnapshotTable[[#This Row],[Booked Sale Price]]</f>
        <v>0</v>
      </c>
      <c r="GH245" s="31" t="str">
        <f>IF(SnapshotTable[[#This Row],[Equity Basis Total]] &gt; 0, SnapshotTable[[#This Row],[Equity Basis Per Share]] * SnapshotTable[[#This Row],[Booked Sale Shares]], "")</f>
        <v/>
      </c>
      <c r="GI245" s="31">
        <f>IF(SnapshotTable[[#This Row],[Sale Proceeds]]&gt;0, SnapshotTable[[#This Row],[Sale Proceeds]] - SnapshotTable[[#This Row],[Sale Basis]], 0)</f>
        <v>0</v>
      </c>
      <c r="GJ245" s="27" t="str">
        <f>IF(SnapshotTable[[#This Row],[Sale G/L]]&gt;0, SnapshotTable[[#This Row],[Sale G/L]] / SnapshotTable[[#This Row],[Sale Basis]], IF(ISNUMBER(SnapshotTable[[#This Row],[SC Exercise P&amp;L (TAX)]]), SnapshotTable[[#This Row],[SC Exercise P&amp;L (TAX)]] / SnapshotTable[[#This Row],[SC Basis]], ""))</f>
        <v/>
      </c>
      <c r="GK245" s="27" t="s">
        <v>744</v>
      </c>
      <c r="GL245" s="43" t="str">
        <f>IF(AND(SnapshotTable[[#This Row],[LP Exp Date]]&gt;0,SnapshotTable[[#This Row],[LP Strike Price]]&gt;0), [1]!ToOptionSymbol(SnapshotTable[[#This Row],[Symbol]], SnapshotTable[[#This Row],[LP Strike Price]],SnapshotTable[[#This Row],[LP Exp Date]],1), "")</f>
        <v/>
      </c>
      <c r="GM245" s="30" t="str">
        <f>IF(LEN(SnapshotTable[[#This Row],[LP Symbol]])&gt;0, 1, "")</f>
        <v/>
      </c>
      <c r="GN245" s="43" t="str">
        <f>IF(AND(SnapshotTable[[#This Row],[SP Exp Date]]&gt;0,SnapshotTable[[#This Row],[SP Strike Price]]&gt;0), [1]!ToOptionSymbol(SnapshotTable[[#This Row],[Symbol]], SnapshotTable[[#This Row],[SP Strike Price]],SnapshotTable[[#This Row],[SP Exp Date]],1), "")</f>
        <v/>
      </c>
      <c r="GO245" s="30" t="str">
        <f>IF(LEN(SnapshotTable[[#This Row],[SP Symbol]])&gt;0, 1, "")</f>
        <v/>
      </c>
      <c r="GP245" s="43" t="str">
        <f>IF(AND(SnapshotTable[[#This Row],[LC Exp Date]]&gt;0,SnapshotTable[[#This Row],[LC Strike Price]]&gt;0), [1]!ToOptionSymbol(SnapshotTable[[#This Row],[Symbol]], SnapshotTable[[#This Row],[LC Strike Price]],SnapshotTable[[#This Row],[LC Exp Date]],0), "")</f>
        <v/>
      </c>
      <c r="GQ245" s="30" t="str">
        <f>IF(LEN(SnapshotTable[[#This Row],[LC Symbol]])&gt;0, 1, "")</f>
        <v/>
      </c>
      <c r="GR245" s="43" t="str">
        <f>IF(AND(SnapshotTable[[#This Row],[SC Exp Date]]&gt;0,SnapshotTable[[#This Row],[SC Strike Price]]&gt;0), [1]!ToOptionSymbol(SnapshotTable[[#This Row],[Symbol]], SnapshotTable[[#This Row],[SC Strike Price]],SnapshotTable[[#This Row],[SC Exp Date]],0), "")</f>
        <v/>
      </c>
      <c r="GS245" s="30" t="str">
        <f>IF(LEN(SnapshotTable[[#This Row],[SC Symbol]])&gt;0, 1, "")</f>
        <v/>
      </c>
      <c r="GT245" s="29" t="str">
        <f>IF(COUNT(SnapshotTable[[#This Row],[LP Symbol Count]],SnapshotTable[[#This Row],[SP Symbol Count]],SnapshotTable[[#This Row],[LC Symbol Count]],SnapshotTable[[#This Row],[SC Symbol Count]])&gt;0, "Y", "")</f>
        <v/>
      </c>
      <c r="GU24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5" s="231" t="e">
        <f>MAX(SnapshotTable[[#This Row],[Equity Basis Total]],SnapshotTable[[#This Row],[Equity Value]]) + (SnapshotTable[[#This Row],[SP Potential Spend]]- SnapshotTable[[#This Row],[SP Premium]] + SnapshotTable[[#This Row],[LP Premium]])+ (SnapshotTable[[#This Row],[LC Premium]] - SnapshotTable[[#This Row],[SC Premium]])</f>
        <v>#VALUE!</v>
      </c>
      <c r="GW245" s="139" t="e">
        <f>IF(AND(SnapshotTable[[#This Row],[Exposure]] &lt;&gt; 0),SnapshotTable[[#This Row],[Exposure]] / SnapshotTable[[#Totals],[Exposure]], "")</f>
        <v>#VALUE!</v>
      </c>
      <c r="GX245" s="5"/>
      <c r="HE245" s="268"/>
      <c r="HF245" s="268"/>
      <c r="HK245" s="1"/>
      <c r="HL245" s="1"/>
      <c r="HM245" s="1"/>
      <c r="HN245" s="1"/>
      <c r="HO245" s="1"/>
      <c r="HP245" s="1"/>
    </row>
    <row r="246" spans="2:224" ht="12.75" hidden="1" customHeight="1" x14ac:dyDescent="0.25">
      <c r="B246" s="12" t="s">
        <v>898</v>
      </c>
      <c r="C246" s="422">
        <v>138.88999999999999</v>
      </c>
      <c r="D246" s="208"/>
      <c r="E246" s="39">
        <f>SnapshotTable[[#This Row],[Last Price]]*(1 -CrashDiscount)</f>
        <v>118.05649999999999</v>
      </c>
      <c r="F246" s="26" t="s">
        <v>906</v>
      </c>
      <c r="G246" s="26" t="s">
        <v>49</v>
      </c>
      <c r="H246" s="149"/>
      <c r="I246" s="194">
        <v>44770.28125</v>
      </c>
      <c r="J246" s="195">
        <v>44770.28125</v>
      </c>
      <c r="K246" s="196"/>
      <c r="L246" s="326"/>
      <c r="M246" s="140"/>
      <c r="N246" s="140"/>
      <c r="O246" s="140"/>
      <c r="P246" s="22"/>
      <c r="Q246" s="25"/>
      <c r="R246" s="4" t="str">
        <f>IF(SnapshotTable[[#This Row],[Equity Basis Total]] &gt; 0, SnapshotTable[[#This Row],[Equity Basis Total]] / SnapshotTable[[#This Row],[Equity Shares]], "")</f>
        <v/>
      </c>
      <c r="S246" s="269">
        <f>SnapshotTable[[#This Row],[Last Price]] * SnapshotTable[[#This Row],[Equity Shares]]</f>
        <v>0</v>
      </c>
      <c r="T246" s="269">
        <f>SnapshotTable[[#This Row],[Equity Value]] - SnapshotTable[[#This Row],[Equity Basis Total]]</f>
        <v>0</v>
      </c>
      <c r="U246" s="270" t="str">
        <f>IF(SnapshotTable[[#This Row],[Equity Basis Total]] &gt; 0, SnapshotTable[[#This Row],[Equity G/L]] / SnapshotTable[[#This Row],[Equity Basis Total]], "")</f>
        <v/>
      </c>
      <c r="V246" s="268"/>
      <c r="W246" s="268"/>
      <c r="X246" s="4" t="str">
        <f>IF(AND(ISNUMBER(SnapshotTable[[#This Row],[Equity Basis Per Share]]),ISNUMBER(SnapshotTable[[#This Row],[Equity Target]])),SnapshotTable[[#This Row],[Equity Target]]-SnapshotTable[[#This Row],[Equity Basis Per Share]],"")</f>
        <v/>
      </c>
      <c r="Y246" s="4" t="str">
        <f>IF(AND(ISNUMBER(SnapshotTable[[#This Row],[Equity Basis Per Share]]),ISNUMBER(SnapshotTable[[#This Row],[Equity Stop Loss]])),SnapshotTable[[#This Row],[Equity Stop Loss]]-SnapshotTable[[#This Row],[Equity Basis Per Share]],"")</f>
        <v/>
      </c>
      <c r="Z246" s="275" t="str">
        <f>IFERROR( TEXT(SnapshotTable[[#This Row],[Equity Max Gain Per Share]] /ABS( SnapshotTable[[#This Row],[Equity Max Loss Per Share]]),"0.0 " ) &amp; " : 1", "")</f>
        <v/>
      </c>
      <c r="AA246" s="31" t="str">
        <f>IF(ISNUMBER(SnapshotTable[[#This Row],[Equity Max Gain Per Share]]),SnapshotTable[[#This Row],[Equity Max Gain Per Share]] * SnapshotTable[[#This Row],[Equity Shares]],"")</f>
        <v/>
      </c>
      <c r="AB246" s="31" t="str">
        <f>IF(ISNUMBER(SnapshotTable[[#This Row],[Equity Max Loss Per Share]]),SnapshotTable[[#This Row],[Equity Max Loss Per Share]] * SnapshotTable[[#This Row],[Equity Shares]],"")</f>
        <v/>
      </c>
      <c r="AC246" s="150"/>
      <c r="AD246" s="151"/>
      <c r="AE246" s="31">
        <f>(SnapshotTable[[#This Row],[Annual Dividend Per Share]] / 4) * SnapshotTable[[#This Row],[Equity Shares]]</f>
        <v>0</v>
      </c>
      <c r="AF246" s="31">
        <f>SnapshotTable[[#This Row],[Quarterly Div $]] * 4</f>
        <v>0</v>
      </c>
      <c r="AG246" s="7">
        <f>IF(SnapshotTable[[#This Row],[Annual Dividend Per Share]]&gt;0, SnapshotTable[[#This Row],[Annual Dividend Per Share]]  / SnapshotTable[[#This Row],[Last Price]], 0)</f>
        <v>0</v>
      </c>
      <c r="AH246" s="151"/>
      <c r="AI246" s="5"/>
      <c r="AJ246" s="138">
        <v>127.41</v>
      </c>
      <c r="AK246" s="152" t="str">
        <f>IF(ISNUMBER( SnapshotTable[[#This Row],[EBF Target]]),(SnapshotTable[[#This Row],[EBF Target]] - SnapshotTable[[#This Row],[Last Price]]) / SnapshotTable[[#This Row],[Last Price]], "")</f>
        <v/>
      </c>
      <c r="AL246" s="152" t="str">
        <f>IF(AND(SnapshotTable[[#This Row],[Equity Basis Total]] &gt; 0,ISNUMBER( SnapshotTable[[#This Row],[Long Term Target]])), SnapshotTable[[#This Row],[From Basis $]] / SnapshotTable[[#This Row],[Equity Basis Total]], "")</f>
        <v/>
      </c>
      <c r="AM246" s="9">
        <f>IF( AND(SnapshotTable[[#This Row],[Equity Shares]] &gt;0,ISNUMBER( SnapshotTable[[#This Row],[Long Term Target]])),(SnapshotTable[[#This Row],[Equity Shares]] * SnapshotTable[[#This Row],[Long Term Target]]) - SnapshotTable[[#This Row],[Equity Basis Total]],0)</f>
        <v>0</v>
      </c>
      <c r="AN246" s="9">
        <f>IF( AND(SnapshotTable[[#This Row],[Equity Shares]] &gt;0,ISNUMBER( SnapshotTable[[#This Row],[Long Term Target]])),(SnapshotTable[[#This Row],[Equity Shares]]*SnapshotTable[[#This Row],[Long Term Target]]) - SnapshotTable[[#This Row],[Equity Value]],0)</f>
        <v>0</v>
      </c>
      <c r="AO246" s="152">
        <f>IF(AND(ISNUMBER( SnapshotTable[[#This Row],[Long Term Target]]), ISNUMBER(SnapshotTable[[#This Row],[Last Price]])),(SnapshotTable[[#This Row],[Long Term Target]] - SnapshotTable[[#This Row],[Last Price]]) / SnapshotTable[[#This Row],[Last Price]], "")</f>
        <v>-8.2655338757289878E-2</v>
      </c>
      <c r="AP246" s="5"/>
      <c r="AQ246" s="38"/>
      <c r="AR246" s="5"/>
      <c r="AS246" s="38"/>
      <c r="AT246" s="146"/>
      <c r="AU246" s="187" t="str">
        <f>IF(OR(SnapshotTable[[#This Row],[LP No Fill]]="Y",SnapshotTable[[#This Row],[SP Is Filled]],SnapshotTable[[#This Row],[LC Not Filled]]="Y",SnapshotTable[[#This Row],[SC Is Filled]]),"Y","")</f>
        <v/>
      </c>
      <c r="AV246" s="219"/>
      <c r="AW246" s="225"/>
      <c r="AX246" s="220"/>
      <c r="AY246" s="219" t="str">
        <f>IF(SnapshotTable[[#This Row],[Implied Move]]&gt;0, SnapshotTable[[#This Row],[Last Price]]-SnapshotTable[[#This Row],[Implied Move]],"")</f>
        <v/>
      </c>
      <c r="AZ246" s="219" t="str">
        <f>IF(SnapshotTable[[#This Row],[Implied Move]]&gt;0, SnapshotTable[[#This Row],[Last Price]] + SnapshotTable[[#This Row],[Implied Move]],"")</f>
        <v/>
      </c>
      <c r="BA246" s="331"/>
      <c r="BB246" s="347"/>
      <c r="BC24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6" s="351"/>
      <c r="BE246" s="138"/>
      <c r="BF246" s="166"/>
      <c r="BG246" s="167"/>
      <c r="BH246" s="167"/>
      <c r="BI246" s="221"/>
      <c r="BJ246" s="153">
        <f>IF(SnapshotTable[[#This Row],[LP Qty]] &gt; 0, SnapshotTable[[#This Row],[LP Qty]] * SnapshotTable[[#This Row],[LP Book Price]] * 100,0)</f>
        <v>0</v>
      </c>
      <c r="BK246" s="136">
        <f>IF(SnapshotTable[[#This Row],[LP Premium]] &gt; 0, SnapshotTable[[#This Row],[LP Qty]] * SnapshotTable[[#This Row],[LP Strike Price]] * 100,0)</f>
        <v>0</v>
      </c>
      <c r="BL246" s="154"/>
      <c r="BM246" s="385" t="str">
        <f>IF(SnapshotTable[[#This Row],[LP Premium]] &gt; 0,SnapshotTable[[#This Row],[LP Exp Date]]-MAX(SnapshotTable[[#This Row],[LP Book Date]], SnapshotTable[[#This Row],[LP Fill Date]]),"")</f>
        <v/>
      </c>
      <c r="BN246" s="385" t="str">
        <f>IF(ISNUMBER( SnapshotTable[[#This Row],[LP Term]]), SnapshotTable[[#This Row],[LP Exp Date]] - MockToday,"")</f>
        <v/>
      </c>
      <c r="BO246" s="163" t="str">
        <f>IF(AND(SnapshotTable[[#This Row],[LP Exp Date]]&gt;0, SnapshotTable[[#This Row],[LP Strike Price]]&gt;0,SnapshotTable[[#This Row],[LP Qty]]&gt;0,SnapshotTable[[#This Row],[LP Book Date]]&gt;0,SnapshotTable[[#This Row],[LP Book Price]]&gt;0,SnapshotTable[[#This Row],[LP Fill Date]]=0),"Y","")</f>
        <v/>
      </c>
      <c r="BP246" s="31" t="str">
        <f>IF(AND(SnapshotTable[[#This Row],[LP No Fill]]&lt;&gt;"Y",SnapshotTable[[#This Row],[LP Contract Value]]&gt;0, SnapshotTable[[#This Row],[LP Qty]]&gt;0), SnapshotTable[[#This Row],[LP Contract Value]]*SnapshotTable[[#This Row],[LP Qty]]*100,"")</f>
        <v/>
      </c>
      <c r="BQ246" s="13"/>
      <c r="BR246" s="5" t="str">
        <f>IF(SnapshotTable[[#This Row],[SP Exp Date]]&lt;&gt;"",TRUNC(SnapshotTable[[#This Row],[Last Price]]),"")</f>
        <v/>
      </c>
      <c r="BS246" s="36"/>
      <c r="BT246" s="147"/>
      <c r="BU246" s="13"/>
      <c r="BV246" s="5"/>
      <c r="BW246" s="419" t="b">
        <f>AND(ISNUMBER(SnapshotTable[[#This Row],[SP Exp Date]]), ISNUMBER(SnapshotTable[[#This Row],[SP Strike Price]]), ISNUMBER(SnapshotTable[[#This Row],[SP Qty]]), ISNUMBER(SnapshotTable[[#This Row],[SP Book Date]]), ISNUMBER(SnapshotTable[[#This Row],[SP Book Price]]))</f>
        <v>0</v>
      </c>
      <c r="BX246" s="419" t="b">
        <f>AND(SnapshotTable[[#This Row],[SP Is Booked]], NOT(ISBLANK(SnapshotTable[[#This Row],[SP Fill Date]])))</f>
        <v>0</v>
      </c>
      <c r="BY246" s="33">
        <f>IF(SnapshotTable[[#This Row],[SP Is Booked]], SnapshotTable[[#This Row],[SP Qty]] * SnapshotTable[[#This Row],[SP Book Price]] * 100, 0)</f>
        <v>0</v>
      </c>
      <c r="BZ246" s="369"/>
      <c r="CA246" s="368">
        <f>SnapshotTable[[#This Row],[LP Qty]]</f>
        <v>0</v>
      </c>
      <c r="CB246" s="4" t="str">
        <f>IF(SnapshotTable[[#This Row],[SP Is Booked]], SnapshotTable[[#This Row],[SP Strike Price]] - SnapshotTable[[#This Row],[SP Book Price]], "")</f>
        <v/>
      </c>
      <c r="CC246" s="19" t="str">
        <f>IF(SnapshotTable[[#This Row],[SP Is Booked]],SnapshotTable[[#This Row],[SP Exp Date]]-MAX(SnapshotTable[[#This Row],[SP Book Date]], SnapshotTable[[#This Row],[SP Fill Date]]),"")</f>
        <v/>
      </c>
      <c r="CD246" s="7" t="str">
        <f>IF(SnapshotTable[[#This Row],[SP Is Booked]], SnapshotTable[[#This Row],[SP Book Price]]/SnapshotTable[[#This Row],[SP Strike Price]], "")</f>
        <v/>
      </c>
      <c r="CE246" s="7" t="str">
        <f>IF(ISNUMBER(SnapshotTable[[#This Row],[SP ROO Term]]),SnapshotTable[[#This Row],[SP ROO Term]]*(365/SnapshotTable[[#This Row],[SP Term]]),"")</f>
        <v/>
      </c>
      <c r="CF246" s="236">
        <f>SnapshotTable[[#This Row],[LP Strike Price]] * SnapshotTable[[#This Row],[LP Qty]] * 100</f>
        <v>0</v>
      </c>
      <c r="CG246" s="31" t="e">
        <f>IF(ISNUMBER(SnapshotTable[[#This Row],[SP Premium]]), (SnapshotTable[[#This Row],[SP Qty]] * SnapshotTable[[#This Row],[SP Strike Price]]* 100) - SnapshotTable[[#This Row],[LP Protection]], 0)</f>
        <v>#VALUE!</v>
      </c>
      <c r="CH246" s="7" t="str">
        <f>IF(ISNUMBER(SnapshotTable[[#This Row],[SP Break Even]]),-1 * (SnapshotTable[[#This Row],[SP Break Even]] - SnapshotTable[[#This Row],[Last Price]]) / SnapshotTable[[#This Row],[Last Price]], "")</f>
        <v/>
      </c>
      <c r="CI246" s="31">
        <f>IF(AND(ISNUMBER((SnapshotTable[[#This Row],[SP Potential Spend]])), SnapshotTable[[#This Row],[SP Strike Price]] &gt; SnapshotTable[[#This Row],[Last Price]], SnapshotTable[[#This Row],[SP Is Filled]]), SnapshotTable[[#This Row],[SP Potential Spend]] -  SnapshotTable[[#This Row],[LP Max Value]], 0)</f>
        <v>0</v>
      </c>
      <c r="CJ246" s="244"/>
      <c r="CK246" s="31" t="str">
        <f>IF(ISNUMBER(SnapshotTable[[#This Row],[SP Potential Spend]]),IF(ISNUMBER(SnapshotTable[[#This Row],[SP POW]]), SnapshotTable[[#This Row],[SP POW]] * SnapshotTable[[#This Row],[SP Potential Spend]], SnapshotTable[[#This Row],[SP Potential Spend]]), "")</f>
        <v/>
      </c>
      <c r="CL246" s="164" t="e">
        <f>IF(NOT(SnapshotTable[[#This Row],[SP Is Filled]]),(SnapshotTable[[#This Row],[SP Qty]] * SnapshotTable[[#This Row],[SP Strike Price]] * 100) - SnapshotTable[[#This Row],[LP Max Value]],"")</f>
        <v>#VALUE!</v>
      </c>
      <c r="CM246" s="31" t="str">
        <f>IF(SnapshotTable[[#This Row],[SP Actual Spend]]&lt;&gt;0, ((SnapshotTable[[#This Row],[SP Strike Price]]-SnapshotTable[[#This Row],[Last Price]]) *(SnapshotTable[[#This Row],[SP Qty]]*100) - SnapshotTable[[#This Row],[SP Premium]]) * - 1, "")</f>
        <v/>
      </c>
      <c r="CN246" s="154"/>
      <c r="CO246" s="369"/>
      <c r="CP246" s="4" t="str">
        <f>IF(SnapshotTable[[#This Row],[SP Is Filled]], btc_max_buyback_amount(SnapshotTable[[#This Row],[SP Fill Date]],SnapshotTable[[#This Row],[SP Exp Date]], SnapshotTable[[#This Row],[SP Book Price]]),"")</f>
        <v/>
      </c>
      <c r="CQ246" s="78"/>
      <c r="CR24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6" s="155" t="str">
        <f>IF(SnapshotTable[[#This Row],[SP Is Filled]], btc_next_cutoff_date(SnapshotTable[[#This Row],[SP Fill Date]],SnapshotTable[[#This Row],[SP Exp Date]]),"")</f>
        <v/>
      </c>
      <c r="CT246" s="235" t="str" cm="1">
        <f t="array" ref="CT246">IF(SnapshotTable[[#This Row],[SP Is Filled]], btc_should_buy_back(SnapshotTable[[#This Row],[SP Fill Date]], SnapshotTable[[#This Row],[SP Exp Date]], SnapshotTable[[#This Row],[SP Book Price]], SnapshotTable[[#This Row],[SP Current Ask]], MockToday, SnapshotTable[[#This Row],[SP Buyback Override]]),"")</f>
        <v/>
      </c>
      <c r="CU246" s="156"/>
      <c r="CV246" s="235"/>
      <c r="CW246" s="378" t="str">
        <f>IF(ISNUMBER( SnapshotTable[[#This Row],[SP Term]]), SnapshotTable[[#This Row],[SP Exp Date]] - MockToday,"")</f>
        <v/>
      </c>
      <c r="CX246" s="31" t="str">
        <f>IF(SnapshotTable[[#This Row],[SP Is Filled]],SnapshotTable[[#This Row],[SP Buyback Price to Use]] * 100 * SnapshotTable[[#This Row],[SP Qty]], "")</f>
        <v/>
      </c>
      <c r="CY246" s="4" t="str">
        <f>IF(ISNUMBER(SnapshotTable[[#This Row],[SP Strike Price]]), SnapshotTable[[#This Row],[SP Strike Price]] * (1 - SP_MaxLoss_StrikePct), "")</f>
        <v/>
      </c>
      <c r="CZ246" s="31" t="str">
        <f>IF(ISNUMBER(SnapshotTable[[#This Row],[SP Strike  Stop Per Share]]),SnapshotTable[[#This Row],[SP Premium]] - ((SnapshotTable[[#This Row],[SP Strike Price]]-SnapshotTable[[#This Row],[SP Strike  Stop Per Share]]) *(SnapshotTable[[#This Row],[SP Qty]] * 100)),"")</f>
        <v/>
      </c>
      <c r="DA246" s="4" t="str">
        <f>IF(AND(ISNUMBER(SnapshotTable[[#This Row],[SP Premium]]),SnapshotTable[[#This Row],[SP Premium]]&gt;0), SnapshotTable[[#This Row],[SP Book Price]] * (1 + SP_MaxLoss_OptionPct), "")</f>
        <v/>
      </c>
      <c r="DB246" s="31" t="str">
        <f>IF(ISNUMBER(SnapshotTable[[#This Row],[SP Option  Stop Contract]]),(SnapshotTable[[#This Row],[SP Option  Stop Contract]] *(SnapshotTable[[#This Row],[SP Qty]] * 100) - SnapshotTable[[#This Row],[SP Premium]]),"")</f>
        <v/>
      </c>
      <c r="DC246" s="4"/>
      <c r="DD246" s="4"/>
      <c r="DE246" s="4" t="str">
        <f>IF(AND(SnapshotTable[[#This Row],[SP Qty]]&gt;0, SnapshotTable[[#This Row],[SP Stop To Use]]&gt;0),SnapshotTable[[#This Row],[SP Premium]] - ( SnapshotTable[[#This Row],[SP Qty]] * SnapshotTable[[#This Row],[SP Stop To Use]] * 100), "")</f>
        <v/>
      </c>
      <c r="DF246" s="31" t="str">
        <f>IF(AND(SnapshotTable[[#This Row],[SP Qty]]&gt;0,SnapshotTable[[#This Row],[SP Current Ask]]&gt;0), SnapshotTable[[#This Row],[SP Qty]] * SnapshotTable[[#This Row],[SP Current Ask]] * -100, "")</f>
        <v/>
      </c>
      <c r="DG246" s="31" t="str">
        <f>IF(ISNUMBER((SnapshotTable[[#This Row],[SP Total Value]])), SnapshotTable[[#This Row],[SP Premium]] + SnapshotTable[[#This Row],[SP Total Value]], "")</f>
        <v/>
      </c>
      <c r="DH246" s="294" t="str">
        <f>IF(ISNUMBER((SnapshotTable[[#This Row],[SP Total Value]])), SnapshotTable[[#This Row],[SP Gain Loss]] / SnapshotTable[[#This Row],[SP Premium]], "")</f>
        <v/>
      </c>
      <c r="DI246" s="406"/>
      <c r="DJ246" s="138"/>
      <c r="DK246" s="148"/>
      <c r="DL246" s="147"/>
      <c r="DM246" s="147"/>
      <c r="DO246" s="31">
        <f>IF(SnapshotTable[[#This Row],[LC Symbol Count]]=1, SnapshotTable[[#This Row],[LC Qty]] * SnapshotTable[[#This Row],[LC Book Price]] * 100, 0)</f>
        <v>0</v>
      </c>
      <c r="DP246" s="289" t="str">
        <f>IF(AND(SnapshotTable[[#This Row],[LC Exp Date]]&gt;0, SnapshotTable[[#This Row],[LC Strike Price]]&gt;0,SnapshotTable[[#This Row],[LC Qty]]&gt;0,SnapshotTable[[#This Row],[LC Book Date]]&gt;0,SnapshotTable[[#This Row],[LC Book Price]]&gt;0,SnapshotTable[[#This Row],[LC Fill Date]]=0),"Y","")</f>
        <v/>
      </c>
      <c r="DQ246" s="386" t="str">
        <f>IF(SnapshotTable[[#This Row],[LC Premium]] &gt; 0,SnapshotTable[[#This Row],[LC Exp Date]]-MAX(SnapshotTable[[#This Row],[LC Book Date]], SnapshotTable[[#This Row],[LC Fill Date]]),"")</f>
        <v/>
      </c>
      <c r="DR246" s="386" t="str">
        <f>IF(ISNUMBER(SnapshotTable[[#This Row],[LC Term]]), SnapshotTable[[#This Row],[LC Exp Date]] - MockToday, "")</f>
        <v/>
      </c>
      <c r="DS246" s="234" t="str">
        <f>IF(SnapshotTable[[#This Row],[LC Premium]]&gt;0,SnapshotTable[[#This Row],[LC Strike Price]] + SnapshotTable[[#This Row],[LC Book Price]],"")</f>
        <v/>
      </c>
      <c r="DU246" s="9" t="str">
        <f>IF(AND(SnapshotTable[[#This Row],[LC Symbol Count]]&gt;0, SnapshotTable[[#This Row],[LC Contract Value]]&gt;0), SnapshotTable[[#This Row],[LC Contract Value]] * SnapshotTable[[#This Row],[LC Qty]] * 100, "")</f>
        <v/>
      </c>
      <c r="DV246" s="9" t="str">
        <f>IF(AND(ISNUMBER(SnapshotTable[[#This Row],[LC Total Value]]), SnapshotTable[[#This Row],[LC Not Filled]]&lt;&gt;"Y"), SnapshotTable[[#This Row],[LC Total Value]]-SnapshotTable[[#This Row],[LC Premium]],"")</f>
        <v/>
      </c>
      <c r="DW246" s="240" t="str">
        <f>IF(ISNUMBER(SnapshotTable[[#This Row],[LC Actual Gain Loss]]), SnapshotTable[[#This Row],[LC Actual Gain Loss]] / SnapshotTable[[#This Row],[LC Premium]],"")</f>
        <v/>
      </c>
      <c r="DX246" s="284" t="str">
        <f>IF(ISNUMBER(SnapshotTable[[#This Row],[LC Book Price]]),SnapshotTable[[#This Row],[LC Book Price]] * 1.5,"")</f>
        <v/>
      </c>
      <c r="DY246" s="265" t="str">
        <f>IF(SnapshotTable[[#This Row],[LC Premium]]&gt;0, SnapshotTable[[#This Row],[LC Next Target]] * SnapshotTable[[#This Row],[LC Qty]] * 100,"")</f>
        <v/>
      </c>
      <c r="DZ246" s="265" t="str">
        <f>IF(ISNUMBER(SnapshotTable[[#This Row],[LC Target Gross]]), SnapshotTable[[#This Row],[LC Target Gross]] - SnapshotTable[[#This Row],[LC Premium]], "")</f>
        <v/>
      </c>
      <c r="EA246" s="305" t="str">
        <f>IF(ISNUMBER(SnapshotTable[[#This Row],[LC Target Gain Loss]]), SnapshotTable[[#This Row],[LC Target Gain Loss]]/SnapshotTable[[#This Row],[LC Premium]], "")</f>
        <v/>
      </c>
      <c r="EB246" s="262"/>
      <c r="EC246" s="283" t="str">
        <f>IF(SnapshotTable[[#This Row],[LC Premium]]&gt;0, SnapshotTable[[#This Row],[LC Book Price]] * (1 - LC_StopLoss_Pct),"")</f>
        <v/>
      </c>
      <c r="ED246" s="284"/>
      <c r="EE246" s="283" t="str">
        <f>IF(ISNUMBER(SnapshotTable[[#This Row],[LC Contract Value]]),IF(ISNUMBER(SnapshotTable[[#This Row],[LC Stop Loss Override]]), SnapshotTable[[#This Row],[LC Stop Loss Override]],SnapshotTable[[#This Row],[LC Stop Loss Calc Target]]),"")</f>
        <v/>
      </c>
      <c r="EF246" s="31" t="str">
        <f>IF(ISNUMBER(SnapshotTable[[#This Row],[LC Stop  To Use]]), (SnapshotTable[[#This Row],[LC Stop  To Use]] * SnapshotTable[[#This Row],[LC Qty]] * 100),"")</f>
        <v/>
      </c>
      <c r="EG246" s="9" t="str">
        <f>IF(ISNUMBER(SnapshotTable[[#This Row],[LC Total Value]]),SnapshotTable[[#This Row],[LC Stop Loss Amount]] - SnapshotTable[[#This Row],[LC Premium]],"")</f>
        <v/>
      </c>
      <c r="EH246" s="9">
        <f>IF(ISNUMBER(SnapshotTable[[#This Row],[LC Premium]]), SnapshotTable[[#This Row],[LC Qty]] * 100 * SnapshotTable[[#This Row],[LC Strike Price]], "")</f>
        <v>0</v>
      </c>
      <c r="EI246" s="240" t="str">
        <f>IF(AND(ISNUMBER(SnapshotTable[[#This Row],[LC Total Value]]),SnapshotTable[[#This Row],[LC Total Value]]&gt;0),SnapshotTable[[#This Row],[LC Stop Gain Loss]]  / SnapshotTable[[#This Row],[LC Premium]],"")</f>
        <v/>
      </c>
      <c r="EJ246" s="35">
        <f>IF(ISNUMBER(SnapshotTable[[#This Row],[Equity Shares]]),TRUNC(SnapshotTable[[#This Row],[Equity Shares]] / 100),0) + SnapshotTable[[#This Row],[LC Qty]]</f>
        <v>0</v>
      </c>
      <c r="EK246" s="147"/>
      <c r="EL246" s="138" t="str">
        <f>IF(SnapshotTable[[#This Row],[SC Exp Date]]&lt;&gt;"",TRUNC(SnapshotTable[[#This Row],[Last Price]]),"")</f>
        <v/>
      </c>
      <c r="EM246" s="148"/>
      <c r="EN246" s="147"/>
      <c r="EO246" s="147"/>
      <c r="EP246" s="138"/>
      <c r="EQ246" s="419" t="b">
        <f>AND(ISNUMBER(SnapshotTable[[#This Row],[SC Exp Date]]), ISNUMBER(SnapshotTable[[#This Row],[SC Strike Price]]), ISNUMBER(SnapshotTable[[#This Row],[SC Qty]]), ISNUMBER(SnapshotTable[[#This Row],[SC Book Date]]), ISNUMBER(SnapshotTable[[#This Row],[SC Book Price]]))</f>
        <v>0</v>
      </c>
      <c r="ER246" s="419" t="b">
        <f>AND(SnapshotTable[[#This Row],[SC Is Booked]], NOT(ISBLANK(SnapshotTable[[#This Row],[SC Fill Date]])))</f>
        <v>0</v>
      </c>
      <c r="ES246" s="370"/>
      <c r="ET246" s="34" t="str">
        <f>IF(AND(ISNUMBER(SnapshotTable[[#This Row],[SC Exp Date]]), ISNUMBER(SnapshotTable[[#This Row],[SC Book Date]])), SnapshotTable[[#This Row],[SC Exp Date]] - MAX(SnapshotTable[[#This Row],[SC Book Date]], SnapshotTable[[#This Row],[SC Fill Date]]) + 1, "")</f>
        <v/>
      </c>
      <c r="EU246" s="34" t="str">
        <f>IF(ISNUMBER(SnapshotTable[[#This Row],[SC Term]]), SnapshotTable[[#This Row],[SC Exp Date]]- MockToday, "")</f>
        <v/>
      </c>
      <c r="EV246" s="31">
        <f>IF(SnapshotTable[[#This Row],[SC Is Booked]], SnapshotTable[[#This Row],[SC Qty]] * SnapshotTable[[#This Row],[SC Book Price]] * 100, 0)</f>
        <v>0</v>
      </c>
      <c r="EW246" s="4" t="str">
        <f>IF(AND(ISNUMBER(SnapshotTable[[#This Row],[Last Price]]), ISNUMBER( SnapshotTable[[#This Row],[SC Book Price]])), SnapshotTable[[#This Row],[Last Price]] - SnapshotTable[[#This Row],[SC Book Price]],"")</f>
        <v/>
      </c>
      <c r="EX246" s="234" t="str">
        <f>IF(SnapshotTable[[#This Row],[SC Is Booked]],IF(SnapshotTable[[#This Row],[SC Intrinsic Value]] &gt; 0, SnapshotTable[[#This Row],[SC Strike Price]], SnapshotTable[[#This Row],[Last Price]]), "")</f>
        <v/>
      </c>
      <c r="EY246" s="4">
        <f>IF(SnapshotTable[[#This Row],[SC Is Booked]], (MinimumPremiumRequired * SnapshotTable[[#This Row],[SC Basis]] * SnapshotTable[[#This Row],[SC Term]]), 0)</f>
        <v>0</v>
      </c>
      <c r="EZ246" s="283"/>
      <c r="FA246" s="218"/>
      <c r="FB246" s="370"/>
      <c r="FC246" s="4">
        <f>IF(SnapshotTable[[#This Row],[SC Is Filled]], btc_max_buyback_amount(SnapshotTable[[#This Row],[SC Fill Date]],SnapshotTable[[#This Row],[SC Exp Date]], SnapshotTable[[#This Row],[SC Book Price]]),0)</f>
        <v>0</v>
      </c>
      <c r="FD246" s="5"/>
      <c r="FE246" s="144" t="str">
        <f>IF(SnapshotTable[[#This Row],[SC Is Filled]], btc_next_cutoff_date(SnapshotTable[[#This Row],[SC Fill Date]],SnapshotTable[[#This Row],[SC Exp Date]]),"")</f>
        <v/>
      </c>
      <c r="FF246" s="4" t="str" cm="1">
        <f t="array" ref="FF246">IF(SnapshotTable[[#This Row],[SC Is Filled]], btc_should_buy_back(SnapshotTable[[#This Row],[SC Fill Date]], SnapshotTable[[#This Row],[SC Exp Date]], SnapshotTable[[#This Row],[SC Book Price]], SnapshotTable[[#This Row],[SC Current Ask]], MockToday, SnapshotTable[[#This Row],[SC Buyback Override]]),"")</f>
        <v/>
      </c>
      <c r="FG246" s="4">
        <f>IF(SnapshotTable[[#This Row],[SC Is Filled]], MAX(0,SnapshotTable[[#This Row],[Last Price]]  - SnapshotTable[[#This Row],[SC Strike Price]]), 0)</f>
        <v>0</v>
      </c>
      <c r="FH246" s="382">
        <f>IF(SnapshotTable[[#This Row],[SC Is Filled]], IF(ISNUMBER(SnapshotTable[[#This Row],[SC Current Ask]]), SnapshotTable[[#This Row],[SC Current Ask]], SnapshotTable[[#This Row],[SC Book Price]]) - SnapshotTable[[#This Row],[SC Intrinsic Value]], 0)</f>
        <v>0</v>
      </c>
      <c r="FI246" s="143"/>
      <c r="FJ246" s="32" t="str">
        <f>IF(SnapshotTable[[#This Row],[SC Is Filled]],100 * SnapshotTable[[#This Row],[SC Qty]] * IF(ISNUMBER(SnapshotTable[[#This Row],[SC Buyback Override]]), SnapshotTable[[#This Row],[SC Buyback Override]], SnapshotTable[[#This Row],[SC Current Ask]]), "")</f>
        <v/>
      </c>
      <c r="FK246" s="250" t="str">
        <f>IF(SnapshotTable[[#This Row],[SC Time Val]]&gt;0, SnapshotTable[[#This Row],[SC Time Val]] / SnapshotTable[[#This Row],[Last Price]],"")</f>
        <v/>
      </c>
      <c r="FL246" s="302" t="str">
        <f>IF(SnapshotTable[[#This Row],[SC Is Booked]], ((SnapshotTable[[#This Row],[Last Price]] -SnapshotTable[[#This Row],[SC Strike Price]]) / SnapshotTable[[#This Row],[Last Price]]) * -1, "")</f>
        <v/>
      </c>
      <c r="FM246" s="157" t="str">
        <f>IF(SnapshotTable[[#This Row],[SC Is Booked]],  (SnapshotTable[[#This Row],[SC Qty]] * 100 * SnapshotTable[[#This Row],[SC Strike Price]]) - SnapshotTable[[#This Row],[SC Current Ask]], "")</f>
        <v/>
      </c>
      <c r="FN246"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6" s="157" t="str">
        <f>IF(AND(ISNUMBER(SnapshotTable[[#This Row],[SC Exercise Gross]]), ISNUMBER(SnapshotTable[[#This Row],[Equity Basis Per Share]] )), SnapshotTable[[#This Row],[SC Exercise Gross]] - SnapshotTable[[#This Row],[Equity Basis Total]] +  SnapshotTable[[#This Row],[SC Premium]], "")</f>
        <v/>
      </c>
      <c r="FP246" s="5" t="str">
        <f>IF(ISNUMBER(SnapshotTable[[#This Row],[SC Exercise Gross]]), (SnapshotTable[[#This Row],[SC Exercise Gross]]) / (SnapshotTable[[#This Row],[SC Qty]] * 100), "")</f>
        <v/>
      </c>
      <c r="FQ246" s="27" t="str">
        <f>IF(SnapshotTable[[#This Row],[SC Is Booked]],SnapshotTable[[#This Row],[SC Time Val]] /SnapshotTable[[#This Row],[SC Basis]], "")</f>
        <v/>
      </c>
      <c r="FR246" s="27" t="str" cm="1">
        <f t="array" ref="FR246">IF(AND(ISNUMBER(SnapshotTable[[#This Row],[SC Term]]),ISNUMBER(SnapshotTable[[#This Row],[SC Simple ROO]])), EllmanAnnualize(SnapshotTable[[#This Row],[SC DTE]], SnapshotTable[[#This Row],[SC Simple ROO]] ),"")</f>
        <v/>
      </c>
      <c r="FS246" s="4" t="e">
        <f>IF(SnapshotTable[[#This Row],[SC Strike Price]] &gt; SnapshotTable[[#This Row],[Last Price]], SnapshotTable[[#This Row],[SC Strike Price]] - SnapshotTable[[#This Row],[Last Price]],0)</f>
        <v>#VALUE!</v>
      </c>
      <c r="FT246" s="27" t="e">
        <f>IF(AND(ISNUMBER(SnapshotTable[[#This Row],[SC Upside Potential]]), SnapshotTable[[#This Row],[SC Upside Potential]] &gt; 0),(SnapshotTable[[#This Row],[SC Upside Potential]]/ SnapshotTable[[#This Row],[ACB]]),"")</f>
        <v>#VALUE!</v>
      </c>
      <c r="FU246" s="333" t="str">
        <f>IF(SnapshotTable[[#This Row],[SC Intrinsic Value]] &gt; 0,SnapshotTable[[#This Row],[SC Intrinsic Value]],"")</f>
        <v/>
      </c>
      <c r="FV246" s="27" t="str">
        <f>IF(AND( ISNUMBER( SnapshotTable[[#This Row],[ACB]]),ISNUMBER(SnapshotTable[[#This Row],[SC Downside Protect]])),SnapshotTable[[#This Row],[SC Downside Protect]] / SnapshotTable[[#This Row],[ACB]],"")</f>
        <v/>
      </c>
      <c r="FW246" s="236" t="str">
        <f>IF(AND(ISNUMBER(SnapshotTable[[#This Row],[SC Simple ROO]]),SnapshotTable[[#This Row],[SC Simple ROO]] &gt; 0), SnapshotTable[[#This Row],[SC Premium]] + (SnapshotTable[[#This Row],[SC Qty]] * SnapshotTable[[#This Row],[SC Upside Potential]]), "")</f>
        <v/>
      </c>
      <c r="FX246" s="302" t="str" cm="1">
        <f t="array" ref="FX246">IF(ISNUMBER(SnapshotTable[[#This Row],[SC Max Dollars]]), annualize(SnapshotTable[[#This Row],[SC Term]],(SnapshotTable[[#This Row],[SC Max Dollars]]/SnapshotTable[[#This Row],[SC Basis]])),"")</f>
        <v/>
      </c>
      <c r="FY246" s="236" t="str">
        <f>IF(AND(SnapshotTable[[#This Row],[SC Qty]]&gt;0,SnapshotTable[[#This Row],[SC Current Ask]]&gt;0), SnapshotTable[[#This Row],[SC Qty]] * SnapshotTable[[#This Row],[SC Current Ask]] * -100, "")</f>
        <v/>
      </c>
      <c r="FZ246" s="235" t="str">
        <f>IF(ISNUMBER((SnapshotTable[[#This Row],[SC Current Value]])), SnapshotTable[[#This Row],[SC Premium]] + SnapshotTable[[#This Row],[SC Current Value]], "")</f>
        <v/>
      </c>
      <c r="GA246" s="294" t="str">
        <f>IFERROR( IF(ISNUMBER((SnapshotTable[[#This Row],[SC Current Value]])), SnapshotTable[[#This Row],[SC Gain Loss]] / SnapshotTable[[#This Row],[SC Premium]], ""), "")</f>
        <v/>
      </c>
      <c r="GB246" s="42">
        <f>SnapshotTable[[#This Row],[Equity Shares]] * SaleSharesToConsiderPercentage</f>
        <v>0</v>
      </c>
      <c r="GC246" s="40">
        <f>SnapshotTable[[#This Row],[Long Term Target]] * SellingPriceToConsiderBasedOnTargetPercentage</f>
        <v>121.03949999999999</v>
      </c>
      <c r="GD246" s="40">
        <f>SnapshotTable[[#This Row],[Last Price]] * (1+ SellingPriceToConsiderBasedOnTargetPercentage)</f>
        <v>270.83549999999997</v>
      </c>
      <c r="GE246" s="41"/>
      <c r="GF246" s="40"/>
      <c r="GG246" s="31">
        <f>SnapshotTable[[#This Row],[Booked Sale Shares]] * SnapshotTable[[#This Row],[Booked Sale Price]]</f>
        <v>0</v>
      </c>
      <c r="GH246" s="31" t="str">
        <f>IF(SnapshotTable[[#This Row],[Equity Basis Total]] &gt; 0, SnapshotTable[[#This Row],[Equity Basis Per Share]] * SnapshotTable[[#This Row],[Booked Sale Shares]], "")</f>
        <v/>
      </c>
      <c r="GI246" s="31">
        <f>IF(SnapshotTable[[#This Row],[Sale Proceeds]]&gt;0, SnapshotTable[[#This Row],[Sale Proceeds]] - SnapshotTable[[#This Row],[Sale Basis]], 0)</f>
        <v>0</v>
      </c>
      <c r="GJ246" s="158" t="str">
        <f>IF(SnapshotTable[[#This Row],[Sale G/L]]&gt;0, SnapshotTable[[#This Row],[Sale G/L]] / SnapshotTable[[#This Row],[Sale Basis]], IF(ISNUMBER(SnapshotTable[[#This Row],[SC Exercise P&amp;L (TAX)]]), SnapshotTable[[#This Row],[SC Exercise P&amp;L (TAX)]] / SnapshotTable[[#This Row],[SC Basis]], ""))</f>
        <v/>
      </c>
      <c r="GK246" s="158"/>
      <c r="GL246" s="159" t="str">
        <f>IF(AND(SnapshotTable[[#This Row],[LP Exp Date]]&gt;0,SnapshotTable[[#This Row],[LP Strike Price]]&gt;0), [1]!ToOptionSymbol(SnapshotTable[[#This Row],[Symbol]], SnapshotTable[[#This Row],[LP Strike Price]],SnapshotTable[[#This Row],[LP Exp Date]],1), "")</f>
        <v/>
      </c>
      <c r="GM246" s="30" t="str">
        <f>IF(LEN(SnapshotTable[[#This Row],[LP Symbol]])&gt;0, 1, "")</f>
        <v/>
      </c>
      <c r="GN246" s="43" t="str">
        <f>IF(AND(SnapshotTable[[#This Row],[SP Exp Date]]&gt;0,SnapshotTable[[#This Row],[SP Strike Price]]&gt;0), [1]!ToOptionSymbol(SnapshotTable[[#This Row],[Symbol]], SnapshotTable[[#This Row],[SP Strike Price]],SnapshotTable[[#This Row],[SP Exp Date]],1), "")</f>
        <v/>
      </c>
      <c r="GO246" s="30" t="str">
        <f>IF(LEN(SnapshotTable[[#This Row],[SP Symbol]])&gt;0, 1, "")</f>
        <v/>
      </c>
      <c r="GP246" s="159" t="str">
        <f>IF(AND(SnapshotTable[[#This Row],[LC Exp Date]]&gt;0,SnapshotTable[[#This Row],[LC Strike Price]]&gt;0), [1]!ToOptionSymbol(SnapshotTable[[#This Row],[Symbol]], SnapshotTable[[#This Row],[LC Strike Price]],SnapshotTable[[#This Row],[LC Exp Date]],0), "")</f>
        <v/>
      </c>
      <c r="GQ246" s="160" t="str">
        <f>IF(LEN(SnapshotTable[[#This Row],[LC Symbol]])&gt;0, 1, "")</f>
        <v/>
      </c>
      <c r="GR246" s="159" t="str">
        <f>IF(AND(SnapshotTable[[#This Row],[SC Exp Date]]&gt;0,SnapshotTable[[#This Row],[SC Strike Price]]&gt;0), [1]!ToOptionSymbol(SnapshotTable[[#This Row],[Symbol]], SnapshotTable[[#This Row],[SC Strike Price]],SnapshotTable[[#This Row],[SC Exp Date]],0), "")</f>
        <v/>
      </c>
      <c r="GS246" s="160" t="str">
        <f>IF(LEN(SnapshotTable[[#This Row],[SC Symbol]])&gt;0, 1, "")</f>
        <v/>
      </c>
      <c r="GT246" s="161" t="str">
        <f>IF(COUNT(SnapshotTable[[#This Row],[LP Symbol Count]],SnapshotTable[[#This Row],[SP Symbol Count]],SnapshotTable[[#This Row],[LC Symbol Count]],SnapshotTable[[#This Row],[SC Symbol Count]])&gt;0, "Y", "")</f>
        <v/>
      </c>
      <c r="GU24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6" s="231" t="e">
        <f>MAX(SnapshotTable[[#This Row],[Equity Basis Total]],SnapshotTable[[#This Row],[Equity Value]]) + (SnapshotTable[[#This Row],[SP Potential Spend]]- SnapshotTable[[#This Row],[SP Premium]] + SnapshotTable[[#This Row],[LP Premium]])+ (SnapshotTable[[#This Row],[LC Premium]] - SnapshotTable[[#This Row],[SC Premium]])</f>
        <v>#VALUE!</v>
      </c>
      <c r="GW246" s="139" t="e">
        <f>IF(AND(SnapshotTable[[#This Row],[Exposure]] &lt;&gt; 0),SnapshotTable[[#This Row],[Exposure]] / SnapshotTable[[#Totals],[Exposure]], "")</f>
        <v>#VALUE!</v>
      </c>
      <c r="GX246" s="5"/>
      <c r="HE246" s="268"/>
      <c r="HF246" s="268"/>
      <c r="HK246" s="1"/>
      <c r="HL246" s="1"/>
      <c r="HM246" s="1"/>
      <c r="HN246" s="1"/>
      <c r="HO246" s="1"/>
      <c r="HP246" s="1"/>
    </row>
    <row r="247" spans="2:224" ht="12.75" hidden="1" customHeight="1" x14ac:dyDescent="0.25">
      <c r="B247" s="12" t="s">
        <v>173</v>
      </c>
      <c r="C247" s="422">
        <v>45.25</v>
      </c>
      <c r="D247" s="208" t="s">
        <v>850</v>
      </c>
      <c r="E247" s="39">
        <f>SnapshotTable[[#This Row],[Last Price]]*(1 -CrashDiscount)</f>
        <v>38.462499999999999</v>
      </c>
      <c r="F247" s="26" t="s">
        <v>64</v>
      </c>
      <c r="G247" s="26" t="s">
        <v>893</v>
      </c>
      <c r="H247" s="149"/>
      <c r="I247" s="194">
        <v>44769.680555555555</v>
      </c>
      <c r="J247" s="195">
        <v>44769.680555555555</v>
      </c>
      <c r="K247" s="196"/>
      <c r="L247" s="326" t="s">
        <v>172</v>
      </c>
      <c r="M247" s="140"/>
      <c r="N247" s="140"/>
      <c r="O247" s="140"/>
      <c r="P247" s="22"/>
      <c r="Q247" s="25"/>
      <c r="R247" s="4" t="str">
        <f>IF(SnapshotTable[[#This Row],[Equity Basis Total]] &gt; 0, SnapshotTable[[#This Row],[Equity Basis Total]] / SnapshotTable[[#This Row],[Equity Shares]], "")</f>
        <v/>
      </c>
      <c r="S247" s="269">
        <f>SnapshotTable[[#This Row],[Last Price]] * SnapshotTable[[#This Row],[Equity Shares]]</f>
        <v>0</v>
      </c>
      <c r="T247" s="269">
        <f>SnapshotTable[[#This Row],[Equity Value]] - SnapshotTable[[#This Row],[Equity Basis Total]]</f>
        <v>0</v>
      </c>
      <c r="U247" s="270" t="str">
        <f>IF(SnapshotTable[[#This Row],[Equity Basis Total]] &gt; 0, SnapshotTable[[#This Row],[Equity G/L]] / SnapshotTable[[#This Row],[Equity Basis Total]], "")</f>
        <v/>
      </c>
      <c r="V247" s="268">
        <v>70</v>
      </c>
      <c r="W247" s="268">
        <v>45</v>
      </c>
      <c r="X247" s="4" t="str">
        <f>IF(AND(ISNUMBER(SnapshotTable[[#This Row],[Equity Basis Per Share]]),ISNUMBER(SnapshotTable[[#This Row],[Equity Target]])),SnapshotTable[[#This Row],[Equity Target]]-SnapshotTable[[#This Row],[Equity Basis Per Share]],"")</f>
        <v/>
      </c>
      <c r="Y247" s="4" t="str">
        <f>IF(AND(ISNUMBER(SnapshotTable[[#This Row],[Equity Basis Per Share]]),ISNUMBER(SnapshotTable[[#This Row],[Equity Stop Loss]])),SnapshotTable[[#This Row],[Equity Stop Loss]]-SnapshotTable[[#This Row],[Equity Basis Per Share]],"")</f>
        <v/>
      </c>
      <c r="Z247" s="275" t="str">
        <f>IFERROR( TEXT(SnapshotTable[[#This Row],[Equity Max Gain Per Share]] /ABS( SnapshotTable[[#This Row],[Equity Max Loss Per Share]]),"0.0 " ) &amp; " : 1", "")</f>
        <v/>
      </c>
      <c r="AA247" s="31" t="str">
        <f>IF(ISNUMBER(SnapshotTable[[#This Row],[Equity Max Gain Per Share]]),SnapshotTable[[#This Row],[Equity Max Gain Per Share]] * SnapshotTable[[#This Row],[Equity Shares]],"")</f>
        <v/>
      </c>
      <c r="AB247" s="31" t="str">
        <f>IF(ISNUMBER(SnapshotTable[[#This Row],[Equity Max Loss Per Share]]),SnapshotTable[[#This Row],[Equity Max Loss Per Share]] * SnapshotTable[[#This Row],[Equity Shares]],"")</f>
        <v/>
      </c>
      <c r="AC247" s="150"/>
      <c r="AD247" s="151"/>
      <c r="AE247" s="31">
        <f>(SnapshotTable[[#This Row],[Annual Dividend Per Share]] / 4) * SnapshotTable[[#This Row],[Equity Shares]]</f>
        <v>0</v>
      </c>
      <c r="AF247" s="31">
        <f>SnapshotTable[[#This Row],[Quarterly Div $]] * 4</f>
        <v>0</v>
      </c>
      <c r="AG247" s="7">
        <f>IF(SnapshotTable[[#This Row],[Annual Dividend Per Share]]&gt;0, SnapshotTable[[#This Row],[Annual Dividend Per Share]]  / SnapshotTable[[#This Row],[Last Price]], 0)</f>
        <v>0</v>
      </c>
      <c r="AH247" s="151"/>
      <c r="AI247" s="5"/>
      <c r="AJ247" s="138">
        <v>68.5</v>
      </c>
      <c r="AK247" s="152" t="str">
        <f>IF(ISNUMBER( SnapshotTable[[#This Row],[EBF Target]]),(SnapshotTable[[#This Row],[EBF Target]] - SnapshotTable[[#This Row],[Last Price]]) / SnapshotTable[[#This Row],[Last Price]], "")</f>
        <v/>
      </c>
      <c r="AL247" s="152" t="str">
        <f>IF(AND(SnapshotTable[[#This Row],[Equity Basis Total]] &gt; 0,ISNUMBER( SnapshotTable[[#This Row],[Long Term Target]])), SnapshotTable[[#This Row],[From Basis $]] / SnapshotTable[[#This Row],[Equity Basis Total]], "")</f>
        <v/>
      </c>
      <c r="AM247" s="9">
        <f>IF( AND(SnapshotTable[[#This Row],[Equity Shares]] &gt;0,ISNUMBER( SnapshotTable[[#This Row],[Long Term Target]])),(SnapshotTable[[#This Row],[Equity Shares]] * SnapshotTable[[#This Row],[Long Term Target]]) - SnapshotTable[[#This Row],[Equity Basis Total]],0)</f>
        <v>0</v>
      </c>
      <c r="AN247" s="9">
        <f>IF( AND(SnapshotTable[[#This Row],[Equity Shares]] &gt;0,ISNUMBER( SnapshotTable[[#This Row],[Long Term Target]])),(SnapshotTable[[#This Row],[Equity Shares]]*SnapshotTable[[#This Row],[Long Term Target]]) - SnapshotTable[[#This Row],[Equity Value]],0)</f>
        <v>0</v>
      </c>
      <c r="AO247" s="152">
        <f>IF(AND(ISNUMBER( SnapshotTable[[#This Row],[Long Term Target]]), ISNUMBER(SnapshotTable[[#This Row],[Last Price]])),(SnapshotTable[[#This Row],[Long Term Target]] - SnapshotTable[[#This Row],[Last Price]]) / SnapshotTable[[#This Row],[Last Price]], "")</f>
        <v>0.51381215469613262</v>
      </c>
      <c r="AP247" s="5"/>
      <c r="AQ247" s="38"/>
      <c r="AR247" s="5"/>
      <c r="AS247" s="38"/>
      <c r="AT247" s="146"/>
      <c r="AU247" s="187" t="str">
        <f>IF(OR(SnapshotTable[[#This Row],[LP No Fill]]="Y",SnapshotTable[[#This Row],[SP Is Filled]],SnapshotTable[[#This Row],[LC Not Filled]]="Y",SnapshotTable[[#This Row],[SC Is Filled]]),"Y","")</f>
        <v/>
      </c>
      <c r="AV247" s="219"/>
      <c r="AW247" s="225"/>
      <c r="AX247" s="220"/>
      <c r="AY247" s="219" t="str">
        <f>IF(SnapshotTable[[#This Row],[Implied Move]]&gt;0, SnapshotTable[[#This Row],[Last Price]]-SnapshotTable[[#This Row],[Implied Move]],"")</f>
        <v/>
      </c>
      <c r="AZ247" s="219" t="str">
        <f>IF(SnapshotTable[[#This Row],[Implied Move]]&gt;0, SnapshotTable[[#This Row],[Last Price]] + SnapshotTable[[#This Row],[Implied Move]],"")</f>
        <v/>
      </c>
      <c r="BA247" s="331">
        <v>52.7</v>
      </c>
      <c r="BB247" s="347"/>
      <c r="BC24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7" s="351"/>
      <c r="BE247" s="5"/>
      <c r="BF247" s="14"/>
      <c r="BG247" s="13"/>
      <c r="BH247" s="13"/>
      <c r="BI247" s="5"/>
      <c r="BJ247" s="136">
        <f>IF(SnapshotTable[[#This Row],[LP Qty]] &gt; 0, SnapshotTable[[#This Row],[LP Qty]] * SnapshotTable[[#This Row],[LP Book Price]] * 100,0)</f>
        <v>0</v>
      </c>
      <c r="BK247" s="136">
        <f>IF(SnapshotTable[[#This Row],[LP Premium]] &gt; 0, SnapshotTable[[#This Row],[LP Qty]] * SnapshotTable[[#This Row],[LP Strike Price]] * 100,0)</f>
        <v>0</v>
      </c>
      <c r="BL247" s="154"/>
      <c r="BM247" s="385" t="str">
        <f>IF(SnapshotTable[[#This Row],[LP Premium]] &gt; 0,SnapshotTable[[#This Row],[LP Exp Date]]-MAX(SnapshotTable[[#This Row],[LP Book Date]], SnapshotTable[[#This Row],[LP Fill Date]]),"")</f>
        <v/>
      </c>
      <c r="BN247" s="385" t="str">
        <f>IF(ISNUMBER( SnapshotTable[[#This Row],[LP Term]]), SnapshotTable[[#This Row],[LP Exp Date]] - MockToday,"")</f>
        <v/>
      </c>
      <c r="BO247" s="163" t="str">
        <f>IF(AND(SnapshotTable[[#This Row],[LP Exp Date]]&gt;0, SnapshotTable[[#This Row],[LP Strike Price]]&gt;0,SnapshotTable[[#This Row],[LP Qty]]&gt;0,SnapshotTable[[#This Row],[LP Book Date]]&gt;0,SnapshotTable[[#This Row],[LP Book Price]]&gt;0,SnapshotTable[[#This Row],[LP Fill Date]]=0),"Y","")</f>
        <v/>
      </c>
      <c r="BP247" s="31" t="str">
        <f>IF(AND(SnapshotTable[[#This Row],[LP No Fill]]&lt;&gt;"Y",SnapshotTable[[#This Row],[LP Contract Value]]&gt;0, SnapshotTable[[#This Row],[LP Qty]]&gt;0), SnapshotTable[[#This Row],[LP Contract Value]]*SnapshotTable[[#This Row],[LP Qty]]*100,"")</f>
        <v/>
      </c>
      <c r="BQ247" s="13"/>
      <c r="BR247" s="5" t="str">
        <f>IF(SnapshotTable[[#This Row],[SP Exp Date]]&lt;&gt;"",TRUNC(SnapshotTable[[#This Row],[Last Price]]),"")</f>
        <v/>
      </c>
      <c r="BS247" s="36"/>
      <c r="BT247" s="147"/>
      <c r="BU247" s="13"/>
      <c r="BV247" s="5"/>
      <c r="BW247" s="419" t="b">
        <f>AND(ISNUMBER(SnapshotTable[[#This Row],[SP Exp Date]]), ISNUMBER(SnapshotTable[[#This Row],[SP Strike Price]]), ISNUMBER(SnapshotTable[[#This Row],[SP Qty]]), ISNUMBER(SnapshotTable[[#This Row],[SP Book Date]]), ISNUMBER(SnapshotTable[[#This Row],[SP Book Price]]))</f>
        <v>0</v>
      </c>
      <c r="BX247" s="419" t="b">
        <f>AND(SnapshotTable[[#This Row],[SP Is Booked]], NOT(ISBLANK(SnapshotTable[[#This Row],[SP Fill Date]])))</f>
        <v>0</v>
      </c>
      <c r="BY247" s="33">
        <f>IF(SnapshotTable[[#This Row],[SP Is Booked]], SnapshotTable[[#This Row],[SP Qty]] * SnapshotTable[[#This Row],[SP Book Price]] * 100, 0)</f>
        <v>0</v>
      </c>
      <c r="BZ247" s="369"/>
      <c r="CA247" s="368">
        <f>SnapshotTable[[#This Row],[LP Qty]]</f>
        <v>0</v>
      </c>
      <c r="CB247" s="4" t="str">
        <f>IF(SnapshotTable[[#This Row],[SP Is Booked]], SnapshotTable[[#This Row],[SP Strike Price]] - SnapshotTable[[#This Row],[SP Book Price]], "")</f>
        <v/>
      </c>
      <c r="CC247" s="19" t="str">
        <f>IF(SnapshotTable[[#This Row],[SP Is Booked]],SnapshotTable[[#This Row],[SP Exp Date]]-MAX(SnapshotTable[[#This Row],[SP Book Date]], SnapshotTable[[#This Row],[SP Fill Date]]),"")</f>
        <v/>
      </c>
      <c r="CD247" s="7" t="str">
        <f>IF(SnapshotTable[[#This Row],[SP Is Booked]], SnapshotTable[[#This Row],[SP Book Price]]/SnapshotTable[[#This Row],[SP Strike Price]], "")</f>
        <v/>
      </c>
      <c r="CE247" s="7" t="str">
        <f>IF(ISNUMBER(SnapshotTable[[#This Row],[SP ROO Term]]),SnapshotTable[[#This Row],[SP ROO Term]]*(365/SnapshotTable[[#This Row],[SP Term]]),"")</f>
        <v/>
      </c>
      <c r="CF247" s="236">
        <f>SnapshotTable[[#This Row],[LP Strike Price]] * SnapshotTable[[#This Row],[LP Qty]] * 100</f>
        <v>0</v>
      </c>
      <c r="CG247" s="31" t="e">
        <f>IF(ISNUMBER(SnapshotTable[[#This Row],[SP Premium]]), (SnapshotTable[[#This Row],[SP Qty]] * SnapshotTable[[#This Row],[SP Strike Price]]* 100) - SnapshotTable[[#This Row],[LP Protection]], 0)</f>
        <v>#VALUE!</v>
      </c>
      <c r="CH247" s="7" t="str">
        <f>IF(ISNUMBER(SnapshotTable[[#This Row],[SP Break Even]]),-1 * (SnapshotTable[[#This Row],[SP Break Even]] - SnapshotTable[[#This Row],[Last Price]]) / SnapshotTable[[#This Row],[Last Price]], "")</f>
        <v/>
      </c>
      <c r="CI247" s="31">
        <f>IF(AND(ISNUMBER((SnapshotTable[[#This Row],[SP Potential Spend]])), SnapshotTable[[#This Row],[SP Strike Price]] &gt; SnapshotTable[[#This Row],[Last Price]], SnapshotTable[[#This Row],[SP Is Filled]]), SnapshotTable[[#This Row],[SP Potential Spend]] -  SnapshotTable[[#This Row],[LP Max Value]], 0)</f>
        <v>0</v>
      </c>
      <c r="CJ247" s="244"/>
      <c r="CK247" s="31" t="str">
        <f>IF(ISNUMBER(SnapshotTable[[#This Row],[SP Potential Spend]]),IF(ISNUMBER(SnapshotTable[[#This Row],[SP POW]]), SnapshotTable[[#This Row],[SP POW]] * SnapshotTable[[#This Row],[SP Potential Spend]], SnapshotTable[[#This Row],[SP Potential Spend]]), "")</f>
        <v/>
      </c>
      <c r="CL247" s="164" t="e">
        <f>IF(NOT(SnapshotTable[[#This Row],[SP Is Filled]]),(SnapshotTable[[#This Row],[SP Qty]] * SnapshotTable[[#This Row],[SP Strike Price]] * 100) - SnapshotTable[[#This Row],[LP Max Value]],"")</f>
        <v>#VALUE!</v>
      </c>
      <c r="CM247" s="31" t="str">
        <f>IF(SnapshotTable[[#This Row],[SP Actual Spend]]&lt;&gt;0, ((SnapshotTable[[#This Row],[SP Strike Price]]-SnapshotTable[[#This Row],[Last Price]]) *(SnapshotTable[[#This Row],[SP Qty]]*100) - SnapshotTable[[#This Row],[SP Premium]]) * - 1, "")</f>
        <v/>
      </c>
      <c r="CN247" s="78"/>
      <c r="CO247" s="369"/>
      <c r="CP247" s="4" t="str">
        <f>IF(SnapshotTable[[#This Row],[SP Is Filled]], btc_max_buyback_amount(SnapshotTable[[#This Row],[SP Fill Date]],SnapshotTable[[#This Row],[SP Exp Date]], SnapshotTable[[#This Row],[SP Book Price]]),"")</f>
        <v/>
      </c>
      <c r="CQ247" s="78"/>
      <c r="CR24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7" s="155" t="str">
        <f>IF(SnapshotTable[[#This Row],[SP Is Filled]], btc_next_cutoff_date(SnapshotTable[[#This Row],[SP Fill Date]],SnapshotTable[[#This Row],[SP Exp Date]]),"")</f>
        <v/>
      </c>
      <c r="CT247" s="235" t="str" cm="1">
        <f t="array" ref="CT247">IF(SnapshotTable[[#This Row],[SP Is Filled]], btc_should_buy_back(SnapshotTable[[#This Row],[SP Fill Date]], SnapshotTable[[#This Row],[SP Exp Date]], SnapshotTable[[#This Row],[SP Book Price]], SnapshotTable[[#This Row],[SP Current Ask]], MockToday, SnapshotTable[[#This Row],[SP Buyback Override]]),"")</f>
        <v/>
      </c>
      <c r="CU247" s="143"/>
      <c r="CV247" s="235"/>
      <c r="CW247" s="378" t="str">
        <f>IF(ISNUMBER( SnapshotTable[[#This Row],[SP Term]]), SnapshotTable[[#This Row],[SP Exp Date]] - MockToday,"")</f>
        <v/>
      </c>
      <c r="CX247" s="31" t="str">
        <f>IF(SnapshotTable[[#This Row],[SP Is Filled]],SnapshotTable[[#This Row],[SP Buyback Price to Use]] * 100 * SnapshotTable[[#This Row],[SP Qty]], "")</f>
        <v/>
      </c>
      <c r="CY247" s="4" t="str">
        <f>IF(ISNUMBER(SnapshotTable[[#This Row],[SP Strike Price]]), SnapshotTable[[#This Row],[SP Strike Price]] * (1 - SP_MaxLoss_StrikePct), "")</f>
        <v/>
      </c>
      <c r="CZ247" s="31" t="str">
        <f>IF(ISNUMBER(SnapshotTable[[#This Row],[SP Strike  Stop Per Share]]),SnapshotTable[[#This Row],[SP Premium]] - ((SnapshotTable[[#This Row],[SP Strike Price]]-SnapshotTable[[#This Row],[SP Strike  Stop Per Share]]) *(SnapshotTable[[#This Row],[SP Qty]] * 100)),"")</f>
        <v/>
      </c>
      <c r="DA247" s="4" t="str">
        <f>IF(AND(ISNUMBER(SnapshotTable[[#This Row],[SP Premium]]),SnapshotTable[[#This Row],[SP Premium]]&gt;0), SnapshotTable[[#This Row],[SP Book Price]] * (1 + SP_MaxLoss_OptionPct), "")</f>
        <v/>
      </c>
      <c r="DB247" s="31" t="str">
        <f>IF(ISNUMBER(SnapshotTable[[#This Row],[SP Option  Stop Contract]]),(SnapshotTable[[#This Row],[SP Option  Stop Contract]] *(SnapshotTable[[#This Row],[SP Qty]] * 100) - SnapshotTable[[#This Row],[SP Premium]]),"")</f>
        <v/>
      </c>
      <c r="DC247" s="4"/>
      <c r="DD247" s="4"/>
      <c r="DE247" s="4" t="str">
        <f>IF(AND(SnapshotTable[[#This Row],[SP Qty]]&gt;0, SnapshotTable[[#This Row],[SP Stop To Use]]&gt;0),SnapshotTable[[#This Row],[SP Premium]] - ( SnapshotTable[[#This Row],[SP Qty]] * SnapshotTable[[#This Row],[SP Stop To Use]] * 100), "")</f>
        <v/>
      </c>
      <c r="DF247" s="31" t="str">
        <f>IF(AND(SnapshotTable[[#This Row],[SP Qty]]&gt;0,SnapshotTable[[#This Row],[SP Current Ask]]&gt;0), SnapshotTable[[#This Row],[SP Qty]] * SnapshotTable[[#This Row],[SP Current Ask]] * -100, "")</f>
        <v/>
      </c>
      <c r="DG247" s="31" t="str">
        <f>IF(ISNUMBER((SnapshotTable[[#This Row],[SP Total Value]])), SnapshotTable[[#This Row],[SP Premium]] + SnapshotTable[[#This Row],[SP Total Value]], "")</f>
        <v/>
      </c>
      <c r="DH247" s="294" t="str">
        <f>IF(ISNUMBER((SnapshotTable[[#This Row],[SP Total Value]])), SnapshotTable[[#This Row],[SP Gain Loss]] / SnapshotTable[[#This Row],[SP Premium]], "")</f>
        <v/>
      </c>
      <c r="DI247" s="406"/>
      <c r="DJ247" s="138"/>
      <c r="DK247" s="148"/>
      <c r="DL247" s="13"/>
      <c r="DM247" s="13"/>
      <c r="DN247" s="5">
        <v>4.2</v>
      </c>
      <c r="DO247" s="31">
        <f>IF(SnapshotTable[[#This Row],[LC Symbol Count]]=1, SnapshotTable[[#This Row],[LC Qty]] * SnapshotTable[[#This Row],[LC Book Price]] * 100, 0)</f>
        <v>0</v>
      </c>
      <c r="DP247" s="163" t="str">
        <f>IF(AND(SnapshotTable[[#This Row],[LC Exp Date]]&gt;0, SnapshotTable[[#This Row],[LC Strike Price]]&gt;0,SnapshotTable[[#This Row],[LC Qty]]&gt;0,SnapshotTable[[#This Row],[LC Book Date]]&gt;0,SnapshotTable[[#This Row],[LC Book Price]]&gt;0,SnapshotTable[[#This Row],[LC Fill Date]]=0),"Y","")</f>
        <v/>
      </c>
      <c r="DQ247" s="386" t="str">
        <f>IF(SnapshotTable[[#This Row],[LC Premium]] &gt; 0,SnapshotTable[[#This Row],[LC Exp Date]]-MAX(SnapshotTable[[#This Row],[LC Book Date]], SnapshotTable[[#This Row],[LC Fill Date]]),"")</f>
        <v/>
      </c>
      <c r="DR247" s="386" t="str">
        <f>IF(ISNUMBER(SnapshotTable[[#This Row],[LC Term]]), SnapshotTable[[#This Row],[LC Exp Date]] - MockToday, "")</f>
        <v/>
      </c>
      <c r="DS247" s="234" t="str">
        <f>IF(SnapshotTable[[#This Row],[LC Premium]]&gt;0,SnapshotTable[[#This Row],[LC Strike Price]] + SnapshotTable[[#This Row],[LC Book Price]],"")</f>
        <v/>
      </c>
      <c r="DU247" s="9" t="str">
        <f>IF(AND(SnapshotTable[[#This Row],[LC Symbol Count]]&gt;0, SnapshotTable[[#This Row],[LC Contract Value]]&gt;0), SnapshotTable[[#This Row],[LC Contract Value]] * SnapshotTable[[#This Row],[LC Qty]] * 100, "")</f>
        <v/>
      </c>
      <c r="DV247" s="9" t="str">
        <f>IF(AND(ISNUMBER(SnapshotTable[[#This Row],[LC Total Value]]), SnapshotTable[[#This Row],[LC Not Filled]]&lt;&gt;"Y"), SnapshotTable[[#This Row],[LC Total Value]]-SnapshotTable[[#This Row],[LC Premium]],"")</f>
        <v/>
      </c>
      <c r="DW247" s="240" t="str">
        <f>IF(ISNUMBER(SnapshotTable[[#This Row],[LC Actual Gain Loss]]), SnapshotTable[[#This Row],[LC Actual Gain Loss]] / SnapshotTable[[#This Row],[LC Premium]],"")</f>
        <v/>
      </c>
      <c r="DX247" s="284">
        <f>IF(ISNUMBER(SnapshotTable[[#This Row],[LC Book Price]]),SnapshotTable[[#This Row],[LC Book Price]] * 1.5,"")</f>
        <v>6.3000000000000007</v>
      </c>
      <c r="DY247" s="265" t="str">
        <f>IF(SnapshotTable[[#This Row],[LC Premium]]&gt;0, SnapshotTable[[#This Row],[LC Next Target]] * SnapshotTable[[#This Row],[LC Qty]] * 100,"")</f>
        <v/>
      </c>
      <c r="DZ247" s="265" t="str">
        <f>IF(ISNUMBER(SnapshotTable[[#This Row],[LC Target Gross]]), SnapshotTable[[#This Row],[LC Target Gross]] - SnapshotTable[[#This Row],[LC Premium]], "")</f>
        <v/>
      </c>
      <c r="EA247" s="305" t="str">
        <f>IF(ISNUMBER(SnapshotTable[[#This Row],[LC Target Gain Loss]]), SnapshotTable[[#This Row],[LC Target Gain Loss]]/SnapshotTable[[#This Row],[LC Premium]], "")</f>
        <v/>
      </c>
      <c r="EB247" s="262"/>
      <c r="EC247" s="283" t="str">
        <f>IF(SnapshotTable[[#This Row],[LC Premium]]&gt;0, SnapshotTable[[#This Row],[LC Book Price]] * (1 - LC_StopLoss_Pct),"")</f>
        <v/>
      </c>
      <c r="ED247" s="284"/>
      <c r="EE247" s="283" t="str">
        <f>IF(ISNUMBER(SnapshotTable[[#This Row],[LC Contract Value]]),IF(ISNUMBER(SnapshotTable[[#This Row],[LC Stop Loss Override]]), SnapshotTable[[#This Row],[LC Stop Loss Override]],SnapshotTable[[#This Row],[LC Stop Loss Calc Target]]),"")</f>
        <v/>
      </c>
      <c r="EF247" s="31" t="str">
        <f>IF(ISNUMBER(SnapshotTable[[#This Row],[LC Stop  To Use]]), (SnapshotTable[[#This Row],[LC Stop  To Use]] * SnapshotTable[[#This Row],[LC Qty]] * 100),"")</f>
        <v/>
      </c>
      <c r="EG247" s="9" t="str">
        <f>IF(ISNUMBER(SnapshotTable[[#This Row],[LC Total Value]]),SnapshotTable[[#This Row],[LC Stop Loss Amount]] - SnapshotTable[[#This Row],[LC Premium]],"")</f>
        <v/>
      </c>
      <c r="EH247" s="9">
        <f>IF(ISNUMBER(SnapshotTable[[#This Row],[LC Premium]]), SnapshotTable[[#This Row],[LC Qty]] * 100 * SnapshotTable[[#This Row],[LC Strike Price]], "")</f>
        <v>0</v>
      </c>
      <c r="EI247" s="240" t="str">
        <f>IF(AND(ISNUMBER(SnapshotTable[[#This Row],[LC Total Value]]),SnapshotTable[[#This Row],[LC Total Value]]&gt;0),SnapshotTable[[#This Row],[LC Stop Gain Loss]]  / SnapshotTable[[#This Row],[LC Premium]],"")</f>
        <v/>
      </c>
      <c r="EJ247" s="35">
        <f>IF(ISNUMBER(SnapshotTable[[#This Row],[Equity Shares]]),TRUNC(SnapshotTable[[#This Row],[Equity Shares]] / 100),0) + SnapshotTable[[#This Row],[LC Qty]]</f>
        <v>0</v>
      </c>
      <c r="EK247" s="147"/>
      <c r="EL247" s="138" t="str">
        <f>IF(SnapshotTable[[#This Row],[SC Exp Date]]&lt;&gt;"",TRUNC(SnapshotTable[[#This Row],[Last Price]]),"")</f>
        <v/>
      </c>
      <c r="EM247" s="148"/>
      <c r="EN247" s="147"/>
      <c r="EO247" s="147"/>
      <c r="EP247" s="138"/>
      <c r="EQ247" s="419" t="b">
        <f>AND(ISNUMBER(SnapshotTable[[#This Row],[SC Exp Date]]), ISNUMBER(SnapshotTable[[#This Row],[SC Strike Price]]), ISNUMBER(SnapshotTable[[#This Row],[SC Qty]]), ISNUMBER(SnapshotTable[[#This Row],[SC Book Date]]), ISNUMBER(SnapshotTable[[#This Row],[SC Book Price]]))</f>
        <v>0</v>
      </c>
      <c r="ER247" s="419" t="b">
        <f>AND(SnapshotTable[[#This Row],[SC Is Booked]], NOT(ISBLANK(SnapshotTable[[#This Row],[SC Fill Date]])))</f>
        <v>0</v>
      </c>
      <c r="ES247" s="370"/>
      <c r="ET247" s="34" t="str">
        <f>IF(AND(ISNUMBER(SnapshotTable[[#This Row],[SC Exp Date]]), ISNUMBER(SnapshotTable[[#This Row],[SC Book Date]])), SnapshotTable[[#This Row],[SC Exp Date]] - MAX(SnapshotTable[[#This Row],[SC Book Date]], SnapshotTable[[#This Row],[SC Fill Date]]) + 1, "")</f>
        <v/>
      </c>
      <c r="EU247" s="34" t="str">
        <f>IF(ISNUMBER(SnapshotTable[[#This Row],[SC Term]]), SnapshotTable[[#This Row],[SC Exp Date]]- MockToday, "")</f>
        <v/>
      </c>
      <c r="EV247" s="31">
        <f>IF(SnapshotTable[[#This Row],[SC Is Booked]], SnapshotTable[[#This Row],[SC Qty]] * SnapshotTable[[#This Row],[SC Book Price]] * 100, 0)</f>
        <v>0</v>
      </c>
      <c r="EW247" s="4" t="str">
        <f>IF(AND(ISNUMBER(SnapshotTable[[#This Row],[Last Price]]), ISNUMBER( SnapshotTable[[#This Row],[SC Book Price]])), SnapshotTable[[#This Row],[Last Price]] - SnapshotTable[[#This Row],[SC Book Price]],"")</f>
        <v/>
      </c>
      <c r="EX247" s="234" t="str">
        <f>IF(SnapshotTable[[#This Row],[SC Is Booked]],IF(SnapshotTable[[#This Row],[SC Intrinsic Value]] &gt; 0, SnapshotTable[[#This Row],[SC Strike Price]], SnapshotTable[[#This Row],[Last Price]]), "")</f>
        <v/>
      </c>
      <c r="EY247" s="4">
        <f>IF(SnapshotTable[[#This Row],[SC Is Booked]], (MinimumPremiumRequired * SnapshotTable[[#This Row],[SC Basis]] * SnapshotTable[[#This Row],[SC Term]]), 0)</f>
        <v>0</v>
      </c>
      <c r="EZ247" s="283"/>
      <c r="FA247" s="218"/>
      <c r="FB247" s="370"/>
      <c r="FC247" s="4">
        <f>IF(SnapshotTable[[#This Row],[SC Is Filled]], btc_max_buyback_amount(SnapshotTable[[#This Row],[SC Fill Date]],SnapshotTable[[#This Row],[SC Exp Date]], SnapshotTable[[#This Row],[SC Book Price]]),0)</f>
        <v>0</v>
      </c>
      <c r="FD247" s="5"/>
      <c r="FE247" s="144" t="str">
        <f>IF(SnapshotTable[[#This Row],[SC Is Filled]], btc_next_cutoff_date(SnapshotTable[[#This Row],[SC Fill Date]],SnapshotTable[[#This Row],[SC Exp Date]]),"")</f>
        <v/>
      </c>
      <c r="FF247" s="4" t="str" cm="1">
        <f t="array" ref="FF247">IF(SnapshotTable[[#This Row],[SC Is Filled]], btc_should_buy_back(SnapshotTable[[#This Row],[SC Fill Date]], SnapshotTable[[#This Row],[SC Exp Date]], SnapshotTable[[#This Row],[SC Book Price]], SnapshotTable[[#This Row],[SC Current Ask]], MockToday, SnapshotTable[[#This Row],[SC Buyback Override]]),"")</f>
        <v/>
      </c>
      <c r="FG247" s="4">
        <f>IF(SnapshotTable[[#This Row],[SC Is Filled]], MAX(0,SnapshotTable[[#This Row],[Last Price]]  - SnapshotTable[[#This Row],[SC Strike Price]]), 0)</f>
        <v>0</v>
      </c>
      <c r="FH247" s="382">
        <f>IF(SnapshotTable[[#This Row],[SC Is Filled]], IF(ISNUMBER(SnapshotTable[[#This Row],[SC Current Ask]]), SnapshotTable[[#This Row],[SC Current Ask]], SnapshotTable[[#This Row],[SC Book Price]]) - SnapshotTable[[#This Row],[SC Intrinsic Value]], 0)</f>
        <v>0</v>
      </c>
      <c r="FI247" s="143"/>
      <c r="FJ247" s="32" t="str">
        <f>IF(SnapshotTable[[#This Row],[SC Is Filled]],100 * SnapshotTable[[#This Row],[SC Qty]] * IF(ISNUMBER(SnapshotTable[[#This Row],[SC Buyback Override]]), SnapshotTable[[#This Row],[SC Buyback Override]], SnapshotTable[[#This Row],[SC Current Ask]]), "")</f>
        <v/>
      </c>
      <c r="FK247" s="250" t="str">
        <f>IF(SnapshotTable[[#This Row],[SC Time Val]]&gt;0, SnapshotTable[[#This Row],[SC Time Val]] / SnapshotTable[[#This Row],[Last Price]],"")</f>
        <v/>
      </c>
      <c r="FL247" s="302" t="str">
        <f>IF(SnapshotTable[[#This Row],[SC Is Booked]], ((SnapshotTable[[#This Row],[Last Price]] -SnapshotTable[[#This Row],[SC Strike Price]]) / SnapshotTable[[#This Row],[Last Price]]) * -1, "")</f>
        <v/>
      </c>
      <c r="FM247" s="157" t="str">
        <f>IF(SnapshotTable[[#This Row],[SC Is Booked]],  (SnapshotTable[[#This Row],[SC Qty]] * 100 * SnapshotTable[[#This Row],[SC Strike Price]]) - SnapshotTable[[#This Row],[SC Current Ask]], "")</f>
        <v/>
      </c>
      <c r="FN24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7" s="31" t="str">
        <f>IF(AND(ISNUMBER(SnapshotTable[[#This Row],[SC Exercise Gross]]), ISNUMBER(SnapshotTable[[#This Row],[Equity Basis Per Share]] )), SnapshotTable[[#This Row],[SC Exercise Gross]] - SnapshotTable[[#This Row],[Equity Basis Total]] +  SnapshotTable[[#This Row],[SC Premium]], "")</f>
        <v/>
      </c>
      <c r="FP247" s="5" t="str">
        <f>IF(ISNUMBER(SnapshotTable[[#This Row],[SC Exercise Gross]]), (SnapshotTable[[#This Row],[SC Exercise Gross]]) / (SnapshotTable[[#This Row],[SC Qty]] * 100), "")</f>
        <v/>
      </c>
      <c r="FQ247" s="27" t="str">
        <f>IF(SnapshotTable[[#This Row],[SC Is Booked]],SnapshotTable[[#This Row],[SC Time Val]] /SnapshotTable[[#This Row],[SC Basis]], "")</f>
        <v/>
      </c>
      <c r="FR247" s="27" t="str" cm="1">
        <f t="array" ref="FR247">IF(AND(ISNUMBER(SnapshotTable[[#This Row],[SC Term]]),ISNUMBER(SnapshotTable[[#This Row],[SC Simple ROO]])), EllmanAnnualize(SnapshotTable[[#This Row],[SC DTE]], SnapshotTable[[#This Row],[SC Simple ROO]] ),"")</f>
        <v/>
      </c>
      <c r="FS247" s="4" t="e">
        <f>IF(SnapshotTable[[#This Row],[SC Strike Price]] &gt; SnapshotTable[[#This Row],[Last Price]], SnapshotTable[[#This Row],[SC Strike Price]] - SnapshotTable[[#This Row],[Last Price]],0)</f>
        <v>#VALUE!</v>
      </c>
      <c r="FT247" s="27" t="e">
        <f>IF(AND(ISNUMBER(SnapshotTable[[#This Row],[SC Upside Potential]]), SnapshotTable[[#This Row],[SC Upside Potential]] &gt; 0),(SnapshotTable[[#This Row],[SC Upside Potential]]/ SnapshotTable[[#This Row],[ACB]]),"")</f>
        <v>#VALUE!</v>
      </c>
      <c r="FU247" s="333" t="str">
        <f>IF(SnapshotTable[[#This Row],[SC Intrinsic Value]] &gt; 0,SnapshotTable[[#This Row],[SC Intrinsic Value]],"")</f>
        <v/>
      </c>
      <c r="FV247" s="27" t="str">
        <f>IF(AND( ISNUMBER( SnapshotTable[[#This Row],[ACB]]),ISNUMBER(SnapshotTable[[#This Row],[SC Downside Protect]])),SnapshotTable[[#This Row],[SC Downside Protect]] / SnapshotTable[[#This Row],[ACB]],"")</f>
        <v/>
      </c>
      <c r="FW247" s="236" t="str">
        <f>IF(AND(ISNUMBER(SnapshotTable[[#This Row],[SC Simple ROO]]),SnapshotTable[[#This Row],[SC Simple ROO]] &gt; 0), SnapshotTable[[#This Row],[SC Premium]] + (SnapshotTable[[#This Row],[SC Qty]] * SnapshotTable[[#This Row],[SC Upside Potential]]), "")</f>
        <v/>
      </c>
      <c r="FX247" s="302" t="str" cm="1">
        <f t="array" ref="FX247">IF(ISNUMBER(SnapshotTable[[#This Row],[SC Max Dollars]]), annualize(SnapshotTable[[#This Row],[SC Term]],(SnapshotTable[[#This Row],[SC Max Dollars]]/SnapshotTable[[#This Row],[SC Basis]])),"")</f>
        <v/>
      </c>
      <c r="FY247" s="236" t="str">
        <f>IF(AND(SnapshotTable[[#This Row],[SC Qty]]&gt;0,SnapshotTable[[#This Row],[SC Current Ask]]&gt;0), SnapshotTable[[#This Row],[SC Qty]] * SnapshotTable[[#This Row],[SC Current Ask]] * -100, "")</f>
        <v/>
      </c>
      <c r="FZ247" s="31" t="str">
        <f>IF(ISNUMBER((SnapshotTable[[#This Row],[SC Current Value]])), SnapshotTable[[#This Row],[SC Premium]] + SnapshotTable[[#This Row],[SC Current Value]], "")</f>
        <v/>
      </c>
      <c r="GA247" s="294" t="str">
        <f>IFERROR( IF(ISNUMBER((SnapshotTable[[#This Row],[SC Current Value]])), SnapshotTable[[#This Row],[SC Gain Loss]] / SnapshotTable[[#This Row],[SC Premium]], ""), "")</f>
        <v/>
      </c>
      <c r="GB247" s="42">
        <f>SnapshotTable[[#This Row],[Equity Shares]] * SaleSharesToConsiderPercentage</f>
        <v>0</v>
      </c>
      <c r="GC247" s="40">
        <f>SnapshotTable[[#This Row],[Long Term Target]] * SellingPriceToConsiderBasedOnTargetPercentage</f>
        <v>65.075000000000003</v>
      </c>
      <c r="GD247" s="40">
        <f>SnapshotTable[[#This Row],[Last Price]] * (1+ SellingPriceToConsiderBasedOnTargetPercentage)</f>
        <v>88.237499999999997</v>
      </c>
      <c r="GE247" s="41"/>
      <c r="GF247" s="40"/>
      <c r="GG247" s="31">
        <f>SnapshotTable[[#This Row],[Booked Sale Shares]] * SnapshotTable[[#This Row],[Booked Sale Price]]</f>
        <v>0</v>
      </c>
      <c r="GH247" s="31" t="str">
        <f>IF(SnapshotTable[[#This Row],[Equity Basis Total]] &gt; 0, SnapshotTable[[#This Row],[Equity Basis Per Share]] * SnapshotTable[[#This Row],[Booked Sale Shares]], "")</f>
        <v/>
      </c>
      <c r="GI247" s="31">
        <f>IF(SnapshotTable[[#This Row],[Sale Proceeds]]&gt;0, SnapshotTable[[#This Row],[Sale Proceeds]] - SnapshotTable[[#This Row],[Sale Basis]], 0)</f>
        <v>0</v>
      </c>
      <c r="GJ247" s="27" t="str">
        <f>IF(SnapshotTable[[#This Row],[Sale G/L]]&gt;0, SnapshotTable[[#This Row],[Sale G/L]] / SnapshotTable[[#This Row],[Sale Basis]], IF(ISNUMBER(SnapshotTable[[#This Row],[SC Exercise P&amp;L (TAX)]]), SnapshotTable[[#This Row],[SC Exercise P&amp;L (TAX)]] / SnapshotTable[[#This Row],[SC Basis]], ""))</f>
        <v/>
      </c>
      <c r="GK247" s="27" t="s">
        <v>750</v>
      </c>
      <c r="GL247" s="43" t="str">
        <f>IF(AND(SnapshotTable[[#This Row],[LP Exp Date]]&gt;0,SnapshotTable[[#This Row],[LP Strike Price]]&gt;0), [1]!ToOptionSymbol(SnapshotTable[[#This Row],[Symbol]], SnapshotTable[[#This Row],[LP Strike Price]],SnapshotTable[[#This Row],[LP Exp Date]],1), "")</f>
        <v/>
      </c>
      <c r="GM247" s="30" t="str">
        <f>IF(LEN(SnapshotTable[[#This Row],[LP Symbol]])&gt;0, 1, "")</f>
        <v/>
      </c>
      <c r="GN247" s="43" t="str">
        <f>IF(AND(SnapshotTable[[#This Row],[SP Exp Date]]&gt;0,SnapshotTable[[#This Row],[SP Strike Price]]&gt;0), [1]!ToOptionSymbol(SnapshotTable[[#This Row],[Symbol]], SnapshotTable[[#This Row],[SP Strike Price]],SnapshotTable[[#This Row],[SP Exp Date]],1), "")</f>
        <v/>
      </c>
      <c r="GO247" s="30" t="str">
        <f>IF(LEN(SnapshotTable[[#This Row],[SP Symbol]])&gt;0, 1, "")</f>
        <v/>
      </c>
      <c r="GP247" s="43" t="str">
        <f>IF(AND(SnapshotTable[[#This Row],[LC Exp Date]]&gt;0,SnapshotTable[[#This Row],[LC Strike Price]]&gt;0), [1]!ToOptionSymbol(SnapshotTable[[#This Row],[Symbol]], SnapshotTable[[#This Row],[LC Strike Price]],SnapshotTable[[#This Row],[LC Exp Date]],0), "")</f>
        <v/>
      </c>
      <c r="GQ247" s="30" t="str">
        <f>IF(LEN(SnapshotTable[[#This Row],[LC Symbol]])&gt;0, 1, "")</f>
        <v/>
      </c>
      <c r="GR247" s="43" t="str">
        <f>IF(AND(SnapshotTable[[#This Row],[SC Exp Date]]&gt;0,SnapshotTable[[#This Row],[SC Strike Price]]&gt;0), [1]!ToOptionSymbol(SnapshotTable[[#This Row],[Symbol]], SnapshotTable[[#This Row],[SC Strike Price]],SnapshotTable[[#This Row],[SC Exp Date]],0), "")</f>
        <v/>
      </c>
      <c r="GS247" s="30" t="str">
        <f>IF(LEN(SnapshotTable[[#This Row],[SC Symbol]])&gt;0, 1, "")</f>
        <v/>
      </c>
      <c r="GT247" s="29" t="str">
        <f>IF(COUNT(SnapshotTable[[#This Row],[LP Symbol Count]],SnapshotTable[[#This Row],[SP Symbol Count]],SnapshotTable[[#This Row],[LC Symbol Count]],SnapshotTable[[#This Row],[SC Symbol Count]])&gt;0, "Y", "")</f>
        <v/>
      </c>
      <c r="GU24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7" s="231" t="e">
        <f>MAX(SnapshotTable[[#This Row],[Equity Basis Total]],SnapshotTable[[#This Row],[Equity Value]]) + (SnapshotTable[[#This Row],[SP Potential Spend]]- SnapshotTable[[#This Row],[SP Premium]] + SnapshotTable[[#This Row],[LP Premium]])+ (SnapshotTable[[#This Row],[LC Premium]] - SnapshotTable[[#This Row],[SC Premium]])</f>
        <v>#VALUE!</v>
      </c>
      <c r="GW247" s="139" t="e">
        <f>IF(AND(SnapshotTable[[#This Row],[Exposure]] &lt;&gt; 0),SnapshotTable[[#This Row],[Exposure]] / SnapshotTable[[#Totals],[Exposure]], "")</f>
        <v>#VALUE!</v>
      </c>
      <c r="GX247" s="5"/>
      <c r="HE247" s="268"/>
      <c r="HF247" s="268"/>
      <c r="HK247" s="1"/>
      <c r="HL247" s="1"/>
      <c r="HM247" s="1"/>
      <c r="HN247" s="1"/>
      <c r="HO247" s="1"/>
      <c r="HP247" s="1"/>
    </row>
    <row r="248" spans="2:224" ht="12.75" hidden="1" customHeight="1" x14ac:dyDescent="0.25">
      <c r="B248" s="12" t="s">
        <v>529</v>
      </c>
      <c r="C248" s="422">
        <v>14.66</v>
      </c>
      <c r="D248" s="208"/>
      <c r="E248" s="39">
        <f>SnapshotTable[[#This Row],[Last Price]]*(1 -CrashDiscount)</f>
        <v>12.461</v>
      </c>
      <c r="F248" s="26" t="s">
        <v>230</v>
      </c>
      <c r="G248" s="26" t="s">
        <v>9</v>
      </c>
      <c r="H248" s="149"/>
      <c r="I248" s="194">
        <v>44775.670138888891</v>
      </c>
      <c r="J248" s="195">
        <v>44775.670138888891</v>
      </c>
      <c r="K248" s="196"/>
      <c r="L248" s="326"/>
      <c r="M248" s="140"/>
      <c r="N248" s="140"/>
      <c r="O248" s="140"/>
      <c r="P248" s="22"/>
      <c r="Q248" s="25"/>
      <c r="R248" s="4" t="str">
        <f>IF(SnapshotTable[[#This Row],[Equity Basis Total]] &gt; 0, SnapshotTable[[#This Row],[Equity Basis Total]] / SnapshotTable[[#This Row],[Equity Shares]], "")</f>
        <v/>
      </c>
      <c r="S248" s="269">
        <f>SnapshotTable[[#This Row],[Last Price]] * SnapshotTable[[#This Row],[Equity Shares]]</f>
        <v>0</v>
      </c>
      <c r="T248" s="269">
        <f>SnapshotTable[[#This Row],[Equity Value]] - SnapshotTable[[#This Row],[Equity Basis Total]]</f>
        <v>0</v>
      </c>
      <c r="U248" s="270" t="str">
        <f>IF(SnapshotTable[[#This Row],[Equity Basis Total]] &gt; 0, SnapshotTable[[#This Row],[Equity G/L]] / SnapshotTable[[#This Row],[Equity Basis Total]], "")</f>
        <v/>
      </c>
      <c r="V248" s="268"/>
      <c r="W248" s="268"/>
      <c r="X248" s="4" t="str">
        <f>IF(AND(ISNUMBER(SnapshotTable[[#This Row],[Equity Basis Per Share]]),ISNUMBER(SnapshotTable[[#This Row],[Equity Target]])),SnapshotTable[[#This Row],[Equity Target]]-SnapshotTable[[#This Row],[Equity Basis Per Share]],"")</f>
        <v/>
      </c>
      <c r="Y248" s="4" t="str">
        <f>IF(AND(ISNUMBER(SnapshotTable[[#This Row],[Equity Basis Per Share]]),ISNUMBER(SnapshotTable[[#This Row],[Equity Stop Loss]])),SnapshotTable[[#This Row],[Equity Stop Loss]]-SnapshotTable[[#This Row],[Equity Basis Per Share]],"")</f>
        <v/>
      </c>
      <c r="Z248" s="275" t="str">
        <f>IFERROR( TEXT(SnapshotTable[[#This Row],[Equity Max Gain Per Share]] /ABS( SnapshotTable[[#This Row],[Equity Max Loss Per Share]]),"0.0 " ) &amp; " : 1", "")</f>
        <v/>
      </c>
      <c r="AA248" s="31" t="str">
        <f>IF(ISNUMBER(SnapshotTable[[#This Row],[Equity Max Gain Per Share]]),SnapshotTable[[#This Row],[Equity Max Gain Per Share]] * SnapshotTable[[#This Row],[Equity Shares]],"")</f>
        <v/>
      </c>
      <c r="AB248" s="31" t="str">
        <f>IF(ISNUMBER(SnapshotTable[[#This Row],[Equity Max Loss Per Share]]),SnapshotTable[[#This Row],[Equity Max Loss Per Share]] * SnapshotTable[[#This Row],[Equity Shares]],"")</f>
        <v/>
      </c>
      <c r="AC248" s="150"/>
      <c r="AD248" s="151"/>
      <c r="AE248" s="31">
        <f>(SnapshotTable[[#This Row],[Annual Dividend Per Share]] / 4) * SnapshotTable[[#This Row],[Equity Shares]]</f>
        <v>0</v>
      </c>
      <c r="AF248" s="31">
        <f>SnapshotTable[[#This Row],[Quarterly Div $]] * 4</f>
        <v>0</v>
      </c>
      <c r="AG248" s="7">
        <f>IF(SnapshotTable[[#This Row],[Annual Dividend Per Share]]&gt;0, SnapshotTable[[#This Row],[Annual Dividend Per Share]]  / SnapshotTable[[#This Row],[Last Price]], 0)</f>
        <v>0</v>
      </c>
      <c r="AH248" s="151"/>
      <c r="AI248" s="5"/>
      <c r="AJ248" s="138">
        <v>52.75</v>
      </c>
      <c r="AK248" s="152" t="str">
        <f>IF(ISNUMBER( SnapshotTable[[#This Row],[EBF Target]]),(SnapshotTable[[#This Row],[EBF Target]] - SnapshotTable[[#This Row],[Last Price]]) / SnapshotTable[[#This Row],[Last Price]], "")</f>
        <v/>
      </c>
      <c r="AL248" s="152" t="str">
        <f>IF(AND(SnapshotTable[[#This Row],[Equity Basis Total]] &gt; 0,ISNUMBER( SnapshotTable[[#This Row],[Long Term Target]])), SnapshotTable[[#This Row],[From Basis $]] / SnapshotTable[[#This Row],[Equity Basis Total]], "")</f>
        <v/>
      </c>
      <c r="AM248" s="9">
        <f>IF( AND(SnapshotTable[[#This Row],[Equity Shares]] &gt;0,ISNUMBER( SnapshotTable[[#This Row],[Long Term Target]])),(SnapshotTable[[#This Row],[Equity Shares]] * SnapshotTable[[#This Row],[Long Term Target]]) - SnapshotTable[[#This Row],[Equity Basis Total]],0)</f>
        <v>0</v>
      </c>
      <c r="AN248" s="9">
        <f>IF( AND(SnapshotTable[[#This Row],[Equity Shares]] &gt;0,ISNUMBER( SnapshotTable[[#This Row],[Long Term Target]])),(SnapshotTable[[#This Row],[Equity Shares]]*SnapshotTable[[#This Row],[Long Term Target]]) - SnapshotTable[[#This Row],[Equity Value]],0)</f>
        <v>0</v>
      </c>
      <c r="AO248" s="152">
        <f>IF(AND(ISNUMBER( SnapshotTable[[#This Row],[Long Term Target]]), ISNUMBER(SnapshotTable[[#This Row],[Last Price]])),(SnapshotTable[[#This Row],[Long Term Target]] - SnapshotTable[[#This Row],[Last Price]]) / SnapshotTable[[#This Row],[Last Price]], "")</f>
        <v>2.5982264665757167</v>
      </c>
      <c r="AP248" s="5">
        <v>60</v>
      </c>
      <c r="AQ248" s="38" t="s">
        <v>38</v>
      </c>
      <c r="AR248" s="5">
        <v>55</v>
      </c>
      <c r="AS248" s="38" t="s">
        <v>109</v>
      </c>
      <c r="AT248" s="146" t="s">
        <v>532</v>
      </c>
      <c r="AU248" s="187" t="str">
        <f>IF(OR(SnapshotTable[[#This Row],[LP No Fill]]="Y",SnapshotTable[[#This Row],[SP Is Filled]],SnapshotTable[[#This Row],[LC Not Filled]]="Y",SnapshotTable[[#This Row],[SC Is Filled]]),"Y","")</f>
        <v/>
      </c>
      <c r="AV248" s="219"/>
      <c r="AW248" s="225"/>
      <c r="AX248" s="220"/>
      <c r="AY248" s="219" t="str">
        <f>IF(SnapshotTable[[#This Row],[Implied Move]]&gt;0, SnapshotTable[[#This Row],[Last Price]]-SnapshotTable[[#This Row],[Implied Move]],"")</f>
        <v/>
      </c>
      <c r="AZ248" s="219" t="str">
        <f>IF(SnapshotTable[[#This Row],[Implied Move]]&gt;0, SnapshotTable[[#This Row],[Last Price]] + SnapshotTable[[#This Row],[Implied Move]],"")</f>
        <v/>
      </c>
      <c r="BA248" s="331"/>
      <c r="BB248" s="347"/>
      <c r="BC24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8" s="351"/>
      <c r="BE248" s="5"/>
      <c r="BF248" s="14"/>
      <c r="BG248" s="13"/>
      <c r="BH248" s="13"/>
      <c r="BI248" s="5"/>
      <c r="BJ248" s="136">
        <f>IF(SnapshotTable[[#This Row],[LP Qty]] &gt; 0, SnapshotTable[[#This Row],[LP Qty]] * SnapshotTable[[#This Row],[LP Book Price]] * 100,0)</f>
        <v>0</v>
      </c>
      <c r="BK248" s="136">
        <f>IF(SnapshotTable[[#This Row],[LP Premium]] &gt; 0, SnapshotTable[[#This Row],[LP Qty]] * SnapshotTable[[#This Row],[LP Strike Price]] * 100,0)</f>
        <v>0</v>
      </c>
      <c r="BL248" s="154"/>
      <c r="BM248" s="385" t="str">
        <f>IF(SnapshotTable[[#This Row],[LP Premium]] &gt; 0,SnapshotTable[[#This Row],[LP Exp Date]]-MAX(SnapshotTable[[#This Row],[LP Book Date]], SnapshotTable[[#This Row],[LP Fill Date]]),"")</f>
        <v/>
      </c>
      <c r="BN248" s="385" t="str">
        <f>IF(ISNUMBER( SnapshotTable[[#This Row],[LP Term]]), SnapshotTable[[#This Row],[LP Exp Date]] - MockToday,"")</f>
        <v/>
      </c>
      <c r="BO248" s="163" t="str">
        <f>IF(AND(SnapshotTable[[#This Row],[LP Exp Date]]&gt;0, SnapshotTable[[#This Row],[LP Strike Price]]&gt;0,SnapshotTable[[#This Row],[LP Qty]]&gt;0,SnapshotTable[[#This Row],[LP Book Date]]&gt;0,SnapshotTable[[#This Row],[LP Book Price]]&gt;0,SnapshotTable[[#This Row],[LP Fill Date]]=0),"Y","")</f>
        <v/>
      </c>
      <c r="BP248" s="31" t="str">
        <f>IF(AND(SnapshotTable[[#This Row],[LP No Fill]]&lt;&gt;"Y",SnapshotTable[[#This Row],[LP Contract Value]]&gt;0, SnapshotTable[[#This Row],[LP Qty]]&gt;0), SnapshotTable[[#This Row],[LP Contract Value]]*SnapshotTable[[#This Row],[LP Qty]]*100,"")</f>
        <v/>
      </c>
      <c r="BQ248" s="13"/>
      <c r="BR248" s="5" t="str">
        <f>IF(SnapshotTable[[#This Row],[SP Exp Date]]&lt;&gt;"",TRUNC(SnapshotTable[[#This Row],[Last Price]]),"")</f>
        <v/>
      </c>
      <c r="BS248" s="36"/>
      <c r="BT248" s="147"/>
      <c r="BU248" s="13"/>
      <c r="BV248" s="5"/>
      <c r="BW248" s="419" t="b">
        <f>AND(ISNUMBER(SnapshotTable[[#This Row],[SP Exp Date]]), ISNUMBER(SnapshotTable[[#This Row],[SP Strike Price]]), ISNUMBER(SnapshotTable[[#This Row],[SP Qty]]), ISNUMBER(SnapshotTable[[#This Row],[SP Book Date]]), ISNUMBER(SnapshotTable[[#This Row],[SP Book Price]]))</f>
        <v>0</v>
      </c>
      <c r="BX248" s="419" t="b">
        <f>AND(SnapshotTable[[#This Row],[SP Is Booked]], NOT(ISBLANK(SnapshotTable[[#This Row],[SP Fill Date]])))</f>
        <v>0</v>
      </c>
      <c r="BY248" s="33">
        <f>IF(SnapshotTable[[#This Row],[SP Is Booked]], SnapshotTable[[#This Row],[SP Qty]] * SnapshotTable[[#This Row],[SP Book Price]] * 100, 0)</f>
        <v>0</v>
      </c>
      <c r="BZ248" s="369"/>
      <c r="CA248" s="368">
        <f>SnapshotTable[[#This Row],[LP Qty]]</f>
        <v>0</v>
      </c>
      <c r="CB248" s="4" t="str">
        <f>IF(SnapshotTable[[#This Row],[SP Is Booked]], SnapshotTable[[#This Row],[SP Strike Price]] - SnapshotTable[[#This Row],[SP Book Price]], "")</f>
        <v/>
      </c>
      <c r="CC248" s="19" t="str">
        <f>IF(SnapshotTable[[#This Row],[SP Is Booked]],SnapshotTable[[#This Row],[SP Exp Date]]-MAX(SnapshotTable[[#This Row],[SP Book Date]], SnapshotTable[[#This Row],[SP Fill Date]]),"")</f>
        <v/>
      </c>
      <c r="CD248" s="7" t="str">
        <f>IF(SnapshotTable[[#This Row],[SP Is Booked]], SnapshotTable[[#This Row],[SP Book Price]]/SnapshotTable[[#This Row],[SP Strike Price]], "")</f>
        <v/>
      </c>
      <c r="CE248" s="7" t="str">
        <f>IF(ISNUMBER(SnapshotTable[[#This Row],[SP ROO Term]]),SnapshotTable[[#This Row],[SP ROO Term]]*(365/SnapshotTable[[#This Row],[SP Term]]),"")</f>
        <v/>
      </c>
      <c r="CF248" s="236">
        <f>SnapshotTable[[#This Row],[LP Strike Price]] * SnapshotTable[[#This Row],[LP Qty]] * 100</f>
        <v>0</v>
      </c>
      <c r="CG248" s="31" t="e">
        <f>IF(ISNUMBER(SnapshotTable[[#This Row],[SP Premium]]), (SnapshotTable[[#This Row],[SP Qty]] * SnapshotTable[[#This Row],[SP Strike Price]]* 100) - SnapshotTable[[#This Row],[LP Protection]], 0)</f>
        <v>#VALUE!</v>
      </c>
      <c r="CH248" s="7" t="str">
        <f>IF(ISNUMBER(SnapshotTable[[#This Row],[SP Break Even]]),-1 * (SnapshotTable[[#This Row],[SP Break Even]] - SnapshotTable[[#This Row],[Last Price]]) / SnapshotTable[[#This Row],[Last Price]], "")</f>
        <v/>
      </c>
      <c r="CI248" s="31">
        <f>IF(AND(ISNUMBER((SnapshotTable[[#This Row],[SP Potential Spend]])), SnapshotTable[[#This Row],[SP Strike Price]] &gt; SnapshotTable[[#This Row],[Last Price]], SnapshotTable[[#This Row],[SP Is Filled]]), SnapshotTable[[#This Row],[SP Potential Spend]] -  SnapshotTable[[#This Row],[LP Max Value]], 0)</f>
        <v>0</v>
      </c>
      <c r="CJ248" s="244"/>
      <c r="CK248" s="31" t="str">
        <f>IF(ISNUMBER(SnapshotTable[[#This Row],[SP Potential Spend]]),IF(ISNUMBER(SnapshotTable[[#This Row],[SP POW]]), SnapshotTable[[#This Row],[SP POW]] * SnapshotTable[[#This Row],[SP Potential Spend]], SnapshotTable[[#This Row],[SP Potential Spend]]), "")</f>
        <v/>
      </c>
      <c r="CL248" s="164" t="e">
        <f>IF(NOT(SnapshotTable[[#This Row],[SP Is Filled]]),(SnapshotTable[[#This Row],[SP Qty]] * SnapshotTable[[#This Row],[SP Strike Price]] * 100) - SnapshotTable[[#This Row],[LP Max Value]],"")</f>
        <v>#VALUE!</v>
      </c>
      <c r="CM248" s="31" t="str">
        <f>IF(SnapshotTable[[#This Row],[SP Actual Spend]]&lt;&gt;0, ((SnapshotTable[[#This Row],[SP Strike Price]]-SnapshotTable[[#This Row],[Last Price]]) *(SnapshotTable[[#This Row],[SP Qty]]*100) - SnapshotTable[[#This Row],[SP Premium]]) * - 1, "")</f>
        <v/>
      </c>
      <c r="CN248" s="78"/>
      <c r="CO248" s="369"/>
      <c r="CP248" s="4" t="str">
        <f>IF(SnapshotTable[[#This Row],[SP Is Filled]], btc_max_buyback_amount(SnapshotTable[[#This Row],[SP Fill Date]],SnapshotTable[[#This Row],[SP Exp Date]], SnapshotTable[[#This Row],[SP Book Price]]),"")</f>
        <v/>
      </c>
      <c r="CQ248" s="78"/>
      <c r="CR24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8" s="155" t="str">
        <f>IF(SnapshotTable[[#This Row],[SP Is Filled]], btc_next_cutoff_date(SnapshotTable[[#This Row],[SP Fill Date]],SnapshotTable[[#This Row],[SP Exp Date]]),"")</f>
        <v/>
      </c>
      <c r="CT248" s="235" t="str" cm="1">
        <f t="array" ref="CT248">IF(SnapshotTable[[#This Row],[SP Is Filled]], btc_should_buy_back(SnapshotTable[[#This Row],[SP Fill Date]], SnapshotTable[[#This Row],[SP Exp Date]], SnapshotTable[[#This Row],[SP Book Price]], SnapshotTable[[#This Row],[SP Current Ask]], MockToday, SnapshotTable[[#This Row],[SP Buyback Override]]),"")</f>
        <v/>
      </c>
      <c r="CU248" s="143"/>
      <c r="CV248" s="235"/>
      <c r="CW248" s="378" t="str">
        <f>IF(ISNUMBER( SnapshotTable[[#This Row],[SP Term]]), SnapshotTable[[#This Row],[SP Exp Date]] - MockToday,"")</f>
        <v/>
      </c>
      <c r="CX248" s="31" t="str">
        <f>IF(SnapshotTable[[#This Row],[SP Is Filled]],SnapshotTable[[#This Row],[SP Buyback Price to Use]] * 100 * SnapshotTable[[#This Row],[SP Qty]], "")</f>
        <v/>
      </c>
      <c r="CY248" s="4" t="str">
        <f>IF(ISNUMBER(SnapshotTable[[#This Row],[SP Strike Price]]), SnapshotTable[[#This Row],[SP Strike Price]] * (1 - SP_MaxLoss_StrikePct), "")</f>
        <v/>
      </c>
      <c r="CZ248" s="31" t="str">
        <f>IF(ISNUMBER(SnapshotTable[[#This Row],[SP Strike  Stop Per Share]]),SnapshotTable[[#This Row],[SP Premium]] - ((SnapshotTable[[#This Row],[SP Strike Price]]-SnapshotTable[[#This Row],[SP Strike  Stop Per Share]]) *(SnapshotTable[[#This Row],[SP Qty]] * 100)),"")</f>
        <v/>
      </c>
      <c r="DA248" s="4" t="str">
        <f>IF(AND(ISNUMBER(SnapshotTable[[#This Row],[SP Premium]]),SnapshotTable[[#This Row],[SP Premium]]&gt;0), SnapshotTable[[#This Row],[SP Book Price]] * (1 + SP_MaxLoss_OptionPct), "")</f>
        <v/>
      </c>
      <c r="DB248" s="31" t="str">
        <f>IF(ISNUMBER(SnapshotTable[[#This Row],[SP Option  Stop Contract]]),(SnapshotTable[[#This Row],[SP Option  Stop Contract]] *(SnapshotTable[[#This Row],[SP Qty]] * 100) - SnapshotTable[[#This Row],[SP Premium]]),"")</f>
        <v/>
      </c>
      <c r="DC248" s="4"/>
      <c r="DD248" s="4"/>
      <c r="DE248" s="4" t="str">
        <f>IF(AND(SnapshotTable[[#This Row],[SP Qty]]&gt;0, SnapshotTable[[#This Row],[SP Stop To Use]]&gt;0),SnapshotTable[[#This Row],[SP Premium]] - ( SnapshotTable[[#This Row],[SP Qty]] * SnapshotTable[[#This Row],[SP Stop To Use]] * 100), "")</f>
        <v/>
      </c>
      <c r="DF248" s="31" t="str">
        <f>IF(AND(SnapshotTable[[#This Row],[SP Qty]]&gt;0,SnapshotTable[[#This Row],[SP Current Ask]]&gt;0), SnapshotTable[[#This Row],[SP Qty]] * SnapshotTable[[#This Row],[SP Current Ask]] * -100, "")</f>
        <v/>
      </c>
      <c r="DG248" s="31" t="str">
        <f>IF(ISNUMBER((SnapshotTable[[#This Row],[SP Total Value]])), SnapshotTable[[#This Row],[SP Premium]] + SnapshotTable[[#This Row],[SP Total Value]], "")</f>
        <v/>
      </c>
      <c r="DH248" s="294" t="str">
        <f>IF(ISNUMBER((SnapshotTable[[#This Row],[SP Total Value]])), SnapshotTable[[#This Row],[SP Gain Loss]] / SnapshotTable[[#This Row],[SP Premium]], "")</f>
        <v/>
      </c>
      <c r="DI248" s="406"/>
      <c r="DJ248" s="138"/>
      <c r="DK248" s="148"/>
      <c r="DL248" s="13"/>
      <c r="DM248" s="13"/>
      <c r="DO248" s="31">
        <f>IF(SnapshotTable[[#This Row],[LC Symbol Count]]=1, SnapshotTable[[#This Row],[LC Qty]] * SnapshotTable[[#This Row],[LC Book Price]] * 100, 0)</f>
        <v>0</v>
      </c>
      <c r="DP248" s="163" t="str">
        <f>IF(AND(SnapshotTable[[#This Row],[LC Exp Date]]&gt;0, SnapshotTable[[#This Row],[LC Strike Price]]&gt;0,SnapshotTable[[#This Row],[LC Qty]]&gt;0,SnapshotTable[[#This Row],[LC Book Date]]&gt;0,SnapshotTable[[#This Row],[LC Book Price]]&gt;0,SnapshotTable[[#This Row],[LC Fill Date]]=0),"Y","")</f>
        <v/>
      </c>
      <c r="DQ248" s="386" t="str">
        <f>IF(SnapshotTable[[#This Row],[LC Premium]] &gt; 0,SnapshotTable[[#This Row],[LC Exp Date]]-MAX(SnapshotTable[[#This Row],[LC Book Date]], SnapshotTable[[#This Row],[LC Fill Date]]),"")</f>
        <v/>
      </c>
      <c r="DR248" s="386" t="str">
        <f>IF(ISNUMBER(SnapshotTable[[#This Row],[LC Term]]), SnapshotTable[[#This Row],[LC Exp Date]] - MockToday, "")</f>
        <v/>
      </c>
      <c r="DS248" s="234" t="str">
        <f>IF(SnapshotTable[[#This Row],[LC Premium]]&gt;0,SnapshotTable[[#This Row],[LC Strike Price]] + SnapshotTable[[#This Row],[LC Book Price]],"")</f>
        <v/>
      </c>
      <c r="DU248" s="9" t="str">
        <f>IF(AND(SnapshotTable[[#This Row],[LC Symbol Count]]&gt;0, SnapshotTable[[#This Row],[LC Contract Value]]&gt;0), SnapshotTable[[#This Row],[LC Contract Value]] * SnapshotTable[[#This Row],[LC Qty]] * 100, "")</f>
        <v/>
      </c>
      <c r="DV248" s="9" t="str">
        <f>IF(AND(ISNUMBER(SnapshotTable[[#This Row],[LC Total Value]]), SnapshotTable[[#This Row],[LC Not Filled]]&lt;&gt;"Y"), SnapshotTable[[#This Row],[LC Total Value]]-SnapshotTable[[#This Row],[LC Premium]],"")</f>
        <v/>
      </c>
      <c r="DW248" s="240" t="str">
        <f>IF(ISNUMBER(SnapshotTable[[#This Row],[LC Actual Gain Loss]]), SnapshotTable[[#This Row],[LC Actual Gain Loss]] / SnapshotTable[[#This Row],[LC Premium]],"")</f>
        <v/>
      </c>
      <c r="DX248" s="284" t="str">
        <f>IF(ISNUMBER(SnapshotTable[[#This Row],[LC Book Price]]),SnapshotTable[[#This Row],[LC Book Price]] * 1.5,"")</f>
        <v/>
      </c>
      <c r="DY248" s="265" t="str">
        <f>IF(SnapshotTable[[#This Row],[LC Premium]]&gt;0, SnapshotTable[[#This Row],[LC Next Target]] * SnapshotTable[[#This Row],[LC Qty]] * 100,"")</f>
        <v/>
      </c>
      <c r="DZ248" s="265" t="str">
        <f>IF(ISNUMBER(SnapshotTable[[#This Row],[LC Target Gross]]), SnapshotTable[[#This Row],[LC Target Gross]] - SnapshotTable[[#This Row],[LC Premium]], "")</f>
        <v/>
      </c>
      <c r="EA248" s="305" t="str">
        <f>IF(ISNUMBER(SnapshotTable[[#This Row],[LC Target Gain Loss]]), SnapshotTable[[#This Row],[LC Target Gain Loss]]/SnapshotTable[[#This Row],[LC Premium]], "")</f>
        <v/>
      </c>
      <c r="EB248" s="262"/>
      <c r="EC248" s="283" t="str">
        <f>IF(SnapshotTable[[#This Row],[LC Premium]]&gt;0, SnapshotTable[[#This Row],[LC Book Price]] * (1 - LC_StopLoss_Pct),"")</f>
        <v/>
      </c>
      <c r="ED248" s="284"/>
      <c r="EE248" s="283" t="str">
        <f>IF(ISNUMBER(SnapshotTable[[#This Row],[LC Contract Value]]),IF(ISNUMBER(SnapshotTable[[#This Row],[LC Stop Loss Override]]), SnapshotTable[[#This Row],[LC Stop Loss Override]],SnapshotTable[[#This Row],[LC Stop Loss Calc Target]]),"")</f>
        <v/>
      </c>
      <c r="EF248" s="31" t="str">
        <f>IF(ISNUMBER(SnapshotTable[[#This Row],[LC Stop  To Use]]), (SnapshotTable[[#This Row],[LC Stop  To Use]] * SnapshotTable[[#This Row],[LC Qty]] * 100),"")</f>
        <v/>
      </c>
      <c r="EG248" s="9" t="str">
        <f>IF(ISNUMBER(SnapshotTable[[#This Row],[LC Total Value]]),SnapshotTable[[#This Row],[LC Stop Loss Amount]] - SnapshotTable[[#This Row],[LC Premium]],"")</f>
        <v/>
      </c>
      <c r="EH248" s="9">
        <f>IF(ISNUMBER(SnapshotTable[[#This Row],[LC Premium]]), SnapshotTable[[#This Row],[LC Qty]] * 100 * SnapshotTable[[#This Row],[LC Strike Price]], "")</f>
        <v>0</v>
      </c>
      <c r="EI248" s="240" t="str">
        <f>IF(AND(ISNUMBER(SnapshotTable[[#This Row],[LC Total Value]]),SnapshotTable[[#This Row],[LC Total Value]]&gt;0),SnapshotTable[[#This Row],[LC Stop Gain Loss]]  / SnapshotTable[[#This Row],[LC Premium]],"")</f>
        <v/>
      </c>
      <c r="EJ248" s="35">
        <f>IF(ISNUMBER(SnapshotTable[[#This Row],[Equity Shares]]),TRUNC(SnapshotTable[[#This Row],[Equity Shares]] / 100),0) + SnapshotTable[[#This Row],[LC Qty]]</f>
        <v>0</v>
      </c>
      <c r="EK248" s="147"/>
      <c r="EL248" s="138" t="str">
        <f>IF(SnapshotTable[[#This Row],[SC Exp Date]]&lt;&gt;"",TRUNC(SnapshotTable[[#This Row],[Last Price]]),"")</f>
        <v/>
      </c>
      <c r="EM248" s="148"/>
      <c r="EN248" s="147"/>
      <c r="EO248" s="147"/>
      <c r="EP248" s="138"/>
      <c r="EQ248" s="419" t="b">
        <f>AND(ISNUMBER(SnapshotTable[[#This Row],[SC Exp Date]]), ISNUMBER(SnapshotTable[[#This Row],[SC Strike Price]]), ISNUMBER(SnapshotTable[[#This Row],[SC Qty]]), ISNUMBER(SnapshotTable[[#This Row],[SC Book Date]]), ISNUMBER(SnapshotTable[[#This Row],[SC Book Price]]))</f>
        <v>0</v>
      </c>
      <c r="ER248" s="419" t="b">
        <f>AND(SnapshotTable[[#This Row],[SC Is Booked]], NOT(ISBLANK(SnapshotTable[[#This Row],[SC Fill Date]])))</f>
        <v>0</v>
      </c>
      <c r="ES248" s="370"/>
      <c r="ET248" s="34" t="str">
        <f>IF(AND(ISNUMBER(SnapshotTable[[#This Row],[SC Exp Date]]), ISNUMBER(SnapshotTable[[#This Row],[SC Book Date]])), SnapshotTable[[#This Row],[SC Exp Date]] - MAX(SnapshotTable[[#This Row],[SC Book Date]], SnapshotTable[[#This Row],[SC Fill Date]]) + 1, "")</f>
        <v/>
      </c>
      <c r="EU248" s="34" t="str">
        <f>IF(ISNUMBER(SnapshotTable[[#This Row],[SC Term]]), SnapshotTable[[#This Row],[SC Exp Date]]- MockToday, "")</f>
        <v/>
      </c>
      <c r="EV248" s="31">
        <f>IF(SnapshotTable[[#This Row],[SC Is Booked]], SnapshotTable[[#This Row],[SC Qty]] * SnapshotTable[[#This Row],[SC Book Price]] * 100, 0)</f>
        <v>0</v>
      </c>
      <c r="EW248" s="4" t="str">
        <f>IF(AND(ISNUMBER(SnapshotTable[[#This Row],[Last Price]]), ISNUMBER( SnapshotTable[[#This Row],[SC Book Price]])), SnapshotTable[[#This Row],[Last Price]] - SnapshotTable[[#This Row],[SC Book Price]],"")</f>
        <v/>
      </c>
      <c r="EX248" s="234" t="str">
        <f>IF(SnapshotTable[[#This Row],[SC Is Booked]],IF(SnapshotTable[[#This Row],[SC Intrinsic Value]] &gt; 0, SnapshotTable[[#This Row],[SC Strike Price]], SnapshotTable[[#This Row],[Last Price]]), "")</f>
        <v/>
      </c>
      <c r="EY248" s="4">
        <f>IF(SnapshotTable[[#This Row],[SC Is Booked]], (MinimumPremiumRequired * SnapshotTable[[#This Row],[SC Basis]] * SnapshotTable[[#This Row],[SC Term]]), 0)</f>
        <v>0</v>
      </c>
      <c r="EZ248" s="283"/>
      <c r="FA248" s="218"/>
      <c r="FB248" s="370"/>
      <c r="FC248" s="4">
        <f>IF(SnapshotTable[[#This Row],[SC Is Filled]], btc_max_buyback_amount(SnapshotTable[[#This Row],[SC Fill Date]],SnapshotTable[[#This Row],[SC Exp Date]], SnapshotTable[[#This Row],[SC Book Price]]),0)</f>
        <v>0</v>
      </c>
      <c r="FD248" s="5"/>
      <c r="FE248" s="144" t="str">
        <f>IF(SnapshotTable[[#This Row],[SC Is Filled]], btc_next_cutoff_date(SnapshotTable[[#This Row],[SC Fill Date]],SnapshotTable[[#This Row],[SC Exp Date]]),"")</f>
        <v/>
      </c>
      <c r="FF248" s="4" t="str" cm="1">
        <f t="array" ref="FF248">IF(SnapshotTable[[#This Row],[SC Is Filled]], btc_should_buy_back(SnapshotTable[[#This Row],[SC Fill Date]], SnapshotTable[[#This Row],[SC Exp Date]], SnapshotTable[[#This Row],[SC Book Price]], SnapshotTable[[#This Row],[SC Current Ask]], MockToday, SnapshotTable[[#This Row],[SC Buyback Override]]),"")</f>
        <v/>
      </c>
      <c r="FG248" s="4">
        <f>IF(SnapshotTable[[#This Row],[SC Is Filled]], MAX(0,SnapshotTable[[#This Row],[Last Price]]  - SnapshotTable[[#This Row],[SC Strike Price]]), 0)</f>
        <v>0</v>
      </c>
      <c r="FH248" s="382">
        <f>IF(SnapshotTable[[#This Row],[SC Is Filled]], IF(ISNUMBER(SnapshotTable[[#This Row],[SC Current Ask]]), SnapshotTable[[#This Row],[SC Current Ask]], SnapshotTable[[#This Row],[SC Book Price]]) - SnapshotTable[[#This Row],[SC Intrinsic Value]], 0)</f>
        <v>0</v>
      </c>
      <c r="FI248" s="143"/>
      <c r="FJ248" s="32" t="str">
        <f>IF(SnapshotTable[[#This Row],[SC Is Filled]],100 * SnapshotTable[[#This Row],[SC Qty]] * IF(ISNUMBER(SnapshotTable[[#This Row],[SC Buyback Override]]), SnapshotTable[[#This Row],[SC Buyback Override]], SnapshotTable[[#This Row],[SC Current Ask]]), "")</f>
        <v/>
      </c>
      <c r="FK248" s="250" t="str">
        <f>IF(SnapshotTable[[#This Row],[SC Time Val]]&gt;0, SnapshotTable[[#This Row],[SC Time Val]] / SnapshotTable[[#This Row],[Last Price]],"")</f>
        <v/>
      </c>
      <c r="FL248" s="302" t="str">
        <f>IF(SnapshotTable[[#This Row],[SC Is Booked]], ((SnapshotTable[[#This Row],[Last Price]] -SnapshotTable[[#This Row],[SC Strike Price]]) / SnapshotTable[[#This Row],[Last Price]]) * -1, "")</f>
        <v/>
      </c>
      <c r="FM248" s="157" t="str">
        <f>IF(SnapshotTable[[#This Row],[SC Is Booked]],  (SnapshotTable[[#This Row],[SC Qty]] * 100 * SnapshotTable[[#This Row],[SC Strike Price]]) - SnapshotTable[[#This Row],[SC Current Ask]], "")</f>
        <v/>
      </c>
      <c r="FN24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8" s="31" t="str">
        <f>IF(AND(ISNUMBER(SnapshotTable[[#This Row],[SC Exercise Gross]]), ISNUMBER(SnapshotTable[[#This Row],[Equity Basis Per Share]] )), SnapshotTable[[#This Row],[SC Exercise Gross]] - SnapshotTable[[#This Row],[Equity Basis Total]] +  SnapshotTable[[#This Row],[SC Premium]], "")</f>
        <v/>
      </c>
      <c r="FP248" s="5" t="str">
        <f>IF(ISNUMBER(SnapshotTable[[#This Row],[SC Exercise Gross]]), (SnapshotTable[[#This Row],[SC Exercise Gross]]) / (SnapshotTable[[#This Row],[SC Qty]] * 100), "")</f>
        <v/>
      </c>
      <c r="FQ248" s="27" t="str">
        <f>IF(SnapshotTable[[#This Row],[SC Is Booked]],SnapshotTable[[#This Row],[SC Time Val]] /SnapshotTable[[#This Row],[SC Basis]], "")</f>
        <v/>
      </c>
      <c r="FR248" s="27" t="str" cm="1">
        <f t="array" ref="FR248">IF(AND(ISNUMBER(SnapshotTable[[#This Row],[SC Term]]),ISNUMBER(SnapshotTable[[#This Row],[SC Simple ROO]])), EllmanAnnualize(SnapshotTable[[#This Row],[SC DTE]], SnapshotTable[[#This Row],[SC Simple ROO]] ),"")</f>
        <v/>
      </c>
      <c r="FS248" s="4" t="e">
        <f>IF(SnapshotTable[[#This Row],[SC Strike Price]] &gt; SnapshotTable[[#This Row],[Last Price]], SnapshotTable[[#This Row],[SC Strike Price]] - SnapshotTable[[#This Row],[Last Price]],0)</f>
        <v>#VALUE!</v>
      </c>
      <c r="FT248" s="27" t="e">
        <f>IF(AND(ISNUMBER(SnapshotTable[[#This Row],[SC Upside Potential]]), SnapshotTable[[#This Row],[SC Upside Potential]] &gt; 0),(SnapshotTable[[#This Row],[SC Upside Potential]]/ SnapshotTable[[#This Row],[ACB]]),"")</f>
        <v>#VALUE!</v>
      </c>
      <c r="FU248" s="333" t="str">
        <f>IF(SnapshotTable[[#This Row],[SC Intrinsic Value]] &gt; 0,SnapshotTable[[#This Row],[SC Intrinsic Value]],"")</f>
        <v/>
      </c>
      <c r="FV248" s="27" t="str">
        <f>IF(AND( ISNUMBER( SnapshotTable[[#This Row],[ACB]]),ISNUMBER(SnapshotTable[[#This Row],[SC Downside Protect]])),SnapshotTable[[#This Row],[SC Downside Protect]] / SnapshotTable[[#This Row],[ACB]],"")</f>
        <v/>
      </c>
      <c r="FW248" s="236" t="str">
        <f>IF(AND(ISNUMBER(SnapshotTable[[#This Row],[SC Simple ROO]]),SnapshotTable[[#This Row],[SC Simple ROO]] &gt; 0), SnapshotTable[[#This Row],[SC Premium]] + (SnapshotTable[[#This Row],[SC Qty]] * SnapshotTable[[#This Row],[SC Upside Potential]]), "")</f>
        <v/>
      </c>
      <c r="FX248" s="302" t="str" cm="1">
        <f t="array" ref="FX248">IF(ISNUMBER(SnapshotTable[[#This Row],[SC Max Dollars]]), annualize(SnapshotTable[[#This Row],[SC Term]],(SnapshotTable[[#This Row],[SC Max Dollars]]/SnapshotTable[[#This Row],[SC Basis]])),"")</f>
        <v/>
      </c>
      <c r="FY248" s="236" t="str">
        <f>IF(AND(SnapshotTable[[#This Row],[SC Qty]]&gt;0,SnapshotTable[[#This Row],[SC Current Ask]]&gt;0), SnapshotTable[[#This Row],[SC Qty]] * SnapshotTable[[#This Row],[SC Current Ask]] * -100, "")</f>
        <v/>
      </c>
      <c r="FZ248" s="31" t="str">
        <f>IF(ISNUMBER((SnapshotTable[[#This Row],[SC Current Value]])), SnapshotTable[[#This Row],[SC Premium]] + SnapshotTable[[#This Row],[SC Current Value]], "")</f>
        <v/>
      </c>
      <c r="GA248" s="294" t="str">
        <f>IFERROR( IF(ISNUMBER((SnapshotTable[[#This Row],[SC Current Value]])), SnapshotTable[[#This Row],[SC Gain Loss]] / SnapshotTable[[#This Row],[SC Premium]], ""), "")</f>
        <v/>
      </c>
      <c r="GB248" s="42">
        <f>SnapshotTable[[#This Row],[Equity Shares]] * SaleSharesToConsiderPercentage</f>
        <v>0</v>
      </c>
      <c r="GC248" s="40">
        <f>SnapshotTable[[#This Row],[Long Term Target]] * SellingPriceToConsiderBasedOnTargetPercentage</f>
        <v>50.112499999999997</v>
      </c>
      <c r="GD248" s="40">
        <f>SnapshotTable[[#This Row],[Last Price]] * (1+ SellingPriceToConsiderBasedOnTargetPercentage)</f>
        <v>28.587</v>
      </c>
      <c r="GE248" s="41"/>
      <c r="GF248" s="40"/>
      <c r="GG248" s="31">
        <f>SnapshotTable[[#This Row],[Booked Sale Shares]] * SnapshotTable[[#This Row],[Booked Sale Price]]</f>
        <v>0</v>
      </c>
      <c r="GH248" s="31" t="str">
        <f>IF(SnapshotTable[[#This Row],[Equity Basis Total]] &gt; 0, SnapshotTable[[#This Row],[Equity Basis Per Share]] * SnapshotTable[[#This Row],[Booked Sale Shares]], "")</f>
        <v/>
      </c>
      <c r="GI248" s="31">
        <f>IF(SnapshotTable[[#This Row],[Sale Proceeds]]&gt;0, SnapshotTable[[#This Row],[Sale Proceeds]] - SnapshotTable[[#This Row],[Sale Basis]], 0)</f>
        <v>0</v>
      </c>
      <c r="GJ248" s="27" t="str">
        <f>IF(SnapshotTable[[#This Row],[Sale G/L]]&gt;0, SnapshotTable[[#This Row],[Sale G/L]] / SnapshotTable[[#This Row],[Sale Basis]], IF(ISNUMBER(SnapshotTable[[#This Row],[SC Exercise P&amp;L (TAX)]]), SnapshotTable[[#This Row],[SC Exercise P&amp;L (TAX)]] / SnapshotTable[[#This Row],[SC Basis]], ""))</f>
        <v/>
      </c>
      <c r="GK248" s="27" t="s">
        <v>745</v>
      </c>
      <c r="GL248" s="43" t="str">
        <f>IF(AND(SnapshotTable[[#This Row],[LP Exp Date]]&gt;0,SnapshotTable[[#This Row],[LP Strike Price]]&gt;0), [1]!ToOptionSymbol(SnapshotTable[[#This Row],[Symbol]], SnapshotTable[[#This Row],[LP Strike Price]],SnapshotTable[[#This Row],[LP Exp Date]],1), "")</f>
        <v/>
      </c>
      <c r="GM248" s="30" t="str">
        <f>IF(LEN(SnapshotTable[[#This Row],[LP Symbol]])&gt;0, 1, "")</f>
        <v/>
      </c>
      <c r="GN248" s="43" t="str">
        <f>IF(AND(SnapshotTable[[#This Row],[SP Exp Date]]&gt;0,SnapshotTable[[#This Row],[SP Strike Price]]&gt;0), [1]!ToOptionSymbol(SnapshotTable[[#This Row],[Symbol]], SnapshotTable[[#This Row],[SP Strike Price]],SnapshotTable[[#This Row],[SP Exp Date]],1), "")</f>
        <v/>
      </c>
      <c r="GO248" s="30" t="str">
        <f>IF(LEN(SnapshotTable[[#This Row],[SP Symbol]])&gt;0, 1, "")</f>
        <v/>
      </c>
      <c r="GP248" s="43" t="str">
        <f>IF(AND(SnapshotTable[[#This Row],[LC Exp Date]]&gt;0,SnapshotTable[[#This Row],[LC Strike Price]]&gt;0), [1]!ToOptionSymbol(SnapshotTable[[#This Row],[Symbol]], SnapshotTable[[#This Row],[LC Strike Price]],SnapshotTable[[#This Row],[LC Exp Date]],0), "")</f>
        <v/>
      </c>
      <c r="GQ248" s="30" t="str">
        <f>IF(LEN(SnapshotTable[[#This Row],[LC Symbol]])&gt;0, 1, "")</f>
        <v/>
      </c>
      <c r="GR248" s="43" t="str">
        <f>IF(AND(SnapshotTable[[#This Row],[SC Exp Date]]&gt;0,SnapshotTable[[#This Row],[SC Strike Price]]&gt;0), [1]!ToOptionSymbol(SnapshotTable[[#This Row],[Symbol]], SnapshotTable[[#This Row],[SC Strike Price]],SnapshotTable[[#This Row],[SC Exp Date]],0), "")</f>
        <v/>
      </c>
      <c r="GS248" s="30" t="str">
        <f>IF(LEN(SnapshotTable[[#This Row],[SC Symbol]])&gt;0, 1, "")</f>
        <v/>
      </c>
      <c r="GT248" s="29" t="str">
        <f>IF(COUNT(SnapshotTable[[#This Row],[LP Symbol Count]],SnapshotTable[[#This Row],[SP Symbol Count]],SnapshotTable[[#This Row],[LC Symbol Count]],SnapshotTable[[#This Row],[SC Symbol Count]])&gt;0, "Y", "")</f>
        <v/>
      </c>
      <c r="GU24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8" s="231" t="e">
        <f>MAX(SnapshotTable[[#This Row],[Equity Basis Total]],SnapshotTable[[#This Row],[Equity Value]]) + (SnapshotTable[[#This Row],[SP Potential Spend]]- SnapshotTable[[#This Row],[SP Premium]] + SnapshotTable[[#This Row],[LP Premium]])+ (SnapshotTable[[#This Row],[LC Premium]] - SnapshotTable[[#This Row],[SC Premium]])</f>
        <v>#VALUE!</v>
      </c>
      <c r="GW248" s="139" t="e">
        <f>IF(AND(SnapshotTable[[#This Row],[Exposure]] &lt;&gt; 0),SnapshotTable[[#This Row],[Exposure]] / SnapshotTable[[#Totals],[Exposure]], "")</f>
        <v>#VALUE!</v>
      </c>
      <c r="GX248" s="45"/>
      <c r="HE248" s="268"/>
      <c r="HF248" s="268"/>
      <c r="HK248" s="1"/>
      <c r="HL248" s="1"/>
      <c r="HM248" s="1"/>
      <c r="HN248" s="1"/>
      <c r="HO248" s="1"/>
      <c r="HP248" s="1"/>
    </row>
    <row r="249" spans="2:224" ht="12.75" hidden="1" customHeight="1" x14ac:dyDescent="0.25">
      <c r="B249" s="12" t="s">
        <v>203</v>
      </c>
      <c r="C249" s="422">
        <v>24.33</v>
      </c>
      <c r="D249" s="208"/>
      <c r="E249" s="39">
        <f>SnapshotTable[[#This Row],[Last Price]]*(1 -CrashDiscount)</f>
        <v>20.680499999999999</v>
      </c>
      <c r="F249" s="26" t="s">
        <v>23</v>
      </c>
      <c r="G249" s="26" t="s">
        <v>14</v>
      </c>
      <c r="H249" s="149"/>
      <c r="I249" s="194">
        <v>44798.288194444445</v>
      </c>
      <c r="J249" s="195">
        <v>44798.288194444445</v>
      </c>
      <c r="K249" s="196"/>
      <c r="L249" s="326"/>
      <c r="M249" s="140"/>
      <c r="N249" s="140"/>
      <c r="O249" s="140">
        <v>4</v>
      </c>
      <c r="P249" s="22"/>
      <c r="Q249" s="25"/>
      <c r="R249" s="4" t="str">
        <f>IF(SnapshotTable[[#This Row],[Equity Basis Total]] &gt; 0, SnapshotTable[[#This Row],[Equity Basis Total]] / SnapshotTable[[#This Row],[Equity Shares]], "")</f>
        <v/>
      </c>
      <c r="S249" s="269">
        <f>SnapshotTable[[#This Row],[Last Price]] * SnapshotTable[[#This Row],[Equity Shares]]</f>
        <v>0</v>
      </c>
      <c r="T249" s="269">
        <f>SnapshotTable[[#This Row],[Equity Value]] - SnapshotTable[[#This Row],[Equity Basis Total]]</f>
        <v>0</v>
      </c>
      <c r="U249" s="270" t="str">
        <f>IF(SnapshotTable[[#This Row],[Equity Basis Total]] &gt; 0, SnapshotTable[[#This Row],[Equity G/L]] / SnapshotTable[[#This Row],[Equity Basis Total]], "")</f>
        <v/>
      </c>
      <c r="V249" s="268"/>
      <c r="W249" s="268"/>
      <c r="X249" s="4" t="str">
        <f>IF(AND(ISNUMBER(SnapshotTable[[#This Row],[Equity Basis Per Share]]),ISNUMBER(SnapshotTable[[#This Row],[Equity Target]])),SnapshotTable[[#This Row],[Equity Target]]-SnapshotTable[[#This Row],[Equity Basis Per Share]],"")</f>
        <v/>
      </c>
      <c r="Y249" s="4" t="str">
        <f>IF(AND(ISNUMBER(SnapshotTable[[#This Row],[Equity Basis Per Share]]),ISNUMBER(SnapshotTable[[#This Row],[Equity Stop Loss]])),SnapshotTable[[#This Row],[Equity Stop Loss]]-SnapshotTable[[#This Row],[Equity Basis Per Share]],"")</f>
        <v/>
      </c>
      <c r="Z249" s="275" t="str">
        <f>IFERROR( TEXT(SnapshotTable[[#This Row],[Equity Max Gain Per Share]] /ABS( SnapshotTable[[#This Row],[Equity Max Loss Per Share]]),"0.0 " ) &amp; " : 1", "")</f>
        <v/>
      </c>
      <c r="AA249" s="31" t="str">
        <f>IF(ISNUMBER(SnapshotTable[[#This Row],[Equity Max Gain Per Share]]),SnapshotTable[[#This Row],[Equity Max Gain Per Share]] * SnapshotTable[[#This Row],[Equity Shares]],"")</f>
        <v/>
      </c>
      <c r="AB249" s="31" t="str">
        <f>IF(ISNUMBER(SnapshotTable[[#This Row],[Equity Max Loss Per Share]]),SnapshotTable[[#This Row],[Equity Max Loss Per Share]] * SnapshotTable[[#This Row],[Equity Shares]],"")</f>
        <v/>
      </c>
      <c r="AC249" s="150">
        <v>1.44</v>
      </c>
      <c r="AD249" s="151">
        <v>42373</v>
      </c>
      <c r="AE249" s="31">
        <f>(SnapshotTable[[#This Row],[Annual Dividend Per Share]] / 4) * SnapshotTable[[#This Row],[Equity Shares]]</f>
        <v>0</v>
      </c>
      <c r="AF249" s="31">
        <f>SnapshotTable[[#This Row],[Quarterly Div $]] * 4</f>
        <v>0</v>
      </c>
      <c r="AG249" s="7">
        <f>IF(SnapshotTable[[#This Row],[Annual Dividend Per Share]]&gt;0, SnapshotTable[[#This Row],[Annual Dividend Per Share]]  / SnapshotTable[[#This Row],[Last Price]], 0)</f>
        <v>5.9186189889025895E-2</v>
      </c>
      <c r="AH249" s="151">
        <v>42438</v>
      </c>
      <c r="AI249" s="5"/>
      <c r="AJ249" s="138">
        <v>8.81</v>
      </c>
      <c r="AK249" s="152" t="str">
        <f>IF(ISNUMBER( SnapshotTable[[#This Row],[EBF Target]]),(SnapshotTable[[#This Row],[EBF Target]] - SnapshotTable[[#This Row],[Last Price]]) / SnapshotTable[[#This Row],[Last Price]], "")</f>
        <v/>
      </c>
      <c r="AL249" s="152" t="str">
        <f>IF(AND(SnapshotTable[[#This Row],[Equity Basis Total]] &gt; 0,ISNUMBER( SnapshotTable[[#This Row],[Long Term Target]])), SnapshotTable[[#This Row],[From Basis $]] / SnapshotTable[[#This Row],[Equity Basis Total]], "")</f>
        <v/>
      </c>
      <c r="AM249" s="9">
        <f>IF( AND(SnapshotTable[[#This Row],[Equity Shares]] &gt;0,ISNUMBER( SnapshotTable[[#This Row],[Long Term Target]])),(SnapshotTable[[#This Row],[Equity Shares]] * SnapshotTable[[#This Row],[Long Term Target]]) - SnapshotTable[[#This Row],[Equity Basis Total]],0)</f>
        <v>0</v>
      </c>
      <c r="AN249" s="9">
        <f>IF( AND(SnapshotTable[[#This Row],[Equity Shares]] &gt;0,ISNUMBER( SnapshotTable[[#This Row],[Long Term Target]])),(SnapshotTable[[#This Row],[Equity Shares]]*SnapshotTable[[#This Row],[Long Term Target]]) - SnapshotTable[[#This Row],[Equity Value]],0)</f>
        <v>0</v>
      </c>
      <c r="AO249" s="152">
        <f>IF(AND(ISNUMBER( SnapshotTable[[#This Row],[Long Term Target]]), ISNUMBER(SnapshotTable[[#This Row],[Last Price]])),(SnapshotTable[[#This Row],[Long Term Target]] - SnapshotTable[[#This Row],[Last Price]]) / SnapshotTable[[#This Row],[Last Price]], "")</f>
        <v>-0.63789560213727903</v>
      </c>
      <c r="AP249" s="5"/>
      <c r="AQ249" s="38"/>
      <c r="AR249" s="5"/>
      <c r="AS249" s="38"/>
      <c r="AT249" s="146"/>
      <c r="AU249" s="187" t="str">
        <f>IF(OR(SnapshotTable[[#This Row],[LP No Fill]]="Y",SnapshotTable[[#This Row],[SP Is Filled]],SnapshotTable[[#This Row],[LC Not Filled]]="Y",SnapshotTable[[#This Row],[SC Is Filled]]),"Y","")</f>
        <v/>
      </c>
      <c r="AV249" s="219"/>
      <c r="AW249" s="225"/>
      <c r="AX249" s="220"/>
      <c r="AY249" s="219" t="str">
        <f>IF(SnapshotTable[[#This Row],[Implied Move]]&gt;0, SnapshotTable[[#This Row],[Last Price]]-SnapshotTable[[#This Row],[Implied Move]],"")</f>
        <v/>
      </c>
      <c r="AZ249" s="219" t="str">
        <f>IF(SnapshotTable[[#This Row],[Implied Move]]&gt;0, SnapshotTable[[#This Row],[Last Price]] + SnapshotTable[[#This Row],[Implied Move]],"")</f>
        <v/>
      </c>
      <c r="BA249" s="331"/>
      <c r="BB249" s="347"/>
      <c r="BC24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9" s="351"/>
      <c r="BE249" s="5"/>
      <c r="BF249" s="14"/>
      <c r="BG249" s="13"/>
      <c r="BH249" s="13"/>
      <c r="BI249" s="5"/>
      <c r="BJ249" s="136">
        <f>IF(SnapshotTable[[#This Row],[LP Qty]] &gt; 0, SnapshotTable[[#This Row],[LP Qty]] * SnapshotTable[[#This Row],[LP Book Price]] * 100,0)</f>
        <v>0</v>
      </c>
      <c r="BK249" s="136">
        <f>IF(SnapshotTable[[#This Row],[LP Premium]] &gt; 0, SnapshotTable[[#This Row],[LP Qty]] * SnapshotTable[[#This Row],[LP Strike Price]] * 100,0)</f>
        <v>0</v>
      </c>
      <c r="BL249" s="154"/>
      <c r="BM249" s="385" t="str">
        <f>IF(SnapshotTable[[#This Row],[LP Premium]] &gt; 0,SnapshotTable[[#This Row],[LP Exp Date]]-MAX(SnapshotTable[[#This Row],[LP Book Date]], SnapshotTable[[#This Row],[LP Fill Date]]),"")</f>
        <v/>
      </c>
      <c r="BN249" s="385" t="str">
        <f>IF(ISNUMBER( SnapshotTable[[#This Row],[LP Term]]), SnapshotTable[[#This Row],[LP Exp Date]] - MockToday,"")</f>
        <v/>
      </c>
      <c r="BO249" s="163" t="str">
        <f>IF(AND(SnapshotTable[[#This Row],[LP Exp Date]]&gt;0, SnapshotTable[[#This Row],[LP Strike Price]]&gt;0,SnapshotTable[[#This Row],[LP Qty]]&gt;0,SnapshotTable[[#This Row],[LP Book Date]]&gt;0,SnapshotTable[[#This Row],[LP Book Price]]&gt;0,SnapshotTable[[#This Row],[LP Fill Date]]=0),"Y","")</f>
        <v/>
      </c>
      <c r="BP249" s="31" t="str">
        <f>IF(AND(SnapshotTable[[#This Row],[LP No Fill]]&lt;&gt;"Y",SnapshotTable[[#This Row],[LP Contract Value]]&gt;0, SnapshotTable[[#This Row],[LP Qty]]&gt;0), SnapshotTable[[#This Row],[LP Contract Value]]*SnapshotTable[[#This Row],[LP Qty]]*100,"")</f>
        <v/>
      </c>
      <c r="BQ249" s="13"/>
      <c r="BR249" s="5" t="str">
        <f>IF(SnapshotTable[[#This Row],[SP Exp Date]]&lt;&gt;"",TRUNC(SnapshotTable[[#This Row],[Last Price]]),"")</f>
        <v/>
      </c>
      <c r="BS249" s="36"/>
      <c r="BT249" s="147"/>
      <c r="BU249" s="13"/>
      <c r="BV249" s="5"/>
      <c r="BW249" s="419" t="b">
        <f>AND(ISNUMBER(SnapshotTable[[#This Row],[SP Exp Date]]), ISNUMBER(SnapshotTable[[#This Row],[SP Strike Price]]), ISNUMBER(SnapshotTable[[#This Row],[SP Qty]]), ISNUMBER(SnapshotTable[[#This Row],[SP Book Date]]), ISNUMBER(SnapshotTable[[#This Row],[SP Book Price]]))</f>
        <v>0</v>
      </c>
      <c r="BX249" s="419" t="b">
        <f>AND(SnapshotTable[[#This Row],[SP Is Booked]], NOT(ISBLANK(SnapshotTable[[#This Row],[SP Fill Date]])))</f>
        <v>0</v>
      </c>
      <c r="BY249" s="33">
        <f>IF(SnapshotTable[[#This Row],[SP Is Booked]], SnapshotTable[[#This Row],[SP Qty]] * SnapshotTable[[#This Row],[SP Book Price]] * 100, 0)</f>
        <v>0</v>
      </c>
      <c r="BZ249" s="369"/>
      <c r="CA249" s="368">
        <f>SnapshotTable[[#This Row],[LP Qty]]</f>
        <v>0</v>
      </c>
      <c r="CB249" s="4" t="str">
        <f>IF(SnapshotTable[[#This Row],[SP Is Booked]], SnapshotTable[[#This Row],[SP Strike Price]] - SnapshotTable[[#This Row],[SP Book Price]], "")</f>
        <v/>
      </c>
      <c r="CC249" s="19" t="str">
        <f>IF(SnapshotTable[[#This Row],[SP Is Booked]],SnapshotTable[[#This Row],[SP Exp Date]]-MAX(SnapshotTable[[#This Row],[SP Book Date]], SnapshotTable[[#This Row],[SP Fill Date]]),"")</f>
        <v/>
      </c>
      <c r="CD249" s="7" t="str">
        <f>IF(SnapshotTable[[#This Row],[SP Is Booked]], SnapshotTable[[#This Row],[SP Book Price]]/SnapshotTable[[#This Row],[SP Strike Price]], "")</f>
        <v/>
      </c>
      <c r="CE249" s="7" t="str">
        <f>IF(ISNUMBER(SnapshotTable[[#This Row],[SP ROO Term]]),SnapshotTable[[#This Row],[SP ROO Term]]*(365/SnapshotTable[[#This Row],[SP Term]]),"")</f>
        <v/>
      </c>
      <c r="CF249" s="236">
        <f>SnapshotTable[[#This Row],[LP Strike Price]] * SnapshotTable[[#This Row],[LP Qty]] * 100</f>
        <v>0</v>
      </c>
      <c r="CG249" s="31" t="e">
        <f>IF(ISNUMBER(SnapshotTable[[#This Row],[SP Premium]]), (SnapshotTable[[#This Row],[SP Qty]] * SnapshotTable[[#This Row],[SP Strike Price]]* 100) - SnapshotTable[[#This Row],[LP Protection]], 0)</f>
        <v>#VALUE!</v>
      </c>
      <c r="CH249" s="7" t="str">
        <f>IF(ISNUMBER(SnapshotTable[[#This Row],[SP Break Even]]),-1 * (SnapshotTable[[#This Row],[SP Break Even]] - SnapshotTable[[#This Row],[Last Price]]) / SnapshotTable[[#This Row],[Last Price]], "")</f>
        <v/>
      </c>
      <c r="CI249" s="31">
        <f>IF(AND(ISNUMBER((SnapshotTable[[#This Row],[SP Potential Spend]])), SnapshotTable[[#This Row],[SP Strike Price]] &gt; SnapshotTable[[#This Row],[Last Price]], SnapshotTable[[#This Row],[SP Is Filled]]), SnapshotTable[[#This Row],[SP Potential Spend]] -  SnapshotTable[[#This Row],[LP Max Value]], 0)</f>
        <v>0</v>
      </c>
      <c r="CJ249" s="244"/>
      <c r="CK249" s="31" t="str">
        <f>IF(ISNUMBER(SnapshotTable[[#This Row],[SP Potential Spend]]),IF(ISNUMBER(SnapshotTable[[#This Row],[SP POW]]), SnapshotTable[[#This Row],[SP POW]] * SnapshotTable[[#This Row],[SP Potential Spend]], SnapshotTable[[#This Row],[SP Potential Spend]]), "")</f>
        <v/>
      </c>
      <c r="CL249" s="164" t="e">
        <f>IF(NOT(SnapshotTable[[#This Row],[SP Is Filled]]),(SnapshotTable[[#This Row],[SP Qty]] * SnapshotTable[[#This Row],[SP Strike Price]] * 100) - SnapshotTable[[#This Row],[LP Max Value]],"")</f>
        <v>#VALUE!</v>
      </c>
      <c r="CM249" s="31" t="str">
        <f>IF(SnapshotTable[[#This Row],[SP Actual Spend]]&lt;&gt;0, ((SnapshotTable[[#This Row],[SP Strike Price]]-SnapshotTable[[#This Row],[Last Price]]) *(SnapshotTable[[#This Row],[SP Qty]]*100) - SnapshotTable[[#This Row],[SP Premium]]) * - 1, "")</f>
        <v/>
      </c>
      <c r="CN249" s="78"/>
      <c r="CO249" s="369"/>
      <c r="CP249" s="4" t="str">
        <f>IF(SnapshotTable[[#This Row],[SP Is Filled]], btc_max_buyback_amount(SnapshotTable[[#This Row],[SP Fill Date]],SnapshotTable[[#This Row],[SP Exp Date]], SnapshotTable[[#This Row],[SP Book Price]]),"")</f>
        <v/>
      </c>
      <c r="CQ249" s="78"/>
      <c r="CR24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9" s="155" t="str">
        <f>IF(SnapshotTable[[#This Row],[SP Is Filled]], btc_next_cutoff_date(SnapshotTable[[#This Row],[SP Fill Date]],SnapshotTable[[#This Row],[SP Exp Date]]),"")</f>
        <v/>
      </c>
      <c r="CT249" s="235" t="str" cm="1">
        <f t="array" ref="CT249">IF(SnapshotTable[[#This Row],[SP Is Filled]], btc_should_buy_back(SnapshotTable[[#This Row],[SP Fill Date]], SnapshotTable[[#This Row],[SP Exp Date]], SnapshotTable[[#This Row],[SP Book Price]], SnapshotTable[[#This Row],[SP Current Ask]], MockToday, SnapshotTable[[#This Row],[SP Buyback Override]]),"")</f>
        <v/>
      </c>
      <c r="CU249" s="143"/>
      <c r="CV249" s="235"/>
      <c r="CW249" s="378" t="str">
        <f>IF(ISNUMBER( SnapshotTable[[#This Row],[SP Term]]), SnapshotTable[[#This Row],[SP Exp Date]] - MockToday,"")</f>
        <v/>
      </c>
      <c r="CX249" s="31" t="str">
        <f>IF(SnapshotTable[[#This Row],[SP Is Filled]],SnapshotTable[[#This Row],[SP Buyback Price to Use]] * 100 * SnapshotTable[[#This Row],[SP Qty]], "")</f>
        <v/>
      </c>
      <c r="CY249" s="4" t="str">
        <f>IF(ISNUMBER(SnapshotTable[[#This Row],[SP Strike Price]]), SnapshotTable[[#This Row],[SP Strike Price]] * (1 - SP_MaxLoss_StrikePct), "")</f>
        <v/>
      </c>
      <c r="CZ249" s="31" t="str">
        <f>IF(ISNUMBER(SnapshotTable[[#This Row],[SP Strike  Stop Per Share]]),SnapshotTable[[#This Row],[SP Premium]] - ((SnapshotTable[[#This Row],[SP Strike Price]]-SnapshotTable[[#This Row],[SP Strike  Stop Per Share]]) *(SnapshotTable[[#This Row],[SP Qty]] * 100)),"")</f>
        <v/>
      </c>
      <c r="DA249" s="4" t="str">
        <f>IF(AND(ISNUMBER(SnapshotTable[[#This Row],[SP Premium]]),SnapshotTable[[#This Row],[SP Premium]]&gt;0), SnapshotTable[[#This Row],[SP Book Price]] * (1 + SP_MaxLoss_OptionPct), "")</f>
        <v/>
      </c>
      <c r="DB249" s="31" t="str">
        <f>IF(ISNUMBER(SnapshotTable[[#This Row],[SP Option  Stop Contract]]),(SnapshotTable[[#This Row],[SP Option  Stop Contract]] *(SnapshotTable[[#This Row],[SP Qty]] * 100) - SnapshotTable[[#This Row],[SP Premium]]),"")</f>
        <v/>
      </c>
      <c r="DC249" s="4"/>
      <c r="DD249" s="4"/>
      <c r="DE249" s="4" t="str">
        <f>IF(AND(SnapshotTable[[#This Row],[SP Qty]]&gt;0, SnapshotTable[[#This Row],[SP Stop To Use]]&gt;0),SnapshotTable[[#This Row],[SP Premium]] - ( SnapshotTable[[#This Row],[SP Qty]] * SnapshotTable[[#This Row],[SP Stop To Use]] * 100), "")</f>
        <v/>
      </c>
      <c r="DF249" s="31" t="str">
        <f>IF(AND(SnapshotTable[[#This Row],[SP Qty]]&gt;0,SnapshotTable[[#This Row],[SP Current Ask]]&gt;0), SnapshotTable[[#This Row],[SP Qty]] * SnapshotTable[[#This Row],[SP Current Ask]] * -100, "")</f>
        <v/>
      </c>
      <c r="DG249" s="31" t="str">
        <f>IF(ISNUMBER((SnapshotTable[[#This Row],[SP Total Value]])), SnapshotTable[[#This Row],[SP Premium]] + SnapshotTable[[#This Row],[SP Total Value]], "")</f>
        <v/>
      </c>
      <c r="DH249" s="294" t="str">
        <f>IF(ISNUMBER((SnapshotTable[[#This Row],[SP Total Value]])), SnapshotTable[[#This Row],[SP Gain Loss]] / SnapshotTable[[#This Row],[SP Premium]], "")</f>
        <v/>
      </c>
      <c r="DI249" s="406"/>
      <c r="DJ249" s="138"/>
      <c r="DK249" s="148"/>
      <c r="DL249" s="13"/>
      <c r="DM249" s="13"/>
      <c r="DO249" s="31">
        <f>IF(SnapshotTable[[#This Row],[LC Symbol Count]]=1, SnapshotTable[[#This Row],[LC Qty]] * SnapshotTable[[#This Row],[LC Book Price]] * 100, 0)</f>
        <v>0</v>
      </c>
      <c r="DP249" s="163" t="str">
        <f>IF(AND(SnapshotTable[[#This Row],[LC Exp Date]]&gt;0, SnapshotTable[[#This Row],[LC Strike Price]]&gt;0,SnapshotTable[[#This Row],[LC Qty]]&gt;0,SnapshotTable[[#This Row],[LC Book Date]]&gt;0,SnapshotTable[[#This Row],[LC Book Price]]&gt;0,SnapshotTable[[#This Row],[LC Fill Date]]=0),"Y","")</f>
        <v/>
      </c>
      <c r="DQ249" s="386" t="str">
        <f>IF(SnapshotTable[[#This Row],[LC Premium]] &gt; 0,SnapshotTable[[#This Row],[LC Exp Date]]-MAX(SnapshotTable[[#This Row],[LC Book Date]], SnapshotTable[[#This Row],[LC Fill Date]]),"")</f>
        <v/>
      </c>
      <c r="DR249" s="386" t="str">
        <f>IF(ISNUMBER(SnapshotTable[[#This Row],[LC Term]]), SnapshotTable[[#This Row],[LC Exp Date]] - MockToday, "")</f>
        <v/>
      </c>
      <c r="DS249" s="234" t="str">
        <f>IF(SnapshotTable[[#This Row],[LC Premium]]&gt;0,SnapshotTable[[#This Row],[LC Strike Price]] + SnapshotTable[[#This Row],[LC Book Price]],"")</f>
        <v/>
      </c>
      <c r="DU249" s="9" t="str">
        <f>IF(AND(SnapshotTable[[#This Row],[LC Symbol Count]]&gt;0, SnapshotTable[[#This Row],[LC Contract Value]]&gt;0), SnapshotTable[[#This Row],[LC Contract Value]] * SnapshotTable[[#This Row],[LC Qty]] * 100, "")</f>
        <v/>
      </c>
      <c r="DV249" s="9" t="str">
        <f>IF(AND(ISNUMBER(SnapshotTable[[#This Row],[LC Total Value]]), SnapshotTable[[#This Row],[LC Not Filled]]&lt;&gt;"Y"), SnapshotTable[[#This Row],[LC Total Value]]-SnapshotTable[[#This Row],[LC Premium]],"")</f>
        <v/>
      </c>
      <c r="DW249" s="240" t="str">
        <f>IF(ISNUMBER(SnapshotTable[[#This Row],[LC Actual Gain Loss]]), SnapshotTable[[#This Row],[LC Actual Gain Loss]] / SnapshotTable[[#This Row],[LC Premium]],"")</f>
        <v/>
      </c>
      <c r="DX249" s="284" t="str">
        <f>IF(ISNUMBER(SnapshotTable[[#This Row],[LC Book Price]]),SnapshotTable[[#This Row],[LC Book Price]] * 1.5,"")</f>
        <v/>
      </c>
      <c r="DY249" s="265" t="str">
        <f>IF(SnapshotTable[[#This Row],[LC Premium]]&gt;0, SnapshotTable[[#This Row],[LC Next Target]] * SnapshotTable[[#This Row],[LC Qty]] * 100,"")</f>
        <v/>
      </c>
      <c r="DZ249" s="265" t="str">
        <f>IF(ISNUMBER(SnapshotTable[[#This Row],[LC Target Gross]]), SnapshotTable[[#This Row],[LC Target Gross]] - SnapshotTable[[#This Row],[LC Premium]], "")</f>
        <v/>
      </c>
      <c r="EA249" s="305" t="str">
        <f>IF(ISNUMBER(SnapshotTable[[#This Row],[LC Target Gain Loss]]), SnapshotTable[[#This Row],[LC Target Gain Loss]]/SnapshotTable[[#This Row],[LC Premium]], "")</f>
        <v/>
      </c>
      <c r="EB249" s="262"/>
      <c r="EC249" s="283" t="str">
        <f>IF(SnapshotTable[[#This Row],[LC Premium]]&gt;0, SnapshotTable[[#This Row],[LC Book Price]] * (1 - LC_StopLoss_Pct),"")</f>
        <v/>
      </c>
      <c r="ED249" s="284"/>
      <c r="EE249" s="283" t="str">
        <f>IF(ISNUMBER(SnapshotTable[[#This Row],[LC Contract Value]]),IF(ISNUMBER(SnapshotTable[[#This Row],[LC Stop Loss Override]]), SnapshotTable[[#This Row],[LC Stop Loss Override]],SnapshotTable[[#This Row],[LC Stop Loss Calc Target]]),"")</f>
        <v/>
      </c>
      <c r="EF249" s="31" t="str">
        <f>IF(ISNUMBER(SnapshotTable[[#This Row],[LC Stop  To Use]]), (SnapshotTable[[#This Row],[LC Stop  To Use]] * SnapshotTable[[#This Row],[LC Qty]] * 100),"")</f>
        <v/>
      </c>
      <c r="EG249" s="9" t="str">
        <f>IF(ISNUMBER(SnapshotTable[[#This Row],[LC Total Value]]),SnapshotTable[[#This Row],[LC Stop Loss Amount]] - SnapshotTable[[#This Row],[LC Premium]],"")</f>
        <v/>
      </c>
      <c r="EH249" s="9">
        <f>IF(ISNUMBER(SnapshotTable[[#This Row],[LC Premium]]), SnapshotTable[[#This Row],[LC Qty]] * 100 * SnapshotTable[[#This Row],[LC Strike Price]], "")</f>
        <v>0</v>
      </c>
      <c r="EI249" s="240" t="str">
        <f>IF(AND(ISNUMBER(SnapshotTable[[#This Row],[LC Total Value]]),SnapshotTable[[#This Row],[LC Total Value]]&gt;0),SnapshotTable[[#This Row],[LC Stop Gain Loss]]  / SnapshotTable[[#This Row],[LC Premium]],"")</f>
        <v/>
      </c>
      <c r="EJ249" s="35">
        <f>IF(ISNUMBER(SnapshotTable[[#This Row],[Equity Shares]]),TRUNC(SnapshotTable[[#This Row],[Equity Shares]] / 100),0) + SnapshotTable[[#This Row],[LC Qty]]</f>
        <v>0</v>
      </c>
      <c r="EK249" s="147"/>
      <c r="EL249" s="138" t="str">
        <f>IF(SnapshotTable[[#This Row],[SC Exp Date]]&lt;&gt;"",TRUNC(SnapshotTable[[#This Row],[Last Price]]),"")</f>
        <v/>
      </c>
      <c r="EM249" s="148"/>
      <c r="EN249" s="147"/>
      <c r="EO249" s="147"/>
      <c r="EP249" s="138"/>
      <c r="EQ249" s="419" t="b">
        <f>AND(ISNUMBER(SnapshotTable[[#This Row],[SC Exp Date]]), ISNUMBER(SnapshotTable[[#This Row],[SC Strike Price]]), ISNUMBER(SnapshotTable[[#This Row],[SC Qty]]), ISNUMBER(SnapshotTable[[#This Row],[SC Book Date]]), ISNUMBER(SnapshotTable[[#This Row],[SC Book Price]]))</f>
        <v>0</v>
      </c>
      <c r="ER249" s="419" t="b">
        <f>AND(SnapshotTable[[#This Row],[SC Is Booked]], NOT(ISBLANK(SnapshotTable[[#This Row],[SC Fill Date]])))</f>
        <v>0</v>
      </c>
      <c r="ES249" s="370"/>
      <c r="ET249" s="34" t="str">
        <f>IF(AND(ISNUMBER(SnapshotTable[[#This Row],[SC Exp Date]]), ISNUMBER(SnapshotTable[[#This Row],[SC Book Date]])), SnapshotTable[[#This Row],[SC Exp Date]] - MAX(SnapshotTable[[#This Row],[SC Book Date]], SnapshotTable[[#This Row],[SC Fill Date]]) + 1, "")</f>
        <v/>
      </c>
      <c r="EU249" s="34" t="str">
        <f>IF(ISNUMBER(SnapshotTable[[#This Row],[SC Term]]), SnapshotTable[[#This Row],[SC Exp Date]]- MockToday, "")</f>
        <v/>
      </c>
      <c r="EV249" s="31">
        <f>IF(SnapshotTable[[#This Row],[SC Is Booked]], SnapshotTable[[#This Row],[SC Qty]] * SnapshotTable[[#This Row],[SC Book Price]] * 100, 0)</f>
        <v>0</v>
      </c>
      <c r="EW249" s="4" t="str">
        <f>IF(AND(ISNUMBER(SnapshotTable[[#This Row],[Last Price]]), ISNUMBER( SnapshotTable[[#This Row],[SC Book Price]])), SnapshotTable[[#This Row],[Last Price]] - SnapshotTable[[#This Row],[SC Book Price]],"")</f>
        <v/>
      </c>
      <c r="EX249" s="234" t="str">
        <f>IF(SnapshotTable[[#This Row],[SC Is Booked]],IF(SnapshotTable[[#This Row],[SC Intrinsic Value]] &gt; 0, SnapshotTable[[#This Row],[SC Strike Price]], SnapshotTable[[#This Row],[Last Price]]), "")</f>
        <v/>
      </c>
      <c r="EY249" s="4">
        <f>IF(SnapshotTable[[#This Row],[SC Is Booked]], (MinimumPremiumRequired * SnapshotTable[[#This Row],[SC Basis]] * SnapshotTable[[#This Row],[SC Term]]), 0)</f>
        <v>0</v>
      </c>
      <c r="EZ249" s="283"/>
      <c r="FA249" s="218"/>
      <c r="FB249" s="370"/>
      <c r="FC249" s="4">
        <f>IF(SnapshotTable[[#This Row],[SC Is Filled]], btc_max_buyback_amount(SnapshotTable[[#This Row],[SC Fill Date]],SnapshotTable[[#This Row],[SC Exp Date]], SnapshotTable[[#This Row],[SC Book Price]]),0)</f>
        <v>0</v>
      </c>
      <c r="FD249" s="5"/>
      <c r="FE249" s="144" t="str">
        <f>IF(SnapshotTable[[#This Row],[SC Is Filled]], btc_next_cutoff_date(SnapshotTable[[#This Row],[SC Fill Date]],SnapshotTable[[#This Row],[SC Exp Date]]),"")</f>
        <v/>
      </c>
      <c r="FF249" s="4" t="str" cm="1">
        <f t="array" ref="FF249">IF(SnapshotTable[[#This Row],[SC Is Filled]], btc_should_buy_back(SnapshotTable[[#This Row],[SC Fill Date]], SnapshotTable[[#This Row],[SC Exp Date]], SnapshotTable[[#This Row],[SC Book Price]], SnapshotTable[[#This Row],[SC Current Ask]], MockToday, SnapshotTable[[#This Row],[SC Buyback Override]]),"")</f>
        <v/>
      </c>
      <c r="FG249" s="4">
        <f>IF(SnapshotTable[[#This Row],[SC Is Filled]], MAX(0,SnapshotTable[[#This Row],[Last Price]]  - SnapshotTable[[#This Row],[SC Strike Price]]), 0)</f>
        <v>0</v>
      </c>
      <c r="FH249" s="382">
        <f>IF(SnapshotTable[[#This Row],[SC Is Filled]], IF(ISNUMBER(SnapshotTable[[#This Row],[SC Current Ask]]), SnapshotTable[[#This Row],[SC Current Ask]], SnapshotTable[[#This Row],[SC Book Price]]) - SnapshotTable[[#This Row],[SC Intrinsic Value]], 0)</f>
        <v>0</v>
      </c>
      <c r="FI249" s="143"/>
      <c r="FJ249" s="32" t="str">
        <f>IF(SnapshotTable[[#This Row],[SC Is Filled]],100 * SnapshotTable[[#This Row],[SC Qty]] * IF(ISNUMBER(SnapshotTable[[#This Row],[SC Buyback Override]]), SnapshotTable[[#This Row],[SC Buyback Override]], SnapshotTable[[#This Row],[SC Current Ask]]), "")</f>
        <v/>
      </c>
      <c r="FK249" s="250" t="str">
        <f>IF(SnapshotTable[[#This Row],[SC Time Val]]&gt;0, SnapshotTable[[#This Row],[SC Time Val]] / SnapshotTable[[#This Row],[Last Price]],"")</f>
        <v/>
      </c>
      <c r="FL249" s="302" t="str">
        <f>IF(SnapshotTable[[#This Row],[SC Is Booked]], ((SnapshotTable[[#This Row],[Last Price]] -SnapshotTable[[#This Row],[SC Strike Price]]) / SnapshotTable[[#This Row],[Last Price]]) * -1, "")</f>
        <v/>
      </c>
      <c r="FM249" s="157" t="str">
        <f>IF(SnapshotTable[[#This Row],[SC Is Booked]],  (SnapshotTable[[#This Row],[SC Qty]] * 100 * SnapshotTable[[#This Row],[SC Strike Price]]) - SnapshotTable[[#This Row],[SC Current Ask]], "")</f>
        <v/>
      </c>
      <c r="FN24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9" s="31" t="str">
        <f>IF(AND(ISNUMBER(SnapshotTable[[#This Row],[SC Exercise Gross]]), ISNUMBER(SnapshotTable[[#This Row],[Equity Basis Per Share]] )), SnapshotTable[[#This Row],[SC Exercise Gross]] - SnapshotTable[[#This Row],[Equity Basis Total]] +  SnapshotTable[[#This Row],[SC Premium]], "")</f>
        <v/>
      </c>
      <c r="FP249" s="5" t="str">
        <f>IF(ISNUMBER(SnapshotTable[[#This Row],[SC Exercise Gross]]), (SnapshotTable[[#This Row],[SC Exercise Gross]]) / (SnapshotTable[[#This Row],[SC Qty]] * 100), "")</f>
        <v/>
      </c>
      <c r="FQ249" s="27" t="str">
        <f>IF(SnapshotTable[[#This Row],[SC Is Booked]],SnapshotTable[[#This Row],[SC Time Val]] /SnapshotTable[[#This Row],[SC Basis]], "")</f>
        <v/>
      </c>
      <c r="FR249" s="27" t="str" cm="1">
        <f t="array" ref="FR249">IF(AND(ISNUMBER(SnapshotTable[[#This Row],[SC Term]]),ISNUMBER(SnapshotTable[[#This Row],[SC Simple ROO]])), EllmanAnnualize(SnapshotTable[[#This Row],[SC DTE]], SnapshotTable[[#This Row],[SC Simple ROO]] ),"")</f>
        <v/>
      </c>
      <c r="FS249" s="4" t="e">
        <f>IF(SnapshotTable[[#This Row],[SC Strike Price]] &gt; SnapshotTable[[#This Row],[Last Price]], SnapshotTable[[#This Row],[SC Strike Price]] - SnapshotTable[[#This Row],[Last Price]],0)</f>
        <v>#VALUE!</v>
      </c>
      <c r="FT249" s="27" t="e">
        <f>IF(AND(ISNUMBER(SnapshotTable[[#This Row],[SC Upside Potential]]), SnapshotTable[[#This Row],[SC Upside Potential]] &gt; 0),(SnapshotTable[[#This Row],[SC Upside Potential]]/ SnapshotTable[[#This Row],[ACB]]),"")</f>
        <v>#VALUE!</v>
      </c>
      <c r="FU249" s="333" t="str">
        <f>IF(SnapshotTable[[#This Row],[SC Intrinsic Value]] &gt; 0,SnapshotTable[[#This Row],[SC Intrinsic Value]],"")</f>
        <v/>
      </c>
      <c r="FV249" s="27" t="str">
        <f>IF(AND( ISNUMBER( SnapshotTable[[#This Row],[ACB]]),ISNUMBER(SnapshotTable[[#This Row],[SC Downside Protect]])),SnapshotTable[[#This Row],[SC Downside Protect]] / SnapshotTable[[#This Row],[ACB]],"")</f>
        <v/>
      </c>
      <c r="FW249" s="236" t="str">
        <f>IF(AND(ISNUMBER(SnapshotTable[[#This Row],[SC Simple ROO]]),SnapshotTable[[#This Row],[SC Simple ROO]] &gt; 0), SnapshotTable[[#This Row],[SC Premium]] + (SnapshotTable[[#This Row],[SC Qty]] * SnapshotTable[[#This Row],[SC Upside Potential]]), "")</f>
        <v/>
      </c>
      <c r="FX249" s="302" t="str" cm="1">
        <f t="array" ref="FX249">IF(ISNUMBER(SnapshotTable[[#This Row],[SC Max Dollars]]), annualize(SnapshotTable[[#This Row],[SC Term]],(SnapshotTable[[#This Row],[SC Max Dollars]]/SnapshotTable[[#This Row],[SC Basis]])),"")</f>
        <v/>
      </c>
      <c r="FY249" s="236" t="str">
        <f>IF(AND(SnapshotTable[[#This Row],[SC Qty]]&gt;0,SnapshotTable[[#This Row],[SC Current Ask]]&gt;0), SnapshotTable[[#This Row],[SC Qty]] * SnapshotTable[[#This Row],[SC Current Ask]] * -100, "")</f>
        <v/>
      </c>
      <c r="FZ249" s="31" t="str">
        <f>IF(ISNUMBER((SnapshotTable[[#This Row],[SC Current Value]])), SnapshotTable[[#This Row],[SC Premium]] + SnapshotTable[[#This Row],[SC Current Value]], "")</f>
        <v/>
      </c>
      <c r="GA249" s="294" t="str">
        <f>IFERROR( IF(ISNUMBER((SnapshotTable[[#This Row],[SC Current Value]])), SnapshotTable[[#This Row],[SC Gain Loss]] / SnapshotTable[[#This Row],[SC Premium]], ""), "")</f>
        <v/>
      </c>
      <c r="GB249" s="42">
        <f>SnapshotTable[[#This Row],[Equity Shares]] * SaleSharesToConsiderPercentage</f>
        <v>0</v>
      </c>
      <c r="GC249" s="40">
        <f>SnapshotTable[[#This Row],[Long Term Target]] * SellingPriceToConsiderBasedOnTargetPercentage</f>
        <v>8.3695000000000004</v>
      </c>
      <c r="GD249" s="40">
        <f>SnapshotTable[[#This Row],[Last Price]] * (1+ SellingPriceToConsiderBasedOnTargetPercentage)</f>
        <v>47.443499999999993</v>
      </c>
      <c r="GE249" s="41"/>
      <c r="GF249" s="40"/>
      <c r="GG249" s="31">
        <f>SnapshotTable[[#This Row],[Booked Sale Shares]] * SnapshotTable[[#This Row],[Booked Sale Price]]</f>
        <v>0</v>
      </c>
      <c r="GH249" s="31" t="str">
        <f>IF(SnapshotTable[[#This Row],[Equity Basis Total]] &gt; 0, SnapshotTable[[#This Row],[Equity Basis Per Share]] * SnapshotTable[[#This Row],[Booked Sale Shares]], "")</f>
        <v/>
      </c>
      <c r="GI249" s="31">
        <f>IF(SnapshotTable[[#This Row],[Sale Proceeds]]&gt;0, SnapshotTable[[#This Row],[Sale Proceeds]] - SnapshotTable[[#This Row],[Sale Basis]], 0)</f>
        <v>0</v>
      </c>
      <c r="GJ249" s="27" t="str">
        <f>IF(SnapshotTable[[#This Row],[Sale G/L]]&gt;0, SnapshotTable[[#This Row],[Sale G/L]] / SnapshotTable[[#This Row],[Sale Basis]], IF(ISNUMBER(SnapshotTable[[#This Row],[SC Exercise P&amp;L (TAX)]]), SnapshotTable[[#This Row],[SC Exercise P&amp;L (TAX)]] / SnapshotTable[[#This Row],[SC Basis]], ""))</f>
        <v/>
      </c>
      <c r="GK249" s="27" t="s">
        <v>746</v>
      </c>
      <c r="GL249" s="43" t="str">
        <f>IF(AND(SnapshotTable[[#This Row],[LP Exp Date]]&gt;0,SnapshotTable[[#This Row],[LP Strike Price]]&gt;0), [1]!ToOptionSymbol(SnapshotTable[[#This Row],[Symbol]], SnapshotTable[[#This Row],[LP Strike Price]],SnapshotTable[[#This Row],[LP Exp Date]],1), "")</f>
        <v/>
      </c>
      <c r="GM249" s="30" t="str">
        <f>IF(LEN(SnapshotTable[[#This Row],[LP Symbol]])&gt;0, 1, "")</f>
        <v/>
      </c>
      <c r="GN249" s="43" t="str">
        <f>IF(AND(SnapshotTable[[#This Row],[SP Exp Date]]&gt;0,SnapshotTable[[#This Row],[SP Strike Price]]&gt;0), [1]!ToOptionSymbol(SnapshotTable[[#This Row],[Symbol]], SnapshotTable[[#This Row],[SP Strike Price]],SnapshotTable[[#This Row],[SP Exp Date]],1), "")</f>
        <v/>
      </c>
      <c r="GO249" s="30" t="str">
        <f>IF(LEN(SnapshotTable[[#This Row],[SP Symbol]])&gt;0, 1, "")</f>
        <v/>
      </c>
      <c r="GP249" s="43" t="str">
        <f>IF(AND(SnapshotTable[[#This Row],[LC Exp Date]]&gt;0,SnapshotTable[[#This Row],[LC Strike Price]]&gt;0), [1]!ToOptionSymbol(SnapshotTable[[#This Row],[Symbol]], SnapshotTable[[#This Row],[LC Strike Price]],SnapshotTable[[#This Row],[LC Exp Date]],0), "")</f>
        <v/>
      </c>
      <c r="GQ249" s="30" t="str">
        <f>IF(LEN(SnapshotTable[[#This Row],[LC Symbol]])&gt;0, 1, "")</f>
        <v/>
      </c>
      <c r="GR249" s="43" t="str">
        <f>IF(AND(SnapshotTable[[#This Row],[SC Exp Date]]&gt;0,SnapshotTable[[#This Row],[SC Strike Price]]&gt;0), [1]!ToOptionSymbol(SnapshotTable[[#This Row],[Symbol]], SnapshotTable[[#This Row],[SC Strike Price]],SnapshotTable[[#This Row],[SC Exp Date]],0), "")</f>
        <v/>
      </c>
      <c r="GS249" s="30" t="str">
        <f>IF(LEN(SnapshotTable[[#This Row],[SC Symbol]])&gt;0, 1, "")</f>
        <v/>
      </c>
      <c r="GT249" s="29" t="str">
        <f>IF(COUNT(SnapshotTable[[#This Row],[LP Symbol Count]],SnapshotTable[[#This Row],[SP Symbol Count]],SnapshotTable[[#This Row],[LC Symbol Count]],SnapshotTable[[#This Row],[SC Symbol Count]])&gt;0, "Y", "")</f>
        <v/>
      </c>
      <c r="GU24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9" s="231" t="e">
        <f>MAX(SnapshotTable[[#This Row],[Equity Basis Total]],SnapshotTable[[#This Row],[Equity Value]]) + (SnapshotTable[[#This Row],[SP Potential Spend]]- SnapshotTable[[#This Row],[SP Premium]] + SnapshotTable[[#This Row],[LP Premium]])+ (SnapshotTable[[#This Row],[LC Premium]] - SnapshotTable[[#This Row],[SC Premium]])</f>
        <v>#VALUE!</v>
      </c>
      <c r="GW249" s="139" t="e">
        <f>IF(AND(SnapshotTable[[#This Row],[Exposure]] &lt;&gt; 0),SnapshotTable[[#This Row],[Exposure]] / SnapshotTable[[#Totals],[Exposure]], "")</f>
        <v>#VALUE!</v>
      </c>
      <c r="HE249" s="268"/>
      <c r="HF249" s="268"/>
      <c r="HK249" s="1"/>
      <c r="HL249" s="1"/>
      <c r="HM249" s="1"/>
      <c r="HN249" s="1"/>
      <c r="HO249" s="1"/>
      <c r="HP249" s="1"/>
    </row>
    <row r="250" spans="2:224" ht="12.75" hidden="1" customHeight="1" x14ac:dyDescent="0.25">
      <c r="B250" s="12" t="s">
        <v>206</v>
      </c>
      <c r="C250" s="422">
        <v>531.98</v>
      </c>
      <c r="D250" s="208" t="s">
        <v>578</v>
      </c>
      <c r="E250" s="39">
        <f>SnapshotTable[[#This Row],[Last Price]]*(1 -CrashDiscount)</f>
        <v>452.18299999999999</v>
      </c>
      <c r="F250" s="26" t="s">
        <v>183</v>
      </c>
      <c r="G250" s="26" t="s">
        <v>4</v>
      </c>
      <c r="H250" s="149"/>
      <c r="I250" s="194">
        <v>44770.333333333336</v>
      </c>
      <c r="J250" s="195">
        <v>44770.333333333336</v>
      </c>
      <c r="K250" s="196"/>
      <c r="L250" s="326"/>
      <c r="M250" s="140">
        <v>2</v>
      </c>
      <c r="N250" s="140" t="b">
        <v>1</v>
      </c>
      <c r="O250" s="140"/>
      <c r="P250" s="22"/>
      <c r="Q250" s="25"/>
      <c r="R250" s="4" t="str">
        <f>IF(SnapshotTable[[#This Row],[Equity Basis Total]] &gt; 0, SnapshotTable[[#This Row],[Equity Basis Total]] / SnapshotTable[[#This Row],[Equity Shares]], "")</f>
        <v/>
      </c>
      <c r="S250" s="269">
        <f>SnapshotTable[[#This Row],[Last Price]] * SnapshotTable[[#This Row],[Equity Shares]]</f>
        <v>0</v>
      </c>
      <c r="T250" s="269">
        <f>SnapshotTable[[#This Row],[Equity Value]] - SnapshotTable[[#This Row],[Equity Basis Total]]</f>
        <v>0</v>
      </c>
      <c r="U250" s="270" t="str">
        <f>IF(SnapshotTable[[#This Row],[Equity Basis Total]] &gt; 0, SnapshotTable[[#This Row],[Equity G/L]] / SnapshotTable[[#This Row],[Equity Basis Total]], "")</f>
        <v/>
      </c>
      <c r="V250" s="268"/>
      <c r="W250" s="268"/>
      <c r="X250" s="4" t="str">
        <f>IF(AND(ISNUMBER(SnapshotTable[[#This Row],[Equity Basis Per Share]]),ISNUMBER(SnapshotTable[[#This Row],[Equity Target]])),SnapshotTable[[#This Row],[Equity Target]]-SnapshotTable[[#This Row],[Equity Basis Per Share]],"")</f>
        <v/>
      </c>
      <c r="Y250" s="4" t="str">
        <f>IF(AND(ISNUMBER(SnapshotTable[[#This Row],[Equity Basis Per Share]]),ISNUMBER(SnapshotTable[[#This Row],[Equity Stop Loss]])),SnapshotTable[[#This Row],[Equity Stop Loss]]-SnapshotTable[[#This Row],[Equity Basis Per Share]],"")</f>
        <v/>
      </c>
      <c r="Z250" s="275" t="str">
        <f>IFERROR( TEXT(SnapshotTable[[#This Row],[Equity Max Gain Per Share]] /ABS( SnapshotTable[[#This Row],[Equity Max Loss Per Share]]),"0.0 " ) &amp; " : 1", "")</f>
        <v/>
      </c>
      <c r="AA250" s="31" t="str">
        <f>IF(ISNUMBER(SnapshotTable[[#This Row],[Equity Max Gain Per Share]]),SnapshotTable[[#This Row],[Equity Max Gain Per Share]] * SnapshotTable[[#This Row],[Equity Shares]],"")</f>
        <v/>
      </c>
      <c r="AB250" s="31" t="str">
        <f>IF(ISNUMBER(SnapshotTable[[#This Row],[Equity Max Loss Per Share]]),SnapshotTable[[#This Row],[Equity Max Loss Per Share]] * SnapshotTable[[#This Row],[Equity Shares]],"")</f>
        <v/>
      </c>
      <c r="AC250" s="150">
        <v>1.32</v>
      </c>
      <c r="AD250" s="151">
        <v>43869</v>
      </c>
      <c r="AE250" s="31">
        <f>(SnapshotTable[[#This Row],[Annual Dividend Per Share]] / 4) * SnapshotTable[[#This Row],[Equity Shares]]</f>
        <v>0</v>
      </c>
      <c r="AF250" s="31">
        <f>SnapshotTable[[#This Row],[Quarterly Div $]] * 4</f>
        <v>0</v>
      </c>
      <c r="AG250" s="7">
        <f>IF(SnapshotTable[[#This Row],[Annual Dividend Per Share]]&gt;0, SnapshotTable[[#This Row],[Annual Dividend Per Share]]  / SnapshotTable[[#This Row],[Last Price]], 0)</f>
        <v>2.4812962893341855E-3</v>
      </c>
      <c r="AH250" s="151">
        <v>43838</v>
      </c>
      <c r="AI250" s="5">
        <v>315</v>
      </c>
      <c r="AJ250" s="138">
        <v>429.91</v>
      </c>
      <c r="AK250" s="152">
        <f>IF(ISNUMBER( SnapshotTable[[#This Row],[EBF Target]]),(SnapshotTable[[#This Row],[EBF Target]] - SnapshotTable[[#This Row],[Last Price]]) / SnapshotTable[[#This Row],[Last Price]], "")</f>
        <v>-0.40787247640888757</v>
      </c>
      <c r="AL250" s="152" t="str">
        <f>IF(AND(SnapshotTable[[#This Row],[Equity Basis Total]] &gt; 0,ISNUMBER( SnapshotTable[[#This Row],[Long Term Target]])), SnapshotTable[[#This Row],[From Basis $]] / SnapshotTable[[#This Row],[Equity Basis Total]], "")</f>
        <v/>
      </c>
      <c r="AM250" s="9">
        <f>IF( AND(SnapshotTable[[#This Row],[Equity Shares]] &gt;0,ISNUMBER( SnapshotTable[[#This Row],[Long Term Target]])),(SnapshotTable[[#This Row],[Equity Shares]] * SnapshotTable[[#This Row],[Long Term Target]]) - SnapshotTable[[#This Row],[Equity Basis Total]],0)</f>
        <v>0</v>
      </c>
      <c r="AN250" s="9">
        <f>IF( AND(SnapshotTable[[#This Row],[Equity Shares]] &gt;0,ISNUMBER( SnapshotTable[[#This Row],[Long Term Target]])),(SnapshotTable[[#This Row],[Equity Shares]]*SnapshotTable[[#This Row],[Long Term Target]]) - SnapshotTable[[#This Row],[Equity Value]],0)</f>
        <v>0</v>
      </c>
      <c r="AO250" s="152">
        <f>IF(AND(ISNUMBER( SnapshotTable[[#This Row],[Long Term Target]]), ISNUMBER(SnapshotTable[[#This Row],[Last Price]])),(SnapshotTable[[#This Row],[Long Term Target]] - SnapshotTable[[#This Row],[Last Price]]) / SnapshotTable[[#This Row],[Last Price]], "")</f>
        <v>-0.19186811534268203</v>
      </c>
      <c r="AP250" s="5">
        <v>390</v>
      </c>
      <c r="AQ250" s="38" t="s">
        <v>110</v>
      </c>
      <c r="AR250" s="5">
        <v>370</v>
      </c>
      <c r="AS250" s="38" t="s">
        <v>109</v>
      </c>
      <c r="AT250" s="146" t="s">
        <v>533</v>
      </c>
      <c r="AU250" s="187" t="str">
        <f>IF(OR(SnapshotTable[[#This Row],[LP No Fill]]="Y",SnapshotTable[[#This Row],[SP Is Filled]],SnapshotTable[[#This Row],[LC Not Filled]]="Y",SnapshotTable[[#This Row],[SC Is Filled]]),"Y","")</f>
        <v/>
      </c>
      <c r="AV250" s="219"/>
      <c r="AW250" s="225"/>
      <c r="AX250" s="220"/>
      <c r="AY250" s="219" t="str">
        <f>IF(SnapshotTable[[#This Row],[Implied Move]]&gt;0, SnapshotTable[[#This Row],[Last Price]]-SnapshotTable[[#This Row],[Implied Move]],"")</f>
        <v/>
      </c>
      <c r="AZ250" s="219" t="str">
        <f>IF(SnapshotTable[[#This Row],[Implied Move]]&gt;0, SnapshotTable[[#This Row],[Last Price]] + SnapshotTable[[#This Row],[Implied Move]],"")</f>
        <v/>
      </c>
      <c r="BA250" s="331">
        <v>5.16</v>
      </c>
      <c r="BB250" s="347"/>
      <c r="BC25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0" s="351"/>
      <c r="BE250" s="5"/>
      <c r="BF250" s="14"/>
      <c r="BG250" s="13"/>
      <c r="BH250" s="13"/>
      <c r="BI250" s="5"/>
      <c r="BJ250" s="136">
        <f>IF(SnapshotTable[[#This Row],[LP Qty]] &gt; 0, SnapshotTable[[#This Row],[LP Qty]] * SnapshotTable[[#This Row],[LP Book Price]] * 100,0)</f>
        <v>0</v>
      </c>
      <c r="BK250" s="136">
        <f>IF(SnapshotTable[[#This Row],[LP Premium]] &gt; 0, SnapshotTable[[#This Row],[LP Qty]] * SnapshotTable[[#This Row],[LP Strike Price]] * 100,0)</f>
        <v>0</v>
      </c>
      <c r="BL250" s="154"/>
      <c r="BM250" s="385" t="str">
        <f>IF(SnapshotTable[[#This Row],[LP Premium]] &gt; 0,SnapshotTable[[#This Row],[LP Exp Date]]-MAX(SnapshotTable[[#This Row],[LP Book Date]], SnapshotTable[[#This Row],[LP Fill Date]]),"")</f>
        <v/>
      </c>
      <c r="BN250" s="385" t="str">
        <f>IF(ISNUMBER( SnapshotTable[[#This Row],[LP Term]]), SnapshotTable[[#This Row],[LP Exp Date]] - MockToday,"")</f>
        <v/>
      </c>
      <c r="BO250" s="163" t="str">
        <f>IF(AND(SnapshotTable[[#This Row],[LP Exp Date]]&gt;0, SnapshotTable[[#This Row],[LP Strike Price]]&gt;0,SnapshotTable[[#This Row],[LP Qty]]&gt;0,SnapshotTable[[#This Row],[LP Book Date]]&gt;0,SnapshotTable[[#This Row],[LP Book Price]]&gt;0,SnapshotTable[[#This Row],[LP Fill Date]]=0),"Y","")</f>
        <v/>
      </c>
      <c r="BP250" s="31" t="str">
        <f>IF(AND(SnapshotTable[[#This Row],[LP No Fill]]&lt;&gt;"Y",SnapshotTable[[#This Row],[LP Contract Value]]&gt;0, SnapshotTable[[#This Row],[LP Qty]]&gt;0), SnapshotTable[[#This Row],[LP Contract Value]]*SnapshotTable[[#This Row],[LP Qty]]*100,"")</f>
        <v/>
      </c>
      <c r="BQ250" s="13"/>
      <c r="BR250" s="5" t="str">
        <f>IF(SnapshotTable[[#This Row],[SP Exp Date]]&lt;&gt;"",TRUNC(SnapshotTable[[#This Row],[Last Price]]),"")</f>
        <v/>
      </c>
      <c r="BS250" s="36"/>
      <c r="BT250" s="147"/>
      <c r="BU250" s="13"/>
      <c r="BV250" s="5"/>
      <c r="BW250" s="419" t="b">
        <f>AND(ISNUMBER(SnapshotTable[[#This Row],[SP Exp Date]]), ISNUMBER(SnapshotTable[[#This Row],[SP Strike Price]]), ISNUMBER(SnapshotTable[[#This Row],[SP Qty]]), ISNUMBER(SnapshotTable[[#This Row],[SP Book Date]]), ISNUMBER(SnapshotTable[[#This Row],[SP Book Price]]))</f>
        <v>0</v>
      </c>
      <c r="BX250" s="419" t="b">
        <f>AND(SnapshotTable[[#This Row],[SP Is Booked]], NOT(ISBLANK(SnapshotTable[[#This Row],[SP Fill Date]])))</f>
        <v>0</v>
      </c>
      <c r="BY250" s="33">
        <f>IF(SnapshotTable[[#This Row],[SP Is Booked]], SnapshotTable[[#This Row],[SP Qty]] * SnapshotTable[[#This Row],[SP Book Price]] * 100, 0)</f>
        <v>0</v>
      </c>
      <c r="BZ250" s="369"/>
      <c r="CA250" s="368">
        <f>SnapshotTable[[#This Row],[LP Qty]]</f>
        <v>0</v>
      </c>
      <c r="CB250" s="4" t="str">
        <f>IF(SnapshotTable[[#This Row],[SP Is Booked]], SnapshotTable[[#This Row],[SP Strike Price]] - SnapshotTable[[#This Row],[SP Book Price]], "")</f>
        <v/>
      </c>
      <c r="CC250" s="19" t="str">
        <f>IF(SnapshotTable[[#This Row],[SP Is Booked]],SnapshotTable[[#This Row],[SP Exp Date]]-MAX(SnapshotTable[[#This Row],[SP Book Date]], SnapshotTable[[#This Row],[SP Fill Date]]),"")</f>
        <v/>
      </c>
      <c r="CD250" s="7" t="str">
        <f>IF(SnapshotTable[[#This Row],[SP Is Booked]], SnapshotTable[[#This Row],[SP Book Price]]/SnapshotTable[[#This Row],[SP Strike Price]], "")</f>
        <v/>
      </c>
      <c r="CE250" s="7" t="str">
        <f>IF(ISNUMBER(SnapshotTable[[#This Row],[SP ROO Term]]),SnapshotTable[[#This Row],[SP ROO Term]]*(365/SnapshotTable[[#This Row],[SP Term]]),"")</f>
        <v/>
      </c>
      <c r="CF250" s="236">
        <f>SnapshotTable[[#This Row],[LP Strike Price]] * SnapshotTable[[#This Row],[LP Qty]] * 100</f>
        <v>0</v>
      </c>
      <c r="CG250" s="31" t="e">
        <f>IF(ISNUMBER(SnapshotTable[[#This Row],[SP Premium]]), (SnapshotTable[[#This Row],[SP Qty]] * SnapshotTable[[#This Row],[SP Strike Price]]* 100) - SnapshotTable[[#This Row],[LP Protection]], 0)</f>
        <v>#VALUE!</v>
      </c>
      <c r="CH250" s="7" t="str">
        <f>IF(ISNUMBER(SnapshotTable[[#This Row],[SP Break Even]]),-1 * (SnapshotTable[[#This Row],[SP Break Even]] - SnapshotTable[[#This Row],[Last Price]]) / SnapshotTable[[#This Row],[Last Price]], "")</f>
        <v/>
      </c>
      <c r="CI250" s="31">
        <f>IF(AND(ISNUMBER((SnapshotTable[[#This Row],[SP Potential Spend]])), SnapshotTable[[#This Row],[SP Strike Price]] &gt; SnapshotTable[[#This Row],[Last Price]], SnapshotTable[[#This Row],[SP Is Filled]]), SnapshotTable[[#This Row],[SP Potential Spend]] -  SnapshotTable[[#This Row],[LP Max Value]], 0)</f>
        <v>0</v>
      </c>
      <c r="CJ250" s="244"/>
      <c r="CK250" s="31" t="str">
        <f>IF(ISNUMBER(SnapshotTable[[#This Row],[SP Potential Spend]]),IF(ISNUMBER(SnapshotTable[[#This Row],[SP POW]]), SnapshotTable[[#This Row],[SP POW]] * SnapshotTable[[#This Row],[SP Potential Spend]], SnapshotTable[[#This Row],[SP Potential Spend]]), "")</f>
        <v/>
      </c>
      <c r="CL250" s="164" t="e">
        <f>IF(NOT(SnapshotTable[[#This Row],[SP Is Filled]]),(SnapshotTable[[#This Row],[SP Qty]] * SnapshotTable[[#This Row],[SP Strike Price]] * 100) - SnapshotTable[[#This Row],[LP Max Value]],"")</f>
        <v>#VALUE!</v>
      </c>
      <c r="CM250" s="31" t="str">
        <f>IF(SnapshotTable[[#This Row],[SP Actual Spend]]&lt;&gt;0, ((SnapshotTable[[#This Row],[SP Strike Price]]-SnapshotTable[[#This Row],[Last Price]]) *(SnapshotTable[[#This Row],[SP Qty]]*100) - SnapshotTable[[#This Row],[SP Premium]]) * - 1, "")</f>
        <v/>
      </c>
      <c r="CN250" s="78"/>
      <c r="CO250" s="369"/>
      <c r="CP250" s="4" t="str">
        <f>IF(SnapshotTable[[#This Row],[SP Is Filled]], btc_max_buyback_amount(SnapshotTable[[#This Row],[SP Fill Date]],SnapshotTable[[#This Row],[SP Exp Date]], SnapshotTable[[#This Row],[SP Book Price]]),"")</f>
        <v/>
      </c>
      <c r="CQ250" s="78"/>
      <c r="CR25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0" s="155" t="str">
        <f>IF(SnapshotTable[[#This Row],[SP Is Filled]], btc_next_cutoff_date(SnapshotTable[[#This Row],[SP Fill Date]],SnapshotTable[[#This Row],[SP Exp Date]]),"")</f>
        <v/>
      </c>
      <c r="CT250" s="235" t="str" cm="1">
        <f t="array" ref="CT250">IF(SnapshotTable[[#This Row],[SP Is Filled]], btc_should_buy_back(SnapshotTable[[#This Row],[SP Fill Date]], SnapshotTable[[#This Row],[SP Exp Date]], SnapshotTable[[#This Row],[SP Book Price]], SnapshotTable[[#This Row],[SP Current Ask]], MockToday, SnapshotTable[[#This Row],[SP Buyback Override]]),"")</f>
        <v/>
      </c>
      <c r="CU250" s="143"/>
      <c r="CV250" s="235"/>
      <c r="CW250" s="378" t="str">
        <f>IF(ISNUMBER( SnapshotTable[[#This Row],[SP Term]]), SnapshotTable[[#This Row],[SP Exp Date]] - MockToday,"")</f>
        <v/>
      </c>
      <c r="CX250" s="31" t="str">
        <f>IF(SnapshotTable[[#This Row],[SP Is Filled]],SnapshotTable[[#This Row],[SP Buyback Price to Use]] * 100 * SnapshotTable[[#This Row],[SP Qty]], "")</f>
        <v/>
      </c>
      <c r="CY250" s="4" t="str">
        <f>IF(ISNUMBER(SnapshotTable[[#This Row],[SP Strike Price]]), SnapshotTable[[#This Row],[SP Strike Price]] * (1 - SP_MaxLoss_StrikePct), "")</f>
        <v/>
      </c>
      <c r="CZ250" s="31" t="str">
        <f>IF(ISNUMBER(SnapshotTable[[#This Row],[SP Strike  Stop Per Share]]),SnapshotTable[[#This Row],[SP Premium]] - ((SnapshotTable[[#This Row],[SP Strike Price]]-SnapshotTable[[#This Row],[SP Strike  Stop Per Share]]) *(SnapshotTable[[#This Row],[SP Qty]] * 100)),"")</f>
        <v/>
      </c>
      <c r="DA250" s="4" t="str">
        <f>IF(AND(ISNUMBER(SnapshotTable[[#This Row],[SP Premium]]),SnapshotTable[[#This Row],[SP Premium]]&gt;0), SnapshotTable[[#This Row],[SP Book Price]] * (1 + SP_MaxLoss_OptionPct), "")</f>
        <v/>
      </c>
      <c r="DB250" s="31" t="str">
        <f>IF(ISNUMBER(SnapshotTable[[#This Row],[SP Option  Stop Contract]]),(SnapshotTable[[#This Row],[SP Option  Stop Contract]] *(SnapshotTable[[#This Row],[SP Qty]] * 100) - SnapshotTable[[#This Row],[SP Premium]]),"")</f>
        <v/>
      </c>
      <c r="DC250" s="4"/>
      <c r="DD250" s="4"/>
      <c r="DE250" s="4" t="str">
        <f>IF(AND(SnapshotTable[[#This Row],[SP Qty]]&gt;0, SnapshotTable[[#This Row],[SP Stop To Use]]&gt;0),SnapshotTable[[#This Row],[SP Premium]] - ( SnapshotTable[[#This Row],[SP Qty]] * SnapshotTable[[#This Row],[SP Stop To Use]] * 100), "")</f>
        <v/>
      </c>
      <c r="DF250" s="31" t="str">
        <f>IF(AND(SnapshotTable[[#This Row],[SP Qty]]&gt;0,SnapshotTable[[#This Row],[SP Current Ask]]&gt;0), SnapshotTable[[#This Row],[SP Qty]] * SnapshotTable[[#This Row],[SP Current Ask]] * -100, "")</f>
        <v/>
      </c>
      <c r="DG250" s="31" t="str">
        <f>IF(ISNUMBER((SnapshotTable[[#This Row],[SP Total Value]])), SnapshotTable[[#This Row],[SP Premium]] + SnapshotTable[[#This Row],[SP Total Value]], "")</f>
        <v/>
      </c>
      <c r="DH250" s="294" t="str">
        <f>IF(ISNUMBER((SnapshotTable[[#This Row],[SP Total Value]])), SnapshotTable[[#This Row],[SP Gain Loss]] / SnapshotTable[[#This Row],[SP Premium]], "")</f>
        <v/>
      </c>
      <c r="DI250" s="406"/>
      <c r="DJ250" s="138"/>
      <c r="DK250" s="148"/>
      <c r="DL250" s="13"/>
      <c r="DM250" s="13"/>
      <c r="DO250" s="31">
        <f>IF(SnapshotTable[[#This Row],[LC Symbol Count]]=1, SnapshotTable[[#This Row],[LC Qty]] * SnapshotTable[[#This Row],[LC Book Price]] * 100, 0)</f>
        <v>0</v>
      </c>
      <c r="DP250" s="163" t="str">
        <f>IF(AND(SnapshotTable[[#This Row],[LC Exp Date]]&gt;0, SnapshotTable[[#This Row],[LC Strike Price]]&gt;0,SnapshotTable[[#This Row],[LC Qty]]&gt;0,SnapshotTable[[#This Row],[LC Book Date]]&gt;0,SnapshotTable[[#This Row],[LC Book Price]]&gt;0,SnapshotTable[[#This Row],[LC Fill Date]]=0),"Y","")</f>
        <v/>
      </c>
      <c r="DQ250" s="386" t="str">
        <f>IF(SnapshotTable[[#This Row],[LC Premium]] &gt; 0,SnapshotTable[[#This Row],[LC Exp Date]]-MAX(SnapshotTable[[#This Row],[LC Book Date]], SnapshotTable[[#This Row],[LC Fill Date]]),"")</f>
        <v/>
      </c>
      <c r="DR250" s="386" t="str">
        <f>IF(ISNUMBER(SnapshotTable[[#This Row],[LC Term]]), SnapshotTable[[#This Row],[LC Exp Date]] - MockToday, "")</f>
        <v/>
      </c>
      <c r="DS250" s="234" t="str">
        <f>IF(SnapshotTable[[#This Row],[LC Premium]]&gt;0,SnapshotTable[[#This Row],[LC Strike Price]] + SnapshotTable[[#This Row],[LC Book Price]],"")</f>
        <v/>
      </c>
      <c r="DU250" s="9" t="str">
        <f>IF(AND(SnapshotTable[[#This Row],[LC Symbol Count]]&gt;0, SnapshotTable[[#This Row],[LC Contract Value]]&gt;0), SnapshotTable[[#This Row],[LC Contract Value]] * SnapshotTable[[#This Row],[LC Qty]] * 100, "")</f>
        <v/>
      </c>
      <c r="DV250" s="9" t="str">
        <f>IF(AND(ISNUMBER(SnapshotTable[[#This Row],[LC Total Value]]), SnapshotTable[[#This Row],[LC Not Filled]]&lt;&gt;"Y"), SnapshotTable[[#This Row],[LC Total Value]]-SnapshotTable[[#This Row],[LC Premium]],"")</f>
        <v/>
      </c>
      <c r="DW250" s="240" t="str">
        <f>IF(ISNUMBER(SnapshotTable[[#This Row],[LC Actual Gain Loss]]), SnapshotTable[[#This Row],[LC Actual Gain Loss]] / SnapshotTable[[#This Row],[LC Premium]],"")</f>
        <v/>
      </c>
      <c r="DX250" s="284" t="str">
        <f>IF(ISNUMBER(SnapshotTable[[#This Row],[LC Book Price]]),SnapshotTable[[#This Row],[LC Book Price]] * 1.5,"")</f>
        <v/>
      </c>
      <c r="DY250" s="265" t="str">
        <f>IF(SnapshotTable[[#This Row],[LC Premium]]&gt;0, SnapshotTable[[#This Row],[LC Next Target]] * SnapshotTable[[#This Row],[LC Qty]] * 100,"")</f>
        <v/>
      </c>
      <c r="DZ250" s="265" t="str">
        <f>IF(ISNUMBER(SnapshotTable[[#This Row],[LC Target Gross]]), SnapshotTable[[#This Row],[LC Target Gross]] - SnapshotTable[[#This Row],[LC Premium]], "")</f>
        <v/>
      </c>
      <c r="EA250" s="305" t="str">
        <f>IF(ISNUMBER(SnapshotTable[[#This Row],[LC Target Gain Loss]]), SnapshotTable[[#This Row],[LC Target Gain Loss]]/SnapshotTable[[#This Row],[LC Premium]], "")</f>
        <v/>
      </c>
      <c r="EB250" s="262"/>
      <c r="EC250" s="283" t="str">
        <f>IF(SnapshotTable[[#This Row],[LC Premium]]&gt;0, SnapshotTable[[#This Row],[LC Book Price]] * (1 - LC_StopLoss_Pct),"")</f>
        <v/>
      </c>
      <c r="ED250" s="284"/>
      <c r="EE250" s="283" t="str">
        <f>IF(ISNUMBER(SnapshotTable[[#This Row],[LC Contract Value]]),IF(ISNUMBER(SnapshotTable[[#This Row],[LC Stop Loss Override]]), SnapshotTable[[#This Row],[LC Stop Loss Override]],SnapshotTable[[#This Row],[LC Stop Loss Calc Target]]),"")</f>
        <v/>
      </c>
      <c r="EF250" s="31" t="str">
        <f>IF(ISNUMBER(SnapshotTable[[#This Row],[LC Stop  To Use]]), (SnapshotTable[[#This Row],[LC Stop  To Use]] * SnapshotTable[[#This Row],[LC Qty]] * 100),"")</f>
        <v/>
      </c>
      <c r="EG250" s="9" t="str">
        <f>IF(ISNUMBER(SnapshotTable[[#This Row],[LC Total Value]]),SnapshotTable[[#This Row],[LC Stop Loss Amount]] - SnapshotTable[[#This Row],[LC Premium]],"")</f>
        <v/>
      </c>
      <c r="EH250" s="9">
        <f>IF(ISNUMBER(SnapshotTable[[#This Row],[LC Premium]]), SnapshotTable[[#This Row],[LC Qty]] * 100 * SnapshotTable[[#This Row],[LC Strike Price]], "")</f>
        <v>0</v>
      </c>
      <c r="EI250" s="240" t="str">
        <f>IF(AND(ISNUMBER(SnapshotTable[[#This Row],[LC Total Value]]),SnapshotTable[[#This Row],[LC Total Value]]&gt;0),SnapshotTable[[#This Row],[LC Stop Gain Loss]]  / SnapshotTable[[#This Row],[LC Premium]],"")</f>
        <v/>
      </c>
      <c r="EJ250" s="35">
        <f>IF(ISNUMBER(SnapshotTable[[#This Row],[Equity Shares]]),TRUNC(SnapshotTable[[#This Row],[Equity Shares]] / 100),0) + SnapshotTable[[#This Row],[LC Qty]]</f>
        <v>0</v>
      </c>
      <c r="EK250" s="147"/>
      <c r="EL250" s="138" t="str">
        <f>IF(SnapshotTable[[#This Row],[SC Exp Date]]&lt;&gt;"",TRUNC(SnapshotTable[[#This Row],[Last Price]]),"")</f>
        <v/>
      </c>
      <c r="EM250" s="148"/>
      <c r="EN250" s="147"/>
      <c r="EO250" s="147"/>
      <c r="EP250" s="138"/>
      <c r="EQ250" s="419" t="b">
        <f>AND(ISNUMBER(SnapshotTable[[#This Row],[SC Exp Date]]), ISNUMBER(SnapshotTable[[#This Row],[SC Strike Price]]), ISNUMBER(SnapshotTable[[#This Row],[SC Qty]]), ISNUMBER(SnapshotTable[[#This Row],[SC Book Date]]), ISNUMBER(SnapshotTable[[#This Row],[SC Book Price]]))</f>
        <v>0</v>
      </c>
      <c r="ER250" s="419" t="b">
        <f>AND(SnapshotTable[[#This Row],[SC Is Booked]], NOT(ISBLANK(SnapshotTable[[#This Row],[SC Fill Date]])))</f>
        <v>0</v>
      </c>
      <c r="ES250" s="370"/>
      <c r="ET250" s="34" t="str">
        <f>IF(AND(ISNUMBER(SnapshotTable[[#This Row],[SC Exp Date]]), ISNUMBER(SnapshotTable[[#This Row],[SC Book Date]])), SnapshotTable[[#This Row],[SC Exp Date]] - MAX(SnapshotTable[[#This Row],[SC Book Date]], SnapshotTable[[#This Row],[SC Fill Date]]) + 1, "")</f>
        <v/>
      </c>
      <c r="EU250" s="34" t="str">
        <f>IF(ISNUMBER(SnapshotTable[[#This Row],[SC Term]]), SnapshotTable[[#This Row],[SC Exp Date]]- MockToday, "")</f>
        <v/>
      </c>
      <c r="EV250" s="31">
        <f>IF(SnapshotTable[[#This Row],[SC Is Booked]], SnapshotTable[[#This Row],[SC Qty]] * SnapshotTable[[#This Row],[SC Book Price]] * 100, 0)</f>
        <v>0</v>
      </c>
      <c r="EW250" s="4" t="str">
        <f>IF(AND(ISNUMBER(SnapshotTable[[#This Row],[Last Price]]), ISNUMBER( SnapshotTable[[#This Row],[SC Book Price]])), SnapshotTable[[#This Row],[Last Price]] - SnapshotTable[[#This Row],[SC Book Price]],"")</f>
        <v/>
      </c>
      <c r="EX250" s="234" t="str">
        <f>IF(SnapshotTable[[#This Row],[SC Is Booked]],IF(SnapshotTable[[#This Row],[SC Intrinsic Value]] &gt; 0, SnapshotTable[[#This Row],[SC Strike Price]], SnapshotTable[[#This Row],[Last Price]]), "")</f>
        <v/>
      </c>
      <c r="EY250" s="4">
        <f>IF(SnapshotTable[[#This Row],[SC Is Booked]], (MinimumPremiumRequired * SnapshotTable[[#This Row],[SC Basis]] * SnapshotTable[[#This Row],[SC Term]]), 0)</f>
        <v>0</v>
      </c>
      <c r="EZ250" s="283"/>
      <c r="FA250" s="218"/>
      <c r="FB250" s="370"/>
      <c r="FC250" s="4">
        <f>IF(SnapshotTable[[#This Row],[SC Is Filled]], btc_max_buyback_amount(SnapshotTable[[#This Row],[SC Fill Date]],SnapshotTable[[#This Row],[SC Exp Date]], SnapshotTable[[#This Row],[SC Book Price]]),0)</f>
        <v>0</v>
      </c>
      <c r="FD250" s="5"/>
      <c r="FE250" s="144" t="str">
        <f>IF(SnapshotTable[[#This Row],[SC Is Filled]], btc_next_cutoff_date(SnapshotTable[[#This Row],[SC Fill Date]],SnapshotTable[[#This Row],[SC Exp Date]]),"")</f>
        <v/>
      </c>
      <c r="FF250" s="4" t="str" cm="1">
        <f t="array" ref="FF250">IF(SnapshotTable[[#This Row],[SC Is Filled]], btc_should_buy_back(SnapshotTable[[#This Row],[SC Fill Date]], SnapshotTable[[#This Row],[SC Exp Date]], SnapshotTable[[#This Row],[SC Book Price]], SnapshotTable[[#This Row],[SC Current Ask]], MockToday, SnapshotTable[[#This Row],[SC Buyback Override]]),"")</f>
        <v/>
      </c>
      <c r="FG250" s="4">
        <f>IF(SnapshotTable[[#This Row],[SC Is Filled]], MAX(0,SnapshotTable[[#This Row],[Last Price]]  - SnapshotTable[[#This Row],[SC Strike Price]]), 0)</f>
        <v>0</v>
      </c>
      <c r="FH250" s="382">
        <f>IF(SnapshotTable[[#This Row],[SC Is Filled]], IF(ISNUMBER(SnapshotTable[[#This Row],[SC Current Ask]]), SnapshotTable[[#This Row],[SC Current Ask]], SnapshotTable[[#This Row],[SC Book Price]]) - SnapshotTable[[#This Row],[SC Intrinsic Value]], 0)</f>
        <v>0</v>
      </c>
      <c r="FI250" s="143"/>
      <c r="FJ250" s="32" t="str">
        <f>IF(SnapshotTable[[#This Row],[SC Is Filled]],100 * SnapshotTable[[#This Row],[SC Qty]] * IF(ISNUMBER(SnapshotTable[[#This Row],[SC Buyback Override]]), SnapshotTable[[#This Row],[SC Buyback Override]], SnapshotTable[[#This Row],[SC Current Ask]]), "")</f>
        <v/>
      </c>
      <c r="FK250" s="250" t="str">
        <f>IF(SnapshotTable[[#This Row],[SC Time Val]]&gt;0, SnapshotTable[[#This Row],[SC Time Val]] / SnapshotTable[[#This Row],[Last Price]],"")</f>
        <v/>
      </c>
      <c r="FL250" s="302" t="str">
        <f>IF(SnapshotTable[[#This Row],[SC Is Booked]], ((SnapshotTable[[#This Row],[Last Price]] -SnapshotTable[[#This Row],[SC Strike Price]]) / SnapshotTable[[#This Row],[Last Price]]) * -1, "")</f>
        <v/>
      </c>
      <c r="FM250" s="157" t="str">
        <f>IF(SnapshotTable[[#This Row],[SC Is Booked]],  (SnapshotTable[[#This Row],[SC Qty]] * 100 * SnapshotTable[[#This Row],[SC Strike Price]]) - SnapshotTable[[#This Row],[SC Current Ask]], "")</f>
        <v/>
      </c>
      <c r="FN25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0" s="31" t="str">
        <f>IF(AND(ISNUMBER(SnapshotTable[[#This Row],[SC Exercise Gross]]), ISNUMBER(SnapshotTable[[#This Row],[Equity Basis Per Share]] )), SnapshotTable[[#This Row],[SC Exercise Gross]] - SnapshotTable[[#This Row],[Equity Basis Total]] +  SnapshotTable[[#This Row],[SC Premium]], "")</f>
        <v/>
      </c>
      <c r="FP250" s="5" t="str">
        <f>IF(ISNUMBER(SnapshotTable[[#This Row],[SC Exercise Gross]]), (SnapshotTable[[#This Row],[SC Exercise Gross]]) / (SnapshotTable[[#This Row],[SC Qty]] * 100), "")</f>
        <v/>
      </c>
      <c r="FQ250" s="27" t="str">
        <f>IF(SnapshotTable[[#This Row],[SC Is Booked]],SnapshotTable[[#This Row],[SC Time Val]] /SnapshotTable[[#This Row],[SC Basis]], "")</f>
        <v/>
      </c>
      <c r="FR250" s="27" t="str" cm="1">
        <f t="array" ref="FR250">IF(AND(ISNUMBER(SnapshotTable[[#This Row],[SC Term]]),ISNUMBER(SnapshotTable[[#This Row],[SC Simple ROO]])), EllmanAnnualize(SnapshotTable[[#This Row],[SC DTE]], SnapshotTable[[#This Row],[SC Simple ROO]] ),"")</f>
        <v/>
      </c>
      <c r="FS250" s="4" t="e">
        <f>IF(SnapshotTable[[#This Row],[SC Strike Price]] &gt; SnapshotTable[[#This Row],[Last Price]], SnapshotTable[[#This Row],[SC Strike Price]] - SnapshotTable[[#This Row],[Last Price]],0)</f>
        <v>#VALUE!</v>
      </c>
      <c r="FT250" s="27" t="e">
        <f>IF(AND(ISNUMBER(SnapshotTable[[#This Row],[SC Upside Potential]]), SnapshotTable[[#This Row],[SC Upside Potential]] &gt; 0),(SnapshotTable[[#This Row],[SC Upside Potential]]/ SnapshotTable[[#This Row],[ACB]]),"")</f>
        <v>#VALUE!</v>
      </c>
      <c r="FU250" s="333" t="str">
        <f>IF(SnapshotTable[[#This Row],[SC Intrinsic Value]] &gt; 0,SnapshotTable[[#This Row],[SC Intrinsic Value]],"")</f>
        <v/>
      </c>
      <c r="FV250" s="27" t="str">
        <f>IF(AND( ISNUMBER( SnapshotTable[[#This Row],[ACB]]),ISNUMBER(SnapshotTable[[#This Row],[SC Downside Protect]])),SnapshotTable[[#This Row],[SC Downside Protect]] / SnapshotTable[[#This Row],[ACB]],"")</f>
        <v/>
      </c>
      <c r="FW250" s="236" t="str">
        <f>IF(AND(ISNUMBER(SnapshotTable[[#This Row],[SC Simple ROO]]),SnapshotTable[[#This Row],[SC Simple ROO]] &gt; 0), SnapshotTable[[#This Row],[SC Premium]] + (SnapshotTable[[#This Row],[SC Qty]] * SnapshotTable[[#This Row],[SC Upside Potential]]), "")</f>
        <v/>
      </c>
      <c r="FX250" s="302" t="str" cm="1">
        <f t="array" ref="FX250">IF(ISNUMBER(SnapshotTable[[#This Row],[SC Max Dollars]]), annualize(SnapshotTable[[#This Row],[SC Term]],(SnapshotTable[[#This Row],[SC Max Dollars]]/SnapshotTable[[#This Row],[SC Basis]])),"")</f>
        <v/>
      </c>
      <c r="FY250" s="236" t="str">
        <f>IF(AND(SnapshotTable[[#This Row],[SC Qty]]&gt;0,SnapshotTable[[#This Row],[SC Current Ask]]&gt;0), SnapshotTable[[#This Row],[SC Qty]] * SnapshotTable[[#This Row],[SC Current Ask]] * -100, "")</f>
        <v/>
      </c>
      <c r="FZ250" s="31" t="str">
        <f>IF(ISNUMBER((SnapshotTable[[#This Row],[SC Current Value]])), SnapshotTable[[#This Row],[SC Premium]] + SnapshotTable[[#This Row],[SC Current Value]], "")</f>
        <v/>
      </c>
      <c r="GA250" s="294" t="str">
        <f>IFERROR( IF(ISNUMBER((SnapshotTable[[#This Row],[SC Current Value]])), SnapshotTable[[#This Row],[SC Gain Loss]] / SnapshotTable[[#This Row],[SC Premium]], ""), "")</f>
        <v/>
      </c>
      <c r="GB250" s="42">
        <f>SnapshotTable[[#This Row],[Equity Shares]] * SaleSharesToConsiderPercentage</f>
        <v>0</v>
      </c>
      <c r="GC250" s="40">
        <f>SnapshotTable[[#This Row],[Long Term Target]] * SellingPriceToConsiderBasedOnTargetPercentage</f>
        <v>408.41450000000003</v>
      </c>
      <c r="GD250" s="40">
        <f>SnapshotTable[[#This Row],[Last Price]] * (1+ SellingPriceToConsiderBasedOnTargetPercentage)</f>
        <v>1037.3610000000001</v>
      </c>
      <c r="GE250" s="41"/>
      <c r="GF250" s="40"/>
      <c r="GG250" s="31">
        <f>SnapshotTable[[#This Row],[Booked Sale Shares]] * SnapshotTable[[#This Row],[Booked Sale Price]]</f>
        <v>0</v>
      </c>
      <c r="GH250" s="31" t="str">
        <f>IF(SnapshotTable[[#This Row],[Equity Basis Total]] &gt; 0, SnapshotTable[[#This Row],[Equity Basis Per Share]] * SnapshotTable[[#This Row],[Booked Sale Shares]], "")</f>
        <v/>
      </c>
      <c r="GI250" s="31">
        <f>IF(SnapshotTable[[#This Row],[Sale Proceeds]]&gt;0, SnapshotTable[[#This Row],[Sale Proceeds]] - SnapshotTable[[#This Row],[Sale Basis]], 0)</f>
        <v>0</v>
      </c>
      <c r="GJ250" s="27" t="str">
        <f>IF(SnapshotTable[[#This Row],[Sale G/L]]&gt;0, SnapshotTable[[#This Row],[Sale G/L]] / SnapshotTable[[#This Row],[Sale Basis]], IF(ISNUMBER(SnapshotTable[[#This Row],[SC Exercise P&amp;L (TAX)]]), SnapshotTable[[#This Row],[SC Exercise P&amp;L (TAX)]] / SnapshotTable[[#This Row],[SC Basis]], ""))</f>
        <v/>
      </c>
      <c r="GK250" s="27" t="s">
        <v>673</v>
      </c>
      <c r="GL250" s="43" t="str">
        <f>IF(AND(SnapshotTable[[#This Row],[LP Exp Date]]&gt;0,SnapshotTable[[#This Row],[LP Strike Price]]&gt;0), [1]!ToOptionSymbol(SnapshotTable[[#This Row],[Symbol]], SnapshotTable[[#This Row],[LP Strike Price]],SnapshotTable[[#This Row],[LP Exp Date]],1), "")</f>
        <v/>
      </c>
      <c r="GM250" s="30" t="str">
        <f>IF(LEN(SnapshotTable[[#This Row],[LP Symbol]])&gt;0, 1, "")</f>
        <v/>
      </c>
      <c r="GN250" s="43" t="str">
        <f>IF(AND(SnapshotTable[[#This Row],[SP Exp Date]]&gt;0,SnapshotTable[[#This Row],[SP Strike Price]]&gt;0), [1]!ToOptionSymbol(SnapshotTable[[#This Row],[Symbol]], SnapshotTable[[#This Row],[SP Strike Price]],SnapshotTable[[#This Row],[SP Exp Date]],1), "")</f>
        <v/>
      </c>
      <c r="GO250" s="30" t="str">
        <f>IF(LEN(SnapshotTable[[#This Row],[SP Symbol]])&gt;0, 1, "")</f>
        <v/>
      </c>
      <c r="GP250" s="43" t="str">
        <f>IF(AND(SnapshotTable[[#This Row],[LC Exp Date]]&gt;0,SnapshotTable[[#This Row],[LC Strike Price]]&gt;0), [1]!ToOptionSymbol(SnapshotTable[[#This Row],[Symbol]], SnapshotTable[[#This Row],[LC Strike Price]],SnapshotTable[[#This Row],[LC Exp Date]],0), "")</f>
        <v/>
      </c>
      <c r="GQ250" s="30" t="str">
        <f>IF(LEN(SnapshotTable[[#This Row],[LC Symbol]])&gt;0, 1, "")</f>
        <v/>
      </c>
      <c r="GR250" s="43" t="str">
        <f>IF(AND(SnapshotTable[[#This Row],[SC Exp Date]]&gt;0,SnapshotTable[[#This Row],[SC Strike Price]]&gt;0), [1]!ToOptionSymbol(SnapshotTable[[#This Row],[Symbol]], SnapshotTable[[#This Row],[SC Strike Price]],SnapshotTable[[#This Row],[SC Exp Date]],0), "")</f>
        <v/>
      </c>
      <c r="GS250" s="30" t="str">
        <f>IF(LEN(SnapshotTable[[#This Row],[SC Symbol]])&gt;0, 1, "")</f>
        <v/>
      </c>
      <c r="GT250" s="29" t="str">
        <f>IF(COUNT(SnapshotTable[[#This Row],[LP Symbol Count]],SnapshotTable[[#This Row],[SP Symbol Count]],SnapshotTable[[#This Row],[LC Symbol Count]],SnapshotTable[[#This Row],[SC Symbol Count]])&gt;0, "Y", "")</f>
        <v/>
      </c>
      <c r="GU25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0" s="231" t="e">
        <f>MAX(SnapshotTable[[#This Row],[Equity Basis Total]],SnapshotTable[[#This Row],[Equity Value]]) + (SnapshotTable[[#This Row],[SP Potential Spend]]- SnapshotTable[[#This Row],[SP Premium]] + SnapshotTable[[#This Row],[LP Premium]])+ (SnapshotTable[[#This Row],[LC Premium]] - SnapshotTable[[#This Row],[SC Premium]])</f>
        <v>#VALUE!</v>
      </c>
      <c r="GW250" s="139" t="e">
        <f>IF(AND(SnapshotTable[[#This Row],[Exposure]] &lt;&gt; 0),SnapshotTable[[#This Row],[Exposure]] / SnapshotTable[[#Totals],[Exposure]], "")</f>
        <v>#VALUE!</v>
      </c>
      <c r="HE250" s="268"/>
      <c r="HF250" s="268"/>
      <c r="HK250" s="1"/>
      <c r="HL250" s="1"/>
      <c r="HM250" s="1"/>
      <c r="HN250" s="1"/>
      <c r="HO250" s="1"/>
      <c r="HP250" s="1"/>
    </row>
    <row r="251" spans="2:224" ht="12.75" hidden="1" customHeight="1" x14ac:dyDescent="0.25">
      <c r="B251" s="12" t="s">
        <v>501</v>
      </c>
      <c r="C251" s="422">
        <v>369.8</v>
      </c>
      <c r="D251" s="208"/>
      <c r="E251" s="39">
        <f>SnapshotTable[[#This Row],[Last Price]]*(1 -CrashDiscount)</f>
        <v>314.33</v>
      </c>
      <c r="F251" s="26" t="s">
        <v>502</v>
      </c>
      <c r="G251" s="26" t="s">
        <v>14</v>
      </c>
      <c r="H251" s="149"/>
      <c r="I251" s="194">
        <v>44776.291666666664</v>
      </c>
      <c r="J251" s="195">
        <v>44776.291666666664</v>
      </c>
      <c r="K251" s="196"/>
      <c r="L251" s="326"/>
      <c r="M251" s="140"/>
      <c r="N251" s="140"/>
      <c r="O251" s="140"/>
      <c r="P251" s="22"/>
      <c r="Q251" s="25"/>
      <c r="R251" s="4" t="str">
        <f>IF(SnapshotTable[[#This Row],[Equity Basis Total]] &gt; 0, SnapshotTable[[#This Row],[Equity Basis Total]] / SnapshotTable[[#This Row],[Equity Shares]], "")</f>
        <v/>
      </c>
      <c r="S251" s="269">
        <f>SnapshotTable[[#This Row],[Last Price]] * SnapshotTable[[#This Row],[Equity Shares]]</f>
        <v>0</v>
      </c>
      <c r="T251" s="269">
        <f>SnapshotTable[[#This Row],[Equity Value]] - SnapshotTable[[#This Row],[Equity Basis Total]]</f>
        <v>0</v>
      </c>
      <c r="U251" s="270" t="str">
        <f>IF(SnapshotTable[[#This Row],[Equity Basis Total]] &gt; 0, SnapshotTable[[#This Row],[Equity G/L]] / SnapshotTable[[#This Row],[Equity Basis Total]], "")</f>
        <v/>
      </c>
      <c r="V251" s="268"/>
      <c r="W251" s="268"/>
      <c r="X251" s="4" t="str">
        <f>IF(AND(ISNUMBER(SnapshotTable[[#This Row],[Equity Basis Per Share]]),ISNUMBER(SnapshotTable[[#This Row],[Equity Target]])),SnapshotTable[[#This Row],[Equity Target]]-SnapshotTable[[#This Row],[Equity Basis Per Share]],"")</f>
        <v/>
      </c>
      <c r="Y251" s="4" t="str">
        <f>IF(AND(ISNUMBER(SnapshotTable[[#This Row],[Equity Basis Per Share]]),ISNUMBER(SnapshotTable[[#This Row],[Equity Stop Loss]])),SnapshotTable[[#This Row],[Equity Stop Loss]]-SnapshotTable[[#This Row],[Equity Basis Per Share]],"")</f>
        <v/>
      </c>
      <c r="Z251" s="275" t="str">
        <f>IFERROR( TEXT(SnapshotTable[[#This Row],[Equity Max Gain Per Share]] /ABS( SnapshotTable[[#This Row],[Equity Max Loss Per Share]]),"0.0 " ) &amp; " : 1", "")</f>
        <v/>
      </c>
      <c r="AA251" s="31" t="str">
        <f>IF(ISNUMBER(SnapshotTable[[#This Row],[Equity Max Gain Per Share]]),SnapshotTable[[#This Row],[Equity Max Gain Per Share]] * SnapshotTable[[#This Row],[Equity Shares]],"")</f>
        <v/>
      </c>
      <c r="AB251" s="31" t="str">
        <f>IF(ISNUMBER(SnapshotTable[[#This Row],[Equity Max Loss Per Share]]),SnapshotTable[[#This Row],[Equity Max Loss Per Share]] * SnapshotTable[[#This Row],[Equity Shares]],"")</f>
        <v/>
      </c>
      <c r="AC251" s="150">
        <v>1.32</v>
      </c>
      <c r="AD251" s="151"/>
      <c r="AE251" s="31">
        <f>(SnapshotTable[[#This Row],[Annual Dividend Per Share]] / 4) * SnapshotTable[[#This Row],[Equity Shares]]</f>
        <v>0</v>
      </c>
      <c r="AF251" s="31">
        <f>SnapshotTable[[#This Row],[Quarterly Div $]] * 4</f>
        <v>0</v>
      </c>
      <c r="AG251" s="7">
        <f>IF(SnapshotTable[[#This Row],[Annual Dividend Per Share]]&gt;0, SnapshotTable[[#This Row],[Annual Dividend Per Share]]  / SnapshotTable[[#This Row],[Last Price]], 0)</f>
        <v>3.5694970254191456E-3</v>
      </c>
      <c r="AH251" s="151">
        <v>43613</v>
      </c>
      <c r="AI251" s="5">
        <v>150</v>
      </c>
      <c r="AJ251" s="138">
        <v>99.05</v>
      </c>
      <c r="AK251" s="152">
        <f>IF(ISNUMBER( SnapshotTable[[#This Row],[EBF Target]]),(SnapshotTable[[#This Row],[EBF Target]] - SnapshotTable[[#This Row],[Last Price]]) / SnapshotTable[[#This Row],[Last Price]], "")</f>
        <v>-0.59437533802055165</v>
      </c>
      <c r="AL251" s="152" t="str">
        <f>IF(AND(SnapshotTable[[#This Row],[Equity Basis Total]] &gt; 0,ISNUMBER( SnapshotTable[[#This Row],[Long Term Target]])), SnapshotTable[[#This Row],[From Basis $]] / SnapshotTable[[#This Row],[Equity Basis Total]], "")</f>
        <v/>
      </c>
      <c r="AM251" s="9">
        <f>IF( AND(SnapshotTable[[#This Row],[Equity Shares]] &gt;0,ISNUMBER( SnapshotTable[[#This Row],[Long Term Target]])),(SnapshotTable[[#This Row],[Equity Shares]] * SnapshotTable[[#This Row],[Long Term Target]]) - SnapshotTable[[#This Row],[Equity Basis Total]],0)</f>
        <v>0</v>
      </c>
      <c r="AN251" s="9">
        <f>IF( AND(SnapshotTable[[#This Row],[Equity Shares]] &gt;0,ISNUMBER( SnapshotTable[[#This Row],[Long Term Target]])),(SnapshotTable[[#This Row],[Equity Shares]]*SnapshotTable[[#This Row],[Long Term Target]]) - SnapshotTable[[#This Row],[Equity Value]],0)</f>
        <v>0</v>
      </c>
      <c r="AO251" s="152">
        <f>IF(AND(ISNUMBER( SnapshotTable[[#This Row],[Long Term Target]]), ISNUMBER(SnapshotTable[[#This Row],[Last Price]])),(SnapshotTable[[#This Row],[Long Term Target]] - SnapshotTable[[#This Row],[Last Price]]) / SnapshotTable[[#This Row],[Last Price]], "")</f>
        <v>-0.73215251487290423</v>
      </c>
      <c r="AP251" s="5">
        <v>130</v>
      </c>
      <c r="AQ251" s="38" t="s">
        <v>46</v>
      </c>
      <c r="AR251" s="5">
        <v>120</v>
      </c>
      <c r="AS251" s="38" t="s">
        <v>26</v>
      </c>
      <c r="AT251" s="146"/>
      <c r="AU251" s="187" t="str">
        <f>IF(OR(SnapshotTable[[#This Row],[LP No Fill]]="Y",SnapshotTable[[#This Row],[SP Is Filled]],SnapshotTable[[#This Row],[LC Not Filled]]="Y",SnapshotTable[[#This Row],[SC Is Filled]]),"Y","")</f>
        <v/>
      </c>
      <c r="AV251" s="219"/>
      <c r="AW251" s="225"/>
      <c r="AX251" s="220"/>
      <c r="AY251" s="219" t="str">
        <f>IF(SnapshotTable[[#This Row],[Implied Move]]&gt;0, SnapshotTable[[#This Row],[Last Price]]-SnapshotTable[[#This Row],[Implied Move]],"")</f>
        <v/>
      </c>
      <c r="AZ251" s="219" t="str">
        <f>IF(SnapshotTable[[#This Row],[Implied Move]]&gt;0, SnapshotTable[[#This Row],[Last Price]] + SnapshotTable[[#This Row],[Implied Move]],"")</f>
        <v/>
      </c>
      <c r="BA251" s="331"/>
      <c r="BB251" s="347"/>
      <c r="BC25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1" s="351"/>
      <c r="BE251" s="5"/>
      <c r="BF251" s="14"/>
      <c r="BG251" s="13"/>
      <c r="BH251" s="13"/>
      <c r="BI251" s="5"/>
      <c r="BJ251" s="136">
        <f>IF(SnapshotTable[[#This Row],[LP Qty]] &gt; 0, SnapshotTable[[#This Row],[LP Qty]] * SnapshotTable[[#This Row],[LP Book Price]] * 100,0)</f>
        <v>0</v>
      </c>
      <c r="BK251" s="136">
        <f>IF(SnapshotTable[[#This Row],[LP Premium]] &gt; 0, SnapshotTable[[#This Row],[LP Qty]] * SnapshotTable[[#This Row],[LP Strike Price]] * 100,0)</f>
        <v>0</v>
      </c>
      <c r="BL251" s="154"/>
      <c r="BM251" s="385" t="str">
        <f>IF(SnapshotTable[[#This Row],[LP Premium]] &gt; 0,SnapshotTable[[#This Row],[LP Exp Date]]-MAX(SnapshotTable[[#This Row],[LP Book Date]], SnapshotTable[[#This Row],[LP Fill Date]]),"")</f>
        <v/>
      </c>
      <c r="BN251" s="385" t="str">
        <f>IF(ISNUMBER( SnapshotTable[[#This Row],[LP Term]]), SnapshotTable[[#This Row],[LP Exp Date]] - MockToday,"")</f>
        <v/>
      </c>
      <c r="BO251" s="163" t="str">
        <f>IF(AND(SnapshotTable[[#This Row],[LP Exp Date]]&gt;0, SnapshotTable[[#This Row],[LP Strike Price]]&gt;0,SnapshotTable[[#This Row],[LP Qty]]&gt;0,SnapshotTable[[#This Row],[LP Book Date]]&gt;0,SnapshotTable[[#This Row],[LP Book Price]]&gt;0,SnapshotTable[[#This Row],[LP Fill Date]]=0),"Y","")</f>
        <v/>
      </c>
      <c r="BP251" s="31" t="str">
        <f>IF(AND(SnapshotTable[[#This Row],[LP No Fill]]&lt;&gt;"Y",SnapshotTable[[#This Row],[LP Contract Value]]&gt;0, SnapshotTable[[#This Row],[LP Qty]]&gt;0), SnapshotTable[[#This Row],[LP Contract Value]]*SnapshotTable[[#This Row],[LP Qty]]*100,"")</f>
        <v/>
      </c>
      <c r="BQ251" s="13"/>
      <c r="BR251" s="5" t="str">
        <f>IF(SnapshotTable[[#This Row],[SP Exp Date]]&lt;&gt;"",TRUNC(SnapshotTable[[#This Row],[Last Price]]),"")</f>
        <v/>
      </c>
      <c r="BS251" s="36"/>
      <c r="BT251" s="147"/>
      <c r="BU251" s="13"/>
      <c r="BV251" s="5"/>
      <c r="BW251" s="419" t="b">
        <f>AND(ISNUMBER(SnapshotTable[[#This Row],[SP Exp Date]]), ISNUMBER(SnapshotTable[[#This Row],[SP Strike Price]]), ISNUMBER(SnapshotTable[[#This Row],[SP Qty]]), ISNUMBER(SnapshotTable[[#This Row],[SP Book Date]]), ISNUMBER(SnapshotTable[[#This Row],[SP Book Price]]))</f>
        <v>0</v>
      </c>
      <c r="BX251" s="419" t="b">
        <f>AND(SnapshotTable[[#This Row],[SP Is Booked]], NOT(ISBLANK(SnapshotTable[[#This Row],[SP Fill Date]])))</f>
        <v>0</v>
      </c>
      <c r="BY251" s="33">
        <f>IF(SnapshotTable[[#This Row],[SP Is Booked]], SnapshotTable[[#This Row],[SP Qty]] * SnapshotTable[[#This Row],[SP Book Price]] * 100, 0)</f>
        <v>0</v>
      </c>
      <c r="BZ251" s="369"/>
      <c r="CA251" s="368">
        <f>SnapshotTable[[#This Row],[LP Qty]]</f>
        <v>0</v>
      </c>
      <c r="CB251" s="4" t="str">
        <f>IF(SnapshotTable[[#This Row],[SP Is Booked]], SnapshotTable[[#This Row],[SP Strike Price]] - SnapshotTable[[#This Row],[SP Book Price]], "")</f>
        <v/>
      </c>
      <c r="CC251" s="19" t="str">
        <f>IF(SnapshotTable[[#This Row],[SP Is Booked]],SnapshotTable[[#This Row],[SP Exp Date]]-MAX(SnapshotTable[[#This Row],[SP Book Date]], SnapshotTable[[#This Row],[SP Fill Date]]),"")</f>
        <v/>
      </c>
      <c r="CD251" s="7" t="str">
        <f>IF(SnapshotTable[[#This Row],[SP Is Booked]], SnapshotTable[[#This Row],[SP Book Price]]/SnapshotTable[[#This Row],[SP Strike Price]], "")</f>
        <v/>
      </c>
      <c r="CE251" s="7" t="str">
        <f>IF(ISNUMBER(SnapshotTable[[#This Row],[SP ROO Term]]),SnapshotTable[[#This Row],[SP ROO Term]]*(365/SnapshotTable[[#This Row],[SP Term]]),"")</f>
        <v/>
      </c>
      <c r="CF251" s="236">
        <f>SnapshotTable[[#This Row],[LP Strike Price]] * SnapshotTable[[#This Row],[LP Qty]] * 100</f>
        <v>0</v>
      </c>
      <c r="CG251" s="31" t="e">
        <f>IF(ISNUMBER(SnapshotTable[[#This Row],[SP Premium]]), (SnapshotTable[[#This Row],[SP Qty]] * SnapshotTable[[#This Row],[SP Strike Price]]* 100) - SnapshotTable[[#This Row],[LP Protection]], 0)</f>
        <v>#VALUE!</v>
      </c>
      <c r="CH251" s="7" t="str">
        <f>IF(ISNUMBER(SnapshotTable[[#This Row],[SP Break Even]]),-1 * (SnapshotTable[[#This Row],[SP Break Even]] - SnapshotTable[[#This Row],[Last Price]]) / SnapshotTable[[#This Row],[Last Price]], "")</f>
        <v/>
      </c>
      <c r="CI251" s="31">
        <f>IF(AND(ISNUMBER((SnapshotTable[[#This Row],[SP Potential Spend]])), SnapshotTable[[#This Row],[SP Strike Price]] &gt; SnapshotTable[[#This Row],[Last Price]], SnapshotTable[[#This Row],[SP Is Filled]]), SnapshotTable[[#This Row],[SP Potential Spend]] -  SnapshotTable[[#This Row],[LP Max Value]], 0)</f>
        <v>0</v>
      </c>
      <c r="CJ251" s="244"/>
      <c r="CK251" s="31" t="str">
        <f>IF(ISNUMBER(SnapshotTable[[#This Row],[SP Potential Spend]]),IF(ISNUMBER(SnapshotTable[[#This Row],[SP POW]]), SnapshotTable[[#This Row],[SP POW]] * SnapshotTable[[#This Row],[SP Potential Spend]], SnapshotTable[[#This Row],[SP Potential Spend]]), "")</f>
        <v/>
      </c>
      <c r="CL251" s="164" t="e">
        <f>IF(NOT(SnapshotTable[[#This Row],[SP Is Filled]]),(SnapshotTable[[#This Row],[SP Qty]] * SnapshotTable[[#This Row],[SP Strike Price]] * 100) - SnapshotTable[[#This Row],[LP Max Value]],"")</f>
        <v>#VALUE!</v>
      </c>
      <c r="CM251" s="31" t="str">
        <f>IF(SnapshotTable[[#This Row],[SP Actual Spend]]&lt;&gt;0, ((SnapshotTable[[#This Row],[SP Strike Price]]-SnapshotTable[[#This Row],[Last Price]]) *(SnapshotTable[[#This Row],[SP Qty]]*100) - SnapshotTable[[#This Row],[SP Premium]]) * - 1, "")</f>
        <v/>
      </c>
      <c r="CN251" s="78"/>
      <c r="CO251" s="369"/>
      <c r="CP251" s="4" t="str">
        <f>IF(SnapshotTable[[#This Row],[SP Is Filled]], btc_max_buyback_amount(SnapshotTable[[#This Row],[SP Fill Date]],SnapshotTable[[#This Row],[SP Exp Date]], SnapshotTable[[#This Row],[SP Book Price]]),"")</f>
        <v/>
      </c>
      <c r="CQ251" s="78"/>
      <c r="CR25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1" s="155" t="str">
        <f>IF(SnapshotTable[[#This Row],[SP Is Filled]], btc_next_cutoff_date(SnapshotTable[[#This Row],[SP Fill Date]],SnapshotTable[[#This Row],[SP Exp Date]]),"")</f>
        <v/>
      </c>
      <c r="CT251" s="235" t="str" cm="1">
        <f t="array" ref="CT251">IF(SnapshotTable[[#This Row],[SP Is Filled]], btc_should_buy_back(SnapshotTable[[#This Row],[SP Fill Date]], SnapshotTable[[#This Row],[SP Exp Date]], SnapshotTable[[#This Row],[SP Book Price]], SnapshotTable[[#This Row],[SP Current Ask]], MockToday, SnapshotTable[[#This Row],[SP Buyback Override]]),"")</f>
        <v/>
      </c>
      <c r="CU251" s="143"/>
      <c r="CV251" s="235"/>
      <c r="CW251" s="378" t="str">
        <f>IF(ISNUMBER( SnapshotTable[[#This Row],[SP Term]]), SnapshotTable[[#This Row],[SP Exp Date]] - MockToday,"")</f>
        <v/>
      </c>
      <c r="CX251" s="31" t="str">
        <f>IF(SnapshotTable[[#This Row],[SP Is Filled]],SnapshotTable[[#This Row],[SP Buyback Price to Use]] * 100 * SnapshotTable[[#This Row],[SP Qty]], "")</f>
        <v/>
      </c>
      <c r="CY251" s="4" t="str">
        <f>IF(ISNUMBER(SnapshotTable[[#This Row],[SP Strike Price]]), SnapshotTable[[#This Row],[SP Strike Price]] * (1 - SP_MaxLoss_StrikePct), "")</f>
        <v/>
      </c>
      <c r="CZ251" s="31" t="str">
        <f>IF(ISNUMBER(SnapshotTable[[#This Row],[SP Strike  Stop Per Share]]),SnapshotTable[[#This Row],[SP Premium]] - ((SnapshotTable[[#This Row],[SP Strike Price]]-SnapshotTable[[#This Row],[SP Strike  Stop Per Share]]) *(SnapshotTable[[#This Row],[SP Qty]] * 100)),"")</f>
        <v/>
      </c>
      <c r="DA251" s="4" t="str">
        <f>IF(AND(ISNUMBER(SnapshotTable[[#This Row],[SP Premium]]),SnapshotTable[[#This Row],[SP Premium]]&gt;0), SnapshotTable[[#This Row],[SP Book Price]] * (1 + SP_MaxLoss_OptionPct), "")</f>
        <v/>
      </c>
      <c r="DB251" s="31" t="str">
        <f>IF(ISNUMBER(SnapshotTable[[#This Row],[SP Option  Stop Contract]]),(SnapshotTable[[#This Row],[SP Option  Stop Contract]] *(SnapshotTable[[#This Row],[SP Qty]] * 100) - SnapshotTable[[#This Row],[SP Premium]]),"")</f>
        <v/>
      </c>
      <c r="DC251" s="4"/>
      <c r="DD251" s="4"/>
      <c r="DE251" s="4" t="str">
        <f>IF(AND(SnapshotTable[[#This Row],[SP Qty]]&gt;0, SnapshotTable[[#This Row],[SP Stop To Use]]&gt;0),SnapshotTable[[#This Row],[SP Premium]] - ( SnapshotTable[[#This Row],[SP Qty]] * SnapshotTable[[#This Row],[SP Stop To Use]] * 100), "")</f>
        <v/>
      </c>
      <c r="DF251" s="31" t="str">
        <f>IF(AND(SnapshotTable[[#This Row],[SP Qty]]&gt;0,SnapshotTable[[#This Row],[SP Current Ask]]&gt;0), SnapshotTable[[#This Row],[SP Qty]] * SnapshotTable[[#This Row],[SP Current Ask]] * -100, "")</f>
        <v/>
      </c>
      <c r="DG251" s="31" t="str">
        <f>IF(ISNUMBER((SnapshotTable[[#This Row],[SP Total Value]])), SnapshotTable[[#This Row],[SP Premium]] + SnapshotTable[[#This Row],[SP Total Value]], "")</f>
        <v/>
      </c>
      <c r="DH251" s="294" t="str">
        <f>IF(ISNUMBER((SnapshotTable[[#This Row],[SP Total Value]])), SnapshotTable[[#This Row],[SP Gain Loss]] / SnapshotTable[[#This Row],[SP Premium]], "")</f>
        <v/>
      </c>
      <c r="DI251" s="406"/>
      <c r="DJ251" s="138"/>
      <c r="DK251" s="148"/>
      <c r="DL251" s="13"/>
      <c r="DM251" s="13"/>
      <c r="DO251" s="31">
        <f>IF(SnapshotTable[[#This Row],[LC Symbol Count]]=1, SnapshotTable[[#This Row],[LC Qty]] * SnapshotTable[[#This Row],[LC Book Price]] * 100, 0)</f>
        <v>0</v>
      </c>
      <c r="DP251" s="163" t="str">
        <f>IF(AND(SnapshotTable[[#This Row],[LC Exp Date]]&gt;0, SnapshotTable[[#This Row],[LC Strike Price]]&gt;0,SnapshotTable[[#This Row],[LC Qty]]&gt;0,SnapshotTable[[#This Row],[LC Book Date]]&gt;0,SnapshotTable[[#This Row],[LC Book Price]]&gt;0,SnapshotTable[[#This Row],[LC Fill Date]]=0),"Y","")</f>
        <v/>
      </c>
      <c r="DQ251" s="386" t="str">
        <f>IF(SnapshotTable[[#This Row],[LC Premium]] &gt; 0,SnapshotTable[[#This Row],[LC Exp Date]]-MAX(SnapshotTable[[#This Row],[LC Book Date]], SnapshotTable[[#This Row],[LC Fill Date]]),"")</f>
        <v/>
      </c>
      <c r="DR251" s="386" t="str">
        <f>IF(ISNUMBER(SnapshotTable[[#This Row],[LC Term]]), SnapshotTable[[#This Row],[LC Exp Date]] - MockToday, "")</f>
        <v/>
      </c>
      <c r="DS251" s="234" t="str">
        <f>IF(SnapshotTable[[#This Row],[LC Premium]]&gt;0,SnapshotTable[[#This Row],[LC Strike Price]] + SnapshotTable[[#This Row],[LC Book Price]],"")</f>
        <v/>
      </c>
      <c r="DU251" s="9" t="str">
        <f>IF(AND(SnapshotTable[[#This Row],[LC Symbol Count]]&gt;0, SnapshotTable[[#This Row],[LC Contract Value]]&gt;0), SnapshotTable[[#This Row],[LC Contract Value]] * SnapshotTable[[#This Row],[LC Qty]] * 100, "")</f>
        <v/>
      </c>
      <c r="DV251" s="9" t="str">
        <f>IF(AND(ISNUMBER(SnapshotTable[[#This Row],[LC Total Value]]), SnapshotTable[[#This Row],[LC Not Filled]]&lt;&gt;"Y"), SnapshotTable[[#This Row],[LC Total Value]]-SnapshotTable[[#This Row],[LC Premium]],"")</f>
        <v/>
      </c>
      <c r="DW251" s="240" t="str">
        <f>IF(ISNUMBER(SnapshotTable[[#This Row],[LC Actual Gain Loss]]), SnapshotTable[[#This Row],[LC Actual Gain Loss]] / SnapshotTable[[#This Row],[LC Premium]],"")</f>
        <v/>
      </c>
      <c r="DX251" s="284" t="str">
        <f>IF(ISNUMBER(SnapshotTable[[#This Row],[LC Book Price]]),SnapshotTable[[#This Row],[LC Book Price]] * 1.5,"")</f>
        <v/>
      </c>
      <c r="DY251" s="265" t="str">
        <f>IF(SnapshotTable[[#This Row],[LC Premium]]&gt;0, SnapshotTable[[#This Row],[LC Next Target]] * SnapshotTable[[#This Row],[LC Qty]] * 100,"")</f>
        <v/>
      </c>
      <c r="DZ251" s="265" t="str">
        <f>IF(ISNUMBER(SnapshotTable[[#This Row],[LC Target Gross]]), SnapshotTable[[#This Row],[LC Target Gross]] - SnapshotTable[[#This Row],[LC Premium]], "")</f>
        <v/>
      </c>
      <c r="EA251" s="305" t="str">
        <f>IF(ISNUMBER(SnapshotTable[[#This Row],[LC Target Gain Loss]]), SnapshotTable[[#This Row],[LC Target Gain Loss]]/SnapshotTable[[#This Row],[LC Premium]], "")</f>
        <v/>
      </c>
      <c r="EB251" s="262"/>
      <c r="EC251" s="283" t="str">
        <f>IF(SnapshotTable[[#This Row],[LC Premium]]&gt;0, SnapshotTable[[#This Row],[LC Book Price]] * (1 - LC_StopLoss_Pct),"")</f>
        <v/>
      </c>
      <c r="ED251" s="284"/>
      <c r="EE251" s="283" t="str">
        <f>IF(ISNUMBER(SnapshotTable[[#This Row],[LC Contract Value]]),IF(ISNUMBER(SnapshotTable[[#This Row],[LC Stop Loss Override]]), SnapshotTable[[#This Row],[LC Stop Loss Override]],SnapshotTable[[#This Row],[LC Stop Loss Calc Target]]),"")</f>
        <v/>
      </c>
      <c r="EF251" s="31" t="str">
        <f>IF(ISNUMBER(SnapshotTable[[#This Row],[LC Stop  To Use]]), (SnapshotTable[[#This Row],[LC Stop  To Use]] * SnapshotTable[[#This Row],[LC Qty]] * 100),"")</f>
        <v/>
      </c>
      <c r="EG251" s="9" t="str">
        <f>IF(ISNUMBER(SnapshotTable[[#This Row],[LC Total Value]]),SnapshotTable[[#This Row],[LC Stop Loss Amount]] - SnapshotTable[[#This Row],[LC Premium]],"")</f>
        <v/>
      </c>
      <c r="EH251" s="9">
        <f>IF(ISNUMBER(SnapshotTable[[#This Row],[LC Premium]]), SnapshotTable[[#This Row],[LC Qty]] * 100 * SnapshotTable[[#This Row],[LC Strike Price]], "")</f>
        <v>0</v>
      </c>
      <c r="EI251" s="240" t="str">
        <f>IF(AND(ISNUMBER(SnapshotTable[[#This Row],[LC Total Value]]),SnapshotTable[[#This Row],[LC Total Value]]&gt;0),SnapshotTable[[#This Row],[LC Stop Gain Loss]]  / SnapshotTable[[#This Row],[LC Premium]],"")</f>
        <v/>
      </c>
      <c r="EJ251" s="35">
        <f>IF(ISNUMBER(SnapshotTable[[#This Row],[Equity Shares]]),TRUNC(SnapshotTable[[#This Row],[Equity Shares]] / 100),0) + SnapshotTable[[#This Row],[LC Qty]]</f>
        <v>0</v>
      </c>
      <c r="EK251" s="147"/>
      <c r="EL251" s="138" t="str">
        <f>IF(SnapshotTable[[#This Row],[SC Exp Date]]&lt;&gt;"",TRUNC(SnapshotTable[[#This Row],[Last Price]]),"")</f>
        <v/>
      </c>
      <c r="EM251" s="148"/>
      <c r="EN251" s="147"/>
      <c r="EO251" s="147"/>
      <c r="EP251" s="138"/>
      <c r="EQ251" s="419" t="b">
        <f>AND(ISNUMBER(SnapshotTable[[#This Row],[SC Exp Date]]), ISNUMBER(SnapshotTable[[#This Row],[SC Strike Price]]), ISNUMBER(SnapshotTable[[#This Row],[SC Qty]]), ISNUMBER(SnapshotTable[[#This Row],[SC Book Date]]), ISNUMBER(SnapshotTable[[#This Row],[SC Book Price]]))</f>
        <v>0</v>
      </c>
      <c r="ER251" s="419" t="b">
        <f>AND(SnapshotTable[[#This Row],[SC Is Booked]], NOT(ISBLANK(SnapshotTable[[#This Row],[SC Fill Date]])))</f>
        <v>0</v>
      </c>
      <c r="ES251" s="370"/>
      <c r="ET251" s="34" t="str">
        <f>IF(AND(ISNUMBER(SnapshotTable[[#This Row],[SC Exp Date]]), ISNUMBER(SnapshotTable[[#This Row],[SC Book Date]])), SnapshotTable[[#This Row],[SC Exp Date]] - MAX(SnapshotTable[[#This Row],[SC Book Date]], SnapshotTable[[#This Row],[SC Fill Date]]) + 1, "")</f>
        <v/>
      </c>
      <c r="EU251" s="34" t="str">
        <f>IF(ISNUMBER(SnapshotTable[[#This Row],[SC Term]]), SnapshotTable[[#This Row],[SC Exp Date]]- MockToday, "")</f>
        <v/>
      </c>
      <c r="EV251" s="31">
        <f>IF(SnapshotTable[[#This Row],[SC Is Booked]], SnapshotTable[[#This Row],[SC Qty]] * SnapshotTable[[#This Row],[SC Book Price]] * 100, 0)</f>
        <v>0</v>
      </c>
      <c r="EW251" s="4" t="str">
        <f>IF(AND(ISNUMBER(SnapshotTable[[#This Row],[Last Price]]), ISNUMBER( SnapshotTable[[#This Row],[SC Book Price]])), SnapshotTable[[#This Row],[Last Price]] - SnapshotTable[[#This Row],[SC Book Price]],"")</f>
        <v/>
      </c>
      <c r="EX251" s="234" t="str">
        <f>IF(SnapshotTable[[#This Row],[SC Is Booked]],IF(SnapshotTable[[#This Row],[SC Intrinsic Value]] &gt; 0, SnapshotTable[[#This Row],[SC Strike Price]], SnapshotTable[[#This Row],[Last Price]]), "")</f>
        <v/>
      </c>
      <c r="EY251" s="4">
        <f>IF(SnapshotTable[[#This Row],[SC Is Booked]], (MinimumPremiumRequired * SnapshotTable[[#This Row],[SC Basis]] * SnapshotTable[[#This Row],[SC Term]]), 0)</f>
        <v>0</v>
      </c>
      <c r="EZ251" s="283"/>
      <c r="FA251" s="218"/>
      <c r="FB251" s="370"/>
      <c r="FC251" s="4">
        <f>IF(SnapshotTable[[#This Row],[SC Is Filled]], btc_max_buyback_amount(SnapshotTable[[#This Row],[SC Fill Date]],SnapshotTable[[#This Row],[SC Exp Date]], SnapshotTable[[#This Row],[SC Book Price]]),0)</f>
        <v>0</v>
      </c>
      <c r="FD251" s="5"/>
      <c r="FE251" s="144" t="str">
        <f>IF(SnapshotTable[[#This Row],[SC Is Filled]], btc_next_cutoff_date(SnapshotTable[[#This Row],[SC Fill Date]],SnapshotTable[[#This Row],[SC Exp Date]]),"")</f>
        <v/>
      </c>
      <c r="FF251" s="4" t="str" cm="1">
        <f t="array" ref="FF251">IF(SnapshotTable[[#This Row],[SC Is Filled]], btc_should_buy_back(SnapshotTable[[#This Row],[SC Fill Date]], SnapshotTable[[#This Row],[SC Exp Date]], SnapshotTable[[#This Row],[SC Book Price]], SnapshotTable[[#This Row],[SC Current Ask]], MockToday, SnapshotTable[[#This Row],[SC Buyback Override]]),"")</f>
        <v/>
      </c>
      <c r="FG251" s="4">
        <f>IF(SnapshotTable[[#This Row],[SC Is Filled]], MAX(0,SnapshotTable[[#This Row],[Last Price]]  - SnapshotTable[[#This Row],[SC Strike Price]]), 0)</f>
        <v>0</v>
      </c>
      <c r="FH251" s="382">
        <f>IF(SnapshotTable[[#This Row],[SC Is Filled]], IF(ISNUMBER(SnapshotTable[[#This Row],[SC Current Ask]]), SnapshotTable[[#This Row],[SC Current Ask]], SnapshotTable[[#This Row],[SC Book Price]]) - SnapshotTable[[#This Row],[SC Intrinsic Value]], 0)</f>
        <v>0</v>
      </c>
      <c r="FI251" s="143"/>
      <c r="FJ251" s="32" t="str">
        <f>IF(SnapshotTable[[#This Row],[SC Is Filled]],100 * SnapshotTable[[#This Row],[SC Qty]] * IF(ISNUMBER(SnapshotTable[[#This Row],[SC Buyback Override]]), SnapshotTable[[#This Row],[SC Buyback Override]], SnapshotTable[[#This Row],[SC Current Ask]]), "")</f>
        <v/>
      </c>
      <c r="FK251" s="250" t="str">
        <f>IF(SnapshotTable[[#This Row],[SC Time Val]]&gt;0, SnapshotTable[[#This Row],[SC Time Val]] / SnapshotTable[[#This Row],[Last Price]],"")</f>
        <v/>
      </c>
      <c r="FL251" s="302" t="str">
        <f>IF(SnapshotTable[[#This Row],[SC Is Booked]], ((SnapshotTable[[#This Row],[Last Price]] -SnapshotTable[[#This Row],[SC Strike Price]]) / SnapshotTable[[#This Row],[Last Price]]) * -1, "")</f>
        <v/>
      </c>
      <c r="FM251" s="157" t="str">
        <f>IF(SnapshotTable[[#This Row],[SC Is Booked]],  (SnapshotTable[[#This Row],[SC Qty]] * 100 * SnapshotTable[[#This Row],[SC Strike Price]]) - SnapshotTable[[#This Row],[SC Current Ask]], "")</f>
        <v/>
      </c>
      <c r="FN25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1" s="31" t="str">
        <f>IF(AND(ISNUMBER(SnapshotTable[[#This Row],[SC Exercise Gross]]), ISNUMBER(SnapshotTable[[#This Row],[Equity Basis Per Share]] )), SnapshotTable[[#This Row],[SC Exercise Gross]] - SnapshotTable[[#This Row],[Equity Basis Total]] +  SnapshotTable[[#This Row],[SC Premium]], "")</f>
        <v/>
      </c>
      <c r="FP251" s="5" t="str">
        <f>IF(ISNUMBER(SnapshotTable[[#This Row],[SC Exercise Gross]]), (SnapshotTable[[#This Row],[SC Exercise Gross]]) / (SnapshotTable[[#This Row],[SC Qty]] * 100), "")</f>
        <v/>
      </c>
      <c r="FQ251" s="27" t="str">
        <f>IF(SnapshotTable[[#This Row],[SC Is Booked]],SnapshotTable[[#This Row],[SC Time Val]] /SnapshotTable[[#This Row],[SC Basis]], "")</f>
        <v/>
      </c>
      <c r="FR251" s="27" t="str" cm="1">
        <f t="array" ref="FR251">IF(AND(ISNUMBER(SnapshotTable[[#This Row],[SC Term]]),ISNUMBER(SnapshotTable[[#This Row],[SC Simple ROO]])), EllmanAnnualize(SnapshotTable[[#This Row],[SC DTE]], SnapshotTable[[#This Row],[SC Simple ROO]] ),"")</f>
        <v/>
      </c>
      <c r="FS251" s="4" t="e">
        <f>IF(SnapshotTable[[#This Row],[SC Strike Price]] &gt; SnapshotTable[[#This Row],[Last Price]], SnapshotTable[[#This Row],[SC Strike Price]] - SnapshotTable[[#This Row],[Last Price]],0)</f>
        <v>#VALUE!</v>
      </c>
      <c r="FT251" s="27" t="e">
        <f>IF(AND(ISNUMBER(SnapshotTable[[#This Row],[SC Upside Potential]]), SnapshotTable[[#This Row],[SC Upside Potential]] &gt; 0),(SnapshotTable[[#This Row],[SC Upside Potential]]/ SnapshotTable[[#This Row],[ACB]]),"")</f>
        <v>#VALUE!</v>
      </c>
      <c r="FU251" s="333" t="str">
        <f>IF(SnapshotTable[[#This Row],[SC Intrinsic Value]] &gt; 0,SnapshotTable[[#This Row],[SC Intrinsic Value]],"")</f>
        <v/>
      </c>
      <c r="FV251" s="27" t="str">
        <f>IF(AND( ISNUMBER( SnapshotTable[[#This Row],[ACB]]),ISNUMBER(SnapshotTable[[#This Row],[SC Downside Protect]])),SnapshotTable[[#This Row],[SC Downside Protect]] / SnapshotTable[[#This Row],[ACB]],"")</f>
        <v/>
      </c>
      <c r="FW251" s="236" t="str">
        <f>IF(AND(ISNUMBER(SnapshotTable[[#This Row],[SC Simple ROO]]),SnapshotTable[[#This Row],[SC Simple ROO]] &gt; 0), SnapshotTable[[#This Row],[SC Premium]] + (SnapshotTable[[#This Row],[SC Qty]] * SnapshotTable[[#This Row],[SC Upside Potential]]), "")</f>
        <v/>
      </c>
      <c r="FX251" s="302" t="str" cm="1">
        <f t="array" ref="FX251">IF(ISNUMBER(SnapshotTable[[#This Row],[SC Max Dollars]]), annualize(SnapshotTable[[#This Row],[SC Term]],(SnapshotTable[[#This Row],[SC Max Dollars]]/SnapshotTable[[#This Row],[SC Basis]])),"")</f>
        <v/>
      </c>
      <c r="FY251" s="236" t="str">
        <f>IF(AND(SnapshotTable[[#This Row],[SC Qty]]&gt;0,SnapshotTable[[#This Row],[SC Current Ask]]&gt;0), SnapshotTable[[#This Row],[SC Qty]] * SnapshotTable[[#This Row],[SC Current Ask]] * -100, "")</f>
        <v/>
      </c>
      <c r="FZ251" s="31" t="str">
        <f>IF(ISNUMBER((SnapshotTable[[#This Row],[SC Current Value]])), SnapshotTable[[#This Row],[SC Premium]] + SnapshotTable[[#This Row],[SC Current Value]], "")</f>
        <v/>
      </c>
      <c r="GA251" s="294" t="str">
        <f>IFERROR( IF(ISNUMBER((SnapshotTable[[#This Row],[SC Current Value]])), SnapshotTable[[#This Row],[SC Gain Loss]] / SnapshotTable[[#This Row],[SC Premium]], ""), "")</f>
        <v/>
      </c>
      <c r="GB251" s="42">
        <f>SnapshotTable[[#This Row],[Equity Shares]] * SaleSharesToConsiderPercentage</f>
        <v>0</v>
      </c>
      <c r="GC251" s="40">
        <f>SnapshotTable[[#This Row],[Long Term Target]] * SellingPriceToConsiderBasedOnTargetPercentage</f>
        <v>94.097499999999997</v>
      </c>
      <c r="GD251" s="40">
        <f>SnapshotTable[[#This Row],[Last Price]] * (1+ SellingPriceToConsiderBasedOnTargetPercentage)</f>
        <v>721.11</v>
      </c>
      <c r="GE251" s="41"/>
      <c r="GF251" s="40"/>
      <c r="GG251" s="31">
        <f>SnapshotTable[[#This Row],[Booked Sale Shares]] * SnapshotTable[[#This Row],[Booked Sale Price]]</f>
        <v>0</v>
      </c>
      <c r="GH251" s="31" t="str">
        <f>IF(SnapshotTable[[#This Row],[Equity Basis Total]] &gt; 0, SnapshotTable[[#This Row],[Equity Basis Per Share]] * SnapshotTable[[#This Row],[Booked Sale Shares]], "")</f>
        <v/>
      </c>
      <c r="GI251" s="31">
        <f>IF(SnapshotTable[[#This Row],[Sale Proceeds]]&gt;0, SnapshotTable[[#This Row],[Sale Proceeds]] - SnapshotTable[[#This Row],[Sale Basis]], 0)</f>
        <v>0</v>
      </c>
      <c r="GJ251" s="27" t="str">
        <f>IF(SnapshotTable[[#This Row],[Sale G/L]]&gt;0, SnapshotTable[[#This Row],[Sale G/L]] / SnapshotTable[[#This Row],[Sale Basis]], IF(ISNUMBER(SnapshotTable[[#This Row],[SC Exercise P&amp;L (TAX)]]), SnapshotTable[[#This Row],[SC Exercise P&amp;L (TAX)]] / SnapshotTable[[#This Row],[SC Basis]], ""))</f>
        <v/>
      </c>
      <c r="GK251" s="27" t="s">
        <v>748</v>
      </c>
      <c r="GL251" s="43" t="str">
        <f>IF(AND(SnapshotTable[[#This Row],[LP Exp Date]]&gt;0,SnapshotTable[[#This Row],[LP Strike Price]]&gt;0), [1]!ToOptionSymbol(SnapshotTable[[#This Row],[Symbol]], SnapshotTable[[#This Row],[LP Strike Price]],SnapshotTable[[#This Row],[LP Exp Date]],1), "")</f>
        <v/>
      </c>
      <c r="GM251" s="30" t="str">
        <f>IF(LEN(SnapshotTable[[#This Row],[LP Symbol]])&gt;0, 1, "")</f>
        <v/>
      </c>
      <c r="GN251" s="43" t="str">
        <f>IF(AND(SnapshotTable[[#This Row],[SP Exp Date]]&gt;0,SnapshotTable[[#This Row],[SP Strike Price]]&gt;0), [1]!ToOptionSymbol(SnapshotTable[[#This Row],[Symbol]], SnapshotTable[[#This Row],[SP Strike Price]],SnapshotTable[[#This Row],[SP Exp Date]],1), "")</f>
        <v/>
      </c>
      <c r="GO251" s="30" t="str">
        <f>IF(LEN(SnapshotTable[[#This Row],[SP Symbol]])&gt;0, 1, "")</f>
        <v/>
      </c>
      <c r="GP251" s="43" t="str">
        <f>IF(AND(SnapshotTable[[#This Row],[LC Exp Date]]&gt;0,SnapshotTable[[#This Row],[LC Strike Price]]&gt;0), [1]!ToOptionSymbol(SnapshotTable[[#This Row],[Symbol]], SnapshotTable[[#This Row],[LC Strike Price]],SnapshotTable[[#This Row],[LC Exp Date]],0), "")</f>
        <v/>
      </c>
      <c r="GQ251" s="30" t="str">
        <f>IF(LEN(SnapshotTable[[#This Row],[LC Symbol]])&gt;0, 1, "")</f>
        <v/>
      </c>
      <c r="GR251" s="43" t="str">
        <f>IF(AND(SnapshotTable[[#This Row],[SC Exp Date]]&gt;0,SnapshotTable[[#This Row],[SC Strike Price]]&gt;0), [1]!ToOptionSymbol(SnapshotTable[[#This Row],[Symbol]], SnapshotTable[[#This Row],[SC Strike Price]],SnapshotTable[[#This Row],[SC Exp Date]],0), "")</f>
        <v/>
      </c>
      <c r="GS251" s="30" t="str">
        <f>IF(LEN(SnapshotTable[[#This Row],[SC Symbol]])&gt;0, 1, "")</f>
        <v/>
      </c>
      <c r="GT251" s="29" t="str">
        <f>IF(COUNT(SnapshotTable[[#This Row],[LP Symbol Count]],SnapshotTable[[#This Row],[SP Symbol Count]],SnapshotTable[[#This Row],[LC Symbol Count]],SnapshotTable[[#This Row],[SC Symbol Count]])&gt;0, "Y", "")</f>
        <v/>
      </c>
      <c r="GU25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1" s="231" t="e">
        <f>MAX(SnapshotTable[[#This Row],[Equity Basis Total]],SnapshotTable[[#This Row],[Equity Value]]) + (SnapshotTable[[#This Row],[SP Potential Spend]]- SnapshotTable[[#This Row],[SP Premium]] + SnapshotTable[[#This Row],[LP Premium]])+ (SnapshotTable[[#This Row],[LC Premium]] - SnapshotTable[[#This Row],[SC Premium]])</f>
        <v>#VALUE!</v>
      </c>
      <c r="GW251" s="139" t="e">
        <f>IF(AND(SnapshotTable[[#This Row],[Exposure]] &lt;&gt; 0),SnapshotTable[[#This Row],[Exposure]] / SnapshotTable[[#Totals],[Exposure]], "")</f>
        <v>#VALUE!</v>
      </c>
      <c r="GX251" s="5"/>
      <c r="HE251" s="268"/>
      <c r="HF251" s="268"/>
      <c r="HK251" s="1"/>
      <c r="HL251" s="1"/>
      <c r="HM251" s="1"/>
      <c r="HN251" s="1"/>
      <c r="HO251" s="1"/>
      <c r="HP251" s="1"/>
    </row>
    <row r="252" spans="2:224" ht="12.75" hidden="1" customHeight="1" x14ac:dyDescent="0.25">
      <c r="B252" s="12" t="s">
        <v>237</v>
      </c>
      <c r="C252" s="422">
        <v>313.02999999999997</v>
      </c>
      <c r="D252" s="208" t="s">
        <v>258</v>
      </c>
      <c r="E252" s="39">
        <f>SnapshotTable[[#This Row],[Last Price]]*(1 -CrashDiscount)</f>
        <v>266.07549999999998</v>
      </c>
      <c r="F252" s="26" t="s">
        <v>236</v>
      </c>
      <c r="G252" s="26" t="s">
        <v>17</v>
      </c>
      <c r="H252" s="149"/>
      <c r="I252" s="194">
        <v>45218.670138888891</v>
      </c>
      <c r="J252" s="195">
        <v>45126.670138888891</v>
      </c>
      <c r="K252" s="196"/>
      <c r="L252" s="326"/>
      <c r="M252" s="140"/>
      <c r="N252" s="140"/>
      <c r="O252" s="140"/>
      <c r="P252" s="22"/>
      <c r="Q252" s="25"/>
      <c r="R252" s="4" t="str">
        <f>IF(SnapshotTable[[#This Row],[Equity Basis Total]] &gt; 0, SnapshotTable[[#This Row],[Equity Basis Total]] / SnapshotTable[[#This Row],[Equity Shares]], "")</f>
        <v/>
      </c>
      <c r="S252" s="269">
        <f>SnapshotTable[[#This Row],[Last Price]] * SnapshotTable[[#This Row],[Equity Shares]]</f>
        <v>0</v>
      </c>
      <c r="T252" s="269">
        <f>SnapshotTable[[#This Row],[Equity Value]] - SnapshotTable[[#This Row],[Equity Basis Total]]</f>
        <v>0</v>
      </c>
      <c r="U252" s="270" t="str">
        <f>IF(SnapshotTable[[#This Row],[Equity Basis Total]] &gt; 0, SnapshotTable[[#This Row],[Equity G/L]] / SnapshotTable[[#This Row],[Equity Basis Total]], "")</f>
        <v/>
      </c>
      <c r="V252" s="268">
        <v>550</v>
      </c>
      <c r="W252" s="268">
        <v>464.85</v>
      </c>
      <c r="X252" s="4" t="str">
        <f>IF(AND(ISNUMBER(SnapshotTable[[#This Row],[Equity Basis Per Share]]),ISNUMBER(SnapshotTable[[#This Row],[Equity Target]])),SnapshotTable[[#This Row],[Equity Target]]-SnapshotTable[[#This Row],[Equity Basis Per Share]],"")</f>
        <v/>
      </c>
      <c r="Y252" s="4" t="str">
        <f>IF(AND(ISNUMBER(SnapshotTable[[#This Row],[Equity Basis Per Share]]),ISNUMBER(SnapshotTable[[#This Row],[Equity Stop Loss]])),SnapshotTable[[#This Row],[Equity Stop Loss]]-SnapshotTable[[#This Row],[Equity Basis Per Share]],"")</f>
        <v/>
      </c>
      <c r="Z252" s="275" t="str">
        <f>IFERROR( TEXT(SnapshotTable[[#This Row],[Equity Max Gain Per Share]] /ABS( SnapshotTable[[#This Row],[Equity Max Loss Per Share]]),"0.0 " ) &amp; " : 1", "")</f>
        <v/>
      </c>
      <c r="AA252" s="31" t="str">
        <f>IF(ISNUMBER(SnapshotTable[[#This Row],[Equity Max Gain Per Share]]),SnapshotTable[[#This Row],[Equity Max Gain Per Share]] * SnapshotTable[[#This Row],[Equity Shares]],"")</f>
        <v/>
      </c>
      <c r="AB252" s="31" t="str">
        <f>IF(ISNUMBER(SnapshotTable[[#This Row],[Equity Max Loss Per Share]]),SnapshotTable[[#This Row],[Equity Max Loss Per Share]] * SnapshotTable[[#This Row],[Equity Shares]],"")</f>
        <v/>
      </c>
      <c r="AC252" s="150">
        <v>0</v>
      </c>
      <c r="AD252" s="151" t="s">
        <v>2</v>
      </c>
      <c r="AE252" s="31">
        <f>(SnapshotTable[[#This Row],[Annual Dividend Per Share]] / 4) * SnapshotTable[[#This Row],[Equity Shares]]</f>
        <v>0</v>
      </c>
      <c r="AF252" s="31">
        <f>SnapshotTable[[#This Row],[Quarterly Div $]] * 4</f>
        <v>0</v>
      </c>
      <c r="AG252" s="7">
        <f>IF(SnapshotTable[[#This Row],[Annual Dividend Per Share]]&gt;0, SnapshotTable[[#This Row],[Annual Dividend Per Share]]  / SnapshotTable[[#This Row],[Last Price]], 0)</f>
        <v>0</v>
      </c>
      <c r="AH252" s="151"/>
      <c r="AI252" s="5"/>
      <c r="AJ252" s="138"/>
      <c r="AK252" s="152" t="str">
        <f>IF(ISNUMBER( SnapshotTable[[#This Row],[EBF Target]]),(SnapshotTable[[#This Row],[EBF Target]] - SnapshotTable[[#This Row],[Last Price]]) / SnapshotTable[[#This Row],[Last Price]], "")</f>
        <v/>
      </c>
      <c r="AL252" s="152" t="str">
        <f>IF(AND(SnapshotTable[[#This Row],[Equity Basis Total]] &gt; 0,ISNUMBER( SnapshotTable[[#This Row],[Long Term Target]])), SnapshotTable[[#This Row],[From Basis $]] / SnapshotTable[[#This Row],[Equity Basis Total]], "")</f>
        <v/>
      </c>
      <c r="AM252" s="9">
        <f>IF( AND(SnapshotTable[[#This Row],[Equity Shares]] &gt;0,ISNUMBER( SnapshotTable[[#This Row],[Long Term Target]])),(SnapshotTable[[#This Row],[Equity Shares]] * SnapshotTable[[#This Row],[Long Term Target]]) - SnapshotTable[[#This Row],[Equity Basis Total]],0)</f>
        <v>0</v>
      </c>
      <c r="AN252" s="9">
        <f>IF( AND(SnapshotTable[[#This Row],[Equity Shares]] &gt;0,ISNUMBER( SnapshotTable[[#This Row],[Long Term Target]])),(SnapshotTable[[#This Row],[Equity Shares]]*SnapshotTable[[#This Row],[Long Term Target]]) - SnapshotTable[[#This Row],[Equity Value]],0)</f>
        <v>0</v>
      </c>
      <c r="AO252" s="152" t="str">
        <f>IF(AND(ISNUMBER( SnapshotTable[[#This Row],[Long Term Target]]), ISNUMBER(SnapshotTable[[#This Row],[Last Price]])),(SnapshotTable[[#This Row],[Long Term Target]] - SnapshotTable[[#This Row],[Last Price]]) / SnapshotTable[[#This Row],[Last Price]], "")</f>
        <v/>
      </c>
      <c r="AP252" s="5"/>
      <c r="AQ252" s="38"/>
      <c r="AR252" s="5"/>
      <c r="AS252" s="38"/>
      <c r="AT252" s="146"/>
      <c r="AU252" s="187" t="str">
        <f>IF(OR(SnapshotTable[[#This Row],[LP No Fill]]="Y",SnapshotTable[[#This Row],[SP Is Filled]],SnapshotTable[[#This Row],[LC Not Filled]]="Y",SnapshotTable[[#This Row],[SC Is Filled]]),"Y","")</f>
        <v/>
      </c>
      <c r="AV252" s="219"/>
      <c r="AW252" s="225"/>
      <c r="AX252" s="220"/>
      <c r="AY252" s="219" t="str">
        <f>IF(SnapshotTable[[#This Row],[Implied Move]]&gt;0, SnapshotTable[[#This Row],[Last Price]]-SnapshotTable[[#This Row],[Implied Move]],"")</f>
        <v/>
      </c>
      <c r="AZ252" s="219" t="str">
        <f>IF(SnapshotTable[[#This Row],[Implied Move]]&gt;0, SnapshotTable[[#This Row],[Last Price]] + SnapshotTable[[#This Row],[Implied Move]],"")</f>
        <v/>
      </c>
      <c r="BA252" s="331">
        <v>513.29999999999995</v>
      </c>
      <c r="BB252" s="347"/>
      <c r="BC252"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46773</v>
      </c>
      <c r="BD252" s="351"/>
      <c r="BE252" s="5"/>
      <c r="BF252" s="14"/>
      <c r="BG252" s="13"/>
      <c r="BH252" s="13"/>
      <c r="BI252" s="5"/>
      <c r="BJ252" s="136">
        <f>IF(SnapshotTable[[#This Row],[LP Qty]] &gt; 0, SnapshotTable[[#This Row],[LP Qty]] * SnapshotTable[[#This Row],[LP Book Price]] * 100,0)</f>
        <v>0</v>
      </c>
      <c r="BK252" s="136">
        <f>IF(SnapshotTable[[#This Row],[LP Premium]] &gt; 0, SnapshotTable[[#This Row],[LP Qty]] * SnapshotTable[[#This Row],[LP Strike Price]] * 100,0)</f>
        <v>0</v>
      </c>
      <c r="BL252" s="154"/>
      <c r="BM252" s="385" t="str">
        <f>IF(SnapshotTable[[#This Row],[LP Premium]] &gt; 0,SnapshotTable[[#This Row],[LP Exp Date]]-MAX(SnapshotTable[[#This Row],[LP Book Date]], SnapshotTable[[#This Row],[LP Fill Date]]),"")</f>
        <v/>
      </c>
      <c r="BN252" s="385" t="str">
        <f>IF(ISNUMBER( SnapshotTable[[#This Row],[LP Term]]), SnapshotTable[[#This Row],[LP Exp Date]] - MockToday,"")</f>
        <v/>
      </c>
      <c r="BO252" s="163" t="str">
        <f>IF(AND(SnapshotTable[[#This Row],[LP Exp Date]]&gt;0, SnapshotTable[[#This Row],[LP Strike Price]]&gt;0,SnapshotTable[[#This Row],[LP Qty]]&gt;0,SnapshotTable[[#This Row],[LP Book Date]]&gt;0,SnapshotTable[[#This Row],[LP Book Price]]&gt;0,SnapshotTable[[#This Row],[LP Fill Date]]=0),"Y","")</f>
        <v/>
      </c>
      <c r="BP252" s="31" t="str">
        <f>IF(AND(SnapshotTable[[#This Row],[LP No Fill]]&lt;&gt;"Y",SnapshotTable[[#This Row],[LP Contract Value]]&gt;0, SnapshotTable[[#This Row],[LP Qty]]&gt;0), SnapshotTable[[#This Row],[LP Contract Value]]*SnapshotTable[[#This Row],[LP Qty]]*100,"")</f>
        <v/>
      </c>
      <c r="BQ252" s="13"/>
      <c r="BR252" s="5" t="str">
        <f>IF(SnapshotTable[[#This Row],[SP Exp Date]]&lt;&gt;"",TRUNC(SnapshotTable[[#This Row],[Last Price]]),"")</f>
        <v/>
      </c>
      <c r="BS252" s="36"/>
      <c r="BT252" s="147"/>
      <c r="BU252" s="13"/>
      <c r="BV252" s="5"/>
      <c r="BW252" s="419" t="b">
        <f>AND(ISNUMBER(SnapshotTable[[#This Row],[SP Exp Date]]), ISNUMBER(SnapshotTable[[#This Row],[SP Strike Price]]), ISNUMBER(SnapshotTable[[#This Row],[SP Qty]]), ISNUMBER(SnapshotTable[[#This Row],[SP Book Date]]), ISNUMBER(SnapshotTable[[#This Row],[SP Book Price]]))</f>
        <v>0</v>
      </c>
      <c r="BX252" s="419" t="b">
        <f>AND(SnapshotTable[[#This Row],[SP Is Booked]], NOT(ISBLANK(SnapshotTable[[#This Row],[SP Fill Date]])))</f>
        <v>0</v>
      </c>
      <c r="BY252" s="33">
        <f>IF(SnapshotTable[[#This Row],[SP Is Booked]], SnapshotTable[[#This Row],[SP Qty]] * SnapshotTable[[#This Row],[SP Book Price]] * 100, 0)</f>
        <v>0</v>
      </c>
      <c r="BZ252" s="369"/>
      <c r="CA252" s="368">
        <f>SnapshotTable[[#This Row],[LP Qty]]</f>
        <v>0</v>
      </c>
      <c r="CB252" s="4" t="str">
        <f>IF(SnapshotTable[[#This Row],[SP Is Booked]], SnapshotTable[[#This Row],[SP Strike Price]] - SnapshotTable[[#This Row],[SP Book Price]], "")</f>
        <v/>
      </c>
      <c r="CC252" s="19" t="str">
        <f>IF(SnapshotTable[[#This Row],[SP Is Booked]],SnapshotTable[[#This Row],[SP Exp Date]]-MAX(SnapshotTable[[#This Row],[SP Book Date]], SnapshotTable[[#This Row],[SP Fill Date]]),"")</f>
        <v/>
      </c>
      <c r="CD252" s="7" t="str">
        <f>IF(SnapshotTable[[#This Row],[SP Is Booked]], SnapshotTable[[#This Row],[SP Book Price]]/SnapshotTable[[#This Row],[SP Strike Price]], "")</f>
        <v/>
      </c>
      <c r="CE252" s="7" t="str">
        <f>IF(ISNUMBER(SnapshotTable[[#This Row],[SP ROO Term]]),SnapshotTable[[#This Row],[SP ROO Term]]*(365/SnapshotTable[[#This Row],[SP Term]]),"")</f>
        <v/>
      </c>
      <c r="CF252" s="236">
        <f>SnapshotTable[[#This Row],[LP Strike Price]] * SnapshotTable[[#This Row],[LP Qty]] * 100</f>
        <v>0</v>
      </c>
      <c r="CG252" s="31" t="e">
        <f>IF(ISNUMBER(SnapshotTable[[#This Row],[SP Premium]]), (SnapshotTable[[#This Row],[SP Qty]] * SnapshotTable[[#This Row],[SP Strike Price]]* 100) - SnapshotTable[[#This Row],[LP Protection]], 0)</f>
        <v>#VALUE!</v>
      </c>
      <c r="CH252" s="7" t="str">
        <f>IF(ISNUMBER(SnapshotTable[[#This Row],[SP Break Even]]),-1 * (SnapshotTable[[#This Row],[SP Break Even]] - SnapshotTable[[#This Row],[Last Price]]) / SnapshotTable[[#This Row],[Last Price]], "")</f>
        <v/>
      </c>
      <c r="CI252" s="31">
        <f>IF(AND(ISNUMBER((SnapshotTable[[#This Row],[SP Potential Spend]])), SnapshotTable[[#This Row],[SP Strike Price]] &gt; SnapshotTable[[#This Row],[Last Price]], SnapshotTable[[#This Row],[SP Is Filled]]), SnapshotTable[[#This Row],[SP Potential Spend]] -  SnapshotTable[[#This Row],[LP Max Value]], 0)</f>
        <v>0</v>
      </c>
      <c r="CJ252" s="244"/>
      <c r="CK252" s="31" t="str">
        <f>IF(ISNUMBER(SnapshotTable[[#This Row],[SP Potential Spend]]),IF(ISNUMBER(SnapshotTable[[#This Row],[SP POW]]), SnapshotTable[[#This Row],[SP POW]] * SnapshotTable[[#This Row],[SP Potential Spend]], SnapshotTable[[#This Row],[SP Potential Spend]]), "")</f>
        <v/>
      </c>
      <c r="CL252" s="164" t="e">
        <f>IF(NOT(SnapshotTable[[#This Row],[SP Is Filled]]),(SnapshotTable[[#This Row],[SP Qty]] * SnapshotTable[[#This Row],[SP Strike Price]] * 100) - SnapshotTable[[#This Row],[LP Max Value]],"")</f>
        <v>#VALUE!</v>
      </c>
      <c r="CM252" s="31" t="str">
        <f>IF(SnapshotTable[[#This Row],[SP Actual Spend]]&lt;&gt;0, ((SnapshotTable[[#This Row],[SP Strike Price]]-SnapshotTable[[#This Row],[Last Price]]) *(SnapshotTable[[#This Row],[SP Qty]]*100) - SnapshotTable[[#This Row],[SP Premium]]) * - 1, "")</f>
        <v/>
      </c>
      <c r="CN252" s="78"/>
      <c r="CO252" s="369"/>
      <c r="CP252" s="4" t="str">
        <f>IF(SnapshotTable[[#This Row],[SP Is Filled]], btc_max_buyback_amount(SnapshotTable[[#This Row],[SP Fill Date]],SnapshotTable[[#This Row],[SP Exp Date]], SnapshotTable[[#This Row],[SP Book Price]]),"")</f>
        <v/>
      </c>
      <c r="CQ252" s="78"/>
      <c r="CR25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2" s="155" t="str">
        <f>IF(SnapshotTable[[#This Row],[SP Is Filled]], btc_next_cutoff_date(SnapshotTable[[#This Row],[SP Fill Date]],SnapshotTable[[#This Row],[SP Exp Date]]),"")</f>
        <v/>
      </c>
      <c r="CT252" s="235" t="str" cm="1">
        <f t="array" ref="CT252">IF(SnapshotTable[[#This Row],[SP Is Filled]], btc_should_buy_back(SnapshotTable[[#This Row],[SP Fill Date]], SnapshotTable[[#This Row],[SP Exp Date]], SnapshotTable[[#This Row],[SP Book Price]], SnapshotTable[[#This Row],[SP Current Ask]], MockToday, SnapshotTable[[#This Row],[SP Buyback Override]]),"")</f>
        <v/>
      </c>
      <c r="CU252" s="143"/>
      <c r="CV252" s="235"/>
      <c r="CW252" s="378" t="str">
        <f>IF(ISNUMBER( SnapshotTable[[#This Row],[SP Term]]), SnapshotTable[[#This Row],[SP Exp Date]] - MockToday,"")</f>
        <v/>
      </c>
      <c r="CX252" s="31" t="str">
        <f>IF(SnapshotTable[[#This Row],[SP Is Filled]],SnapshotTable[[#This Row],[SP Buyback Price to Use]] * 100 * SnapshotTable[[#This Row],[SP Qty]], "")</f>
        <v/>
      </c>
      <c r="CY252" s="4" t="str">
        <f>IF(ISNUMBER(SnapshotTable[[#This Row],[SP Strike Price]]), SnapshotTable[[#This Row],[SP Strike Price]] * (1 - SP_MaxLoss_StrikePct), "")</f>
        <v/>
      </c>
      <c r="CZ252" s="31" t="str">
        <f>IF(ISNUMBER(SnapshotTable[[#This Row],[SP Strike  Stop Per Share]]),SnapshotTable[[#This Row],[SP Premium]] - ((SnapshotTable[[#This Row],[SP Strike Price]]-SnapshotTable[[#This Row],[SP Strike  Stop Per Share]]) *(SnapshotTable[[#This Row],[SP Qty]] * 100)),"")</f>
        <v/>
      </c>
      <c r="DA252" s="4" t="str">
        <f>IF(AND(ISNUMBER(SnapshotTable[[#This Row],[SP Premium]]),SnapshotTable[[#This Row],[SP Premium]]&gt;0), SnapshotTable[[#This Row],[SP Book Price]] * (1 + SP_MaxLoss_OptionPct), "")</f>
        <v/>
      </c>
      <c r="DB252" s="31" t="str">
        <f>IF(ISNUMBER(SnapshotTable[[#This Row],[SP Option  Stop Contract]]),(SnapshotTable[[#This Row],[SP Option  Stop Contract]] *(SnapshotTable[[#This Row],[SP Qty]] * 100) - SnapshotTable[[#This Row],[SP Premium]]),"")</f>
        <v/>
      </c>
      <c r="DC252" s="4"/>
      <c r="DD252" s="4"/>
      <c r="DE252" s="4" t="str">
        <f>IF(AND(SnapshotTable[[#This Row],[SP Qty]]&gt;0, SnapshotTable[[#This Row],[SP Stop To Use]]&gt;0),SnapshotTable[[#This Row],[SP Premium]] - ( SnapshotTable[[#This Row],[SP Qty]] * SnapshotTable[[#This Row],[SP Stop To Use]] * 100), "")</f>
        <v/>
      </c>
      <c r="DF252" s="31" t="str">
        <f>IF(AND(SnapshotTable[[#This Row],[SP Qty]]&gt;0,SnapshotTable[[#This Row],[SP Current Ask]]&gt;0), SnapshotTable[[#This Row],[SP Qty]] * SnapshotTable[[#This Row],[SP Current Ask]] * -100, "")</f>
        <v/>
      </c>
      <c r="DG252" s="31" t="str">
        <f>IF(ISNUMBER((SnapshotTable[[#This Row],[SP Total Value]])), SnapshotTable[[#This Row],[SP Premium]] + SnapshotTable[[#This Row],[SP Total Value]], "")</f>
        <v/>
      </c>
      <c r="DH252" s="294" t="str">
        <f>IF(ISNUMBER((SnapshotTable[[#This Row],[SP Total Value]])), SnapshotTable[[#This Row],[SP Gain Loss]] / SnapshotTable[[#This Row],[SP Premium]], "")</f>
        <v/>
      </c>
      <c r="DI252" s="406">
        <v>46773</v>
      </c>
      <c r="DJ252" s="138">
        <v>400</v>
      </c>
      <c r="DK252" s="148">
        <v>2</v>
      </c>
      <c r="DL252" s="13">
        <v>46078</v>
      </c>
      <c r="DM252" s="13">
        <v>46078</v>
      </c>
      <c r="DN252" s="5">
        <v>118.98</v>
      </c>
      <c r="DO252" s="31">
        <f>IF(SnapshotTable[[#This Row],[LC Symbol Count]]=1, SnapshotTable[[#This Row],[LC Qty]] * SnapshotTable[[#This Row],[LC Book Price]] * 100, 0)</f>
        <v>23796</v>
      </c>
      <c r="DP252" s="163" t="str">
        <f>IF(AND(SnapshotTable[[#This Row],[LC Exp Date]]&gt;0, SnapshotTable[[#This Row],[LC Strike Price]]&gt;0,SnapshotTable[[#This Row],[LC Qty]]&gt;0,SnapshotTable[[#This Row],[LC Book Date]]&gt;0,SnapshotTable[[#This Row],[LC Book Price]]&gt;0,SnapshotTable[[#This Row],[LC Fill Date]]=0),"Y","")</f>
        <v/>
      </c>
      <c r="DQ252" s="386">
        <f>IF(SnapshotTable[[#This Row],[LC Premium]] &gt; 0,SnapshotTable[[#This Row],[LC Exp Date]]-MAX(SnapshotTable[[#This Row],[LC Book Date]], SnapshotTable[[#This Row],[LC Fill Date]]),"")</f>
        <v>695</v>
      </c>
      <c r="DR252" s="386">
        <f ca="1">IF(ISNUMBER(SnapshotTable[[#This Row],[LC Term]]), SnapshotTable[[#This Row],[LC Exp Date]] - MockToday, "")</f>
        <v>538</v>
      </c>
      <c r="DS252" s="234">
        <f>IF(SnapshotTable[[#This Row],[LC Premium]]&gt;0,SnapshotTable[[#This Row],[LC Strike Price]] + SnapshotTable[[#This Row],[LC Book Price]],"")</f>
        <v>518.98</v>
      </c>
      <c r="DT252" s="5">
        <v>103.99</v>
      </c>
      <c r="DU252" s="9">
        <f>IF(AND(SnapshotTable[[#This Row],[LC Symbol Count]]&gt;0, SnapshotTable[[#This Row],[LC Contract Value]]&gt;0), SnapshotTable[[#This Row],[LC Contract Value]] * SnapshotTable[[#This Row],[LC Qty]] * 100, "")</f>
        <v>20798</v>
      </c>
      <c r="DV252" s="9">
        <f>IF(AND(ISNUMBER(SnapshotTable[[#This Row],[LC Total Value]]), SnapshotTable[[#This Row],[LC Not Filled]]&lt;&gt;"Y"), SnapshotTable[[#This Row],[LC Total Value]]-SnapshotTable[[#This Row],[LC Premium]],"")</f>
        <v>-2998</v>
      </c>
      <c r="DW252" s="240">
        <f>IF(ISNUMBER(SnapshotTable[[#This Row],[LC Actual Gain Loss]]), SnapshotTable[[#This Row],[LC Actual Gain Loss]] / SnapshotTable[[#This Row],[LC Premium]],"")</f>
        <v>-0.12598756093461086</v>
      </c>
      <c r="DX252" s="284">
        <f>IF(ISNUMBER(SnapshotTable[[#This Row],[LC Book Price]]),SnapshotTable[[#This Row],[LC Book Price]] * 1.5,"")</f>
        <v>178.47</v>
      </c>
      <c r="DY252" s="265">
        <f>IF(SnapshotTable[[#This Row],[LC Premium]]&gt;0, SnapshotTable[[#This Row],[LC Next Target]] * SnapshotTable[[#This Row],[LC Qty]] * 100,"")</f>
        <v>35694</v>
      </c>
      <c r="DZ252" s="265">
        <f>IF(ISNUMBER(SnapshotTable[[#This Row],[LC Target Gross]]), SnapshotTable[[#This Row],[LC Target Gross]] - SnapshotTable[[#This Row],[LC Premium]], "")</f>
        <v>11898</v>
      </c>
      <c r="EA252" s="305">
        <f>IF(ISNUMBER(SnapshotTable[[#This Row],[LC Target Gain Loss]]), SnapshotTable[[#This Row],[LC Target Gain Loss]]/SnapshotTable[[#This Row],[LC Premium]], "")</f>
        <v>0.5</v>
      </c>
      <c r="EB252" s="262"/>
      <c r="EC252" s="283">
        <f>IF(SnapshotTable[[#This Row],[LC Premium]]&gt;0, SnapshotTable[[#This Row],[LC Book Price]] * (1 - LC_StopLoss_Pct),"")</f>
        <v>89.234999999999999</v>
      </c>
      <c r="ED252" s="284">
        <v>160.6</v>
      </c>
      <c r="EE252" s="283">
        <f>IF(ISNUMBER(SnapshotTable[[#This Row],[LC Contract Value]]),IF(ISNUMBER(SnapshotTable[[#This Row],[LC Stop Loss Override]]), SnapshotTable[[#This Row],[LC Stop Loss Override]],SnapshotTable[[#This Row],[LC Stop Loss Calc Target]]),"")</f>
        <v>160.6</v>
      </c>
      <c r="EF252" s="31">
        <f>IF(ISNUMBER(SnapshotTable[[#This Row],[LC Stop  To Use]]), (SnapshotTable[[#This Row],[LC Stop  To Use]] * SnapshotTable[[#This Row],[LC Qty]] * 100),"")</f>
        <v>32120</v>
      </c>
      <c r="EG252" s="9">
        <f>IF(ISNUMBER(SnapshotTable[[#This Row],[LC Total Value]]),SnapshotTable[[#This Row],[LC Stop Loss Amount]] - SnapshotTable[[#This Row],[LC Premium]],"")</f>
        <v>8324</v>
      </c>
      <c r="EH252" s="9">
        <f>IF(ISNUMBER(SnapshotTable[[#This Row],[LC Premium]]), SnapshotTable[[#This Row],[LC Qty]] * 100 * SnapshotTable[[#This Row],[LC Strike Price]], "")</f>
        <v>80000</v>
      </c>
      <c r="EI252" s="240">
        <f>IF(AND(ISNUMBER(SnapshotTable[[#This Row],[LC Total Value]]),SnapshotTable[[#This Row],[LC Total Value]]&gt;0),SnapshotTable[[#This Row],[LC Stop Gain Loss]]  / SnapshotTable[[#This Row],[LC Premium]],"")</f>
        <v>0.34980669020003363</v>
      </c>
      <c r="EJ252" s="35">
        <f>IF(ISNUMBER(SnapshotTable[[#This Row],[Equity Shares]]),TRUNC(SnapshotTable[[#This Row],[Equity Shares]] / 100),0) + SnapshotTable[[#This Row],[LC Qty]]</f>
        <v>2</v>
      </c>
      <c r="EK252" s="147"/>
      <c r="EL252" s="138" t="str">
        <f>IF(SnapshotTable[[#This Row],[SC Exp Date]]&lt;&gt;"",TRUNC(SnapshotTable[[#This Row],[Last Price]]),"")</f>
        <v/>
      </c>
      <c r="EM252" s="148"/>
      <c r="EN252" s="147"/>
      <c r="EO252" s="147"/>
      <c r="EP252" s="138"/>
      <c r="EQ252" s="419" t="b">
        <f>AND(ISNUMBER(SnapshotTable[[#This Row],[SC Exp Date]]), ISNUMBER(SnapshotTable[[#This Row],[SC Strike Price]]), ISNUMBER(SnapshotTable[[#This Row],[SC Qty]]), ISNUMBER(SnapshotTable[[#This Row],[SC Book Date]]), ISNUMBER(SnapshotTable[[#This Row],[SC Book Price]]))</f>
        <v>0</v>
      </c>
      <c r="ER252" s="419" t="b">
        <f>AND(SnapshotTable[[#This Row],[SC Is Booked]], NOT(ISBLANK(SnapshotTable[[#This Row],[SC Fill Date]])))</f>
        <v>0</v>
      </c>
      <c r="ES252" s="370"/>
      <c r="ET252" s="34" t="str">
        <f>IF(AND(ISNUMBER(SnapshotTable[[#This Row],[SC Exp Date]]), ISNUMBER(SnapshotTable[[#This Row],[SC Book Date]])), SnapshotTable[[#This Row],[SC Exp Date]] - MAX(SnapshotTable[[#This Row],[SC Book Date]], SnapshotTable[[#This Row],[SC Fill Date]]) + 1, "")</f>
        <v/>
      </c>
      <c r="EU252" s="34" t="str">
        <f>IF(ISNUMBER(SnapshotTable[[#This Row],[SC Term]]), SnapshotTable[[#This Row],[SC Exp Date]]- MockToday, "")</f>
        <v/>
      </c>
      <c r="EV252" s="31">
        <f>IF(SnapshotTable[[#This Row],[SC Is Booked]], SnapshotTable[[#This Row],[SC Qty]] * SnapshotTable[[#This Row],[SC Book Price]] * 100, 0)</f>
        <v>0</v>
      </c>
      <c r="EW252" s="4" t="str">
        <f>IF(AND(ISNUMBER(SnapshotTable[[#This Row],[Last Price]]), ISNUMBER( SnapshotTable[[#This Row],[SC Book Price]])), SnapshotTable[[#This Row],[Last Price]] - SnapshotTable[[#This Row],[SC Book Price]],"")</f>
        <v/>
      </c>
      <c r="EX252" s="234" t="str">
        <f>IF(SnapshotTable[[#This Row],[SC Is Booked]],IF(SnapshotTable[[#This Row],[SC Intrinsic Value]] &gt; 0, SnapshotTable[[#This Row],[SC Strike Price]], SnapshotTable[[#This Row],[Last Price]]), "")</f>
        <v/>
      </c>
      <c r="EY252" s="4">
        <f>IF(SnapshotTable[[#This Row],[SC Is Booked]], (MinimumPremiumRequired * SnapshotTable[[#This Row],[SC Basis]] * SnapshotTable[[#This Row],[SC Term]]), 0)</f>
        <v>0</v>
      </c>
      <c r="EZ252" s="283"/>
      <c r="FA252" s="218"/>
      <c r="FB252" s="370"/>
      <c r="FC252" s="4">
        <f>IF(SnapshotTable[[#This Row],[SC Is Filled]], btc_max_buyback_amount(SnapshotTable[[#This Row],[SC Fill Date]],SnapshotTable[[#This Row],[SC Exp Date]], SnapshotTable[[#This Row],[SC Book Price]]),0)</f>
        <v>0</v>
      </c>
      <c r="FD252" s="5"/>
      <c r="FE252" s="144" t="str">
        <f>IF(SnapshotTable[[#This Row],[SC Is Filled]], btc_next_cutoff_date(SnapshotTable[[#This Row],[SC Fill Date]],SnapshotTable[[#This Row],[SC Exp Date]]),"")</f>
        <v/>
      </c>
      <c r="FF252" s="4" t="str" cm="1">
        <f t="array" ref="FF252">IF(SnapshotTable[[#This Row],[SC Is Filled]], btc_should_buy_back(SnapshotTable[[#This Row],[SC Fill Date]], SnapshotTable[[#This Row],[SC Exp Date]], SnapshotTable[[#This Row],[SC Book Price]], SnapshotTable[[#This Row],[SC Current Ask]], MockToday, SnapshotTable[[#This Row],[SC Buyback Override]]),"")</f>
        <v/>
      </c>
      <c r="FG252" s="4">
        <f>IF(SnapshotTable[[#This Row],[SC Is Filled]], MAX(0,SnapshotTable[[#This Row],[Last Price]]  - SnapshotTable[[#This Row],[SC Strike Price]]), 0)</f>
        <v>0</v>
      </c>
      <c r="FH252" s="382">
        <f>IF(SnapshotTable[[#This Row],[SC Is Filled]], IF(ISNUMBER(SnapshotTable[[#This Row],[SC Current Ask]]), SnapshotTable[[#This Row],[SC Current Ask]], SnapshotTable[[#This Row],[SC Book Price]]) - SnapshotTable[[#This Row],[SC Intrinsic Value]], 0)</f>
        <v>0</v>
      </c>
      <c r="FI252" s="143"/>
      <c r="FJ252" s="32" t="str">
        <f>IF(SnapshotTable[[#This Row],[SC Is Filled]],100 * SnapshotTable[[#This Row],[SC Qty]] * IF(ISNUMBER(SnapshotTable[[#This Row],[SC Buyback Override]]), SnapshotTable[[#This Row],[SC Buyback Override]], SnapshotTable[[#This Row],[SC Current Ask]]), "")</f>
        <v/>
      </c>
      <c r="FK252" s="250" t="str">
        <f>IF(SnapshotTable[[#This Row],[SC Time Val]]&gt;0, SnapshotTable[[#This Row],[SC Time Val]] / SnapshotTable[[#This Row],[Last Price]],"")</f>
        <v/>
      </c>
      <c r="FL252" s="302" t="str">
        <f>IF(SnapshotTable[[#This Row],[SC Is Booked]], ((SnapshotTable[[#This Row],[Last Price]] -SnapshotTable[[#This Row],[SC Strike Price]]) / SnapshotTable[[#This Row],[Last Price]]) * -1, "")</f>
        <v/>
      </c>
      <c r="FM252" s="157" t="str">
        <f>IF(SnapshotTable[[#This Row],[SC Is Booked]],  (SnapshotTable[[#This Row],[SC Qty]] * 100 * SnapshotTable[[#This Row],[SC Strike Price]]) - SnapshotTable[[#This Row],[SC Current Ask]], "")</f>
        <v/>
      </c>
      <c r="FN25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2" s="31" t="str">
        <f>IF(AND(ISNUMBER(SnapshotTable[[#This Row],[SC Exercise Gross]]), ISNUMBER(SnapshotTable[[#This Row],[Equity Basis Per Share]] )), SnapshotTable[[#This Row],[SC Exercise Gross]] - SnapshotTable[[#This Row],[Equity Basis Total]] +  SnapshotTable[[#This Row],[SC Premium]], "")</f>
        <v/>
      </c>
      <c r="FP252" s="5" t="str">
        <f>IF(ISNUMBER(SnapshotTable[[#This Row],[SC Exercise Gross]]), (SnapshotTable[[#This Row],[SC Exercise Gross]]) / (SnapshotTable[[#This Row],[SC Qty]] * 100), "")</f>
        <v/>
      </c>
      <c r="FQ252" s="27" t="str">
        <f>IF(SnapshotTable[[#This Row],[SC Is Booked]],SnapshotTable[[#This Row],[SC Time Val]] /SnapshotTable[[#This Row],[SC Basis]], "")</f>
        <v/>
      </c>
      <c r="FR252" s="27" t="str" cm="1">
        <f t="array" ref="FR252">IF(AND(ISNUMBER(SnapshotTable[[#This Row],[SC Term]]),ISNUMBER(SnapshotTable[[#This Row],[SC Simple ROO]])), EllmanAnnualize(SnapshotTable[[#This Row],[SC DTE]], SnapshotTable[[#This Row],[SC Simple ROO]] ),"")</f>
        <v/>
      </c>
      <c r="FS252" s="4" t="e">
        <f>IF(SnapshotTable[[#This Row],[SC Strike Price]] &gt; SnapshotTable[[#This Row],[Last Price]], SnapshotTable[[#This Row],[SC Strike Price]] - SnapshotTable[[#This Row],[Last Price]],0)</f>
        <v>#VALUE!</v>
      </c>
      <c r="FT252" s="27" t="e">
        <f>IF(AND(ISNUMBER(SnapshotTable[[#This Row],[SC Upside Potential]]), SnapshotTable[[#This Row],[SC Upside Potential]] &gt; 0),(SnapshotTable[[#This Row],[SC Upside Potential]]/ SnapshotTable[[#This Row],[ACB]]),"")</f>
        <v>#VALUE!</v>
      </c>
      <c r="FU252" s="333" t="str">
        <f>IF(SnapshotTable[[#This Row],[SC Intrinsic Value]] &gt; 0,SnapshotTable[[#This Row],[SC Intrinsic Value]],"")</f>
        <v/>
      </c>
      <c r="FV252" s="27" t="str">
        <f>IF(AND( ISNUMBER( SnapshotTable[[#This Row],[ACB]]),ISNUMBER(SnapshotTable[[#This Row],[SC Downside Protect]])),SnapshotTable[[#This Row],[SC Downside Protect]] / SnapshotTable[[#This Row],[ACB]],"")</f>
        <v/>
      </c>
      <c r="FW252" s="236" t="str">
        <f>IF(AND(ISNUMBER(SnapshotTable[[#This Row],[SC Simple ROO]]),SnapshotTable[[#This Row],[SC Simple ROO]] &gt; 0), SnapshotTable[[#This Row],[SC Premium]] + (SnapshotTable[[#This Row],[SC Qty]] * SnapshotTable[[#This Row],[SC Upside Potential]]), "")</f>
        <v/>
      </c>
      <c r="FX252" s="302" t="str" cm="1">
        <f t="array" ref="FX252">IF(ISNUMBER(SnapshotTable[[#This Row],[SC Max Dollars]]), annualize(SnapshotTable[[#This Row],[SC Term]],(SnapshotTable[[#This Row],[SC Max Dollars]]/SnapshotTable[[#This Row],[SC Basis]])),"")</f>
        <v/>
      </c>
      <c r="FY252" s="236" t="str">
        <f>IF(AND(SnapshotTable[[#This Row],[SC Qty]]&gt;0,SnapshotTable[[#This Row],[SC Current Ask]]&gt;0), SnapshotTable[[#This Row],[SC Qty]] * SnapshotTable[[#This Row],[SC Current Ask]] * -100, "")</f>
        <v/>
      </c>
      <c r="FZ252" s="31" t="str">
        <f>IF(ISNUMBER((SnapshotTable[[#This Row],[SC Current Value]])), SnapshotTable[[#This Row],[SC Premium]] + SnapshotTable[[#This Row],[SC Current Value]], "")</f>
        <v/>
      </c>
      <c r="GA252" s="294" t="str">
        <f>IFERROR( IF(ISNUMBER((SnapshotTable[[#This Row],[SC Current Value]])), SnapshotTable[[#This Row],[SC Gain Loss]] / SnapshotTable[[#This Row],[SC Premium]], ""), "")</f>
        <v/>
      </c>
      <c r="GB252" s="42">
        <f>SnapshotTable[[#This Row],[Equity Shares]] * SaleSharesToConsiderPercentage</f>
        <v>0</v>
      </c>
      <c r="GC252" s="40">
        <f>SnapshotTable[[#This Row],[Long Term Target]] * SellingPriceToConsiderBasedOnTargetPercentage</f>
        <v>0</v>
      </c>
      <c r="GD252" s="40">
        <f>SnapshotTable[[#This Row],[Last Price]] * (1+ SellingPriceToConsiderBasedOnTargetPercentage)</f>
        <v>610.40849999999989</v>
      </c>
      <c r="GE252" s="41"/>
      <c r="GF252" s="40"/>
      <c r="GG252" s="31">
        <f>SnapshotTable[[#This Row],[Booked Sale Shares]] * SnapshotTable[[#This Row],[Booked Sale Price]]</f>
        <v>0</v>
      </c>
      <c r="GH252" s="31" t="str">
        <f>IF(SnapshotTable[[#This Row],[Equity Basis Total]] &gt; 0, SnapshotTable[[#This Row],[Equity Basis Per Share]] * SnapshotTable[[#This Row],[Booked Sale Shares]], "")</f>
        <v/>
      </c>
      <c r="GI252" s="31">
        <f>IF(SnapshotTable[[#This Row],[Sale Proceeds]]&gt;0, SnapshotTable[[#This Row],[Sale Proceeds]] - SnapshotTable[[#This Row],[Sale Basis]], 0)</f>
        <v>0</v>
      </c>
      <c r="GJ252" s="27" t="str">
        <f>IF(SnapshotTable[[#This Row],[Sale G/L]]&gt;0, SnapshotTable[[#This Row],[Sale G/L]] / SnapshotTable[[#This Row],[Sale Basis]], IF(ISNUMBER(SnapshotTable[[#This Row],[SC Exercise P&amp;L (TAX)]]), SnapshotTable[[#This Row],[SC Exercise P&amp;L (TAX)]] / SnapshotTable[[#This Row],[SC Basis]], ""))</f>
        <v/>
      </c>
      <c r="GK252" s="27" t="s">
        <v>1218</v>
      </c>
      <c r="GL252" s="43" t="str">
        <f>IF(AND(SnapshotTable[[#This Row],[LP Exp Date]]&gt;0,SnapshotTable[[#This Row],[LP Strike Price]]&gt;0), [1]!ToOptionSymbol(SnapshotTable[[#This Row],[Symbol]], SnapshotTable[[#This Row],[LP Strike Price]],SnapshotTable[[#This Row],[LP Exp Date]],1), "")</f>
        <v/>
      </c>
      <c r="GM252" s="30" t="str">
        <f>IF(LEN(SnapshotTable[[#This Row],[LP Symbol]])&gt;0, 1, "")</f>
        <v/>
      </c>
      <c r="GN252" s="43" t="str">
        <f>IF(AND(SnapshotTable[[#This Row],[SP Exp Date]]&gt;0,SnapshotTable[[#This Row],[SP Strike Price]]&gt;0), [1]!ToOptionSymbol(SnapshotTable[[#This Row],[Symbol]], SnapshotTable[[#This Row],[SP Strike Price]],SnapshotTable[[#This Row],[SP Exp Date]],1), "")</f>
        <v/>
      </c>
      <c r="GO252" s="30" t="str">
        <f>IF(LEN(SnapshotTable[[#This Row],[SP Symbol]])&gt;0, 1, "")</f>
        <v/>
      </c>
      <c r="GP252" s="43" t="str">
        <f>IF(AND(SnapshotTable[[#This Row],[LC Exp Date]]&gt;0,SnapshotTable[[#This Row],[LC Strike Price]]&gt;0), [1]!ToOptionSymbol(SnapshotTable[[#This Row],[Symbol]], SnapshotTable[[#This Row],[LC Strike Price]],SnapshotTable[[#This Row],[LC Exp Date]],0), "")</f>
        <v>TSLA280121C00400000</v>
      </c>
      <c r="GQ252" s="30">
        <f>IF(LEN(SnapshotTable[[#This Row],[LC Symbol]])&gt;0, 1, "")</f>
        <v>1</v>
      </c>
      <c r="GR252" s="43" t="str">
        <f>IF(AND(SnapshotTable[[#This Row],[SC Exp Date]]&gt;0,SnapshotTable[[#This Row],[SC Strike Price]]&gt;0), [1]!ToOptionSymbol(SnapshotTable[[#This Row],[Symbol]], SnapshotTable[[#This Row],[SC Strike Price]],SnapshotTable[[#This Row],[SC Exp Date]],0), "")</f>
        <v/>
      </c>
      <c r="GS252" s="30" t="str">
        <f>IF(LEN(SnapshotTable[[#This Row],[SC Symbol]])&gt;0, 1, "")</f>
        <v/>
      </c>
      <c r="GT252" s="29" t="str">
        <f>IF(COUNT(SnapshotTable[[#This Row],[LP Symbol Count]],SnapshotTable[[#This Row],[SP Symbol Count]],SnapshotTable[[#This Row],[LC Symbol Count]],SnapshotTable[[#This Row],[SC Symbol Count]])&gt;0, "Y", "")</f>
        <v>Y</v>
      </c>
      <c r="GU25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LC </v>
      </c>
      <c r="GV252" s="231" t="e">
        <f>MAX(SnapshotTable[[#This Row],[Equity Basis Total]],SnapshotTable[[#This Row],[Equity Value]]) + (SnapshotTable[[#This Row],[SP Potential Spend]]- SnapshotTable[[#This Row],[SP Premium]] + SnapshotTable[[#This Row],[LP Premium]])+ (SnapshotTable[[#This Row],[LC Premium]] - SnapshotTable[[#This Row],[SC Premium]])</f>
        <v>#VALUE!</v>
      </c>
      <c r="GW252" s="139" t="e">
        <f>IF(AND(SnapshotTable[[#This Row],[Exposure]] &lt;&gt; 0),SnapshotTable[[#This Row],[Exposure]] / SnapshotTable[[#Totals],[Exposure]], "")</f>
        <v>#VALUE!</v>
      </c>
      <c r="GX252" s="13"/>
      <c r="HK252" s="1"/>
      <c r="HL252" s="1"/>
      <c r="HM252" s="1"/>
      <c r="HN252" s="1"/>
      <c r="HO252" s="1"/>
      <c r="HP252" s="1"/>
    </row>
    <row r="253" spans="2:224" ht="12.75" hidden="1" customHeight="1" x14ac:dyDescent="0.25">
      <c r="B253" s="12" t="s">
        <v>1142</v>
      </c>
      <c r="C253" s="422">
        <v>30.56</v>
      </c>
      <c r="D253" s="208">
        <v>45</v>
      </c>
      <c r="E253" s="39">
        <f>SnapshotTable[[#This Row],[Last Price]]*(1 -CrashDiscount)</f>
        <v>25.975999999999999</v>
      </c>
      <c r="F253" s="26" t="s">
        <v>958</v>
      </c>
      <c r="G253" s="325" t="s">
        <v>9</v>
      </c>
      <c r="H253" s="149"/>
      <c r="I253" s="194"/>
      <c r="J253" s="195"/>
      <c r="K253" s="196"/>
      <c r="L253" s="326"/>
      <c r="M253" s="140"/>
      <c r="N253" s="140"/>
      <c r="O253" s="140"/>
      <c r="P253" s="22"/>
      <c r="Q253" s="25"/>
      <c r="R253" s="4" t="str">
        <f>IF(SnapshotTable[[#This Row],[Equity Basis Total]] &gt; 0, SnapshotTable[[#This Row],[Equity Basis Total]] / SnapshotTable[[#This Row],[Equity Shares]], "")</f>
        <v/>
      </c>
      <c r="S253" s="269">
        <f>SnapshotTable[[#This Row],[Last Price]] * SnapshotTable[[#This Row],[Equity Shares]]</f>
        <v>0</v>
      </c>
      <c r="T253" s="269">
        <f>SnapshotTable[[#This Row],[Equity Value]] - SnapshotTable[[#This Row],[Equity Basis Total]]</f>
        <v>0</v>
      </c>
      <c r="U253" s="270" t="str">
        <f>IF(SnapshotTable[[#This Row],[Equity Basis Total]] &gt; 0, SnapshotTable[[#This Row],[Equity G/L]] / SnapshotTable[[#This Row],[Equity Basis Total]], "")</f>
        <v/>
      </c>
      <c r="V253" s="268"/>
      <c r="W253" s="268"/>
      <c r="X253" s="4" t="str">
        <f>IF(AND(ISNUMBER(SnapshotTable[[#This Row],[Equity Basis Per Share]]),ISNUMBER(SnapshotTable[[#This Row],[Equity Target]])),SnapshotTable[[#This Row],[Equity Target]]-SnapshotTable[[#This Row],[Equity Basis Per Share]],"")</f>
        <v/>
      </c>
      <c r="Y253" s="4" t="str">
        <f>IF(AND(ISNUMBER(SnapshotTable[[#This Row],[Equity Basis Per Share]]),ISNUMBER(SnapshotTable[[#This Row],[Equity Stop Loss]])),SnapshotTable[[#This Row],[Equity Stop Loss]]-SnapshotTable[[#This Row],[Equity Basis Per Share]],"")</f>
        <v/>
      </c>
      <c r="Z253" s="275" t="str">
        <f>IFERROR( TEXT(SnapshotTable[[#This Row],[Equity Max Gain Per Share]] /ABS( SnapshotTable[[#This Row],[Equity Max Loss Per Share]]),"0.0 " ) &amp; " : 1", "")</f>
        <v/>
      </c>
      <c r="AA253" s="31" t="str">
        <f>IF(ISNUMBER(SnapshotTable[[#This Row],[Equity Max Gain Per Share]]),SnapshotTable[[#This Row],[Equity Max Gain Per Share]] * SnapshotTable[[#This Row],[Equity Shares]],"")</f>
        <v/>
      </c>
      <c r="AB253" s="31" t="str">
        <f>IF(ISNUMBER(SnapshotTable[[#This Row],[Equity Max Loss Per Share]]),SnapshotTable[[#This Row],[Equity Max Loss Per Share]] * SnapshotTable[[#This Row],[Equity Shares]],"")</f>
        <v/>
      </c>
      <c r="AC253" s="150"/>
      <c r="AD253" s="151"/>
      <c r="AE253" s="31">
        <f>(SnapshotTable[[#This Row],[Annual Dividend Per Share]] / 4) * SnapshotTable[[#This Row],[Equity Shares]]</f>
        <v>0</v>
      </c>
      <c r="AF253" s="31">
        <f>SnapshotTable[[#This Row],[Quarterly Div $]] * 4</f>
        <v>0</v>
      </c>
      <c r="AG253" s="7">
        <f>IF(SnapshotTable[[#This Row],[Annual Dividend Per Share]]&gt;0, SnapshotTable[[#This Row],[Annual Dividend Per Share]]  / SnapshotTable[[#This Row],[Last Price]], 0)</f>
        <v>0</v>
      </c>
      <c r="AH253" s="151"/>
      <c r="AI253" s="5"/>
      <c r="AJ253" s="138">
        <v>375.2</v>
      </c>
      <c r="AK253" s="152" t="str">
        <f>IF(ISNUMBER( SnapshotTable[[#This Row],[EBF Target]]),(SnapshotTable[[#This Row],[EBF Target]] - SnapshotTable[[#This Row],[Last Price]]) / SnapshotTable[[#This Row],[Last Price]], "")</f>
        <v/>
      </c>
      <c r="AL253" s="152" t="str">
        <f>IF(AND(SnapshotTable[[#This Row],[Equity Basis Total]] &gt; 0,ISNUMBER( SnapshotTable[[#This Row],[Long Term Target]])), SnapshotTable[[#This Row],[From Basis $]] / SnapshotTable[[#This Row],[Equity Basis Total]], "")</f>
        <v/>
      </c>
      <c r="AM253" s="9">
        <f>IF( AND(SnapshotTable[[#This Row],[Equity Shares]] &gt;0,ISNUMBER( SnapshotTable[[#This Row],[Long Term Target]])),(SnapshotTable[[#This Row],[Equity Shares]] * SnapshotTable[[#This Row],[Long Term Target]]) - SnapshotTable[[#This Row],[Equity Basis Total]],0)</f>
        <v>0</v>
      </c>
      <c r="AN253" s="9">
        <f>IF( AND(SnapshotTable[[#This Row],[Equity Shares]] &gt;0,ISNUMBER( SnapshotTable[[#This Row],[Long Term Target]])),(SnapshotTable[[#This Row],[Equity Shares]]*SnapshotTable[[#This Row],[Long Term Target]]) - SnapshotTable[[#This Row],[Equity Value]],0)</f>
        <v>0</v>
      </c>
      <c r="AO253" s="152">
        <f>IF(AND(ISNUMBER( SnapshotTable[[#This Row],[Long Term Target]]), ISNUMBER(SnapshotTable[[#This Row],[Last Price]])),(SnapshotTable[[#This Row],[Long Term Target]] - SnapshotTable[[#This Row],[Last Price]]) / SnapshotTable[[#This Row],[Last Price]], "")</f>
        <v>11.277486910994764</v>
      </c>
      <c r="AP253" s="5">
        <v>810</v>
      </c>
      <c r="AQ253" s="38" t="s">
        <v>38</v>
      </c>
      <c r="AR253" s="5">
        <v>800</v>
      </c>
      <c r="AS253" s="38" t="s">
        <v>109</v>
      </c>
      <c r="AT253" s="146" t="s">
        <v>532</v>
      </c>
      <c r="AU253" s="187" t="str">
        <f>IF(OR(SnapshotTable[[#This Row],[LP No Fill]]="Y",SnapshotTable[[#This Row],[SP Is Filled]],SnapshotTable[[#This Row],[LC Not Filled]]="Y",SnapshotTable[[#This Row],[SC Is Filled]]),"Y","")</f>
        <v/>
      </c>
      <c r="AV253" s="219"/>
      <c r="AW253" s="225"/>
      <c r="AX253" s="220"/>
      <c r="AY253" s="219" t="str">
        <f>IF(SnapshotTable[[#This Row],[Implied Move]]&gt;0, SnapshotTable[[#This Row],[Last Price]]-SnapshotTable[[#This Row],[Implied Move]],"")</f>
        <v/>
      </c>
      <c r="AZ253" s="219" t="str">
        <f>IF(SnapshotTable[[#This Row],[Implied Move]]&gt;0, SnapshotTable[[#This Row],[Last Price]] + SnapshotTable[[#This Row],[Implied Move]],"")</f>
        <v/>
      </c>
      <c r="BA253" s="331">
        <v>43.23</v>
      </c>
      <c r="BB253" s="347" t="s">
        <v>1165</v>
      </c>
      <c r="BC25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3" s="351"/>
      <c r="BE253" s="5"/>
      <c r="BF253" s="14"/>
      <c r="BG253" s="13"/>
      <c r="BH253" s="13"/>
      <c r="BI253" s="5"/>
      <c r="BJ253" s="136">
        <f>IF(SnapshotTable[[#This Row],[LP Qty]] &gt; 0, SnapshotTable[[#This Row],[LP Qty]] * SnapshotTable[[#This Row],[LP Book Price]] * 100,0)</f>
        <v>0</v>
      </c>
      <c r="BK253" s="136">
        <f>IF(SnapshotTable[[#This Row],[LP Premium]] &gt; 0, SnapshotTable[[#This Row],[LP Qty]] * SnapshotTable[[#This Row],[LP Strike Price]] * 100,0)</f>
        <v>0</v>
      </c>
      <c r="BL253" s="154"/>
      <c r="BM253" s="385" t="str">
        <f>IF(SnapshotTable[[#This Row],[LP Premium]] &gt; 0,SnapshotTable[[#This Row],[LP Exp Date]]-MAX(SnapshotTable[[#This Row],[LP Book Date]], SnapshotTable[[#This Row],[LP Fill Date]]),"")</f>
        <v/>
      </c>
      <c r="BN253" s="385" t="str">
        <f>IF(ISNUMBER( SnapshotTable[[#This Row],[LP Term]]), SnapshotTable[[#This Row],[LP Exp Date]] - MockToday,"")</f>
        <v/>
      </c>
      <c r="BO253" s="163" t="str">
        <f>IF(AND(SnapshotTable[[#This Row],[LP Exp Date]]&gt;0, SnapshotTable[[#This Row],[LP Strike Price]]&gt;0,SnapshotTable[[#This Row],[LP Qty]]&gt;0,SnapshotTable[[#This Row],[LP Book Date]]&gt;0,SnapshotTable[[#This Row],[LP Book Price]]&gt;0,SnapshotTable[[#This Row],[LP Fill Date]]=0),"Y","")</f>
        <v/>
      </c>
      <c r="BP253" s="31" t="str">
        <f>IF(AND(SnapshotTable[[#This Row],[LP No Fill]]&lt;&gt;"Y",SnapshotTable[[#This Row],[LP Contract Value]]&gt;0, SnapshotTable[[#This Row],[LP Qty]]&gt;0), SnapshotTable[[#This Row],[LP Contract Value]]*SnapshotTable[[#This Row],[LP Qty]]*100,"")</f>
        <v/>
      </c>
      <c r="BQ253" s="13"/>
      <c r="BR253" s="5" t="str">
        <f>IF(SnapshotTable[[#This Row],[SP Exp Date]]&lt;&gt;"",TRUNC(SnapshotTable[[#This Row],[Last Price]]),"")</f>
        <v/>
      </c>
      <c r="BS253" s="36"/>
      <c r="BT253" s="147"/>
      <c r="BU253" s="13"/>
      <c r="BV253" s="5"/>
      <c r="BW253" s="419" t="b">
        <f>AND(ISNUMBER(SnapshotTable[[#This Row],[SP Exp Date]]), ISNUMBER(SnapshotTable[[#This Row],[SP Strike Price]]), ISNUMBER(SnapshotTable[[#This Row],[SP Qty]]), ISNUMBER(SnapshotTable[[#This Row],[SP Book Date]]), ISNUMBER(SnapshotTable[[#This Row],[SP Book Price]]))</f>
        <v>0</v>
      </c>
      <c r="BX253" s="419" t="b">
        <f>AND(SnapshotTable[[#This Row],[SP Is Booked]], NOT(ISBLANK(SnapshotTable[[#This Row],[SP Fill Date]])))</f>
        <v>0</v>
      </c>
      <c r="BY253" s="33">
        <f>IF(SnapshotTable[[#This Row],[SP Is Booked]], SnapshotTable[[#This Row],[SP Qty]] * SnapshotTable[[#This Row],[SP Book Price]] * 100, 0)</f>
        <v>0</v>
      </c>
      <c r="BZ253" s="369"/>
      <c r="CA253" s="368">
        <f>SnapshotTable[[#This Row],[LP Qty]]</f>
        <v>0</v>
      </c>
      <c r="CB253" s="4" t="str">
        <f>IF(SnapshotTable[[#This Row],[SP Is Booked]], SnapshotTable[[#This Row],[SP Strike Price]] - SnapshotTable[[#This Row],[SP Book Price]], "")</f>
        <v/>
      </c>
      <c r="CC253" s="19" t="str">
        <f>IF(SnapshotTable[[#This Row],[SP Is Booked]],SnapshotTable[[#This Row],[SP Exp Date]]-MAX(SnapshotTable[[#This Row],[SP Book Date]], SnapshotTable[[#This Row],[SP Fill Date]]),"")</f>
        <v/>
      </c>
      <c r="CD253" s="7" t="str">
        <f>IF(SnapshotTable[[#This Row],[SP Is Booked]], SnapshotTable[[#This Row],[SP Book Price]]/SnapshotTable[[#This Row],[SP Strike Price]], "")</f>
        <v/>
      </c>
      <c r="CE253" s="7" t="str">
        <f>IF(ISNUMBER(SnapshotTable[[#This Row],[SP ROO Term]]),SnapshotTable[[#This Row],[SP ROO Term]]*(365/SnapshotTable[[#This Row],[SP Term]]),"")</f>
        <v/>
      </c>
      <c r="CF253" s="236">
        <f>SnapshotTable[[#This Row],[LP Strike Price]] * SnapshotTable[[#This Row],[LP Qty]] * 100</f>
        <v>0</v>
      </c>
      <c r="CG253" s="31" t="e">
        <f>IF(ISNUMBER(SnapshotTable[[#This Row],[SP Premium]]), (SnapshotTable[[#This Row],[SP Qty]] * SnapshotTable[[#This Row],[SP Strike Price]]* 100) - SnapshotTable[[#This Row],[LP Protection]], 0)</f>
        <v>#VALUE!</v>
      </c>
      <c r="CH253" s="7" t="str">
        <f>IF(ISNUMBER(SnapshotTable[[#This Row],[SP Break Even]]),-1 * (SnapshotTable[[#This Row],[SP Break Even]] - SnapshotTable[[#This Row],[Last Price]]) / SnapshotTable[[#This Row],[Last Price]], "")</f>
        <v/>
      </c>
      <c r="CI253" s="31">
        <f>IF(AND(ISNUMBER((SnapshotTable[[#This Row],[SP Potential Spend]])), SnapshotTable[[#This Row],[SP Strike Price]] &gt; SnapshotTable[[#This Row],[Last Price]], SnapshotTable[[#This Row],[SP Is Filled]]), SnapshotTable[[#This Row],[SP Potential Spend]] -  SnapshotTable[[#This Row],[LP Max Value]], 0)</f>
        <v>0</v>
      </c>
      <c r="CJ253" s="244"/>
      <c r="CK253" s="31" t="str">
        <f>IF(ISNUMBER(SnapshotTable[[#This Row],[SP Potential Spend]]),IF(ISNUMBER(SnapshotTable[[#This Row],[SP POW]]), SnapshotTable[[#This Row],[SP POW]] * SnapshotTable[[#This Row],[SP Potential Spend]], SnapshotTable[[#This Row],[SP Potential Spend]]), "")</f>
        <v/>
      </c>
      <c r="CL253" s="164" t="e">
        <f>IF(NOT(SnapshotTable[[#This Row],[SP Is Filled]]),(SnapshotTable[[#This Row],[SP Qty]] * SnapshotTable[[#This Row],[SP Strike Price]] * 100) - SnapshotTable[[#This Row],[LP Max Value]],"")</f>
        <v>#VALUE!</v>
      </c>
      <c r="CM253" s="31" t="str">
        <f>IF(SnapshotTable[[#This Row],[SP Actual Spend]]&lt;&gt;0, ((SnapshotTable[[#This Row],[SP Strike Price]]-SnapshotTable[[#This Row],[Last Price]]) *(SnapshotTable[[#This Row],[SP Qty]]*100) - SnapshotTable[[#This Row],[SP Premium]]) * - 1, "")</f>
        <v/>
      </c>
      <c r="CN253" s="78"/>
      <c r="CO253" s="369"/>
      <c r="CP253" s="4" t="str">
        <f>IF(SnapshotTable[[#This Row],[SP Is Filled]], btc_max_buyback_amount(SnapshotTable[[#This Row],[SP Fill Date]],SnapshotTable[[#This Row],[SP Exp Date]], SnapshotTable[[#This Row],[SP Book Price]]),"")</f>
        <v/>
      </c>
      <c r="CQ253" s="78"/>
      <c r="CR25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3" s="155" t="str">
        <f>IF(SnapshotTable[[#This Row],[SP Is Filled]], btc_next_cutoff_date(SnapshotTable[[#This Row],[SP Fill Date]],SnapshotTable[[#This Row],[SP Exp Date]]),"")</f>
        <v/>
      </c>
      <c r="CT253" s="235" t="str" cm="1">
        <f t="array" ref="CT253">IF(SnapshotTable[[#This Row],[SP Is Filled]], btc_should_buy_back(SnapshotTable[[#This Row],[SP Fill Date]], SnapshotTable[[#This Row],[SP Exp Date]], SnapshotTable[[#This Row],[SP Book Price]], SnapshotTable[[#This Row],[SP Current Ask]], MockToday, SnapshotTable[[#This Row],[SP Buyback Override]]),"")</f>
        <v/>
      </c>
      <c r="CU253" s="143">
        <v>45891</v>
      </c>
      <c r="CV253" s="235"/>
      <c r="CW253" s="378" t="str">
        <f>IF(ISNUMBER( SnapshotTable[[#This Row],[SP Term]]), SnapshotTable[[#This Row],[SP Exp Date]] - MockToday,"")</f>
        <v/>
      </c>
      <c r="CX253" s="31" t="str">
        <f>IF(SnapshotTable[[#This Row],[SP Is Filled]],SnapshotTable[[#This Row],[SP Buyback Price to Use]] * 100 * SnapshotTable[[#This Row],[SP Qty]], "")</f>
        <v/>
      </c>
      <c r="CY253" s="4" t="str">
        <f>IF(ISNUMBER(SnapshotTable[[#This Row],[SP Strike Price]]), SnapshotTable[[#This Row],[SP Strike Price]] * (1 - SP_MaxLoss_StrikePct), "")</f>
        <v/>
      </c>
      <c r="CZ253" s="31" t="str">
        <f>IF(ISNUMBER(SnapshotTable[[#This Row],[SP Strike  Stop Per Share]]),SnapshotTable[[#This Row],[SP Premium]] - ((SnapshotTable[[#This Row],[SP Strike Price]]-SnapshotTable[[#This Row],[SP Strike  Stop Per Share]]) *(SnapshotTable[[#This Row],[SP Qty]] * 100)),"")</f>
        <v/>
      </c>
      <c r="DA253" s="4" t="str">
        <f>IF(AND(ISNUMBER(SnapshotTable[[#This Row],[SP Premium]]),SnapshotTable[[#This Row],[SP Premium]]&gt;0), SnapshotTable[[#This Row],[SP Book Price]] * (1 + SP_MaxLoss_OptionPct), "")</f>
        <v/>
      </c>
      <c r="DB253" s="31" t="str">
        <f>IF(ISNUMBER(SnapshotTable[[#This Row],[SP Option  Stop Contract]]),(SnapshotTable[[#This Row],[SP Option  Stop Contract]] *(SnapshotTable[[#This Row],[SP Qty]] * 100) - SnapshotTable[[#This Row],[SP Premium]]),"")</f>
        <v/>
      </c>
      <c r="DC253" s="4"/>
      <c r="DD253" s="4"/>
      <c r="DE253" s="4" t="str">
        <f>IF(AND(SnapshotTable[[#This Row],[SP Qty]]&gt;0, SnapshotTable[[#This Row],[SP Stop To Use]]&gt;0),SnapshotTable[[#This Row],[SP Premium]] - ( SnapshotTable[[#This Row],[SP Qty]] * SnapshotTable[[#This Row],[SP Stop To Use]] * 100), "")</f>
        <v/>
      </c>
      <c r="DF253" s="31" t="str">
        <f>IF(AND(SnapshotTable[[#This Row],[SP Qty]]&gt;0,SnapshotTable[[#This Row],[SP Current Ask]]&gt;0), SnapshotTable[[#This Row],[SP Qty]] * SnapshotTable[[#This Row],[SP Current Ask]] * -100, "")</f>
        <v/>
      </c>
      <c r="DG253" s="31" t="str">
        <f>IF(ISNUMBER((SnapshotTable[[#This Row],[SP Total Value]])), SnapshotTable[[#This Row],[SP Premium]] + SnapshotTable[[#This Row],[SP Total Value]], "")</f>
        <v/>
      </c>
      <c r="DH253" s="294" t="str">
        <f>IF(ISNUMBER((SnapshotTable[[#This Row],[SP Total Value]])), SnapshotTable[[#This Row],[SP Gain Loss]] / SnapshotTable[[#This Row],[SP Premium]], "")</f>
        <v/>
      </c>
      <c r="DI253" s="406"/>
      <c r="DJ253" s="138"/>
      <c r="DK253" s="148"/>
      <c r="DL253" s="13"/>
      <c r="DM253" s="13"/>
      <c r="DO253" s="31">
        <f>IF(SnapshotTable[[#This Row],[LC Symbol Count]]=1, SnapshotTable[[#This Row],[LC Qty]] * SnapshotTable[[#This Row],[LC Book Price]] * 100, 0)</f>
        <v>0</v>
      </c>
      <c r="DP253" s="163" t="str">
        <f>IF(AND(SnapshotTable[[#This Row],[LC Exp Date]]&gt;0, SnapshotTable[[#This Row],[LC Strike Price]]&gt;0,SnapshotTable[[#This Row],[LC Qty]]&gt;0,SnapshotTable[[#This Row],[LC Book Date]]&gt;0,SnapshotTable[[#This Row],[LC Book Price]]&gt;0,SnapshotTable[[#This Row],[LC Fill Date]]=0),"Y","")</f>
        <v/>
      </c>
      <c r="DQ253" s="386" t="str">
        <f>IF(SnapshotTable[[#This Row],[LC Premium]] &gt; 0,SnapshotTable[[#This Row],[LC Exp Date]]-MAX(SnapshotTable[[#This Row],[LC Book Date]], SnapshotTable[[#This Row],[LC Fill Date]]),"")</f>
        <v/>
      </c>
      <c r="DR253" s="386" t="str">
        <f>IF(ISNUMBER(SnapshotTable[[#This Row],[LC Term]]), SnapshotTable[[#This Row],[LC Exp Date]] - MockToday, "")</f>
        <v/>
      </c>
      <c r="DS253" s="234" t="str">
        <f>IF(SnapshotTable[[#This Row],[LC Premium]]&gt;0,SnapshotTable[[#This Row],[LC Strike Price]] + SnapshotTable[[#This Row],[LC Book Price]],"")</f>
        <v/>
      </c>
      <c r="DU253" s="9" t="str">
        <f>IF(AND(SnapshotTable[[#This Row],[LC Symbol Count]]&gt;0, SnapshotTable[[#This Row],[LC Contract Value]]&gt;0), SnapshotTable[[#This Row],[LC Contract Value]] * SnapshotTable[[#This Row],[LC Qty]] * 100, "")</f>
        <v/>
      </c>
      <c r="DV253" s="9" t="str">
        <f>IF(AND(ISNUMBER(SnapshotTable[[#This Row],[LC Total Value]]), SnapshotTable[[#This Row],[LC Not Filled]]&lt;&gt;"Y"), SnapshotTable[[#This Row],[LC Total Value]]-SnapshotTable[[#This Row],[LC Premium]],"")</f>
        <v/>
      </c>
      <c r="DW253" s="240" t="str">
        <f>IF(ISNUMBER(SnapshotTable[[#This Row],[LC Actual Gain Loss]]), SnapshotTable[[#This Row],[LC Actual Gain Loss]] / SnapshotTable[[#This Row],[LC Premium]],"")</f>
        <v/>
      </c>
      <c r="DX253" s="284" t="str">
        <f>IF(ISNUMBER(SnapshotTable[[#This Row],[LC Book Price]]),SnapshotTable[[#This Row],[LC Book Price]] * 1.5,"")</f>
        <v/>
      </c>
      <c r="DY253" s="265" t="str">
        <f>IF(SnapshotTable[[#This Row],[LC Premium]]&gt;0, SnapshotTable[[#This Row],[LC Next Target]] * SnapshotTable[[#This Row],[LC Qty]] * 100,"")</f>
        <v/>
      </c>
      <c r="DZ253" s="265" t="str">
        <f>IF(ISNUMBER(SnapshotTable[[#This Row],[LC Target Gross]]), SnapshotTable[[#This Row],[LC Target Gross]] - SnapshotTable[[#This Row],[LC Premium]], "")</f>
        <v/>
      </c>
      <c r="EA253" s="305" t="str">
        <f>IF(ISNUMBER(SnapshotTable[[#This Row],[LC Target Gain Loss]]), SnapshotTable[[#This Row],[LC Target Gain Loss]]/SnapshotTable[[#This Row],[LC Premium]], "")</f>
        <v/>
      </c>
      <c r="EB253" s="262"/>
      <c r="EC253" s="283" t="str">
        <f>IF(SnapshotTable[[#This Row],[LC Premium]]&gt;0, SnapshotTable[[#This Row],[LC Book Price]] * (1 - LC_StopLoss_Pct),"")</f>
        <v/>
      </c>
      <c r="ED253" s="284"/>
      <c r="EE253" s="283" t="str">
        <f>IF(ISNUMBER(SnapshotTable[[#This Row],[LC Contract Value]]),IF(ISNUMBER(SnapshotTable[[#This Row],[LC Stop Loss Override]]), SnapshotTable[[#This Row],[LC Stop Loss Override]],SnapshotTable[[#This Row],[LC Stop Loss Calc Target]]),"")</f>
        <v/>
      </c>
      <c r="EF253" s="31" t="str">
        <f>IF(ISNUMBER(SnapshotTable[[#This Row],[LC Stop  To Use]]), (SnapshotTable[[#This Row],[LC Stop  To Use]] * SnapshotTable[[#This Row],[LC Qty]] * 100),"")</f>
        <v/>
      </c>
      <c r="EG253" s="9" t="str">
        <f>IF(ISNUMBER(SnapshotTable[[#This Row],[LC Total Value]]),SnapshotTable[[#This Row],[LC Stop Loss Amount]] - SnapshotTable[[#This Row],[LC Premium]],"")</f>
        <v/>
      </c>
      <c r="EH253" s="9">
        <f>IF(ISNUMBER(SnapshotTable[[#This Row],[LC Premium]]), SnapshotTable[[#This Row],[LC Qty]] * 100 * SnapshotTable[[#This Row],[LC Strike Price]], "")</f>
        <v>0</v>
      </c>
      <c r="EI253" s="240" t="str">
        <f>IF(AND(ISNUMBER(SnapshotTable[[#This Row],[LC Total Value]]),SnapshotTable[[#This Row],[LC Total Value]]&gt;0),SnapshotTable[[#This Row],[LC Stop Gain Loss]]  / SnapshotTable[[#This Row],[LC Premium]],"")</f>
        <v/>
      </c>
      <c r="EJ253" s="35">
        <f>IF(ISNUMBER(SnapshotTable[[#This Row],[Equity Shares]]),TRUNC(SnapshotTable[[#This Row],[Equity Shares]] / 100),0) + SnapshotTable[[#This Row],[LC Qty]]</f>
        <v>0</v>
      </c>
      <c r="EK253" s="147"/>
      <c r="EL253" s="138" t="str">
        <f>IF(SnapshotTable[[#This Row],[SC Exp Date]]&lt;&gt;"",TRUNC(SnapshotTable[[#This Row],[Last Price]]),"")</f>
        <v/>
      </c>
      <c r="EM253" s="148"/>
      <c r="EN253" s="147"/>
      <c r="EO253" s="147"/>
      <c r="EP253" s="138"/>
      <c r="EQ253" s="419" t="b">
        <f>AND(ISNUMBER(SnapshotTable[[#This Row],[SC Exp Date]]), ISNUMBER(SnapshotTable[[#This Row],[SC Strike Price]]), ISNUMBER(SnapshotTable[[#This Row],[SC Qty]]), ISNUMBER(SnapshotTable[[#This Row],[SC Book Date]]), ISNUMBER(SnapshotTable[[#This Row],[SC Book Price]]))</f>
        <v>0</v>
      </c>
      <c r="ER253" s="419" t="b">
        <f>AND(SnapshotTable[[#This Row],[SC Is Booked]], NOT(ISBLANK(SnapshotTable[[#This Row],[SC Fill Date]])))</f>
        <v>0</v>
      </c>
      <c r="ES253" s="370"/>
      <c r="ET253" s="34" t="str">
        <f>IF(AND(ISNUMBER(SnapshotTable[[#This Row],[SC Exp Date]]), ISNUMBER(SnapshotTable[[#This Row],[SC Book Date]])), SnapshotTable[[#This Row],[SC Exp Date]] - MAX(SnapshotTable[[#This Row],[SC Book Date]], SnapshotTable[[#This Row],[SC Fill Date]]) + 1, "")</f>
        <v/>
      </c>
      <c r="EU253" s="34" t="str">
        <f>IF(ISNUMBER(SnapshotTable[[#This Row],[SC Term]]), SnapshotTable[[#This Row],[SC Exp Date]]- MockToday, "")</f>
        <v/>
      </c>
      <c r="EV253" s="31">
        <f>IF(SnapshotTable[[#This Row],[SC Is Booked]], SnapshotTable[[#This Row],[SC Qty]] * SnapshotTable[[#This Row],[SC Book Price]] * 100, 0)</f>
        <v>0</v>
      </c>
      <c r="EW253" s="4" t="str">
        <f>IF(AND(ISNUMBER(SnapshotTable[[#This Row],[Last Price]]), ISNUMBER( SnapshotTable[[#This Row],[SC Book Price]])), SnapshotTable[[#This Row],[Last Price]] - SnapshotTable[[#This Row],[SC Book Price]],"")</f>
        <v/>
      </c>
      <c r="EX253" s="234" t="str">
        <f>IF(SnapshotTable[[#This Row],[SC Is Booked]],IF(SnapshotTable[[#This Row],[SC Intrinsic Value]] &gt; 0, SnapshotTable[[#This Row],[SC Strike Price]], SnapshotTable[[#This Row],[Last Price]]), "")</f>
        <v/>
      </c>
      <c r="EY253" s="4">
        <f>IF(SnapshotTable[[#This Row],[SC Is Booked]], (MinimumPremiumRequired * SnapshotTable[[#This Row],[SC Basis]] * SnapshotTable[[#This Row],[SC Term]]), 0)</f>
        <v>0</v>
      </c>
      <c r="EZ253" s="283"/>
      <c r="FA253" s="218"/>
      <c r="FB253" s="370"/>
      <c r="FC253" s="4">
        <f>IF(SnapshotTable[[#This Row],[SC Is Filled]], btc_max_buyback_amount(SnapshotTable[[#This Row],[SC Fill Date]],SnapshotTable[[#This Row],[SC Exp Date]], SnapshotTable[[#This Row],[SC Book Price]]),0)</f>
        <v>0</v>
      </c>
      <c r="FD253" s="5"/>
      <c r="FE253" s="144" t="str">
        <f>IF(SnapshotTable[[#This Row],[SC Is Filled]], btc_next_cutoff_date(SnapshotTable[[#This Row],[SC Fill Date]],SnapshotTable[[#This Row],[SC Exp Date]]),"")</f>
        <v/>
      </c>
      <c r="FF253" s="4" t="str" cm="1">
        <f t="array" ref="FF253">IF(SnapshotTable[[#This Row],[SC Is Filled]], btc_should_buy_back(SnapshotTable[[#This Row],[SC Fill Date]], SnapshotTable[[#This Row],[SC Exp Date]], SnapshotTable[[#This Row],[SC Book Price]], SnapshotTable[[#This Row],[SC Current Ask]], MockToday, SnapshotTable[[#This Row],[SC Buyback Override]]),"")</f>
        <v/>
      </c>
      <c r="FG253" s="4">
        <f>IF(SnapshotTable[[#This Row],[SC Is Filled]], MAX(0,SnapshotTable[[#This Row],[Last Price]]  - SnapshotTable[[#This Row],[SC Strike Price]]), 0)</f>
        <v>0</v>
      </c>
      <c r="FH253" s="382">
        <f>IF(SnapshotTable[[#This Row],[SC Is Filled]], IF(ISNUMBER(SnapshotTable[[#This Row],[SC Current Ask]]), SnapshotTable[[#This Row],[SC Current Ask]], SnapshotTable[[#This Row],[SC Book Price]]) - SnapshotTable[[#This Row],[SC Intrinsic Value]], 0)</f>
        <v>0</v>
      </c>
      <c r="FI253" s="143"/>
      <c r="FJ253" s="32" t="str">
        <f>IF(SnapshotTable[[#This Row],[SC Is Filled]],100 * SnapshotTable[[#This Row],[SC Qty]] * IF(ISNUMBER(SnapshotTable[[#This Row],[SC Buyback Override]]), SnapshotTable[[#This Row],[SC Buyback Override]], SnapshotTable[[#This Row],[SC Current Ask]]), "")</f>
        <v/>
      </c>
      <c r="FK253" s="250" t="str">
        <f>IF(SnapshotTable[[#This Row],[SC Time Val]]&gt;0, SnapshotTable[[#This Row],[SC Time Val]] / SnapshotTable[[#This Row],[Last Price]],"")</f>
        <v/>
      </c>
      <c r="FL253" s="302" t="str">
        <f>IF(SnapshotTable[[#This Row],[SC Is Booked]], ((SnapshotTable[[#This Row],[Last Price]] -SnapshotTable[[#This Row],[SC Strike Price]]) / SnapshotTable[[#This Row],[Last Price]]) * -1, "")</f>
        <v/>
      </c>
      <c r="FM253" s="157" t="str">
        <f>IF(SnapshotTable[[#This Row],[SC Is Booked]],  (SnapshotTable[[#This Row],[SC Qty]] * 100 * SnapshotTable[[#This Row],[SC Strike Price]]) - SnapshotTable[[#This Row],[SC Current Ask]], "")</f>
        <v/>
      </c>
      <c r="FN25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3" s="31" t="str">
        <f>IF(AND(ISNUMBER(SnapshotTable[[#This Row],[SC Exercise Gross]]), ISNUMBER(SnapshotTable[[#This Row],[Equity Basis Per Share]] )), SnapshotTable[[#This Row],[SC Exercise Gross]] - SnapshotTable[[#This Row],[Equity Basis Total]] +  SnapshotTable[[#This Row],[SC Premium]], "")</f>
        <v/>
      </c>
      <c r="FP253" s="5" t="str">
        <f>IF(ISNUMBER(SnapshotTable[[#This Row],[SC Exercise Gross]]), (SnapshotTable[[#This Row],[SC Exercise Gross]]) / (SnapshotTable[[#This Row],[SC Qty]] * 100), "")</f>
        <v/>
      </c>
      <c r="FQ253" s="27" t="str">
        <f>IF(SnapshotTable[[#This Row],[SC Is Booked]],SnapshotTable[[#This Row],[SC Time Val]] /SnapshotTable[[#This Row],[SC Basis]], "")</f>
        <v/>
      </c>
      <c r="FR253" s="27" t="str" cm="1">
        <f t="array" ref="FR253">IF(AND(ISNUMBER(SnapshotTable[[#This Row],[SC Term]]),ISNUMBER(SnapshotTable[[#This Row],[SC Simple ROO]])), EllmanAnnualize(SnapshotTable[[#This Row],[SC DTE]], SnapshotTable[[#This Row],[SC Simple ROO]] ),"")</f>
        <v/>
      </c>
      <c r="FS253" s="4" t="e">
        <f>IF(SnapshotTable[[#This Row],[SC Strike Price]] &gt; SnapshotTable[[#This Row],[Last Price]], SnapshotTable[[#This Row],[SC Strike Price]] - SnapshotTable[[#This Row],[Last Price]],0)</f>
        <v>#VALUE!</v>
      </c>
      <c r="FT253" s="27" t="e">
        <f>IF(AND(ISNUMBER(SnapshotTable[[#This Row],[SC Upside Potential]]), SnapshotTable[[#This Row],[SC Upside Potential]] &gt; 0),(SnapshotTable[[#This Row],[SC Upside Potential]]/ SnapshotTable[[#This Row],[ACB]]),"")</f>
        <v>#VALUE!</v>
      </c>
      <c r="FU253" s="333" t="str">
        <f>IF(SnapshotTable[[#This Row],[SC Intrinsic Value]] &gt; 0,SnapshotTable[[#This Row],[SC Intrinsic Value]],"")</f>
        <v/>
      </c>
      <c r="FV253" s="27" t="str">
        <f>IF(AND( ISNUMBER( SnapshotTable[[#This Row],[ACB]]),ISNUMBER(SnapshotTable[[#This Row],[SC Downside Protect]])),SnapshotTable[[#This Row],[SC Downside Protect]] / SnapshotTable[[#This Row],[ACB]],"")</f>
        <v/>
      </c>
      <c r="FW253" s="236" t="str">
        <f>IF(AND(ISNUMBER(SnapshotTable[[#This Row],[SC Simple ROO]]),SnapshotTable[[#This Row],[SC Simple ROO]] &gt; 0), SnapshotTable[[#This Row],[SC Premium]] + (SnapshotTable[[#This Row],[SC Qty]] * SnapshotTable[[#This Row],[SC Upside Potential]]), "")</f>
        <v/>
      </c>
      <c r="FX253" s="302" t="str" cm="1">
        <f t="array" ref="FX253">IF(ISNUMBER(SnapshotTable[[#This Row],[SC Max Dollars]]), annualize(SnapshotTable[[#This Row],[SC Term]],(SnapshotTable[[#This Row],[SC Max Dollars]]/SnapshotTable[[#This Row],[SC Basis]])),"")</f>
        <v/>
      </c>
      <c r="FY253" s="236" t="str">
        <f>IF(AND(SnapshotTable[[#This Row],[SC Qty]]&gt;0,SnapshotTable[[#This Row],[SC Current Ask]]&gt;0), SnapshotTable[[#This Row],[SC Qty]] * SnapshotTable[[#This Row],[SC Current Ask]] * -100, "")</f>
        <v/>
      </c>
      <c r="FZ253" s="31" t="str">
        <f>IF(ISNUMBER((SnapshotTable[[#This Row],[SC Current Value]])), SnapshotTable[[#This Row],[SC Premium]] + SnapshotTable[[#This Row],[SC Current Value]], "")</f>
        <v/>
      </c>
      <c r="GA253" s="294" t="str">
        <f>IFERROR( IF(ISNUMBER((SnapshotTable[[#This Row],[SC Current Value]])), SnapshotTable[[#This Row],[SC Gain Loss]] / SnapshotTable[[#This Row],[SC Premium]], ""), "")</f>
        <v/>
      </c>
      <c r="GB253" s="42">
        <f>SnapshotTable[[#This Row],[Equity Shares]] * SaleSharesToConsiderPercentage</f>
        <v>0</v>
      </c>
      <c r="GC253" s="40">
        <f>SnapshotTable[[#This Row],[Long Term Target]] * SellingPriceToConsiderBasedOnTargetPercentage</f>
        <v>356.44</v>
      </c>
      <c r="GD253" s="40">
        <f>SnapshotTable[[#This Row],[Last Price]] * (1+ SellingPriceToConsiderBasedOnTargetPercentage)</f>
        <v>59.591999999999999</v>
      </c>
      <c r="GE253" s="41"/>
      <c r="GF253" s="40"/>
      <c r="GG253" s="31">
        <f>SnapshotTable[[#This Row],[Booked Sale Shares]] * SnapshotTable[[#This Row],[Booked Sale Price]]</f>
        <v>0</v>
      </c>
      <c r="GH253" s="31" t="str">
        <f>IF(SnapshotTable[[#This Row],[Equity Basis Total]] &gt; 0, SnapshotTable[[#This Row],[Equity Basis Per Share]] * SnapshotTable[[#This Row],[Booked Sale Shares]], "")</f>
        <v/>
      </c>
      <c r="GI253" s="31">
        <f>IF(SnapshotTable[[#This Row],[Sale Proceeds]]&gt;0, SnapshotTable[[#This Row],[Sale Proceeds]] - SnapshotTable[[#This Row],[Sale Basis]], 0)</f>
        <v>0</v>
      </c>
      <c r="GJ253" s="27" t="str">
        <f>IF(SnapshotTable[[#This Row],[Sale G/L]]&gt;0, SnapshotTable[[#This Row],[Sale G/L]] / SnapshotTable[[#This Row],[Sale Basis]], IF(ISNUMBER(SnapshotTable[[#This Row],[SC Exercise P&amp;L (TAX)]]), SnapshotTable[[#This Row],[SC Exercise P&amp;L (TAX)]] / SnapshotTable[[#This Row],[SC Basis]], ""))</f>
        <v/>
      </c>
      <c r="GK253" s="27"/>
      <c r="GL253" s="43" t="str">
        <f>IF(AND(SnapshotTable[[#This Row],[LP Exp Date]]&gt;0,SnapshotTable[[#This Row],[LP Strike Price]]&gt;0), [1]!ToOptionSymbol(SnapshotTable[[#This Row],[Symbol]], SnapshotTable[[#This Row],[LP Strike Price]],SnapshotTable[[#This Row],[LP Exp Date]],1), "")</f>
        <v/>
      </c>
      <c r="GM253" s="30" t="str">
        <f>IF(LEN(SnapshotTable[[#This Row],[LP Symbol]])&gt;0, 1, "")</f>
        <v/>
      </c>
      <c r="GN253" s="43" t="str">
        <f>IF(AND(SnapshotTable[[#This Row],[SP Exp Date]]&gt;0,SnapshotTable[[#This Row],[SP Strike Price]]&gt;0), [1]!ToOptionSymbol(SnapshotTable[[#This Row],[Symbol]], SnapshotTable[[#This Row],[SP Strike Price]],SnapshotTable[[#This Row],[SP Exp Date]],1), "")</f>
        <v/>
      </c>
      <c r="GO253" s="30" t="str">
        <f>IF(LEN(SnapshotTable[[#This Row],[SP Symbol]])&gt;0, 1, "")</f>
        <v/>
      </c>
      <c r="GP253" s="43" t="str">
        <f>IF(AND(SnapshotTable[[#This Row],[LC Exp Date]]&gt;0,SnapshotTable[[#This Row],[LC Strike Price]]&gt;0), [1]!ToOptionSymbol(SnapshotTable[[#This Row],[Symbol]], SnapshotTable[[#This Row],[LC Strike Price]],SnapshotTable[[#This Row],[LC Exp Date]],0), "")</f>
        <v/>
      </c>
      <c r="GQ253" s="30" t="str">
        <f>IF(LEN(SnapshotTable[[#This Row],[LC Symbol]])&gt;0, 1, "")</f>
        <v/>
      </c>
      <c r="GR253" s="43" t="str">
        <f>IF(AND(SnapshotTable[[#This Row],[SC Exp Date]]&gt;0,SnapshotTable[[#This Row],[SC Strike Price]]&gt;0), [1]!ToOptionSymbol(SnapshotTable[[#This Row],[Symbol]], SnapshotTable[[#This Row],[SC Strike Price]],SnapshotTable[[#This Row],[SC Exp Date]],0), "")</f>
        <v/>
      </c>
      <c r="GS253" s="30" t="str">
        <f>IF(LEN(SnapshotTable[[#This Row],[SC Symbol]])&gt;0, 1, "")</f>
        <v/>
      </c>
      <c r="GT253" s="29" t="str">
        <f>IF(COUNT(SnapshotTable[[#This Row],[LP Symbol Count]],SnapshotTable[[#This Row],[SP Symbol Count]],SnapshotTable[[#This Row],[LC Symbol Count]],SnapshotTable[[#This Row],[SC Symbol Count]])&gt;0, "Y", "")</f>
        <v/>
      </c>
      <c r="GU25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3" s="231" t="e">
        <f>MAX(SnapshotTable[[#This Row],[Equity Basis Total]],SnapshotTable[[#This Row],[Equity Value]]) + (SnapshotTable[[#This Row],[SP Potential Spend]]- SnapshotTable[[#This Row],[SP Premium]] + SnapshotTable[[#This Row],[LP Premium]])+ (SnapshotTable[[#This Row],[LC Premium]] - SnapshotTable[[#This Row],[SC Premium]])</f>
        <v>#VALUE!</v>
      </c>
      <c r="GW253" s="139" t="e">
        <f>IF(AND(SnapshotTable[[#This Row],[Exposure]] &lt;&gt; 0),SnapshotTable[[#This Row],[Exposure]] / SnapshotTable[[#Totals],[Exposure]], "")</f>
        <v>#VALUE!</v>
      </c>
      <c r="GX253" s="13"/>
      <c r="HK253" s="1"/>
      <c r="HL253" s="1"/>
      <c r="HM253" s="1"/>
      <c r="HN253" s="1"/>
      <c r="HO253" s="1"/>
      <c r="HP253" s="1"/>
    </row>
    <row r="254" spans="2:224" ht="12.75" hidden="1" customHeight="1" x14ac:dyDescent="0.25">
      <c r="B254" s="12" t="s">
        <v>1071</v>
      </c>
      <c r="C254" s="422">
        <v>586.91</v>
      </c>
      <c r="D254" s="208" t="s">
        <v>578</v>
      </c>
      <c r="E254" s="39">
        <f>SnapshotTable[[#This Row],[Last Price]]*(1 -CrashDiscount)</f>
        <v>498.87349999999998</v>
      </c>
      <c r="F254" s="26" t="s">
        <v>5</v>
      </c>
      <c r="G254" s="325" t="s">
        <v>4</v>
      </c>
      <c r="H254" s="149"/>
      <c r="I254" s="194">
        <v>45041.288194444445</v>
      </c>
      <c r="J254" s="352">
        <v>45041.288194444445</v>
      </c>
      <c r="K254" s="353"/>
      <c r="L254" s="327"/>
      <c r="M254" s="140"/>
      <c r="N254" s="140"/>
      <c r="O254" s="140"/>
      <c r="P254" s="328"/>
      <c r="Q254" s="354"/>
      <c r="R254" s="4" t="str">
        <f>IF(SnapshotTable[[#This Row],[Equity Basis Total]] &gt; 0, SnapshotTable[[#This Row],[Equity Basis Total]] / SnapshotTable[[#This Row],[Equity Shares]], "")</f>
        <v/>
      </c>
      <c r="S254" s="329">
        <f>SnapshotTable[[#This Row],[Last Price]] * SnapshotTable[[#This Row],[Equity Shares]]</f>
        <v>0</v>
      </c>
      <c r="T254" s="269">
        <f>SnapshotTable[[#This Row],[Equity Value]] - SnapshotTable[[#This Row],[Equity Basis Total]]</f>
        <v>0</v>
      </c>
      <c r="U254" s="270" t="str">
        <f>IF(SnapshotTable[[#This Row],[Equity Basis Total]] &gt; 0, SnapshotTable[[#This Row],[Equity G/L]] / SnapshotTable[[#This Row],[Equity Basis Total]], "")</f>
        <v/>
      </c>
      <c r="V254" s="268"/>
      <c r="W254" s="268"/>
      <c r="X254" s="4" t="str">
        <f>IF(AND(ISNUMBER(SnapshotTable[[#This Row],[Equity Basis Per Share]]),ISNUMBER(SnapshotTable[[#This Row],[Equity Target]])),SnapshotTable[[#This Row],[Equity Target]]-SnapshotTable[[#This Row],[Equity Basis Per Share]],"")</f>
        <v/>
      </c>
      <c r="Y254" s="4" t="str">
        <f>IF(AND(ISNUMBER(SnapshotTable[[#This Row],[Equity Basis Per Share]]),ISNUMBER(SnapshotTable[[#This Row],[Equity Stop Loss]])),SnapshotTable[[#This Row],[Equity Stop Loss]]-SnapshotTable[[#This Row],[Equity Basis Per Share]],"")</f>
        <v/>
      </c>
      <c r="Z254" s="275" t="str">
        <f>IFERROR( TEXT(SnapshotTable[[#This Row],[Equity Max Gain Per Share]] /ABS( SnapshotTable[[#This Row],[Equity Max Loss Per Share]]),"0.0 " ) &amp; " : 1", "")</f>
        <v/>
      </c>
      <c r="AA254" s="31" t="str">
        <f>IF(ISNUMBER(SnapshotTable[[#This Row],[Equity Max Gain Per Share]]),SnapshotTable[[#This Row],[Equity Max Gain Per Share]] * SnapshotTable[[#This Row],[Equity Shares]],"")</f>
        <v/>
      </c>
      <c r="AB254" s="31" t="str">
        <f>IF(ISNUMBER(SnapshotTable[[#This Row],[Equity Max Loss Per Share]]),SnapshotTable[[#This Row],[Equity Max Loss Per Share]] * SnapshotTable[[#This Row],[Equity Shares]],"")</f>
        <v/>
      </c>
      <c r="AC254" s="150"/>
      <c r="AD254" s="350"/>
      <c r="AE254" s="31">
        <f>(SnapshotTable[[#This Row],[Annual Dividend Per Share]] / 4) * SnapshotTable[[#This Row],[Equity Shares]]</f>
        <v>0</v>
      </c>
      <c r="AF254" s="31">
        <f>SnapshotTable[[#This Row],[Quarterly Div $]] * 4</f>
        <v>0</v>
      </c>
      <c r="AG254" s="7">
        <f>IF(SnapshotTable[[#This Row],[Annual Dividend Per Share]]&gt;0, SnapshotTable[[#This Row],[Annual Dividend Per Share]]  / SnapshotTable[[#This Row],[Last Price]], 0)</f>
        <v>0</v>
      </c>
      <c r="AH254" s="151"/>
      <c r="AI254" s="330"/>
      <c r="AJ254" s="138"/>
      <c r="AK254" s="152" t="str">
        <f>IF(ISNUMBER( SnapshotTable[[#This Row],[EBF Target]]),(SnapshotTable[[#This Row],[EBF Target]] - SnapshotTable[[#This Row],[Last Price]]) / SnapshotTable[[#This Row],[Last Price]], "")</f>
        <v/>
      </c>
      <c r="AL254" s="152" t="str">
        <f>IF(AND(SnapshotTable[[#This Row],[Equity Basis Total]] &gt; 0,ISNUMBER( SnapshotTable[[#This Row],[Long Term Target]])), SnapshotTable[[#This Row],[From Basis $]] / SnapshotTable[[#This Row],[Equity Basis Total]], "")</f>
        <v/>
      </c>
      <c r="AM254" s="9">
        <f>IF( AND(SnapshotTable[[#This Row],[Equity Shares]] &gt;0,ISNUMBER( SnapshotTable[[#This Row],[Long Term Target]])),(SnapshotTable[[#This Row],[Equity Shares]] * SnapshotTable[[#This Row],[Long Term Target]]) - SnapshotTable[[#This Row],[Equity Basis Total]],0)</f>
        <v>0</v>
      </c>
      <c r="AN254" s="9">
        <f>IF( AND(SnapshotTable[[#This Row],[Equity Shares]] &gt;0,ISNUMBER( SnapshotTable[[#This Row],[Long Term Target]])),(SnapshotTable[[#This Row],[Equity Shares]]*SnapshotTable[[#This Row],[Long Term Target]]) - SnapshotTable[[#This Row],[Equity Value]],0)</f>
        <v>0</v>
      </c>
      <c r="AO254" s="152" t="str">
        <f>IF(AND(ISNUMBER( SnapshotTable[[#This Row],[Long Term Target]]), ISNUMBER(SnapshotTable[[#This Row],[Last Price]])),(SnapshotTable[[#This Row],[Long Term Target]] - SnapshotTable[[#This Row],[Last Price]]) / SnapshotTable[[#This Row],[Last Price]], "")</f>
        <v/>
      </c>
      <c r="AP254" s="5">
        <v>232</v>
      </c>
      <c r="AQ254" s="38" t="s">
        <v>1069</v>
      </c>
      <c r="AR254" s="5">
        <v>212.91</v>
      </c>
      <c r="AS254" s="38" t="s">
        <v>89</v>
      </c>
      <c r="AT254" s="146" t="s">
        <v>543</v>
      </c>
      <c r="AU254" s="187" t="str">
        <f>IF(OR(SnapshotTable[[#This Row],[LP No Fill]]="Y",SnapshotTable[[#This Row],[SP Is Filled]],SnapshotTable[[#This Row],[LC Not Filled]]="Y",SnapshotTable[[#This Row],[SC Is Filled]]),"Y","")</f>
        <v/>
      </c>
      <c r="AV254" s="338"/>
      <c r="AW254" s="339"/>
      <c r="AX254" s="220"/>
      <c r="AY254" s="219" t="str">
        <f>IF(SnapshotTable[[#This Row],[Implied Move]]&gt;0, SnapshotTable[[#This Row],[Last Price]]-SnapshotTable[[#This Row],[Implied Move]],"")</f>
        <v/>
      </c>
      <c r="AZ254" s="219" t="str">
        <f>IF(SnapshotTable[[#This Row],[Implied Move]]&gt;0, SnapshotTable[[#This Row],[Last Price]] + SnapshotTable[[#This Row],[Implied Move]],"")</f>
        <v/>
      </c>
      <c r="BA254" s="331">
        <v>2.67</v>
      </c>
      <c r="BB254" s="347" t="s">
        <v>1074</v>
      </c>
      <c r="BC25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4" s="351"/>
      <c r="BE254" s="138"/>
      <c r="BF254" s="166"/>
      <c r="BG254" s="167"/>
      <c r="BH254" s="167"/>
      <c r="BI254" s="221"/>
      <c r="BJ254" s="153">
        <f>IF(SnapshotTable[[#This Row],[LP Qty]] &gt; 0, SnapshotTable[[#This Row],[LP Qty]] * SnapshotTable[[#This Row],[LP Book Price]] * 100,0)</f>
        <v>0</v>
      </c>
      <c r="BK254" s="136">
        <f>IF(SnapshotTable[[#This Row],[LP Premium]] &gt; 0, SnapshotTable[[#This Row],[LP Qty]] * SnapshotTable[[#This Row],[LP Strike Price]] * 100,0)</f>
        <v>0</v>
      </c>
      <c r="BL254" s="154"/>
      <c r="BM254" s="385" t="str">
        <f>IF(SnapshotTable[[#This Row],[LP Premium]] &gt; 0,SnapshotTable[[#This Row],[LP Exp Date]]-MAX(SnapshotTable[[#This Row],[LP Book Date]], SnapshotTable[[#This Row],[LP Fill Date]]),"")</f>
        <v/>
      </c>
      <c r="BN254" s="385" t="str">
        <f>IF(ISNUMBER( SnapshotTable[[#This Row],[LP Term]]), SnapshotTable[[#This Row],[LP Exp Date]] - MockToday,"")</f>
        <v/>
      </c>
      <c r="BO254" s="163" t="str">
        <f>IF(AND(SnapshotTable[[#This Row],[LP Exp Date]]&gt;0, SnapshotTable[[#This Row],[LP Strike Price]]&gt;0,SnapshotTable[[#This Row],[LP Qty]]&gt;0,SnapshotTable[[#This Row],[LP Book Date]]&gt;0,SnapshotTable[[#This Row],[LP Book Price]]&gt;0,SnapshotTable[[#This Row],[LP Fill Date]]=0),"Y","")</f>
        <v/>
      </c>
      <c r="BP254" s="31" t="str">
        <f>IF(AND(SnapshotTable[[#This Row],[LP No Fill]]&lt;&gt;"Y",SnapshotTable[[#This Row],[LP Contract Value]]&gt;0, SnapshotTable[[#This Row],[LP Qty]]&gt;0), SnapshotTable[[#This Row],[LP Contract Value]]*SnapshotTable[[#This Row],[LP Qty]]*100,"")</f>
        <v/>
      </c>
      <c r="BQ254" s="13"/>
      <c r="BR254" s="5" t="str">
        <f>IF(SnapshotTable[[#This Row],[SP Exp Date]]&lt;&gt;"",TRUNC(SnapshotTable[[#This Row],[Last Price]]),"")</f>
        <v/>
      </c>
      <c r="BS254" s="36"/>
      <c r="BT254" s="147"/>
      <c r="BU254" s="13"/>
      <c r="BV254" s="5"/>
      <c r="BW254" s="419" t="b">
        <f>AND(ISNUMBER(SnapshotTable[[#This Row],[SP Exp Date]]), ISNUMBER(SnapshotTable[[#This Row],[SP Strike Price]]), ISNUMBER(SnapshotTable[[#This Row],[SP Qty]]), ISNUMBER(SnapshotTable[[#This Row],[SP Book Date]]), ISNUMBER(SnapshotTable[[#This Row],[SP Book Price]]))</f>
        <v>0</v>
      </c>
      <c r="BX254" s="419" t="b">
        <f>AND(SnapshotTable[[#This Row],[SP Is Booked]], NOT(ISBLANK(SnapshotTable[[#This Row],[SP Fill Date]])))</f>
        <v>0</v>
      </c>
      <c r="BY254" s="33">
        <f>IF(SnapshotTable[[#This Row],[SP Is Booked]], SnapshotTable[[#This Row],[SP Qty]] * SnapshotTable[[#This Row],[SP Book Price]] * 100, 0)</f>
        <v>0</v>
      </c>
      <c r="BZ254" s="369"/>
      <c r="CA254" s="368">
        <f>SnapshotTable[[#This Row],[LP Qty]]</f>
        <v>0</v>
      </c>
      <c r="CB254" s="4" t="str">
        <f>IF(SnapshotTable[[#This Row],[SP Is Booked]], SnapshotTable[[#This Row],[SP Strike Price]] - SnapshotTable[[#This Row],[SP Book Price]], "")</f>
        <v/>
      </c>
      <c r="CC254" s="19" t="str">
        <f>IF(SnapshotTable[[#This Row],[SP Is Booked]],SnapshotTable[[#This Row],[SP Exp Date]]-MAX(SnapshotTable[[#This Row],[SP Book Date]], SnapshotTable[[#This Row],[SP Fill Date]]),"")</f>
        <v/>
      </c>
      <c r="CD254" s="7" t="str">
        <f>IF(SnapshotTable[[#This Row],[SP Is Booked]], SnapshotTable[[#This Row],[SP Book Price]]/SnapshotTable[[#This Row],[SP Strike Price]], "")</f>
        <v/>
      </c>
      <c r="CE254" s="7" t="str">
        <f>IF(ISNUMBER(SnapshotTable[[#This Row],[SP ROO Term]]),SnapshotTable[[#This Row],[SP ROO Term]]*(365/SnapshotTable[[#This Row],[SP Term]]),"")</f>
        <v/>
      </c>
      <c r="CF254" s="236">
        <f>SnapshotTable[[#This Row],[LP Strike Price]] * SnapshotTable[[#This Row],[LP Qty]] * 100</f>
        <v>0</v>
      </c>
      <c r="CG254" s="31" t="e">
        <f>IF(ISNUMBER(SnapshotTable[[#This Row],[SP Premium]]), (SnapshotTable[[#This Row],[SP Qty]] * SnapshotTable[[#This Row],[SP Strike Price]]* 100) - SnapshotTable[[#This Row],[LP Protection]], 0)</f>
        <v>#VALUE!</v>
      </c>
      <c r="CH254" s="7" t="str">
        <f>IF(ISNUMBER(SnapshotTable[[#This Row],[SP Break Even]]),-1 * (SnapshotTable[[#This Row],[SP Break Even]] - SnapshotTable[[#This Row],[Last Price]]) / SnapshotTable[[#This Row],[Last Price]], "")</f>
        <v/>
      </c>
      <c r="CI254" s="31">
        <f>IF(AND(ISNUMBER((SnapshotTable[[#This Row],[SP Potential Spend]])), SnapshotTable[[#This Row],[SP Strike Price]] &gt; SnapshotTable[[#This Row],[Last Price]], SnapshotTable[[#This Row],[SP Is Filled]]), SnapshotTable[[#This Row],[SP Potential Spend]] -  SnapshotTable[[#This Row],[LP Max Value]], 0)</f>
        <v>0</v>
      </c>
      <c r="CJ254" s="244"/>
      <c r="CK254" s="31" t="str">
        <f>IF(ISNUMBER(SnapshotTable[[#This Row],[SP Potential Spend]]),IF(ISNUMBER(SnapshotTable[[#This Row],[SP POW]]), SnapshotTable[[#This Row],[SP POW]] * SnapshotTable[[#This Row],[SP Potential Spend]], SnapshotTable[[#This Row],[SP Potential Spend]]), "")</f>
        <v/>
      </c>
      <c r="CL254" s="164" t="e">
        <f>IF(NOT(SnapshotTable[[#This Row],[SP Is Filled]]),(SnapshotTable[[#This Row],[SP Qty]] * SnapshotTable[[#This Row],[SP Strike Price]] * 100) - SnapshotTable[[#This Row],[LP Max Value]],"")</f>
        <v>#VALUE!</v>
      </c>
      <c r="CM254" s="31" t="str">
        <f>IF(SnapshotTable[[#This Row],[SP Actual Spend]]&lt;&gt;0, ((SnapshotTable[[#This Row],[SP Strike Price]]-SnapshotTable[[#This Row],[Last Price]]) *(SnapshotTable[[#This Row],[SP Qty]]*100) - SnapshotTable[[#This Row],[SP Premium]]) * - 1, "")</f>
        <v/>
      </c>
      <c r="CN254" s="154"/>
      <c r="CO254" s="369"/>
      <c r="CP254" s="320" t="str">
        <f>IF(SnapshotTable[[#This Row],[SP Is Filled]], btc_max_buyback_amount(SnapshotTable[[#This Row],[SP Fill Date]],SnapshotTable[[#This Row],[SP Exp Date]], SnapshotTable[[#This Row],[SP Book Price]]),"")</f>
        <v/>
      </c>
      <c r="CQ254" s="78"/>
      <c r="CR254" s="76"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4" s="155" t="str">
        <f>IF(SnapshotTable[[#This Row],[SP Is Filled]], btc_next_cutoff_date(SnapshotTable[[#This Row],[SP Fill Date]],SnapshotTable[[#This Row],[SP Exp Date]]),"")</f>
        <v/>
      </c>
      <c r="CT254" s="235" t="str" cm="1">
        <f t="array" ref="CT254">IF(SnapshotTable[[#This Row],[SP Is Filled]], btc_should_buy_back(SnapshotTable[[#This Row],[SP Fill Date]], SnapshotTable[[#This Row],[SP Exp Date]], SnapshotTable[[#This Row],[SP Book Price]], SnapshotTable[[#This Row],[SP Current Ask]], MockToday, SnapshotTable[[#This Row],[SP Buyback Override]]),"")</f>
        <v/>
      </c>
      <c r="CU254" s="156"/>
      <c r="CV254" s="235"/>
      <c r="CW254" s="378" t="str">
        <f>IF(ISNUMBER( SnapshotTable[[#This Row],[SP Term]]), SnapshotTable[[#This Row],[SP Exp Date]] - MockToday,"")</f>
        <v/>
      </c>
      <c r="CX254" s="31" t="str">
        <f>IF(SnapshotTable[[#This Row],[SP Is Filled]],SnapshotTable[[#This Row],[SP Buyback Price to Use]] * 100 * SnapshotTable[[#This Row],[SP Qty]], "")</f>
        <v/>
      </c>
      <c r="CY254" s="4" t="str">
        <f>IF(ISNUMBER(SnapshotTable[[#This Row],[SP Strike Price]]), SnapshotTable[[#This Row],[SP Strike Price]] * (1 - SP_MaxLoss_StrikePct), "")</f>
        <v/>
      </c>
      <c r="CZ254" s="31" t="str">
        <f>IF(ISNUMBER(SnapshotTable[[#This Row],[SP Strike  Stop Per Share]]),SnapshotTable[[#This Row],[SP Premium]] - ((SnapshotTable[[#This Row],[SP Strike Price]]-SnapshotTable[[#This Row],[SP Strike  Stop Per Share]]) *(SnapshotTable[[#This Row],[SP Qty]] * 100)),"")</f>
        <v/>
      </c>
      <c r="DA254" s="4" t="str">
        <f>IF(AND(ISNUMBER(SnapshotTable[[#This Row],[SP Premium]]),SnapshotTable[[#This Row],[SP Premium]]&gt;0), SnapshotTable[[#This Row],[SP Book Price]] * (1 + SP_MaxLoss_OptionPct), "")</f>
        <v/>
      </c>
      <c r="DB254" s="31" t="str">
        <f>IF(ISNUMBER(SnapshotTable[[#This Row],[SP Option  Stop Contract]]),(SnapshotTable[[#This Row],[SP Option  Stop Contract]] *(SnapshotTable[[#This Row],[SP Qty]] * 100) - SnapshotTable[[#This Row],[SP Premium]]),"")</f>
        <v/>
      </c>
      <c r="DC254" s="4"/>
      <c r="DD254" s="4"/>
      <c r="DE254" s="4" t="str">
        <f>IF(AND(SnapshotTable[[#This Row],[SP Qty]]&gt;0, SnapshotTable[[#This Row],[SP Stop To Use]]&gt;0),SnapshotTable[[#This Row],[SP Premium]] - ( SnapshotTable[[#This Row],[SP Qty]] * SnapshotTable[[#This Row],[SP Stop To Use]] * 100), "")</f>
        <v/>
      </c>
      <c r="DF254" s="31" t="str">
        <f>IF(AND(SnapshotTable[[#This Row],[SP Qty]]&gt;0,SnapshotTable[[#This Row],[SP Current Ask]]&gt;0), SnapshotTable[[#This Row],[SP Qty]] * SnapshotTable[[#This Row],[SP Current Ask]] * -100, "")</f>
        <v/>
      </c>
      <c r="DG254" s="31" t="str">
        <f>IF(ISNUMBER((SnapshotTable[[#This Row],[SP Total Value]])), SnapshotTable[[#This Row],[SP Premium]] + SnapshotTable[[#This Row],[SP Total Value]], "")</f>
        <v/>
      </c>
      <c r="DH254" s="294" t="str">
        <f>IF(ISNUMBER((SnapshotTable[[#This Row],[SP Total Value]])), SnapshotTable[[#This Row],[SP Gain Loss]] / SnapshotTable[[#This Row],[SP Premium]], "")</f>
        <v/>
      </c>
      <c r="DI254" s="406"/>
      <c r="DJ254" s="138"/>
      <c r="DK254" s="148"/>
      <c r="DL254" s="147"/>
      <c r="DM254" s="147"/>
      <c r="DO254" s="31">
        <f>IF(SnapshotTable[[#This Row],[LC Symbol Count]]=1, SnapshotTable[[#This Row],[LC Qty]] * SnapshotTable[[#This Row],[LC Book Price]] * 100, 0)</f>
        <v>0</v>
      </c>
      <c r="DP254" s="289" t="str">
        <f>IF(AND(SnapshotTable[[#This Row],[LC Exp Date]]&gt;0, SnapshotTable[[#This Row],[LC Strike Price]]&gt;0,SnapshotTable[[#This Row],[LC Qty]]&gt;0,SnapshotTable[[#This Row],[LC Book Date]]&gt;0,SnapshotTable[[#This Row],[LC Book Price]]&gt;0,SnapshotTable[[#This Row],[LC Fill Date]]=0),"Y","")</f>
        <v/>
      </c>
      <c r="DQ254" s="386" t="str">
        <f>IF(SnapshotTable[[#This Row],[LC Premium]] &gt; 0,SnapshotTable[[#This Row],[LC Exp Date]]-MAX(SnapshotTable[[#This Row],[LC Book Date]], SnapshotTable[[#This Row],[LC Fill Date]]),"")</f>
        <v/>
      </c>
      <c r="DR254" s="386" t="str">
        <f>IF(ISNUMBER(SnapshotTable[[#This Row],[LC Term]]), SnapshotTable[[#This Row],[LC Exp Date]] - MockToday, "")</f>
        <v/>
      </c>
      <c r="DS254" s="355" t="str">
        <f>IF(SnapshotTable[[#This Row],[LC Premium]]&gt;0,SnapshotTable[[#This Row],[LC Strike Price]] + SnapshotTable[[#This Row],[LC Book Price]],"")</f>
        <v/>
      </c>
      <c r="DT254" s="163"/>
      <c r="DU254" s="9" t="str">
        <f>IF(AND(SnapshotTable[[#This Row],[LC Symbol Count]]&gt;0, SnapshotTable[[#This Row],[LC Contract Value]]&gt;0), SnapshotTable[[#This Row],[LC Contract Value]] * SnapshotTable[[#This Row],[LC Qty]] * 100, "")</f>
        <v/>
      </c>
      <c r="DV254" s="9" t="str">
        <f>IF(AND(ISNUMBER(SnapshotTable[[#This Row],[LC Total Value]]), SnapshotTable[[#This Row],[LC Not Filled]]&lt;&gt;"Y"), SnapshotTable[[#This Row],[LC Total Value]]-SnapshotTable[[#This Row],[LC Premium]],"")</f>
        <v/>
      </c>
      <c r="DW254" s="240" t="str">
        <f>IF(ISNUMBER(SnapshotTable[[#This Row],[LC Actual Gain Loss]]), SnapshotTable[[#This Row],[LC Actual Gain Loss]] / SnapshotTable[[#This Row],[LC Premium]],"")</f>
        <v/>
      </c>
      <c r="DX254" s="284" t="str">
        <f>IF(ISNUMBER(SnapshotTable[[#This Row],[LC Book Price]]),SnapshotTable[[#This Row],[LC Book Price]] * 1.5,"")</f>
        <v/>
      </c>
      <c r="DY254" s="265" t="str">
        <f>IF(SnapshotTable[[#This Row],[LC Premium]]&gt;0, SnapshotTable[[#This Row],[LC Next Target]] * SnapshotTable[[#This Row],[LC Qty]] * 100,"")</f>
        <v/>
      </c>
      <c r="DZ254" s="265" t="str">
        <f>IF(ISNUMBER(SnapshotTable[[#This Row],[LC Target Gross]]), SnapshotTable[[#This Row],[LC Target Gross]] - SnapshotTable[[#This Row],[LC Premium]], "")</f>
        <v/>
      </c>
      <c r="EA254" s="305" t="str">
        <f>IF(ISNUMBER(SnapshotTable[[#This Row],[LC Target Gain Loss]]), SnapshotTable[[#This Row],[LC Target Gain Loss]]/SnapshotTable[[#This Row],[LC Premium]], "")</f>
        <v/>
      </c>
      <c r="EB254" s="262"/>
      <c r="EC254" s="290" t="str">
        <f>IF(SnapshotTable[[#This Row],[LC Premium]]&gt;0, SnapshotTable[[#This Row],[LC Book Price]] * (1 - LC_StopLoss_Pct),"")</f>
        <v/>
      </c>
      <c r="ED254" s="284"/>
      <c r="EE254" s="290" t="str">
        <f>IF(ISNUMBER(SnapshotTable[[#This Row],[LC Contract Value]]),IF(ISNUMBER(SnapshotTable[[#This Row],[LC Stop Loss Override]]), SnapshotTable[[#This Row],[LC Stop Loss Override]],SnapshotTable[[#This Row],[LC Stop Loss Calc Target]]),"")</f>
        <v/>
      </c>
      <c r="EF254" s="321" t="str">
        <f>IF(ISNUMBER(SnapshotTable[[#This Row],[LC Stop  To Use]]), (SnapshotTable[[#This Row],[LC Stop  To Use]] * SnapshotTable[[#This Row],[LC Qty]] * 100),"")</f>
        <v/>
      </c>
      <c r="EG254" s="9" t="str">
        <f>IF(ISNUMBER(SnapshotTable[[#This Row],[LC Total Value]]),SnapshotTable[[#This Row],[LC Stop Loss Amount]] - SnapshotTable[[#This Row],[LC Premium]],"")</f>
        <v/>
      </c>
      <c r="EH254" s="9">
        <f>IF(ISNUMBER(SnapshotTable[[#This Row],[LC Premium]]), SnapshotTable[[#This Row],[LC Qty]] * 100 * SnapshotTable[[#This Row],[LC Strike Price]], "")</f>
        <v>0</v>
      </c>
      <c r="EI254" s="240" t="str">
        <f>IF(AND(ISNUMBER(SnapshotTable[[#This Row],[LC Total Value]]),SnapshotTable[[#This Row],[LC Total Value]]&gt;0),SnapshotTable[[#This Row],[LC Stop Gain Loss]]  / SnapshotTable[[#This Row],[LC Premium]],"")</f>
        <v/>
      </c>
      <c r="EJ254" s="35">
        <f>IF(ISNUMBER(SnapshotTable[[#This Row],[Equity Shares]]),TRUNC(SnapshotTable[[#This Row],[Equity Shares]] / 100),0) + SnapshotTable[[#This Row],[LC Qty]]</f>
        <v>0</v>
      </c>
      <c r="EK254" s="147"/>
      <c r="EL254" s="138" t="str">
        <f>IF(SnapshotTable[[#This Row],[SC Exp Date]]&lt;&gt;"",TRUNC(SnapshotTable[[#This Row],[Last Price]]),"")</f>
        <v/>
      </c>
      <c r="EM254" s="148"/>
      <c r="EN254" s="147"/>
      <c r="EO254" s="147"/>
      <c r="EP254" s="138"/>
      <c r="EQ254" s="419" t="b">
        <f>AND(ISNUMBER(SnapshotTable[[#This Row],[SC Exp Date]]), ISNUMBER(SnapshotTable[[#This Row],[SC Strike Price]]), ISNUMBER(SnapshotTable[[#This Row],[SC Qty]]), ISNUMBER(SnapshotTable[[#This Row],[SC Book Date]]), ISNUMBER(SnapshotTable[[#This Row],[SC Book Price]]))</f>
        <v>0</v>
      </c>
      <c r="ER254" s="419" t="b">
        <f>AND(SnapshotTable[[#This Row],[SC Is Booked]], NOT(ISBLANK(SnapshotTable[[#This Row],[SC Fill Date]])))</f>
        <v>0</v>
      </c>
      <c r="ES254" s="370"/>
      <c r="ET254" s="34" t="str">
        <f>IF(AND(ISNUMBER(SnapshotTable[[#This Row],[SC Exp Date]]), ISNUMBER(SnapshotTable[[#This Row],[SC Book Date]])), SnapshotTable[[#This Row],[SC Exp Date]] - MAX(SnapshotTable[[#This Row],[SC Book Date]], SnapshotTable[[#This Row],[SC Fill Date]]) + 1, "")</f>
        <v/>
      </c>
      <c r="EU254" s="34" t="str">
        <f>IF(ISNUMBER(SnapshotTable[[#This Row],[SC Term]]), SnapshotTable[[#This Row],[SC Exp Date]]- MockToday, "")</f>
        <v/>
      </c>
      <c r="EV254" s="31">
        <f>IF(SnapshotTable[[#This Row],[SC Is Booked]], SnapshotTable[[#This Row],[SC Qty]] * SnapshotTable[[#This Row],[SC Book Price]] * 100, 0)</f>
        <v>0</v>
      </c>
      <c r="EW254" s="4" t="str">
        <f>IF(AND(ISNUMBER(SnapshotTable[[#This Row],[Last Price]]), ISNUMBER( SnapshotTable[[#This Row],[SC Book Price]])), SnapshotTable[[#This Row],[Last Price]] - SnapshotTable[[#This Row],[SC Book Price]],"")</f>
        <v/>
      </c>
      <c r="EX254" s="234" t="str">
        <f>IF(SnapshotTable[[#This Row],[SC Is Booked]],IF(SnapshotTable[[#This Row],[SC Intrinsic Value]] &gt; 0, SnapshotTable[[#This Row],[SC Strike Price]], SnapshotTable[[#This Row],[Last Price]]), "")</f>
        <v/>
      </c>
      <c r="EY254" s="4">
        <f>IF(SnapshotTable[[#This Row],[SC Is Booked]], (MinimumPremiumRequired * SnapshotTable[[#This Row],[SC Basis]] * SnapshotTable[[#This Row],[SC Term]]), 0)</f>
        <v>0</v>
      </c>
      <c r="EZ254" s="283"/>
      <c r="FA254" s="218"/>
      <c r="FB254" s="370"/>
      <c r="FC254" s="4">
        <f>IF(SnapshotTable[[#This Row],[SC Is Filled]], btc_max_buyback_amount(SnapshotTable[[#This Row],[SC Fill Date]],SnapshotTable[[#This Row],[SC Exp Date]], SnapshotTable[[#This Row],[SC Book Price]]),0)</f>
        <v>0</v>
      </c>
      <c r="FD254" s="5"/>
      <c r="FE254" s="144" t="str">
        <f>IF(SnapshotTable[[#This Row],[SC Is Filled]], btc_next_cutoff_date(SnapshotTable[[#This Row],[SC Fill Date]],SnapshotTable[[#This Row],[SC Exp Date]]),"")</f>
        <v/>
      </c>
      <c r="FF254" s="4" t="str" cm="1">
        <f t="array" ref="FF254">IF(SnapshotTable[[#This Row],[SC Is Filled]], btc_should_buy_back(SnapshotTable[[#This Row],[SC Fill Date]], SnapshotTable[[#This Row],[SC Exp Date]], SnapshotTable[[#This Row],[SC Book Price]], SnapshotTable[[#This Row],[SC Current Ask]], MockToday, SnapshotTable[[#This Row],[SC Buyback Override]]),"")</f>
        <v/>
      </c>
      <c r="FG254" s="4">
        <f>IF(SnapshotTable[[#This Row],[SC Is Filled]], MAX(0,SnapshotTable[[#This Row],[Last Price]]  - SnapshotTable[[#This Row],[SC Strike Price]]), 0)</f>
        <v>0</v>
      </c>
      <c r="FH254" s="382">
        <f>IF(SnapshotTable[[#This Row],[SC Is Filled]], IF(ISNUMBER(SnapshotTable[[#This Row],[SC Current Ask]]), SnapshotTable[[#This Row],[SC Current Ask]], SnapshotTable[[#This Row],[SC Book Price]]) - SnapshotTable[[#This Row],[SC Intrinsic Value]], 0)</f>
        <v>0</v>
      </c>
      <c r="FI254" s="143"/>
      <c r="FJ254" s="32" t="str">
        <f>IF(SnapshotTable[[#This Row],[SC Is Filled]],100 * SnapshotTable[[#This Row],[SC Qty]] * IF(ISNUMBER(SnapshotTable[[#This Row],[SC Buyback Override]]), SnapshotTable[[#This Row],[SC Buyback Override]], SnapshotTable[[#This Row],[SC Current Ask]]), "")</f>
        <v/>
      </c>
      <c r="FK254" s="250" t="str">
        <f>IF(SnapshotTable[[#This Row],[SC Time Val]]&gt;0, SnapshotTable[[#This Row],[SC Time Val]] / SnapshotTable[[#This Row],[Last Price]],"")</f>
        <v/>
      </c>
      <c r="FL254" s="302" t="str">
        <f>IF(SnapshotTable[[#This Row],[SC Is Booked]], ((SnapshotTable[[#This Row],[Last Price]] -SnapshotTable[[#This Row],[SC Strike Price]]) / SnapshotTable[[#This Row],[Last Price]]) * -1, "")</f>
        <v/>
      </c>
      <c r="FM254" s="157" t="str">
        <f>IF(SnapshotTable[[#This Row],[SC Is Booked]],  (SnapshotTable[[#This Row],[SC Qty]] * 100 * SnapshotTable[[#This Row],[SC Strike Price]]) - SnapshotTable[[#This Row],[SC Current Ask]], "")</f>
        <v/>
      </c>
      <c r="FN254"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4" s="157" t="str">
        <f>IF(AND(ISNUMBER(SnapshotTable[[#This Row],[SC Exercise Gross]]), ISNUMBER(SnapshotTable[[#This Row],[Equity Basis Per Share]] )), SnapshotTable[[#This Row],[SC Exercise Gross]] - SnapshotTable[[#This Row],[Equity Basis Total]] +  SnapshotTable[[#This Row],[SC Premium]], "")</f>
        <v/>
      </c>
      <c r="FP254" s="5" t="str">
        <f>IF(ISNUMBER(SnapshotTable[[#This Row],[SC Exercise Gross]]), (SnapshotTable[[#This Row],[SC Exercise Gross]]) / (SnapshotTable[[#This Row],[SC Qty]] * 100), "")</f>
        <v/>
      </c>
      <c r="FQ254" s="27" t="str">
        <f>IF(SnapshotTable[[#This Row],[SC Is Booked]],SnapshotTable[[#This Row],[SC Time Val]] /SnapshotTable[[#This Row],[SC Basis]], "")</f>
        <v/>
      </c>
      <c r="FR254" s="27" t="str" cm="1">
        <f t="array" ref="FR254">IF(AND(ISNUMBER(SnapshotTable[[#This Row],[SC Term]]),ISNUMBER(SnapshotTable[[#This Row],[SC Simple ROO]])), EllmanAnnualize(SnapshotTable[[#This Row],[SC DTE]], SnapshotTable[[#This Row],[SC Simple ROO]] ),"")</f>
        <v/>
      </c>
      <c r="FS254" s="4" t="e">
        <f>IF(SnapshotTable[[#This Row],[SC Strike Price]] &gt; SnapshotTable[[#This Row],[Last Price]], SnapshotTable[[#This Row],[SC Strike Price]] - SnapshotTable[[#This Row],[Last Price]],0)</f>
        <v>#VALUE!</v>
      </c>
      <c r="FT254" s="27" t="e">
        <f>IF(AND(ISNUMBER(SnapshotTable[[#This Row],[SC Upside Potential]]), SnapshotTable[[#This Row],[SC Upside Potential]] &gt; 0),(SnapshotTable[[#This Row],[SC Upside Potential]]/ SnapshotTable[[#This Row],[ACB]]),"")</f>
        <v>#VALUE!</v>
      </c>
      <c r="FU254" s="333" t="str">
        <f>IF(SnapshotTable[[#This Row],[SC Intrinsic Value]] &gt; 0,SnapshotTable[[#This Row],[SC Intrinsic Value]],"")</f>
        <v/>
      </c>
      <c r="FV254" s="27" t="str">
        <f>IF(AND( ISNUMBER( SnapshotTable[[#This Row],[ACB]]),ISNUMBER(SnapshotTable[[#This Row],[SC Downside Protect]])),SnapshotTable[[#This Row],[SC Downside Protect]] / SnapshotTable[[#This Row],[ACB]],"")</f>
        <v/>
      </c>
      <c r="FW254" s="236" t="str">
        <f>IF(AND(ISNUMBER(SnapshotTable[[#This Row],[SC Simple ROO]]),SnapshotTable[[#This Row],[SC Simple ROO]] &gt; 0), SnapshotTable[[#This Row],[SC Premium]] + (SnapshotTable[[#This Row],[SC Qty]] * SnapshotTable[[#This Row],[SC Upside Potential]]), "")</f>
        <v/>
      </c>
      <c r="FX254" s="302" t="str" cm="1">
        <f t="array" ref="FX254">IF(ISNUMBER(SnapshotTable[[#This Row],[SC Max Dollars]]), annualize(SnapshotTable[[#This Row],[SC Term]],(SnapshotTable[[#This Row],[SC Max Dollars]]/SnapshotTable[[#This Row],[SC Basis]])),"")</f>
        <v/>
      </c>
      <c r="FY254" s="236" t="str">
        <f>IF(AND(SnapshotTable[[#This Row],[SC Qty]]&gt;0,SnapshotTable[[#This Row],[SC Current Ask]]&gt;0), SnapshotTable[[#This Row],[SC Qty]] * SnapshotTable[[#This Row],[SC Current Ask]] * -100, "")</f>
        <v/>
      </c>
      <c r="FZ254" s="235" t="str">
        <f>IF(ISNUMBER((SnapshotTable[[#This Row],[SC Current Value]])), SnapshotTable[[#This Row],[SC Premium]] + SnapshotTable[[#This Row],[SC Current Value]], "")</f>
        <v/>
      </c>
      <c r="GA254" s="294" t="str">
        <f>IFERROR( IF(ISNUMBER((SnapshotTable[[#This Row],[SC Current Value]])), SnapshotTable[[#This Row],[SC Gain Loss]] / SnapshotTable[[#This Row],[SC Premium]], ""), "")</f>
        <v/>
      </c>
      <c r="GB254" s="42">
        <f>SnapshotTable[[#This Row],[Equity Shares]] * SaleSharesToConsiderPercentage</f>
        <v>0</v>
      </c>
      <c r="GC254" s="40">
        <f>SnapshotTable[[#This Row],[Long Term Target]] * SellingPriceToConsiderBasedOnTargetPercentage</f>
        <v>0</v>
      </c>
      <c r="GD254" s="40">
        <f>SnapshotTable[[#This Row],[Last Price]] * (1+ SellingPriceToConsiderBasedOnTargetPercentage)</f>
        <v>1144.4744999999998</v>
      </c>
      <c r="GE254" s="41"/>
      <c r="GF254" s="40"/>
      <c r="GG254" s="31">
        <f>SnapshotTable[[#This Row],[Booked Sale Shares]] * SnapshotTable[[#This Row],[Booked Sale Price]]</f>
        <v>0</v>
      </c>
      <c r="GH254" s="31" t="str">
        <f>IF(SnapshotTable[[#This Row],[Equity Basis Total]] &gt; 0, SnapshotTable[[#This Row],[Equity Basis Per Share]] * SnapshotTable[[#This Row],[Booked Sale Shares]], "")</f>
        <v/>
      </c>
      <c r="GI254" s="31">
        <f>IF(SnapshotTable[[#This Row],[Sale Proceeds]]&gt;0, SnapshotTable[[#This Row],[Sale Proceeds]] - SnapshotTable[[#This Row],[Sale Basis]], 0)</f>
        <v>0</v>
      </c>
      <c r="GJ254" s="158" t="str">
        <f>IF(SnapshotTable[[#This Row],[Sale G/L]]&gt;0, SnapshotTable[[#This Row],[Sale G/L]] / SnapshotTable[[#This Row],[Sale Basis]], IF(ISNUMBER(SnapshotTable[[#This Row],[SC Exercise P&amp;L (TAX)]]), SnapshotTable[[#This Row],[SC Exercise P&amp;L (TAX)]] / SnapshotTable[[#This Row],[SC Basis]], ""))</f>
        <v/>
      </c>
      <c r="GK254" s="27"/>
      <c r="GL254" s="159" t="str">
        <f>IF(AND(SnapshotTable[[#This Row],[LP Exp Date]]&gt;0,SnapshotTable[[#This Row],[LP Strike Price]]&gt;0), [1]!ToOptionSymbol(SnapshotTable[[#This Row],[Symbol]], SnapshotTable[[#This Row],[LP Strike Price]],SnapshotTable[[#This Row],[LP Exp Date]],1), "")</f>
        <v/>
      </c>
      <c r="GM254" s="30" t="str">
        <f>IF(LEN(SnapshotTable[[#This Row],[LP Symbol]])&gt;0, 1, "")</f>
        <v/>
      </c>
      <c r="GN254" s="43" t="str">
        <f>IF(AND(SnapshotTable[[#This Row],[SP Exp Date]]&gt;0,SnapshotTable[[#This Row],[SP Strike Price]]&gt;0), [1]!ToOptionSymbol(SnapshotTable[[#This Row],[Symbol]], SnapshotTable[[#This Row],[SP Strike Price]],SnapshotTable[[#This Row],[SP Exp Date]],1), "")</f>
        <v/>
      </c>
      <c r="GO254" s="30" t="str">
        <f>IF(LEN(SnapshotTable[[#This Row],[SP Symbol]])&gt;0, 1, "")</f>
        <v/>
      </c>
      <c r="GP254" s="159" t="str">
        <f>IF(AND(SnapshotTable[[#This Row],[LC Exp Date]]&gt;0,SnapshotTable[[#This Row],[LC Strike Price]]&gt;0), [1]!ToOptionSymbol(SnapshotTable[[#This Row],[Symbol]], SnapshotTable[[#This Row],[LC Strike Price]],SnapshotTable[[#This Row],[LC Exp Date]],0), "")</f>
        <v/>
      </c>
      <c r="GQ254" s="160" t="str">
        <f>IF(LEN(SnapshotTable[[#This Row],[LC Symbol]])&gt;0, 1, "")</f>
        <v/>
      </c>
      <c r="GR254" s="159" t="str">
        <f>IF(AND(SnapshotTable[[#This Row],[SC Exp Date]]&gt;0,SnapshotTable[[#This Row],[SC Strike Price]]&gt;0), [1]!ToOptionSymbol(SnapshotTable[[#This Row],[Symbol]], SnapshotTable[[#This Row],[SC Strike Price]],SnapshotTable[[#This Row],[SC Exp Date]],0), "")</f>
        <v/>
      </c>
      <c r="GS254" s="160" t="str">
        <f>IF(LEN(SnapshotTable[[#This Row],[SC Symbol]])&gt;0, 1, "")</f>
        <v/>
      </c>
      <c r="GT254" s="161" t="str">
        <f>IF(COUNT(SnapshotTable[[#This Row],[LP Symbol Count]],SnapshotTable[[#This Row],[SP Symbol Count]],SnapshotTable[[#This Row],[LC Symbol Count]],SnapshotTable[[#This Row],[SC Symbol Count]])&gt;0, "Y", "")</f>
        <v/>
      </c>
      <c r="GU25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4" s="231" t="e">
        <f>MAX(SnapshotTable[[#This Row],[Equity Basis Total]],SnapshotTable[[#This Row],[Equity Value]]) + (SnapshotTable[[#This Row],[SP Potential Spend]]- SnapshotTable[[#This Row],[SP Premium]] + SnapshotTable[[#This Row],[LP Premium]])+ (SnapshotTable[[#This Row],[LC Premium]] - SnapshotTable[[#This Row],[SC Premium]])</f>
        <v>#VALUE!</v>
      </c>
      <c r="GW254" s="139" t="e">
        <f>IF(AND(SnapshotTable[[#This Row],[Exposure]] &lt;&gt; 0),SnapshotTable[[#This Row],[Exposure]] / SnapshotTable[[#Totals],[Exposure]], "")</f>
        <v>#VALUE!</v>
      </c>
      <c r="GX254" s="13"/>
      <c r="HE254" s="268"/>
      <c r="HF254" s="268"/>
      <c r="HK254" s="1"/>
      <c r="HL254" s="1"/>
      <c r="HM254" s="1"/>
      <c r="HN254" s="1"/>
      <c r="HO254" s="1"/>
      <c r="HP254" s="1"/>
    </row>
    <row r="255" spans="2:224" ht="12.75" hidden="1" customHeight="1" x14ac:dyDescent="0.25">
      <c r="B255" s="12" t="s">
        <v>1214</v>
      </c>
      <c r="C255" s="422">
        <v>8.5500000000000007</v>
      </c>
      <c r="D255" s="208"/>
      <c r="E255" s="39">
        <f>SnapshotTable[[#This Row],[Last Price]]*(1 -CrashDiscount)</f>
        <v>7.2675000000000001</v>
      </c>
      <c r="F255" s="325" t="s">
        <v>223</v>
      </c>
      <c r="G255" s="325" t="s">
        <v>49</v>
      </c>
      <c r="H255" s="149"/>
      <c r="I255" s="194"/>
      <c r="J255" s="195"/>
      <c r="K255" s="196"/>
      <c r="L255" s="326"/>
      <c r="M255" s="140"/>
      <c r="N255" s="140"/>
      <c r="O255" s="140"/>
      <c r="P255" s="22"/>
      <c r="Q255" s="25"/>
      <c r="R255" s="4" t="str">
        <f>IF(SnapshotTable[[#This Row],[Equity Basis Total]] &gt; 0, SnapshotTable[[#This Row],[Equity Basis Total]] / SnapshotTable[[#This Row],[Equity Shares]], "")</f>
        <v/>
      </c>
      <c r="S255" s="269">
        <f>SnapshotTable[[#This Row],[Last Price]] * SnapshotTable[[#This Row],[Equity Shares]]</f>
        <v>0</v>
      </c>
      <c r="T255" s="269">
        <f>SnapshotTable[[#This Row],[Equity Value]] - SnapshotTable[[#This Row],[Equity Basis Total]]</f>
        <v>0</v>
      </c>
      <c r="U255" s="270" t="str">
        <f>IF(SnapshotTable[[#This Row],[Equity Basis Total]] &gt; 0, SnapshotTable[[#This Row],[Equity G/L]] / SnapshotTable[[#This Row],[Equity Basis Total]], "")</f>
        <v/>
      </c>
      <c r="V255" s="268"/>
      <c r="W255" s="268"/>
      <c r="X255" s="4" t="str">
        <f>IF(AND(ISNUMBER(SnapshotTable[[#This Row],[Equity Basis Per Share]]),ISNUMBER(SnapshotTable[[#This Row],[Equity Target]])),SnapshotTable[[#This Row],[Equity Target]]-SnapshotTable[[#This Row],[Equity Basis Per Share]],"")</f>
        <v/>
      </c>
      <c r="Y255" s="4" t="str">
        <f>IF(AND(ISNUMBER(SnapshotTable[[#This Row],[Equity Basis Per Share]]),ISNUMBER(SnapshotTable[[#This Row],[Equity Stop Loss]])),SnapshotTable[[#This Row],[Equity Stop Loss]]-SnapshotTable[[#This Row],[Equity Basis Per Share]],"")</f>
        <v/>
      </c>
      <c r="Z255" s="275" t="str">
        <f>IFERROR( TEXT(SnapshotTable[[#This Row],[Equity Max Gain Per Share]] /ABS( SnapshotTable[[#This Row],[Equity Max Loss Per Share]]),"0.0 " ) &amp; " : 1", "")</f>
        <v/>
      </c>
      <c r="AA255" s="31" t="str">
        <f>IF(ISNUMBER(SnapshotTable[[#This Row],[Equity Max Gain Per Share]]),SnapshotTable[[#This Row],[Equity Max Gain Per Share]] * SnapshotTable[[#This Row],[Equity Shares]],"")</f>
        <v/>
      </c>
      <c r="AB255" s="31" t="str">
        <f>IF(ISNUMBER(SnapshotTable[[#This Row],[Equity Max Loss Per Share]]),SnapshotTable[[#This Row],[Equity Max Loss Per Share]] * SnapshotTable[[#This Row],[Equity Shares]],"")</f>
        <v/>
      </c>
      <c r="AC255" s="150"/>
      <c r="AD255" s="151"/>
      <c r="AE255" s="31">
        <f>(SnapshotTable[[#This Row],[Annual Dividend Per Share]] / 4) * SnapshotTable[[#This Row],[Equity Shares]]</f>
        <v>0</v>
      </c>
      <c r="AF255" s="31">
        <f>SnapshotTable[[#This Row],[Quarterly Div $]] * 4</f>
        <v>0</v>
      </c>
      <c r="AG255" s="7">
        <f>IF(SnapshotTable[[#This Row],[Annual Dividend Per Share]]&gt;0, SnapshotTable[[#This Row],[Annual Dividend Per Share]]  / SnapshotTable[[#This Row],[Last Price]], 0)</f>
        <v>0</v>
      </c>
      <c r="AH255" s="151"/>
      <c r="AI255" s="5"/>
      <c r="AJ255" s="138"/>
      <c r="AK255" s="152" t="str">
        <f>IF(ISNUMBER( SnapshotTable[[#This Row],[EBF Target]]),(SnapshotTable[[#This Row],[EBF Target]] - SnapshotTable[[#This Row],[Last Price]]) / SnapshotTable[[#This Row],[Last Price]], "")</f>
        <v/>
      </c>
      <c r="AL255" s="152" t="str">
        <f>IF(AND(SnapshotTable[[#This Row],[Equity Basis Total]] &gt; 0,ISNUMBER( SnapshotTable[[#This Row],[Long Term Target]])), SnapshotTable[[#This Row],[From Basis $]] / SnapshotTable[[#This Row],[Equity Basis Total]], "")</f>
        <v/>
      </c>
      <c r="AM255" s="9">
        <f>IF( AND(SnapshotTable[[#This Row],[Equity Shares]] &gt;0,ISNUMBER( SnapshotTable[[#This Row],[Long Term Target]])),(SnapshotTable[[#This Row],[Equity Shares]] * SnapshotTable[[#This Row],[Long Term Target]]) - SnapshotTable[[#This Row],[Equity Basis Total]],0)</f>
        <v>0</v>
      </c>
      <c r="AN255" s="9">
        <f>IF( AND(SnapshotTable[[#This Row],[Equity Shares]] &gt;0,ISNUMBER( SnapshotTable[[#This Row],[Long Term Target]])),(SnapshotTable[[#This Row],[Equity Shares]]*SnapshotTable[[#This Row],[Long Term Target]]) - SnapshotTable[[#This Row],[Equity Value]],0)</f>
        <v>0</v>
      </c>
      <c r="AO255" s="152" t="str">
        <f>IF(AND(ISNUMBER( SnapshotTable[[#This Row],[Long Term Target]]), ISNUMBER(SnapshotTable[[#This Row],[Last Price]])),(SnapshotTable[[#This Row],[Long Term Target]] - SnapshotTable[[#This Row],[Last Price]]) / SnapshotTable[[#This Row],[Last Price]], "")</f>
        <v/>
      </c>
      <c r="AP255" s="5"/>
      <c r="AQ255" s="38"/>
      <c r="AR255" s="5"/>
      <c r="AS255" s="38"/>
      <c r="AT255" s="146"/>
      <c r="AU255" s="187" t="str">
        <f>IF(OR(SnapshotTable[[#This Row],[LP No Fill]]="Y",SnapshotTable[[#This Row],[SP Is Filled]],SnapshotTable[[#This Row],[LC Not Filled]]="Y",SnapshotTable[[#This Row],[SC Is Filled]]),"Y","")</f>
        <v/>
      </c>
      <c r="AV255" s="219"/>
      <c r="AW255" s="225"/>
      <c r="AX255" s="220"/>
      <c r="AY255" s="219" t="str">
        <f>IF(SnapshotTable[[#This Row],[Implied Move]]&gt;0, SnapshotTable[[#This Row],[Last Price]]-SnapshotTable[[#This Row],[Implied Move]],"")</f>
        <v/>
      </c>
      <c r="AZ255" s="219" t="str">
        <f>IF(SnapshotTable[[#This Row],[Implied Move]]&gt;0, SnapshotTable[[#This Row],[Last Price]] + SnapshotTable[[#This Row],[Implied Move]],"")</f>
        <v/>
      </c>
      <c r="BA255" s="331">
        <v>6.8</v>
      </c>
      <c r="BB255" s="347"/>
      <c r="BC25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5" s="351"/>
      <c r="BE255" s="5"/>
      <c r="BF255" s="14"/>
      <c r="BG255" s="13"/>
      <c r="BH255" s="13"/>
      <c r="BI255" s="5"/>
      <c r="BJ255" s="136">
        <f>IF(SnapshotTable[[#This Row],[LP Qty]] &gt; 0, SnapshotTable[[#This Row],[LP Qty]] * SnapshotTable[[#This Row],[LP Book Price]] * 100,0)</f>
        <v>0</v>
      </c>
      <c r="BK255" s="136">
        <f>IF(SnapshotTable[[#This Row],[LP Premium]] &gt; 0, SnapshotTable[[#This Row],[LP Qty]] * SnapshotTable[[#This Row],[LP Strike Price]] * 100,0)</f>
        <v>0</v>
      </c>
      <c r="BL255" s="154"/>
      <c r="BM255" s="385" t="str">
        <f>IF(SnapshotTable[[#This Row],[LP Premium]] &gt; 0,SnapshotTable[[#This Row],[LP Exp Date]]-MAX(SnapshotTable[[#This Row],[LP Book Date]], SnapshotTable[[#This Row],[LP Fill Date]]),"")</f>
        <v/>
      </c>
      <c r="BN255" s="385" t="str">
        <f>IF(ISNUMBER( SnapshotTable[[#This Row],[LP Term]]), SnapshotTable[[#This Row],[LP Exp Date]] - MockToday,"")</f>
        <v/>
      </c>
      <c r="BO255" s="163" t="str">
        <f>IF(AND(SnapshotTable[[#This Row],[LP Exp Date]]&gt;0, SnapshotTable[[#This Row],[LP Strike Price]]&gt;0,SnapshotTable[[#This Row],[LP Qty]]&gt;0,SnapshotTable[[#This Row],[LP Book Date]]&gt;0,SnapshotTable[[#This Row],[LP Book Price]]&gt;0,SnapshotTable[[#This Row],[LP Fill Date]]=0),"Y","")</f>
        <v/>
      </c>
      <c r="BP255" s="31" t="str">
        <f>IF(AND(SnapshotTable[[#This Row],[LP No Fill]]&lt;&gt;"Y",SnapshotTable[[#This Row],[LP Contract Value]]&gt;0, SnapshotTable[[#This Row],[LP Qty]]&gt;0), SnapshotTable[[#This Row],[LP Contract Value]]*SnapshotTable[[#This Row],[LP Qty]]*100,"")</f>
        <v/>
      </c>
      <c r="BQ255" s="13"/>
      <c r="BR255" s="5" t="str">
        <f>IF(SnapshotTable[[#This Row],[SP Exp Date]]&lt;&gt;"",TRUNC(SnapshotTable[[#This Row],[Last Price]]),"")</f>
        <v/>
      </c>
      <c r="BS255" s="36"/>
      <c r="BT255" s="147"/>
      <c r="BU255" s="13"/>
      <c r="BV255" s="5"/>
      <c r="BW255" s="419" t="b">
        <f>AND(ISNUMBER(SnapshotTable[[#This Row],[SP Exp Date]]), ISNUMBER(SnapshotTable[[#This Row],[SP Strike Price]]), ISNUMBER(SnapshotTable[[#This Row],[SP Qty]]), ISNUMBER(SnapshotTable[[#This Row],[SP Book Date]]), ISNUMBER(SnapshotTable[[#This Row],[SP Book Price]]))</f>
        <v>0</v>
      </c>
      <c r="BX255" s="419" t="b">
        <f>AND(SnapshotTable[[#This Row],[SP Is Booked]], NOT(ISBLANK(SnapshotTable[[#This Row],[SP Fill Date]])))</f>
        <v>0</v>
      </c>
      <c r="BY255" s="33">
        <f>IF(SnapshotTable[[#This Row],[SP Is Booked]], SnapshotTable[[#This Row],[SP Qty]] * SnapshotTable[[#This Row],[SP Book Price]] * 100, 0)</f>
        <v>0</v>
      </c>
      <c r="BZ255" s="369"/>
      <c r="CA255" s="368">
        <f>SnapshotTable[[#This Row],[LP Qty]]</f>
        <v>0</v>
      </c>
      <c r="CB255" s="4" t="str">
        <f>IF(SnapshotTable[[#This Row],[SP Is Booked]], SnapshotTable[[#This Row],[SP Strike Price]] - SnapshotTable[[#This Row],[SP Book Price]], "")</f>
        <v/>
      </c>
      <c r="CC255" s="19" t="str">
        <f>IF(SnapshotTable[[#This Row],[SP Is Booked]],SnapshotTable[[#This Row],[SP Exp Date]]-MAX(SnapshotTable[[#This Row],[SP Book Date]], SnapshotTable[[#This Row],[SP Fill Date]]),"")</f>
        <v/>
      </c>
      <c r="CD255" s="7" t="str">
        <f>IF(SnapshotTable[[#This Row],[SP Is Booked]], SnapshotTable[[#This Row],[SP Book Price]]/SnapshotTable[[#This Row],[SP Strike Price]], "")</f>
        <v/>
      </c>
      <c r="CE255" s="7" t="str">
        <f>IF(ISNUMBER(SnapshotTable[[#This Row],[SP ROO Term]]),SnapshotTable[[#This Row],[SP ROO Term]]*(365/SnapshotTable[[#This Row],[SP Term]]),"")</f>
        <v/>
      </c>
      <c r="CF255" s="236">
        <f>SnapshotTable[[#This Row],[LP Strike Price]] * SnapshotTable[[#This Row],[LP Qty]] * 100</f>
        <v>0</v>
      </c>
      <c r="CG255" s="31" t="e">
        <f>IF(ISNUMBER(SnapshotTable[[#This Row],[SP Premium]]), (SnapshotTable[[#This Row],[SP Qty]] * SnapshotTable[[#This Row],[SP Strike Price]]* 100) - SnapshotTable[[#This Row],[LP Protection]], 0)</f>
        <v>#VALUE!</v>
      </c>
      <c r="CH255" s="7" t="str">
        <f>IF(ISNUMBER(SnapshotTable[[#This Row],[SP Break Even]]),-1 * (SnapshotTable[[#This Row],[SP Break Even]] - SnapshotTable[[#This Row],[Last Price]]) / SnapshotTable[[#This Row],[Last Price]], "")</f>
        <v/>
      </c>
      <c r="CI255" s="31">
        <f>IF(AND(ISNUMBER((SnapshotTable[[#This Row],[SP Potential Spend]])), SnapshotTable[[#This Row],[SP Strike Price]] &gt; SnapshotTable[[#This Row],[Last Price]], SnapshotTable[[#This Row],[SP Is Filled]]), SnapshotTable[[#This Row],[SP Potential Spend]] -  SnapshotTable[[#This Row],[LP Max Value]], 0)</f>
        <v>0</v>
      </c>
      <c r="CJ255" s="244"/>
      <c r="CK255" s="31" t="str">
        <f>IF(ISNUMBER(SnapshotTable[[#This Row],[SP Potential Spend]]),IF(ISNUMBER(SnapshotTable[[#This Row],[SP POW]]), SnapshotTable[[#This Row],[SP POW]] * SnapshotTable[[#This Row],[SP Potential Spend]], SnapshotTable[[#This Row],[SP Potential Spend]]), "")</f>
        <v/>
      </c>
      <c r="CL255" s="164" t="e">
        <f>IF(NOT(SnapshotTable[[#This Row],[SP Is Filled]]),(SnapshotTable[[#This Row],[SP Qty]] * SnapshotTable[[#This Row],[SP Strike Price]] * 100) - SnapshotTable[[#This Row],[LP Max Value]],"")</f>
        <v>#VALUE!</v>
      </c>
      <c r="CM255" s="31" t="str">
        <f>IF(SnapshotTable[[#This Row],[SP Actual Spend]]&lt;&gt;0, ((SnapshotTable[[#This Row],[SP Strike Price]]-SnapshotTable[[#This Row],[Last Price]]) *(SnapshotTable[[#This Row],[SP Qty]]*100) - SnapshotTable[[#This Row],[SP Premium]]) * - 1, "")</f>
        <v/>
      </c>
      <c r="CN255" s="78"/>
      <c r="CO255" s="369"/>
      <c r="CP255" s="4" t="str">
        <f>IF(SnapshotTable[[#This Row],[SP Is Filled]], btc_max_buyback_amount(SnapshotTable[[#This Row],[SP Fill Date]],SnapshotTable[[#This Row],[SP Exp Date]], SnapshotTable[[#This Row],[SP Book Price]]),"")</f>
        <v/>
      </c>
      <c r="CQ255" s="78"/>
      <c r="CR25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5" s="155" t="str">
        <f>IF(SnapshotTable[[#This Row],[SP Is Filled]], btc_next_cutoff_date(SnapshotTable[[#This Row],[SP Fill Date]],SnapshotTable[[#This Row],[SP Exp Date]]),"")</f>
        <v/>
      </c>
      <c r="CT255" s="235" t="str" cm="1">
        <f t="array" ref="CT255">IF(SnapshotTable[[#This Row],[SP Is Filled]], btc_should_buy_back(SnapshotTable[[#This Row],[SP Fill Date]], SnapshotTable[[#This Row],[SP Exp Date]], SnapshotTable[[#This Row],[SP Book Price]], SnapshotTable[[#This Row],[SP Current Ask]], MockToday, SnapshotTable[[#This Row],[SP Buyback Override]]),"")</f>
        <v/>
      </c>
      <c r="CU255" s="143"/>
      <c r="CV255" s="235"/>
      <c r="CW255" s="378" t="str">
        <f>IF(ISNUMBER( SnapshotTable[[#This Row],[SP Term]]), SnapshotTable[[#This Row],[SP Exp Date]] - MockToday,"")</f>
        <v/>
      </c>
      <c r="CX255" s="31" t="str">
        <f>IF(SnapshotTable[[#This Row],[SP Is Filled]],SnapshotTable[[#This Row],[SP Buyback Price to Use]] * 100 * SnapshotTable[[#This Row],[SP Qty]], "")</f>
        <v/>
      </c>
      <c r="CY255" s="4" t="str">
        <f>IF(ISNUMBER(SnapshotTable[[#This Row],[SP Strike Price]]), SnapshotTable[[#This Row],[SP Strike Price]] * (1 - SP_MaxLoss_StrikePct), "")</f>
        <v/>
      </c>
      <c r="CZ255" s="31" t="str">
        <f>IF(ISNUMBER(SnapshotTable[[#This Row],[SP Strike  Stop Per Share]]),SnapshotTable[[#This Row],[SP Premium]] - ((SnapshotTable[[#This Row],[SP Strike Price]]-SnapshotTable[[#This Row],[SP Strike  Stop Per Share]]) *(SnapshotTable[[#This Row],[SP Qty]] * 100)),"")</f>
        <v/>
      </c>
      <c r="DA255" s="4" t="str">
        <f>IF(AND(ISNUMBER(SnapshotTable[[#This Row],[SP Premium]]),SnapshotTable[[#This Row],[SP Premium]]&gt;0), SnapshotTable[[#This Row],[SP Book Price]] * (1 + SP_MaxLoss_OptionPct), "")</f>
        <v/>
      </c>
      <c r="DB255" s="31" t="str">
        <f>IF(ISNUMBER(SnapshotTable[[#This Row],[SP Option  Stop Contract]]),(SnapshotTable[[#This Row],[SP Option  Stop Contract]] *(SnapshotTable[[#This Row],[SP Qty]] * 100) - SnapshotTable[[#This Row],[SP Premium]]),"")</f>
        <v/>
      </c>
      <c r="DC255" s="4"/>
      <c r="DD255" s="4"/>
      <c r="DE255" s="4" t="str">
        <f>IF(AND(SnapshotTable[[#This Row],[SP Qty]]&gt;0, SnapshotTable[[#This Row],[SP Stop To Use]]&gt;0),SnapshotTable[[#This Row],[SP Premium]] - ( SnapshotTable[[#This Row],[SP Qty]] * SnapshotTable[[#This Row],[SP Stop To Use]] * 100), "")</f>
        <v/>
      </c>
      <c r="DF255" s="31" t="str">
        <f>IF(AND(SnapshotTable[[#This Row],[SP Qty]]&gt;0,SnapshotTable[[#This Row],[SP Current Ask]]&gt;0), SnapshotTable[[#This Row],[SP Qty]] * SnapshotTable[[#This Row],[SP Current Ask]] * -100, "")</f>
        <v/>
      </c>
      <c r="DG255" s="31" t="str">
        <f>IF(ISNUMBER((SnapshotTable[[#This Row],[SP Total Value]])), SnapshotTable[[#This Row],[SP Premium]] + SnapshotTable[[#This Row],[SP Total Value]], "")</f>
        <v/>
      </c>
      <c r="DH255" s="294" t="str">
        <f>IF(ISNUMBER((SnapshotTable[[#This Row],[SP Total Value]])), SnapshotTable[[#This Row],[SP Gain Loss]] / SnapshotTable[[#This Row],[SP Premium]], "")</f>
        <v/>
      </c>
      <c r="DI255" s="406"/>
      <c r="DJ255" s="138"/>
      <c r="DK255" s="148"/>
      <c r="DL255" s="13"/>
      <c r="DM255" s="13"/>
      <c r="DO255" s="31">
        <f>IF(SnapshotTable[[#This Row],[LC Symbol Count]]=1, SnapshotTable[[#This Row],[LC Qty]] * SnapshotTable[[#This Row],[LC Book Price]] * 100, 0)</f>
        <v>0</v>
      </c>
      <c r="DP255" s="163" t="str">
        <f>IF(AND(SnapshotTable[[#This Row],[LC Exp Date]]&gt;0, SnapshotTable[[#This Row],[LC Strike Price]]&gt;0,SnapshotTable[[#This Row],[LC Qty]]&gt;0,SnapshotTable[[#This Row],[LC Book Date]]&gt;0,SnapshotTable[[#This Row],[LC Book Price]]&gt;0,SnapshotTable[[#This Row],[LC Fill Date]]=0),"Y","")</f>
        <v/>
      </c>
      <c r="DQ255" s="386" t="str">
        <f>IF(SnapshotTable[[#This Row],[LC Premium]] &gt; 0,SnapshotTable[[#This Row],[LC Exp Date]]-MAX(SnapshotTable[[#This Row],[LC Book Date]], SnapshotTable[[#This Row],[LC Fill Date]]),"")</f>
        <v/>
      </c>
      <c r="DR255" s="386" t="str">
        <f>IF(ISNUMBER(SnapshotTable[[#This Row],[LC Term]]), SnapshotTable[[#This Row],[LC Exp Date]] - MockToday, "")</f>
        <v/>
      </c>
      <c r="DS255" s="234" t="str">
        <f>IF(SnapshotTable[[#This Row],[LC Premium]]&gt;0,SnapshotTable[[#This Row],[LC Strike Price]] + SnapshotTable[[#This Row],[LC Book Price]],"")</f>
        <v/>
      </c>
      <c r="DU255" s="9" t="str">
        <f>IF(AND(SnapshotTable[[#This Row],[LC Symbol Count]]&gt;0, SnapshotTable[[#This Row],[LC Contract Value]]&gt;0), SnapshotTable[[#This Row],[LC Contract Value]] * SnapshotTable[[#This Row],[LC Qty]] * 100, "")</f>
        <v/>
      </c>
      <c r="DV255" s="9" t="str">
        <f>IF(AND(ISNUMBER(SnapshotTable[[#This Row],[LC Total Value]]), SnapshotTable[[#This Row],[LC Not Filled]]&lt;&gt;"Y"), SnapshotTable[[#This Row],[LC Total Value]]-SnapshotTable[[#This Row],[LC Premium]],"")</f>
        <v/>
      </c>
      <c r="DW255" s="240" t="str">
        <f>IF(ISNUMBER(SnapshotTable[[#This Row],[LC Actual Gain Loss]]), SnapshotTable[[#This Row],[LC Actual Gain Loss]] / SnapshotTable[[#This Row],[LC Premium]],"")</f>
        <v/>
      </c>
      <c r="DX255" s="284" t="str">
        <f>IF(ISNUMBER(SnapshotTable[[#This Row],[LC Book Price]]),SnapshotTable[[#This Row],[LC Book Price]] * 1.5,"")</f>
        <v/>
      </c>
      <c r="DY255" s="265" t="str">
        <f>IF(SnapshotTable[[#This Row],[LC Premium]]&gt;0, SnapshotTable[[#This Row],[LC Next Target]] * SnapshotTable[[#This Row],[LC Qty]] * 100,"")</f>
        <v/>
      </c>
      <c r="DZ255" s="265" t="str">
        <f>IF(ISNUMBER(SnapshotTable[[#This Row],[LC Target Gross]]), SnapshotTable[[#This Row],[LC Target Gross]] - SnapshotTable[[#This Row],[LC Premium]], "")</f>
        <v/>
      </c>
      <c r="EA255" s="305" t="str">
        <f>IF(ISNUMBER(SnapshotTable[[#This Row],[LC Target Gain Loss]]), SnapshotTable[[#This Row],[LC Target Gain Loss]]/SnapshotTable[[#This Row],[LC Premium]], "")</f>
        <v/>
      </c>
      <c r="EB255" s="262"/>
      <c r="EC255" s="283" t="str">
        <f>IF(SnapshotTable[[#This Row],[LC Premium]]&gt;0, SnapshotTable[[#This Row],[LC Book Price]] * (1 - LC_StopLoss_Pct),"")</f>
        <v/>
      </c>
      <c r="ED255" s="284"/>
      <c r="EE255" s="283" t="str">
        <f>IF(ISNUMBER(SnapshotTable[[#This Row],[LC Contract Value]]),IF(ISNUMBER(SnapshotTable[[#This Row],[LC Stop Loss Override]]), SnapshotTable[[#This Row],[LC Stop Loss Override]],SnapshotTable[[#This Row],[LC Stop Loss Calc Target]]),"")</f>
        <v/>
      </c>
      <c r="EF255" s="31" t="str">
        <f>IF(ISNUMBER(SnapshotTable[[#This Row],[LC Stop  To Use]]), (SnapshotTable[[#This Row],[LC Stop  To Use]] * SnapshotTable[[#This Row],[LC Qty]] * 100),"")</f>
        <v/>
      </c>
      <c r="EG255" s="9" t="str">
        <f>IF(ISNUMBER(SnapshotTable[[#This Row],[LC Total Value]]),SnapshotTable[[#This Row],[LC Stop Loss Amount]] - SnapshotTable[[#This Row],[LC Premium]],"")</f>
        <v/>
      </c>
      <c r="EH255" s="9">
        <f>IF(ISNUMBER(SnapshotTable[[#This Row],[LC Premium]]), SnapshotTable[[#This Row],[LC Qty]] * 100 * SnapshotTable[[#This Row],[LC Strike Price]], "")</f>
        <v>0</v>
      </c>
      <c r="EI255" s="240" t="str">
        <f>IF(AND(ISNUMBER(SnapshotTable[[#This Row],[LC Total Value]]),SnapshotTable[[#This Row],[LC Total Value]]&gt;0),SnapshotTable[[#This Row],[LC Stop Gain Loss]]  / SnapshotTable[[#This Row],[LC Premium]],"")</f>
        <v/>
      </c>
      <c r="EJ255" s="35">
        <f>IF(ISNUMBER(SnapshotTable[[#This Row],[Equity Shares]]),TRUNC(SnapshotTable[[#This Row],[Equity Shares]] / 100),0) + SnapshotTable[[#This Row],[LC Qty]]</f>
        <v>0</v>
      </c>
      <c r="EK255" s="147"/>
      <c r="EL255" s="138" t="str">
        <f>IF(SnapshotTable[[#This Row],[SC Exp Date]]&lt;&gt;"",TRUNC(SnapshotTable[[#This Row],[Last Price]]),"")</f>
        <v/>
      </c>
      <c r="EM255" s="148"/>
      <c r="EN255" s="147"/>
      <c r="EO255" s="147"/>
      <c r="EP255" s="138"/>
      <c r="EQ255" s="419" t="b">
        <f>AND(ISNUMBER(SnapshotTable[[#This Row],[SC Exp Date]]), ISNUMBER(SnapshotTable[[#This Row],[SC Strike Price]]), ISNUMBER(SnapshotTable[[#This Row],[SC Qty]]), ISNUMBER(SnapshotTable[[#This Row],[SC Book Date]]), ISNUMBER(SnapshotTable[[#This Row],[SC Book Price]]))</f>
        <v>0</v>
      </c>
      <c r="ER255" s="419" t="b">
        <f>AND(SnapshotTable[[#This Row],[SC Is Booked]], NOT(ISBLANK(SnapshotTable[[#This Row],[SC Fill Date]])))</f>
        <v>0</v>
      </c>
      <c r="ES255" s="370"/>
      <c r="ET255" s="34" t="str">
        <f>IF(AND(ISNUMBER(SnapshotTable[[#This Row],[SC Exp Date]]), ISNUMBER(SnapshotTable[[#This Row],[SC Book Date]])), SnapshotTable[[#This Row],[SC Exp Date]] - MAX(SnapshotTable[[#This Row],[SC Book Date]], SnapshotTable[[#This Row],[SC Fill Date]]) + 1, "")</f>
        <v/>
      </c>
      <c r="EU255" s="34" t="str">
        <f>IF(ISNUMBER(SnapshotTable[[#This Row],[SC Term]]), SnapshotTable[[#This Row],[SC Exp Date]]- MockToday, "")</f>
        <v/>
      </c>
      <c r="EV255" s="31">
        <f>IF(SnapshotTable[[#This Row],[SC Is Booked]], SnapshotTable[[#This Row],[SC Qty]] * SnapshotTable[[#This Row],[SC Book Price]] * 100, 0)</f>
        <v>0</v>
      </c>
      <c r="EW255" s="4" t="str">
        <f>IF(AND(ISNUMBER(SnapshotTable[[#This Row],[Last Price]]), ISNUMBER( SnapshotTable[[#This Row],[SC Book Price]])), SnapshotTable[[#This Row],[Last Price]] - SnapshotTable[[#This Row],[SC Book Price]],"")</f>
        <v/>
      </c>
      <c r="EX255" s="234" t="str">
        <f>IF(SnapshotTable[[#This Row],[SC Is Booked]],IF(SnapshotTable[[#This Row],[SC Intrinsic Value]] &gt; 0, SnapshotTable[[#This Row],[SC Strike Price]], SnapshotTable[[#This Row],[Last Price]]), "")</f>
        <v/>
      </c>
      <c r="EY255" s="4">
        <f>IF(SnapshotTable[[#This Row],[SC Is Booked]], (MinimumPremiumRequired * SnapshotTable[[#This Row],[SC Basis]] * SnapshotTable[[#This Row],[SC Term]]), 0)</f>
        <v>0</v>
      </c>
      <c r="EZ255" s="283"/>
      <c r="FA255" s="218"/>
      <c r="FB255" s="370"/>
      <c r="FC255" s="4">
        <f>IF(SnapshotTable[[#This Row],[SC Is Filled]], btc_max_buyback_amount(SnapshotTable[[#This Row],[SC Fill Date]],SnapshotTable[[#This Row],[SC Exp Date]], SnapshotTable[[#This Row],[SC Book Price]]),0)</f>
        <v>0</v>
      </c>
      <c r="FD255" s="5"/>
      <c r="FE255" s="144" t="str">
        <f>IF(SnapshotTable[[#This Row],[SC Is Filled]], btc_next_cutoff_date(SnapshotTable[[#This Row],[SC Fill Date]],SnapshotTable[[#This Row],[SC Exp Date]]),"")</f>
        <v/>
      </c>
      <c r="FF255" s="4" t="str" cm="1">
        <f t="array" ref="FF255">IF(SnapshotTable[[#This Row],[SC Is Filled]], btc_should_buy_back(SnapshotTable[[#This Row],[SC Fill Date]], SnapshotTable[[#This Row],[SC Exp Date]], SnapshotTable[[#This Row],[SC Book Price]], SnapshotTable[[#This Row],[SC Current Ask]], MockToday, SnapshotTable[[#This Row],[SC Buyback Override]]),"")</f>
        <v/>
      </c>
      <c r="FG255" s="4">
        <f>IF(SnapshotTable[[#This Row],[SC Is Filled]], MAX(0,SnapshotTable[[#This Row],[Last Price]]  - SnapshotTable[[#This Row],[SC Strike Price]]), 0)</f>
        <v>0</v>
      </c>
      <c r="FH255" s="382">
        <f>IF(SnapshotTable[[#This Row],[SC Is Filled]], IF(ISNUMBER(SnapshotTable[[#This Row],[SC Current Ask]]), SnapshotTable[[#This Row],[SC Current Ask]], SnapshotTable[[#This Row],[SC Book Price]]) - SnapshotTable[[#This Row],[SC Intrinsic Value]], 0)</f>
        <v>0</v>
      </c>
      <c r="FI255" s="143"/>
      <c r="FJ255" s="32" t="str">
        <f>IF(SnapshotTable[[#This Row],[SC Is Filled]],100 * SnapshotTable[[#This Row],[SC Qty]] * IF(ISNUMBER(SnapshotTable[[#This Row],[SC Buyback Override]]), SnapshotTable[[#This Row],[SC Buyback Override]], SnapshotTable[[#This Row],[SC Current Ask]]), "")</f>
        <v/>
      </c>
      <c r="FK255" s="250" t="str">
        <f>IF(SnapshotTable[[#This Row],[SC Time Val]]&gt;0, SnapshotTable[[#This Row],[SC Time Val]] / SnapshotTable[[#This Row],[Last Price]],"")</f>
        <v/>
      </c>
      <c r="FL255" s="302" t="str">
        <f>IF(SnapshotTable[[#This Row],[SC Is Booked]], ((SnapshotTable[[#This Row],[Last Price]] -SnapshotTable[[#This Row],[SC Strike Price]]) / SnapshotTable[[#This Row],[Last Price]]) * -1, "")</f>
        <v/>
      </c>
      <c r="FM255" s="157" t="str">
        <f>IF(SnapshotTable[[#This Row],[SC Is Booked]],  (SnapshotTable[[#This Row],[SC Qty]] * 100 * SnapshotTable[[#This Row],[SC Strike Price]]) - SnapshotTable[[#This Row],[SC Current Ask]], "")</f>
        <v/>
      </c>
      <c r="FN25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5" s="31" t="str">
        <f>IF(AND(ISNUMBER(SnapshotTable[[#This Row],[SC Exercise Gross]]), ISNUMBER(SnapshotTable[[#This Row],[Equity Basis Per Share]] )), SnapshotTable[[#This Row],[SC Exercise Gross]] - SnapshotTable[[#This Row],[Equity Basis Total]] +  SnapshotTable[[#This Row],[SC Premium]], "")</f>
        <v/>
      </c>
      <c r="FP255" s="5" t="str">
        <f>IF(ISNUMBER(SnapshotTable[[#This Row],[SC Exercise Gross]]), (SnapshotTable[[#This Row],[SC Exercise Gross]]) / (SnapshotTable[[#This Row],[SC Qty]] * 100), "")</f>
        <v/>
      </c>
      <c r="FQ255" s="27" t="str">
        <f>IF(SnapshotTable[[#This Row],[SC Is Booked]],SnapshotTable[[#This Row],[SC Time Val]] /SnapshotTable[[#This Row],[SC Basis]], "")</f>
        <v/>
      </c>
      <c r="FR255" s="27" t="str" cm="1">
        <f t="array" ref="FR255">IF(AND(ISNUMBER(SnapshotTable[[#This Row],[SC Term]]),ISNUMBER(SnapshotTable[[#This Row],[SC Simple ROO]])), EllmanAnnualize(SnapshotTable[[#This Row],[SC DTE]], SnapshotTable[[#This Row],[SC Simple ROO]] ),"")</f>
        <v/>
      </c>
      <c r="FS255" s="4" t="e">
        <f>IF(SnapshotTable[[#This Row],[SC Strike Price]] &gt; SnapshotTable[[#This Row],[Last Price]], SnapshotTable[[#This Row],[SC Strike Price]] - SnapshotTable[[#This Row],[Last Price]],0)</f>
        <v>#VALUE!</v>
      </c>
      <c r="FT255" s="27" t="e">
        <f>IF(AND(ISNUMBER(SnapshotTable[[#This Row],[SC Upside Potential]]), SnapshotTable[[#This Row],[SC Upside Potential]] &gt; 0),(SnapshotTable[[#This Row],[SC Upside Potential]]/ SnapshotTable[[#This Row],[ACB]]),"")</f>
        <v>#VALUE!</v>
      </c>
      <c r="FU255" s="333" t="str">
        <f>IF(SnapshotTable[[#This Row],[SC Intrinsic Value]] &gt; 0,SnapshotTable[[#This Row],[SC Intrinsic Value]],"")</f>
        <v/>
      </c>
      <c r="FV255" s="27" t="str">
        <f>IF(AND( ISNUMBER( SnapshotTable[[#This Row],[ACB]]),ISNUMBER(SnapshotTable[[#This Row],[SC Downside Protect]])),SnapshotTable[[#This Row],[SC Downside Protect]] / SnapshotTable[[#This Row],[ACB]],"")</f>
        <v/>
      </c>
      <c r="FW255" s="236" t="str">
        <f>IF(AND(ISNUMBER(SnapshotTable[[#This Row],[SC Simple ROO]]),SnapshotTable[[#This Row],[SC Simple ROO]] &gt; 0), SnapshotTable[[#This Row],[SC Premium]] + (SnapshotTable[[#This Row],[SC Qty]] * SnapshotTable[[#This Row],[SC Upside Potential]]), "")</f>
        <v/>
      </c>
      <c r="FX255" s="302" t="str" cm="1">
        <f t="array" ref="FX255">IF(ISNUMBER(SnapshotTable[[#This Row],[SC Max Dollars]]), annualize(SnapshotTable[[#This Row],[SC Term]],(SnapshotTable[[#This Row],[SC Max Dollars]]/SnapshotTable[[#This Row],[SC Basis]])),"")</f>
        <v/>
      </c>
      <c r="FY255" s="236" t="str">
        <f>IF(AND(SnapshotTable[[#This Row],[SC Qty]]&gt;0,SnapshotTable[[#This Row],[SC Current Ask]]&gt;0), SnapshotTable[[#This Row],[SC Qty]] * SnapshotTable[[#This Row],[SC Current Ask]] * -100, "")</f>
        <v/>
      </c>
      <c r="FZ255" s="31" t="str">
        <f>IF(ISNUMBER((SnapshotTable[[#This Row],[SC Current Value]])), SnapshotTable[[#This Row],[SC Premium]] + SnapshotTable[[#This Row],[SC Current Value]], "")</f>
        <v/>
      </c>
      <c r="GA255" s="294" t="str">
        <f>IFERROR( IF(ISNUMBER((SnapshotTable[[#This Row],[SC Current Value]])), SnapshotTable[[#This Row],[SC Gain Loss]] / SnapshotTable[[#This Row],[SC Premium]], ""), "")</f>
        <v/>
      </c>
      <c r="GB255" s="42">
        <f>SnapshotTable[[#This Row],[Equity Shares]] * SaleSharesToConsiderPercentage</f>
        <v>0</v>
      </c>
      <c r="GC255" s="40">
        <f>SnapshotTable[[#This Row],[Long Term Target]] * SellingPriceToConsiderBasedOnTargetPercentage</f>
        <v>0</v>
      </c>
      <c r="GD255" s="40">
        <f>SnapshotTable[[#This Row],[Last Price]] * (1+ SellingPriceToConsiderBasedOnTargetPercentage)</f>
        <v>16.672499999999999</v>
      </c>
      <c r="GE255" s="41"/>
      <c r="GF255" s="40"/>
      <c r="GG255" s="31">
        <f>SnapshotTable[[#This Row],[Booked Sale Shares]] * SnapshotTable[[#This Row],[Booked Sale Price]]</f>
        <v>0</v>
      </c>
      <c r="GH255" s="31" t="str">
        <f>IF(SnapshotTable[[#This Row],[Equity Basis Total]] &gt; 0, SnapshotTable[[#This Row],[Equity Basis Per Share]] * SnapshotTable[[#This Row],[Booked Sale Shares]], "")</f>
        <v/>
      </c>
      <c r="GI255" s="31">
        <f>IF(SnapshotTable[[#This Row],[Sale Proceeds]]&gt;0, SnapshotTable[[#This Row],[Sale Proceeds]] - SnapshotTable[[#This Row],[Sale Basis]], 0)</f>
        <v>0</v>
      </c>
      <c r="GJ255" s="27" t="str">
        <f>IF(SnapshotTable[[#This Row],[Sale G/L]]&gt;0, SnapshotTable[[#This Row],[Sale G/L]] / SnapshotTable[[#This Row],[Sale Basis]], IF(ISNUMBER(SnapshotTable[[#This Row],[SC Exercise P&amp;L (TAX)]]), SnapshotTable[[#This Row],[SC Exercise P&amp;L (TAX)]] / SnapshotTable[[#This Row],[SC Basis]], ""))</f>
        <v/>
      </c>
      <c r="GK255" s="27"/>
      <c r="GL255" s="43" t="str">
        <f>IF(AND(SnapshotTable[[#This Row],[LP Exp Date]]&gt;0,SnapshotTable[[#This Row],[LP Strike Price]]&gt;0), [1]!ToOptionSymbol(SnapshotTable[[#This Row],[Symbol]], SnapshotTable[[#This Row],[LP Strike Price]],SnapshotTable[[#This Row],[LP Exp Date]],1), "")</f>
        <v/>
      </c>
      <c r="GM255" s="30" t="str">
        <f>IF(LEN(SnapshotTable[[#This Row],[LP Symbol]])&gt;0, 1, "")</f>
        <v/>
      </c>
      <c r="GN255" s="43" t="str">
        <f>IF(AND(SnapshotTable[[#This Row],[SP Exp Date]]&gt;0,SnapshotTable[[#This Row],[SP Strike Price]]&gt;0), [1]!ToOptionSymbol(SnapshotTable[[#This Row],[Symbol]], SnapshotTable[[#This Row],[SP Strike Price]],SnapshotTable[[#This Row],[SP Exp Date]],1), "")</f>
        <v/>
      </c>
      <c r="GO255" s="30" t="str">
        <f>IF(LEN(SnapshotTable[[#This Row],[SP Symbol]])&gt;0, 1, "")</f>
        <v/>
      </c>
      <c r="GP255" s="43" t="str">
        <f>IF(AND(SnapshotTable[[#This Row],[LC Exp Date]]&gt;0,SnapshotTable[[#This Row],[LC Strike Price]]&gt;0), [1]!ToOptionSymbol(SnapshotTable[[#This Row],[Symbol]], SnapshotTable[[#This Row],[LC Strike Price]],SnapshotTable[[#This Row],[LC Exp Date]],0), "")</f>
        <v/>
      </c>
      <c r="GQ255" s="30" t="str">
        <f>IF(LEN(SnapshotTable[[#This Row],[LC Symbol]])&gt;0, 1, "")</f>
        <v/>
      </c>
      <c r="GR255" s="43" t="str">
        <f>IF(AND(SnapshotTable[[#This Row],[SC Exp Date]]&gt;0,SnapshotTable[[#This Row],[SC Strike Price]]&gt;0), [1]!ToOptionSymbol(SnapshotTable[[#This Row],[Symbol]], SnapshotTable[[#This Row],[SC Strike Price]],SnapshotTable[[#This Row],[SC Exp Date]],0), "")</f>
        <v/>
      </c>
      <c r="GS255" s="30" t="str">
        <f>IF(LEN(SnapshotTable[[#This Row],[SC Symbol]])&gt;0, 1, "")</f>
        <v/>
      </c>
      <c r="GT255" s="29" t="str">
        <f>IF(COUNT(SnapshotTable[[#This Row],[LP Symbol Count]],SnapshotTable[[#This Row],[SP Symbol Count]],SnapshotTable[[#This Row],[LC Symbol Count]],SnapshotTable[[#This Row],[SC Symbol Count]])&gt;0, "Y", "")</f>
        <v/>
      </c>
      <c r="GU25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5" s="231" t="e">
        <f>MAX(SnapshotTable[[#This Row],[Equity Basis Total]],SnapshotTable[[#This Row],[Equity Value]]) + (SnapshotTable[[#This Row],[SP Potential Spend]]- SnapshotTable[[#This Row],[SP Premium]] + SnapshotTable[[#This Row],[LP Premium]])+ (SnapshotTable[[#This Row],[LC Premium]] - SnapshotTable[[#This Row],[SC Premium]])</f>
        <v>#VALUE!</v>
      </c>
      <c r="GW255" s="139" t="e">
        <f>IF(AND(SnapshotTable[[#This Row],[Exposure]] &lt;&gt; 0),SnapshotTable[[#This Row],[Exposure]] / SnapshotTable[[#Totals],[Exposure]], "")</f>
        <v>#VALUE!</v>
      </c>
      <c r="GX255" s="13"/>
      <c r="HK255" s="1"/>
      <c r="HL255" s="1"/>
      <c r="HM255" s="1"/>
      <c r="HN255" s="1"/>
      <c r="HO255" s="1"/>
      <c r="HP255" s="1"/>
    </row>
    <row r="256" spans="2:224" ht="12.75" hidden="1" customHeight="1" x14ac:dyDescent="0.25">
      <c r="B256" s="12" t="s">
        <v>122</v>
      </c>
      <c r="C256" s="422">
        <v>4.47</v>
      </c>
      <c r="D256" s="208" t="s">
        <v>578</v>
      </c>
      <c r="E256" s="39">
        <f>SnapshotTable[[#This Row],[Last Price]]*(1 -CrashDiscount)</f>
        <v>3.7994999999999997</v>
      </c>
      <c r="F256" s="26" t="s">
        <v>39</v>
      </c>
      <c r="G256" s="26" t="s">
        <v>9</v>
      </c>
      <c r="H256" s="149"/>
      <c r="I256" s="194">
        <v>44763.673611111109</v>
      </c>
      <c r="J256" s="195">
        <v>44763.673611111109</v>
      </c>
      <c r="K256" s="196"/>
      <c r="L256" s="326"/>
      <c r="M256" s="140"/>
      <c r="N256" s="140"/>
      <c r="O256" s="140"/>
      <c r="P256" s="22"/>
      <c r="Q256" s="25"/>
      <c r="R256" s="4" t="str">
        <f>IF(SnapshotTable[[#This Row],[Equity Basis Total]] &gt; 0, SnapshotTable[[#This Row],[Equity Basis Total]] / SnapshotTable[[#This Row],[Equity Shares]], "")</f>
        <v/>
      </c>
      <c r="S256" s="269">
        <f>SnapshotTable[[#This Row],[Last Price]] * SnapshotTable[[#This Row],[Equity Shares]]</f>
        <v>0</v>
      </c>
      <c r="T256" s="269">
        <f>SnapshotTable[[#This Row],[Equity Value]] - SnapshotTable[[#This Row],[Equity Basis Total]]</f>
        <v>0</v>
      </c>
      <c r="U256" s="270" t="str">
        <f>IF(SnapshotTable[[#This Row],[Equity Basis Total]] &gt; 0, SnapshotTable[[#This Row],[Equity G/L]] / SnapshotTable[[#This Row],[Equity Basis Total]], "")</f>
        <v/>
      </c>
      <c r="V256" s="268">
        <v>75</v>
      </c>
      <c r="W256" s="268">
        <v>63.05</v>
      </c>
      <c r="X256" s="4" t="str">
        <f>IF(AND(ISNUMBER(SnapshotTable[[#This Row],[Equity Basis Per Share]]),ISNUMBER(SnapshotTable[[#This Row],[Equity Target]])),SnapshotTable[[#This Row],[Equity Target]]-SnapshotTable[[#This Row],[Equity Basis Per Share]],"")</f>
        <v/>
      </c>
      <c r="Y256" s="4" t="str">
        <f>IF(AND(ISNUMBER(SnapshotTable[[#This Row],[Equity Basis Per Share]]),ISNUMBER(SnapshotTable[[#This Row],[Equity Stop Loss]])),SnapshotTable[[#This Row],[Equity Stop Loss]]-SnapshotTable[[#This Row],[Equity Basis Per Share]],"")</f>
        <v/>
      </c>
      <c r="Z256" s="275" t="str">
        <f>IFERROR( TEXT(SnapshotTable[[#This Row],[Equity Max Gain Per Share]] /ABS( SnapshotTable[[#This Row],[Equity Max Loss Per Share]]),"0.0 " ) &amp; " : 1", "")</f>
        <v/>
      </c>
      <c r="AA256" s="31" t="str">
        <f>IF(ISNUMBER(SnapshotTable[[#This Row],[Equity Max Gain Per Share]]),SnapshotTable[[#This Row],[Equity Max Gain Per Share]] * SnapshotTable[[#This Row],[Equity Shares]],"")</f>
        <v/>
      </c>
      <c r="AB256" s="31" t="str">
        <f>IF(ISNUMBER(SnapshotTable[[#This Row],[Equity Max Loss Per Share]]),SnapshotTable[[#This Row],[Equity Max Loss Per Share]] * SnapshotTable[[#This Row],[Equity Shares]],"")</f>
        <v/>
      </c>
      <c r="AC256" s="150"/>
      <c r="AD256" s="151"/>
      <c r="AE256" s="31">
        <f>(SnapshotTable[[#This Row],[Annual Dividend Per Share]] / 4) * SnapshotTable[[#This Row],[Equity Shares]]</f>
        <v>0</v>
      </c>
      <c r="AF256" s="31">
        <f>SnapshotTable[[#This Row],[Quarterly Div $]] * 4</f>
        <v>0</v>
      </c>
      <c r="AG256" s="7">
        <f>IF(SnapshotTable[[#This Row],[Annual Dividend Per Share]]&gt;0, SnapshotTable[[#This Row],[Annual Dividend Per Share]]  / SnapshotTable[[#This Row],[Last Price]], 0)</f>
        <v>0</v>
      </c>
      <c r="AH256" s="151"/>
      <c r="AI256" s="5"/>
      <c r="AJ256" s="138">
        <v>77.12</v>
      </c>
      <c r="AK256" s="152" t="str">
        <f>IF(ISNUMBER( SnapshotTable[[#This Row],[EBF Target]]),(SnapshotTable[[#This Row],[EBF Target]] - SnapshotTable[[#This Row],[Last Price]]) / SnapshotTable[[#This Row],[Last Price]], "")</f>
        <v/>
      </c>
      <c r="AL256" s="152" t="str">
        <f>IF(AND(SnapshotTable[[#This Row],[Equity Basis Total]] &gt; 0,ISNUMBER( SnapshotTable[[#This Row],[Long Term Target]])), SnapshotTable[[#This Row],[From Basis $]] / SnapshotTable[[#This Row],[Equity Basis Total]], "")</f>
        <v/>
      </c>
      <c r="AM256" s="9">
        <f>IF( AND(SnapshotTable[[#This Row],[Equity Shares]] &gt;0,ISNUMBER( SnapshotTable[[#This Row],[Long Term Target]])),(SnapshotTable[[#This Row],[Equity Shares]] * SnapshotTable[[#This Row],[Long Term Target]]) - SnapshotTable[[#This Row],[Equity Basis Total]],0)</f>
        <v>0</v>
      </c>
      <c r="AN256" s="9">
        <f>IF( AND(SnapshotTable[[#This Row],[Equity Shares]] &gt;0,ISNUMBER( SnapshotTable[[#This Row],[Long Term Target]])),(SnapshotTable[[#This Row],[Equity Shares]]*SnapshotTable[[#This Row],[Long Term Target]]) - SnapshotTable[[#This Row],[Equity Value]],0)</f>
        <v>0</v>
      </c>
      <c r="AO256" s="152">
        <f>IF(AND(ISNUMBER( SnapshotTable[[#This Row],[Long Term Target]]), ISNUMBER(SnapshotTable[[#This Row],[Last Price]])),(SnapshotTable[[#This Row],[Long Term Target]] - SnapshotTable[[#This Row],[Last Price]]) / SnapshotTable[[#This Row],[Last Price]], "")</f>
        <v>16.252796420581657</v>
      </c>
      <c r="AP256" s="5">
        <v>75</v>
      </c>
      <c r="AQ256" s="38" t="s">
        <v>89</v>
      </c>
      <c r="AR256" s="5">
        <v>63.05</v>
      </c>
      <c r="AS256" s="38" t="s">
        <v>32</v>
      </c>
      <c r="AT256" s="146"/>
      <c r="AU256" s="187" t="str">
        <f>IF(OR(SnapshotTable[[#This Row],[LP No Fill]]="Y",SnapshotTable[[#This Row],[SP Is Filled]],SnapshotTable[[#This Row],[LC Not Filled]]="Y",SnapshotTable[[#This Row],[SC Is Filled]]),"Y","")</f>
        <v/>
      </c>
      <c r="AV256" s="219"/>
      <c r="AW256" s="225">
        <v>3.4329999999999998</v>
      </c>
      <c r="AX256" s="220">
        <v>44127</v>
      </c>
      <c r="AY256" s="219">
        <f>IF(SnapshotTable[[#This Row],[Implied Move]]&gt;0, SnapshotTable[[#This Row],[Last Price]]-SnapshotTable[[#This Row],[Implied Move]],"")</f>
        <v>1.0369999999999999</v>
      </c>
      <c r="AZ256" s="219">
        <f>IF(SnapshotTable[[#This Row],[Implied Move]]&gt;0, SnapshotTable[[#This Row],[Last Price]] + SnapshotTable[[#This Row],[Implied Move]],"")</f>
        <v>7.9029999999999996</v>
      </c>
      <c r="BA256" s="331">
        <v>66.48</v>
      </c>
      <c r="BB256" s="347"/>
      <c r="BC25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6" s="351"/>
      <c r="BE256" s="5"/>
      <c r="BF256" s="14"/>
      <c r="BG256" s="13"/>
      <c r="BH256" s="13"/>
      <c r="BI256" s="5"/>
      <c r="BJ256" s="136">
        <f>IF(SnapshotTable[[#This Row],[LP Qty]] &gt; 0, SnapshotTable[[#This Row],[LP Qty]] * SnapshotTable[[#This Row],[LP Book Price]] * 100,0)</f>
        <v>0</v>
      </c>
      <c r="BK256" s="136">
        <f>IF(SnapshotTable[[#This Row],[LP Premium]] &gt; 0, SnapshotTable[[#This Row],[LP Qty]] * SnapshotTable[[#This Row],[LP Strike Price]] * 100,0)</f>
        <v>0</v>
      </c>
      <c r="BL256" s="154"/>
      <c r="BM256" s="385" t="str">
        <f>IF(SnapshotTable[[#This Row],[LP Premium]] &gt; 0,SnapshotTable[[#This Row],[LP Exp Date]]-MAX(SnapshotTable[[#This Row],[LP Book Date]], SnapshotTable[[#This Row],[LP Fill Date]]),"")</f>
        <v/>
      </c>
      <c r="BN256" s="385" t="str">
        <f>IF(ISNUMBER( SnapshotTable[[#This Row],[LP Term]]), SnapshotTable[[#This Row],[LP Exp Date]] - MockToday,"")</f>
        <v/>
      </c>
      <c r="BO256" s="163" t="str">
        <f>IF(AND(SnapshotTable[[#This Row],[LP Exp Date]]&gt;0, SnapshotTable[[#This Row],[LP Strike Price]]&gt;0,SnapshotTable[[#This Row],[LP Qty]]&gt;0,SnapshotTable[[#This Row],[LP Book Date]]&gt;0,SnapshotTable[[#This Row],[LP Book Price]]&gt;0,SnapshotTable[[#This Row],[LP Fill Date]]=0),"Y","")</f>
        <v/>
      </c>
      <c r="BP256" s="31" t="str">
        <f>IF(AND(SnapshotTable[[#This Row],[LP No Fill]]&lt;&gt;"Y",SnapshotTable[[#This Row],[LP Contract Value]]&gt;0, SnapshotTable[[#This Row],[LP Qty]]&gt;0), SnapshotTable[[#This Row],[LP Contract Value]]*SnapshotTable[[#This Row],[LP Qty]]*100,"")</f>
        <v/>
      </c>
      <c r="BQ256" s="13"/>
      <c r="BR256" s="5" t="str">
        <f>IF(SnapshotTable[[#This Row],[SP Exp Date]]&lt;&gt;"",TRUNC(SnapshotTable[[#This Row],[Last Price]]),"")</f>
        <v/>
      </c>
      <c r="BS256" s="36"/>
      <c r="BT256" s="147"/>
      <c r="BU256" s="13"/>
      <c r="BV256" s="5"/>
      <c r="BW256" s="419" t="b">
        <f>AND(ISNUMBER(SnapshotTable[[#This Row],[SP Exp Date]]), ISNUMBER(SnapshotTable[[#This Row],[SP Strike Price]]), ISNUMBER(SnapshotTable[[#This Row],[SP Qty]]), ISNUMBER(SnapshotTable[[#This Row],[SP Book Date]]), ISNUMBER(SnapshotTable[[#This Row],[SP Book Price]]))</f>
        <v>0</v>
      </c>
      <c r="BX256" s="419" t="b">
        <f>AND(SnapshotTable[[#This Row],[SP Is Booked]], NOT(ISBLANK(SnapshotTable[[#This Row],[SP Fill Date]])))</f>
        <v>0</v>
      </c>
      <c r="BY256" s="33">
        <f>IF(SnapshotTable[[#This Row],[SP Is Booked]], SnapshotTable[[#This Row],[SP Qty]] * SnapshotTable[[#This Row],[SP Book Price]] * 100, 0)</f>
        <v>0</v>
      </c>
      <c r="BZ256" s="369"/>
      <c r="CA256" s="368">
        <f>SnapshotTable[[#This Row],[LP Qty]]</f>
        <v>0</v>
      </c>
      <c r="CB256" s="4" t="str">
        <f>IF(SnapshotTable[[#This Row],[SP Is Booked]], SnapshotTable[[#This Row],[SP Strike Price]] - SnapshotTable[[#This Row],[SP Book Price]], "")</f>
        <v/>
      </c>
      <c r="CC256" s="19" t="str">
        <f>IF(SnapshotTable[[#This Row],[SP Is Booked]],SnapshotTable[[#This Row],[SP Exp Date]]-MAX(SnapshotTable[[#This Row],[SP Book Date]], SnapshotTable[[#This Row],[SP Fill Date]]),"")</f>
        <v/>
      </c>
      <c r="CD256" s="7" t="str">
        <f>IF(SnapshotTable[[#This Row],[SP Is Booked]], SnapshotTable[[#This Row],[SP Book Price]]/SnapshotTable[[#This Row],[SP Strike Price]], "")</f>
        <v/>
      </c>
      <c r="CE256" s="7" t="str">
        <f>IF(ISNUMBER(SnapshotTable[[#This Row],[SP ROO Term]]),SnapshotTable[[#This Row],[SP ROO Term]]*(365/SnapshotTable[[#This Row],[SP Term]]),"")</f>
        <v/>
      </c>
      <c r="CF256" s="236">
        <f>SnapshotTable[[#This Row],[LP Strike Price]] * SnapshotTable[[#This Row],[LP Qty]] * 100</f>
        <v>0</v>
      </c>
      <c r="CG256" s="31" t="e">
        <f>IF(ISNUMBER(SnapshotTable[[#This Row],[SP Premium]]), (SnapshotTable[[#This Row],[SP Qty]] * SnapshotTable[[#This Row],[SP Strike Price]]* 100) - SnapshotTable[[#This Row],[LP Protection]], 0)</f>
        <v>#VALUE!</v>
      </c>
      <c r="CH256" s="7" t="str">
        <f>IF(ISNUMBER(SnapshotTable[[#This Row],[SP Break Even]]),-1 * (SnapshotTable[[#This Row],[SP Break Even]] - SnapshotTable[[#This Row],[Last Price]]) / SnapshotTable[[#This Row],[Last Price]], "")</f>
        <v/>
      </c>
      <c r="CI256" s="31">
        <f>IF(AND(ISNUMBER((SnapshotTable[[#This Row],[SP Potential Spend]])), SnapshotTable[[#This Row],[SP Strike Price]] &gt; SnapshotTable[[#This Row],[Last Price]], SnapshotTable[[#This Row],[SP Is Filled]]), SnapshotTable[[#This Row],[SP Potential Spend]] -  SnapshotTable[[#This Row],[LP Max Value]], 0)</f>
        <v>0</v>
      </c>
      <c r="CJ256" s="244"/>
      <c r="CK256" s="31" t="str">
        <f>IF(ISNUMBER(SnapshotTable[[#This Row],[SP Potential Spend]]),IF(ISNUMBER(SnapshotTable[[#This Row],[SP POW]]), SnapshotTable[[#This Row],[SP POW]] * SnapshotTable[[#This Row],[SP Potential Spend]], SnapshotTable[[#This Row],[SP Potential Spend]]), "")</f>
        <v/>
      </c>
      <c r="CL256" s="164" t="e">
        <f>IF(NOT(SnapshotTable[[#This Row],[SP Is Filled]]),(SnapshotTable[[#This Row],[SP Qty]] * SnapshotTable[[#This Row],[SP Strike Price]] * 100) - SnapshotTable[[#This Row],[LP Max Value]],"")</f>
        <v>#VALUE!</v>
      </c>
      <c r="CM256" s="31" t="str">
        <f>IF(SnapshotTable[[#This Row],[SP Actual Spend]]&lt;&gt;0, ((SnapshotTable[[#This Row],[SP Strike Price]]-SnapshotTable[[#This Row],[Last Price]]) *(SnapshotTable[[#This Row],[SP Qty]]*100) - SnapshotTable[[#This Row],[SP Premium]]) * - 1, "")</f>
        <v/>
      </c>
      <c r="CN256" s="78"/>
      <c r="CO256" s="369"/>
      <c r="CP256" s="4" t="str">
        <f>IF(SnapshotTable[[#This Row],[SP Is Filled]], btc_max_buyback_amount(SnapshotTable[[#This Row],[SP Fill Date]],SnapshotTable[[#This Row],[SP Exp Date]], SnapshotTable[[#This Row],[SP Book Price]]),"")</f>
        <v/>
      </c>
      <c r="CQ256" s="78"/>
      <c r="CR25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6" s="155" t="str">
        <f>IF(SnapshotTable[[#This Row],[SP Is Filled]], btc_next_cutoff_date(SnapshotTable[[#This Row],[SP Fill Date]],SnapshotTable[[#This Row],[SP Exp Date]]),"")</f>
        <v/>
      </c>
      <c r="CT256" s="235" t="str" cm="1">
        <f t="array" ref="CT256">IF(SnapshotTable[[#This Row],[SP Is Filled]], btc_should_buy_back(SnapshotTable[[#This Row],[SP Fill Date]], SnapshotTable[[#This Row],[SP Exp Date]], SnapshotTable[[#This Row],[SP Book Price]], SnapshotTable[[#This Row],[SP Current Ask]], MockToday, SnapshotTable[[#This Row],[SP Buyback Override]]),"")</f>
        <v/>
      </c>
      <c r="CU256" s="143"/>
      <c r="CV256" s="235"/>
      <c r="CW256" s="378" t="str">
        <f>IF(ISNUMBER( SnapshotTable[[#This Row],[SP Term]]), SnapshotTable[[#This Row],[SP Exp Date]] - MockToday,"")</f>
        <v/>
      </c>
      <c r="CX256" s="31" t="str">
        <f>IF(SnapshotTable[[#This Row],[SP Is Filled]],SnapshotTable[[#This Row],[SP Buyback Price to Use]] * 100 * SnapshotTable[[#This Row],[SP Qty]], "")</f>
        <v/>
      </c>
      <c r="CY256" s="4" t="str">
        <f>IF(ISNUMBER(SnapshotTable[[#This Row],[SP Strike Price]]), SnapshotTable[[#This Row],[SP Strike Price]] * (1 - SP_MaxLoss_StrikePct), "")</f>
        <v/>
      </c>
      <c r="CZ256" s="31" t="str">
        <f>IF(ISNUMBER(SnapshotTable[[#This Row],[SP Strike  Stop Per Share]]),SnapshotTable[[#This Row],[SP Premium]] - ((SnapshotTable[[#This Row],[SP Strike Price]]-SnapshotTable[[#This Row],[SP Strike  Stop Per Share]]) *(SnapshotTable[[#This Row],[SP Qty]] * 100)),"")</f>
        <v/>
      </c>
      <c r="DA256" s="4" t="str">
        <f>IF(AND(ISNUMBER(SnapshotTable[[#This Row],[SP Premium]]),SnapshotTable[[#This Row],[SP Premium]]&gt;0), SnapshotTable[[#This Row],[SP Book Price]] * (1 + SP_MaxLoss_OptionPct), "")</f>
        <v/>
      </c>
      <c r="DB256" s="31" t="str">
        <f>IF(ISNUMBER(SnapshotTable[[#This Row],[SP Option  Stop Contract]]),(SnapshotTable[[#This Row],[SP Option  Stop Contract]] *(SnapshotTable[[#This Row],[SP Qty]] * 100) - SnapshotTable[[#This Row],[SP Premium]]),"")</f>
        <v/>
      </c>
      <c r="DC256" s="4"/>
      <c r="DD256" s="4"/>
      <c r="DE256" s="4" t="str">
        <f>IF(AND(SnapshotTable[[#This Row],[SP Qty]]&gt;0, SnapshotTable[[#This Row],[SP Stop To Use]]&gt;0),SnapshotTable[[#This Row],[SP Premium]] - ( SnapshotTable[[#This Row],[SP Qty]] * SnapshotTable[[#This Row],[SP Stop To Use]] * 100), "")</f>
        <v/>
      </c>
      <c r="DF256" s="31" t="str">
        <f>IF(AND(SnapshotTable[[#This Row],[SP Qty]]&gt;0,SnapshotTable[[#This Row],[SP Current Ask]]&gt;0), SnapshotTable[[#This Row],[SP Qty]] * SnapshotTable[[#This Row],[SP Current Ask]] * -100, "")</f>
        <v/>
      </c>
      <c r="DG256" s="31" t="str">
        <f>IF(ISNUMBER((SnapshotTable[[#This Row],[SP Total Value]])), SnapshotTable[[#This Row],[SP Premium]] + SnapshotTable[[#This Row],[SP Total Value]], "")</f>
        <v/>
      </c>
      <c r="DH256" s="294" t="str">
        <f>IF(ISNUMBER((SnapshotTable[[#This Row],[SP Total Value]])), SnapshotTable[[#This Row],[SP Gain Loss]] / SnapshotTable[[#This Row],[SP Premium]], "")</f>
        <v/>
      </c>
      <c r="DI256" s="406"/>
      <c r="DJ256" s="138"/>
      <c r="DK256" s="148"/>
      <c r="DL256" s="13"/>
      <c r="DM256" s="13"/>
      <c r="DO256" s="31">
        <f>IF(SnapshotTable[[#This Row],[LC Symbol Count]]=1, SnapshotTable[[#This Row],[LC Qty]] * SnapshotTable[[#This Row],[LC Book Price]] * 100, 0)</f>
        <v>0</v>
      </c>
      <c r="DP256" s="163" t="str">
        <f>IF(AND(SnapshotTable[[#This Row],[LC Exp Date]]&gt;0, SnapshotTable[[#This Row],[LC Strike Price]]&gt;0,SnapshotTable[[#This Row],[LC Qty]]&gt;0,SnapshotTable[[#This Row],[LC Book Date]]&gt;0,SnapshotTable[[#This Row],[LC Book Price]]&gt;0,SnapshotTable[[#This Row],[LC Fill Date]]=0),"Y","")</f>
        <v/>
      </c>
      <c r="DQ256" s="386" t="str">
        <f>IF(SnapshotTable[[#This Row],[LC Premium]] &gt; 0,SnapshotTable[[#This Row],[LC Exp Date]]-MAX(SnapshotTable[[#This Row],[LC Book Date]], SnapshotTable[[#This Row],[LC Fill Date]]),"")</f>
        <v/>
      </c>
      <c r="DR256" s="386" t="str">
        <f>IF(ISNUMBER(SnapshotTable[[#This Row],[LC Term]]), SnapshotTable[[#This Row],[LC Exp Date]] - MockToday, "")</f>
        <v/>
      </c>
      <c r="DS256" s="234" t="str">
        <f>IF(SnapshotTable[[#This Row],[LC Premium]]&gt;0,SnapshotTable[[#This Row],[LC Strike Price]] + SnapshotTable[[#This Row],[LC Book Price]],"")</f>
        <v/>
      </c>
      <c r="DU256" s="9" t="str">
        <f>IF(AND(SnapshotTable[[#This Row],[LC Symbol Count]]&gt;0, SnapshotTable[[#This Row],[LC Contract Value]]&gt;0), SnapshotTable[[#This Row],[LC Contract Value]] * SnapshotTable[[#This Row],[LC Qty]] * 100, "")</f>
        <v/>
      </c>
      <c r="DV256" s="9" t="str">
        <f>IF(AND(ISNUMBER(SnapshotTable[[#This Row],[LC Total Value]]), SnapshotTable[[#This Row],[LC Not Filled]]&lt;&gt;"Y"), SnapshotTable[[#This Row],[LC Total Value]]-SnapshotTable[[#This Row],[LC Premium]],"")</f>
        <v/>
      </c>
      <c r="DW256" s="240" t="str">
        <f>IF(ISNUMBER(SnapshotTable[[#This Row],[LC Actual Gain Loss]]), SnapshotTable[[#This Row],[LC Actual Gain Loss]] / SnapshotTable[[#This Row],[LC Premium]],"")</f>
        <v/>
      </c>
      <c r="DX256" s="284" t="str">
        <f>IF(ISNUMBER(SnapshotTable[[#This Row],[LC Book Price]]),SnapshotTable[[#This Row],[LC Book Price]] * 1.5,"")</f>
        <v/>
      </c>
      <c r="DY256" s="265" t="str">
        <f>IF(SnapshotTable[[#This Row],[LC Premium]]&gt;0, SnapshotTable[[#This Row],[LC Next Target]] * SnapshotTable[[#This Row],[LC Qty]] * 100,"")</f>
        <v/>
      </c>
      <c r="DZ256" s="265" t="str">
        <f>IF(ISNUMBER(SnapshotTable[[#This Row],[LC Target Gross]]), SnapshotTable[[#This Row],[LC Target Gross]] - SnapshotTable[[#This Row],[LC Premium]], "")</f>
        <v/>
      </c>
      <c r="EA256" s="305" t="str">
        <f>IF(ISNUMBER(SnapshotTable[[#This Row],[LC Target Gain Loss]]), SnapshotTable[[#This Row],[LC Target Gain Loss]]/SnapshotTable[[#This Row],[LC Premium]], "")</f>
        <v/>
      </c>
      <c r="EB256" s="262"/>
      <c r="EC256" s="283" t="str">
        <f>IF(SnapshotTable[[#This Row],[LC Premium]]&gt;0, SnapshotTable[[#This Row],[LC Book Price]] * (1 - LC_StopLoss_Pct),"")</f>
        <v/>
      </c>
      <c r="ED256" s="284"/>
      <c r="EE256" s="283" t="str">
        <f>IF(ISNUMBER(SnapshotTable[[#This Row],[LC Contract Value]]),IF(ISNUMBER(SnapshotTable[[#This Row],[LC Stop Loss Override]]), SnapshotTable[[#This Row],[LC Stop Loss Override]],SnapshotTable[[#This Row],[LC Stop Loss Calc Target]]),"")</f>
        <v/>
      </c>
      <c r="EF256" s="31" t="str">
        <f>IF(ISNUMBER(SnapshotTable[[#This Row],[LC Stop  To Use]]), (SnapshotTable[[#This Row],[LC Stop  To Use]] * SnapshotTable[[#This Row],[LC Qty]] * 100),"")</f>
        <v/>
      </c>
      <c r="EG256" s="9" t="str">
        <f>IF(ISNUMBER(SnapshotTable[[#This Row],[LC Total Value]]),SnapshotTable[[#This Row],[LC Stop Loss Amount]] - SnapshotTable[[#This Row],[LC Premium]],"")</f>
        <v/>
      </c>
      <c r="EH256" s="9">
        <f>IF(ISNUMBER(SnapshotTable[[#This Row],[LC Premium]]), SnapshotTable[[#This Row],[LC Qty]] * 100 * SnapshotTable[[#This Row],[LC Strike Price]], "")</f>
        <v>0</v>
      </c>
      <c r="EI256" s="240" t="str">
        <f>IF(AND(ISNUMBER(SnapshotTable[[#This Row],[LC Total Value]]),SnapshotTable[[#This Row],[LC Total Value]]&gt;0),SnapshotTable[[#This Row],[LC Stop Gain Loss]]  / SnapshotTable[[#This Row],[LC Premium]],"")</f>
        <v/>
      </c>
      <c r="EJ256" s="35">
        <f>IF(ISNUMBER(SnapshotTable[[#This Row],[Equity Shares]]),TRUNC(SnapshotTable[[#This Row],[Equity Shares]] / 100),0) + SnapshotTable[[#This Row],[LC Qty]]</f>
        <v>0</v>
      </c>
      <c r="EK256" s="147"/>
      <c r="EL256" s="138" t="str">
        <f>IF(SnapshotTable[[#This Row],[SC Exp Date]]&lt;&gt;"",TRUNC(SnapshotTable[[#This Row],[Last Price]]),"")</f>
        <v/>
      </c>
      <c r="EM256" s="148"/>
      <c r="EN256" s="147"/>
      <c r="EO256" s="147"/>
      <c r="EP256" s="138"/>
      <c r="EQ256" s="419" t="b">
        <f>AND(ISNUMBER(SnapshotTable[[#This Row],[SC Exp Date]]), ISNUMBER(SnapshotTable[[#This Row],[SC Strike Price]]), ISNUMBER(SnapshotTable[[#This Row],[SC Qty]]), ISNUMBER(SnapshotTable[[#This Row],[SC Book Date]]), ISNUMBER(SnapshotTable[[#This Row],[SC Book Price]]))</f>
        <v>0</v>
      </c>
      <c r="ER256" s="419" t="b">
        <f>AND(SnapshotTable[[#This Row],[SC Is Booked]], NOT(ISBLANK(SnapshotTable[[#This Row],[SC Fill Date]])))</f>
        <v>0</v>
      </c>
      <c r="ES256" s="370"/>
      <c r="ET256" s="34" t="str">
        <f>IF(AND(ISNUMBER(SnapshotTable[[#This Row],[SC Exp Date]]), ISNUMBER(SnapshotTable[[#This Row],[SC Book Date]])), SnapshotTable[[#This Row],[SC Exp Date]] - MAX(SnapshotTable[[#This Row],[SC Book Date]], SnapshotTable[[#This Row],[SC Fill Date]]) + 1, "")</f>
        <v/>
      </c>
      <c r="EU256" s="34" t="str">
        <f>IF(ISNUMBER(SnapshotTable[[#This Row],[SC Term]]), SnapshotTable[[#This Row],[SC Exp Date]]- MockToday, "")</f>
        <v/>
      </c>
      <c r="EV256" s="31">
        <f>IF(SnapshotTable[[#This Row],[SC Is Booked]], SnapshotTable[[#This Row],[SC Qty]] * SnapshotTable[[#This Row],[SC Book Price]] * 100, 0)</f>
        <v>0</v>
      </c>
      <c r="EW256" s="4" t="str">
        <f>IF(AND(ISNUMBER(SnapshotTable[[#This Row],[Last Price]]), ISNUMBER( SnapshotTable[[#This Row],[SC Book Price]])), SnapshotTable[[#This Row],[Last Price]] - SnapshotTable[[#This Row],[SC Book Price]],"")</f>
        <v/>
      </c>
      <c r="EX256" s="234" t="str">
        <f>IF(SnapshotTable[[#This Row],[SC Is Booked]],IF(SnapshotTable[[#This Row],[SC Intrinsic Value]] &gt; 0, SnapshotTable[[#This Row],[SC Strike Price]], SnapshotTable[[#This Row],[Last Price]]), "")</f>
        <v/>
      </c>
      <c r="EY256" s="4">
        <f>IF(SnapshotTable[[#This Row],[SC Is Booked]], (MinimumPremiumRequired * SnapshotTable[[#This Row],[SC Basis]] * SnapshotTable[[#This Row],[SC Term]]), 0)</f>
        <v>0</v>
      </c>
      <c r="EZ256" s="283"/>
      <c r="FA256" s="218"/>
      <c r="FB256" s="370"/>
      <c r="FC256" s="4">
        <f>IF(SnapshotTable[[#This Row],[SC Is Filled]], btc_max_buyback_amount(SnapshotTable[[#This Row],[SC Fill Date]],SnapshotTable[[#This Row],[SC Exp Date]], SnapshotTable[[#This Row],[SC Book Price]]),0)</f>
        <v>0</v>
      </c>
      <c r="FD256" s="5"/>
      <c r="FE256" s="144" t="str">
        <f>IF(SnapshotTable[[#This Row],[SC Is Filled]], btc_next_cutoff_date(SnapshotTable[[#This Row],[SC Fill Date]],SnapshotTable[[#This Row],[SC Exp Date]]),"")</f>
        <v/>
      </c>
      <c r="FF256" s="4" t="str" cm="1">
        <f t="array" ref="FF256">IF(SnapshotTable[[#This Row],[SC Is Filled]], btc_should_buy_back(SnapshotTable[[#This Row],[SC Fill Date]], SnapshotTable[[#This Row],[SC Exp Date]], SnapshotTable[[#This Row],[SC Book Price]], SnapshotTable[[#This Row],[SC Current Ask]], MockToday, SnapshotTable[[#This Row],[SC Buyback Override]]),"")</f>
        <v/>
      </c>
      <c r="FG256" s="4">
        <f>IF(SnapshotTable[[#This Row],[SC Is Filled]], MAX(0,SnapshotTable[[#This Row],[Last Price]]  - SnapshotTable[[#This Row],[SC Strike Price]]), 0)</f>
        <v>0</v>
      </c>
      <c r="FH256" s="382">
        <f>IF(SnapshotTable[[#This Row],[SC Is Filled]], IF(ISNUMBER(SnapshotTable[[#This Row],[SC Current Ask]]), SnapshotTable[[#This Row],[SC Current Ask]], SnapshotTable[[#This Row],[SC Book Price]]) - SnapshotTable[[#This Row],[SC Intrinsic Value]], 0)</f>
        <v>0</v>
      </c>
      <c r="FI256" s="143"/>
      <c r="FJ256" s="32" t="str">
        <f>IF(SnapshotTable[[#This Row],[SC Is Filled]],100 * SnapshotTable[[#This Row],[SC Qty]] * IF(ISNUMBER(SnapshotTable[[#This Row],[SC Buyback Override]]), SnapshotTable[[#This Row],[SC Buyback Override]], SnapshotTable[[#This Row],[SC Current Ask]]), "")</f>
        <v/>
      </c>
      <c r="FK256" s="250" t="str">
        <f>IF(SnapshotTable[[#This Row],[SC Time Val]]&gt;0, SnapshotTable[[#This Row],[SC Time Val]] / SnapshotTable[[#This Row],[Last Price]],"")</f>
        <v/>
      </c>
      <c r="FL256" s="302" t="str">
        <f>IF(SnapshotTable[[#This Row],[SC Is Booked]], ((SnapshotTable[[#This Row],[Last Price]] -SnapshotTable[[#This Row],[SC Strike Price]]) / SnapshotTable[[#This Row],[Last Price]]) * -1, "")</f>
        <v/>
      </c>
      <c r="FM256" s="157" t="str">
        <f>IF(SnapshotTable[[#This Row],[SC Is Booked]],  (SnapshotTable[[#This Row],[SC Qty]] * 100 * SnapshotTable[[#This Row],[SC Strike Price]]) - SnapshotTable[[#This Row],[SC Current Ask]], "")</f>
        <v/>
      </c>
      <c r="FN25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6" s="31" t="str">
        <f>IF(AND(ISNUMBER(SnapshotTable[[#This Row],[SC Exercise Gross]]), ISNUMBER(SnapshotTable[[#This Row],[Equity Basis Per Share]] )), SnapshotTable[[#This Row],[SC Exercise Gross]] - SnapshotTable[[#This Row],[Equity Basis Total]] +  SnapshotTable[[#This Row],[SC Premium]], "")</f>
        <v/>
      </c>
      <c r="FP256" s="5" t="str">
        <f>IF(ISNUMBER(SnapshotTable[[#This Row],[SC Exercise Gross]]), (SnapshotTable[[#This Row],[SC Exercise Gross]]) / (SnapshotTable[[#This Row],[SC Qty]] * 100), "")</f>
        <v/>
      </c>
      <c r="FQ256" s="27" t="str">
        <f>IF(SnapshotTable[[#This Row],[SC Is Booked]],SnapshotTable[[#This Row],[SC Time Val]] /SnapshotTable[[#This Row],[SC Basis]], "")</f>
        <v/>
      </c>
      <c r="FR256" s="27" t="str" cm="1">
        <f t="array" ref="FR256">IF(AND(ISNUMBER(SnapshotTable[[#This Row],[SC Term]]),ISNUMBER(SnapshotTable[[#This Row],[SC Simple ROO]])), EllmanAnnualize(SnapshotTable[[#This Row],[SC DTE]], SnapshotTable[[#This Row],[SC Simple ROO]] ),"")</f>
        <v/>
      </c>
      <c r="FS256" s="4" t="e">
        <f>IF(SnapshotTable[[#This Row],[SC Strike Price]] &gt; SnapshotTable[[#This Row],[Last Price]], SnapshotTable[[#This Row],[SC Strike Price]] - SnapshotTable[[#This Row],[Last Price]],0)</f>
        <v>#VALUE!</v>
      </c>
      <c r="FT256" s="27" t="e">
        <f>IF(AND(ISNUMBER(SnapshotTable[[#This Row],[SC Upside Potential]]), SnapshotTable[[#This Row],[SC Upside Potential]] &gt; 0),(SnapshotTable[[#This Row],[SC Upside Potential]]/ SnapshotTable[[#This Row],[ACB]]),"")</f>
        <v>#VALUE!</v>
      </c>
      <c r="FU256" s="333" t="str">
        <f>IF(SnapshotTable[[#This Row],[SC Intrinsic Value]] &gt; 0,SnapshotTable[[#This Row],[SC Intrinsic Value]],"")</f>
        <v/>
      </c>
      <c r="FV256" s="27" t="str">
        <f>IF(AND( ISNUMBER( SnapshotTable[[#This Row],[ACB]]),ISNUMBER(SnapshotTable[[#This Row],[SC Downside Protect]])),SnapshotTable[[#This Row],[SC Downside Protect]] / SnapshotTable[[#This Row],[ACB]],"")</f>
        <v/>
      </c>
      <c r="FW256" s="236" t="str">
        <f>IF(AND(ISNUMBER(SnapshotTable[[#This Row],[SC Simple ROO]]),SnapshotTable[[#This Row],[SC Simple ROO]] &gt; 0), SnapshotTable[[#This Row],[SC Premium]] + (SnapshotTable[[#This Row],[SC Qty]] * SnapshotTable[[#This Row],[SC Upside Potential]]), "")</f>
        <v/>
      </c>
      <c r="FX256" s="302" t="str" cm="1">
        <f t="array" ref="FX256">IF(ISNUMBER(SnapshotTable[[#This Row],[SC Max Dollars]]), annualize(SnapshotTable[[#This Row],[SC Term]],(SnapshotTable[[#This Row],[SC Max Dollars]]/SnapshotTable[[#This Row],[SC Basis]])),"")</f>
        <v/>
      </c>
      <c r="FY256" s="236" t="str">
        <f>IF(AND(SnapshotTable[[#This Row],[SC Qty]]&gt;0,SnapshotTable[[#This Row],[SC Current Ask]]&gt;0), SnapshotTable[[#This Row],[SC Qty]] * SnapshotTable[[#This Row],[SC Current Ask]] * -100, "")</f>
        <v/>
      </c>
      <c r="FZ256" s="31" t="str">
        <f>IF(ISNUMBER((SnapshotTable[[#This Row],[SC Current Value]])), SnapshotTable[[#This Row],[SC Premium]] + SnapshotTable[[#This Row],[SC Current Value]], "")</f>
        <v/>
      </c>
      <c r="GA256" s="294" t="str">
        <f>IFERROR( IF(ISNUMBER((SnapshotTable[[#This Row],[SC Current Value]])), SnapshotTable[[#This Row],[SC Gain Loss]] / SnapshotTable[[#This Row],[SC Premium]], ""), "")</f>
        <v/>
      </c>
      <c r="GB256" s="42">
        <f>SnapshotTable[[#This Row],[Equity Shares]] * SaleSharesToConsiderPercentage</f>
        <v>0</v>
      </c>
      <c r="GC256" s="40">
        <f>SnapshotTable[[#This Row],[Long Term Target]] * SellingPriceToConsiderBasedOnTargetPercentage</f>
        <v>73.263999999999996</v>
      </c>
      <c r="GD256" s="40">
        <f>SnapshotTable[[#This Row],[Last Price]] * (1+ SellingPriceToConsiderBasedOnTargetPercentage)</f>
        <v>8.7164999999999999</v>
      </c>
      <c r="GE256" s="41"/>
      <c r="GF256" s="40"/>
      <c r="GG256" s="31">
        <f>SnapshotTable[[#This Row],[Booked Sale Shares]] * SnapshotTable[[#This Row],[Booked Sale Price]]</f>
        <v>0</v>
      </c>
      <c r="GH256" s="31" t="str">
        <f>IF(SnapshotTable[[#This Row],[Equity Basis Total]] &gt; 0, SnapshotTable[[#This Row],[Equity Basis Per Share]] * SnapshotTable[[#This Row],[Booked Sale Shares]], "")</f>
        <v/>
      </c>
      <c r="GI256" s="31">
        <f>IF(SnapshotTable[[#This Row],[Sale Proceeds]]&gt;0, SnapshotTable[[#This Row],[Sale Proceeds]] - SnapshotTable[[#This Row],[Sale Basis]], 0)</f>
        <v>0</v>
      </c>
      <c r="GJ256" s="27" t="str">
        <f>IF(SnapshotTable[[#This Row],[Sale G/L]]&gt;0, SnapshotTable[[#This Row],[Sale G/L]] / SnapshotTable[[#This Row],[Sale Basis]], IF(ISNUMBER(SnapshotTable[[#This Row],[SC Exercise P&amp;L (TAX)]]), SnapshotTable[[#This Row],[SC Exercise P&amp;L (TAX)]] / SnapshotTable[[#This Row],[SC Basis]], ""))</f>
        <v/>
      </c>
      <c r="GK256" s="27" t="s">
        <v>717</v>
      </c>
      <c r="GL256" s="43" t="str">
        <f>IF(AND(SnapshotTable[[#This Row],[LP Exp Date]]&gt;0,SnapshotTable[[#This Row],[LP Strike Price]]&gt;0), [1]!ToOptionSymbol(SnapshotTable[[#This Row],[Symbol]], SnapshotTable[[#This Row],[LP Strike Price]],SnapshotTable[[#This Row],[LP Exp Date]],1), "")</f>
        <v/>
      </c>
      <c r="GM256" s="30" t="str">
        <f>IF(LEN(SnapshotTable[[#This Row],[LP Symbol]])&gt;0, 1, "")</f>
        <v/>
      </c>
      <c r="GN256" s="43" t="str">
        <f>IF(AND(SnapshotTable[[#This Row],[SP Exp Date]]&gt;0,SnapshotTable[[#This Row],[SP Strike Price]]&gt;0), [1]!ToOptionSymbol(SnapshotTable[[#This Row],[Symbol]], SnapshotTable[[#This Row],[SP Strike Price]],SnapshotTable[[#This Row],[SP Exp Date]],1), "")</f>
        <v/>
      </c>
      <c r="GO256" s="30" t="str">
        <f>IF(LEN(SnapshotTable[[#This Row],[SP Symbol]])&gt;0, 1, "")</f>
        <v/>
      </c>
      <c r="GP256" s="43" t="str">
        <f>IF(AND(SnapshotTable[[#This Row],[LC Exp Date]]&gt;0,SnapshotTable[[#This Row],[LC Strike Price]]&gt;0), [1]!ToOptionSymbol(SnapshotTable[[#This Row],[Symbol]], SnapshotTable[[#This Row],[LC Strike Price]],SnapshotTable[[#This Row],[LC Exp Date]],0), "")</f>
        <v/>
      </c>
      <c r="GQ256" s="30" t="str">
        <f>IF(LEN(SnapshotTable[[#This Row],[LC Symbol]])&gt;0, 1, "")</f>
        <v/>
      </c>
      <c r="GR256" s="43" t="str">
        <f>IF(AND(SnapshotTable[[#This Row],[SC Exp Date]]&gt;0,SnapshotTable[[#This Row],[SC Strike Price]]&gt;0), [1]!ToOptionSymbol(SnapshotTable[[#This Row],[Symbol]], SnapshotTable[[#This Row],[SC Strike Price]],SnapshotTable[[#This Row],[SC Exp Date]],0), "")</f>
        <v/>
      </c>
      <c r="GS256" s="30" t="str">
        <f>IF(LEN(SnapshotTable[[#This Row],[SC Symbol]])&gt;0, 1, "")</f>
        <v/>
      </c>
      <c r="GT256" s="29" t="str">
        <f>IF(COUNT(SnapshotTable[[#This Row],[LP Symbol Count]],SnapshotTable[[#This Row],[SP Symbol Count]],SnapshotTable[[#This Row],[LC Symbol Count]],SnapshotTable[[#This Row],[SC Symbol Count]])&gt;0, "Y", "")</f>
        <v/>
      </c>
      <c r="GU25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6" s="231" t="e">
        <f>MAX(SnapshotTable[[#This Row],[Equity Basis Total]],SnapshotTable[[#This Row],[Equity Value]]) + (SnapshotTable[[#This Row],[SP Potential Spend]]- SnapshotTable[[#This Row],[SP Premium]] + SnapshotTable[[#This Row],[LP Premium]])+ (SnapshotTable[[#This Row],[LC Premium]] - SnapshotTable[[#This Row],[SC Premium]])</f>
        <v>#VALUE!</v>
      </c>
      <c r="GW256" s="139" t="e">
        <f>IF(AND(SnapshotTable[[#This Row],[Exposure]] &lt;&gt; 0),SnapshotTable[[#This Row],[Exposure]] / SnapshotTable[[#Totals],[Exposure]], "")</f>
        <v>#VALUE!</v>
      </c>
      <c r="HK256" s="1"/>
      <c r="HL256" s="1"/>
      <c r="HM256" s="1"/>
      <c r="HN256" s="1"/>
      <c r="HO256" s="1"/>
      <c r="HP256" s="1"/>
    </row>
    <row r="257" spans="2:224" ht="12.75" hidden="1" customHeight="1" x14ac:dyDescent="0.25">
      <c r="B257" s="12" t="s">
        <v>1266</v>
      </c>
      <c r="C257" s="422">
        <v>8.9700000000000006</v>
      </c>
      <c r="D257" s="208"/>
      <c r="E257" s="39">
        <f>SnapshotTable[[#This Row],[Last Price]]*(1 -CrashDiscount)</f>
        <v>7.6245000000000003</v>
      </c>
      <c r="F257" s="325" t="s">
        <v>932</v>
      </c>
      <c r="G257" s="325" t="s">
        <v>4</v>
      </c>
      <c r="H257" s="149"/>
      <c r="I257" s="194"/>
      <c r="J257" s="195"/>
      <c r="K257" s="196"/>
      <c r="L257" s="326"/>
      <c r="M257" s="140"/>
      <c r="N257" s="140"/>
      <c r="O257" s="140"/>
      <c r="P257" s="22">
        <v>1000</v>
      </c>
      <c r="Q257" s="25">
        <v>15000</v>
      </c>
      <c r="R257" s="4">
        <f>IF(SnapshotTable[[#This Row],[Equity Basis Total]] &gt; 0, SnapshotTable[[#This Row],[Equity Basis Total]] / SnapshotTable[[#This Row],[Equity Shares]], "")</f>
        <v>15</v>
      </c>
      <c r="S257" s="269">
        <f>SnapshotTable[[#This Row],[Last Price]] * SnapshotTable[[#This Row],[Equity Shares]]</f>
        <v>8970</v>
      </c>
      <c r="T257" s="269">
        <f>SnapshotTable[[#This Row],[Equity Value]] - SnapshotTable[[#This Row],[Equity Basis Total]]</f>
        <v>-6030</v>
      </c>
      <c r="U257" s="270">
        <f>IF(SnapshotTable[[#This Row],[Equity Basis Total]] &gt; 0, SnapshotTable[[#This Row],[Equity G/L]] / SnapshotTable[[#This Row],[Equity Basis Total]], "")</f>
        <v>-0.40200000000000002</v>
      </c>
      <c r="V257" s="268"/>
      <c r="W257" s="268"/>
      <c r="X257" s="4" t="str">
        <f>IF(AND(ISNUMBER(SnapshotTable[[#This Row],[Equity Basis Per Share]]),ISNUMBER(SnapshotTable[[#This Row],[Equity Target]])),SnapshotTable[[#This Row],[Equity Target]]-SnapshotTable[[#This Row],[Equity Basis Per Share]],"")</f>
        <v/>
      </c>
      <c r="Y257" s="4" t="str">
        <f>IF(AND(ISNUMBER(SnapshotTable[[#This Row],[Equity Basis Per Share]]),ISNUMBER(SnapshotTable[[#This Row],[Equity Stop Loss]])),SnapshotTable[[#This Row],[Equity Stop Loss]]-SnapshotTable[[#This Row],[Equity Basis Per Share]],"")</f>
        <v/>
      </c>
      <c r="Z257" s="275" t="str">
        <f>IFERROR( TEXT(SnapshotTable[[#This Row],[Equity Max Gain Per Share]] /ABS( SnapshotTable[[#This Row],[Equity Max Loss Per Share]]),"0.0 " ) &amp; " : 1", "")</f>
        <v/>
      </c>
      <c r="AA257" s="31" t="str">
        <f>IF(ISNUMBER(SnapshotTable[[#This Row],[Equity Max Gain Per Share]]),SnapshotTable[[#This Row],[Equity Max Gain Per Share]] * SnapshotTable[[#This Row],[Equity Shares]],"")</f>
        <v/>
      </c>
      <c r="AB257" s="31" t="str">
        <f>IF(ISNUMBER(SnapshotTable[[#This Row],[Equity Max Loss Per Share]]),SnapshotTable[[#This Row],[Equity Max Loss Per Share]] * SnapshotTable[[#This Row],[Equity Shares]],"")</f>
        <v/>
      </c>
      <c r="AC257" s="150"/>
      <c r="AD257" s="151"/>
      <c r="AE257" s="31">
        <f>(SnapshotTable[[#This Row],[Annual Dividend Per Share]] / 4) * SnapshotTable[[#This Row],[Equity Shares]]</f>
        <v>0</v>
      </c>
      <c r="AF257" s="31">
        <f>SnapshotTable[[#This Row],[Quarterly Div $]] * 4</f>
        <v>0</v>
      </c>
      <c r="AG257" s="7">
        <f>IF(SnapshotTable[[#This Row],[Annual Dividend Per Share]]&gt;0, SnapshotTable[[#This Row],[Annual Dividend Per Share]]  / SnapshotTable[[#This Row],[Last Price]], 0)</f>
        <v>0</v>
      </c>
      <c r="AH257" s="151"/>
      <c r="AI257" s="5"/>
      <c r="AJ257" s="138"/>
      <c r="AK257" s="152" t="str">
        <f>IF(ISNUMBER( SnapshotTable[[#This Row],[EBF Target]]),(SnapshotTable[[#This Row],[EBF Target]] - SnapshotTable[[#This Row],[Last Price]]) / SnapshotTable[[#This Row],[Last Price]], "")</f>
        <v/>
      </c>
      <c r="AL257" s="152" t="str">
        <f>IF(AND(SnapshotTable[[#This Row],[Equity Basis Total]] &gt; 0,ISNUMBER( SnapshotTable[[#This Row],[Long Term Target]])), SnapshotTable[[#This Row],[From Basis $]] / SnapshotTable[[#This Row],[Equity Basis Total]], "")</f>
        <v/>
      </c>
      <c r="AM257" s="9">
        <f>IF( AND(SnapshotTable[[#This Row],[Equity Shares]] &gt;0,ISNUMBER( SnapshotTable[[#This Row],[Long Term Target]])),(SnapshotTable[[#This Row],[Equity Shares]] * SnapshotTable[[#This Row],[Long Term Target]]) - SnapshotTable[[#This Row],[Equity Basis Total]],0)</f>
        <v>0</v>
      </c>
      <c r="AN257" s="9">
        <f>IF( AND(SnapshotTable[[#This Row],[Equity Shares]] &gt;0,ISNUMBER( SnapshotTable[[#This Row],[Long Term Target]])),(SnapshotTable[[#This Row],[Equity Shares]]*SnapshotTable[[#This Row],[Long Term Target]]) - SnapshotTable[[#This Row],[Equity Value]],0)</f>
        <v>0</v>
      </c>
      <c r="AO257" s="152" t="str">
        <f>IF(AND(ISNUMBER( SnapshotTable[[#This Row],[Long Term Target]]), ISNUMBER(SnapshotTable[[#This Row],[Last Price]])),(SnapshotTable[[#This Row],[Long Term Target]] - SnapshotTable[[#This Row],[Last Price]]) / SnapshotTable[[#This Row],[Last Price]], "")</f>
        <v/>
      </c>
      <c r="AP257" s="5"/>
      <c r="AQ257" s="38"/>
      <c r="AR257" s="5"/>
      <c r="AS257" s="38"/>
      <c r="AT257" s="146"/>
      <c r="AU257" s="187" t="str">
        <f>IF(OR(SnapshotTable[[#This Row],[LP No Fill]]="Y",SnapshotTable[[#This Row],[SP Is Filled]],SnapshotTable[[#This Row],[LC Not Filled]]="Y",SnapshotTable[[#This Row],[SC Is Filled]]),"Y","")</f>
        <v/>
      </c>
      <c r="AV257" s="219"/>
      <c r="AW257" s="225"/>
      <c r="AX257" s="220"/>
      <c r="AY257" s="219" t="str">
        <f>IF(SnapshotTable[[#This Row],[Implied Move]]&gt;0, SnapshotTable[[#This Row],[Last Price]]-SnapshotTable[[#This Row],[Implied Move]],"")</f>
        <v/>
      </c>
      <c r="AZ257" s="219" t="str">
        <f>IF(SnapshotTable[[#This Row],[Implied Move]]&gt;0, SnapshotTable[[#This Row],[Last Price]] + SnapshotTable[[#This Row],[Implied Move]],"")</f>
        <v/>
      </c>
      <c r="BA257" s="331">
        <v>9.5399999999999991</v>
      </c>
      <c r="BB257" s="404"/>
      <c r="BC25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7" s="351"/>
      <c r="BE257" s="5"/>
      <c r="BF257" s="14"/>
      <c r="BG257" s="13"/>
      <c r="BH257" s="13"/>
      <c r="BI257" s="5"/>
      <c r="BJ257" s="136">
        <f>IF(SnapshotTable[[#This Row],[LP Qty]] &gt; 0, SnapshotTable[[#This Row],[LP Qty]] * SnapshotTable[[#This Row],[LP Book Price]] * 100,0)</f>
        <v>0</v>
      </c>
      <c r="BK257" s="136">
        <f>IF(SnapshotTable[[#This Row],[LP Premium]] &gt; 0, SnapshotTable[[#This Row],[LP Qty]] * SnapshotTable[[#This Row],[LP Strike Price]] * 100,0)</f>
        <v>0</v>
      </c>
      <c r="BL257" s="154"/>
      <c r="BM257" s="385" t="str">
        <f>IF(SnapshotTable[[#This Row],[LP Premium]] &gt; 0,SnapshotTable[[#This Row],[LP Exp Date]]-MAX(SnapshotTable[[#This Row],[LP Book Date]], SnapshotTable[[#This Row],[LP Fill Date]]),"")</f>
        <v/>
      </c>
      <c r="BN257" s="385" t="str">
        <f>IF(ISNUMBER( SnapshotTable[[#This Row],[LP Term]]), SnapshotTable[[#This Row],[LP Exp Date]] - MockToday,"")</f>
        <v/>
      </c>
      <c r="BO257" s="163" t="str">
        <f>IF(AND(SnapshotTable[[#This Row],[LP Exp Date]]&gt;0, SnapshotTable[[#This Row],[LP Strike Price]]&gt;0,SnapshotTable[[#This Row],[LP Qty]]&gt;0,SnapshotTable[[#This Row],[LP Book Date]]&gt;0,SnapshotTable[[#This Row],[LP Book Price]]&gt;0,SnapshotTable[[#This Row],[LP Fill Date]]=0),"Y","")</f>
        <v/>
      </c>
      <c r="BP257" s="31" t="str">
        <f>IF(AND(SnapshotTable[[#This Row],[LP No Fill]]&lt;&gt;"Y",SnapshotTable[[#This Row],[LP Contract Value]]&gt;0, SnapshotTable[[#This Row],[LP Qty]]&gt;0), SnapshotTable[[#This Row],[LP Contract Value]]*SnapshotTable[[#This Row],[LP Qty]]*100,"")</f>
        <v/>
      </c>
      <c r="BQ257" s="13"/>
      <c r="BR257" s="5" t="str">
        <f>IF(SnapshotTable[[#This Row],[SP Exp Date]]&lt;&gt;"",TRUNC(SnapshotTable[[#This Row],[Last Price]]),"")</f>
        <v/>
      </c>
      <c r="BS257" s="36"/>
      <c r="BT257" s="147"/>
      <c r="BU257" s="13"/>
      <c r="BV257" s="5"/>
      <c r="BW257" s="419" t="b">
        <f>AND(ISNUMBER(SnapshotTable[[#This Row],[SP Exp Date]]), ISNUMBER(SnapshotTable[[#This Row],[SP Strike Price]]), ISNUMBER(SnapshotTable[[#This Row],[SP Qty]]), ISNUMBER(SnapshotTable[[#This Row],[SP Book Date]]), ISNUMBER(SnapshotTable[[#This Row],[SP Book Price]]))</f>
        <v>0</v>
      </c>
      <c r="BX257" s="419" t="b">
        <f>AND(SnapshotTable[[#This Row],[SP Is Booked]], NOT(ISBLANK(SnapshotTable[[#This Row],[SP Fill Date]])))</f>
        <v>0</v>
      </c>
      <c r="BY257" s="33">
        <f>IF(SnapshotTable[[#This Row],[SP Is Booked]], SnapshotTable[[#This Row],[SP Qty]] * SnapshotTable[[#This Row],[SP Book Price]] * 100, 0)</f>
        <v>0</v>
      </c>
      <c r="BZ257" s="369">
        <v>0.42</v>
      </c>
      <c r="CA257" s="368">
        <f>SnapshotTable[[#This Row],[LP Qty]]</f>
        <v>0</v>
      </c>
      <c r="CB257" s="4" t="str">
        <f>IF(SnapshotTable[[#This Row],[SP Is Booked]], SnapshotTable[[#This Row],[SP Strike Price]] - SnapshotTable[[#This Row],[SP Book Price]], "")</f>
        <v/>
      </c>
      <c r="CC257" s="19" t="str">
        <f>IF(SnapshotTable[[#This Row],[SP Is Booked]],SnapshotTable[[#This Row],[SP Exp Date]]-MAX(SnapshotTable[[#This Row],[SP Book Date]], SnapshotTable[[#This Row],[SP Fill Date]]),"")</f>
        <v/>
      </c>
      <c r="CD257" s="7" t="str">
        <f>IF(SnapshotTable[[#This Row],[SP Is Booked]], SnapshotTable[[#This Row],[SP Book Price]]/SnapshotTable[[#This Row],[SP Strike Price]], "")</f>
        <v/>
      </c>
      <c r="CE257" s="7" t="str">
        <f>IF(ISNUMBER(SnapshotTable[[#This Row],[SP ROO Term]]),SnapshotTable[[#This Row],[SP ROO Term]]*(365/SnapshotTable[[#This Row],[SP Term]]),"")</f>
        <v/>
      </c>
      <c r="CF257" s="236">
        <f>SnapshotTable[[#This Row],[LP Strike Price]] * SnapshotTable[[#This Row],[LP Qty]] * 100</f>
        <v>0</v>
      </c>
      <c r="CG257" s="31" t="e">
        <f>IF(ISNUMBER(SnapshotTable[[#This Row],[SP Premium]]), (SnapshotTable[[#This Row],[SP Qty]] * SnapshotTable[[#This Row],[SP Strike Price]]* 100) - SnapshotTable[[#This Row],[LP Protection]], 0)</f>
        <v>#VALUE!</v>
      </c>
      <c r="CH257" s="7" t="str">
        <f>IF(ISNUMBER(SnapshotTable[[#This Row],[SP Break Even]]),-1 * (SnapshotTable[[#This Row],[SP Break Even]] - SnapshotTable[[#This Row],[Last Price]]) / SnapshotTable[[#This Row],[Last Price]], "")</f>
        <v/>
      </c>
      <c r="CI257" s="31">
        <f>IF(AND(ISNUMBER((SnapshotTable[[#This Row],[SP Potential Spend]])), SnapshotTable[[#This Row],[SP Strike Price]] &gt; SnapshotTable[[#This Row],[Last Price]], SnapshotTable[[#This Row],[SP Is Filled]]), SnapshotTable[[#This Row],[SP Potential Spend]] -  SnapshotTable[[#This Row],[LP Max Value]], 0)</f>
        <v>0</v>
      </c>
      <c r="CJ257" s="244"/>
      <c r="CK257" s="31" t="str">
        <f>IF(ISNUMBER(SnapshotTable[[#This Row],[SP Potential Spend]]),IF(ISNUMBER(SnapshotTable[[#This Row],[SP POW]]), SnapshotTable[[#This Row],[SP POW]] * SnapshotTable[[#This Row],[SP Potential Spend]], SnapshotTable[[#This Row],[SP Potential Spend]]), "")</f>
        <v/>
      </c>
      <c r="CL257" s="164" t="e">
        <f>IF(NOT(SnapshotTable[[#This Row],[SP Is Filled]]),(SnapshotTable[[#This Row],[SP Qty]] * SnapshotTable[[#This Row],[SP Strike Price]] * 100) - SnapshotTable[[#This Row],[LP Max Value]],"")</f>
        <v>#VALUE!</v>
      </c>
      <c r="CM257" s="31" t="str">
        <f>IF(SnapshotTable[[#This Row],[SP Actual Spend]]&lt;&gt;0, ((SnapshotTable[[#This Row],[SP Strike Price]]-SnapshotTable[[#This Row],[Last Price]]) *(SnapshotTable[[#This Row],[SP Qty]]*100) - SnapshotTable[[#This Row],[SP Premium]]) * - 1, "")</f>
        <v/>
      </c>
      <c r="CN257" s="78"/>
      <c r="CO257" s="369"/>
      <c r="CP257" s="4" t="str">
        <f>IF(SnapshotTable[[#This Row],[SP Is Filled]], btc_max_buyback_amount(SnapshotTable[[#This Row],[SP Fill Date]],SnapshotTable[[#This Row],[SP Exp Date]], SnapshotTable[[#This Row],[SP Book Price]]),"")</f>
        <v/>
      </c>
      <c r="CQ257" s="78"/>
      <c r="CR25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7" s="155" t="str">
        <f>IF(SnapshotTable[[#This Row],[SP Is Filled]], btc_next_cutoff_date(SnapshotTable[[#This Row],[SP Fill Date]],SnapshotTable[[#This Row],[SP Exp Date]]),"")</f>
        <v/>
      </c>
      <c r="CT257" s="235" t="str" cm="1">
        <f t="array" ref="CT257">IF(SnapshotTable[[#This Row],[SP Is Filled]], btc_should_buy_back(SnapshotTable[[#This Row],[SP Fill Date]], SnapshotTable[[#This Row],[SP Exp Date]], SnapshotTable[[#This Row],[SP Book Price]], SnapshotTable[[#This Row],[SP Current Ask]], MockToday, SnapshotTable[[#This Row],[SP Buyback Override]]),"")</f>
        <v/>
      </c>
      <c r="CU257" s="143"/>
      <c r="CV257" s="235"/>
      <c r="CW257" s="378" t="str">
        <f>IF(ISNUMBER( SnapshotTable[[#This Row],[SP Term]]), SnapshotTable[[#This Row],[SP Exp Date]] - MockToday,"")</f>
        <v/>
      </c>
      <c r="CX257" s="31" t="str">
        <f>IF(SnapshotTable[[#This Row],[SP Is Filled]],SnapshotTable[[#This Row],[SP Buyback Price to Use]] * 100 * SnapshotTable[[#This Row],[SP Qty]], "")</f>
        <v/>
      </c>
      <c r="CY257" s="4" t="str">
        <f>IF(ISNUMBER(SnapshotTable[[#This Row],[SP Strike Price]]), SnapshotTable[[#This Row],[SP Strike Price]] * (1 - SP_MaxLoss_StrikePct), "")</f>
        <v/>
      </c>
      <c r="CZ257" s="31" t="str">
        <f>IF(ISNUMBER(SnapshotTable[[#This Row],[SP Strike  Stop Per Share]]),SnapshotTable[[#This Row],[SP Premium]] - ((SnapshotTable[[#This Row],[SP Strike Price]]-SnapshotTable[[#This Row],[SP Strike  Stop Per Share]]) *(SnapshotTable[[#This Row],[SP Qty]] * 100)),"")</f>
        <v/>
      </c>
      <c r="DA257" s="4" t="str">
        <f>IF(AND(ISNUMBER(SnapshotTable[[#This Row],[SP Premium]]),SnapshotTable[[#This Row],[SP Premium]]&gt;0), SnapshotTable[[#This Row],[SP Book Price]] * (1 + SP_MaxLoss_OptionPct), "")</f>
        <v/>
      </c>
      <c r="DB257" s="31" t="str">
        <f>IF(ISNUMBER(SnapshotTable[[#This Row],[SP Option  Stop Contract]]),(SnapshotTable[[#This Row],[SP Option  Stop Contract]] *(SnapshotTable[[#This Row],[SP Qty]] * 100) - SnapshotTable[[#This Row],[SP Premium]]),"")</f>
        <v/>
      </c>
      <c r="DC257" s="4"/>
      <c r="DD257" s="4"/>
      <c r="DE257" s="4" t="str">
        <f>IF(AND(SnapshotTable[[#This Row],[SP Qty]]&gt;0, SnapshotTable[[#This Row],[SP Stop To Use]]&gt;0),SnapshotTable[[#This Row],[SP Premium]] - ( SnapshotTable[[#This Row],[SP Qty]] * SnapshotTable[[#This Row],[SP Stop To Use]] * 100), "")</f>
        <v/>
      </c>
      <c r="DF257" s="31" t="str">
        <f>IF(AND(SnapshotTable[[#This Row],[SP Qty]]&gt;0,SnapshotTable[[#This Row],[SP Current Ask]]&gt;0), SnapshotTable[[#This Row],[SP Qty]] * SnapshotTable[[#This Row],[SP Current Ask]] * -100, "")</f>
        <v/>
      </c>
      <c r="DG257" s="31" t="str">
        <f>IF(ISNUMBER((SnapshotTable[[#This Row],[SP Total Value]])), SnapshotTable[[#This Row],[SP Premium]] + SnapshotTable[[#This Row],[SP Total Value]], "")</f>
        <v/>
      </c>
      <c r="DH257" s="294" t="str">
        <f>IF(ISNUMBER((SnapshotTable[[#This Row],[SP Total Value]])), SnapshotTable[[#This Row],[SP Gain Loss]] / SnapshotTable[[#This Row],[SP Premium]], "")</f>
        <v/>
      </c>
      <c r="DI257" s="406"/>
      <c r="DJ257" s="138"/>
      <c r="DK257" s="148"/>
      <c r="DL257" s="13"/>
      <c r="DM257" s="13"/>
      <c r="DO257" s="31">
        <f>IF(SnapshotTable[[#This Row],[LC Symbol Count]]=1, SnapshotTable[[#This Row],[LC Qty]] * SnapshotTable[[#This Row],[LC Book Price]] * 100, 0)</f>
        <v>0</v>
      </c>
      <c r="DP257" s="163" t="str">
        <f>IF(AND(SnapshotTable[[#This Row],[LC Exp Date]]&gt;0, SnapshotTable[[#This Row],[LC Strike Price]]&gt;0,SnapshotTable[[#This Row],[LC Qty]]&gt;0,SnapshotTable[[#This Row],[LC Book Date]]&gt;0,SnapshotTable[[#This Row],[LC Book Price]]&gt;0,SnapshotTable[[#This Row],[LC Fill Date]]=0),"Y","")</f>
        <v/>
      </c>
      <c r="DQ257" s="386" t="str">
        <f>IF(SnapshotTable[[#This Row],[LC Premium]] &gt; 0,SnapshotTable[[#This Row],[LC Exp Date]]-MAX(SnapshotTable[[#This Row],[LC Book Date]], SnapshotTable[[#This Row],[LC Fill Date]]),"")</f>
        <v/>
      </c>
      <c r="DR257" s="386" t="str">
        <f>IF(ISNUMBER(SnapshotTable[[#This Row],[LC Term]]), SnapshotTable[[#This Row],[LC Exp Date]] - MockToday, "")</f>
        <v/>
      </c>
      <c r="DS257" s="234" t="str">
        <f>IF(SnapshotTable[[#This Row],[LC Premium]]&gt;0,SnapshotTable[[#This Row],[LC Strike Price]] + SnapshotTable[[#This Row],[LC Book Price]],"")</f>
        <v/>
      </c>
      <c r="DU257" s="9" t="str">
        <f>IF(AND(SnapshotTable[[#This Row],[LC Symbol Count]]&gt;0, SnapshotTable[[#This Row],[LC Contract Value]]&gt;0), SnapshotTable[[#This Row],[LC Contract Value]] * SnapshotTable[[#This Row],[LC Qty]] * 100, "")</f>
        <v/>
      </c>
      <c r="DV257" s="9" t="str">
        <f>IF(AND(ISNUMBER(SnapshotTable[[#This Row],[LC Total Value]]), SnapshotTable[[#This Row],[LC Not Filled]]&lt;&gt;"Y"), SnapshotTable[[#This Row],[LC Total Value]]-SnapshotTable[[#This Row],[LC Premium]],"")</f>
        <v/>
      </c>
      <c r="DW257" s="240" t="str">
        <f>IF(ISNUMBER(SnapshotTable[[#This Row],[LC Actual Gain Loss]]), SnapshotTable[[#This Row],[LC Actual Gain Loss]] / SnapshotTable[[#This Row],[LC Premium]],"")</f>
        <v/>
      </c>
      <c r="DX257" s="284" t="str">
        <f>IF(ISNUMBER(SnapshotTable[[#This Row],[LC Book Price]]),SnapshotTable[[#This Row],[LC Book Price]] * 1.5,"")</f>
        <v/>
      </c>
      <c r="DY257" s="265" t="str">
        <f>IF(SnapshotTable[[#This Row],[LC Premium]]&gt;0, SnapshotTable[[#This Row],[LC Next Target]] * SnapshotTable[[#This Row],[LC Qty]] * 100,"")</f>
        <v/>
      </c>
      <c r="DZ257" s="265" t="str">
        <f>IF(ISNUMBER(SnapshotTable[[#This Row],[LC Target Gross]]), SnapshotTable[[#This Row],[LC Target Gross]] - SnapshotTable[[#This Row],[LC Premium]], "")</f>
        <v/>
      </c>
      <c r="EA257" s="305" t="str">
        <f>IF(ISNUMBER(SnapshotTable[[#This Row],[LC Target Gain Loss]]), SnapshotTable[[#This Row],[LC Target Gain Loss]]/SnapshotTable[[#This Row],[LC Premium]], "")</f>
        <v/>
      </c>
      <c r="EB257" s="262"/>
      <c r="EC257" s="283" t="str">
        <f>IF(SnapshotTable[[#This Row],[LC Premium]]&gt;0, SnapshotTable[[#This Row],[LC Book Price]] * (1 - LC_StopLoss_Pct),"")</f>
        <v/>
      </c>
      <c r="ED257" s="284"/>
      <c r="EE257" s="283" t="str">
        <f>IF(ISNUMBER(SnapshotTable[[#This Row],[LC Contract Value]]),IF(ISNUMBER(SnapshotTable[[#This Row],[LC Stop Loss Override]]), SnapshotTable[[#This Row],[LC Stop Loss Override]],SnapshotTable[[#This Row],[LC Stop Loss Calc Target]]),"")</f>
        <v/>
      </c>
      <c r="EF257" s="31" t="str">
        <f>IF(ISNUMBER(SnapshotTable[[#This Row],[LC Stop  To Use]]), (SnapshotTable[[#This Row],[LC Stop  To Use]] * SnapshotTable[[#This Row],[LC Qty]] * 100),"")</f>
        <v/>
      </c>
      <c r="EG257" s="9" t="str">
        <f>IF(ISNUMBER(SnapshotTable[[#This Row],[LC Total Value]]),SnapshotTable[[#This Row],[LC Stop Loss Amount]] - SnapshotTable[[#This Row],[LC Premium]],"")</f>
        <v/>
      </c>
      <c r="EH257" s="9">
        <f>IF(ISNUMBER(SnapshotTable[[#This Row],[LC Premium]]), SnapshotTable[[#This Row],[LC Qty]] * 100 * SnapshotTable[[#This Row],[LC Strike Price]], "")</f>
        <v>0</v>
      </c>
      <c r="EI257" s="240" t="str">
        <f>IF(AND(ISNUMBER(SnapshotTable[[#This Row],[LC Total Value]]),SnapshotTable[[#This Row],[LC Total Value]]&gt;0),SnapshotTable[[#This Row],[LC Stop Gain Loss]]  / SnapshotTable[[#This Row],[LC Premium]],"")</f>
        <v/>
      </c>
      <c r="EJ257" s="35">
        <f>IF(ISNUMBER(SnapshotTable[[#This Row],[Equity Shares]]),TRUNC(SnapshotTable[[#This Row],[Equity Shares]] / 100),0) + SnapshotTable[[#This Row],[LC Qty]]</f>
        <v>10</v>
      </c>
      <c r="EK257" s="147"/>
      <c r="EL257" s="138" t="str">
        <f>IF(SnapshotTable[[#This Row],[SC Exp Date]]&lt;&gt;"",TRUNC(SnapshotTable[[#This Row],[Last Price]]),"")</f>
        <v/>
      </c>
      <c r="EM257" s="148"/>
      <c r="EN257" s="147"/>
      <c r="EO257" s="147"/>
      <c r="EP257" s="138"/>
      <c r="EQ257" s="419" t="b">
        <f>AND(ISNUMBER(SnapshotTable[[#This Row],[SC Exp Date]]), ISNUMBER(SnapshotTable[[#This Row],[SC Strike Price]]), ISNUMBER(SnapshotTable[[#This Row],[SC Qty]]), ISNUMBER(SnapshotTable[[#This Row],[SC Book Date]]), ISNUMBER(SnapshotTable[[#This Row],[SC Book Price]]))</f>
        <v>0</v>
      </c>
      <c r="ER257" s="419" t="b">
        <f>AND(SnapshotTable[[#This Row],[SC Is Booked]], NOT(ISBLANK(SnapshotTable[[#This Row],[SC Fill Date]])))</f>
        <v>0</v>
      </c>
      <c r="ES257" s="370"/>
      <c r="ET257" s="34" t="str">
        <f>IF(AND(ISNUMBER(SnapshotTable[[#This Row],[SC Exp Date]]), ISNUMBER(SnapshotTable[[#This Row],[SC Book Date]])), SnapshotTable[[#This Row],[SC Exp Date]] - MAX(SnapshotTable[[#This Row],[SC Book Date]], SnapshotTable[[#This Row],[SC Fill Date]]) + 1, "")</f>
        <v/>
      </c>
      <c r="EU257" s="34" t="str">
        <f>IF(ISNUMBER(SnapshotTable[[#This Row],[SC Term]]), SnapshotTable[[#This Row],[SC Exp Date]]- MockToday, "")</f>
        <v/>
      </c>
      <c r="EV257" s="31">
        <f>IF(SnapshotTable[[#This Row],[SC Is Booked]], SnapshotTable[[#This Row],[SC Qty]] * SnapshotTable[[#This Row],[SC Book Price]] * 100, 0)</f>
        <v>0</v>
      </c>
      <c r="EW257" s="4" t="str">
        <f>IF(AND(ISNUMBER(SnapshotTable[[#This Row],[Last Price]]), ISNUMBER( SnapshotTable[[#This Row],[SC Book Price]])), SnapshotTable[[#This Row],[Last Price]] - SnapshotTable[[#This Row],[SC Book Price]],"")</f>
        <v/>
      </c>
      <c r="EX257" s="234" t="str">
        <f>IF(SnapshotTable[[#This Row],[SC Is Booked]],IF(SnapshotTable[[#This Row],[SC Intrinsic Value]] &gt; 0, SnapshotTable[[#This Row],[SC Strike Price]], SnapshotTable[[#This Row],[Last Price]]), "")</f>
        <v/>
      </c>
      <c r="EY257" s="4">
        <f>IF(SnapshotTable[[#This Row],[SC Is Booked]], (MinimumPremiumRequired * SnapshotTable[[#This Row],[SC Basis]] * SnapshotTable[[#This Row],[SC Term]]), 0)</f>
        <v>0</v>
      </c>
      <c r="EZ257" s="283"/>
      <c r="FA257" s="218"/>
      <c r="FB257" s="370"/>
      <c r="FC257" s="4">
        <f>IF(SnapshotTable[[#This Row],[SC Is Filled]], btc_max_buyback_amount(SnapshotTable[[#This Row],[SC Fill Date]],SnapshotTable[[#This Row],[SC Exp Date]], SnapshotTable[[#This Row],[SC Book Price]]),0)</f>
        <v>0</v>
      </c>
      <c r="FD257" s="5"/>
      <c r="FE257" s="144" t="str">
        <f>IF(SnapshotTable[[#This Row],[SC Is Filled]], btc_next_cutoff_date(SnapshotTable[[#This Row],[SC Fill Date]],SnapshotTable[[#This Row],[SC Exp Date]]),"")</f>
        <v/>
      </c>
      <c r="FF257" s="4" t="str" cm="1">
        <f t="array" ref="FF257">IF(SnapshotTable[[#This Row],[SC Is Filled]], btc_should_buy_back(SnapshotTable[[#This Row],[SC Fill Date]], SnapshotTable[[#This Row],[SC Exp Date]], SnapshotTable[[#This Row],[SC Book Price]], SnapshotTable[[#This Row],[SC Current Ask]], MockToday, SnapshotTable[[#This Row],[SC Buyback Override]]),"")</f>
        <v/>
      </c>
      <c r="FG257" s="4">
        <f>IF(SnapshotTable[[#This Row],[SC Is Filled]], MAX(0,SnapshotTable[[#This Row],[Last Price]]  - SnapshotTable[[#This Row],[SC Strike Price]]), 0)</f>
        <v>0</v>
      </c>
      <c r="FH257" s="382">
        <f>IF(SnapshotTable[[#This Row],[SC Is Filled]], IF(ISNUMBER(SnapshotTable[[#This Row],[SC Current Ask]]), SnapshotTable[[#This Row],[SC Current Ask]], SnapshotTable[[#This Row],[SC Book Price]]) - SnapshotTable[[#This Row],[SC Intrinsic Value]], 0)</f>
        <v>0</v>
      </c>
      <c r="FI257" s="143"/>
      <c r="FJ257" s="32" t="str">
        <f>IF(SnapshotTable[[#This Row],[SC Is Filled]],100 * SnapshotTable[[#This Row],[SC Qty]] * IF(ISNUMBER(SnapshotTable[[#This Row],[SC Buyback Override]]), SnapshotTable[[#This Row],[SC Buyback Override]], SnapshotTable[[#This Row],[SC Current Ask]]), "")</f>
        <v/>
      </c>
      <c r="FK257" s="250" t="str">
        <f>IF(SnapshotTable[[#This Row],[SC Time Val]]&gt;0, SnapshotTable[[#This Row],[SC Time Val]] / SnapshotTable[[#This Row],[Last Price]],"")</f>
        <v/>
      </c>
      <c r="FL257" s="302" t="str">
        <f>IF(SnapshotTable[[#This Row],[SC Is Booked]], ((SnapshotTable[[#This Row],[Last Price]] -SnapshotTable[[#This Row],[SC Strike Price]]) / SnapshotTable[[#This Row],[Last Price]]) * -1, "")</f>
        <v/>
      </c>
      <c r="FM257" s="157" t="str">
        <f>IF(SnapshotTable[[#This Row],[SC Is Booked]],  (SnapshotTable[[#This Row],[SC Qty]] * 100 * SnapshotTable[[#This Row],[SC Strike Price]]) - SnapshotTable[[#This Row],[SC Current Ask]], "")</f>
        <v/>
      </c>
      <c r="FN25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7" s="31" t="str">
        <f>IF(AND(ISNUMBER(SnapshotTable[[#This Row],[SC Exercise Gross]]), ISNUMBER(SnapshotTable[[#This Row],[Equity Basis Per Share]] )), SnapshotTable[[#This Row],[SC Exercise Gross]] - SnapshotTable[[#This Row],[Equity Basis Total]] +  SnapshotTable[[#This Row],[SC Premium]], "")</f>
        <v/>
      </c>
      <c r="FP257" s="5" t="str">
        <f>IF(ISNUMBER(SnapshotTable[[#This Row],[SC Exercise Gross]]), (SnapshotTable[[#This Row],[SC Exercise Gross]]) / (SnapshotTable[[#This Row],[SC Qty]] * 100), "")</f>
        <v/>
      </c>
      <c r="FQ257" s="27" t="str">
        <f>IF(SnapshotTable[[#This Row],[SC Is Booked]],SnapshotTable[[#This Row],[SC Time Val]] /SnapshotTable[[#This Row],[SC Basis]], "")</f>
        <v/>
      </c>
      <c r="FR257" s="27" t="str" cm="1">
        <f t="array" ref="FR257">IF(AND(ISNUMBER(SnapshotTable[[#This Row],[SC Term]]),ISNUMBER(SnapshotTable[[#This Row],[SC Simple ROO]])), EllmanAnnualize(SnapshotTable[[#This Row],[SC DTE]], SnapshotTable[[#This Row],[SC Simple ROO]] ),"")</f>
        <v/>
      </c>
      <c r="FS257" s="4" t="e">
        <f>IF(SnapshotTable[[#This Row],[SC Strike Price]] &gt; SnapshotTable[[#This Row],[Last Price]], SnapshotTable[[#This Row],[SC Strike Price]] - SnapshotTable[[#This Row],[Last Price]],0)</f>
        <v>#VALUE!</v>
      </c>
      <c r="FT257" s="27" t="e">
        <f>IF(AND(ISNUMBER(SnapshotTable[[#This Row],[SC Upside Potential]]), SnapshotTable[[#This Row],[SC Upside Potential]] &gt; 0),(SnapshotTable[[#This Row],[SC Upside Potential]]/ SnapshotTable[[#This Row],[ACB]]),"")</f>
        <v>#VALUE!</v>
      </c>
      <c r="FU257" s="333" t="str">
        <f>IF(SnapshotTable[[#This Row],[SC Intrinsic Value]] &gt; 0,SnapshotTable[[#This Row],[SC Intrinsic Value]],"")</f>
        <v/>
      </c>
      <c r="FV257" s="27" t="str">
        <f>IF(AND( ISNUMBER( SnapshotTable[[#This Row],[ACB]]),ISNUMBER(SnapshotTable[[#This Row],[SC Downside Protect]])),SnapshotTable[[#This Row],[SC Downside Protect]] / SnapshotTable[[#This Row],[ACB]],"")</f>
        <v/>
      </c>
      <c r="FW257" s="236" t="str">
        <f>IF(AND(ISNUMBER(SnapshotTable[[#This Row],[SC Simple ROO]]),SnapshotTable[[#This Row],[SC Simple ROO]] &gt; 0), SnapshotTable[[#This Row],[SC Premium]] + (SnapshotTable[[#This Row],[SC Qty]] * SnapshotTable[[#This Row],[SC Upside Potential]]), "")</f>
        <v/>
      </c>
      <c r="FX257" s="302" t="str" cm="1">
        <f t="array" ref="FX257">IF(ISNUMBER(SnapshotTable[[#This Row],[SC Max Dollars]]), annualize(SnapshotTable[[#This Row],[SC Term]],(SnapshotTable[[#This Row],[SC Max Dollars]]/SnapshotTable[[#This Row],[SC Basis]])),"")</f>
        <v/>
      </c>
      <c r="FY257" s="236" t="str">
        <f>IF(AND(SnapshotTable[[#This Row],[SC Qty]]&gt;0,SnapshotTable[[#This Row],[SC Current Ask]]&gt;0), SnapshotTable[[#This Row],[SC Qty]] * SnapshotTable[[#This Row],[SC Current Ask]] * -100, "")</f>
        <v/>
      </c>
      <c r="FZ257" s="31" t="str">
        <f>IF(ISNUMBER((SnapshotTable[[#This Row],[SC Current Value]])), SnapshotTable[[#This Row],[SC Premium]] + SnapshotTable[[#This Row],[SC Current Value]], "")</f>
        <v/>
      </c>
      <c r="GA257" s="294" t="str">
        <f>IFERROR( IF(ISNUMBER((SnapshotTable[[#This Row],[SC Current Value]])), SnapshotTable[[#This Row],[SC Gain Loss]] / SnapshotTable[[#This Row],[SC Premium]], ""), "")</f>
        <v/>
      </c>
      <c r="GB257" s="42">
        <f>SnapshotTable[[#This Row],[Equity Shares]] * SaleSharesToConsiderPercentage</f>
        <v>200</v>
      </c>
      <c r="GC257" s="40">
        <f>SnapshotTable[[#This Row],[Long Term Target]] * SellingPriceToConsiderBasedOnTargetPercentage</f>
        <v>0</v>
      </c>
      <c r="GD257" s="40">
        <f>SnapshotTable[[#This Row],[Last Price]] * (1+ SellingPriceToConsiderBasedOnTargetPercentage)</f>
        <v>17.491500000000002</v>
      </c>
      <c r="GE257" s="41"/>
      <c r="GF257" s="40"/>
      <c r="GG257" s="31">
        <f>SnapshotTable[[#This Row],[Booked Sale Shares]] * SnapshotTable[[#This Row],[Booked Sale Price]]</f>
        <v>0</v>
      </c>
      <c r="GH257" s="31">
        <f>IF(SnapshotTable[[#This Row],[Equity Basis Total]] &gt; 0, SnapshotTable[[#This Row],[Equity Basis Per Share]] * SnapshotTable[[#This Row],[Booked Sale Shares]], "")</f>
        <v>0</v>
      </c>
      <c r="GI257" s="31">
        <f>IF(SnapshotTable[[#This Row],[Sale Proceeds]]&gt;0, SnapshotTable[[#This Row],[Sale Proceeds]] - SnapshotTable[[#This Row],[Sale Basis]], 0)</f>
        <v>0</v>
      </c>
      <c r="GJ257" s="27" t="str">
        <f>IF(SnapshotTable[[#This Row],[Sale G/L]]&gt;0, SnapshotTable[[#This Row],[Sale G/L]] / SnapshotTable[[#This Row],[Sale Basis]], IF(ISNUMBER(SnapshotTable[[#This Row],[SC Exercise P&amp;L (TAX)]]), SnapshotTable[[#This Row],[SC Exercise P&amp;L (TAX)]] / SnapshotTable[[#This Row],[SC Basis]], ""))</f>
        <v/>
      </c>
      <c r="GK257" s="27"/>
      <c r="GL257" s="43" t="str">
        <f>IF(AND(SnapshotTable[[#This Row],[LP Exp Date]]&gt;0,SnapshotTable[[#This Row],[LP Strike Price]]&gt;0), [1]!ToOptionSymbol(SnapshotTable[[#This Row],[Symbol]], SnapshotTable[[#This Row],[LP Strike Price]],SnapshotTable[[#This Row],[LP Exp Date]],1), "")</f>
        <v/>
      </c>
      <c r="GM257" s="30" t="str">
        <f>IF(LEN(SnapshotTable[[#This Row],[LP Symbol]])&gt;0, 1, "")</f>
        <v/>
      </c>
      <c r="GN257" s="43" t="str">
        <f>IF(AND(SnapshotTable[[#This Row],[SP Exp Date]]&gt;0,SnapshotTable[[#This Row],[SP Strike Price]]&gt;0), [1]!ToOptionSymbol(SnapshotTable[[#This Row],[Symbol]], SnapshotTable[[#This Row],[SP Strike Price]],SnapshotTable[[#This Row],[SP Exp Date]],1), "")</f>
        <v/>
      </c>
      <c r="GO257" s="30" t="str">
        <f>IF(LEN(SnapshotTable[[#This Row],[SP Symbol]])&gt;0, 1, "")</f>
        <v/>
      </c>
      <c r="GP257" s="43" t="str">
        <f>IF(AND(SnapshotTable[[#This Row],[LC Exp Date]]&gt;0,SnapshotTable[[#This Row],[LC Strike Price]]&gt;0), [1]!ToOptionSymbol(SnapshotTable[[#This Row],[Symbol]], SnapshotTable[[#This Row],[LC Strike Price]],SnapshotTable[[#This Row],[LC Exp Date]],0), "")</f>
        <v/>
      </c>
      <c r="GQ257" s="30" t="str">
        <f>IF(LEN(SnapshotTable[[#This Row],[LC Symbol]])&gt;0, 1, "")</f>
        <v/>
      </c>
      <c r="GR257" s="43" t="str">
        <f>IF(AND(SnapshotTable[[#This Row],[SC Exp Date]]&gt;0,SnapshotTable[[#This Row],[SC Strike Price]]&gt;0), [1]!ToOptionSymbol(SnapshotTable[[#This Row],[Symbol]], SnapshotTable[[#This Row],[SC Strike Price]],SnapshotTable[[#This Row],[SC Exp Date]],0), "")</f>
        <v/>
      </c>
      <c r="GS257" s="30" t="str">
        <f>IF(LEN(SnapshotTable[[#This Row],[SC Symbol]])&gt;0, 1, "")</f>
        <v/>
      </c>
      <c r="GT257" s="29" t="str">
        <f>IF(COUNT(SnapshotTable[[#This Row],[LP Symbol Count]],SnapshotTable[[#This Row],[SP Symbol Count]],SnapshotTable[[#This Row],[LC Symbol Count]],SnapshotTable[[#This Row],[SC Symbol Count]])&gt;0, "Y", "")</f>
        <v/>
      </c>
      <c r="GU25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257" s="231" t="e">
        <f>MAX(SnapshotTable[[#This Row],[Equity Basis Total]],SnapshotTable[[#This Row],[Equity Value]]) + (SnapshotTable[[#This Row],[SP Potential Spend]]- SnapshotTable[[#This Row],[SP Premium]] + SnapshotTable[[#This Row],[LP Premium]])+ (SnapshotTable[[#This Row],[LC Premium]] - SnapshotTable[[#This Row],[SC Premium]])</f>
        <v>#VALUE!</v>
      </c>
      <c r="GW257" s="139" t="e">
        <f>IF(AND(SnapshotTable[[#This Row],[Exposure]] &lt;&gt; 0),SnapshotTable[[#This Row],[Exposure]] / SnapshotTable[[#Totals],[Exposure]], "")</f>
        <v>#VALUE!</v>
      </c>
      <c r="GX257" s="13"/>
      <c r="HK257" s="1"/>
      <c r="HL257" s="1"/>
      <c r="HM257" s="1"/>
      <c r="HN257" s="1"/>
      <c r="HO257" s="1"/>
      <c r="HP257" s="1"/>
    </row>
    <row r="258" spans="2:224" ht="12.75" hidden="1" customHeight="1" x14ac:dyDescent="0.25">
      <c r="B258" s="12" t="s">
        <v>1261</v>
      </c>
      <c r="C258" s="422">
        <v>36.35</v>
      </c>
      <c r="D258" s="208" t="s">
        <v>1207</v>
      </c>
      <c r="E258" s="39">
        <f>SnapshotTable[[#This Row],[Last Price]]*(1 -CrashDiscount)</f>
        <v>30.897500000000001</v>
      </c>
      <c r="F258" s="325" t="s">
        <v>5</v>
      </c>
      <c r="G258" s="325" t="s">
        <v>4</v>
      </c>
      <c r="H258" s="149"/>
      <c r="I258" s="194"/>
      <c r="J258" s="195"/>
      <c r="K258" s="196"/>
      <c r="L258" s="326"/>
      <c r="M258" s="140"/>
      <c r="N258" s="140"/>
      <c r="O258" s="140"/>
      <c r="P258" s="22"/>
      <c r="Q258" s="25"/>
      <c r="R258" s="4" t="str">
        <f>IF(SnapshotTable[[#This Row],[Equity Basis Total]] &gt; 0, SnapshotTable[[#This Row],[Equity Basis Total]] / SnapshotTable[[#This Row],[Equity Shares]], "")</f>
        <v/>
      </c>
      <c r="S258" s="269">
        <f>SnapshotTable[[#This Row],[Last Price]] * SnapshotTable[[#This Row],[Equity Shares]]</f>
        <v>0</v>
      </c>
      <c r="T258" s="269">
        <f>SnapshotTable[[#This Row],[Equity Value]] - SnapshotTable[[#This Row],[Equity Basis Total]]</f>
        <v>0</v>
      </c>
      <c r="U258" s="270" t="str">
        <f>IF(SnapshotTable[[#This Row],[Equity Basis Total]] &gt; 0, SnapshotTable[[#This Row],[Equity G/L]] / SnapshotTable[[#This Row],[Equity Basis Total]], "")</f>
        <v/>
      </c>
      <c r="V258" s="268">
        <v>68</v>
      </c>
      <c r="W258" s="268"/>
      <c r="X258" s="4" t="str">
        <f>IF(AND(ISNUMBER(SnapshotTable[[#This Row],[Equity Basis Per Share]]),ISNUMBER(SnapshotTable[[#This Row],[Equity Target]])),SnapshotTable[[#This Row],[Equity Target]]-SnapshotTable[[#This Row],[Equity Basis Per Share]],"")</f>
        <v/>
      </c>
      <c r="Y258" s="4" t="str">
        <f>IF(AND(ISNUMBER(SnapshotTable[[#This Row],[Equity Basis Per Share]]),ISNUMBER(SnapshotTable[[#This Row],[Equity Stop Loss]])),SnapshotTable[[#This Row],[Equity Stop Loss]]-SnapshotTable[[#This Row],[Equity Basis Per Share]],"")</f>
        <v/>
      </c>
      <c r="Z258" s="275" t="str">
        <f>IFERROR( TEXT(SnapshotTable[[#This Row],[Equity Max Gain Per Share]] /ABS( SnapshotTable[[#This Row],[Equity Max Loss Per Share]]),"0.0 " ) &amp; " : 1", "")</f>
        <v/>
      </c>
      <c r="AA258" s="31" t="str">
        <f>IF(ISNUMBER(SnapshotTable[[#This Row],[Equity Max Gain Per Share]]),SnapshotTable[[#This Row],[Equity Max Gain Per Share]] * SnapshotTable[[#This Row],[Equity Shares]],"")</f>
        <v/>
      </c>
      <c r="AB258" s="31" t="str">
        <f>IF(ISNUMBER(SnapshotTable[[#This Row],[Equity Max Loss Per Share]]),SnapshotTable[[#This Row],[Equity Max Loss Per Share]] * SnapshotTable[[#This Row],[Equity Shares]],"")</f>
        <v/>
      </c>
      <c r="AC258" s="150"/>
      <c r="AD258" s="151"/>
      <c r="AE258" s="31">
        <f>(SnapshotTable[[#This Row],[Annual Dividend Per Share]] / 4) * SnapshotTable[[#This Row],[Equity Shares]]</f>
        <v>0</v>
      </c>
      <c r="AF258" s="31">
        <f>SnapshotTable[[#This Row],[Quarterly Div $]] * 4</f>
        <v>0</v>
      </c>
      <c r="AG258" s="7">
        <f>IF(SnapshotTable[[#This Row],[Annual Dividend Per Share]]&gt;0, SnapshotTable[[#This Row],[Annual Dividend Per Share]]  / SnapshotTable[[#This Row],[Last Price]], 0)</f>
        <v>0</v>
      </c>
      <c r="AH258" s="151"/>
      <c r="AI258" s="5"/>
      <c r="AJ258" s="138"/>
      <c r="AK258" s="152" t="str">
        <f>IF(ISNUMBER( SnapshotTable[[#This Row],[EBF Target]]),(SnapshotTable[[#This Row],[EBF Target]] - SnapshotTable[[#This Row],[Last Price]]) / SnapshotTable[[#This Row],[Last Price]], "")</f>
        <v/>
      </c>
      <c r="AL258" s="152" t="str">
        <f>IF(AND(SnapshotTable[[#This Row],[Equity Basis Total]] &gt; 0,ISNUMBER( SnapshotTable[[#This Row],[Long Term Target]])), SnapshotTable[[#This Row],[From Basis $]] / SnapshotTable[[#This Row],[Equity Basis Total]], "")</f>
        <v/>
      </c>
      <c r="AM258" s="9">
        <f>IF( AND(SnapshotTable[[#This Row],[Equity Shares]] &gt;0,ISNUMBER( SnapshotTable[[#This Row],[Long Term Target]])),(SnapshotTable[[#This Row],[Equity Shares]] * SnapshotTable[[#This Row],[Long Term Target]]) - SnapshotTable[[#This Row],[Equity Basis Total]],0)</f>
        <v>0</v>
      </c>
      <c r="AN258" s="9">
        <f>IF( AND(SnapshotTable[[#This Row],[Equity Shares]] &gt;0,ISNUMBER( SnapshotTable[[#This Row],[Long Term Target]])),(SnapshotTable[[#This Row],[Equity Shares]]*SnapshotTable[[#This Row],[Long Term Target]]) - SnapshotTable[[#This Row],[Equity Value]],0)</f>
        <v>0</v>
      </c>
      <c r="AO258" s="152" t="str">
        <f>IF(AND(ISNUMBER( SnapshotTable[[#This Row],[Long Term Target]]), ISNUMBER(SnapshotTable[[#This Row],[Last Price]])),(SnapshotTable[[#This Row],[Long Term Target]] - SnapshotTable[[#This Row],[Last Price]]) / SnapshotTable[[#This Row],[Last Price]], "")</f>
        <v/>
      </c>
      <c r="AP258" s="5">
        <v>51.5</v>
      </c>
      <c r="AQ258" s="38" t="s">
        <v>38</v>
      </c>
      <c r="AR258" s="5">
        <v>51.5</v>
      </c>
      <c r="AS258" s="38" t="s">
        <v>26</v>
      </c>
      <c r="AT258" s="146" t="s">
        <v>538</v>
      </c>
      <c r="AU258" s="187" t="str">
        <f>IF(OR(SnapshotTable[[#This Row],[LP No Fill]]="Y",SnapshotTable[[#This Row],[SP Is Filled]],SnapshotTable[[#This Row],[LC Not Filled]]="Y",SnapshotTable[[#This Row],[SC Is Filled]]),"Y","")</f>
        <v/>
      </c>
      <c r="AV258" s="219"/>
      <c r="AW258" s="225"/>
      <c r="AX258" s="220"/>
      <c r="AY258" s="219" t="str">
        <f>IF(SnapshotTable[[#This Row],[Implied Move]]&gt;0, SnapshotTable[[#This Row],[Last Price]]-SnapshotTable[[#This Row],[Implied Move]],"")</f>
        <v/>
      </c>
      <c r="AZ258" s="219" t="str">
        <f>IF(SnapshotTable[[#This Row],[Implied Move]]&gt;0, SnapshotTable[[#This Row],[Last Price]] + SnapshotTable[[#This Row],[Implied Move]],"")</f>
        <v/>
      </c>
      <c r="BA258" s="331">
        <v>58.86</v>
      </c>
      <c r="BB258" s="347"/>
      <c r="BC258"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46920</v>
      </c>
      <c r="BD258" s="351"/>
      <c r="BE258" s="5"/>
      <c r="BF258" s="14"/>
      <c r="BG258" s="13"/>
      <c r="BH258" s="13"/>
      <c r="BI258" s="5"/>
      <c r="BJ258" s="136">
        <f>IF(SnapshotTable[[#This Row],[LP Qty]] &gt; 0, SnapshotTable[[#This Row],[LP Qty]] * SnapshotTable[[#This Row],[LP Book Price]] * 100,0)</f>
        <v>0</v>
      </c>
      <c r="BK258" s="136">
        <f>IF(SnapshotTable[[#This Row],[LP Premium]] &gt; 0, SnapshotTable[[#This Row],[LP Qty]] * SnapshotTable[[#This Row],[LP Strike Price]] * 100,0)</f>
        <v>0</v>
      </c>
      <c r="BL258" s="154"/>
      <c r="BM258" s="385" t="str">
        <f>IF(SnapshotTable[[#This Row],[LP Premium]] &gt; 0,SnapshotTable[[#This Row],[LP Exp Date]]-MAX(SnapshotTable[[#This Row],[LP Book Date]], SnapshotTable[[#This Row],[LP Fill Date]]),"")</f>
        <v/>
      </c>
      <c r="BN258" s="385" t="str">
        <f>IF(ISNUMBER( SnapshotTable[[#This Row],[LP Term]]), SnapshotTable[[#This Row],[LP Exp Date]] - MockToday,"")</f>
        <v/>
      </c>
      <c r="BO258" s="163" t="str">
        <f>IF(AND(SnapshotTable[[#This Row],[LP Exp Date]]&gt;0, SnapshotTable[[#This Row],[LP Strike Price]]&gt;0,SnapshotTable[[#This Row],[LP Qty]]&gt;0,SnapshotTable[[#This Row],[LP Book Date]]&gt;0,SnapshotTable[[#This Row],[LP Book Price]]&gt;0,SnapshotTable[[#This Row],[LP Fill Date]]=0),"Y","")</f>
        <v/>
      </c>
      <c r="BP258" s="31" t="str">
        <f>IF(AND(SnapshotTable[[#This Row],[LP No Fill]]&lt;&gt;"Y",SnapshotTable[[#This Row],[LP Contract Value]]&gt;0, SnapshotTable[[#This Row],[LP Qty]]&gt;0), SnapshotTable[[#This Row],[LP Contract Value]]*SnapshotTable[[#This Row],[LP Qty]]*100,"")</f>
        <v/>
      </c>
      <c r="BQ258" s="13"/>
      <c r="BR258" s="5" t="str">
        <f>IF(SnapshotTable[[#This Row],[SP Exp Date]]&lt;&gt;"",TRUNC(SnapshotTable[[#This Row],[Last Price]]),"")</f>
        <v/>
      </c>
      <c r="BS258" s="36"/>
      <c r="BT258" s="147"/>
      <c r="BU258" s="13"/>
      <c r="BV258" s="5"/>
      <c r="BW258" s="419" t="b">
        <f>AND(ISNUMBER(SnapshotTable[[#This Row],[SP Exp Date]]), ISNUMBER(SnapshotTable[[#This Row],[SP Strike Price]]), ISNUMBER(SnapshotTable[[#This Row],[SP Qty]]), ISNUMBER(SnapshotTable[[#This Row],[SP Book Date]]), ISNUMBER(SnapshotTable[[#This Row],[SP Book Price]]))</f>
        <v>0</v>
      </c>
      <c r="BX258" s="419" t="b">
        <f>AND(SnapshotTable[[#This Row],[SP Is Booked]], NOT(ISBLANK(SnapshotTable[[#This Row],[SP Fill Date]])))</f>
        <v>0</v>
      </c>
      <c r="BY258" s="33">
        <f>IF(SnapshotTable[[#This Row],[SP Is Booked]], SnapshotTable[[#This Row],[SP Qty]] * SnapshotTable[[#This Row],[SP Book Price]] * 100, 0)</f>
        <v>0</v>
      </c>
      <c r="BZ258" s="369"/>
      <c r="CA258" s="368">
        <f>SnapshotTable[[#This Row],[LP Qty]]</f>
        <v>0</v>
      </c>
      <c r="CB258" s="4" t="str">
        <f>IF(SnapshotTable[[#This Row],[SP Is Booked]], SnapshotTable[[#This Row],[SP Strike Price]] - SnapshotTable[[#This Row],[SP Book Price]], "")</f>
        <v/>
      </c>
      <c r="CC258" s="19" t="str">
        <f>IF(SnapshotTable[[#This Row],[SP Is Booked]],SnapshotTable[[#This Row],[SP Exp Date]]-MAX(SnapshotTable[[#This Row],[SP Book Date]], SnapshotTable[[#This Row],[SP Fill Date]]),"")</f>
        <v/>
      </c>
      <c r="CD258" s="7" t="str">
        <f>IF(SnapshotTable[[#This Row],[SP Is Booked]], SnapshotTable[[#This Row],[SP Book Price]]/SnapshotTable[[#This Row],[SP Strike Price]], "")</f>
        <v/>
      </c>
      <c r="CE258" s="7" t="str">
        <f>IF(ISNUMBER(SnapshotTable[[#This Row],[SP ROO Term]]),SnapshotTable[[#This Row],[SP ROO Term]]*(365/SnapshotTable[[#This Row],[SP Term]]),"")</f>
        <v/>
      </c>
      <c r="CF258" s="236">
        <f>SnapshotTable[[#This Row],[LP Strike Price]] * SnapshotTable[[#This Row],[LP Qty]] * 100</f>
        <v>0</v>
      </c>
      <c r="CG258" s="31" t="e">
        <f>IF(ISNUMBER(SnapshotTable[[#This Row],[SP Premium]]), (SnapshotTable[[#This Row],[SP Qty]] * SnapshotTable[[#This Row],[SP Strike Price]]* 100) - SnapshotTable[[#This Row],[LP Protection]], 0)</f>
        <v>#VALUE!</v>
      </c>
      <c r="CH258" s="7" t="str">
        <f>IF(ISNUMBER(SnapshotTable[[#This Row],[SP Break Even]]),-1 * (SnapshotTable[[#This Row],[SP Break Even]] - SnapshotTable[[#This Row],[Last Price]]) / SnapshotTable[[#This Row],[Last Price]], "")</f>
        <v/>
      </c>
      <c r="CI258" s="31">
        <f>IF(AND(ISNUMBER((SnapshotTable[[#This Row],[SP Potential Spend]])), SnapshotTable[[#This Row],[SP Strike Price]] &gt; SnapshotTable[[#This Row],[Last Price]], SnapshotTable[[#This Row],[SP Is Filled]]), SnapshotTable[[#This Row],[SP Potential Spend]] -  SnapshotTable[[#This Row],[LP Max Value]], 0)</f>
        <v>0</v>
      </c>
      <c r="CJ258" s="244"/>
      <c r="CK258" s="31" t="str">
        <f>IF(ISNUMBER(SnapshotTable[[#This Row],[SP Potential Spend]]),IF(ISNUMBER(SnapshotTable[[#This Row],[SP POW]]), SnapshotTable[[#This Row],[SP POW]] * SnapshotTable[[#This Row],[SP Potential Spend]], SnapshotTable[[#This Row],[SP Potential Spend]]), "")</f>
        <v/>
      </c>
      <c r="CL258" s="164" t="e">
        <f>IF(NOT(SnapshotTable[[#This Row],[SP Is Filled]]),(SnapshotTable[[#This Row],[SP Qty]] * SnapshotTable[[#This Row],[SP Strike Price]] * 100) - SnapshotTable[[#This Row],[LP Max Value]],"")</f>
        <v>#VALUE!</v>
      </c>
      <c r="CM258" s="31" t="str">
        <f>IF(SnapshotTable[[#This Row],[SP Actual Spend]]&lt;&gt;0, ((SnapshotTable[[#This Row],[SP Strike Price]]-SnapshotTable[[#This Row],[Last Price]]) *(SnapshotTable[[#This Row],[SP Qty]]*100) - SnapshotTable[[#This Row],[SP Premium]]) * - 1, "")</f>
        <v/>
      </c>
      <c r="CN258" s="78"/>
      <c r="CO258" s="369"/>
      <c r="CP258" s="4" t="str">
        <f>IF(SnapshotTable[[#This Row],[SP Is Filled]], btc_max_buyback_amount(SnapshotTable[[#This Row],[SP Fill Date]],SnapshotTable[[#This Row],[SP Exp Date]], SnapshotTable[[#This Row],[SP Book Price]]),"")</f>
        <v/>
      </c>
      <c r="CQ258" s="78"/>
      <c r="CR25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8" s="155" t="str">
        <f>IF(SnapshotTable[[#This Row],[SP Is Filled]], btc_next_cutoff_date(SnapshotTable[[#This Row],[SP Fill Date]],SnapshotTable[[#This Row],[SP Exp Date]]),"")</f>
        <v/>
      </c>
      <c r="CT258" s="235" t="str" cm="1">
        <f t="array" ref="CT258">IF(SnapshotTable[[#This Row],[SP Is Filled]], btc_should_buy_back(SnapshotTable[[#This Row],[SP Fill Date]], SnapshotTable[[#This Row],[SP Exp Date]], SnapshotTable[[#This Row],[SP Book Price]], SnapshotTable[[#This Row],[SP Current Ask]], MockToday, SnapshotTable[[#This Row],[SP Buyback Override]]),"")</f>
        <v/>
      </c>
      <c r="CU258" s="143"/>
      <c r="CV258" s="235"/>
      <c r="CW258" s="378" t="str">
        <f>IF(ISNUMBER( SnapshotTable[[#This Row],[SP Term]]), SnapshotTable[[#This Row],[SP Exp Date]] - MockToday,"")</f>
        <v/>
      </c>
      <c r="CX258" s="31" t="str">
        <f>IF(SnapshotTable[[#This Row],[SP Is Filled]],SnapshotTable[[#This Row],[SP Buyback Price to Use]] * 100 * SnapshotTable[[#This Row],[SP Qty]], "")</f>
        <v/>
      </c>
      <c r="CY258" s="4" t="str">
        <f>IF(ISNUMBER(SnapshotTable[[#This Row],[SP Strike Price]]), SnapshotTable[[#This Row],[SP Strike Price]] * (1 - SP_MaxLoss_StrikePct), "")</f>
        <v/>
      </c>
      <c r="CZ258" s="31" t="str">
        <f>IF(ISNUMBER(SnapshotTable[[#This Row],[SP Strike  Stop Per Share]]),SnapshotTable[[#This Row],[SP Premium]] - ((SnapshotTable[[#This Row],[SP Strike Price]]-SnapshotTable[[#This Row],[SP Strike  Stop Per Share]]) *(SnapshotTable[[#This Row],[SP Qty]] * 100)),"")</f>
        <v/>
      </c>
      <c r="DA258" s="4" t="str">
        <f>IF(AND(ISNUMBER(SnapshotTable[[#This Row],[SP Premium]]),SnapshotTable[[#This Row],[SP Premium]]&gt;0), SnapshotTable[[#This Row],[SP Book Price]] * (1 + SP_MaxLoss_OptionPct), "")</f>
        <v/>
      </c>
      <c r="DB258" s="31" t="str">
        <f>IF(ISNUMBER(SnapshotTable[[#This Row],[SP Option  Stop Contract]]),(SnapshotTable[[#This Row],[SP Option  Stop Contract]] *(SnapshotTable[[#This Row],[SP Qty]] * 100) - SnapshotTable[[#This Row],[SP Premium]]),"")</f>
        <v/>
      </c>
      <c r="DC258" s="4"/>
      <c r="DD258" s="4"/>
      <c r="DE258" s="4" t="str">
        <f>IF(AND(SnapshotTable[[#This Row],[SP Qty]]&gt;0, SnapshotTable[[#This Row],[SP Stop To Use]]&gt;0),SnapshotTable[[#This Row],[SP Premium]] - ( SnapshotTable[[#This Row],[SP Qty]] * SnapshotTable[[#This Row],[SP Stop To Use]] * 100), "")</f>
        <v/>
      </c>
      <c r="DF258" s="31" t="str">
        <f>IF(AND(SnapshotTable[[#This Row],[SP Qty]]&gt;0,SnapshotTable[[#This Row],[SP Current Ask]]&gt;0), SnapshotTable[[#This Row],[SP Qty]] * SnapshotTable[[#This Row],[SP Current Ask]] * -100, "")</f>
        <v/>
      </c>
      <c r="DG258" s="31" t="str">
        <f>IF(ISNUMBER((SnapshotTable[[#This Row],[SP Total Value]])), SnapshotTable[[#This Row],[SP Premium]] + SnapshotTable[[#This Row],[SP Total Value]], "")</f>
        <v/>
      </c>
      <c r="DH258" s="294" t="str">
        <f>IF(ISNUMBER((SnapshotTable[[#This Row],[SP Total Value]])), SnapshotTable[[#This Row],[SP Gain Loss]] / SnapshotTable[[#This Row],[SP Premium]], "")</f>
        <v/>
      </c>
      <c r="DI258" s="406">
        <v>46920</v>
      </c>
      <c r="DJ258" s="138">
        <v>40</v>
      </c>
      <c r="DK258" s="148">
        <v>10</v>
      </c>
      <c r="DL258" s="13">
        <v>46079</v>
      </c>
      <c r="DM258" s="13">
        <v>46079</v>
      </c>
      <c r="DN258" s="5">
        <v>14.46</v>
      </c>
      <c r="DO258" s="31">
        <f>IF(SnapshotTable[[#This Row],[LC Symbol Count]]=1, SnapshotTable[[#This Row],[LC Qty]] * SnapshotTable[[#This Row],[LC Book Price]] * 100, 0)</f>
        <v>14460.000000000002</v>
      </c>
      <c r="DP258" s="163" t="str">
        <f>IF(AND(SnapshotTable[[#This Row],[LC Exp Date]]&gt;0, SnapshotTable[[#This Row],[LC Strike Price]]&gt;0,SnapshotTable[[#This Row],[LC Qty]]&gt;0,SnapshotTable[[#This Row],[LC Book Date]]&gt;0,SnapshotTable[[#This Row],[LC Book Price]]&gt;0,SnapshotTable[[#This Row],[LC Fill Date]]=0),"Y","")</f>
        <v/>
      </c>
      <c r="DQ258" s="386">
        <f>IF(SnapshotTable[[#This Row],[LC Premium]] &gt; 0,SnapshotTable[[#This Row],[LC Exp Date]]-MAX(SnapshotTable[[#This Row],[LC Book Date]], SnapshotTable[[#This Row],[LC Fill Date]]),"")</f>
        <v>841</v>
      </c>
      <c r="DR258" s="386">
        <f ca="1">IF(ISNUMBER(SnapshotTable[[#This Row],[LC Term]]), SnapshotTable[[#This Row],[LC Exp Date]] - MockToday, "")</f>
        <v>685</v>
      </c>
      <c r="DS258" s="234">
        <f>IF(SnapshotTable[[#This Row],[LC Premium]]&gt;0,SnapshotTable[[#This Row],[LC Strike Price]] + SnapshotTable[[#This Row],[LC Book Price]],"")</f>
        <v>54.46</v>
      </c>
      <c r="DU258" s="9" t="str">
        <f>IF(AND(SnapshotTable[[#This Row],[LC Symbol Count]]&gt;0, SnapshotTable[[#This Row],[LC Contract Value]]&gt;0), SnapshotTable[[#This Row],[LC Contract Value]] * SnapshotTable[[#This Row],[LC Qty]] * 100, "")</f>
        <v/>
      </c>
      <c r="DV258" s="9" t="str">
        <f>IF(AND(ISNUMBER(SnapshotTable[[#This Row],[LC Total Value]]), SnapshotTable[[#This Row],[LC Not Filled]]&lt;&gt;"Y"), SnapshotTable[[#This Row],[LC Total Value]]-SnapshotTable[[#This Row],[LC Premium]],"")</f>
        <v/>
      </c>
      <c r="DW258" s="240" t="str">
        <f>IF(ISNUMBER(SnapshotTable[[#This Row],[LC Actual Gain Loss]]), SnapshotTable[[#This Row],[LC Actual Gain Loss]] / SnapshotTable[[#This Row],[LC Premium]],"")</f>
        <v/>
      </c>
      <c r="DX258" s="284">
        <f>IF(ISNUMBER(SnapshotTable[[#This Row],[LC Book Price]]),SnapshotTable[[#This Row],[LC Book Price]] * 1.5,"")</f>
        <v>21.69</v>
      </c>
      <c r="DY258" s="265">
        <f>IF(SnapshotTable[[#This Row],[LC Premium]]&gt;0, SnapshotTable[[#This Row],[LC Next Target]] * SnapshotTable[[#This Row],[LC Qty]] * 100,"")</f>
        <v>21690</v>
      </c>
      <c r="DZ258" s="265">
        <f>IF(ISNUMBER(SnapshotTable[[#This Row],[LC Target Gross]]), SnapshotTable[[#This Row],[LC Target Gross]] - SnapshotTable[[#This Row],[LC Premium]], "")</f>
        <v>7229.9999999999982</v>
      </c>
      <c r="EA258" s="305">
        <f>IF(ISNUMBER(SnapshotTable[[#This Row],[LC Target Gain Loss]]), SnapshotTable[[#This Row],[LC Target Gain Loss]]/SnapshotTable[[#This Row],[LC Premium]], "")</f>
        <v>0.49999999999999983</v>
      </c>
      <c r="EB258" s="262"/>
      <c r="EC258" s="283">
        <f>IF(SnapshotTable[[#This Row],[LC Premium]]&gt;0, SnapshotTable[[#This Row],[LC Book Price]] * (1 - LC_StopLoss_Pct),"")</f>
        <v>10.845000000000001</v>
      </c>
      <c r="ED258" s="284"/>
      <c r="EE258" s="283" t="str">
        <f>IF(ISNUMBER(SnapshotTable[[#This Row],[LC Contract Value]]),IF(ISNUMBER(SnapshotTable[[#This Row],[LC Stop Loss Override]]), SnapshotTable[[#This Row],[LC Stop Loss Override]],SnapshotTable[[#This Row],[LC Stop Loss Calc Target]]),"")</f>
        <v/>
      </c>
      <c r="EF258" s="31" t="str">
        <f>IF(ISNUMBER(SnapshotTable[[#This Row],[LC Stop  To Use]]), (SnapshotTable[[#This Row],[LC Stop  To Use]] * SnapshotTable[[#This Row],[LC Qty]] * 100),"")</f>
        <v/>
      </c>
      <c r="EG258" s="9" t="str">
        <f>IF(ISNUMBER(SnapshotTable[[#This Row],[LC Total Value]]),SnapshotTable[[#This Row],[LC Stop Loss Amount]] - SnapshotTable[[#This Row],[LC Premium]],"")</f>
        <v/>
      </c>
      <c r="EH258" s="9">
        <f>IF(ISNUMBER(SnapshotTable[[#This Row],[LC Premium]]), SnapshotTable[[#This Row],[LC Qty]] * 100 * SnapshotTable[[#This Row],[LC Strike Price]], "")</f>
        <v>40000</v>
      </c>
      <c r="EI258" s="240" t="str">
        <f>IF(AND(ISNUMBER(SnapshotTable[[#This Row],[LC Total Value]]),SnapshotTable[[#This Row],[LC Total Value]]&gt;0),SnapshotTable[[#This Row],[LC Stop Gain Loss]]  / SnapshotTable[[#This Row],[LC Premium]],"")</f>
        <v/>
      </c>
      <c r="EJ258" s="35">
        <f>IF(ISNUMBER(SnapshotTable[[#This Row],[Equity Shares]]),TRUNC(SnapshotTable[[#This Row],[Equity Shares]] / 100),0) + SnapshotTable[[#This Row],[LC Qty]]</f>
        <v>10</v>
      </c>
      <c r="EK258" s="147"/>
      <c r="EL258" s="138" t="str">
        <f>IF(SnapshotTable[[#This Row],[SC Exp Date]]&lt;&gt;"",TRUNC(SnapshotTable[[#This Row],[Last Price]]),"")</f>
        <v/>
      </c>
      <c r="EM258" s="148">
        <v>10</v>
      </c>
      <c r="EN258" s="147">
        <v>46143</v>
      </c>
      <c r="EO258" s="147"/>
      <c r="EP258" s="138">
        <v>0.22</v>
      </c>
      <c r="EQ258" s="419" t="b">
        <f>AND(ISNUMBER(SnapshotTable[[#This Row],[SC Exp Date]]), ISNUMBER(SnapshotTable[[#This Row],[SC Strike Price]]), ISNUMBER(SnapshotTable[[#This Row],[SC Qty]]), ISNUMBER(SnapshotTable[[#This Row],[SC Book Date]]), ISNUMBER(SnapshotTable[[#This Row],[SC Book Price]]))</f>
        <v>0</v>
      </c>
      <c r="ER258" s="419" t="b">
        <f>AND(SnapshotTable[[#This Row],[SC Is Booked]], NOT(ISBLANK(SnapshotTable[[#This Row],[SC Fill Date]])))</f>
        <v>0</v>
      </c>
      <c r="ES258" s="370">
        <v>0.15</v>
      </c>
      <c r="ET258" s="34" t="str">
        <f>IF(AND(ISNUMBER(SnapshotTable[[#This Row],[SC Exp Date]]), ISNUMBER(SnapshotTable[[#This Row],[SC Book Date]])), SnapshotTable[[#This Row],[SC Exp Date]] - MAX(SnapshotTable[[#This Row],[SC Book Date]], SnapshotTable[[#This Row],[SC Fill Date]]) + 1, "")</f>
        <v/>
      </c>
      <c r="EU258" s="34" t="str">
        <f>IF(ISNUMBER(SnapshotTable[[#This Row],[SC Term]]), SnapshotTable[[#This Row],[SC Exp Date]]- MockToday, "")</f>
        <v/>
      </c>
      <c r="EV258" s="31">
        <f>IF(SnapshotTable[[#This Row],[SC Is Booked]], SnapshotTable[[#This Row],[SC Qty]] * SnapshotTable[[#This Row],[SC Book Price]] * 100, 0)</f>
        <v>0</v>
      </c>
      <c r="EW258" s="4">
        <f>IF(AND(ISNUMBER(SnapshotTable[[#This Row],[Last Price]]), ISNUMBER( SnapshotTable[[#This Row],[SC Book Price]])), SnapshotTable[[#This Row],[Last Price]] - SnapshotTable[[#This Row],[SC Book Price]],"")</f>
        <v>36.130000000000003</v>
      </c>
      <c r="EX258" s="234" t="str">
        <f>IF(SnapshotTable[[#This Row],[SC Is Booked]],IF(SnapshotTable[[#This Row],[SC Intrinsic Value]] &gt; 0, SnapshotTable[[#This Row],[SC Strike Price]], SnapshotTable[[#This Row],[Last Price]]), "")</f>
        <v/>
      </c>
      <c r="EY258" s="4">
        <f>IF(SnapshotTable[[#This Row],[SC Is Booked]], (MinimumPremiumRequired * SnapshotTable[[#This Row],[SC Basis]] * SnapshotTable[[#This Row],[SC Term]]), 0)</f>
        <v>0</v>
      </c>
      <c r="EZ258" s="283"/>
      <c r="FA258" s="218"/>
      <c r="FB258" s="370"/>
      <c r="FC258" s="4">
        <f>IF(SnapshotTable[[#This Row],[SC Is Filled]], btc_max_buyback_amount(SnapshotTable[[#This Row],[SC Fill Date]],SnapshotTable[[#This Row],[SC Exp Date]], SnapshotTable[[#This Row],[SC Book Price]]),0)</f>
        <v>0</v>
      </c>
      <c r="FD258" s="5"/>
      <c r="FE258" s="144" t="str">
        <f>IF(SnapshotTable[[#This Row],[SC Is Filled]], btc_next_cutoff_date(SnapshotTable[[#This Row],[SC Fill Date]],SnapshotTable[[#This Row],[SC Exp Date]]),"")</f>
        <v/>
      </c>
      <c r="FF258" s="4" t="str" cm="1">
        <f t="array" ref="FF258">IF(SnapshotTable[[#This Row],[SC Is Filled]], btc_should_buy_back(SnapshotTable[[#This Row],[SC Fill Date]], SnapshotTable[[#This Row],[SC Exp Date]], SnapshotTable[[#This Row],[SC Book Price]], SnapshotTable[[#This Row],[SC Current Ask]], MockToday, SnapshotTable[[#This Row],[SC Buyback Override]]),"")</f>
        <v/>
      </c>
      <c r="FG258" s="4">
        <f>IF(SnapshotTable[[#This Row],[SC Is Filled]], MAX(0,SnapshotTable[[#This Row],[Last Price]]  - SnapshotTable[[#This Row],[SC Strike Price]]), 0)</f>
        <v>0</v>
      </c>
      <c r="FH258" s="382">
        <f>IF(SnapshotTable[[#This Row],[SC Is Filled]], IF(ISNUMBER(SnapshotTable[[#This Row],[SC Current Ask]]), SnapshotTable[[#This Row],[SC Current Ask]], SnapshotTable[[#This Row],[SC Book Price]]) - SnapshotTable[[#This Row],[SC Intrinsic Value]], 0)</f>
        <v>0</v>
      </c>
      <c r="FI258" s="143"/>
      <c r="FJ258" s="32" t="str">
        <f>IF(SnapshotTable[[#This Row],[SC Is Filled]],100 * SnapshotTable[[#This Row],[SC Qty]] * IF(ISNUMBER(SnapshotTable[[#This Row],[SC Buyback Override]]), SnapshotTable[[#This Row],[SC Buyback Override]], SnapshotTable[[#This Row],[SC Current Ask]]), "")</f>
        <v/>
      </c>
      <c r="FK258" s="250" t="str">
        <f>IF(SnapshotTable[[#This Row],[SC Time Val]]&gt;0, SnapshotTable[[#This Row],[SC Time Val]] / SnapshotTable[[#This Row],[Last Price]],"")</f>
        <v/>
      </c>
      <c r="FL258" s="302" t="str">
        <f>IF(SnapshotTable[[#This Row],[SC Is Booked]], ((SnapshotTable[[#This Row],[Last Price]] -SnapshotTable[[#This Row],[SC Strike Price]]) / SnapshotTable[[#This Row],[Last Price]]) * -1, "")</f>
        <v/>
      </c>
      <c r="FM258" s="157" t="str">
        <f>IF(SnapshotTable[[#This Row],[SC Is Booked]],  (SnapshotTable[[#This Row],[SC Qty]] * 100 * SnapshotTable[[#This Row],[SC Strike Price]]) - SnapshotTable[[#This Row],[SC Current Ask]], "")</f>
        <v/>
      </c>
      <c r="FN25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8" s="31" t="str">
        <f>IF(AND(ISNUMBER(SnapshotTable[[#This Row],[SC Exercise Gross]]), ISNUMBER(SnapshotTable[[#This Row],[Equity Basis Per Share]] )), SnapshotTable[[#This Row],[SC Exercise Gross]] - SnapshotTable[[#This Row],[Equity Basis Total]] +  SnapshotTable[[#This Row],[SC Premium]], "")</f>
        <v/>
      </c>
      <c r="FP258" s="5" t="str">
        <f>IF(ISNUMBER(SnapshotTable[[#This Row],[SC Exercise Gross]]), (SnapshotTable[[#This Row],[SC Exercise Gross]]) / (SnapshotTable[[#This Row],[SC Qty]] * 100), "")</f>
        <v/>
      </c>
      <c r="FQ258" s="27" t="str">
        <f>IF(SnapshotTable[[#This Row],[SC Is Booked]],SnapshotTable[[#This Row],[SC Time Val]] /SnapshotTable[[#This Row],[SC Basis]], "")</f>
        <v/>
      </c>
      <c r="FR258" s="27" t="str" cm="1">
        <f t="array" ref="FR258">IF(AND(ISNUMBER(SnapshotTable[[#This Row],[SC Term]]),ISNUMBER(SnapshotTable[[#This Row],[SC Simple ROO]])), EllmanAnnualize(SnapshotTable[[#This Row],[SC DTE]], SnapshotTable[[#This Row],[SC Simple ROO]] ),"")</f>
        <v/>
      </c>
      <c r="FS258" s="4" t="e">
        <f>IF(SnapshotTable[[#This Row],[SC Strike Price]] &gt; SnapshotTable[[#This Row],[Last Price]], SnapshotTable[[#This Row],[SC Strike Price]] - SnapshotTable[[#This Row],[Last Price]],0)</f>
        <v>#VALUE!</v>
      </c>
      <c r="FT258" s="27" t="e">
        <f>IF(AND(ISNUMBER(SnapshotTable[[#This Row],[SC Upside Potential]]), SnapshotTable[[#This Row],[SC Upside Potential]] &gt; 0),(SnapshotTable[[#This Row],[SC Upside Potential]]/ SnapshotTable[[#This Row],[ACB]]),"")</f>
        <v>#VALUE!</v>
      </c>
      <c r="FU258" s="333" t="str">
        <f>IF(SnapshotTable[[#This Row],[SC Intrinsic Value]] &gt; 0,SnapshotTable[[#This Row],[SC Intrinsic Value]],"")</f>
        <v/>
      </c>
      <c r="FV258" s="27" t="str">
        <f>IF(AND( ISNUMBER( SnapshotTable[[#This Row],[ACB]]),ISNUMBER(SnapshotTable[[#This Row],[SC Downside Protect]])),SnapshotTable[[#This Row],[SC Downside Protect]] / SnapshotTable[[#This Row],[ACB]],"")</f>
        <v/>
      </c>
      <c r="FW258" s="236" t="str">
        <f>IF(AND(ISNUMBER(SnapshotTable[[#This Row],[SC Simple ROO]]),SnapshotTable[[#This Row],[SC Simple ROO]] &gt; 0), SnapshotTable[[#This Row],[SC Premium]] + (SnapshotTable[[#This Row],[SC Qty]] * SnapshotTable[[#This Row],[SC Upside Potential]]), "")</f>
        <v/>
      </c>
      <c r="FX258" s="302" t="str" cm="1">
        <f t="array" ref="FX258">IF(ISNUMBER(SnapshotTable[[#This Row],[SC Max Dollars]]), annualize(SnapshotTable[[#This Row],[SC Term]],(SnapshotTable[[#This Row],[SC Max Dollars]]/SnapshotTable[[#This Row],[SC Basis]])),"")</f>
        <v/>
      </c>
      <c r="FY258" s="236" t="str">
        <f>IF(AND(SnapshotTable[[#This Row],[SC Qty]]&gt;0,SnapshotTable[[#This Row],[SC Current Ask]]&gt;0), SnapshotTable[[#This Row],[SC Qty]] * SnapshotTable[[#This Row],[SC Current Ask]] * -100, "")</f>
        <v/>
      </c>
      <c r="FZ258" s="31" t="str">
        <f>IF(ISNUMBER((SnapshotTable[[#This Row],[SC Current Value]])), SnapshotTable[[#This Row],[SC Premium]] + SnapshotTable[[#This Row],[SC Current Value]], "")</f>
        <v/>
      </c>
      <c r="GA258" s="294" t="str">
        <f>IFERROR( IF(ISNUMBER((SnapshotTable[[#This Row],[SC Current Value]])), SnapshotTable[[#This Row],[SC Gain Loss]] / SnapshotTable[[#This Row],[SC Premium]], ""), "")</f>
        <v/>
      </c>
      <c r="GB258" s="42">
        <f>SnapshotTable[[#This Row],[Equity Shares]] * SaleSharesToConsiderPercentage</f>
        <v>0</v>
      </c>
      <c r="GC258" s="40">
        <f>SnapshotTable[[#This Row],[Long Term Target]] * SellingPriceToConsiderBasedOnTargetPercentage</f>
        <v>0</v>
      </c>
      <c r="GD258" s="40">
        <f>SnapshotTable[[#This Row],[Last Price]] * (1+ SellingPriceToConsiderBasedOnTargetPercentage)</f>
        <v>70.882500000000007</v>
      </c>
      <c r="GE258" s="41"/>
      <c r="GF258" s="40"/>
      <c r="GG258" s="31">
        <f>SnapshotTable[[#This Row],[Booked Sale Shares]] * SnapshotTable[[#This Row],[Booked Sale Price]]</f>
        <v>0</v>
      </c>
      <c r="GH258" s="31" t="str">
        <f>IF(SnapshotTable[[#This Row],[Equity Basis Total]] &gt; 0, SnapshotTable[[#This Row],[Equity Basis Per Share]] * SnapshotTable[[#This Row],[Booked Sale Shares]], "")</f>
        <v/>
      </c>
      <c r="GI258" s="31">
        <f>IF(SnapshotTable[[#This Row],[Sale Proceeds]]&gt;0, SnapshotTable[[#This Row],[Sale Proceeds]] - SnapshotTable[[#This Row],[Sale Basis]], 0)</f>
        <v>0</v>
      </c>
      <c r="GJ258" s="27" t="str">
        <f>IF(SnapshotTable[[#This Row],[Sale G/L]]&gt;0, SnapshotTable[[#This Row],[Sale G/L]] / SnapshotTable[[#This Row],[Sale Basis]], IF(ISNUMBER(SnapshotTable[[#This Row],[SC Exercise P&amp;L (TAX)]]), SnapshotTable[[#This Row],[SC Exercise P&amp;L (TAX)]] / SnapshotTable[[#This Row],[SC Basis]], ""))</f>
        <v/>
      </c>
      <c r="GK258" s="27"/>
      <c r="GL258" s="43" t="str">
        <f>IF(AND(SnapshotTable[[#This Row],[LP Exp Date]]&gt;0,SnapshotTable[[#This Row],[LP Strike Price]]&gt;0), [1]!ToOptionSymbol(SnapshotTable[[#This Row],[Symbol]], SnapshotTable[[#This Row],[LP Strike Price]],SnapshotTable[[#This Row],[LP Exp Date]],1), "")</f>
        <v/>
      </c>
      <c r="GM258" s="30" t="str">
        <f>IF(LEN(SnapshotTable[[#This Row],[LP Symbol]])&gt;0, 1, "")</f>
        <v/>
      </c>
      <c r="GN258" s="43" t="str">
        <f>IF(AND(SnapshotTable[[#This Row],[SP Exp Date]]&gt;0,SnapshotTable[[#This Row],[SP Strike Price]]&gt;0), [1]!ToOptionSymbol(SnapshotTable[[#This Row],[Symbol]], SnapshotTable[[#This Row],[SP Strike Price]],SnapshotTable[[#This Row],[SP Exp Date]],1), "")</f>
        <v/>
      </c>
      <c r="GO258" s="30" t="str">
        <f>IF(LEN(SnapshotTable[[#This Row],[SP Symbol]])&gt;0, 1, "")</f>
        <v/>
      </c>
      <c r="GP258" s="43" t="str">
        <f>IF(AND(SnapshotTable[[#This Row],[LC Exp Date]]&gt;0,SnapshotTable[[#This Row],[LC Strike Price]]&gt;0), [1]!ToOptionSymbol(SnapshotTable[[#This Row],[Symbol]], SnapshotTable[[#This Row],[LC Strike Price]],SnapshotTable[[#This Row],[LC Exp Date]],0), "")</f>
        <v>IBIT280616C00040000</v>
      </c>
      <c r="GQ258" s="30">
        <f>IF(LEN(SnapshotTable[[#This Row],[LC Symbol]])&gt;0, 1, "")</f>
        <v>1</v>
      </c>
      <c r="GR258" s="43" t="str">
        <f>IF(AND(SnapshotTable[[#This Row],[SC Exp Date]]&gt;0,SnapshotTable[[#This Row],[SC Strike Price]]&gt;0), [1]!ToOptionSymbol(SnapshotTable[[#This Row],[Symbol]], SnapshotTable[[#This Row],[SC Strike Price]],SnapshotTable[[#This Row],[SC Exp Date]],0), "")</f>
        <v/>
      </c>
      <c r="GS258" s="30" t="str">
        <f>IF(LEN(SnapshotTable[[#This Row],[SC Symbol]])&gt;0, 1, "")</f>
        <v/>
      </c>
      <c r="GT258" s="29" t="str">
        <f>IF(COUNT(SnapshotTable[[#This Row],[LP Symbol Count]],SnapshotTable[[#This Row],[SP Symbol Count]],SnapshotTable[[#This Row],[LC Symbol Count]],SnapshotTable[[#This Row],[SC Symbol Count]])&gt;0, "Y", "")</f>
        <v>Y</v>
      </c>
      <c r="GU25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LC </v>
      </c>
      <c r="GV258" s="231" t="e">
        <f>MAX(SnapshotTable[[#This Row],[Equity Basis Total]],SnapshotTable[[#This Row],[Equity Value]]) + (SnapshotTable[[#This Row],[SP Potential Spend]]- SnapshotTable[[#This Row],[SP Premium]] + SnapshotTable[[#This Row],[LP Premium]])+ (SnapshotTable[[#This Row],[LC Premium]] - SnapshotTable[[#This Row],[SC Premium]])</f>
        <v>#VALUE!</v>
      </c>
      <c r="GW258" s="139" t="e">
        <f>IF(AND(SnapshotTable[[#This Row],[Exposure]] &lt;&gt; 0),SnapshotTable[[#This Row],[Exposure]] / SnapshotTable[[#Totals],[Exposure]], "")</f>
        <v>#VALUE!</v>
      </c>
      <c r="GX258" s="13"/>
      <c r="HK258" s="1"/>
      <c r="HL258" s="1"/>
      <c r="HM258" s="1"/>
      <c r="HN258" s="1"/>
      <c r="HO258" s="1"/>
      <c r="HP258" s="1"/>
    </row>
    <row r="259" spans="2:224" ht="12.75" hidden="1" customHeight="1" x14ac:dyDescent="0.25">
      <c r="B259" s="12" t="s">
        <v>1191</v>
      </c>
      <c r="C259" s="422">
        <v>108.1</v>
      </c>
      <c r="D259" s="208" t="s">
        <v>258</v>
      </c>
      <c r="E259" s="39">
        <f>SnapshotTable[[#This Row],[Last Price]]*(1 -CrashDiscount)</f>
        <v>91.884999999999991</v>
      </c>
      <c r="F259" s="325" t="s">
        <v>5</v>
      </c>
      <c r="G259" s="325" t="s">
        <v>4</v>
      </c>
      <c r="H259" s="149"/>
      <c r="I259" s="194"/>
      <c r="J259" s="195"/>
      <c r="K259" s="196"/>
      <c r="L259" s="327"/>
      <c r="M259" s="140"/>
      <c r="N259" s="140"/>
      <c r="O259" s="140"/>
      <c r="P259" s="22">
        <v>30</v>
      </c>
      <c r="Q259" s="25">
        <v>2618.8900000000003</v>
      </c>
      <c r="R259" s="4">
        <f>IF(SnapshotTable[[#This Row],[Equity Basis Total]] &gt; 0, SnapshotTable[[#This Row],[Equity Basis Total]] / SnapshotTable[[#This Row],[Equity Shares]], "")</f>
        <v>87.296333333333351</v>
      </c>
      <c r="S259" s="329">
        <f>SnapshotTable[[#This Row],[Last Price]] * SnapshotTable[[#This Row],[Equity Shares]]</f>
        <v>3243</v>
      </c>
      <c r="T259" s="269">
        <f>SnapshotTable[[#This Row],[Equity Value]] - SnapshotTable[[#This Row],[Equity Basis Total]]</f>
        <v>624.10999999999967</v>
      </c>
      <c r="U259" s="270">
        <f>IF(SnapshotTable[[#This Row],[Equity Basis Total]] &gt; 0, SnapshotTable[[#This Row],[Equity G/L]] / SnapshotTable[[#This Row],[Equity Basis Total]], "")</f>
        <v>0.23831088743704379</v>
      </c>
      <c r="V259" s="268"/>
      <c r="W259" s="268"/>
      <c r="X259" s="4" t="str">
        <f>IF(AND(ISNUMBER(SnapshotTable[[#This Row],[Equity Basis Per Share]]),ISNUMBER(SnapshotTable[[#This Row],[Equity Target]])),SnapshotTable[[#This Row],[Equity Target]]-SnapshotTable[[#This Row],[Equity Basis Per Share]],"")</f>
        <v/>
      </c>
      <c r="Y259" s="4" t="str">
        <f>IF(AND(ISNUMBER(SnapshotTable[[#This Row],[Equity Basis Per Share]]),ISNUMBER(SnapshotTable[[#This Row],[Equity Stop Loss]])),SnapshotTable[[#This Row],[Equity Stop Loss]]-SnapshotTable[[#This Row],[Equity Basis Per Share]],"")</f>
        <v/>
      </c>
      <c r="Z259" s="275" t="str">
        <f>IFERROR( TEXT(SnapshotTable[[#This Row],[Equity Max Gain Per Share]] /ABS( SnapshotTable[[#This Row],[Equity Max Loss Per Share]]),"0.0 " ) &amp; " : 1", "")</f>
        <v/>
      </c>
      <c r="AA259" s="31" t="str">
        <f>IF(ISNUMBER(SnapshotTable[[#This Row],[Equity Max Gain Per Share]]),SnapshotTable[[#This Row],[Equity Max Gain Per Share]] * SnapshotTable[[#This Row],[Equity Shares]],"")</f>
        <v/>
      </c>
      <c r="AB259" s="31" t="str">
        <f>IF(ISNUMBER(SnapshotTable[[#This Row],[Equity Max Loss Per Share]]),SnapshotTable[[#This Row],[Equity Max Loss Per Share]] * SnapshotTable[[#This Row],[Equity Shares]],"")</f>
        <v/>
      </c>
      <c r="AC259" s="150"/>
      <c r="AD259" s="151"/>
      <c r="AE259" s="31">
        <f>(SnapshotTable[[#This Row],[Annual Dividend Per Share]] / 4) * SnapshotTable[[#This Row],[Equity Shares]]</f>
        <v>0</v>
      </c>
      <c r="AF259" s="31">
        <f>SnapshotTable[[#This Row],[Quarterly Div $]] * 4</f>
        <v>0</v>
      </c>
      <c r="AG259" s="7">
        <f>IF(SnapshotTable[[#This Row],[Annual Dividend Per Share]]&gt;0, SnapshotTable[[#This Row],[Annual Dividend Per Share]]  / SnapshotTable[[#This Row],[Last Price]], 0)</f>
        <v>0</v>
      </c>
      <c r="AH259" s="151"/>
      <c r="AI259" s="330"/>
      <c r="AJ259" s="138"/>
      <c r="AK259" s="152" t="str">
        <f>IF(ISNUMBER( SnapshotTable[[#This Row],[EBF Target]]),(SnapshotTable[[#This Row],[EBF Target]] - SnapshotTable[[#This Row],[Last Price]]) / SnapshotTable[[#This Row],[Last Price]], "")</f>
        <v/>
      </c>
      <c r="AL259" s="152" t="str">
        <f>IF(AND(SnapshotTable[[#This Row],[Equity Basis Total]] &gt; 0,ISNUMBER( SnapshotTable[[#This Row],[Long Term Target]])), SnapshotTable[[#This Row],[From Basis $]] / SnapshotTable[[#This Row],[Equity Basis Total]], "")</f>
        <v/>
      </c>
      <c r="AM259" s="9">
        <f>IF( AND(SnapshotTable[[#This Row],[Equity Shares]] &gt;0,ISNUMBER( SnapshotTable[[#This Row],[Long Term Target]])),(SnapshotTable[[#This Row],[Equity Shares]] * SnapshotTable[[#This Row],[Long Term Target]]) - SnapshotTable[[#This Row],[Equity Basis Total]],0)</f>
        <v>0</v>
      </c>
      <c r="AN259" s="9">
        <f>IF( AND(SnapshotTable[[#This Row],[Equity Shares]] &gt;0,ISNUMBER( SnapshotTable[[#This Row],[Long Term Target]])),(SnapshotTable[[#This Row],[Equity Shares]]*SnapshotTable[[#This Row],[Long Term Target]]) - SnapshotTable[[#This Row],[Equity Value]],0)</f>
        <v>0</v>
      </c>
      <c r="AO259" s="152" t="str">
        <f>IF(AND(ISNUMBER( SnapshotTable[[#This Row],[Long Term Target]]), ISNUMBER(SnapshotTable[[#This Row],[Last Price]])),(SnapshotTable[[#This Row],[Long Term Target]] - SnapshotTable[[#This Row],[Last Price]]) / SnapshotTable[[#This Row],[Last Price]], "")</f>
        <v/>
      </c>
      <c r="AP259" s="5"/>
      <c r="AQ259" s="38"/>
      <c r="AR259" s="5"/>
      <c r="AS259" s="38"/>
      <c r="AT259" s="146" t="s">
        <v>1132</v>
      </c>
      <c r="AU259" s="187" t="str">
        <f>IF(OR(SnapshotTable[[#This Row],[LP No Fill]]="Y",SnapshotTable[[#This Row],[SP Is Filled]],SnapshotTable[[#This Row],[LC Not Filled]]="Y",SnapshotTable[[#This Row],[SC Is Filled]]),"Y","")</f>
        <v/>
      </c>
      <c r="AV259" s="338" t="s">
        <v>1138</v>
      </c>
      <c r="AW259" s="339"/>
      <c r="AX259" s="220"/>
      <c r="AY259" s="219" t="str">
        <f>IF(SnapshotTable[[#This Row],[Implied Move]]&gt;0, SnapshotTable[[#This Row],[Last Price]]-SnapshotTable[[#This Row],[Implied Move]],"")</f>
        <v/>
      </c>
      <c r="AZ259" s="219" t="str">
        <f>IF(SnapshotTable[[#This Row],[Implied Move]]&gt;0, SnapshotTable[[#This Row],[Last Price]] + SnapshotTable[[#This Row],[Implied Move]],"")</f>
        <v/>
      </c>
      <c r="BA259" s="331">
        <v>88.5</v>
      </c>
      <c r="BB259" s="347"/>
      <c r="BC25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9" s="351"/>
      <c r="BE259" s="138"/>
      <c r="BF259" s="166"/>
      <c r="BG259" s="167"/>
      <c r="BH259" s="167"/>
      <c r="BI259" s="221"/>
      <c r="BJ259" s="153">
        <f>IF(SnapshotTable[[#This Row],[LP Qty]] &gt; 0, SnapshotTable[[#This Row],[LP Qty]] * SnapshotTable[[#This Row],[LP Book Price]] * 100,0)</f>
        <v>0</v>
      </c>
      <c r="BK259" s="136">
        <f>IF(SnapshotTable[[#This Row],[LP Premium]] &gt; 0, SnapshotTable[[#This Row],[LP Qty]] * SnapshotTable[[#This Row],[LP Strike Price]] * 100,0)</f>
        <v>0</v>
      </c>
      <c r="BL259" s="154"/>
      <c r="BM259" s="385" t="str">
        <f>IF(SnapshotTable[[#This Row],[LP Premium]] &gt; 0,SnapshotTable[[#This Row],[LP Exp Date]]-MAX(SnapshotTable[[#This Row],[LP Book Date]], SnapshotTable[[#This Row],[LP Fill Date]]),"")</f>
        <v/>
      </c>
      <c r="BN259" s="385" t="str">
        <f>IF(ISNUMBER( SnapshotTable[[#This Row],[LP Term]]), SnapshotTable[[#This Row],[LP Exp Date]] - MockToday,"")</f>
        <v/>
      </c>
      <c r="BO259" s="163" t="str">
        <f>IF(AND(SnapshotTable[[#This Row],[LP Exp Date]]&gt;0, SnapshotTable[[#This Row],[LP Strike Price]]&gt;0,SnapshotTable[[#This Row],[LP Qty]]&gt;0,SnapshotTable[[#This Row],[LP Book Date]]&gt;0,SnapshotTable[[#This Row],[LP Book Price]]&gt;0,SnapshotTable[[#This Row],[LP Fill Date]]=0),"Y","")</f>
        <v/>
      </c>
      <c r="BP259" s="31" t="str">
        <f>IF(AND(SnapshotTable[[#This Row],[LP No Fill]]&lt;&gt;"Y",SnapshotTable[[#This Row],[LP Contract Value]]&gt;0, SnapshotTable[[#This Row],[LP Qty]]&gt;0), SnapshotTable[[#This Row],[LP Contract Value]]*SnapshotTable[[#This Row],[LP Qty]]*100,"")</f>
        <v/>
      </c>
      <c r="BQ259" s="13"/>
      <c r="BR259" s="5" t="str">
        <f>IF(SnapshotTable[[#This Row],[SP Exp Date]]&lt;&gt;"",TRUNC(SnapshotTable[[#This Row],[Last Price]]),"")</f>
        <v/>
      </c>
      <c r="BS259" s="36"/>
      <c r="BT259" s="147"/>
      <c r="BU259" s="13"/>
      <c r="BV259" s="5"/>
      <c r="BW259" s="419" t="b">
        <f>AND(ISNUMBER(SnapshotTable[[#This Row],[SP Exp Date]]), ISNUMBER(SnapshotTable[[#This Row],[SP Strike Price]]), ISNUMBER(SnapshotTable[[#This Row],[SP Qty]]), ISNUMBER(SnapshotTable[[#This Row],[SP Book Date]]), ISNUMBER(SnapshotTable[[#This Row],[SP Book Price]]))</f>
        <v>0</v>
      </c>
      <c r="BX259" s="419" t="b">
        <f>AND(SnapshotTable[[#This Row],[SP Is Booked]], NOT(ISBLANK(SnapshotTable[[#This Row],[SP Fill Date]])))</f>
        <v>0</v>
      </c>
      <c r="BY259" s="33">
        <f>IF(SnapshotTable[[#This Row],[SP Is Booked]], SnapshotTable[[#This Row],[SP Qty]] * SnapshotTable[[#This Row],[SP Book Price]] * 100, 0)</f>
        <v>0</v>
      </c>
      <c r="BZ259" s="369"/>
      <c r="CA259" s="368">
        <f>SnapshotTable[[#This Row],[LP Qty]]</f>
        <v>0</v>
      </c>
      <c r="CB259" s="4" t="str">
        <f>IF(SnapshotTable[[#This Row],[SP Is Booked]], SnapshotTable[[#This Row],[SP Strike Price]] - SnapshotTable[[#This Row],[SP Book Price]], "")</f>
        <v/>
      </c>
      <c r="CC259" s="19" t="str">
        <f>IF(SnapshotTable[[#This Row],[SP Is Booked]],SnapshotTable[[#This Row],[SP Exp Date]]-MAX(SnapshotTable[[#This Row],[SP Book Date]], SnapshotTable[[#This Row],[SP Fill Date]]),"")</f>
        <v/>
      </c>
      <c r="CD259" s="7" t="str">
        <f>IF(SnapshotTable[[#This Row],[SP Is Booked]], SnapshotTable[[#This Row],[SP Book Price]]/SnapshotTable[[#This Row],[SP Strike Price]], "")</f>
        <v/>
      </c>
      <c r="CE259" s="7" t="str">
        <f>IF(ISNUMBER(SnapshotTable[[#This Row],[SP ROO Term]]),SnapshotTable[[#This Row],[SP ROO Term]]*(365/SnapshotTable[[#This Row],[SP Term]]),"")</f>
        <v/>
      </c>
      <c r="CF259" s="236">
        <f>SnapshotTable[[#This Row],[LP Strike Price]] * SnapshotTable[[#This Row],[LP Qty]] * 100</f>
        <v>0</v>
      </c>
      <c r="CG259" s="31" t="e">
        <f>IF(ISNUMBER(SnapshotTable[[#This Row],[SP Premium]]), (SnapshotTable[[#This Row],[SP Qty]] * SnapshotTable[[#This Row],[SP Strike Price]]* 100) - SnapshotTable[[#This Row],[LP Protection]], 0)</f>
        <v>#VALUE!</v>
      </c>
      <c r="CH259" s="7" t="str">
        <f>IF(ISNUMBER(SnapshotTable[[#This Row],[SP Break Even]]),-1 * (SnapshotTable[[#This Row],[SP Break Even]] - SnapshotTable[[#This Row],[Last Price]]) / SnapshotTable[[#This Row],[Last Price]], "")</f>
        <v/>
      </c>
      <c r="CI259" s="31">
        <f>IF(AND(ISNUMBER((SnapshotTable[[#This Row],[SP Potential Spend]])), SnapshotTable[[#This Row],[SP Strike Price]] &gt; SnapshotTable[[#This Row],[Last Price]], SnapshotTable[[#This Row],[SP Is Filled]]), SnapshotTable[[#This Row],[SP Potential Spend]] -  SnapshotTable[[#This Row],[LP Max Value]], 0)</f>
        <v>0</v>
      </c>
      <c r="CJ259" s="244"/>
      <c r="CK259" s="31" t="str">
        <f>IF(ISNUMBER(SnapshotTable[[#This Row],[SP Potential Spend]]),IF(ISNUMBER(SnapshotTable[[#This Row],[SP POW]]), SnapshotTable[[#This Row],[SP POW]] * SnapshotTable[[#This Row],[SP Potential Spend]], SnapshotTable[[#This Row],[SP Potential Spend]]), "")</f>
        <v/>
      </c>
      <c r="CL259" s="164" t="e">
        <f>IF(NOT(SnapshotTable[[#This Row],[SP Is Filled]]),(SnapshotTable[[#This Row],[SP Qty]] * SnapshotTable[[#This Row],[SP Strike Price]] * 100) - SnapshotTable[[#This Row],[LP Max Value]],"")</f>
        <v>#VALUE!</v>
      </c>
      <c r="CM259" s="31" t="str">
        <f>IF(SnapshotTable[[#This Row],[SP Actual Spend]]&lt;&gt;0, ((SnapshotTable[[#This Row],[SP Strike Price]]-SnapshotTable[[#This Row],[Last Price]]) *(SnapshotTable[[#This Row],[SP Qty]]*100) - SnapshotTable[[#This Row],[SP Premium]]) * - 1, "")</f>
        <v/>
      </c>
      <c r="CN259" s="154"/>
      <c r="CO259" s="369"/>
      <c r="CP259" s="320" t="str">
        <f>IF(SnapshotTable[[#This Row],[SP Is Filled]], btc_max_buyback_amount(SnapshotTable[[#This Row],[SP Fill Date]],SnapshotTable[[#This Row],[SP Exp Date]], SnapshotTable[[#This Row],[SP Book Price]]),"")</f>
        <v/>
      </c>
      <c r="CQ259" s="78"/>
      <c r="CR259" s="76"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9" s="155" t="str">
        <f>IF(SnapshotTable[[#This Row],[SP Is Filled]], btc_next_cutoff_date(SnapshotTable[[#This Row],[SP Fill Date]],SnapshotTable[[#This Row],[SP Exp Date]]),"")</f>
        <v/>
      </c>
      <c r="CT259" s="235" t="str" cm="1">
        <f t="array" ref="CT259">IF(SnapshotTable[[#This Row],[SP Is Filled]], btc_should_buy_back(SnapshotTable[[#This Row],[SP Fill Date]], SnapshotTable[[#This Row],[SP Exp Date]], SnapshotTable[[#This Row],[SP Book Price]], SnapshotTable[[#This Row],[SP Current Ask]], MockToday, SnapshotTable[[#This Row],[SP Buyback Override]]),"")</f>
        <v/>
      </c>
      <c r="CU259" s="143"/>
      <c r="CV259" s="235"/>
      <c r="CW259" s="378" t="str">
        <f>IF(ISNUMBER( SnapshotTable[[#This Row],[SP Term]]), SnapshotTable[[#This Row],[SP Exp Date]] - MockToday,"")</f>
        <v/>
      </c>
      <c r="CX259" s="31" t="str">
        <f>IF(SnapshotTable[[#This Row],[SP Is Filled]],SnapshotTable[[#This Row],[SP Buyback Price to Use]] * 100 * SnapshotTable[[#This Row],[SP Qty]], "")</f>
        <v/>
      </c>
      <c r="CY259" s="4" t="str">
        <f>IF(ISNUMBER(SnapshotTable[[#This Row],[SP Strike Price]]), SnapshotTable[[#This Row],[SP Strike Price]] * (1 - SP_MaxLoss_StrikePct), "")</f>
        <v/>
      </c>
      <c r="CZ259" s="31" t="str">
        <f>IF(ISNUMBER(SnapshotTable[[#This Row],[SP Strike  Stop Per Share]]),SnapshotTable[[#This Row],[SP Premium]] - ((SnapshotTable[[#This Row],[SP Strike Price]]-SnapshotTable[[#This Row],[SP Strike  Stop Per Share]]) *(SnapshotTable[[#This Row],[SP Qty]] * 100)),"")</f>
        <v/>
      </c>
      <c r="DA259" s="4" t="str">
        <f>IF(AND(ISNUMBER(SnapshotTable[[#This Row],[SP Premium]]),SnapshotTable[[#This Row],[SP Premium]]&gt;0), SnapshotTable[[#This Row],[SP Book Price]] * (1 + SP_MaxLoss_OptionPct), "")</f>
        <v/>
      </c>
      <c r="DB259" s="31" t="str">
        <f>IF(ISNUMBER(SnapshotTable[[#This Row],[SP Option  Stop Contract]]),(SnapshotTable[[#This Row],[SP Option  Stop Contract]] *(SnapshotTable[[#This Row],[SP Qty]] * 100) - SnapshotTable[[#This Row],[SP Premium]]),"")</f>
        <v/>
      </c>
      <c r="DC259" s="4"/>
      <c r="DD259" s="4"/>
      <c r="DE259" s="4" t="str">
        <f>IF(AND(SnapshotTable[[#This Row],[SP Qty]]&gt;0, SnapshotTable[[#This Row],[SP Stop To Use]]&gt;0),SnapshotTable[[#This Row],[SP Premium]] - ( SnapshotTable[[#This Row],[SP Qty]] * SnapshotTable[[#This Row],[SP Stop To Use]] * 100), "")</f>
        <v/>
      </c>
      <c r="DF259" s="31" t="str">
        <f>IF(AND(SnapshotTable[[#This Row],[SP Qty]]&gt;0,SnapshotTable[[#This Row],[SP Current Ask]]&gt;0), SnapshotTable[[#This Row],[SP Qty]] * SnapshotTable[[#This Row],[SP Current Ask]] * -100, "")</f>
        <v/>
      </c>
      <c r="DG259" s="31" t="str">
        <f>IF(ISNUMBER((SnapshotTable[[#This Row],[SP Total Value]])), SnapshotTable[[#This Row],[SP Premium]] + SnapshotTable[[#This Row],[SP Total Value]], "")</f>
        <v/>
      </c>
      <c r="DH259" s="294" t="str">
        <f>IF(ISNUMBER((SnapshotTable[[#This Row],[SP Total Value]])), SnapshotTable[[#This Row],[SP Gain Loss]] / SnapshotTable[[#This Row],[SP Premium]], "")</f>
        <v/>
      </c>
      <c r="DI259" s="406"/>
      <c r="DJ259" s="138"/>
      <c r="DK259" s="166"/>
      <c r="DL259" s="167"/>
      <c r="DM259" s="167"/>
      <c r="DO259" s="31">
        <f>IF(SnapshotTable[[#This Row],[LC Symbol Count]]=1, SnapshotTable[[#This Row],[LC Qty]] * SnapshotTable[[#This Row],[LC Book Price]] * 100, 0)</f>
        <v>0</v>
      </c>
      <c r="DP259" s="289" t="str">
        <f>IF(AND(SnapshotTable[[#This Row],[LC Exp Date]]&gt;0, SnapshotTable[[#This Row],[LC Strike Price]]&gt;0,SnapshotTable[[#This Row],[LC Qty]]&gt;0,SnapshotTable[[#This Row],[LC Book Date]]&gt;0,SnapshotTable[[#This Row],[LC Book Price]]&gt;0,SnapshotTable[[#This Row],[LC Fill Date]]=0),"Y","")</f>
        <v/>
      </c>
      <c r="DQ259" s="386" t="str">
        <f>IF(SnapshotTable[[#This Row],[LC Premium]] &gt; 0,SnapshotTable[[#This Row],[LC Exp Date]]-MAX(SnapshotTable[[#This Row],[LC Book Date]], SnapshotTable[[#This Row],[LC Fill Date]]),"")</f>
        <v/>
      </c>
      <c r="DR259" s="386" t="str">
        <f>IF(ISNUMBER(SnapshotTable[[#This Row],[LC Term]]), SnapshotTable[[#This Row],[LC Exp Date]] - MockToday, "")</f>
        <v/>
      </c>
      <c r="DS259" s="234" t="str">
        <f>IF(SnapshotTable[[#This Row],[LC Premium]]&gt;0,SnapshotTable[[#This Row],[LC Strike Price]] + SnapshotTable[[#This Row],[LC Book Price]],"")</f>
        <v/>
      </c>
      <c r="DU259" s="9" t="str">
        <f>IF(AND(SnapshotTable[[#This Row],[LC Symbol Count]]&gt;0, SnapshotTable[[#This Row],[LC Contract Value]]&gt;0), SnapshotTable[[#This Row],[LC Contract Value]] * SnapshotTable[[#This Row],[LC Qty]] * 100, "")</f>
        <v/>
      </c>
      <c r="DV259" s="9" t="str">
        <f>IF(AND(ISNUMBER(SnapshotTable[[#This Row],[LC Total Value]]), SnapshotTable[[#This Row],[LC Not Filled]]&lt;&gt;"Y"), SnapshotTable[[#This Row],[LC Total Value]]-SnapshotTable[[#This Row],[LC Premium]],"")</f>
        <v/>
      </c>
      <c r="DW259" s="240" t="str">
        <f>IF(ISNUMBER(SnapshotTable[[#This Row],[LC Actual Gain Loss]]), SnapshotTable[[#This Row],[LC Actual Gain Loss]] / SnapshotTable[[#This Row],[LC Premium]],"")</f>
        <v/>
      </c>
      <c r="DX259" s="284" t="str">
        <f>IF(ISNUMBER(SnapshotTable[[#This Row],[LC Book Price]]),SnapshotTable[[#This Row],[LC Book Price]] * 1.5,"")</f>
        <v/>
      </c>
      <c r="DY259" s="265" t="str">
        <f>IF(SnapshotTable[[#This Row],[LC Premium]]&gt;0, SnapshotTable[[#This Row],[LC Next Target]] * SnapshotTable[[#This Row],[LC Qty]] * 100,"")</f>
        <v/>
      </c>
      <c r="DZ259" s="265" t="str">
        <f>IF(ISNUMBER(SnapshotTable[[#This Row],[LC Target Gross]]), SnapshotTable[[#This Row],[LC Target Gross]] - SnapshotTable[[#This Row],[LC Premium]], "")</f>
        <v/>
      </c>
      <c r="EA259" s="305" t="str">
        <f>IF(ISNUMBER(SnapshotTable[[#This Row],[LC Target Gain Loss]]), SnapshotTable[[#This Row],[LC Target Gain Loss]]/SnapshotTable[[#This Row],[LC Premium]], "")</f>
        <v/>
      </c>
      <c r="EB259" s="262"/>
      <c r="EC259" s="290" t="str">
        <f>IF(SnapshotTable[[#This Row],[LC Premium]]&gt;0, SnapshotTable[[#This Row],[LC Book Price]] * (1 - LC_StopLoss_Pct),"")</f>
        <v/>
      </c>
      <c r="ED259" s="284"/>
      <c r="EE259" s="290" t="str">
        <f>IF(ISNUMBER(SnapshotTable[[#This Row],[LC Contract Value]]),IF(ISNUMBER(SnapshotTable[[#This Row],[LC Stop Loss Override]]), SnapshotTable[[#This Row],[LC Stop Loss Override]],SnapshotTable[[#This Row],[LC Stop Loss Calc Target]]),"")</f>
        <v/>
      </c>
      <c r="EF259" s="321" t="str">
        <f>IF(ISNUMBER(SnapshotTable[[#This Row],[LC Stop  To Use]]), (SnapshotTable[[#This Row],[LC Stop  To Use]] * SnapshotTable[[#This Row],[LC Qty]] * 100),"")</f>
        <v/>
      </c>
      <c r="EG259" s="9" t="str">
        <f>IF(ISNUMBER(SnapshotTable[[#This Row],[LC Total Value]]),SnapshotTable[[#This Row],[LC Stop Loss Amount]] - SnapshotTable[[#This Row],[LC Premium]],"")</f>
        <v/>
      </c>
      <c r="EH259" s="9">
        <f>IF(ISNUMBER(SnapshotTable[[#This Row],[LC Premium]]), SnapshotTable[[#This Row],[LC Qty]] * 100 * SnapshotTable[[#This Row],[LC Strike Price]], "")</f>
        <v>0</v>
      </c>
      <c r="EI259" s="240" t="str">
        <f>IF(AND(ISNUMBER(SnapshotTable[[#This Row],[LC Total Value]]),SnapshotTable[[#This Row],[LC Total Value]]&gt;0),SnapshotTable[[#This Row],[LC Stop Gain Loss]]  / SnapshotTable[[#This Row],[LC Premium]],"")</f>
        <v/>
      </c>
      <c r="EJ259" s="35">
        <f>IF(ISNUMBER(SnapshotTable[[#This Row],[Equity Shares]]),TRUNC(SnapshotTable[[#This Row],[Equity Shares]] / 100),0) + SnapshotTable[[#This Row],[LC Qty]]</f>
        <v>0</v>
      </c>
      <c r="EK259" s="147"/>
      <c r="EL259" s="138" t="str">
        <f>IF(SnapshotTable[[#This Row],[SC Exp Date]]&lt;&gt;"",TRUNC(SnapshotTable[[#This Row],[Last Price]]),"")</f>
        <v/>
      </c>
      <c r="EM259" s="148"/>
      <c r="EN259" s="147"/>
      <c r="EO259" s="147"/>
      <c r="EP259" s="138"/>
      <c r="EQ259" s="419" t="b">
        <f>AND(ISNUMBER(SnapshotTable[[#This Row],[SC Exp Date]]), ISNUMBER(SnapshotTable[[#This Row],[SC Strike Price]]), ISNUMBER(SnapshotTable[[#This Row],[SC Qty]]), ISNUMBER(SnapshotTable[[#This Row],[SC Book Date]]), ISNUMBER(SnapshotTable[[#This Row],[SC Book Price]]))</f>
        <v>0</v>
      </c>
      <c r="ER259" s="419" t="b">
        <f>AND(SnapshotTable[[#This Row],[SC Is Booked]], NOT(ISBLANK(SnapshotTable[[#This Row],[SC Fill Date]])))</f>
        <v>0</v>
      </c>
      <c r="ES259" s="370"/>
      <c r="ET259" s="34" t="str">
        <f>IF(AND(ISNUMBER(SnapshotTable[[#This Row],[SC Exp Date]]), ISNUMBER(SnapshotTable[[#This Row],[SC Book Date]])), SnapshotTable[[#This Row],[SC Exp Date]] - MAX(SnapshotTable[[#This Row],[SC Book Date]], SnapshotTable[[#This Row],[SC Fill Date]]) + 1, "")</f>
        <v/>
      </c>
      <c r="EU259" s="34" t="str">
        <f>IF(ISNUMBER(SnapshotTable[[#This Row],[SC Term]]), SnapshotTable[[#This Row],[SC Exp Date]]- MockToday, "")</f>
        <v/>
      </c>
      <c r="EV259" s="31">
        <f>IF(SnapshotTable[[#This Row],[SC Is Booked]], SnapshotTable[[#This Row],[SC Qty]] * SnapshotTable[[#This Row],[SC Book Price]] * 100, 0)</f>
        <v>0</v>
      </c>
      <c r="EW259" s="4" t="str">
        <f>IF(AND(ISNUMBER(SnapshotTable[[#This Row],[Last Price]]), ISNUMBER( SnapshotTable[[#This Row],[SC Book Price]])), SnapshotTable[[#This Row],[Last Price]] - SnapshotTable[[#This Row],[SC Book Price]],"")</f>
        <v/>
      </c>
      <c r="EX259" s="234" t="str">
        <f>IF(SnapshotTable[[#This Row],[SC Is Booked]],IF(SnapshotTable[[#This Row],[SC Intrinsic Value]] &gt; 0, SnapshotTable[[#This Row],[SC Strike Price]], SnapshotTable[[#This Row],[Last Price]]), "")</f>
        <v/>
      </c>
      <c r="EY259" s="4">
        <f>IF(SnapshotTable[[#This Row],[SC Is Booked]], (MinimumPremiumRequired * SnapshotTable[[#This Row],[SC Basis]] * SnapshotTable[[#This Row],[SC Term]]), 0)</f>
        <v>0</v>
      </c>
      <c r="EZ259" s="283"/>
      <c r="FA259" s="218"/>
      <c r="FB259" s="370"/>
      <c r="FC259" s="4">
        <f>IF(SnapshotTable[[#This Row],[SC Is Filled]], btc_max_buyback_amount(SnapshotTable[[#This Row],[SC Fill Date]],SnapshotTable[[#This Row],[SC Exp Date]], SnapshotTable[[#This Row],[SC Book Price]]),0)</f>
        <v>0</v>
      </c>
      <c r="FD259" s="5"/>
      <c r="FE259" s="144" t="str">
        <f>IF(SnapshotTable[[#This Row],[SC Is Filled]], btc_next_cutoff_date(SnapshotTable[[#This Row],[SC Fill Date]],SnapshotTable[[#This Row],[SC Exp Date]]),"")</f>
        <v/>
      </c>
      <c r="FF259" s="4" t="str" cm="1">
        <f t="array" ref="FF259">IF(SnapshotTable[[#This Row],[SC Is Filled]], btc_should_buy_back(SnapshotTable[[#This Row],[SC Fill Date]], SnapshotTable[[#This Row],[SC Exp Date]], SnapshotTable[[#This Row],[SC Book Price]], SnapshotTable[[#This Row],[SC Current Ask]], MockToday, SnapshotTable[[#This Row],[SC Buyback Override]]),"")</f>
        <v/>
      </c>
      <c r="FG259" s="4">
        <f>IF(SnapshotTable[[#This Row],[SC Is Filled]], MAX(0,SnapshotTable[[#This Row],[Last Price]]  - SnapshotTable[[#This Row],[SC Strike Price]]), 0)</f>
        <v>0</v>
      </c>
      <c r="FH259" s="382">
        <f>IF(SnapshotTable[[#This Row],[SC Is Filled]], IF(ISNUMBER(SnapshotTable[[#This Row],[SC Current Ask]]), SnapshotTable[[#This Row],[SC Current Ask]], SnapshotTable[[#This Row],[SC Book Price]]) - SnapshotTable[[#This Row],[SC Intrinsic Value]], 0)</f>
        <v>0</v>
      </c>
      <c r="FI259" s="143">
        <v>45786</v>
      </c>
      <c r="FJ259" s="32" t="str">
        <f>IF(SnapshotTable[[#This Row],[SC Is Filled]],100 * SnapshotTable[[#This Row],[SC Qty]] * IF(ISNUMBER(SnapshotTable[[#This Row],[SC Buyback Override]]), SnapshotTable[[#This Row],[SC Buyback Override]], SnapshotTable[[#This Row],[SC Current Ask]]), "")</f>
        <v/>
      </c>
      <c r="FK259" s="250" t="str">
        <f>IF(SnapshotTable[[#This Row],[SC Time Val]]&gt;0, SnapshotTable[[#This Row],[SC Time Val]] / SnapshotTable[[#This Row],[Last Price]],"")</f>
        <v/>
      </c>
      <c r="FL259" s="302" t="str">
        <f>IF(SnapshotTable[[#This Row],[SC Is Booked]], ((SnapshotTable[[#This Row],[Last Price]] -SnapshotTable[[#This Row],[SC Strike Price]]) / SnapshotTable[[#This Row],[Last Price]]) * -1, "")</f>
        <v/>
      </c>
      <c r="FM259" s="157" t="str">
        <f>IF(SnapshotTable[[#This Row],[SC Is Booked]],  (SnapshotTable[[#This Row],[SC Qty]] * 100 * SnapshotTable[[#This Row],[SC Strike Price]]) - SnapshotTable[[#This Row],[SC Current Ask]], "")</f>
        <v/>
      </c>
      <c r="FN259"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9" s="157" t="str">
        <f>IF(AND(ISNUMBER(SnapshotTable[[#This Row],[SC Exercise Gross]]), ISNUMBER(SnapshotTable[[#This Row],[Equity Basis Per Share]] )), SnapshotTable[[#This Row],[SC Exercise Gross]] - SnapshotTable[[#This Row],[Equity Basis Total]] +  SnapshotTable[[#This Row],[SC Premium]], "")</f>
        <v/>
      </c>
      <c r="FP259" s="5" t="str">
        <f>IF(ISNUMBER(SnapshotTable[[#This Row],[SC Exercise Gross]]), (SnapshotTable[[#This Row],[SC Exercise Gross]]) / (SnapshotTable[[#This Row],[SC Qty]] * 100), "")</f>
        <v/>
      </c>
      <c r="FQ259" s="27" t="str">
        <f>IF(SnapshotTable[[#This Row],[SC Is Booked]],SnapshotTable[[#This Row],[SC Time Val]] /SnapshotTable[[#This Row],[SC Basis]], "")</f>
        <v/>
      </c>
      <c r="FR259" s="27" t="str" cm="1">
        <f t="array" ref="FR259">IF(AND(ISNUMBER(SnapshotTable[[#This Row],[SC Term]]),ISNUMBER(SnapshotTable[[#This Row],[SC Simple ROO]])), EllmanAnnualize(SnapshotTable[[#This Row],[SC DTE]], SnapshotTable[[#This Row],[SC Simple ROO]] ),"")</f>
        <v/>
      </c>
      <c r="FS259" s="4" t="e">
        <f>IF(SnapshotTable[[#This Row],[SC Strike Price]] &gt; SnapshotTable[[#This Row],[Last Price]], SnapshotTable[[#This Row],[SC Strike Price]] - SnapshotTable[[#This Row],[Last Price]],0)</f>
        <v>#VALUE!</v>
      </c>
      <c r="FT259" s="27" t="e">
        <f>IF(AND(ISNUMBER(SnapshotTable[[#This Row],[SC Upside Potential]]), SnapshotTable[[#This Row],[SC Upside Potential]] &gt; 0),(SnapshotTable[[#This Row],[SC Upside Potential]]/ SnapshotTable[[#This Row],[ACB]]),"")</f>
        <v>#VALUE!</v>
      </c>
      <c r="FU259" s="333" t="str">
        <f>IF(SnapshotTable[[#This Row],[SC Intrinsic Value]] &gt; 0,SnapshotTable[[#This Row],[SC Intrinsic Value]],"")</f>
        <v/>
      </c>
      <c r="FV259" s="27" t="str">
        <f>IF(AND( ISNUMBER( SnapshotTable[[#This Row],[ACB]]),ISNUMBER(SnapshotTable[[#This Row],[SC Downside Protect]])),SnapshotTable[[#This Row],[SC Downside Protect]] / SnapshotTable[[#This Row],[ACB]],"")</f>
        <v/>
      </c>
      <c r="FW259" s="236" t="str">
        <f>IF(AND(ISNUMBER(SnapshotTable[[#This Row],[SC Simple ROO]]),SnapshotTable[[#This Row],[SC Simple ROO]] &gt; 0), SnapshotTable[[#This Row],[SC Premium]] + (SnapshotTable[[#This Row],[SC Qty]] * SnapshotTable[[#This Row],[SC Upside Potential]]), "")</f>
        <v/>
      </c>
      <c r="FX259" s="302" t="str" cm="1">
        <f t="array" ref="FX259">IF(ISNUMBER(SnapshotTable[[#This Row],[SC Max Dollars]]), annualize(SnapshotTable[[#This Row],[SC Term]],(SnapshotTable[[#This Row],[SC Max Dollars]]/SnapshotTable[[#This Row],[SC Basis]])),"")</f>
        <v/>
      </c>
      <c r="FY259" s="236" t="str">
        <f>IF(AND(SnapshotTable[[#This Row],[SC Qty]]&gt;0,SnapshotTable[[#This Row],[SC Current Ask]]&gt;0), SnapshotTable[[#This Row],[SC Qty]] * SnapshotTable[[#This Row],[SC Current Ask]] * -100, "")</f>
        <v/>
      </c>
      <c r="FZ259" s="235" t="str">
        <f>IF(ISNUMBER((SnapshotTable[[#This Row],[SC Current Value]])), SnapshotTable[[#This Row],[SC Premium]] + SnapshotTable[[#This Row],[SC Current Value]], "")</f>
        <v/>
      </c>
      <c r="GA259" s="294" t="str">
        <f>IFERROR( IF(ISNUMBER((SnapshotTable[[#This Row],[SC Current Value]])), SnapshotTable[[#This Row],[SC Gain Loss]] / SnapshotTable[[#This Row],[SC Premium]], ""), "")</f>
        <v/>
      </c>
      <c r="GB259" s="42">
        <f>SnapshotTable[[#This Row],[Equity Shares]] * SaleSharesToConsiderPercentage</f>
        <v>6</v>
      </c>
      <c r="GC259" s="40">
        <f>SnapshotTable[[#This Row],[Long Term Target]] * SellingPriceToConsiderBasedOnTargetPercentage</f>
        <v>0</v>
      </c>
      <c r="GD259" s="40">
        <f>SnapshotTable[[#This Row],[Last Price]] * (1+ SellingPriceToConsiderBasedOnTargetPercentage)</f>
        <v>210.79499999999999</v>
      </c>
      <c r="GE259" s="41"/>
      <c r="GF259" s="40"/>
      <c r="GG259" s="31">
        <f>SnapshotTable[[#This Row],[Booked Sale Shares]] * SnapshotTable[[#This Row],[Booked Sale Price]]</f>
        <v>0</v>
      </c>
      <c r="GH259" s="31">
        <f>IF(SnapshotTable[[#This Row],[Equity Basis Total]] &gt; 0, SnapshotTable[[#This Row],[Equity Basis Per Share]] * SnapshotTable[[#This Row],[Booked Sale Shares]], "")</f>
        <v>0</v>
      </c>
      <c r="GI259" s="31">
        <f>IF(SnapshotTable[[#This Row],[Sale Proceeds]]&gt;0, SnapshotTable[[#This Row],[Sale Proceeds]] - SnapshotTable[[#This Row],[Sale Basis]], 0)</f>
        <v>0</v>
      </c>
      <c r="GJ259" s="158" t="str">
        <f>IF(SnapshotTable[[#This Row],[Sale G/L]]&gt;0, SnapshotTable[[#This Row],[Sale G/L]] / SnapshotTable[[#This Row],[Sale Basis]], IF(ISNUMBER(SnapshotTable[[#This Row],[SC Exercise P&amp;L (TAX)]]), SnapshotTable[[#This Row],[SC Exercise P&amp;L (TAX)]] / SnapshotTable[[#This Row],[SC Basis]], ""))</f>
        <v/>
      </c>
      <c r="GK259" s="27"/>
      <c r="GL259" s="159" t="str">
        <f>IF(AND(SnapshotTable[[#This Row],[LP Exp Date]]&gt;0,SnapshotTable[[#This Row],[LP Strike Price]]&gt;0), [1]!ToOptionSymbol(SnapshotTable[[#This Row],[Symbol]], SnapshotTable[[#This Row],[LP Strike Price]],SnapshotTable[[#This Row],[LP Exp Date]],1), "")</f>
        <v/>
      </c>
      <c r="GM259" s="30" t="str">
        <f>IF(LEN(SnapshotTable[[#This Row],[LP Symbol]])&gt;0, 1, "")</f>
        <v/>
      </c>
      <c r="GN259" s="43" t="str">
        <f>IF(AND(SnapshotTable[[#This Row],[SP Exp Date]]&gt;0,SnapshotTable[[#This Row],[SP Strike Price]]&gt;0), [1]!ToOptionSymbol(SnapshotTable[[#This Row],[Symbol]], SnapshotTable[[#This Row],[SP Strike Price]],SnapshotTable[[#This Row],[SP Exp Date]],1), "")</f>
        <v/>
      </c>
      <c r="GO259" s="30" t="str">
        <f>IF(LEN(SnapshotTable[[#This Row],[SP Symbol]])&gt;0, 1, "")</f>
        <v/>
      </c>
      <c r="GP259" s="159" t="str">
        <f>IF(AND(SnapshotTable[[#This Row],[LC Exp Date]]&gt;0,SnapshotTable[[#This Row],[LC Strike Price]]&gt;0), [1]!ToOptionSymbol(SnapshotTable[[#This Row],[Symbol]], SnapshotTable[[#This Row],[LC Strike Price]],SnapshotTable[[#This Row],[LC Exp Date]],0), "")</f>
        <v/>
      </c>
      <c r="GQ259" s="160" t="str">
        <f>IF(LEN(SnapshotTable[[#This Row],[LC Symbol]])&gt;0, 1, "")</f>
        <v/>
      </c>
      <c r="GR259" s="159" t="str">
        <f>IF(AND(SnapshotTable[[#This Row],[SC Exp Date]]&gt;0,SnapshotTable[[#This Row],[SC Strike Price]]&gt;0), [1]!ToOptionSymbol(SnapshotTable[[#This Row],[Symbol]], SnapshotTable[[#This Row],[SC Strike Price]],SnapshotTable[[#This Row],[SC Exp Date]],0), "")</f>
        <v/>
      </c>
      <c r="GS259" s="160" t="str">
        <f>IF(LEN(SnapshotTable[[#This Row],[SC Symbol]])&gt;0, 1, "")</f>
        <v/>
      </c>
      <c r="GT259" s="161" t="str">
        <f>IF(COUNT(SnapshotTable[[#This Row],[LP Symbol Count]],SnapshotTable[[#This Row],[SP Symbol Count]],SnapshotTable[[#This Row],[LC Symbol Count]],SnapshotTable[[#This Row],[SC Symbol Count]])&gt;0, "Y", "")</f>
        <v/>
      </c>
      <c r="GU25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259" s="231" t="e">
        <f>MAX(SnapshotTable[[#This Row],[Equity Basis Total]],SnapshotTable[[#This Row],[Equity Value]]) + (SnapshotTable[[#This Row],[SP Potential Spend]]- SnapshotTable[[#This Row],[SP Premium]] + SnapshotTable[[#This Row],[LP Premium]])+ (SnapshotTable[[#This Row],[LC Premium]] - SnapshotTable[[#This Row],[SC Premium]])</f>
        <v>#VALUE!</v>
      </c>
      <c r="GW259" s="139" t="e">
        <f>IF(AND(SnapshotTable[[#This Row],[Exposure]] &lt;&gt; 0),SnapshotTable[[#This Row],[Exposure]] / SnapshotTable[[#Totals],[Exposure]], "")</f>
        <v>#VALUE!</v>
      </c>
      <c r="HK259" s="1"/>
      <c r="HL259" s="1"/>
      <c r="HM259" s="1"/>
      <c r="HN259" s="1"/>
      <c r="HO259" s="1"/>
      <c r="HP259" s="1"/>
    </row>
    <row r="260" spans="2:224" ht="12.75" hidden="1" customHeight="1" x14ac:dyDescent="0.25">
      <c r="B260" s="12" t="s">
        <v>1175</v>
      </c>
      <c r="C260" s="422">
        <v>69.75</v>
      </c>
      <c r="D260" s="208" t="s">
        <v>258</v>
      </c>
      <c r="E260" s="39">
        <f>SnapshotTable[[#This Row],[Last Price]]*(1 -CrashDiscount)</f>
        <v>59.287500000000001</v>
      </c>
      <c r="F260" s="26" t="s">
        <v>970</v>
      </c>
      <c r="G260" s="325" t="s">
        <v>872</v>
      </c>
      <c r="H260" s="149"/>
      <c r="I260" s="194"/>
      <c r="J260" s="195"/>
      <c r="K260" s="196"/>
      <c r="L260" s="326"/>
      <c r="M260" s="140"/>
      <c r="N260" s="140"/>
      <c r="O260" s="140"/>
      <c r="P260" s="22"/>
      <c r="Q260" s="25"/>
      <c r="R260" s="4" t="str">
        <f>IF(SnapshotTable[[#This Row],[Equity Basis Total]] &gt; 0, SnapshotTable[[#This Row],[Equity Basis Total]] / SnapshotTable[[#This Row],[Equity Shares]], "")</f>
        <v/>
      </c>
      <c r="S260" s="269">
        <f>SnapshotTable[[#This Row],[Last Price]] * SnapshotTable[[#This Row],[Equity Shares]]</f>
        <v>0</v>
      </c>
      <c r="T260" s="269">
        <f>SnapshotTable[[#This Row],[Equity Value]] - SnapshotTable[[#This Row],[Equity Basis Total]]</f>
        <v>0</v>
      </c>
      <c r="U260" s="270" t="str">
        <f>IF(SnapshotTable[[#This Row],[Equity Basis Total]] &gt; 0, SnapshotTable[[#This Row],[Equity G/L]] / SnapshotTable[[#This Row],[Equity Basis Total]], "")</f>
        <v/>
      </c>
      <c r="V260" s="268"/>
      <c r="W260" s="268">
        <v>17.2</v>
      </c>
      <c r="X260" s="4" t="str">
        <f>IF(AND(ISNUMBER(SnapshotTable[[#This Row],[Equity Basis Per Share]]),ISNUMBER(SnapshotTable[[#This Row],[Equity Target]])),SnapshotTable[[#This Row],[Equity Target]]-SnapshotTable[[#This Row],[Equity Basis Per Share]],"")</f>
        <v/>
      </c>
      <c r="Y260" s="4" t="str">
        <f>IF(AND(ISNUMBER(SnapshotTable[[#This Row],[Equity Basis Per Share]]),ISNUMBER(SnapshotTable[[#This Row],[Equity Stop Loss]])),SnapshotTable[[#This Row],[Equity Stop Loss]]-SnapshotTable[[#This Row],[Equity Basis Per Share]],"")</f>
        <v/>
      </c>
      <c r="Z260" s="275" t="str">
        <f>IFERROR( TEXT(SnapshotTable[[#This Row],[Equity Max Gain Per Share]] /ABS( SnapshotTable[[#This Row],[Equity Max Loss Per Share]]),"0.0 " ) &amp; " : 1", "")</f>
        <v/>
      </c>
      <c r="AA260" s="31" t="str">
        <f>IF(ISNUMBER(SnapshotTable[[#This Row],[Equity Max Gain Per Share]]),SnapshotTable[[#This Row],[Equity Max Gain Per Share]] * SnapshotTable[[#This Row],[Equity Shares]],"")</f>
        <v/>
      </c>
      <c r="AB260" s="31" t="str">
        <f>IF(ISNUMBER(SnapshotTable[[#This Row],[Equity Max Loss Per Share]]),SnapshotTable[[#This Row],[Equity Max Loss Per Share]] * SnapshotTable[[#This Row],[Equity Shares]],"")</f>
        <v/>
      </c>
      <c r="AC260" s="150"/>
      <c r="AD260" s="151"/>
      <c r="AE260" s="31">
        <f>(SnapshotTable[[#This Row],[Annual Dividend Per Share]] / 4) * SnapshotTable[[#This Row],[Equity Shares]]</f>
        <v>0</v>
      </c>
      <c r="AF260" s="31">
        <f>SnapshotTable[[#This Row],[Quarterly Div $]] * 4</f>
        <v>0</v>
      </c>
      <c r="AG260" s="7">
        <f>IF(SnapshotTable[[#This Row],[Annual Dividend Per Share]]&gt;0, SnapshotTable[[#This Row],[Annual Dividend Per Share]]  / SnapshotTable[[#This Row],[Last Price]], 0)</f>
        <v>0</v>
      </c>
      <c r="AH260" s="151"/>
      <c r="AI260" s="5"/>
      <c r="AJ260" s="138"/>
      <c r="AK260" s="152" t="str">
        <f>IF(ISNUMBER( SnapshotTable[[#This Row],[EBF Target]]),(SnapshotTable[[#This Row],[EBF Target]] - SnapshotTable[[#This Row],[Last Price]]) / SnapshotTable[[#This Row],[Last Price]], "")</f>
        <v/>
      </c>
      <c r="AL260" s="152" t="str">
        <f>IF(AND(SnapshotTable[[#This Row],[Equity Basis Total]] &gt; 0,ISNUMBER( SnapshotTable[[#This Row],[Long Term Target]])), SnapshotTable[[#This Row],[From Basis $]] / SnapshotTable[[#This Row],[Equity Basis Total]], "")</f>
        <v/>
      </c>
      <c r="AM260" s="9">
        <f>IF( AND(SnapshotTable[[#This Row],[Equity Shares]] &gt;0,ISNUMBER( SnapshotTable[[#This Row],[Long Term Target]])),(SnapshotTable[[#This Row],[Equity Shares]] * SnapshotTable[[#This Row],[Long Term Target]]) - SnapshotTable[[#This Row],[Equity Basis Total]],0)</f>
        <v>0</v>
      </c>
      <c r="AN260" s="9">
        <f>IF( AND(SnapshotTable[[#This Row],[Equity Shares]] &gt;0,ISNUMBER( SnapshotTable[[#This Row],[Long Term Target]])),(SnapshotTable[[#This Row],[Equity Shares]]*SnapshotTable[[#This Row],[Long Term Target]]) - SnapshotTable[[#This Row],[Equity Value]],0)</f>
        <v>0</v>
      </c>
      <c r="AO260" s="152" t="str">
        <f>IF(AND(ISNUMBER( SnapshotTable[[#This Row],[Long Term Target]]), ISNUMBER(SnapshotTable[[#This Row],[Last Price]])),(SnapshotTable[[#This Row],[Long Term Target]] - SnapshotTable[[#This Row],[Last Price]]) / SnapshotTable[[#This Row],[Last Price]], "")</f>
        <v/>
      </c>
      <c r="AP260" s="5">
        <v>40</v>
      </c>
      <c r="AQ260" s="38" t="s">
        <v>27</v>
      </c>
      <c r="AR260" s="5">
        <v>36</v>
      </c>
      <c r="AS260" s="38" t="s">
        <v>1083</v>
      </c>
      <c r="AT260" s="146" t="s">
        <v>1185</v>
      </c>
      <c r="AU260" s="187" t="str">
        <f>IF(OR(SnapshotTable[[#This Row],[LP No Fill]]="Y",SnapshotTable[[#This Row],[SP Is Filled]],SnapshotTable[[#This Row],[LC Not Filled]]="Y",SnapshotTable[[#This Row],[SC Is Filled]]),"Y","")</f>
        <v/>
      </c>
      <c r="AV260" s="219"/>
      <c r="AW260" s="225"/>
      <c r="AX260" s="220"/>
      <c r="AY260" s="219" t="str">
        <f>IF(SnapshotTable[[#This Row],[Implied Move]]&gt;0, SnapshotTable[[#This Row],[Last Price]]-SnapshotTable[[#This Row],[Implied Move]],"")</f>
        <v/>
      </c>
      <c r="AZ260" s="219" t="str">
        <f>IF(SnapshotTable[[#This Row],[Implied Move]]&gt;0, SnapshotTable[[#This Row],[Last Price]] + SnapshotTable[[#This Row],[Implied Move]],"")</f>
        <v/>
      </c>
      <c r="BA260" s="331">
        <v>35.22</v>
      </c>
      <c r="BB260" s="347"/>
      <c r="BC26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0" s="351"/>
      <c r="BE260" s="5"/>
      <c r="BF260" s="14"/>
      <c r="BG260" s="13"/>
      <c r="BH260" s="13"/>
      <c r="BI260" s="5"/>
      <c r="BJ260" s="136">
        <f>IF(SnapshotTable[[#This Row],[LP Qty]] &gt; 0, SnapshotTable[[#This Row],[LP Qty]] * SnapshotTable[[#This Row],[LP Book Price]] * 100,0)</f>
        <v>0</v>
      </c>
      <c r="BK260" s="136">
        <f>IF(SnapshotTable[[#This Row],[LP Premium]] &gt; 0, SnapshotTable[[#This Row],[LP Qty]] * SnapshotTable[[#This Row],[LP Strike Price]] * 100,0)</f>
        <v>0</v>
      </c>
      <c r="BL260" s="154"/>
      <c r="BM260" s="385" t="str">
        <f>IF(SnapshotTable[[#This Row],[LP Premium]] &gt; 0,SnapshotTable[[#This Row],[LP Exp Date]]-MAX(SnapshotTable[[#This Row],[LP Book Date]], SnapshotTable[[#This Row],[LP Fill Date]]),"")</f>
        <v/>
      </c>
      <c r="BN260" s="385" t="str">
        <f>IF(ISNUMBER( SnapshotTable[[#This Row],[LP Term]]), SnapshotTable[[#This Row],[LP Exp Date]] - MockToday,"")</f>
        <v/>
      </c>
      <c r="BO260" s="163" t="str">
        <f>IF(AND(SnapshotTable[[#This Row],[LP Exp Date]]&gt;0, SnapshotTable[[#This Row],[LP Strike Price]]&gt;0,SnapshotTable[[#This Row],[LP Qty]]&gt;0,SnapshotTable[[#This Row],[LP Book Date]]&gt;0,SnapshotTable[[#This Row],[LP Book Price]]&gt;0,SnapshotTable[[#This Row],[LP Fill Date]]=0),"Y","")</f>
        <v/>
      </c>
      <c r="BP260" s="31"/>
      <c r="BQ260" s="13"/>
      <c r="BR260" s="5" t="str">
        <f>IF(SnapshotTable[[#This Row],[SP Exp Date]]&lt;&gt;"",TRUNC(SnapshotTable[[#This Row],[Last Price]]),"")</f>
        <v/>
      </c>
      <c r="BS260" s="36"/>
      <c r="BT260" s="147"/>
      <c r="BU260" s="13"/>
      <c r="BV260" s="5"/>
      <c r="BW260" s="419" t="b">
        <f>AND(ISNUMBER(SnapshotTable[[#This Row],[SP Exp Date]]), ISNUMBER(SnapshotTable[[#This Row],[SP Strike Price]]), ISNUMBER(SnapshotTable[[#This Row],[SP Qty]]), ISNUMBER(SnapshotTable[[#This Row],[SP Book Date]]), ISNUMBER(SnapshotTable[[#This Row],[SP Book Price]]))</f>
        <v>0</v>
      </c>
      <c r="BX260" s="419" t="b">
        <f>AND(SnapshotTable[[#This Row],[SP Is Booked]], NOT(ISBLANK(SnapshotTable[[#This Row],[SP Fill Date]])))</f>
        <v>0</v>
      </c>
      <c r="BY260" s="33">
        <f>IF(SnapshotTable[[#This Row],[SP Is Booked]], SnapshotTable[[#This Row],[SP Qty]] * SnapshotTable[[#This Row],[SP Book Price]] * 100, 0)</f>
        <v>0</v>
      </c>
      <c r="BZ260" s="369"/>
      <c r="CA260" s="368">
        <f>SnapshotTable[[#This Row],[LP Qty]]</f>
        <v>0</v>
      </c>
      <c r="CB260" s="4" t="str">
        <f>IF(SnapshotTable[[#This Row],[SP Is Booked]], SnapshotTable[[#This Row],[SP Strike Price]] - SnapshotTable[[#This Row],[SP Book Price]], "")</f>
        <v/>
      </c>
      <c r="CC260" s="19" t="str">
        <f>IF(SnapshotTable[[#This Row],[SP Is Booked]],SnapshotTable[[#This Row],[SP Exp Date]]-MAX(SnapshotTable[[#This Row],[SP Book Date]], SnapshotTable[[#This Row],[SP Fill Date]]),"")</f>
        <v/>
      </c>
      <c r="CD260" s="7" t="str">
        <f>IF(SnapshotTable[[#This Row],[SP Is Booked]], SnapshotTable[[#This Row],[SP Book Price]]/SnapshotTable[[#This Row],[SP Strike Price]], "")</f>
        <v/>
      </c>
      <c r="CE260" s="7" t="str">
        <f>IF(ISNUMBER(SnapshotTable[[#This Row],[SP ROO Term]]),SnapshotTable[[#This Row],[SP ROO Term]]*(365/SnapshotTable[[#This Row],[SP Term]]),"")</f>
        <v/>
      </c>
      <c r="CF260" s="236">
        <f>SnapshotTable[[#This Row],[LP Strike Price]] * SnapshotTable[[#This Row],[LP Qty]] * 100</f>
        <v>0</v>
      </c>
      <c r="CG260" s="31" t="e">
        <f>IF(ISNUMBER(SnapshotTable[[#This Row],[SP Premium]]), (SnapshotTable[[#This Row],[SP Qty]] * SnapshotTable[[#This Row],[SP Strike Price]]* 100) - SnapshotTable[[#This Row],[LP Protection]], 0)</f>
        <v>#VALUE!</v>
      </c>
      <c r="CH260" s="7" t="str">
        <f>IF(ISNUMBER(SnapshotTable[[#This Row],[SP Break Even]]),-1 * (SnapshotTable[[#This Row],[SP Break Even]] - SnapshotTable[[#This Row],[Last Price]]) / SnapshotTable[[#This Row],[Last Price]], "")</f>
        <v/>
      </c>
      <c r="CI260" s="31">
        <f>IF(AND(ISNUMBER((SnapshotTable[[#This Row],[SP Potential Spend]])), SnapshotTable[[#This Row],[SP Strike Price]] &gt; SnapshotTable[[#This Row],[Last Price]], SnapshotTable[[#This Row],[SP Is Filled]]), SnapshotTable[[#This Row],[SP Potential Spend]] -  SnapshotTable[[#This Row],[LP Max Value]], 0)</f>
        <v>0</v>
      </c>
      <c r="CJ260" s="244"/>
      <c r="CK260" s="31" t="str">
        <f>IF(ISNUMBER(SnapshotTable[[#This Row],[SP Potential Spend]]),IF(ISNUMBER(SnapshotTable[[#This Row],[SP POW]]), SnapshotTable[[#This Row],[SP POW]] * SnapshotTable[[#This Row],[SP Potential Spend]], SnapshotTable[[#This Row],[SP Potential Spend]]), "")</f>
        <v/>
      </c>
      <c r="CL260" s="164" t="e">
        <f>IF(NOT(SnapshotTable[[#This Row],[SP Is Filled]]),(SnapshotTable[[#This Row],[SP Qty]] * SnapshotTable[[#This Row],[SP Strike Price]] * 100) - SnapshotTable[[#This Row],[LP Max Value]],"")</f>
        <v>#VALUE!</v>
      </c>
      <c r="CM260" s="31" t="str">
        <f>IF(SnapshotTable[[#This Row],[SP Actual Spend]]&lt;&gt;0, ((SnapshotTable[[#This Row],[SP Strike Price]]-SnapshotTable[[#This Row],[Last Price]]) *(SnapshotTable[[#This Row],[SP Qty]]*100) - SnapshotTable[[#This Row],[SP Premium]]) * - 1, "")</f>
        <v/>
      </c>
      <c r="CN260" s="78"/>
      <c r="CO260" s="369"/>
      <c r="CP260" s="4" t="str">
        <f>IF(SnapshotTable[[#This Row],[SP Is Filled]], btc_max_buyback_amount(SnapshotTable[[#This Row],[SP Fill Date]],SnapshotTable[[#This Row],[SP Exp Date]], SnapshotTable[[#This Row],[SP Book Price]]),"")</f>
        <v/>
      </c>
      <c r="CQ260" s="78"/>
      <c r="CR26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0" s="155" t="str">
        <f>IF(SnapshotTable[[#This Row],[SP Is Filled]], btc_next_cutoff_date(SnapshotTable[[#This Row],[SP Fill Date]],SnapshotTable[[#This Row],[SP Exp Date]]),"")</f>
        <v/>
      </c>
      <c r="CT260" s="235" t="str" cm="1">
        <f t="array" ref="CT260">IF(SnapshotTable[[#This Row],[SP Is Filled]], btc_should_buy_back(SnapshotTable[[#This Row],[SP Fill Date]], SnapshotTable[[#This Row],[SP Exp Date]], SnapshotTable[[#This Row],[SP Book Price]], SnapshotTable[[#This Row],[SP Current Ask]], MockToday, SnapshotTable[[#This Row],[SP Buyback Override]]),"")</f>
        <v/>
      </c>
      <c r="CU260" s="156"/>
      <c r="CV260" s="235"/>
      <c r="CW260" s="378" t="str">
        <f>IF(ISNUMBER( SnapshotTable[[#This Row],[SP Term]]), SnapshotTable[[#This Row],[SP Exp Date]] - MockToday,"")</f>
        <v/>
      </c>
      <c r="CX260" s="31" t="str">
        <f>IF(SnapshotTable[[#This Row],[SP Is Filled]],SnapshotTable[[#This Row],[SP Buyback Price to Use]] * 100 * SnapshotTable[[#This Row],[SP Qty]], "")</f>
        <v/>
      </c>
      <c r="CY260" s="4" t="str">
        <f>IF(ISNUMBER(SnapshotTable[[#This Row],[SP Strike Price]]), SnapshotTable[[#This Row],[SP Strike Price]] * (1 - SP_MaxLoss_StrikePct), "")</f>
        <v/>
      </c>
      <c r="CZ260" s="31" t="str">
        <f>IF(ISNUMBER(SnapshotTable[[#This Row],[SP Strike  Stop Per Share]]),SnapshotTable[[#This Row],[SP Premium]] - ((SnapshotTable[[#This Row],[SP Strike Price]]-SnapshotTable[[#This Row],[SP Strike  Stop Per Share]]) *(SnapshotTable[[#This Row],[SP Qty]] * 100)),"")</f>
        <v/>
      </c>
      <c r="DA260" s="4" t="str">
        <f>IF(AND(ISNUMBER(SnapshotTable[[#This Row],[SP Premium]]),SnapshotTable[[#This Row],[SP Premium]]&gt;0), SnapshotTable[[#This Row],[SP Book Price]] * (1 + SP_MaxLoss_OptionPct), "")</f>
        <v/>
      </c>
      <c r="DB260" s="31" t="str">
        <f>IF(ISNUMBER(SnapshotTable[[#This Row],[SP Option  Stop Contract]]),(SnapshotTable[[#This Row],[SP Option  Stop Contract]] *(SnapshotTable[[#This Row],[SP Qty]] * 100) - SnapshotTable[[#This Row],[SP Premium]]),"")</f>
        <v/>
      </c>
      <c r="DC260" s="4"/>
      <c r="DD260" s="4"/>
      <c r="DE260" s="4" t="str">
        <f>IF(AND(SnapshotTable[[#This Row],[SP Qty]]&gt;0, SnapshotTable[[#This Row],[SP Stop To Use]]&gt;0),SnapshotTable[[#This Row],[SP Premium]] - ( SnapshotTable[[#This Row],[SP Qty]] * SnapshotTable[[#This Row],[SP Stop To Use]] * 100), "")</f>
        <v/>
      </c>
      <c r="DF260" s="31" t="str">
        <f>IF(AND(SnapshotTable[[#This Row],[SP Qty]]&gt;0,SnapshotTable[[#This Row],[SP Current Ask]]&gt;0), SnapshotTable[[#This Row],[SP Qty]] * SnapshotTable[[#This Row],[SP Current Ask]] * -100, "")</f>
        <v/>
      </c>
      <c r="DG260" s="31" t="str">
        <f>IF(ISNUMBER((SnapshotTable[[#This Row],[SP Total Value]])), SnapshotTable[[#This Row],[SP Premium]] + SnapshotTable[[#This Row],[SP Total Value]], "")</f>
        <v/>
      </c>
      <c r="DH260" s="294" t="str">
        <f>IF(ISNUMBER((SnapshotTable[[#This Row],[SP Total Value]])), SnapshotTable[[#This Row],[SP Gain Loss]] / SnapshotTable[[#This Row],[SP Premium]], "")</f>
        <v/>
      </c>
      <c r="DI260" s="406"/>
      <c r="DJ260" s="138"/>
      <c r="DK260" s="148"/>
      <c r="DL260" s="13"/>
      <c r="DM260" s="13"/>
      <c r="DO260" s="31">
        <f>IF(SnapshotTable[[#This Row],[LC Symbol Count]]=1, SnapshotTable[[#This Row],[LC Qty]] * SnapshotTable[[#This Row],[LC Book Price]] * 100, 0)</f>
        <v>0</v>
      </c>
      <c r="DP260" s="163" t="str">
        <f>IF(AND(SnapshotTable[[#This Row],[LC Exp Date]]&gt;0, SnapshotTable[[#This Row],[LC Strike Price]]&gt;0,SnapshotTable[[#This Row],[LC Qty]]&gt;0,SnapshotTable[[#This Row],[LC Book Date]]&gt;0,SnapshotTable[[#This Row],[LC Book Price]]&gt;0,SnapshotTable[[#This Row],[LC Fill Date]]=0),"Y","")</f>
        <v/>
      </c>
      <c r="DQ260" s="386" t="str">
        <f>IF(SnapshotTable[[#This Row],[LC Premium]] &gt; 0,SnapshotTable[[#This Row],[LC Exp Date]]-MAX(SnapshotTable[[#This Row],[LC Book Date]], SnapshotTable[[#This Row],[LC Fill Date]]),"")</f>
        <v/>
      </c>
      <c r="DR260" s="386" t="str">
        <f>IF(ISNUMBER(SnapshotTable[[#This Row],[LC Term]]), SnapshotTable[[#This Row],[LC Exp Date]] - MockToday, "")</f>
        <v/>
      </c>
      <c r="DS260" s="234" t="str">
        <f>IF(SnapshotTable[[#This Row],[LC Premium]]&gt;0,SnapshotTable[[#This Row],[LC Strike Price]] + SnapshotTable[[#This Row],[LC Book Price]],"")</f>
        <v/>
      </c>
      <c r="DT260" s="5">
        <v>12.15</v>
      </c>
      <c r="DU260" s="9">
        <f>IF(AND(SnapshotTable[[#This Row],[LC Symbol Count]]&gt;0, SnapshotTable[[#This Row],[LC Contract Value]]&gt;0), SnapshotTable[[#This Row],[LC Contract Value]] * SnapshotTable[[#This Row],[LC Qty]] * 100, "")</f>
        <v>0</v>
      </c>
      <c r="DV260" s="9">
        <f>IF(AND(ISNUMBER(SnapshotTable[[#This Row],[LC Total Value]]), SnapshotTable[[#This Row],[LC Not Filled]]&lt;&gt;"Y"), SnapshotTable[[#This Row],[LC Total Value]]-SnapshotTable[[#This Row],[LC Premium]],"")</f>
        <v>0</v>
      </c>
      <c r="DW260" s="240" t="e">
        <f>IF(ISNUMBER(SnapshotTable[[#This Row],[LC Actual Gain Loss]]), SnapshotTable[[#This Row],[LC Actual Gain Loss]] / SnapshotTable[[#This Row],[LC Premium]],"")</f>
        <v>#DIV/0!</v>
      </c>
      <c r="DX260" s="284" t="str">
        <f>IF(ISNUMBER(SnapshotTable[[#This Row],[LC Book Price]]),SnapshotTable[[#This Row],[LC Book Price]] * 1.5,"")</f>
        <v/>
      </c>
      <c r="DY260" s="265" t="str">
        <f>IF(SnapshotTable[[#This Row],[LC Premium]]&gt;0, SnapshotTable[[#This Row],[LC Next Target]] * SnapshotTable[[#This Row],[LC Qty]] * 100,"")</f>
        <v/>
      </c>
      <c r="DZ260" s="265" t="str">
        <f>IF(ISNUMBER(SnapshotTable[[#This Row],[LC Target Gross]]), SnapshotTable[[#This Row],[LC Target Gross]] - SnapshotTable[[#This Row],[LC Premium]], "")</f>
        <v/>
      </c>
      <c r="EA260" s="305" t="str">
        <f>IF(ISNUMBER(SnapshotTable[[#This Row],[LC Target Gain Loss]]), SnapshotTable[[#This Row],[LC Target Gain Loss]]/SnapshotTable[[#This Row],[LC Premium]], "")</f>
        <v/>
      </c>
      <c r="EB260" s="262"/>
      <c r="EC260" s="283" t="str">
        <f>IF(SnapshotTable[[#This Row],[LC Premium]]&gt;0, SnapshotTable[[#This Row],[LC Book Price]] * (1 - LC_StopLoss_Pct),"")</f>
        <v/>
      </c>
      <c r="ED260" s="284"/>
      <c r="EE260" s="283" t="str">
        <f>IF(ISNUMBER(SnapshotTable[[#This Row],[LC Contract Value]]),IF(ISNUMBER(SnapshotTable[[#This Row],[LC Stop Loss Override]]), SnapshotTable[[#This Row],[LC Stop Loss Override]],SnapshotTable[[#This Row],[LC Stop Loss Calc Target]]),"")</f>
        <v/>
      </c>
      <c r="EF260" s="31" t="str">
        <f>IF(ISNUMBER(SnapshotTable[[#This Row],[LC Stop  To Use]]), (SnapshotTable[[#This Row],[LC Stop  To Use]] * SnapshotTable[[#This Row],[LC Qty]] * 100),"")</f>
        <v/>
      </c>
      <c r="EG260" s="9" t="e">
        <f>IF(ISNUMBER(SnapshotTable[[#This Row],[LC Total Value]]),SnapshotTable[[#This Row],[LC Stop Loss Amount]] - SnapshotTable[[#This Row],[LC Premium]],"")</f>
        <v>#VALUE!</v>
      </c>
      <c r="EH260" s="9">
        <f>IF(ISNUMBER(SnapshotTable[[#This Row],[LC Premium]]), SnapshotTable[[#This Row],[LC Qty]] * 100 * SnapshotTable[[#This Row],[LC Strike Price]], "")</f>
        <v>0</v>
      </c>
      <c r="EI260" s="240" t="str">
        <f>IF(AND(ISNUMBER(SnapshotTable[[#This Row],[LC Total Value]]),SnapshotTable[[#This Row],[LC Total Value]]&gt;0),SnapshotTable[[#This Row],[LC Stop Gain Loss]]  / SnapshotTable[[#This Row],[LC Premium]],"")</f>
        <v/>
      </c>
      <c r="EJ260" s="35">
        <f>IF(ISNUMBER(SnapshotTable[[#This Row],[Equity Shares]]),TRUNC(SnapshotTable[[#This Row],[Equity Shares]] / 100),0) + SnapshotTable[[#This Row],[LC Qty]]</f>
        <v>0</v>
      </c>
      <c r="EK260" s="147"/>
      <c r="EL260" s="138" t="str">
        <f>IF(SnapshotTable[[#This Row],[SC Exp Date]]&lt;&gt;"",TRUNC(SnapshotTable[[#This Row],[Last Price]]),"")</f>
        <v/>
      </c>
      <c r="EM260" s="148"/>
      <c r="EN260" s="147"/>
      <c r="EO260" s="147"/>
      <c r="EP260" s="138"/>
      <c r="EQ260" s="419" t="b">
        <f>AND(ISNUMBER(SnapshotTable[[#This Row],[SC Exp Date]]), ISNUMBER(SnapshotTable[[#This Row],[SC Strike Price]]), ISNUMBER(SnapshotTable[[#This Row],[SC Qty]]), ISNUMBER(SnapshotTable[[#This Row],[SC Book Date]]), ISNUMBER(SnapshotTable[[#This Row],[SC Book Price]]))</f>
        <v>0</v>
      </c>
      <c r="ER260" s="419" t="b">
        <f>AND(SnapshotTable[[#This Row],[SC Is Booked]], NOT(ISBLANK(SnapshotTable[[#This Row],[SC Fill Date]])))</f>
        <v>0</v>
      </c>
      <c r="ES260" s="370"/>
      <c r="ET260" s="34" t="str">
        <f>IF(AND(ISNUMBER(SnapshotTable[[#This Row],[SC Exp Date]]), ISNUMBER(SnapshotTable[[#This Row],[SC Book Date]])), SnapshotTable[[#This Row],[SC Exp Date]] - MAX(SnapshotTable[[#This Row],[SC Book Date]], SnapshotTable[[#This Row],[SC Fill Date]]) + 1, "")</f>
        <v/>
      </c>
      <c r="EU260" s="34" t="str">
        <f>IF(ISNUMBER(SnapshotTable[[#This Row],[SC Term]]), SnapshotTable[[#This Row],[SC Exp Date]]- MockToday, "")</f>
        <v/>
      </c>
      <c r="EV260" s="31">
        <f>IF(SnapshotTable[[#This Row],[SC Is Booked]], SnapshotTable[[#This Row],[SC Qty]] * SnapshotTable[[#This Row],[SC Book Price]] * 100, 0)</f>
        <v>0</v>
      </c>
      <c r="EW260" s="4" t="str">
        <f>IF(AND(ISNUMBER(SnapshotTable[[#This Row],[Last Price]]), ISNUMBER( SnapshotTable[[#This Row],[SC Book Price]])), SnapshotTable[[#This Row],[Last Price]] - SnapshotTable[[#This Row],[SC Book Price]],"")</f>
        <v/>
      </c>
      <c r="EX260" s="234" t="str">
        <f>IF(SnapshotTable[[#This Row],[SC Is Booked]],IF(SnapshotTable[[#This Row],[SC Intrinsic Value]] &gt; 0, SnapshotTable[[#This Row],[SC Strike Price]], SnapshotTable[[#This Row],[Last Price]]), "")</f>
        <v/>
      </c>
      <c r="EY260" s="4">
        <f>IF(SnapshotTable[[#This Row],[SC Is Booked]], (MinimumPremiumRequired * SnapshotTable[[#This Row],[SC Basis]] * SnapshotTable[[#This Row],[SC Term]]), 0)</f>
        <v>0</v>
      </c>
      <c r="EZ260" s="283"/>
      <c r="FA260" s="218"/>
      <c r="FB260" s="370"/>
      <c r="FC260" s="4">
        <f>IF(SnapshotTable[[#This Row],[SC Is Filled]], btc_max_buyback_amount(SnapshotTable[[#This Row],[SC Fill Date]],SnapshotTable[[#This Row],[SC Exp Date]], SnapshotTable[[#This Row],[SC Book Price]]),0)</f>
        <v>0</v>
      </c>
      <c r="FD260" s="5"/>
      <c r="FE260" s="144" t="str">
        <f>IF(SnapshotTable[[#This Row],[SC Is Filled]], btc_next_cutoff_date(SnapshotTable[[#This Row],[SC Fill Date]],SnapshotTable[[#This Row],[SC Exp Date]]),"")</f>
        <v/>
      </c>
      <c r="FF260" s="4" t="str" cm="1">
        <f t="array" ref="FF260">IF(SnapshotTable[[#This Row],[SC Is Filled]], btc_should_buy_back(SnapshotTable[[#This Row],[SC Fill Date]], SnapshotTable[[#This Row],[SC Exp Date]], SnapshotTable[[#This Row],[SC Book Price]], SnapshotTable[[#This Row],[SC Current Ask]], MockToday, SnapshotTable[[#This Row],[SC Buyback Override]]),"")</f>
        <v/>
      </c>
      <c r="FG260" s="4">
        <f>IF(SnapshotTable[[#This Row],[SC Is Filled]], MAX(0,SnapshotTable[[#This Row],[Last Price]]  - SnapshotTable[[#This Row],[SC Strike Price]]), 0)</f>
        <v>0</v>
      </c>
      <c r="FH260" s="382">
        <f>IF(SnapshotTable[[#This Row],[SC Is Filled]], IF(ISNUMBER(SnapshotTable[[#This Row],[SC Current Ask]]), SnapshotTable[[#This Row],[SC Current Ask]], SnapshotTable[[#This Row],[SC Book Price]]) - SnapshotTable[[#This Row],[SC Intrinsic Value]], 0)</f>
        <v>0</v>
      </c>
      <c r="FI260" s="143"/>
      <c r="FJ260" s="32" t="str">
        <f>IF(SnapshotTable[[#This Row],[SC Is Filled]],100 * SnapshotTable[[#This Row],[SC Qty]] * IF(ISNUMBER(SnapshotTable[[#This Row],[SC Buyback Override]]), SnapshotTable[[#This Row],[SC Buyback Override]], SnapshotTable[[#This Row],[SC Current Ask]]), "")</f>
        <v/>
      </c>
      <c r="FK260" s="250" t="str">
        <f>IF(SnapshotTable[[#This Row],[SC Time Val]]&gt;0, SnapshotTable[[#This Row],[SC Time Val]] / SnapshotTable[[#This Row],[Last Price]],"")</f>
        <v/>
      </c>
      <c r="FL260" s="302" t="str">
        <f>IF(SnapshotTable[[#This Row],[SC Is Booked]], ((SnapshotTable[[#This Row],[Last Price]] -SnapshotTable[[#This Row],[SC Strike Price]]) / SnapshotTable[[#This Row],[Last Price]]) * -1, "")</f>
        <v/>
      </c>
      <c r="FM260" s="157" t="str">
        <f>IF(SnapshotTable[[#This Row],[SC Is Booked]],  (SnapshotTable[[#This Row],[SC Qty]] * 100 * SnapshotTable[[#This Row],[SC Strike Price]]) - SnapshotTable[[#This Row],[SC Current Ask]], "")</f>
        <v/>
      </c>
      <c r="FN26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0" s="31" t="str">
        <f>IF(AND(ISNUMBER(SnapshotTable[[#This Row],[SC Exercise Gross]]), ISNUMBER(SnapshotTable[[#This Row],[Equity Basis Per Share]] )), SnapshotTable[[#This Row],[SC Exercise Gross]] - SnapshotTable[[#This Row],[Equity Basis Total]] +  SnapshotTable[[#This Row],[SC Premium]], "")</f>
        <v/>
      </c>
      <c r="FP260" s="5" t="str">
        <f>IF(ISNUMBER(SnapshotTable[[#This Row],[SC Exercise Gross]]), (SnapshotTable[[#This Row],[SC Exercise Gross]]) / (SnapshotTable[[#This Row],[SC Qty]] * 100), "")</f>
        <v/>
      </c>
      <c r="FQ260" s="27" t="str">
        <f>IF(SnapshotTable[[#This Row],[SC Is Booked]],SnapshotTable[[#This Row],[SC Time Val]] /SnapshotTable[[#This Row],[SC Basis]], "")</f>
        <v/>
      </c>
      <c r="FR260" s="27" t="str" cm="1">
        <f t="array" ref="FR260">IF(AND(ISNUMBER(SnapshotTable[[#This Row],[SC Term]]),ISNUMBER(SnapshotTable[[#This Row],[SC Simple ROO]])), EllmanAnnualize(SnapshotTable[[#This Row],[SC DTE]], SnapshotTable[[#This Row],[SC Simple ROO]] ),"")</f>
        <v/>
      </c>
      <c r="FS260" s="4" t="e">
        <f>IF(SnapshotTable[[#This Row],[SC Strike Price]] &gt; SnapshotTable[[#This Row],[Last Price]], SnapshotTable[[#This Row],[SC Strike Price]] - SnapshotTable[[#This Row],[Last Price]],0)</f>
        <v>#VALUE!</v>
      </c>
      <c r="FT260" s="27" t="e">
        <f>IF(AND(ISNUMBER(SnapshotTable[[#This Row],[SC Upside Potential]]), SnapshotTable[[#This Row],[SC Upside Potential]] &gt; 0),(SnapshotTable[[#This Row],[SC Upside Potential]]/ SnapshotTable[[#This Row],[ACB]]),"")</f>
        <v>#VALUE!</v>
      </c>
      <c r="FU260" s="333" t="str">
        <f>IF(SnapshotTable[[#This Row],[SC Intrinsic Value]] &gt; 0,SnapshotTable[[#This Row],[SC Intrinsic Value]],"")</f>
        <v/>
      </c>
      <c r="FV260" s="27" t="str">
        <f>IF(AND( ISNUMBER( SnapshotTable[[#This Row],[ACB]]),ISNUMBER(SnapshotTable[[#This Row],[SC Downside Protect]])),SnapshotTable[[#This Row],[SC Downside Protect]] / SnapshotTable[[#This Row],[ACB]],"")</f>
        <v/>
      </c>
      <c r="FW260" s="236" t="str">
        <f>IF(AND(ISNUMBER(SnapshotTable[[#This Row],[SC Simple ROO]]),SnapshotTable[[#This Row],[SC Simple ROO]] &gt; 0), SnapshotTable[[#This Row],[SC Premium]] + (SnapshotTable[[#This Row],[SC Qty]] * SnapshotTable[[#This Row],[SC Upside Potential]]), "")</f>
        <v/>
      </c>
      <c r="FX260" s="302" t="str" cm="1">
        <f t="array" ref="FX260">IF(ISNUMBER(SnapshotTable[[#This Row],[SC Max Dollars]]), annualize(SnapshotTable[[#This Row],[SC Term]],(SnapshotTable[[#This Row],[SC Max Dollars]]/SnapshotTable[[#This Row],[SC Basis]])),"")</f>
        <v/>
      </c>
      <c r="FY260" s="236" t="str">
        <f>IF(AND(SnapshotTable[[#This Row],[SC Qty]]&gt;0,SnapshotTable[[#This Row],[SC Current Ask]]&gt;0), SnapshotTable[[#This Row],[SC Qty]] * SnapshotTable[[#This Row],[SC Current Ask]] * -100, "")</f>
        <v/>
      </c>
      <c r="FZ260" s="31" t="str">
        <f>IF(ISNUMBER((SnapshotTable[[#This Row],[SC Current Value]])), SnapshotTable[[#This Row],[SC Premium]] + SnapshotTable[[#This Row],[SC Current Value]], "")</f>
        <v/>
      </c>
      <c r="GA260" s="294" t="str">
        <f>IFERROR( IF(ISNUMBER((SnapshotTable[[#This Row],[SC Current Value]])), SnapshotTable[[#This Row],[SC Gain Loss]] / SnapshotTable[[#This Row],[SC Premium]], ""), "")</f>
        <v/>
      </c>
      <c r="GB260" s="42">
        <f>SnapshotTable[[#This Row],[Equity Shares]] * SaleSharesToConsiderPercentage</f>
        <v>0</v>
      </c>
      <c r="GC260" s="40">
        <f>SnapshotTable[[#This Row],[Long Term Target]] * SellingPriceToConsiderBasedOnTargetPercentage</f>
        <v>0</v>
      </c>
      <c r="GD260" s="40">
        <f>SnapshotTable[[#This Row],[Last Price]] * (1+ SellingPriceToConsiderBasedOnTargetPercentage)</f>
        <v>136.01249999999999</v>
      </c>
      <c r="GE260" s="41"/>
      <c r="GF260" s="40"/>
      <c r="GG260" s="31">
        <f>SnapshotTable[[#This Row],[Booked Sale Shares]] * SnapshotTable[[#This Row],[Booked Sale Price]]</f>
        <v>0</v>
      </c>
      <c r="GH260" s="31" t="str">
        <f>IF(SnapshotTable[[#This Row],[Equity Basis Total]] &gt; 0, SnapshotTable[[#This Row],[Equity Basis Per Share]] * SnapshotTable[[#This Row],[Booked Sale Shares]], "")</f>
        <v/>
      </c>
      <c r="GI260" s="31">
        <f>IF(SnapshotTable[[#This Row],[Sale Proceeds]]&gt;0, SnapshotTable[[#This Row],[Sale Proceeds]] - SnapshotTable[[#This Row],[Sale Basis]], 0)</f>
        <v>0</v>
      </c>
      <c r="GJ260" s="27" t="str">
        <f>IF(SnapshotTable[[#This Row],[Sale G/L]]&gt;0, SnapshotTable[[#This Row],[Sale G/L]] / SnapshotTable[[#This Row],[Sale Basis]], IF(ISNUMBER(SnapshotTable[[#This Row],[SC Exercise P&amp;L (TAX)]]), SnapshotTable[[#This Row],[SC Exercise P&amp;L (TAX)]] / SnapshotTable[[#This Row],[SC Basis]], ""))</f>
        <v/>
      </c>
      <c r="GK260" s="27"/>
      <c r="GL260" s="43" t="str">
        <f>IF(AND(SnapshotTable[[#This Row],[LP Exp Date]]&gt;0,SnapshotTable[[#This Row],[LP Strike Price]]&gt;0), [1]!ToOptionSymbol(SnapshotTable[[#This Row],[Symbol]], SnapshotTable[[#This Row],[LP Strike Price]],SnapshotTable[[#This Row],[LP Exp Date]],1), "")</f>
        <v/>
      </c>
      <c r="GM260" s="30" t="str">
        <f>IF(LEN(SnapshotTable[[#This Row],[LP Symbol]])&gt;0, 1, "")</f>
        <v/>
      </c>
      <c r="GN260" s="43" t="str">
        <f>IF(AND(SnapshotTable[[#This Row],[SP Exp Date]]&gt;0,SnapshotTable[[#This Row],[SP Strike Price]]&gt;0), [1]!ToOptionSymbol(SnapshotTable[[#This Row],[Symbol]], SnapshotTable[[#This Row],[SP Strike Price]],SnapshotTable[[#This Row],[SP Exp Date]],1), "")</f>
        <v/>
      </c>
      <c r="GO260" s="30" t="str">
        <f>IF(LEN(SnapshotTable[[#This Row],[SP Symbol]])&gt;0, 1, "")</f>
        <v/>
      </c>
      <c r="GP260" s="43" t="str">
        <f>IF(AND(SnapshotTable[[#This Row],[LC Exp Date]]&gt;0,SnapshotTable[[#This Row],[LC Strike Price]]&gt;0), [1]!ToOptionSymbol(SnapshotTable[[#This Row],[Symbol]], SnapshotTable[[#This Row],[LC Strike Price]],SnapshotTable[[#This Row],[LC Exp Date]],0), "")</f>
        <v/>
      </c>
      <c r="GQ260" s="30" t="str">
        <f>IF(LEN(SnapshotTable[[#This Row],[LC Symbol]])&gt;0, 1, "")</f>
        <v/>
      </c>
      <c r="GR260" s="43" t="str">
        <f>IF(AND(SnapshotTable[[#This Row],[SC Exp Date]]&gt;0,SnapshotTable[[#This Row],[SC Strike Price]]&gt;0), [1]!ToOptionSymbol(SnapshotTable[[#This Row],[Symbol]], SnapshotTable[[#This Row],[SC Strike Price]],SnapshotTable[[#This Row],[SC Exp Date]],0), "")</f>
        <v/>
      </c>
      <c r="GS260" s="30" t="str">
        <f>IF(LEN(SnapshotTable[[#This Row],[SC Symbol]])&gt;0, 1, "")</f>
        <v/>
      </c>
      <c r="GT260" s="29" t="str">
        <f>IF(COUNT(SnapshotTable[[#This Row],[LP Symbol Count]],SnapshotTable[[#This Row],[SP Symbol Count]],SnapshotTable[[#This Row],[LC Symbol Count]],SnapshotTable[[#This Row],[SC Symbol Count]])&gt;0, "Y", "")</f>
        <v/>
      </c>
      <c r="GU26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0" s="231" t="e">
        <f>MAX(SnapshotTable[[#This Row],[Equity Basis Total]],SnapshotTable[[#This Row],[Equity Value]]) + (SnapshotTable[[#This Row],[SP Potential Spend]]- SnapshotTable[[#This Row],[SP Premium]] + SnapshotTable[[#This Row],[LP Premium]])+ (SnapshotTable[[#This Row],[LC Premium]] - SnapshotTable[[#This Row],[SC Premium]])</f>
        <v>#VALUE!</v>
      </c>
      <c r="GW260" s="139" t="e">
        <f>IF(AND(SnapshotTable[[#This Row],[Exposure]] &lt;&gt; 0),SnapshotTable[[#This Row],[Exposure]] / SnapshotTable[[#Totals],[Exposure]], "")</f>
        <v>#VALUE!</v>
      </c>
      <c r="HK260" s="1"/>
      <c r="HL260" s="1"/>
      <c r="HM260" s="1"/>
      <c r="HN260" s="1"/>
      <c r="HO260" s="1"/>
      <c r="HP260" s="1"/>
    </row>
    <row r="261" spans="2:224" ht="12.75" hidden="1" customHeight="1" x14ac:dyDescent="0.25">
      <c r="B261" s="12" t="s">
        <v>1254</v>
      </c>
      <c r="C261" s="422">
        <v>2.81</v>
      </c>
      <c r="D261" s="208"/>
      <c r="E261" s="39">
        <f>SnapshotTable[[#This Row],[Last Price]]*(1 -CrashDiscount)</f>
        <v>2.3885000000000001</v>
      </c>
      <c r="F261" s="325" t="s">
        <v>1255</v>
      </c>
      <c r="G261" s="325" t="s">
        <v>41</v>
      </c>
      <c r="H261" s="149"/>
      <c r="I261" s="194"/>
      <c r="J261" s="195"/>
      <c r="K261" s="196"/>
      <c r="L261" s="326"/>
      <c r="M261" s="140"/>
      <c r="N261" s="140"/>
      <c r="O261" s="140"/>
      <c r="P261" s="328">
        <v>2000</v>
      </c>
      <c r="Q261" s="25">
        <v>13000</v>
      </c>
      <c r="R261" s="4">
        <f>IF(SnapshotTable[[#This Row],[Equity Basis Total]] &gt; 0, SnapshotTable[[#This Row],[Equity Basis Total]] / SnapshotTable[[#This Row],[Equity Shares]], "")</f>
        <v>6.5</v>
      </c>
      <c r="S261" s="269">
        <f>SnapshotTable[[#This Row],[Last Price]] * SnapshotTable[[#This Row],[Equity Shares]]</f>
        <v>5620</v>
      </c>
      <c r="T261" s="269">
        <f>SnapshotTable[[#This Row],[Equity Value]] - SnapshotTable[[#This Row],[Equity Basis Total]]</f>
        <v>-7380</v>
      </c>
      <c r="U261" s="270">
        <f>IF(SnapshotTable[[#This Row],[Equity Basis Total]] &gt; 0, SnapshotTable[[#This Row],[Equity G/L]] / SnapshotTable[[#This Row],[Equity Basis Total]], "")</f>
        <v>-0.56769230769230772</v>
      </c>
      <c r="V261" s="268"/>
      <c r="W261" s="268"/>
      <c r="X261" s="4" t="str">
        <f>IF(AND(ISNUMBER(SnapshotTable[[#This Row],[Equity Basis Per Share]]),ISNUMBER(SnapshotTable[[#This Row],[Equity Target]])),SnapshotTable[[#This Row],[Equity Target]]-SnapshotTable[[#This Row],[Equity Basis Per Share]],"")</f>
        <v/>
      </c>
      <c r="Y261" s="4" t="str">
        <f>IF(AND(ISNUMBER(SnapshotTable[[#This Row],[Equity Basis Per Share]]),ISNUMBER(SnapshotTable[[#This Row],[Equity Stop Loss]])),SnapshotTable[[#This Row],[Equity Stop Loss]]-SnapshotTable[[#This Row],[Equity Basis Per Share]],"")</f>
        <v/>
      </c>
      <c r="Z261" s="275" t="str">
        <f>IFERROR( TEXT(SnapshotTable[[#This Row],[Equity Max Gain Per Share]] /ABS( SnapshotTable[[#This Row],[Equity Max Loss Per Share]]),"0.0 " ) &amp; " : 1", "")</f>
        <v/>
      </c>
      <c r="AA261" s="31" t="str">
        <f>IF(ISNUMBER(SnapshotTable[[#This Row],[Equity Max Gain Per Share]]),SnapshotTable[[#This Row],[Equity Max Gain Per Share]] * SnapshotTable[[#This Row],[Equity Shares]],"")</f>
        <v/>
      </c>
      <c r="AB261" s="31" t="str">
        <f>IF(ISNUMBER(SnapshotTable[[#This Row],[Equity Max Loss Per Share]]),SnapshotTable[[#This Row],[Equity Max Loss Per Share]] * SnapshotTable[[#This Row],[Equity Shares]],"")</f>
        <v/>
      </c>
      <c r="AC261" s="150"/>
      <c r="AD261" s="151"/>
      <c r="AE261" s="31">
        <f>(SnapshotTable[[#This Row],[Annual Dividend Per Share]] / 4) * SnapshotTable[[#This Row],[Equity Shares]]</f>
        <v>0</v>
      </c>
      <c r="AF261" s="31">
        <f>SnapshotTable[[#This Row],[Quarterly Div $]] * 4</f>
        <v>0</v>
      </c>
      <c r="AG261" s="7">
        <f>IF(SnapshotTable[[#This Row],[Annual Dividend Per Share]]&gt;0, SnapshotTable[[#This Row],[Annual Dividend Per Share]]  / SnapshotTable[[#This Row],[Last Price]], 0)</f>
        <v>0</v>
      </c>
      <c r="AH261" s="151"/>
      <c r="AI261" s="5"/>
      <c r="AJ261" s="138"/>
      <c r="AK261" s="152" t="str">
        <f>IF(ISNUMBER( SnapshotTable[[#This Row],[EBF Target]]),(SnapshotTable[[#This Row],[EBF Target]] - SnapshotTable[[#This Row],[Last Price]]) / SnapshotTable[[#This Row],[Last Price]], "")</f>
        <v/>
      </c>
      <c r="AL261" s="152" t="str">
        <f>IF(AND(SnapshotTable[[#This Row],[Equity Basis Total]] &gt; 0,ISNUMBER( SnapshotTable[[#This Row],[Long Term Target]])), SnapshotTable[[#This Row],[From Basis $]] / SnapshotTable[[#This Row],[Equity Basis Total]], "")</f>
        <v/>
      </c>
      <c r="AM261" s="9">
        <f>IF( AND(SnapshotTable[[#This Row],[Equity Shares]] &gt;0,ISNUMBER( SnapshotTable[[#This Row],[Long Term Target]])),(SnapshotTable[[#This Row],[Equity Shares]] * SnapshotTable[[#This Row],[Long Term Target]]) - SnapshotTable[[#This Row],[Equity Basis Total]],0)</f>
        <v>0</v>
      </c>
      <c r="AN261" s="9">
        <f>IF( AND(SnapshotTable[[#This Row],[Equity Shares]] &gt;0,ISNUMBER( SnapshotTable[[#This Row],[Long Term Target]])),(SnapshotTable[[#This Row],[Equity Shares]]*SnapshotTable[[#This Row],[Long Term Target]]) - SnapshotTable[[#This Row],[Equity Value]],0)</f>
        <v>0</v>
      </c>
      <c r="AO261" s="152" t="str">
        <f>IF(AND(ISNUMBER( SnapshotTable[[#This Row],[Long Term Target]]), ISNUMBER(SnapshotTable[[#This Row],[Last Price]])),(SnapshotTable[[#This Row],[Long Term Target]] - SnapshotTable[[#This Row],[Last Price]]) / SnapshotTable[[#This Row],[Last Price]], "")</f>
        <v/>
      </c>
      <c r="AP261" s="5"/>
      <c r="AQ261" s="38"/>
      <c r="AR261" s="5"/>
      <c r="AS261" s="38"/>
      <c r="AT261" s="146"/>
      <c r="AU261" s="187" t="str">
        <f>IF(OR(SnapshotTable[[#This Row],[LP No Fill]]="Y",SnapshotTable[[#This Row],[SP Is Filled]],SnapshotTable[[#This Row],[LC Not Filled]]="Y",SnapshotTable[[#This Row],[SC Is Filled]]),"Y","")</f>
        <v/>
      </c>
      <c r="AV261" s="219"/>
      <c r="AW261" s="225"/>
      <c r="AX261" s="220"/>
      <c r="AY261" s="219" t="str">
        <f>IF(SnapshotTable[[#This Row],[Implied Move]]&gt;0, SnapshotTable[[#This Row],[Last Price]]-SnapshotTable[[#This Row],[Implied Move]],"")</f>
        <v/>
      </c>
      <c r="AZ261" s="219" t="str">
        <f>IF(SnapshotTable[[#This Row],[Implied Move]]&gt;0, SnapshotTable[[#This Row],[Last Price]] + SnapshotTable[[#This Row],[Implied Move]],"")</f>
        <v/>
      </c>
      <c r="BA261" s="331">
        <v>4.93</v>
      </c>
      <c r="BB261" s="347"/>
      <c r="BC26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1" s="351"/>
      <c r="BE261" s="5"/>
      <c r="BF261" s="14"/>
      <c r="BG261" s="13"/>
      <c r="BH261" s="13"/>
      <c r="BI261" s="5"/>
      <c r="BJ261" s="136">
        <f>IF(SnapshotTable[[#This Row],[LP Qty]] &gt; 0, SnapshotTable[[#This Row],[LP Qty]] * SnapshotTable[[#This Row],[LP Book Price]] * 100,0)</f>
        <v>0</v>
      </c>
      <c r="BK261" s="136">
        <f>IF(SnapshotTable[[#This Row],[LP Premium]] &gt; 0, SnapshotTable[[#This Row],[LP Qty]] * SnapshotTable[[#This Row],[LP Strike Price]] * 100,0)</f>
        <v>0</v>
      </c>
      <c r="BL261" s="154"/>
      <c r="BM261" s="385" t="str">
        <f>IF(SnapshotTable[[#This Row],[LP Premium]] &gt; 0,SnapshotTable[[#This Row],[LP Exp Date]]-MAX(SnapshotTable[[#This Row],[LP Book Date]], SnapshotTable[[#This Row],[LP Fill Date]]),"")</f>
        <v/>
      </c>
      <c r="BN261" s="385" t="str">
        <f>IF(ISNUMBER( SnapshotTable[[#This Row],[LP Term]]), SnapshotTable[[#This Row],[LP Exp Date]] - MockToday,"")</f>
        <v/>
      </c>
      <c r="BO261" s="163" t="str">
        <f>IF(AND(SnapshotTable[[#This Row],[LP Exp Date]]&gt;0, SnapshotTable[[#This Row],[LP Strike Price]]&gt;0,SnapshotTable[[#This Row],[LP Qty]]&gt;0,SnapshotTable[[#This Row],[LP Book Date]]&gt;0,SnapshotTable[[#This Row],[LP Book Price]]&gt;0,SnapshotTable[[#This Row],[LP Fill Date]]=0),"Y","")</f>
        <v/>
      </c>
      <c r="BP261" s="31" t="str">
        <f>IF(AND(SnapshotTable[[#This Row],[LP No Fill]]&lt;&gt;"Y",SnapshotTable[[#This Row],[LP Contract Value]]&gt;0, SnapshotTable[[#This Row],[LP Qty]]&gt;0), SnapshotTable[[#This Row],[LP Contract Value]]*SnapshotTable[[#This Row],[LP Qty]]*100,"")</f>
        <v/>
      </c>
      <c r="BQ261" s="13"/>
      <c r="BR261" s="5" t="str">
        <f>IF(SnapshotTable[[#This Row],[SP Exp Date]]&lt;&gt;"",TRUNC(SnapshotTable[[#This Row],[Last Price]]),"")</f>
        <v/>
      </c>
      <c r="BS261" s="36"/>
      <c r="BT261" s="147"/>
      <c r="BU261" s="13"/>
      <c r="BV261" s="5"/>
      <c r="BW261" s="419" t="b">
        <f>AND(ISNUMBER(SnapshotTable[[#This Row],[SP Exp Date]]), ISNUMBER(SnapshotTable[[#This Row],[SP Strike Price]]), ISNUMBER(SnapshotTable[[#This Row],[SP Qty]]), ISNUMBER(SnapshotTable[[#This Row],[SP Book Date]]), ISNUMBER(SnapshotTable[[#This Row],[SP Book Price]]))</f>
        <v>0</v>
      </c>
      <c r="BX261" s="419" t="b">
        <f>AND(SnapshotTable[[#This Row],[SP Is Booked]], NOT(ISBLANK(SnapshotTable[[#This Row],[SP Fill Date]])))</f>
        <v>0</v>
      </c>
      <c r="BY261" s="33">
        <f>IF(SnapshotTable[[#This Row],[SP Is Booked]], SnapshotTable[[#This Row],[SP Qty]] * SnapshotTable[[#This Row],[SP Book Price]] * 100, 0)</f>
        <v>0</v>
      </c>
      <c r="BZ261" s="369"/>
      <c r="CA261" s="368">
        <f>SnapshotTable[[#This Row],[LP Qty]]</f>
        <v>0</v>
      </c>
      <c r="CB261" s="4" t="str">
        <f>IF(SnapshotTable[[#This Row],[SP Is Booked]], SnapshotTable[[#This Row],[SP Strike Price]] - SnapshotTable[[#This Row],[SP Book Price]], "")</f>
        <v/>
      </c>
      <c r="CC261" s="19" t="str">
        <f>IF(SnapshotTable[[#This Row],[SP Is Booked]],SnapshotTable[[#This Row],[SP Exp Date]]-MAX(SnapshotTable[[#This Row],[SP Book Date]], SnapshotTable[[#This Row],[SP Fill Date]]),"")</f>
        <v/>
      </c>
      <c r="CD261" s="7" t="str">
        <f>IF(SnapshotTable[[#This Row],[SP Is Booked]], SnapshotTable[[#This Row],[SP Book Price]]/SnapshotTable[[#This Row],[SP Strike Price]], "")</f>
        <v/>
      </c>
      <c r="CE261" s="7" t="str">
        <f>IF(ISNUMBER(SnapshotTable[[#This Row],[SP ROO Term]]),SnapshotTable[[#This Row],[SP ROO Term]]*(365/SnapshotTable[[#This Row],[SP Term]]),"")</f>
        <v/>
      </c>
      <c r="CF261" s="236">
        <f>SnapshotTable[[#This Row],[LP Strike Price]] * SnapshotTable[[#This Row],[LP Qty]] * 100</f>
        <v>0</v>
      </c>
      <c r="CG261" s="31" t="e">
        <f>IF(ISNUMBER(SnapshotTable[[#This Row],[SP Premium]]), (SnapshotTable[[#This Row],[SP Qty]] * SnapshotTable[[#This Row],[SP Strike Price]]* 100) - SnapshotTable[[#This Row],[LP Protection]], 0)</f>
        <v>#VALUE!</v>
      </c>
      <c r="CH261" s="7" t="str">
        <f>IF(ISNUMBER(SnapshotTable[[#This Row],[SP Break Even]]),-1 * (SnapshotTable[[#This Row],[SP Break Even]] - SnapshotTable[[#This Row],[Last Price]]) / SnapshotTable[[#This Row],[Last Price]], "")</f>
        <v/>
      </c>
      <c r="CI261" s="31">
        <f>IF(AND(ISNUMBER((SnapshotTable[[#This Row],[SP Potential Spend]])), SnapshotTable[[#This Row],[SP Strike Price]] &gt; SnapshotTable[[#This Row],[Last Price]], SnapshotTable[[#This Row],[SP Is Filled]]), SnapshotTable[[#This Row],[SP Potential Spend]] -  SnapshotTable[[#This Row],[LP Max Value]], 0)</f>
        <v>0</v>
      </c>
      <c r="CJ261" s="244">
        <v>0.5</v>
      </c>
      <c r="CK261" s="31" t="str">
        <f>IF(ISNUMBER(SnapshotTable[[#This Row],[SP Potential Spend]]),IF(ISNUMBER(SnapshotTable[[#This Row],[SP POW]]), SnapshotTable[[#This Row],[SP POW]] * SnapshotTable[[#This Row],[SP Potential Spend]], SnapshotTable[[#This Row],[SP Potential Spend]]), "")</f>
        <v/>
      </c>
      <c r="CL261" s="164" t="e">
        <f>IF(NOT(SnapshotTable[[#This Row],[SP Is Filled]]),(SnapshotTable[[#This Row],[SP Qty]] * SnapshotTable[[#This Row],[SP Strike Price]] * 100) - SnapshotTable[[#This Row],[LP Max Value]],"")</f>
        <v>#VALUE!</v>
      </c>
      <c r="CM261" s="31" t="str">
        <f>IF(SnapshotTable[[#This Row],[SP Actual Spend]]&lt;&gt;0, ((SnapshotTable[[#This Row],[SP Strike Price]]-SnapshotTable[[#This Row],[Last Price]]) *(SnapshotTable[[#This Row],[SP Qty]]*100) - SnapshotTable[[#This Row],[SP Premium]]) * - 1, "")</f>
        <v/>
      </c>
      <c r="CN261" s="78"/>
      <c r="CO261" s="369"/>
      <c r="CP261" s="4" t="str">
        <f>IF(SnapshotTable[[#This Row],[SP Is Filled]], btc_max_buyback_amount(SnapshotTable[[#This Row],[SP Fill Date]],SnapshotTable[[#This Row],[SP Exp Date]], SnapshotTable[[#This Row],[SP Book Price]]),"")</f>
        <v/>
      </c>
      <c r="CQ261" s="78"/>
      <c r="CR26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1" s="155" t="str">
        <f>IF(SnapshotTable[[#This Row],[SP Is Filled]], btc_next_cutoff_date(SnapshotTable[[#This Row],[SP Fill Date]],SnapshotTable[[#This Row],[SP Exp Date]]),"")</f>
        <v/>
      </c>
      <c r="CT261" s="235" t="str" cm="1">
        <f t="array" ref="CT261">IF(SnapshotTable[[#This Row],[SP Is Filled]], btc_should_buy_back(SnapshotTable[[#This Row],[SP Fill Date]], SnapshotTable[[#This Row],[SP Exp Date]], SnapshotTable[[#This Row],[SP Book Price]], SnapshotTable[[#This Row],[SP Current Ask]], MockToday, SnapshotTable[[#This Row],[SP Buyback Override]]),"")</f>
        <v/>
      </c>
      <c r="CU261" s="143"/>
      <c r="CV261" s="235"/>
      <c r="CW261" s="378" t="str">
        <f>IF(ISNUMBER( SnapshotTable[[#This Row],[SP Term]]), SnapshotTable[[#This Row],[SP Exp Date]] - MockToday,"")</f>
        <v/>
      </c>
      <c r="CX261" s="31" t="str">
        <f>IF(SnapshotTable[[#This Row],[SP Is Filled]],SnapshotTable[[#This Row],[SP Buyback Price to Use]] * 100 * SnapshotTable[[#This Row],[SP Qty]], "")</f>
        <v/>
      </c>
      <c r="CY261" s="4" t="str">
        <f>IF(ISNUMBER(SnapshotTable[[#This Row],[SP Strike Price]]), SnapshotTable[[#This Row],[SP Strike Price]] * (1 - SP_MaxLoss_StrikePct), "")</f>
        <v/>
      </c>
      <c r="CZ261" s="31" t="str">
        <f>IF(ISNUMBER(SnapshotTable[[#This Row],[SP Strike  Stop Per Share]]),SnapshotTable[[#This Row],[SP Premium]] - ((SnapshotTable[[#This Row],[SP Strike Price]]-SnapshotTable[[#This Row],[SP Strike  Stop Per Share]]) *(SnapshotTable[[#This Row],[SP Qty]] * 100)),"")</f>
        <v/>
      </c>
      <c r="DA261" s="4" t="str">
        <f>IF(AND(ISNUMBER(SnapshotTable[[#This Row],[SP Premium]]),SnapshotTable[[#This Row],[SP Premium]]&gt;0), SnapshotTable[[#This Row],[SP Book Price]] * (1 + SP_MaxLoss_OptionPct), "")</f>
        <v/>
      </c>
      <c r="DB261" s="31" t="str">
        <f>IF(ISNUMBER(SnapshotTable[[#This Row],[SP Option  Stop Contract]]),(SnapshotTable[[#This Row],[SP Option  Stop Contract]] *(SnapshotTable[[#This Row],[SP Qty]] * 100) - SnapshotTable[[#This Row],[SP Premium]]),"")</f>
        <v/>
      </c>
      <c r="DC261" s="4"/>
      <c r="DD261" s="4"/>
      <c r="DE261" s="4" t="str">
        <f>IF(AND(SnapshotTable[[#This Row],[SP Qty]]&gt;0, SnapshotTable[[#This Row],[SP Stop To Use]]&gt;0),SnapshotTable[[#This Row],[SP Premium]] - ( SnapshotTable[[#This Row],[SP Qty]] * SnapshotTable[[#This Row],[SP Stop To Use]] * 100), "")</f>
        <v/>
      </c>
      <c r="DF261" s="31" t="str">
        <f>IF(AND(SnapshotTable[[#This Row],[SP Qty]]&gt;0,SnapshotTable[[#This Row],[SP Current Ask]]&gt;0), SnapshotTable[[#This Row],[SP Qty]] * SnapshotTable[[#This Row],[SP Current Ask]] * -100, "")</f>
        <v/>
      </c>
      <c r="DG261" s="31" t="str">
        <f>IF(ISNUMBER((SnapshotTable[[#This Row],[SP Total Value]])), SnapshotTable[[#This Row],[SP Premium]] + SnapshotTable[[#This Row],[SP Total Value]], "")</f>
        <v/>
      </c>
      <c r="DH261" s="294" t="str">
        <f>IF(ISNUMBER((SnapshotTable[[#This Row],[SP Total Value]])), SnapshotTable[[#This Row],[SP Gain Loss]] / SnapshotTable[[#This Row],[SP Premium]], "")</f>
        <v/>
      </c>
      <c r="DI261" s="406"/>
      <c r="DJ261" s="138"/>
      <c r="DK261" s="148"/>
      <c r="DL261" s="147"/>
      <c r="DM261" s="147"/>
      <c r="DO261" s="31">
        <f>IF(SnapshotTable[[#This Row],[LC Symbol Count]]=1, SnapshotTable[[#This Row],[LC Qty]] * SnapshotTable[[#This Row],[LC Book Price]] * 100, 0)</f>
        <v>0</v>
      </c>
      <c r="DP261" s="163" t="str">
        <f>IF(AND(SnapshotTable[[#This Row],[LC Exp Date]]&gt;0, SnapshotTable[[#This Row],[LC Strike Price]]&gt;0,SnapshotTable[[#This Row],[LC Qty]]&gt;0,SnapshotTable[[#This Row],[LC Book Date]]&gt;0,SnapshotTable[[#This Row],[LC Book Price]]&gt;0,SnapshotTable[[#This Row],[LC Fill Date]]=0),"Y","")</f>
        <v/>
      </c>
      <c r="DQ261" s="386" t="str">
        <f>IF(SnapshotTable[[#This Row],[LC Premium]] &gt; 0,SnapshotTable[[#This Row],[LC Exp Date]]-MAX(SnapshotTable[[#This Row],[LC Book Date]], SnapshotTable[[#This Row],[LC Fill Date]]),"")</f>
        <v/>
      </c>
      <c r="DR261" s="386" t="str">
        <f>IF(ISNUMBER(SnapshotTable[[#This Row],[LC Term]]), SnapshotTable[[#This Row],[LC Exp Date]] - MockToday, "")</f>
        <v/>
      </c>
      <c r="DS261" s="234" t="str">
        <f>IF(SnapshotTable[[#This Row],[LC Premium]]&gt;0,SnapshotTable[[#This Row],[LC Strike Price]] + SnapshotTable[[#This Row],[LC Book Price]],"")</f>
        <v/>
      </c>
      <c r="DU261" s="9" t="str">
        <f>IF(AND(SnapshotTable[[#This Row],[LC Symbol Count]]&gt;0, SnapshotTable[[#This Row],[LC Contract Value]]&gt;0), SnapshotTable[[#This Row],[LC Contract Value]] * SnapshotTable[[#This Row],[LC Qty]] * 100, "")</f>
        <v/>
      </c>
      <c r="DV261" s="9" t="str">
        <f>IF(AND(ISNUMBER(SnapshotTable[[#This Row],[LC Total Value]]), SnapshotTable[[#This Row],[LC Not Filled]]&lt;&gt;"Y"), SnapshotTable[[#This Row],[LC Total Value]]-SnapshotTable[[#This Row],[LC Premium]],"")</f>
        <v/>
      </c>
      <c r="DW261" s="240" t="str">
        <f>IF(ISNUMBER(SnapshotTable[[#This Row],[LC Actual Gain Loss]]), SnapshotTable[[#This Row],[LC Actual Gain Loss]] / SnapshotTable[[#This Row],[LC Premium]],"")</f>
        <v/>
      </c>
      <c r="DX261" s="284" t="str">
        <f>IF(ISNUMBER(SnapshotTable[[#This Row],[LC Book Price]]),SnapshotTable[[#This Row],[LC Book Price]] * 1.5,"")</f>
        <v/>
      </c>
      <c r="DY261" s="265" t="str">
        <f>IF(SnapshotTable[[#This Row],[LC Premium]]&gt;0, SnapshotTable[[#This Row],[LC Next Target]] * SnapshotTable[[#This Row],[LC Qty]] * 100,"")</f>
        <v/>
      </c>
      <c r="DZ261" s="265" t="str">
        <f>IF(ISNUMBER(SnapshotTable[[#This Row],[LC Target Gross]]), SnapshotTable[[#This Row],[LC Target Gross]] - SnapshotTable[[#This Row],[LC Premium]], "")</f>
        <v/>
      </c>
      <c r="EA261" s="305" t="str">
        <f>IF(ISNUMBER(SnapshotTable[[#This Row],[LC Target Gain Loss]]), SnapshotTable[[#This Row],[LC Target Gain Loss]]/SnapshotTable[[#This Row],[LC Premium]], "")</f>
        <v/>
      </c>
      <c r="EB261" s="262"/>
      <c r="EC261" s="283" t="str">
        <f>IF(SnapshotTable[[#This Row],[LC Premium]]&gt;0, SnapshotTable[[#This Row],[LC Book Price]] * (1 - LC_StopLoss_Pct),"")</f>
        <v/>
      </c>
      <c r="ED261" s="284"/>
      <c r="EE261" s="283" t="str">
        <f>IF(ISNUMBER(SnapshotTable[[#This Row],[LC Contract Value]]),IF(ISNUMBER(SnapshotTable[[#This Row],[LC Stop Loss Override]]), SnapshotTable[[#This Row],[LC Stop Loss Override]],SnapshotTable[[#This Row],[LC Stop Loss Calc Target]]),"")</f>
        <v/>
      </c>
      <c r="EF261" s="31" t="str">
        <f>IF(ISNUMBER(SnapshotTable[[#This Row],[LC Stop  To Use]]), (SnapshotTable[[#This Row],[LC Stop  To Use]] * SnapshotTable[[#This Row],[LC Qty]] * 100),"")</f>
        <v/>
      </c>
      <c r="EG261" s="9" t="str">
        <f>IF(ISNUMBER(SnapshotTable[[#This Row],[LC Total Value]]),SnapshotTable[[#This Row],[LC Stop Loss Amount]] - SnapshotTable[[#This Row],[LC Premium]],"")</f>
        <v/>
      </c>
      <c r="EH261" s="9">
        <f>IF(ISNUMBER(SnapshotTable[[#This Row],[LC Premium]]), SnapshotTable[[#This Row],[LC Qty]] * 100 * SnapshotTable[[#This Row],[LC Strike Price]], "")</f>
        <v>0</v>
      </c>
      <c r="EI261" s="240" t="str">
        <f>IF(AND(ISNUMBER(SnapshotTable[[#This Row],[LC Total Value]]),SnapshotTable[[#This Row],[LC Total Value]]&gt;0),SnapshotTable[[#This Row],[LC Stop Gain Loss]]  / SnapshotTable[[#This Row],[LC Premium]],"")</f>
        <v/>
      </c>
      <c r="EJ261" s="35">
        <f>IF(ISNUMBER(SnapshotTable[[#This Row],[Equity Shares]]),TRUNC(SnapshotTable[[#This Row],[Equity Shares]] / 100),0) + SnapshotTable[[#This Row],[LC Qty]]</f>
        <v>20</v>
      </c>
      <c r="EK261" s="147"/>
      <c r="EL261" s="138" t="str">
        <f>IF(SnapshotTable[[#This Row],[SC Exp Date]]&lt;&gt;"",TRUNC(SnapshotTable[[#This Row],[Last Price]]),"")</f>
        <v/>
      </c>
      <c r="EM261" s="148"/>
      <c r="EN261" s="147"/>
      <c r="EO261" s="147"/>
      <c r="EP261" s="138"/>
      <c r="EQ261" s="419" t="b">
        <f>AND(ISNUMBER(SnapshotTable[[#This Row],[SC Exp Date]]), ISNUMBER(SnapshotTable[[#This Row],[SC Strike Price]]), ISNUMBER(SnapshotTable[[#This Row],[SC Qty]]), ISNUMBER(SnapshotTable[[#This Row],[SC Book Date]]), ISNUMBER(SnapshotTable[[#This Row],[SC Book Price]]))</f>
        <v>0</v>
      </c>
      <c r="ER261" s="419" t="b">
        <f>AND(SnapshotTable[[#This Row],[SC Is Booked]], NOT(ISBLANK(SnapshotTable[[#This Row],[SC Fill Date]])))</f>
        <v>0</v>
      </c>
      <c r="ES261" s="370"/>
      <c r="ET261" s="34" t="str">
        <f>IF(AND(ISNUMBER(SnapshotTable[[#This Row],[SC Exp Date]]), ISNUMBER(SnapshotTable[[#This Row],[SC Book Date]])), SnapshotTable[[#This Row],[SC Exp Date]] - MAX(SnapshotTable[[#This Row],[SC Book Date]], SnapshotTable[[#This Row],[SC Fill Date]]) + 1, "")</f>
        <v/>
      </c>
      <c r="EU261" s="34" t="str">
        <f>IF(ISNUMBER(SnapshotTable[[#This Row],[SC Term]]), SnapshotTable[[#This Row],[SC Exp Date]]- MockToday, "")</f>
        <v/>
      </c>
      <c r="EV261" s="31">
        <f>IF(SnapshotTable[[#This Row],[SC Is Booked]], SnapshotTable[[#This Row],[SC Qty]] * SnapshotTable[[#This Row],[SC Book Price]] * 100, 0)</f>
        <v>0</v>
      </c>
      <c r="EW261" s="4" t="str">
        <f>IF(AND(ISNUMBER(SnapshotTable[[#This Row],[Last Price]]), ISNUMBER( SnapshotTable[[#This Row],[SC Book Price]])), SnapshotTable[[#This Row],[Last Price]] - SnapshotTable[[#This Row],[SC Book Price]],"")</f>
        <v/>
      </c>
      <c r="EX261" s="234" t="str">
        <f>IF(SnapshotTable[[#This Row],[SC Is Booked]],IF(SnapshotTable[[#This Row],[SC Intrinsic Value]] &gt; 0, SnapshotTable[[#This Row],[SC Strike Price]], SnapshotTable[[#This Row],[Last Price]]), "")</f>
        <v/>
      </c>
      <c r="EY261" s="4">
        <f>IF(SnapshotTable[[#This Row],[SC Is Booked]], (MinimumPremiumRequired * SnapshotTable[[#This Row],[SC Basis]] * SnapshotTable[[#This Row],[SC Term]]), 0)</f>
        <v>0</v>
      </c>
      <c r="EZ261" s="283"/>
      <c r="FA261" s="218"/>
      <c r="FB261" s="370"/>
      <c r="FC261" s="4">
        <f>IF(SnapshotTable[[#This Row],[SC Is Filled]], btc_max_buyback_amount(SnapshotTable[[#This Row],[SC Fill Date]],SnapshotTable[[#This Row],[SC Exp Date]], SnapshotTable[[#This Row],[SC Book Price]]),0)</f>
        <v>0</v>
      </c>
      <c r="FD261" s="5"/>
      <c r="FE261" s="144" t="str">
        <f>IF(SnapshotTable[[#This Row],[SC Is Filled]], btc_next_cutoff_date(SnapshotTable[[#This Row],[SC Fill Date]],SnapshotTable[[#This Row],[SC Exp Date]]),"")</f>
        <v/>
      </c>
      <c r="FF261" s="4" t="str" cm="1">
        <f t="array" ref="FF261">IF(SnapshotTable[[#This Row],[SC Is Filled]], btc_should_buy_back(SnapshotTable[[#This Row],[SC Fill Date]], SnapshotTable[[#This Row],[SC Exp Date]], SnapshotTable[[#This Row],[SC Book Price]], SnapshotTable[[#This Row],[SC Current Ask]], MockToday, SnapshotTable[[#This Row],[SC Buyback Override]]),"")</f>
        <v/>
      </c>
      <c r="FG261" s="4">
        <f>IF(SnapshotTable[[#This Row],[SC Is Filled]], MAX(0,SnapshotTable[[#This Row],[Last Price]]  - SnapshotTable[[#This Row],[SC Strike Price]]), 0)</f>
        <v>0</v>
      </c>
      <c r="FH261" s="382">
        <f>IF(SnapshotTable[[#This Row],[SC Is Filled]], IF(ISNUMBER(SnapshotTable[[#This Row],[SC Current Ask]]), SnapshotTable[[#This Row],[SC Current Ask]], SnapshotTable[[#This Row],[SC Book Price]]) - SnapshotTable[[#This Row],[SC Intrinsic Value]], 0)</f>
        <v>0</v>
      </c>
      <c r="FI261" s="143"/>
      <c r="FJ261" s="32" t="str">
        <f>IF(SnapshotTable[[#This Row],[SC Is Filled]],100 * SnapshotTable[[#This Row],[SC Qty]] * IF(ISNUMBER(SnapshotTable[[#This Row],[SC Buyback Override]]), SnapshotTable[[#This Row],[SC Buyback Override]], SnapshotTable[[#This Row],[SC Current Ask]]), "")</f>
        <v/>
      </c>
      <c r="FK261" s="250" t="str">
        <f>IF(SnapshotTable[[#This Row],[SC Time Val]]&gt;0, SnapshotTable[[#This Row],[SC Time Val]] / SnapshotTable[[#This Row],[Last Price]],"")</f>
        <v/>
      </c>
      <c r="FL261" s="302" t="str">
        <f>IF(SnapshotTable[[#This Row],[SC Is Booked]], ((SnapshotTable[[#This Row],[Last Price]] -SnapshotTable[[#This Row],[SC Strike Price]]) / SnapshotTable[[#This Row],[Last Price]]) * -1, "")</f>
        <v/>
      </c>
      <c r="FM261" s="157" t="str">
        <f>IF(SnapshotTable[[#This Row],[SC Is Booked]],  (SnapshotTable[[#This Row],[SC Qty]] * 100 * SnapshotTable[[#This Row],[SC Strike Price]]) - SnapshotTable[[#This Row],[SC Current Ask]], "")</f>
        <v/>
      </c>
      <c r="FN26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1" s="31" t="str">
        <f>IF(AND(ISNUMBER(SnapshotTable[[#This Row],[SC Exercise Gross]]), ISNUMBER(SnapshotTable[[#This Row],[Equity Basis Per Share]] )), SnapshotTable[[#This Row],[SC Exercise Gross]] - SnapshotTable[[#This Row],[Equity Basis Total]] +  SnapshotTable[[#This Row],[SC Premium]], "")</f>
        <v/>
      </c>
      <c r="FP261" s="5" t="str">
        <f>IF(ISNUMBER(SnapshotTable[[#This Row],[SC Exercise Gross]]), (SnapshotTable[[#This Row],[SC Exercise Gross]]) / (SnapshotTable[[#This Row],[SC Qty]] * 100), "")</f>
        <v/>
      </c>
      <c r="FQ261" s="27" t="str">
        <f>IF(SnapshotTable[[#This Row],[SC Is Booked]],SnapshotTable[[#This Row],[SC Time Val]] /SnapshotTable[[#This Row],[SC Basis]], "")</f>
        <v/>
      </c>
      <c r="FR261" s="27" t="str" cm="1">
        <f t="array" ref="FR261">IF(AND(ISNUMBER(SnapshotTable[[#This Row],[SC Term]]),ISNUMBER(SnapshotTable[[#This Row],[SC Simple ROO]])), EllmanAnnualize(SnapshotTable[[#This Row],[SC DTE]], SnapshotTable[[#This Row],[SC Simple ROO]] ),"")</f>
        <v/>
      </c>
      <c r="FS261" s="4" t="e">
        <f>IF(SnapshotTable[[#This Row],[SC Strike Price]] &gt; SnapshotTable[[#This Row],[Last Price]], SnapshotTable[[#This Row],[SC Strike Price]] - SnapshotTable[[#This Row],[Last Price]],0)</f>
        <v>#VALUE!</v>
      </c>
      <c r="FT261" s="27" t="e">
        <f>IF(AND(ISNUMBER(SnapshotTable[[#This Row],[SC Upside Potential]]), SnapshotTable[[#This Row],[SC Upside Potential]] &gt; 0),(SnapshotTable[[#This Row],[SC Upside Potential]]/ SnapshotTable[[#This Row],[ACB]]),"")</f>
        <v>#VALUE!</v>
      </c>
      <c r="FU261" s="333" t="str">
        <f>IF(SnapshotTable[[#This Row],[SC Intrinsic Value]] &gt; 0,SnapshotTable[[#This Row],[SC Intrinsic Value]],"")</f>
        <v/>
      </c>
      <c r="FV261" s="27" t="str">
        <f>IF(AND( ISNUMBER( SnapshotTable[[#This Row],[ACB]]),ISNUMBER(SnapshotTable[[#This Row],[SC Downside Protect]])),SnapshotTable[[#This Row],[SC Downside Protect]] / SnapshotTable[[#This Row],[ACB]],"")</f>
        <v/>
      </c>
      <c r="FW261" s="236" t="str">
        <f>IF(AND(ISNUMBER(SnapshotTable[[#This Row],[SC Simple ROO]]),SnapshotTable[[#This Row],[SC Simple ROO]] &gt; 0), SnapshotTable[[#This Row],[SC Premium]] + (SnapshotTable[[#This Row],[SC Qty]] * SnapshotTable[[#This Row],[SC Upside Potential]]), "")</f>
        <v/>
      </c>
      <c r="FX261" s="302" t="str" cm="1">
        <f t="array" ref="FX261">IF(ISNUMBER(SnapshotTable[[#This Row],[SC Max Dollars]]), annualize(SnapshotTable[[#This Row],[SC Term]],(SnapshotTable[[#This Row],[SC Max Dollars]]/SnapshotTable[[#This Row],[SC Basis]])),"")</f>
        <v/>
      </c>
      <c r="FY261" s="236" t="str">
        <f>IF(AND(SnapshotTable[[#This Row],[SC Qty]]&gt;0,SnapshotTable[[#This Row],[SC Current Ask]]&gt;0), SnapshotTable[[#This Row],[SC Qty]] * SnapshotTable[[#This Row],[SC Current Ask]] * -100, "")</f>
        <v/>
      </c>
      <c r="FZ261" s="31" t="str">
        <f>IF(ISNUMBER((SnapshotTable[[#This Row],[SC Current Value]])), SnapshotTable[[#This Row],[SC Premium]] + SnapshotTable[[#This Row],[SC Current Value]], "")</f>
        <v/>
      </c>
      <c r="GA261" s="294" t="str">
        <f>IFERROR( IF(ISNUMBER((SnapshotTable[[#This Row],[SC Current Value]])), SnapshotTable[[#This Row],[SC Gain Loss]] / SnapshotTable[[#This Row],[SC Premium]], ""), "")</f>
        <v/>
      </c>
      <c r="GB261" s="42">
        <f>SnapshotTable[[#This Row],[Equity Shares]] * SaleSharesToConsiderPercentage</f>
        <v>400</v>
      </c>
      <c r="GC261" s="40">
        <f>SnapshotTable[[#This Row],[Long Term Target]] * SellingPriceToConsiderBasedOnTargetPercentage</f>
        <v>0</v>
      </c>
      <c r="GD261" s="40">
        <f>SnapshotTable[[#This Row],[Last Price]] * (1+ SellingPriceToConsiderBasedOnTargetPercentage)</f>
        <v>5.4794999999999998</v>
      </c>
      <c r="GE261" s="41"/>
      <c r="GF261" s="40"/>
      <c r="GG261" s="31">
        <f>SnapshotTable[[#This Row],[Booked Sale Shares]] * SnapshotTable[[#This Row],[Booked Sale Price]]</f>
        <v>0</v>
      </c>
      <c r="GH261" s="31">
        <f>IF(SnapshotTable[[#This Row],[Equity Basis Total]] &gt; 0, SnapshotTable[[#This Row],[Equity Basis Per Share]] * SnapshotTable[[#This Row],[Booked Sale Shares]], "")</f>
        <v>0</v>
      </c>
      <c r="GI261" s="31">
        <f>IF(SnapshotTable[[#This Row],[Sale Proceeds]]&gt;0, SnapshotTable[[#This Row],[Sale Proceeds]] - SnapshotTable[[#This Row],[Sale Basis]], 0)</f>
        <v>0</v>
      </c>
      <c r="GJ261" s="27" t="str">
        <f>IF(SnapshotTable[[#This Row],[Sale G/L]]&gt;0, SnapshotTable[[#This Row],[Sale G/L]] / SnapshotTable[[#This Row],[Sale Basis]], IF(ISNUMBER(SnapshotTable[[#This Row],[SC Exercise P&amp;L (TAX)]]), SnapshotTable[[#This Row],[SC Exercise P&amp;L (TAX)]] / SnapshotTable[[#This Row],[SC Basis]], ""))</f>
        <v/>
      </c>
      <c r="GK261" s="27"/>
      <c r="GL261" s="43" t="str">
        <f>IF(AND(SnapshotTable[[#This Row],[LP Exp Date]]&gt;0,SnapshotTable[[#This Row],[LP Strike Price]]&gt;0), [1]!ToOptionSymbol(SnapshotTable[[#This Row],[Symbol]], SnapshotTable[[#This Row],[LP Strike Price]],SnapshotTable[[#This Row],[LP Exp Date]],1), "")</f>
        <v/>
      </c>
      <c r="GM261" s="30" t="str">
        <f>IF(LEN(SnapshotTable[[#This Row],[LP Symbol]])&gt;0, 1, "")</f>
        <v/>
      </c>
      <c r="GN261" s="43" t="str">
        <f>IF(AND(SnapshotTable[[#This Row],[SP Exp Date]]&gt;0,SnapshotTable[[#This Row],[SP Strike Price]]&gt;0), [1]!ToOptionSymbol(SnapshotTable[[#This Row],[Symbol]], SnapshotTable[[#This Row],[SP Strike Price]],SnapshotTable[[#This Row],[SP Exp Date]],1), "")</f>
        <v/>
      </c>
      <c r="GO261" s="30" t="str">
        <f>IF(LEN(SnapshotTable[[#This Row],[SP Symbol]])&gt;0, 1, "")</f>
        <v/>
      </c>
      <c r="GP261" s="43" t="str">
        <f>IF(AND(SnapshotTable[[#This Row],[LC Exp Date]]&gt;0,SnapshotTable[[#This Row],[LC Strike Price]]&gt;0), [1]!ToOptionSymbol(SnapshotTable[[#This Row],[Symbol]], SnapshotTable[[#This Row],[LC Strike Price]],SnapshotTable[[#This Row],[LC Exp Date]],0), "")</f>
        <v/>
      </c>
      <c r="GQ261" s="30" t="str">
        <f>IF(LEN(SnapshotTable[[#This Row],[LC Symbol]])&gt;0, 1, "")</f>
        <v/>
      </c>
      <c r="GR261" s="43" t="str">
        <f>IF(AND(SnapshotTable[[#This Row],[SC Exp Date]]&gt;0,SnapshotTable[[#This Row],[SC Strike Price]]&gt;0), [1]!ToOptionSymbol(SnapshotTable[[#This Row],[Symbol]], SnapshotTable[[#This Row],[SC Strike Price]],SnapshotTable[[#This Row],[SC Exp Date]],0), "")</f>
        <v/>
      </c>
      <c r="GS261" s="30" t="str">
        <f>IF(LEN(SnapshotTable[[#This Row],[SC Symbol]])&gt;0, 1, "")</f>
        <v/>
      </c>
      <c r="GT261" s="29" t="str">
        <f>IF(COUNT(SnapshotTable[[#This Row],[LP Symbol Count]],SnapshotTable[[#This Row],[SP Symbol Count]],SnapshotTable[[#This Row],[LC Symbol Count]],SnapshotTable[[#This Row],[SC Symbol Count]])&gt;0, "Y", "")</f>
        <v/>
      </c>
      <c r="GU26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261" s="231" t="e">
        <f>MAX(SnapshotTable[[#This Row],[Equity Basis Total]],SnapshotTable[[#This Row],[Equity Value]]) + (SnapshotTable[[#This Row],[SP Potential Spend]]- SnapshotTable[[#This Row],[SP Premium]] + SnapshotTable[[#This Row],[LP Premium]])+ (SnapshotTable[[#This Row],[LC Premium]] - SnapshotTable[[#This Row],[SC Premium]])</f>
        <v>#VALUE!</v>
      </c>
      <c r="GW261" s="139" t="e">
        <f>IF(AND(SnapshotTable[[#This Row],[Exposure]] &lt;&gt; 0),SnapshotTable[[#This Row],[Exposure]] / SnapshotTable[[#Totals],[Exposure]], "")</f>
        <v>#VALUE!</v>
      </c>
      <c r="HK261" s="1"/>
      <c r="HL261" s="1"/>
      <c r="HM261" s="1"/>
      <c r="HN261" s="1"/>
      <c r="HO261" s="1"/>
      <c r="HP261" s="1"/>
    </row>
    <row r="262" spans="2:224" ht="12.75" hidden="1" customHeight="1" x14ac:dyDescent="0.25">
      <c r="B262" s="12" t="s">
        <v>957</v>
      </c>
      <c r="C262" s="422">
        <v>7.27</v>
      </c>
      <c r="D262" s="208" t="s">
        <v>885</v>
      </c>
      <c r="E262" s="39">
        <f>SnapshotTable[[#This Row],[Last Price]]*(1 -CrashDiscount)</f>
        <v>6.1794999999999991</v>
      </c>
      <c r="F262" s="26" t="s">
        <v>905</v>
      </c>
      <c r="G262" s="26" t="s">
        <v>610</v>
      </c>
      <c r="H262" s="149"/>
      <c r="I262" s="194">
        <v>44784.690972222219</v>
      </c>
      <c r="J262" s="195">
        <v>44784.690972222219</v>
      </c>
      <c r="K262" s="196"/>
      <c r="L262" s="326"/>
      <c r="M262" s="140"/>
      <c r="N262" s="140"/>
      <c r="O262" s="140"/>
      <c r="P262" s="22"/>
      <c r="Q262" s="25"/>
      <c r="R262" s="4" t="str">
        <f>IF(SnapshotTable[[#This Row],[Equity Basis Total]] &gt; 0, SnapshotTable[[#This Row],[Equity Basis Total]] / SnapshotTable[[#This Row],[Equity Shares]], "")</f>
        <v/>
      </c>
      <c r="S262" s="269">
        <f>SnapshotTable[[#This Row],[Last Price]] * SnapshotTable[[#This Row],[Equity Shares]]</f>
        <v>0</v>
      </c>
      <c r="T262" s="269">
        <f>SnapshotTable[[#This Row],[Equity Value]] - SnapshotTable[[#This Row],[Equity Basis Total]]</f>
        <v>0</v>
      </c>
      <c r="U262" s="270" t="str">
        <f>IF(SnapshotTable[[#This Row],[Equity Basis Total]] &gt; 0, SnapshotTable[[#This Row],[Equity G/L]] / SnapshotTable[[#This Row],[Equity Basis Total]], "")</f>
        <v/>
      </c>
      <c r="V262" s="268"/>
      <c r="W262" s="268"/>
      <c r="X262" s="4" t="str">
        <f>IF(AND(ISNUMBER(SnapshotTable[[#This Row],[Equity Basis Per Share]]),ISNUMBER(SnapshotTable[[#This Row],[Equity Target]])),SnapshotTable[[#This Row],[Equity Target]]-SnapshotTable[[#This Row],[Equity Basis Per Share]],"")</f>
        <v/>
      </c>
      <c r="Y262" s="4" t="str">
        <f>IF(AND(ISNUMBER(SnapshotTable[[#This Row],[Equity Basis Per Share]]),ISNUMBER(SnapshotTable[[#This Row],[Equity Stop Loss]])),SnapshotTable[[#This Row],[Equity Stop Loss]]-SnapshotTable[[#This Row],[Equity Basis Per Share]],"")</f>
        <v/>
      </c>
      <c r="Z262" s="275" t="str">
        <f>IFERROR( TEXT(SnapshotTable[[#This Row],[Equity Max Gain Per Share]] /ABS( SnapshotTable[[#This Row],[Equity Max Loss Per Share]]),"0.0 " ) &amp; " : 1", "")</f>
        <v/>
      </c>
      <c r="AA262" s="31" t="str">
        <f>IF(ISNUMBER(SnapshotTable[[#This Row],[Equity Max Gain Per Share]]),SnapshotTable[[#This Row],[Equity Max Gain Per Share]] * SnapshotTable[[#This Row],[Equity Shares]],"")</f>
        <v/>
      </c>
      <c r="AB262" s="31" t="str">
        <f>IF(ISNUMBER(SnapshotTable[[#This Row],[Equity Max Loss Per Share]]),SnapshotTable[[#This Row],[Equity Max Loss Per Share]] * SnapshotTable[[#This Row],[Equity Shares]],"")</f>
        <v/>
      </c>
      <c r="AC262" s="150"/>
      <c r="AD262" s="151"/>
      <c r="AE262" s="31">
        <f>(SnapshotTable[[#This Row],[Annual Dividend Per Share]] / 4) * SnapshotTable[[#This Row],[Equity Shares]]</f>
        <v>0</v>
      </c>
      <c r="AF262" s="31">
        <f>SnapshotTable[[#This Row],[Quarterly Div $]] * 4</f>
        <v>0</v>
      </c>
      <c r="AG262" s="7">
        <f>IF(SnapshotTable[[#This Row],[Annual Dividend Per Share]]&gt;0, SnapshotTable[[#This Row],[Annual Dividend Per Share]]  / SnapshotTable[[#This Row],[Last Price]], 0)</f>
        <v>0</v>
      </c>
      <c r="AH262" s="151"/>
      <c r="AI262" s="5"/>
      <c r="AJ262" s="138" t="s">
        <v>164</v>
      </c>
      <c r="AK262" s="152" t="str">
        <f>IF(ISNUMBER( SnapshotTable[[#This Row],[EBF Target]]),(SnapshotTable[[#This Row],[EBF Target]] - SnapshotTable[[#This Row],[Last Price]]) / SnapshotTable[[#This Row],[Last Price]], "")</f>
        <v/>
      </c>
      <c r="AL262" s="152" t="str">
        <f>IF(AND(SnapshotTable[[#This Row],[Equity Basis Total]] &gt; 0,ISNUMBER( SnapshotTable[[#This Row],[Long Term Target]])), SnapshotTable[[#This Row],[From Basis $]] / SnapshotTable[[#This Row],[Equity Basis Total]], "")</f>
        <v/>
      </c>
      <c r="AM262" s="9">
        <f>IF( AND(SnapshotTable[[#This Row],[Equity Shares]] &gt;0,ISNUMBER( SnapshotTable[[#This Row],[Long Term Target]])),(SnapshotTable[[#This Row],[Equity Shares]] * SnapshotTable[[#This Row],[Long Term Target]]) - SnapshotTable[[#This Row],[Equity Basis Total]],0)</f>
        <v>0</v>
      </c>
      <c r="AN262" s="9">
        <f>IF( AND(SnapshotTable[[#This Row],[Equity Shares]] &gt;0,ISNUMBER( SnapshotTable[[#This Row],[Long Term Target]])),(SnapshotTable[[#This Row],[Equity Shares]]*SnapshotTable[[#This Row],[Long Term Target]]) - SnapshotTable[[#This Row],[Equity Value]],0)</f>
        <v>0</v>
      </c>
      <c r="AO262" s="152" t="str">
        <f>IF(AND(ISNUMBER( SnapshotTable[[#This Row],[Long Term Target]]), ISNUMBER(SnapshotTable[[#This Row],[Last Price]])),(SnapshotTable[[#This Row],[Long Term Target]] - SnapshotTable[[#This Row],[Last Price]]) / SnapshotTable[[#This Row],[Last Price]], "")</f>
        <v/>
      </c>
      <c r="AP262" s="5">
        <v>10</v>
      </c>
      <c r="AQ262" s="38" t="s">
        <v>27</v>
      </c>
      <c r="AR262" s="5">
        <v>10</v>
      </c>
      <c r="AS262" s="38" t="s">
        <v>38</v>
      </c>
      <c r="AT262" s="146" t="s">
        <v>542</v>
      </c>
      <c r="AU262" s="187" t="str">
        <f>IF(OR(SnapshotTable[[#This Row],[LP No Fill]]="Y",SnapshotTable[[#This Row],[SP Is Filled]],SnapshotTable[[#This Row],[LC Not Filled]]="Y",SnapshotTable[[#This Row],[SC Is Filled]]),"Y","")</f>
        <v/>
      </c>
      <c r="AV262" s="219"/>
      <c r="AW262" s="225"/>
      <c r="AX262" s="220"/>
      <c r="AY262" s="219" t="str">
        <f>IF(SnapshotTable[[#This Row],[Implied Move]]&gt;0, SnapshotTable[[#This Row],[Last Price]]-SnapshotTable[[#This Row],[Implied Move]],"")</f>
        <v/>
      </c>
      <c r="AZ262" s="219" t="str">
        <f>IF(SnapshotTable[[#This Row],[Implied Move]]&gt;0, SnapshotTable[[#This Row],[Last Price]] + SnapshotTable[[#This Row],[Implied Move]],"")</f>
        <v/>
      </c>
      <c r="BA262" s="331"/>
      <c r="BB262" s="347"/>
      <c r="BC26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2" s="351"/>
      <c r="BE262" s="5"/>
      <c r="BF262" s="14"/>
      <c r="BG262" s="13"/>
      <c r="BH262" s="13"/>
      <c r="BI262" s="5"/>
      <c r="BJ262" s="136">
        <f>IF(SnapshotTable[[#This Row],[LP Qty]] &gt; 0, SnapshotTable[[#This Row],[LP Qty]] * SnapshotTable[[#This Row],[LP Book Price]] * 100,0)</f>
        <v>0</v>
      </c>
      <c r="BK262" s="136">
        <f>IF(SnapshotTable[[#This Row],[LP Premium]] &gt; 0, SnapshotTable[[#This Row],[LP Qty]] * SnapshotTable[[#This Row],[LP Strike Price]] * 100,0)</f>
        <v>0</v>
      </c>
      <c r="BL262" s="154"/>
      <c r="BM262" s="385" t="str">
        <f>IF(SnapshotTable[[#This Row],[LP Premium]] &gt; 0,SnapshotTable[[#This Row],[LP Exp Date]]-MAX(SnapshotTable[[#This Row],[LP Book Date]], SnapshotTable[[#This Row],[LP Fill Date]]),"")</f>
        <v/>
      </c>
      <c r="BN262" s="385" t="str">
        <f>IF(ISNUMBER( SnapshotTable[[#This Row],[LP Term]]), SnapshotTable[[#This Row],[LP Exp Date]] - MockToday,"")</f>
        <v/>
      </c>
      <c r="BO262" s="163" t="str">
        <f>IF(AND(SnapshotTable[[#This Row],[LP Exp Date]]&gt;0, SnapshotTable[[#This Row],[LP Strike Price]]&gt;0,SnapshotTable[[#This Row],[LP Qty]]&gt;0,SnapshotTable[[#This Row],[LP Book Date]]&gt;0,SnapshotTable[[#This Row],[LP Book Price]]&gt;0,SnapshotTable[[#This Row],[LP Fill Date]]=0),"Y","")</f>
        <v/>
      </c>
      <c r="BP262" s="31" t="str">
        <f>IF(AND(SnapshotTable[[#This Row],[LP No Fill]]&lt;&gt;"Y",SnapshotTable[[#This Row],[LP Contract Value]]&gt;0, SnapshotTable[[#This Row],[LP Qty]]&gt;0), SnapshotTable[[#This Row],[LP Contract Value]]*SnapshotTable[[#This Row],[LP Qty]]*100,"")</f>
        <v/>
      </c>
      <c r="BQ262" s="13"/>
      <c r="BR262" s="5" t="str">
        <f>IF(SnapshotTable[[#This Row],[SP Exp Date]]&lt;&gt;"",TRUNC(SnapshotTable[[#This Row],[Last Price]]),"")</f>
        <v/>
      </c>
      <c r="BS262" s="36"/>
      <c r="BT262" s="147"/>
      <c r="BU262" s="13"/>
      <c r="BV262" s="5"/>
      <c r="BW262" s="419" t="b">
        <f>AND(ISNUMBER(SnapshotTable[[#This Row],[SP Exp Date]]), ISNUMBER(SnapshotTable[[#This Row],[SP Strike Price]]), ISNUMBER(SnapshotTable[[#This Row],[SP Qty]]), ISNUMBER(SnapshotTable[[#This Row],[SP Book Date]]), ISNUMBER(SnapshotTable[[#This Row],[SP Book Price]]))</f>
        <v>0</v>
      </c>
      <c r="BX262" s="419" t="b">
        <f>AND(SnapshotTable[[#This Row],[SP Is Booked]], NOT(ISBLANK(SnapshotTable[[#This Row],[SP Fill Date]])))</f>
        <v>0</v>
      </c>
      <c r="BY262" s="33">
        <f>IF(SnapshotTable[[#This Row],[SP Is Booked]], SnapshotTable[[#This Row],[SP Qty]] * SnapshotTable[[#This Row],[SP Book Price]] * 100, 0)</f>
        <v>0</v>
      </c>
      <c r="BZ262" s="369"/>
      <c r="CA262" s="368">
        <f>SnapshotTable[[#This Row],[LP Qty]]</f>
        <v>0</v>
      </c>
      <c r="CB262" s="4" t="str">
        <f>IF(SnapshotTable[[#This Row],[SP Is Booked]], SnapshotTable[[#This Row],[SP Strike Price]] - SnapshotTable[[#This Row],[SP Book Price]], "")</f>
        <v/>
      </c>
      <c r="CC262" s="19" t="str">
        <f>IF(SnapshotTable[[#This Row],[SP Is Booked]],SnapshotTable[[#This Row],[SP Exp Date]]-MAX(SnapshotTable[[#This Row],[SP Book Date]], SnapshotTable[[#This Row],[SP Fill Date]]),"")</f>
        <v/>
      </c>
      <c r="CD262" s="7" t="str">
        <f>IF(SnapshotTable[[#This Row],[SP Is Booked]], SnapshotTable[[#This Row],[SP Book Price]]/SnapshotTable[[#This Row],[SP Strike Price]], "")</f>
        <v/>
      </c>
      <c r="CE262" s="7" t="str">
        <f>IF(ISNUMBER(SnapshotTable[[#This Row],[SP ROO Term]]),SnapshotTable[[#This Row],[SP ROO Term]]*(365/SnapshotTable[[#This Row],[SP Term]]),"")</f>
        <v/>
      </c>
      <c r="CF262" s="236">
        <f>SnapshotTable[[#This Row],[LP Strike Price]] * SnapshotTable[[#This Row],[LP Qty]] * 100</f>
        <v>0</v>
      </c>
      <c r="CG262" s="31" t="e">
        <f>IF(ISNUMBER(SnapshotTable[[#This Row],[SP Premium]]), (SnapshotTable[[#This Row],[SP Qty]] * SnapshotTable[[#This Row],[SP Strike Price]]* 100) - SnapshotTable[[#This Row],[LP Protection]], 0)</f>
        <v>#VALUE!</v>
      </c>
      <c r="CH262" s="7" t="str">
        <f>IF(ISNUMBER(SnapshotTable[[#This Row],[SP Break Even]]),-1 * (SnapshotTable[[#This Row],[SP Break Even]] - SnapshotTable[[#This Row],[Last Price]]) / SnapshotTable[[#This Row],[Last Price]], "")</f>
        <v/>
      </c>
      <c r="CI262" s="31">
        <f>IF(AND(ISNUMBER((SnapshotTable[[#This Row],[SP Potential Spend]])), SnapshotTable[[#This Row],[SP Strike Price]] &gt; SnapshotTable[[#This Row],[Last Price]], SnapshotTable[[#This Row],[SP Is Filled]]), SnapshotTable[[#This Row],[SP Potential Spend]] -  SnapshotTable[[#This Row],[LP Max Value]], 0)</f>
        <v>0</v>
      </c>
      <c r="CJ262" s="244"/>
      <c r="CK262" s="31" t="str">
        <f>IF(ISNUMBER(SnapshotTable[[#This Row],[SP Potential Spend]]),IF(ISNUMBER(SnapshotTable[[#This Row],[SP POW]]), SnapshotTable[[#This Row],[SP POW]] * SnapshotTable[[#This Row],[SP Potential Spend]], SnapshotTable[[#This Row],[SP Potential Spend]]), "")</f>
        <v/>
      </c>
      <c r="CL262" s="164" t="e">
        <f>IF(NOT(SnapshotTable[[#This Row],[SP Is Filled]]),(SnapshotTable[[#This Row],[SP Qty]] * SnapshotTable[[#This Row],[SP Strike Price]] * 100) - SnapshotTable[[#This Row],[LP Max Value]],"")</f>
        <v>#VALUE!</v>
      </c>
      <c r="CM262" s="31" t="str">
        <f>IF(SnapshotTable[[#This Row],[SP Actual Spend]]&lt;&gt;0, ((SnapshotTable[[#This Row],[SP Strike Price]]-SnapshotTable[[#This Row],[Last Price]]) *(SnapshotTable[[#This Row],[SP Qty]]*100) - SnapshotTable[[#This Row],[SP Premium]]) * - 1, "")</f>
        <v/>
      </c>
      <c r="CN262" s="154"/>
      <c r="CO262" s="369"/>
      <c r="CP262" s="4" t="str">
        <f>IF(SnapshotTable[[#This Row],[SP Is Filled]], btc_max_buyback_amount(SnapshotTable[[#This Row],[SP Fill Date]],SnapshotTable[[#This Row],[SP Exp Date]], SnapshotTable[[#This Row],[SP Book Price]]),"")</f>
        <v/>
      </c>
      <c r="CQ262" s="78"/>
      <c r="CR26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2" s="155" t="str">
        <f>IF(SnapshotTable[[#This Row],[SP Is Filled]], btc_next_cutoff_date(SnapshotTable[[#This Row],[SP Fill Date]],SnapshotTable[[#This Row],[SP Exp Date]]),"")</f>
        <v/>
      </c>
      <c r="CT262" s="235" t="str" cm="1">
        <f t="array" ref="CT262">IF(SnapshotTable[[#This Row],[SP Is Filled]], btc_should_buy_back(SnapshotTable[[#This Row],[SP Fill Date]], SnapshotTable[[#This Row],[SP Exp Date]], SnapshotTable[[#This Row],[SP Book Price]], SnapshotTable[[#This Row],[SP Current Ask]], MockToday, SnapshotTable[[#This Row],[SP Buyback Override]]),"")</f>
        <v/>
      </c>
      <c r="CU262" s="143"/>
      <c r="CV262" s="235"/>
      <c r="CW262" s="378" t="str">
        <f>IF(ISNUMBER( SnapshotTable[[#This Row],[SP Term]]), SnapshotTable[[#This Row],[SP Exp Date]] - MockToday,"")</f>
        <v/>
      </c>
      <c r="CX262" s="31" t="str">
        <f>IF(SnapshotTable[[#This Row],[SP Is Filled]],SnapshotTable[[#This Row],[SP Buyback Price to Use]] * 100 * SnapshotTable[[#This Row],[SP Qty]], "")</f>
        <v/>
      </c>
      <c r="CY262" s="4" t="str">
        <f>IF(ISNUMBER(SnapshotTable[[#This Row],[SP Strike Price]]), SnapshotTable[[#This Row],[SP Strike Price]] * (1 - SP_MaxLoss_StrikePct), "")</f>
        <v/>
      </c>
      <c r="CZ262" s="31" t="str">
        <f>IF(ISNUMBER(SnapshotTable[[#This Row],[SP Strike  Stop Per Share]]),SnapshotTable[[#This Row],[SP Premium]] - ((SnapshotTable[[#This Row],[SP Strike Price]]-SnapshotTable[[#This Row],[SP Strike  Stop Per Share]]) *(SnapshotTable[[#This Row],[SP Qty]] * 100)),"")</f>
        <v/>
      </c>
      <c r="DA262" s="4" t="str">
        <f>IF(AND(ISNUMBER(SnapshotTable[[#This Row],[SP Premium]]),SnapshotTable[[#This Row],[SP Premium]]&gt;0), SnapshotTable[[#This Row],[SP Book Price]] * (1 + SP_MaxLoss_OptionPct), "")</f>
        <v/>
      </c>
      <c r="DB262" s="31" t="str">
        <f>IF(ISNUMBER(SnapshotTable[[#This Row],[SP Option  Stop Contract]]),(SnapshotTable[[#This Row],[SP Option  Stop Contract]] *(SnapshotTable[[#This Row],[SP Qty]] * 100) - SnapshotTable[[#This Row],[SP Premium]]),"")</f>
        <v/>
      </c>
      <c r="DC262" s="4"/>
      <c r="DD262" s="4"/>
      <c r="DE262" s="4" t="str">
        <f>IF(AND(SnapshotTable[[#This Row],[SP Qty]]&gt;0, SnapshotTable[[#This Row],[SP Stop To Use]]&gt;0),SnapshotTable[[#This Row],[SP Premium]] - ( SnapshotTable[[#This Row],[SP Qty]] * SnapshotTable[[#This Row],[SP Stop To Use]] * 100), "")</f>
        <v/>
      </c>
      <c r="DF262" s="31" t="str">
        <f>IF(AND(SnapshotTable[[#This Row],[SP Qty]]&gt;0,SnapshotTable[[#This Row],[SP Current Ask]]&gt;0), SnapshotTable[[#This Row],[SP Qty]] * SnapshotTable[[#This Row],[SP Current Ask]] * -100, "")</f>
        <v/>
      </c>
      <c r="DG262" s="31" t="str">
        <f>IF(ISNUMBER((SnapshotTable[[#This Row],[SP Total Value]])), SnapshotTable[[#This Row],[SP Premium]] + SnapshotTable[[#This Row],[SP Total Value]], "")</f>
        <v/>
      </c>
      <c r="DH262" s="294" t="str">
        <f>IF(ISNUMBER((SnapshotTable[[#This Row],[SP Total Value]])), SnapshotTable[[#This Row],[SP Gain Loss]] / SnapshotTable[[#This Row],[SP Premium]], "")</f>
        <v/>
      </c>
      <c r="DI262" s="406"/>
      <c r="DJ262" s="138"/>
      <c r="DK262" s="148"/>
      <c r="DL262" s="13"/>
      <c r="DM262" s="13"/>
      <c r="DO262" s="31">
        <f>IF(SnapshotTable[[#This Row],[LC Symbol Count]]=1, SnapshotTable[[#This Row],[LC Qty]] * SnapshotTable[[#This Row],[LC Book Price]] * 100, 0)</f>
        <v>0</v>
      </c>
      <c r="DP262" s="163" t="str">
        <f>IF(AND(SnapshotTable[[#This Row],[LC Exp Date]]&gt;0, SnapshotTable[[#This Row],[LC Strike Price]]&gt;0,SnapshotTable[[#This Row],[LC Qty]]&gt;0,SnapshotTable[[#This Row],[LC Book Date]]&gt;0,SnapshotTable[[#This Row],[LC Book Price]]&gt;0,SnapshotTable[[#This Row],[LC Fill Date]]=0),"Y","")</f>
        <v/>
      </c>
      <c r="DQ262" s="386" t="str">
        <f>IF(SnapshotTable[[#This Row],[LC Premium]] &gt; 0,SnapshotTable[[#This Row],[LC Exp Date]]-MAX(SnapshotTable[[#This Row],[LC Book Date]], SnapshotTable[[#This Row],[LC Fill Date]]),"")</f>
        <v/>
      </c>
      <c r="DR262" s="386" t="str">
        <f>IF(ISNUMBER(SnapshotTable[[#This Row],[LC Term]]), SnapshotTable[[#This Row],[LC Exp Date]] - MockToday, "")</f>
        <v/>
      </c>
      <c r="DS262" s="234" t="str">
        <f>IF(SnapshotTable[[#This Row],[LC Premium]]&gt;0,SnapshotTable[[#This Row],[LC Strike Price]] + SnapshotTable[[#This Row],[LC Book Price]],"")</f>
        <v/>
      </c>
      <c r="DU262" s="9" t="str">
        <f>IF(AND(SnapshotTable[[#This Row],[LC Symbol Count]]&gt;0, SnapshotTable[[#This Row],[LC Contract Value]]&gt;0), SnapshotTable[[#This Row],[LC Contract Value]] * SnapshotTable[[#This Row],[LC Qty]] * 100, "")</f>
        <v/>
      </c>
      <c r="DV262" s="9" t="str">
        <f>IF(AND(ISNUMBER(SnapshotTable[[#This Row],[LC Total Value]]), SnapshotTable[[#This Row],[LC Not Filled]]&lt;&gt;"Y"), SnapshotTable[[#This Row],[LC Total Value]]-SnapshotTable[[#This Row],[LC Premium]],"")</f>
        <v/>
      </c>
      <c r="DW262" s="240" t="str">
        <f>IF(ISNUMBER(SnapshotTable[[#This Row],[LC Actual Gain Loss]]), SnapshotTable[[#This Row],[LC Actual Gain Loss]] / SnapshotTable[[#This Row],[LC Premium]],"")</f>
        <v/>
      </c>
      <c r="DX262" s="284" t="str">
        <f>IF(ISNUMBER(SnapshotTable[[#This Row],[LC Book Price]]),SnapshotTable[[#This Row],[LC Book Price]] * 1.5,"")</f>
        <v/>
      </c>
      <c r="DY262" s="265" t="str">
        <f>IF(SnapshotTable[[#This Row],[LC Premium]]&gt;0, SnapshotTable[[#This Row],[LC Next Target]] * SnapshotTable[[#This Row],[LC Qty]] * 100,"")</f>
        <v/>
      </c>
      <c r="DZ262" s="265" t="str">
        <f>IF(ISNUMBER(SnapshotTable[[#This Row],[LC Target Gross]]), SnapshotTable[[#This Row],[LC Target Gross]] - SnapshotTable[[#This Row],[LC Premium]], "")</f>
        <v/>
      </c>
      <c r="EA262" s="305" t="str">
        <f>IF(ISNUMBER(SnapshotTable[[#This Row],[LC Target Gain Loss]]), SnapshotTable[[#This Row],[LC Target Gain Loss]]/SnapshotTable[[#This Row],[LC Premium]], "")</f>
        <v/>
      </c>
      <c r="EB262" s="262"/>
      <c r="EC262" s="283" t="str">
        <f>IF(SnapshotTable[[#This Row],[LC Premium]]&gt;0, SnapshotTable[[#This Row],[LC Book Price]] * (1 - LC_StopLoss_Pct),"")</f>
        <v/>
      </c>
      <c r="ED262" s="284"/>
      <c r="EE262" s="283" t="str">
        <f>IF(ISNUMBER(SnapshotTable[[#This Row],[LC Contract Value]]),IF(ISNUMBER(SnapshotTable[[#This Row],[LC Stop Loss Override]]), SnapshotTable[[#This Row],[LC Stop Loss Override]],SnapshotTable[[#This Row],[LC Stop Loss Calc Target]]),"")</f>
        <v/>
      </c>
      <c r="EF262" s="31" t="str">
        <f>IF(ISNUMBER(SnapshotTable[[#This Row],[LC Stop  To Use]]), (SnapshotTable[[#This Row],[LC Stop  To Use]] * SnapshotTable[[#This Row],[LC Qty]] * 100),"")</f>
        <v/>
      </c>
      <c r="EG262" s="9" t="str">
        <f>IF(ISNUMBER(SnapshotTable[[#This Row],[LC Total Value]]),SnapshotTable[[#This Row],[LC Stop Loss Amount]] - SnapshotTable[[#This Row],[LC Premium]],"")</f>
        <v/>
      </c>
      <c r="EH262" s="9">
        <f>IF(ISNUMBER(SnapshotTable[[#This Row],[LC Premium]]), SnapshotTable[[#This Row],[LC Qty]] * 100 * SnapshotTable[[#This Row],[LC Strike Price]], "")</f>
        <v>0</v>
      </c>
      <c r="EI262" s="240" t="str">
        <f>IF(AND(ISNUMBER(SnapshotTable[[#This Row],[LC Total Value]]),SnapshotTable[[#This Row],[LC Total Value]]&gt;0),SnapshotTable[[#This Row],[LC Stop Gain Loss]]  / SnapshotTable[[#This Row],[LC Premium]],"")</f>
        <v/>
      </c>
      <c r="EJ262" s="35">
        <f>IF(ISNUMBER(SnapshotTable[[#This Row],[Equity Shares]]),TRUNC(SnapshotTable[[#This Row],[Equity Shares]] / 100),0) + SnapshotTable[[#This Row],[LC Qty]]</f>
        <v>0</v>
      </c>
      <c r="EK262" s="147"/>
      <c r="EL262" s="138" t="str">
        <f>IF(SnapshotTable[[#This Row],[SC Exp Date]]&lt;&gt;"",TRUNC(SnapshotTable[[#This Row],[Last Price]]),"")</f>
        <v/>
      </c>
      <c r="EM262" s="148"/>
      <c r="EN262" s="147"/>
      <c r="EO262" s="147"/>
      <c r="EP262" s="138"/>
      <c r="EQ262" s="419" t="b">
        <f>AND(ISNUMBER(SnapshotTable[[#This Row],[SC Exp Date]]), ISNUMBER(SnapshotTable[[#This Row],[SC Strike Price]]), ISNUMBER(SnapshotTable[[#This Row],[SC Qty]]), ISNUMBER(SnapshotTable[[#This Row],[SC Book Date]]), ISNUMBER(SnapshotTable[[#This Row],[SC Book Price]]))</f>
        <v>0</v>
      </c>
      <c r="ER262" s="419" t="b">
        <f>AND(SnapshotTable[[#This Row],[SC Is Booked]], NOT(ISBLANK(SnapshotTable[[#This Row],[SC Fill Date]])))</f>
        <v>0</v>
      </c>
      <c r="ES262" s="370"/>
      <c r="ET262" s="34" t="str">
        <f>IF(AND(ISNUMBER(SnapshotTable[[#This Row],[SC Exp Date]]), ISNUMBER(SnapshotTable[[#This Row],[SC Book Date]])), SnapshotTable[[#This Row],[SC Exp Date]] - MAX(SnapshotTable[[#This Row],[SC Book Date]], SnapshotTable[[#This Row],[SC Fill Date]]) + 1, "")</f>
        <v/>
      </c>
      <c r="EU262" s="34" t="str">
        <f>IF(ISNUMBER(SnapshotTable[[#This Row],[SC Term]]), SnapshotTable[[#This Row],[SC Exp Date]]- MockToday, "")</f>
        <v/>
      </c>
      <c r="EV262" s="31">
        <f>IF(SnapshotTable[[#This Row],[SC Is Booked]], SnapshotTable[[#This Row],[SC Qty]] * SnapshotTable[[#This Row],[SC Book Price]] * 100, 0)</f>
        <v>0</v>
      </c>
      <c r="EW262" s="4" t="str">
        <f>IF(AND(ISNUMBER(SnapshotTable[[#This Row],[Last Price]]), ISNUMBER( SnapshotTable[[#This Row],[SC Book Price]])), SnapshotTable[[#This Row],[Last Price]] - SnapshotTable[[#This Row],[SC Book Price]],"")</f>
        <v/>
      </c>
      <c r="EX262" s="234" t="str">
        <f>IF(SnapshotTable[[#This Row],[SC Is Booked]],IF(SnapshotTable[[#This Row],[SC Intrinsic Value]] &gt; 0, SnapshotTable[[#This Row],[SC Strike Price]], SnapshotTable[[#This Row],[Last Price]]), "")</f>
        <v/>
      </c>
      <c r="EY262" s="4">
        <f>IF(SnapshotTable[[#This Row],[SC Is Booked]], (MinimumPremiumRequired * SnapshotTable[[#This Row],[SC Basis]] * SnapshotTable[[#This Row],[SC Term]]), 0)</f>
        <v>0</v>
      </c>
      <c r="EZ262" s="283"/>
      <c r="FA262" s="218"/>
      <c r="FB262" s="370"/>
      <c r="FC262" s="4">
        <f>IF(SnapshotTable[[#This Row],[SC Is Filled]], btc_max_buyback_amount(SnapshotTable[[#This Row],[SC Fill Date]],SnapshotTable[[#This Row],[SC Exp Date]], SnapshotTable[[#This Row],[SC Book Price]]),0)</f>
        <v>0</v>
      </c>
      <c r="FD262" s="5"/>
      <c r="FE262" s="144" t="str">
        <f>IF(SnapshotTable[[#This Row],[SC Is Filled]], btc_next_cutoff_date(SnapshotTable[[#This Row],[SC Fill Date]],SnapshotTable[[#This Row],[SC Exp Date]]),"")</f>
        <v/>
      </c>
      <c r="FF262" s="4" t="str" cm="1">
        <f t="array" ref="FF262">IF(SnapshotTable[[#This Row],[SC Is Filled]], btc_should_buy_back(SnapshotTable[[#This Row],[SC Fill Date]], SnapshotTable[[#This Row],[SC Exp Date]], SnapshotTable[[#This Row],[SC Book Price]], SnapshotTable[[#This Row],[SC Current Ask]], MockToday, SnapshotTable[[#This Row],[SC Buyback Override]]),"")</f>
        <v/>
      </c>
      <c r="FG262" s="4">
        <f>IF(SnapshotTable[[#This Row],[SC Is Filled]], MAX(0,SnapshotTable[[#This Row],[Last Price]]  - SnapshotTable[[#This Row],[SC Strike Price]]), 0)</f>
        <v>0</v>
      </c>
      <c r="FH262" s="382">
        <f>IF(SnapshotTable[[#This Row],[SC Is Filled]], IF(ISNUMBER(SnapshotTable[[#This Row],[SC Current Ask]]), SnapshotTable[[#This Row],[SC Current Ask]], SnapshotTable[[#This Row],[SC Book Price]]) - SnapshotTable[[#This Row],[SC Intrinsic Value]], 0)</f>
        <v>0</v>
      </c>
      <c r="FI262" s="143"/>
      <c r="FJ262" s="32" t="str">
        <f>IF(SnapshotTable[[#This Row],[SC Is Filled]],100 * SnapshotTable[[#This Row],[SC Qty]] * IF(ISNUMBER(SnapshotTable[[#This Row],[SC Buyback Override]]), SnapshotTable[[#This Row],[SC Buyback Override]], SnapshotTable[[#This Row],[SC Current Ask]]), "")</f>
        <v/>
      </c>
      <c r="FK262" s="250" t="str">
        <f>IF(SnapshotTable[[#This Row],[SC Time Val]]&gt;0, SnapshotTable[[#This Row],[SC Time Val]] / SnapshotTable[[#This Row],[Last Price]],"")</f>
        <v/>
      </c>
      <c r="FL262" s="302" t="str">
        <f>IF(SnapshotTable[[#This Row],[SC Is Booked]], ((SnapshotTable[[#This Row],[Last Price]] -SnapshotTable[[#This Row],[SC Strike Price]]) / SnapshotTable[[#This Row],[Last Price]]) * -1, "")</f>
        <v/>
      </c>
      <c r="FM262" s="157" t="str">
        <f>IF(SnapshotTable[[#This Row],[SC Is Booked]],  (SnapshotTable[[#This Row],[SC Qty]] * 100 * SnapshotTable[[#This Row],[SC Strike Price]]) - SnapshotTable[[#This Row],[SC Current Ask]], "")</f>
        <v/>
      </c>
      <c r="FN26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2" s="31" t="str">
        <f>IF(AND(ISNUMBER(SnapshotTable[[#This Row],[SC Exercise Gross]]), ISNUMBER(SnapshotTable[[#This Row],[Equity Basis Per Share]] )), SnapshotTable[[#This Row],[SC Exercise Gross]] - SnapshotTable[[#This Row],[Equity Basis Total]] +  SnapshotTable[[#This Row],[SC Premium]], "")</f>
        <v/>
      </c>
      <c r="FP262" s="5" t="str">
        <f>IF(ISNUMBER(SnapshotTable[[#This Row],[SC Exercise Gross]]), (SnapshotTable[[#This Row],[SC Exercise Gross]]) / (SnapshotTable[[#This Row],[SC Qty]] * 100), "")</f>
        <v/>
      </c>
      <c r="FQ262" s="27" t="str">
        <f>IF(SnapshotTable[[#This Row],[SC Is Booked]],SnapshotTable[[#This Row],[SC Time Val]] /SnapshotTable[[#This Row],[SC Basis]], "")</f>
        <v/>
      </c>
      <c r="FR262" s="27" t="str" cm="1">
        <f t="array" ref="FR262">IF(AND(ISNUMBER(SnapshotTable[[#This Row],[SC Term]]),ISNUMBER(SnapshotTable[[#This Row],[SC Simple ROO]])), EllmanAnnualize(SnapshotTable[[#This Row],[SC DTE]], SnapshotTable[[#This Row],[SC Simple ROO]] ),"")</f>
        <v/>
      </c>
      <c r="FS262" s="4" t="e">
        <f>IF(SnapshotTable[[#This Row],[SC Strike Price]] &gt; SnapshotTable[[#This Row],[Last Price]], SnapshotTable[[#This Row],[SC Strike Price]] - SnapshotTable[[#This Row],[Last Price]],0)</f>
        <v>#VALUE!</v>
      </c>
      <c r="FT262" s="27" t="e">
        <f>IF(AND(ISNUMBER(SnapshotTable[[#This Row],[SC Upside Potential]]), SnapshotTable[[#This Row],[SC Upside Potential]] &gt; 0),(SnapshotTable[[#This Row],[SC Upside Potential]]/ SnapshotTable[[#This Row],[ACB]]),"")</f>
        <v>#VALUE!</v>
      </c>
      <c r="FU262" s="333" t="str">
        <f>IF(SnapshotTable[[#This Row],[SC Intrinsic Value]] &gt; 0,SnapshotTable[[#This Row],[SC Intrinsic Value]],"")</f>
        <v/>
      </c>
      <c r="FV262" s="27" t="str">
        <f>IF(AND( ISNUMBER( SnapshotTable[[#This Row],[ACB]]),ISNUMBER(SnapshotTable[[#This Row],[SC Downside Protect]])),SnapshotTable[[#This Row],[SC Downside Protect]] / SnapshotTable[[#This Row],[ACB]],"")</f>
        <v/>
      </c>
      <c r="FW262" s="236" t="str">
        <f>IF(AND(ISNUMBER(SnapshotTable[[#This Row],[SC Simple ROO]]),SnapshotTable[[#This Row],[SC Simple ROO]] &gt; 0), SnapshotTable[[#This Row],[SC Premium]] + (SnapshotTable[[#This Row],[SC Qty]] * SnapshotTable[[#This Row],[SC Upside Potential]]), "")</f>
        <v/>
      </c>
      <c r="FX262" s="302" t="str" cm="1">
        <f t="array" ref="FX262">IF(ISNUMBER(SnapshotTable[[#This Row],[SC Max Dollars]]), annualize(SnapshotTable[[#This Row],[SC Term]],(SnapshotTable[[#This Row],[SC Max Dollars]]/SnapshotTable[[#This Row],[SC Basis]])),"")</f>
        <v/>
      </c>
      <c r="FY262" s="236" t="str">
        <f>IF(AND(SnapshotTable[[#This Row],[SC Qty]]&gt;0,SnapshotTable[[#This Row],[SC Current Ask]]&gt;0), SnapshotTable[[#This Row],[SC Qty]] * SnapshotTable[[#This Row],[SC Current Ask]] * -100, "")</f>
        <v/>
      </c>
      <c r="FZ262" s="31" t="str">
        <f>IF(ISNUMBER((SnapshotTable[[#This Row],[SC Current Value]])), SnapshotTable[[#This Row],[SC Premium]] + SnapshotTable[[#This Row],[SC Current Value]], "")</f>
        <v/>
      </c>
      <c r="GA262" s="294" t="str">
        <f>IFERROR( IF(ISNUMBER((SnapshotTable[[#This Row],[SC Current Value]])), SnapshotTable[[#This Row],[SC Gain Loss]] / SnapshotTable[[#This Row],[SC Premium]], ""), "")</f>
        <v/>
      </c>
      <c r="GB262" s="42">
        <f>SnapshotTable[[#This Row],[Equity Shares]] * SaleSharesToConsiderPercentage</f>
        <v>0</v>
      </c>
      <c r="GC262" s="40" t="e">
        <f>SnapshotTable[[#This Row],[Long Term Target]] * SellingPriceToConsiderBasedOnTargetPercentage</f>
        <v>#VALUE!</v>
      </c>
      <c r="GD262" s="40">
        <f>SnapshotTable[[#This Row],[Last Price]] * (1+ SellingPriceToConsiderBasedOnTargetPercentage)</f>
        <v>14.176499999999999</v>
      </c>
      <c r="GE262" s="41"/>
      <c r="GF262" s="40"/>
      <c r="GG262" s="31">
        <f>SnapshotTable[[#This Row],[Booked Sale Shares]] * SnapshotTable[[#This Row],[Booked Sale Price]]</f>
        <v>0</v>
      </c>
      <c r="GH262" s="31" t="str">
        <f>IF(SnapshotTable[[#This Row],[Equity Basis Total]] &gt; 0, SnapshotTable[[#This Row],[Equity Basis Per Share]] * SnapshotTable[[#This Row],[Booked Sale Shares]], "")</f>
        <v/>
      </c>
      <c r="GI262" s="31">
        <f>IF(SnapshotTable[[#This Row],[Sale Proceeds]]&gt;0, SnapshotTable[[#This Row],[Sale Proceeds]] - SnapshotTable[[#This Row],[Sale Basis]], 0)</f>
        <v>0</v>
      </c>
      <c r="GJ262" s="27" t="str">
        <f>IF(SnapshotTable[[#This Row],[Sale G/L]]&gt;0, SnapshotTable[[#This Row],[Sale G/L]] / SnapshotTable[[#This Row],[Sale Basis]], IF(ISNUMBER(SnapshotTable[[#This Row],[SC Exercise P&amp;L (TAX)]]), SnapshotTable[[#This Row],[SC Exercise P&amp;L (TAX)]] / SnapshotTable[[#This Row],[SC Basis]], ""))</f>
        <v/>
      </c>
      <c r="GK262" s="27"/>
      <c r="GL262" s="43" t="str">
        <f>IF(AND(SnapshotTable[[#This Row],[LP Exp Date]]&gt;0,SnapshotTable[[#This Row],[LP Strike Price]]&gt;0), [1]!ToOptionSymbol(SnapshotTable[[#This Row],[Symbol]], SnapshotTable[[#This Row],[LP Strike Price]],SnapshotTable[[#This Row],[LP Exp Date]],1), "")</f>
        <v/>
      </c>
      <c r="GM262" s="30" t="str">
        <f>IF(LEN(SnapshotTable[[#This Row],[LP Symbol]])&gt;0, 1, "")</f>
        <v/>
      </c>
      <c r="GN262" s="43" t="str">
        <f>IF(AND(SnapshotTable[[#This Row],[SP Exp Date]]&gt;0,SnapshotTable[[#This Row],[SP Strike Price]]&gt;0), [1]!ToOptionSymbol(SnapshotTable[[#This Row],[Symbol]], SnapshotTable[[#This Row],[SP Strike Price]],SnapshotTable[[#This Row],[SP Exp Date]],1), "")</f>
        <v/>
      </c>
      <c r="GO262" s="30" t="str">
        <f>IF(LEN(SnapshotTable[[#This Row],[SP Symbol]])&gt;0, 1, "")</f>
        <v/>
      </c>
      <c r="GP262" s="43" t="str">
        <f>IF(AND(SnapshotTable[[#This Row],[LC Exp Date]]&gt;0,SnapshotTable[[#This Row],[LC Strike Price]]&gt;0), [1]!ToOptionSymbol(SnapshotTable[[#This Row],[Symbol]], SnapshotTable[[#This Row],[LC Strike Price]],SnapshotTable[[#This Row],[LC Exp Date]],0), "")</f>
        <v/>
      </c>
      <c r="GQ262" s="30" t="str">
        <f>IF(LEN(SnapshotTable[[#This Row],[LC Symbol]])&gt;0, 1, "")</f>
        <v/>
      </c>
      <c r="GR262" s="43" t="str">
        <f>IF(AND(SnapshotTable[[#This Row],[SC Exp Date]]&gt;0,SnapshotTable[[#This Row],[SC Strike Price]]&gt;0), [1]!ToOptionSymbol(SnapshotTable[[#This Row],[Symbol]], SnapshotTable[[#This Row],[SC Strike Price]],SnapshotTable[[#This Row],[SC Exp Date]],0), "")</f>
        <v/>
      </c>
      <c r="GS262" s="30" t="str">
        <f>IF(LEN(SnapshotTable[[#This Row],[SC Symbol]])&gt;0, 1, "")</f>
        <v/>
      </c>
      <c r="GT262" s="29" t="str">
        <f>IF(COUNT(SnapshotTable[[#This Row],[LP Symbol Count]],SnapshotTable[[#This Row],[SP Symbol Count]],SnapshotTable[[#This Row],[LC Symbol Count]],SnapshotTable[[#This Row],[SC Symbol Count]])&gt;0, "Y", "")</f>
        <v/>
      </c>
      <c r="GU26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2" s="231" t="e">
        <f>MAX(SnapshotTable[[#This Row],[Equity Basis Total]],SnapshotTable[[#This Row],[Equity Value]]) + (SnapshotTable[[#This Row],[SP Potential Spend]]- SnapshotTable[[#This Row],[SP Premium]] + SnapshotTable[[#This Row],[LP Premium]])+ (SnapshotTable[[#This Row],[LC Premium]] - SnapshotTable[[#This Row],[SC Premium]])</f>
        <v>#VALUE!</v>
      </c>
      <c r="GW262" s="139" t="e">
        <f>IF(AND(SnapshotTable[[#This Row],[Exposure]] &lt;&gt; 0),SnapshotTable[[#This Row],[Exposure]] / SnapshotTable[[#Totals],[Exposure]], "")</f>
        <v>#VALUE!</v>
      </c>
      <c r="GX262" s="13"/>
      <c r="HK262" s="1"/>
      <c r="HL262" s="1"/>
      <c r="HM262" s="1"/>
      <c r="HN262" s="1"/>
      <c r="HO262" s="1"/>
      <c r="HP262" s="1"/>
    </row>
    <row r="263" spans="2:224" ht="12.75" hidden="1" customHeight="1" x14ac:dyDescent="0.25">
      <c r="B263" s="12" t="s">
        <v>1259</v>
      </c>
      <c r="C263" s="422">
        <v>52.59</v>
      </c>
      <c r="D263" s="208" t="s">
        <v>258</v>
      </c>
      <c r="E263" s="39">
        <f>SnapshotTable[[#This Row],[Last Price]]*(1 -CrashDiscount)</f>
        <v>44.701500000000003</v>
      </c>
      <c r="F263" s="26" t="s">
        <v>5</v>
      </c>
      <c r="G263" s="26" t="s">
        <v>4</v>
      </c>
      <c r="H263" s="149"/>
      <c r="I263" s="194"/>
      <c r="J263" s="195"/>
      <c r="K263" s="196"/>
      <c r="L263" s="326"/>
      <c r="M263" s="140"/>
      <c r="N263" s="140"/>
      <c r="O263" s="140"/>
      <c r="P263" s="22"/>
      <c r="Q263" s="25"/>
      <c r="R263" s="4" t="str">
        <f>IF(SnapshotTable[[#This Row],[Equity Basis Total]] &gt; 0, SnapshotTable[[#This Row],[Equity Basis Total]] / SnapshotTable[[#This Row],[Equity Shares]], "")</f>
        <v/>
      </c>
      <c r="S263" s="269">
        <f>SnapshotTable[[#This Row],[Last Price]] * SnapshotTable[[#This Row],[Equity Shares]]</f>
        <v>0</v>
      </c>
      <c r="T263" s="269">
        <f>SnapshotTable[[#This Row],[Equity Value]] - SnapshotTable[[#This Row],[Equity Basis Total]]</f>
        <v>0</v>
      </c>
      <c r="U263" s="270" t="str">
        <f>IF(SnapshotTable[[#This Row],[Equity Basis Total]] &gt; 0, SnapshotTable[[#This Row],[Equity G/L]] / SnapshotTable[[#This Row],[Equity Basis Total]], "")</f>
        <v/>
      </c>
      <c r="V263" s="268"/>
      <c r="W263" s="268"/>
      <c r="X263" s="4" t="str">
        <f>IF(AND(ISNUMBER(SnapshotTable[[#This Row],[Equity Basis Per Share]]),ISNUMBER(SnapshotTable[[#This Row],[Equity Target]])),SnapshotTable[[#This Row],[Equity Target]]-SnapshotTable[[#This Row],[Equity Basis Per Share]],"")</f>
        <v/>
      </c>
      <c r="Y263" s="4" t="str">
        <f>IF(AND(ISNUMBER(SnapshotTable[[#This Row],[Equity Basis Per Share]]),ISNUMBER(SnapshotTable[[#This Row],[Equity Stop Loss]])),SnapshotTable[[#This Row],[Equity Stop Loss]]-SnapshotTable[[#This Row],[Equity Basis Per Share]],"")</f>
        <v/>
      </c>
      <c r="Z263" s="275" t="str">
        <f>IFERROR( TEXT(SnapshotTable[[#This Row],[Equity Max Gain Per Share]] /ABS( SnapshotTable[[#This Row],[Equity Max Loss Per Share]]),"0.0 " ) &amp; " : 1", "")</f>
        <v/>
      </c>
      <c r="AA263" s="31" t="str">
        <f>IF(ISNUMBER(SnapshotTable[[#This Row],[Equity Max Gain Per Share]]),SnapshotTable[[#This Row],[Equity Max Gain Per Share]] * SnapshotTable[[#This Row],[Equity Shares]],"")</f>
        <v/>
      </c>
      <c r="AB263" s="31" t="str">
        <f>IF(ISNUMBER(SnapshotTable[[#This Row],[Equity Max Loss Per Share]]),SnapshotTable[[#This Row],[Equity Max Loss Per Share]] * SnapshotTable[[#This Row],[Equity Shares]],"")</f>
        <v/>
      </c>
      <c r="AC263" s="150"/>
      <c r="AD263" s="151"/>
      <c r="AE263" s="31">
        <f>(SnapshotTable[[#This Row],[Annual Dividend Per Share]] / 4) * SnapshotTable[[#This Row],[Equity Shares]]</f>
        <v>0</v>
      </c>
      <c r="AF263" s="31">
        <f>SnapshotTable[[#This Row],[Quarterly Div $]] * 4</f>
        <v>0</v>
      </c>
      <c r="AG263" s="7">
        <f>IF(SnapshotTable[[#This Row],[Annual Dividend Per Share]]&gt;0, SnapshotTable[[#This Row],[Annual Dividend Per Share]]  / SnapshotTable[[#This Row],[Last Price]], 0)</f>
        <v>0</v>
      </c>
      <c r="AH263" s="151"/>
      <c r="AI263" s="5"/>
      <c r="AJ263" s="138"/>
      <c r="AK263" s="152" t="str">
        <f>IF(ISNUMBER( SnapshotTable[[#This Row],[EBF Target]]),(SnapshotTable[[#This Row],[EBF Target]] - SnapshotTable[[#This Row],[Last Price]]) / SnapshotTable[[#This Row],[Last Price]], "")</f>
        <v/>
      </c>
      <c r="AL263" s="152" t="str">
        <f>IF(AND(SnapshotTable[[#This Row],[Equity Basis Total]] &gt; 0,ISNUMBER( SnapshotTable[[#This Row],[Long Term Target]])), SnapshotTable[[#This Row],[From Basis $]] / SnapshotTable[[#This Row],[Equity Basis Total]], "")</f>
        <v/>
      </c>
      <c r="AM263" s="9">
        <f>IF( AND(SnapshotTable[[#This Row],[Equity Shares]] &gt;0,ISNUMBER( SnapshotTable[[#This Row],[Long Term Target]])),(SnapshotTable[[#This Row],[Equity Shares]] * SnapshotTable[[#This Row],[Long Term Target]]) - SnapshotTable[[#This Row],[Equity Basis Total]],0)</f>
        <v>0</v>
      </c>
      <c r="AN263" s="9">
        <f>IF( AND(SnapshotTable[[#This Row],[Equity Shares]] &gt;0,ISNUMBER( SnapshotTable[[#This Row],[Long Term Target]])),(SnapshotTable[[#This Row],[Equity Shares]]*SnapshotTable[[#This Row],[Long Term Target]]) - SnapshotTable[[#This Row],[Equity Value]],0)</f>
        <v>0</v>
      </c>
      <c r="AO263" s="152" t="str">
        <f>IF(AND(ISNUMBER( SnapshotTable[[#This Row],[Long Term Target]]), ISNUMBER(SnapshotTable[[#This Row],[Last Price]])),(SnapshotTable[[#This Row],[Long Term Target]] - SnapshotTable[[#This Row],[Last Price]]) / SnapshotTable[[#This Row],[Last Price]], "")</f>
        <v/>
      </c>
      <c r="AP263" s="5"/>
      <c r="AQ263" s="38"/>
      <c r="AR263" s="5"/>
      <c r="AS263" s="38"/>
      <c r="AT263" s="146"/>
      <c r="AU263" s="187" t="str">
        <f>IF(OR(SnapshotTable[[#This Row],[LP No Fill]]="Y",SnapshotTable[[#This Row],[SP Is Filled]],SnapshotTable[[#This Row],[LC Not Filled]]="Y",SnapshotTable[[#This Row],[SC Is Filled]]),"Y","")</f>
        <v/>
      </c>
      <c r="AV263" s="219"/>
      <c r="AW263" s="225"/>
      <c r="AX263" s="220"/>
      <c r="AY263" s="219" t="str">
        <f>IF(SnapshotTable[[#This Row],[Implied Move]]&gt;0, SnapshotTable[[#This Row],[Last Price]]-SnapshotTable[[#This Row],[Implied Move]],"")</f>
        <v/>
      </c>
      <c r="AZ263" s="219" t="str">
        <f>IF(SnapshotTable[[#This Row],[Implied Move]]&gt;0, SnapshotTable[[#This Row],[Last Price]] + SnapshotTable[[#This Row],[Implied Move]],"")</f>
        <v/>
      </c>
      <c r="BA263" s="331">
        <v>117.9</v>
      </c>
      <c r="BB263" s="347"/>
      <c r="BC263"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46283</v>
      </c>
      <c r="BD263" s="351"/>
      <c r="BE263" s="5"/>
      <c r="BF263" s="14"/>
      <c r="BG263" s="13"/>
      <c r="BH263" s="13"/>
      <c r="BI263" s="5"/>
      <c r="BJ263" s="136">
        <f>IF(SnapshotTable[[#This Row],[LP Qty]] &gt; 0, SnapshotTable[[#This Row],[LP Qty]] * SnapshotTable[[#This Row],[LP Book Price]] * 100,0)</f>
        <v>0</v>
      </c>
      <c r="BK263" s="136">
        <f>IF(SnapshotTable[[#This Row],[LP Premium]] &gt; 0, SnapshotTable[[#This Row],[LP Qty]] * SnapshotTable[[#This Row],[LP Strike Price]] * 100,0)</f>
        <v>0</v>
      </c>
      <c r="BL263" s="154"/>
      <c r="BM263" s="385" t="str">
        <f>IF(SnapshotTable[[#This Row],[LP Premium]] &gt; 0,SnapshotTable[[#This Row],[LP Exp Date]]-MAX(SnapshotTable[[#This Row],[LP Book Date]], SnapshotTable[[#This Row],[LP Fill Date]]),"")</f>
        <v/>
      </c>
      <c r="BN263" s="385" t="str">
        <f>IF(ISNUMBER( SnapshotTable[[#This Row],[LP Term]]), SnapshotTable[[#This Row],[LP Exp Date]] - MockToday,"")</f>
        <v/>
      </c>
      <c r="BO263" s="163" t="str">
        <f>IF(AND(SnapshotTable[[#This Row],[LP Exp Date]]&gt;0, SnapshotTable[[#This Row],[LP Strike Price]]&gt;0,SnapshotTable[[#This Row],[LP Qty]]&gt;0,SnapshotTable[[#This Row],[LP Book Date]]&gt;0,SnapshotTable[[#This Row],[LP Book Price]]&gt;0,SnapshotTable[[#This Row],[LP Fill Date]]=0),"Y","")</f>
        <v/>
      </c>
      <c r="BP263" s="31" t="str">
        <f>IF(AND(SnapshotTable[[#This Row],[LP No Fill]]&lt;&gt;"Y",SnapshotTable[[#This Row],[LP Contract Value]]&gt;0, SnapshotTable[[#This Row],[LP Qty]]&gt;0), SnapshotTable[[#This Row],[LP Contract Value]]*SnapshotTable[[#This Row],[LP Qty]]*100,"")</f>
        <v/>
      </c>
      <c r="BQ263" s="13"/>
      <c r="BR263" s="5" t="str">
        <f>IF(SnapshotTable[[#This Row],[SP Exp Date]]&lt;&gt;"",TRUNC(SnapshotTable[[#This Row],[Last Price]]),"")</f>
        <v/>
      </c>
      <c r="BS263" s="36"/>
      <c r="BT263" s="147"/>
      <c r="BU263" s="13"/>
      <c r="BV263" s="5"/>
      <c r="BW263" s="419" t="b">
        <f>AND(ISNUMBER(SnapshotTable[[#This Row],[SP Exp Date]]), ISNUMBER(SnapshotTable[[#This Row],[SP Strike Price]]), ISNUMBER(SnapshotTable[[#This Row],[SP Qty]]), ISNUMBER(SnapshotTable[[#This Row],[SP Book Date]]), ISNUMBER(SnapshotTable[[#This Row],[SP Book Price]]))</f>
        <v>0</v>
      </c>
      <c r="BX263" s="419" t="b">
        <f>AND(SnapshotTable[[#This Row],[SP Is Booked]], NOT(ISBLANK(SnapshotTable[[#This Row],[SP Fill Date]])))</f>
        <v>0</v>
      </c>
      <c r="BY263" s="33">
        <f>IF(SnapshotTable[[#This Row],[SP Is Booked]], SnapshotTable[[#This Row],[SP Qty]] * SnapshotTable[[#This Row],[SP Book Price]] * 100, 0)</f>
        <v>0</v>
      </c>
      <c r="BZ263" s="369"/>
      <c r="CA263" s="368">
        <f>SnapshotTable[[#This Row],[LP Qty]]</f>
        <v>0</v>
      </c>
      <c r="CB263" s="4" t="str">
        <f>IF(SnapshotTable[[#This Row],[SP Is Booked]], SnapshotTable[[#This Row],[SP Strike Price]] - SnapshotTable[[#This Row],[SP Book Price]], "")</f>
        <v/>
      </c>
      <c r="CC263" s="19" t="str">
        <f>IF(SnapshotTable[[#This Row],[SP Is Booked]],SnapshotTable[[#This Row],[SP Exp Date]]-MAX(SnapshotTable[[#This Row],[SP Book Date]], SnapshotTable[[#This Row],[SP Fill Date]]),"")</f>
        <v/>
      </c>
      <c r="CD263" s="7" t="str">
        <f>IF(SnapshotTable[[#This Row],[SP Is Booked]], SnapshotTable[[#This Row],[SP Book Price]]/SnapshotTable[[#This Row],[SP Strike Price]], "")</f>
        <v/>
      </c>
      <c r="CE263" s="7" t="str">
        <f>IF(ISNUMBER(SnapshotTable[[#This Row],[SP ROO Term]]),SnapshotTable[[#This Row],[SP ROO Term]]*(365/SnapshotTable[[#This Row],[SP Term]]),"")</f>
        <v/>
      </c>
      <c r="CF263" s="236">
        <f>SnapshotTable[[#This Row],[LP Strike Price]] * SnapshotTable[[#This Row],[LP Qty]] * 100</f>
        <v>0</v>
      </c>
      <c r="CG263" s="31" t="e">
        <f>IF(ISNUMBER(SnapshotTable[[#This Row],[SP Premium]]), (SnapshotTable[[#This Row],[SP Qty]] * SnapshotTable[[#This Row],[SP Strike Price]]* 100) - SnapshotTable[[#This Row],[LP Protection]], 0)</f>
        <v>#VALUE!</v>
      </c>
      <c r="CH263" s="7" t="str">
        <f>IF(ISNUMBER(SnapshotTable[[#This Row],[SP Break Even]]),-1 * (SnapshotTable[[#This Row],[SP Break Even]] - SnapshotTable[[#This Row],[Last Price]]) / SnapshotTable[[#This Row],[Last Price]], "")</f>
        <v/>
      </c>
      <c r="CI263" s="31">
        <f>IF(AND(ISNUMBER((SnapshotTable[[#This Row],[SP Potential Spend]])), SnapshotTable[[#This Row],[SP Strike Price]] &gt; SnapshotTable[[#This Row],[Last Price]], SnapshotTable[[#This Row],[SP Is Filled]]), SnapshotTable[[#This Row],[SP Potential Spend]] -  SnapshotTable[[#This Row],[LP Max Value]], 0)</f>
        <v>0</v>
      </c>
      <c r="CJ263" s="244"/>
      <c r="CK263" s="31" t="str">
        <f>IF(ISNUMBER(SnapshotTable[[#This Row],[SP Potential Spend]]),IF(ISNUMBER(SnapshotTable[[#This Row],[SP POW]]), SnapshotTable[[#This Row],[SP POW]] * SnapshotTable[[#This Row],[SP Potential Spend]], SnapshotTable[[#This Row],[SP Potential Spend]]), "")</f>
        <v/>
      </c>
      <c r="CL263" s="164" t="e">
        <f>IF(NOT(SnapshotTable[[#This Row],[SP Is Filled]]),(SnapshotTable[[#This Row],[SP Qty]] * SnapshotTable[[#This Row],[SP Strike Price]] * 100) - SnapshotTable[[#This Row],[LP Max Value]],"")</f>
        <v>#VALUE!</v>
      </c>
      <c r="CM263" s="31" t="str">
        <f>IF(SnapshotTable[[#This Row],[SP Actual Spend]]&lt;&gt;0, ((SnapshotTable[[#This Row],[SP Strike Price]]-SnapshotTable[[#This Row],[Last Price]]) *(SnapshotTable[[#This Row],[SP Qty]]*100) - SnapshotTable[[#This Row],[SP Premium]]) * - 1, "")</f>
        <v/>
      </c>
      <c r="CN263" s="218"/>
      <c r="CO263" s="369"/>
      <c r="CP263" s="4" t="str">
        <f>IF(SnapshotTable[[#This Row],[SP Is Filled]], btc_max_buyback_amount(SnapshotTable[[#This Row],[SP Fill Date]],SnapshotTable[[#This Row],[SP Exp Date]], SnapshotTable[[#This Row],[SP Book Price]]),"")</f>
        <v/>
      </c>
      <c r="CQ263" s="78"/>
      <c r="CR26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3" s="155" t="str">
        <f>IF(SnapshotTable[[#This Row],[SP Is Filled]], btc_next_cutoff_date(SnapshotTable[[#This Row],[SP Fill Date]],SnapshotTable[[#This Row],[SP Exp Date]]),"")</f>
        <v/>
      </c>
      <c r="CT263" s="235" t="str" cm="1">
        <f t="array" ref="CT263">IF(SnapshotTable[[#This Row],[SP Is Filled]], btc_should_buy_back(SnapshotTable[[#This Row],[SP Fill Date]], SnapshotTable[[#This Row],[SP Exp Date]], SnapshotTable[[#This Row],[SP Book Price]], SnapshotTable[[#This Row],[SP Current Ask]], MockToday, SnapshotTable[[#This Row],[SP Buyback Override]]),"")</f>
        <v/>
      </c>
      <c r="CU263" s="156"/>
      <c r="CV263" s="235"/>
      <c r="CW263" s="378" t="str">
        <f>IF(ISNUMBER( SnapshotTable[[#This Row],[SP Term]]), SnapshotTable[[#This Row],[SP Exp Date]] - MockToday,"")</f>
        <v/>
      </c>
      <c r="CX263" s="31" t="str">
        <f>IF(SnapshotTable[[#This Row],[SP Is Filled]],SnapshotTable[[#This Row],[SP Buyback Price to Use]] * 100 * SnapshotTable[[#This Row],[SP Qty]], "")</f>
        <v/>
      </c>
      <c r="CY263" s="4" t="str">
        <f>IF(ISNUMBER(SnapshotTable[[#This Row],[SP Strike Price]]), SnapshotTable[[#This Row],[SP Strike Price]] * (1 - SP_MaxLoss_StrikePct), "")</f>
        <v/>
      </c>
      <c r="CZ263" s="31" t="str">
        <f>IF(ISNUMBER(SnapshotTable[[#This Row],[SP Strike  Stop Per Share]]),SnapshotTable[[#This Row],[SP Premium]] - ((SnapshotTable[[#This Row],[SP Strike Price]]-SnapshotTable[[#This Row],[SP Strike  Stop Per Share]]) *(SnapshotTable[[#This Row],[SP Qty]] * 100)),"")</f>
        <v/>
      </c>
      <c r="DA263" s="4" t="str">
        <f>IF(AND(ISNUMBER(SnapshotTable[[#This Row],[SP Premium]]),SnapshotTable[[#This Row],[SP Premium]]&gt;0), SnapshotTable[[#This Row],[SP Book Price]] * (1 + SP_MaxLoss_OptionPct), "")</f>
        <v/>
      </c>
      <c r="DB263" s="31" t="str">
        <f>IF(ISNUMBER(SnapshotTable[[#This Row],[SP Option  Stop Contract]]),(SnapshotTable[[#This Row],[SP Option  Stop Contract]] *(SnapshotTable[[#This Row],[SP Qty]] * 100) - SnapshotTable[[#This Row],[SP Premium]]),"")</f>
        <v/>
      </c>
      <c r="DC263" s="4"/>
      <c r="DD263" s="4"/>
      <c r="DE263" s="4" t="str">
        <f>IF(AND(SnapshotTable[[#This Row],[SP Qty]]&gt;0, SnapshotTable[[#This Row],[SP Stop To Use]]&gt;0),SnapshotTable[[#This Row],[SP Premium]] - ( SnapshotTable[[#This Row],[SP Qty]] * SnapshotTable[[#This Row],[SP Stop To Use]] * 100), "")</f>
        <v/>
      </c>
      <c r="DF263" s="31" t="str">
        <f>IF(AND(SnapshotTable[[#This Row],[SP Qty]]&gt;0,SnapshotTable[[#This Row],[SP Current Ask]]&gt;0), SnapshotTable[[#This Row],[SP Qty]] * SnapshotTable[[#This Row],[SP Current Ask]] * -100, "")</f>
        <v/>
      </c>
      <c r="DG263" s="31" t="str">
        <f>IF(ISNUMBER((SnapshotTable[[#This Row],[SP Total Value]])), SnapshotTable[[#This Row],[SP Premium]] + SnapshotTable[[#This Row],[SP Total Value]], "")</f>
        <v/>
      </c>
      <c r="DH263" s="294" t="str">
        <f>IF(ISNUMBER((SnapshotTable[[#This Row],[SP Total Value]])), SnapshotTable[[#This Row],[SP Gain Loss]] / SnapshotTable[[#This Row],[SP Premium]], "")</f>
        <v/>
      </c>
      <c r="DI263" s="406">
        <v>46283</v>
      </c>
      <c r="DJ263" s="138">
        <v>105</v>
      </c>
      <c r="DK263" s="148">
        <v>10</v>
      </c>
      <c r="DL263" s="13">
        <v>46076</v>
      </c>
      <c r="DM263" s="13">
        <v>46076</v>
      </c>
      <c r="DN263" s="5">
        <v>12.9</v>
      </c>
      <c r="DO263" s="31">
        <f>IF(SnapshotTable[[#This Row],[LC Symbol Count]]=1, SnapshotTable[[#This Row],[LC Qty]] * SnapshotTable[[#This Row],[LC Book Price]] * 100, 0)</f>
        <v>12900</v>
      </c>
      <c r="DP263" s="163" t="str">
        <f>IF(AND(SnapshotTable[[#This Row],[LC Exp Date]]&gt;0, SnapshotTable[[#This Row],[LC Strike Price]]&gt;0,SnapshotTable[[#This Row],[LC Qty]]&gt;0,SnapshotTable[[#This Row],[LC Book Date]]&gt;0,SnapshotTable[[#This Row],[LC Book Price]]&gt;0,SnapshotTable[[#This Row],[LC Fill Date]]=0),"Y","")</f>
        <v/>
      </c>
      <c r="DQ263" s="386">
        <f>IF(SnapshotTable[[#This Row],[LC Premium]] &gt; 0,SnapshotTable[[#This Row],[LC Exp Date]]-MAX(SnapshotTable[[#This Row],[LC Book Date]], SnapshotTable[[#This Row],[LC Fill Date]]),"")</f>
        <v>207</v>
      </c>
      <c r="DR263" s="386">
        <f ca="1">IF(ISNUMBER(SnapshotTable[[#This Row],[LC Term]]), SnapshotTable[[#This Row],[LC Exp Date]] - MockToday, "")</f>
        <v>48</v>
      </c>
      <c r="DS263" s="234">
        <f>IF(SnapshotTable[[#This Row],[LC Premium]]&gt;0,SnapshotTable[[#This Row],[LC Strike Price]] + SnapshotTable[[#This Row],[LC Book Price]],"")</f>
        <v>117.9</v>
      </c>
      <c r="DU263" s="9" t="str">
        <f>IF(AND(SnapshotTable[[#This Row],[LC Symbol Count]]&gt;0, SnapshotTable[[#This Row],[LC Contract Value]]&gt;0), SnapshotTable[[#This Row],[LC Contract Value]] * SnapshotTable[[#This Row],[LC Qty]] * 100, "")</f>
        <v/>
      </c>
      <c r="DV263" s="9" t="str">
        <f>IF(AND(ISNUMBER(SnapshotTable[[#This Row],[LC Total Value]]), SnapshotTable[[#This Row],[LC Not Filled]]&lt;&gt;"Y"), SnapshotTable[[#This Row],[LC Total Value]]-SnapshotTable[[#This Row],[LC Premium]],"")</f>
        <v/>
      </c>
      <c r="DW263" s="240" t="str">
        <f>IF(ISNUMBER(SnapshotTable[[#This Row],[LC Actual Gain Loss]]), SnapshotTable[[#This Row],[LC Actual Gain Loss]] / SnapshotTable[[#This Row],[LC Premium]],"")</f>
        <v/>
      </c>
      <c r="DX263" s="284">
        <f>IF(ISNUMBER(SnapshotTable[[#This Row],[LC Book Price]]),SnapshotTable[[#This Row],[LC Book Price]] * 1.5,"")</f>
        <v>19.350000000000001</v>
      </c>
      <c r="DY263" s="265">
        <f>IF(SnapshotTable[[#This Row],[LC Premium]]&gt;0, SnapshotTable[[#This Row],[LC Next Target]] * SnapshotTable[[#This Row],[LC Qty]] * 100,"")</f>
        <v>19350</v>
      </c>
      <c r="DZ263" s="265">
        <f>IF(ISNUMBER(SnapshotTable[[#This Row],[LC Target Gross]]), SnapshotTable[[#This Row],[LC Target Gross]] - SnapshotTable[[#This Row],[LC Premium]], "")</f>
        <v>6450</v>
      </c>
      <c r="EA263" s="305">
        <f>IF(ISNUMBER(SnapshotTable[[#This Row],[LC Target Gain Loss]]), SnapshotTable[[#This Row],[LC Target Gain Loss]]/SnapshotTable[[#This Row],[LC Premium]], "")</f>
        <v>0.5</v>
      </c>
      <c r="EB263" s="262"/>
      <c r="EC263" s="283">
        <f>IF(SnapshotTable[[#This Row],[LC Premium]]&gt;0, SnapshotTable[[#This Row],[LC Book Price]] * (1 - LC_StopLoss_Pct),"")</f>
        <v>9.6750000000000007</v>
      </c>
      <c r="ED263" s="284"/>
      <c r="EE263" s="283" t="str">
        <f>IF(ISNUMBER(SnapshotTable[[#This Row],[LC Contract Value]]),IF(ISNUMBER(SnapshotTable[[#This Row],[LC Stop Loss Override]]), SnapshotTable[[#This Row],[LC Stop Loss Override]],SnapshotTable[[#This Row],[LC Stop Loss Calc Target]]),"")</f>
        <v/>
      </c>
      <c r="EF263" s="31" t="str">
        <f>IF(ISNUMBER(SnapshotTable[[#This Row],[LC Stop  To Use]]), (SnapshotTable[[#This Row],[LC Stop  To Use]] * SnapshotTable[[#This Row],[LC Qty]] * 100),"")</f>
        <v/>
      </c>
      <c r="EG263" s="9" t="str">
        <f>IF(ISNUMBER(SnapshotTable[[#This Row],[LC Total Value]]),SnapshotTable[[#This Row],[LC Stop Loss Amount]] - SnapshotTable[[#This Row],[LC Premium]],"")</f>
        <v/>
      </c>
      <c r="EH263" s="9">
        <f>IF(ISNUMBER(SnapshotTable[[#This Row],[LC Premium]]), SnapshotTable[[#This Row],[LC Qty]] * 100 * SnapshotTable[[#This Row],[LC Strike Price]], "")</f>
        <v>105000</v>
      </c>
      <c r="EI263" s="240" t="str">
        <f>IF(AND(ISNUMBER(SnapshotTable[[#This Row],[LC Total Value]]),SnapshotTable[[#This Row],[LC Total Value]]&gt;0),SnapshotTable[[#This Row],[LC Stop Gain Loss]]  / SnapshotTable[[#This Row],[LC Premium]],"")</f>
        <v/>
      </c>
      <c r="EJ263" s="35">
        <f>IF(ISNUMBER(SnapshotTable[[#This Row],[Equity Shares]]),TRUNC(SnapshotTable[[#This Row],[Equity Shares]] / 100),0) + SnapshotTable[[#This Row],[LC Qty]]</f>
        <v>10</v>
      </c>
      <c r="EK263" s="147"/>
      <c r="EL263" s="138" t="str">
        <f>IF(SnapshotTable[[#This Row],[SC Exp Date]]&lt;&gt;"",TRUNC(SnapshotTable[[#This Row],[Last Price]]),"")</f>
        <v/>
      </c>
      <c r="EM263" s="148"/>
      <c r="EN263" s="147"/>
      <c r="EO263" s="147"/>
      <c r="EP263" s="138"/>
      <c r="EQ263" s="419" t="b">
        <f>AND(ISNUMBER(SnapshotTable[[#This Row],[SC Exp Date]]), ISNUMBER(SnapshotTable[[#This Row],[SC Strike Price]]), ISNUMBER(SnapshotTable[[#This Row],[SC Qty]]), ISNUMBER(SnapshotTable[[#This Row],[SC Book Date]]), ISNUMBER(SnapshotTable[[#This Row],[SC Book Price]]))</f>
        <v>0</v>
      </c>
      <c r="ER263" s="419" t="b">
        <f>AND(SnapshotTable[[#This Row],[SC Is Booked]], NOT(ISBLANK(SnapshotTable[[#This Row],[SC Fill Date]])))</f>
        <v>0</v>
      </c>
      <c r="ES263" s="370"/>
      <c r="ET263" s="34" t="str">
        <f>IF(AND(ISNUMBER(SnapshotTable[[#This Row],[SC Exp Date]]), ISNUMBER(SnapshotTable[[#This Row],[SC Book Date]])), SnapshotTable[[#This Row],[SC Exp Date]] - MAX(SnapshotTable[[#This Row],[SC Book Date]], SnapshotTable[[#This Row],[SC Fill Date]]) + 1, "")</f>
        <v/>
      </c>
      <c r="EU263" s="34" t="str">
        <f>IF(ISNUMBER(SnapshotTable[[#This Row],[SC Term]]), SnapshotTable[[#This Row],[SC Exp Date]]- MockToday, "")</f>
        <v/>
      </c>
      <c r="EV263" s="31">
        <f>IF(SnapshotTable[[#This Row],[SC Is Booked]], SnapshotTable[[#This Row],[SC Qty]] * SnapshotTable[[#This Row],[SC Book Price]] * 100, 0)</f>
        <v>0</v>
      </c>
      <c r="EW263" s="4" t="str">
        <f>IF(AND(ISNUMBER(SnapshotTable[[#This Row],[Last Price]]), ISNUMBER( SnapshotTable[[#This Row],[SC Book Price]])), SnapshotTable[[#This Row],[Last Price]] - SnapshotTable[[#This Row],[SC Book Price]],"")</f>
        <v/>
      </c>
      <c r="EX263" s="234" t="str">
        <f>IF(SnapshotTable[[#This Row],[SC Is Booked]],IF(SnapshotTable[[#This Row],[SC Intrinsic Value]] &gt; 0, SnapshotTable[[#This Row],[SC Strike Price]], SnapshotTable[[#This Row],[Last Price]]), "")</f>
        <v/>
      </c>
      <c r="EY263" s="4">
        <f>IF(SnapshotTable[[#This Row],[SC Is Booked]], (MinimumPremiumRequired * SnapshotTable[[#This Row],[SC Basis]] * SnapshotTable[[#This Row],[SC Term]]), 0)</f>
        <v>0</v>
      </c>
      <c r="EZ263" s="283"/>
      <c r="FA263" s="218"/>
      <c r="FB263" s="370"/>
      <c r="FC263" s="4">
        <f>IF(SnapshotTable[[#This Row],[SC Is Filled]], btc_max_buyback_amount(SnapshotTable[[#This Row],[SC Fill Date]],SnapshotTable[[#This Row],[SC Exp Date]], SnapshotTable[[#This Row],[SC Book Price]]),0)</f>
        <v>0</v>
      </c>
      <c r="FD263" s="5"/>
      <c r="FE263" s="144" t="str">
        <f>IF(SnapshotTable[[#This Row],[SC Is Filled]], btc_next_cutoff_date(SnapshotTable[[#This Row],[SC Fill Date]],SnapshotTable[[#This Row],[SC Exp Date]]),"")</f>
        <v/>
      </c>
      <c r="FF263" s="4" t="str" cm="1">
        <f t="array" ref="FF263">IF(SnapshotTable[[#This Row],[SC Is Filled]], btc_should_buy_back(SnapshotTable[[#This Row],[SC Fill Date]], SnapshotTable[[#This Row],[SC Exp Date]], SnapshotTable[[#This Row],[SC Book Price]], SnapshotTable[[#This Row],[SC Current Ask]], MockToday, SnapshotTable[[#This Row],[SC Buyback Override]]),"")</f>
        <v/>
      </c>
      <c r="FG263" s="4">
        <f>IF(SnapshotTable[[#This Row],[SC Is Filled]], MAX(0,SnapshotTable[[#This Row],[Last Price]]  - SnapshotTable[[#This Row],[SC Strike Price]]), 0)</f>
        <v>0</v>
      </c>
      <c r="FH263" s="382">
        <f>IF(SnapshotTable[[#This Row],[SC Is Filled]], IF(ISNUMBER(SnapshotTable[[#This Row],[SC Current Ask]]), SnapshotTable[[#This Row],[SC Current Ask]], SnapshotTable[[#This Row],[SC Book Price]]) - SnapshotTable[[#This Row],[SC Intrinsic Value]], 0)</f>
        <v>0</v>
      </c>
      <c r="FI263" s="143"/>
      <c r="FJ263" s="32" t="str">
        <f>IF(SnapshotTable[[#This Row],[SC Is Filled]],100 * SnapshotTable[[#This Row],[SC Qty]] * IF(ISNUMBER(SnapshotTable[[#This Row],[SC Buyback Override]]), SnapshotTable[[#This Row],[SC Buyback Override]], SnapshotTable[[#This Row],[SC Current Ask]]), "")</f>
        <v/>
      </c>
      <c r="FK263" s="250" t="str">
        <f>IF(SnapshotTable[[#This Row],[SC Time Val]]&gt;0, SnapshotTable[[#This Row],[SC Time Val]] / SnapshotTable[[#This Row],[Last Price]],"")</f>
        <v/>
      </c>
      <c r="FL263" s="302" t="str">
        <f>IF(SnapshotTable[[#This Row],[SC Is Booked]], ((SnapshotTable[[#This Row],[Last Price]] -SnapshotTable[[#This Row],[SC Strike Price]]) / SnapshotTable[[#This Row],[Last Price]]) * -1, "")</f>
        <v/>
      </c>
      <c r="FM263" s="157" t="str">
        <f>IF(SnapshotTable[[#This Row],[SC Is Booked]],  (SnapshotTable[[#This Row],[SC Qty]] * 100 * SnapshotTable[[#This Row],[SC Strike Price]]) - SnapshotTable[[#This Row],[SC Current Ask]], "")</f>
        <v/>
      </c>
      <c r="FN26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3" s="31" t="str">
        <f>IF(AND(ISNUMBER(SnapshotTable[[#This Row],[SC Exercise Gross]]), ISNUMBER(SnapshotTable[[#This Row],[Equity Basis Per Share]] )), SnapshotTable[[#This Row],[SC Exercise Gross]] - SnapshotTable[[#This Row],[Equity Basis Total]] +  SnapshotTable[[#This Row],[SC Premium]], "")</f>
        <v/>
      </c>
      <c r="FP263" s="5" t="str">
        <f>IF(ISNUMBER(SnapshotTable[[#This Row],[SC Exercise Gross]]), (SnapshotTable[[#This Row],[SC Exercise Gross]]) / (SnapshotTable[[#This Row],[SC Qty]] * 100), "")</f>
        <v/>
      </c>
      <c r="FQ263" s="27" t="str">
        <f>IF(SnapshotTable[[#This Row],[SC Is Booked]],SnapshotTable[[#This Row],[SC Time Val]] /SnapshotTable[[#This Row],[SC Basis]], "")</f>
        <v/>
      </c>
      <c r="FR263" s="27" t="str" cm="1">
        <f t="array" ref="FR263">IF(AND(ISNUMBER(SnapshotTable[[#This Row],[SC Term]]),ISNUMBER(SnapshotTable[[#This Row],[SC Simple ROO]])), EllmanAnnualize(SnapshotTable[[#This Row],[SC DTE]], SnapshotTable[[#This Row],[SC Simple ROO]] ),"")</f>
        <v/>
      </c>
      <c r="FS263" s="4" t="e">
        <f>IF(SnapshotTable[[#This Row],[SC Strike Price]] &gt; SnapshotTable[[#This Row],[Last Price]], SnapshotTable[[#This Row],[SC Strike Price]] - SnapshotTable[[#This Row],[Last Price]],0)</f>
        <v>#VALUE!</v>
      </c>
      <c r="FT263" s="27" t="e">
        <f>IF(AND(ISNUMBER(SnapshotTable[[#This Row],[SC Upside Potential]]), SnapshotTable[[#This Row],[SC Upside Potential]] &gt; 0),(SnapshotTable[[#This Row],[SC Upside Potential]]/ SnapshotTable[[#This Row],[ACB]]),"")</f>
        <v>#VALUE!</v>
      </c>
      <c r="FU263" s="333" t="str">
        <f>IF(SnapshotTable[[#This Row],[SC Intrinsic Value]] &gt; 0,SnapshotTable[[#This Row],[SC Intrinsic Value]],"")</f>
        <v/>
      </c>
      <c r="FV263" s="27" t="str">
        <f>IF(AND( ISNUMBER( SnapshotTable[[#This Row],[ACB]]),ISNUMBER(SnapshotTable[[#This Row],[SC Downside Protect]])),SnapshotTable[[#This Row],[SC Downside Protect]] / SnapshotTable[[#This Row],[ACB]],"")</f>
        <v/>
      </c>
      <c r="FW263" s="236" t="str">
        <f>IF(AND(ISNUMBER(SnapshotTable[[#This Row],[SC Simple ROO]]),SnapshotTable[[#This Row],[SC Simple ROO]] &gt; 0), SnapshotTable[[#This Row],[SC Premium]] + (SnapshotTable[[#This Row],[SC Qty]] * SnapshotTable[[#This Row],[SC Upside Potential]]), "")</f>
        <v/>
      </c>
      <c r="FX263" s="302" t="str" cm="1">
        <f t="array" ref="FX263">IF(ISNUMBER(SnapshotTable[[#This Row],[SC Max Dollars]]), annualize(SnapshotTable[[#This Row],[SC Term]],(SnapshotTable[[#This Row],[SC Max Dollars]]/SnapshotTable[[#This Row],[SC Basis]])),"")</f>
        <v/>
      </c>
      <c r="FY263" s="236" t="str">
        <f>IF(AND(SnapshotTable[[#This Row],[SC Qty]]&gt;0,SnapshotTable[[#This Row],[SC Current Ask]]&gt;0), SnapshotTable[[#This Row],[SC Qty]] * SnapshotTable[[#This Row],[SC Current Ask]] * -100, "")</f>
        <v/>
      </c>
      <c r="FZ263" s="31" t="str">
        <f>IF(ISNUMBER((SnapshotTable[[#This Row],[SC Current Value]])), SnapshotTable[[#This Row],[SC Premium]] + SnapshotTable[[#This Row],[SC Current Value]], "")</f>
        <v/>
      </c>
      <c r="GA263" s="294" t="str">
        <f>IFERROR( IF(ISNUMBER((SnapshotTable[[#This Row],[SC Current Value]])), SnapshotTable[[#This Row],[SC Gain Loss]] / SnapshotTable[[#This Row],[SC Premium]], ""), "")</f>
        <v/>
      </c>
      <c r="GB263" s="42">
        <f>SnapshotTable[[#This Row],[Equity Shares]] * SaleSharesToConsiderPercentage</f>
        <v>0</v>
      </c>
      <c r="GC263" s="40">
        <f>SnapshotTable[[#This Row],[Long Term Target]] * SellingPriceToConsiderBasedOnTargetPercentage</f>
        <v>0</v>
      </c>
      <c r="GD263" s="40">
        <f>SnapshotTable[[#This Row],[Last Price]] * (1+ SellingPriceToConsiderBasedOnTargetPercentage)</f>
        <v>102.5505</v>
      </c>
      <c r="GE263" s="41"/>
      <c r="GF263" s="40"/>
      <c r="GG263" s="31">
        <f>SnapshotTable[[#This Row],[Booked Sale Shares]] * SnapshotTable[[#This Row],[Booked Sale Price]]</f>
        <v>0</v>
      </c>
      <c r="GH263" s="31" t="str">
        <f>IF(SnapshotTable[[#This Row],[Equity Basis Total]] &gt; 0, SnapshotTable[[#This Row],[Equity Basis Per Share]] * SnapshotTable[[#This Row],[Booked Sale Shares]], "")</f>
        <v/>
      </c>
      <c r="GI263" s="31">
        <f>IF(SnapshotTable[[#This Row],[Sale Proceeds]]&gt;0, SnapshotTable[[#This Row],[Sale Proceeds]] - SnapshotTable[[#This Row],[Sale Basis]], 0)</f>
        <v>0</v>
      </c>
      <c r="GJ263" s="27" t="str">
        <f>IF(SnapshotTable[[#This Row],[Sale G/L]]&gt;0, SnapshotTable[[#This Row],[Sale G/L]] / SnapshotTable[[#This Row],[Sale Basis]], IF(ISNUMBER(SnapshotTable[[#This Row],[SC Exercise P&amp;L (TAX)]]), SnapshotTable[[#This Row],[SC Exercise P&amp;L (TAX)]] / SnapshotTable[[#This Row],[SC Basis]], ""))</f>
        <v/>
      </c>
      <c r="GK263" s="27"/>
      <c r="GL263" s="43" t="str">
        <f>IF(AND(SnapshotTable[[#This Row],[LP Exp Date]]&gt;0,SnapshotTable[[#This Row],[LP Strike Price]]&gt;0), [1]!ToOptionSymbol(SnapshotTable[[#This Row],[Symbol]], SnapshotTable[[#This Row],[LP Strike Price]],SnapshotTable[[#This Row],[LP Exp Date]],1), "")</f>
        <v/>
      </c>
      <c r="GM263" s="30" t="str">
        <f>IF(LEN(SnapshotTable[[#This Row],[LP Symbol]])&gt;0, 1, "")</f>
        <v/>
      </c>
      <c r="GN263" s="43" t="str">
        <f>IF(AND(SnapshotTable[[#This Row],[SP Exp Date]]&gt;0,SnapshotTable[[#This Row],[SP Strike Price]]&gt;0), [1]!ToOptionSymbol(SnapshotTable[[#This Row],[Symbol]], SnapshotTable[[#This Row],[SP Strike Price]],SnapshotTable[[#This Row],[SP Exp Date]],1), "")</f>
        <v/>
      </c>
      <c r="GO263" s="30" t="str">
        <f>IF(LEN(SnapshotTable[[#This Row],[SP Symbol]])&gt;0, 1, "")</f>
        <v/>
      </c>
      <c r="GP263" s="43" t="str">
        <f>IF(AND(SnapshotTable[[#This Row],[LC Exp Date]]&gt;0,SnapshotTable[[#This Row],[LC Strike Price]]&gt;0), [1]!ToOptionSymbol(SnapshotTable[[#This Row],[Symbol]], SnapshotTable[[#This Row],[LC Strike Price]],SnapshotTable[[#This Row],[LC Exp Date]],0), "")</f>
        <v>SLV260918C00105000</v>
      </c>
      <c r="GQ263" s="30">
        <f>IF(LEN(SnapshotTable[[#This Row],[LC Symbol]])&gt;0, 1, "")</f>
        <v>1</v>
      </c>
      <c r="GR263" s="43" t="str">
        <f>IF(AND(SnapshotTable[[#This Row],[SC Exp Date]]&gt;0,SnapshotTable[[#This Row],[SC Strike Price]]&gt;0), [1]!ToOptionSymbol(SnapshotTable[[#This Row],[Symbol]], SnapshotTable[[#This Row],[SC Strike Price]],SnapshotTable[[#This Row],[SC Exp Date]],0), "")</f>
        <v/>
      </c>
      <c r="GS263" s="30" t="str">
        <f>IF(LEN(SnapshotTable[[#This Row],[SC Symbol]])&gt;0, 1, "")</f>
        <v/>
      </c>
      <c r="GT263" s="29" t="str">
        <f>IF(COUNT(SnapshotTable[[#This Row],[LP Symbol Count]],SnapshotTable[[#This Row],[SP Symbol Count]],SnapshotTable[[#This Row],[LC Symbol Count]],SnapshotTable[[#This Row],[SC Symbol Count]])&gt;0, "Y", "")</f>
        <v>Y</v>
      </c>
      <c r="GU26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LC </v>
      </c>
      <c r="GV263" s="231" t="e">
        <f>MAX(SnapshotTable[[#This Row],[Equity Basis Total]],SnapshotTable[[#This Row],[Equity Value]]) + (SnapshotTable[[#This Row],[SP Potential Spend]]- SnapshotTable[[#This Row],[SP Premium]] + SnapshotTable[[#This Row],[LP Premium]])+ (SnapshotTable[[#This Row],[LC Premium]] - SnapshotTable[[#This Row],[SC Premium]])</f>
        <v>#VALUE!</v>
      </c>
      <c r="GW263" s="139" t="e">
        <f>IF(AND(SnapshotTable[[#This Row],[Exposure]] &lt;&gt; 0),SnapshotTable[[#This Row],[Exposure]] / SnapshotTable[[#Totals],[Exposure]], "")</f>
        <v>#VALUE!</v>
      </c>
      <c r="HK263" s="1"/>
      <c r="HL263" s="1"/>
      <c r="HM263" s="1"/>
      <c r="HN263" s="1"/>
      <c r="HO263" s="1"/>
      <c r="HP263" s="1"/>
    </row>
    <row r="264" spans="2:224" ht="12.75" hidden="1" customHeight="1" x14ac:dyDescent="0.25">
      <c r="B264" s="12" t="s">
        <v>1251</v>
      </c>
      <c r="C264" s="422">
        <v>5.85</v>
      </c>
      <c r="D264" s="208"/>
      <c r="E264" s="39">
        <f>SnapshotTable[[#This Row],[Last Price]]*(1 -CrashDiscount)</f>
        <v>4.9724999999999993</v>
      </c>
      <c r="F264" s="325" t="s">
        <v>1249</v>
      </c>
      <c r="G264" s="325" t="s">
        <v>872</v>
      </c>
      <c r="H264" s="149"/>
      <c r="I264" s="194"/>
      <c r="J264" s="195"/>
      <c r="K264" s="196"/>
      <c r="L264" s="326"/>
      <c r="M264" s="140"/>
      <c r="N264" s="140"/>
      <c r="O264" s="140"/>
      <c r="P264" s="22">
        <v>50</v>
      </c>
      <c r="Q264" s="25">
        <v>454</v>
      </c>
      <c r="R264" s="4">
        <f>IF(SnapshotTable[[#This Row],[Equity Basis Total]] &gt; 0, SnapshotTable[[#This Row],[Equity Basis Total]] / SnapshotTable[[#This Row],[Equity Shares]], "")</f>
        <v>9.08</v>
      </c>
      <c r="S264" s="269">
        <f>SnapshotTable[[#This Row],[Last Price]] * SnapshotTable[[#This Row],[Equity Shares]]</f>
        <v>292.5</v>
      </c>
      <c r="T264" s="269">
        <f>SnapshotTable[[#This Row],[Equity Value]] - SnapshotTable[[#This Row],[Equity Basis Total]]</f>
        <v>-161.5</v>
      </c>
      <c r="U264" s="270">
        <f>IF(SnapshotTable[[#This Row],[Equity Basis Total]] &gt; 0, SnapshotTable[[#This Row],[Equity G/L]] / SnapshotTable[[#This Row],[Equity Basis Total]], "")</f>
        <v>-0.35572687224669602</v>
      </c>
      <c r="V264" s="268"/>
      <c r="W264" s="268"/>
      <c r="X264" s="4" t="str">
        <f>IF(AND(ISNUMBER(SnapshotTable[[#This Row],[Equity Basis Per Share]]),ISNUMBER(SnapshotTable[[#This Row],[Equity Target]])),SnapshotTable[[#This Row],[Equity Target]]-SnapshotTable[[#This Row],[Equity Basis Per Share]],"")</f>
        <v/>
      </c>
      <c r="Y264" s="4" t="str">
        <f>IF(AND(ISNUMBER(SnapshotTable[[#This Row],[Equity Basis Per Share]]),ISNUMBER(SnapshotTable[[#This Row],[Equity Stop Loss]])),SnapshotTable[[#This Row],[Equity Stop Loss]]-SnapshotTable[[#This Row],[Equity Basis Per Share]],"")</f>
        <v/>
      </c>
      <c r="Z264" s="275" t="str">
        <f>IFERROR( TEXT(SnapshotTable[[#This Row],[Equity Max Gain Per Share]] /ABS( SnapshotTable[[#This Row],[Equity Max Loss Per Share]]),"0.0 " ) &amp; " : 1", "")</f>
        <v/>
      </c>
      <c r="AA264" s="31" t="str">
        <f>IF(ISNUMBER(SnapshotTable[[#This Row],[Equity Max Gain Per Share]]),SnapshotTable[[#This Row],[Equity Max Gain Per Share]] * SnapshotTable[[#This Row],[Equity Shares]],"")</f>
        <v/>
      </c>
      <c r="AB264" s="31" t="str">
        <f>IF(ISNUMBER(SnapshotTable[[#This Row],[Equity Max Loss Per Share]]),SnapshotTable[[#This Row],[Equity Max Loss Per Share]] * SnapshotTable[[#This Row],[Equity Shares]],"")</f>
        <v/>
      </c>
      <c r="AC264" s="150"/>
      <c r="AD264" s="151"/>
      <c r="AE264" s="31">
        <f>(SnapshotTable[[#This Row],[Annual Dividend Per Share]] / 4) * SnapshotTable[[#This Row],[Equity Shares]]</f>
        <v>0</v>
      </c>
      <c r="AF264" s="31">
        <f>SnapshotTable[[#This Row],[Quarterly Div $]] * 4</f>
        <v>0</v>
      </c>
      <c r="AG264" s="7">
        <f>IF(SnapshotTable[[#This Row],[Annual Dividend Per Share]]&gt;0, SnapshotTable[[#This Row],[Annual Dividend Per Share]]  / SnapshotTable[[#This Row],[Last Price]], 0)</f>
        <v>0</v>
      </c>
      <c r="AH264" s="151"/>
      <c r="AI264" s="5"/>
      <c r="AJ264" s="138"/>
      <c r="AK264" s="152" t="str">
        <f>IF(ISNUMBER( SnapshotTable[[#This Row],[EBF Target]]),(SnapshotTable[[#This Row],[EBF Target]] - SnapshotTable[[#This Row],[Last Price]]) / SnapshotTable[[#This Row],[Last Price]], "")</f>
        <v/>
      </c>
      <c r="AL264" s="152" t="str">
        <f>IF(AND(SnapshotTable[[#This Row],[Equity Basis Total]] &gt; 0,ISNUMBER( SnapshotTable[[#This Row],[Long Term Target]])), SnapshotTable[[#This Row],[From Basis $]] / SnapshotTable[[#This Row],[Equity Basis Total]], "")</f>
        <v/>
      </c>
      <c r="AM264" s="9">
        <f>IF( AND(SnapshotTable[[#This Row],[Equity Shares]] &gt;0,ISNUMBER( SnapshotTable[[#This Row],[Long Term Target]])),(SnapshotTable[[#This Row],[Equity Shares]] * SnapshotTable[[#This Row],[Long Term Target]]) - SnapshotTable[[#This Row],[Equity Basis Total]],0)</f>
        <v>0</v>
      </c>
      <c r="AN264" s="9">
        <f>IF( AND(SnapshotTable[[#This Row],[Equity Shares]] &gt;0,ISNUMBER( SnapshotTable[[#This Row],[Long Term Target]])),(SnapshotTable[[#This Row],[Equity Shares]]*SnapshotTable[[#This Row],[Long Term Target]]) - SnapshotTable[[#This Row],[Equity Value]],0)</f>
        <v>0</v>
      </c>
      <c r="AO264" s="152" t="str">
        <f>IF(AND(ISNUMBER( SnapshotTable[[#This Row],[Long Term Target]]), ISNUMBER(SnapshotTable[[#This Row],[Last Price]])),(SnapshotTable[[#This Row],[Long Term Target]] - SnapshotTable[[#This Row],[Last Price]]) / SnapshotTable[[#This Row],[Last Price]], "")</f>
        <v/>
      </c>
      <c r="AP264" s="5"/>
      <c r="AQ264" s="38"/>
      <c r="AR264" s="5"/>
      <c r="AS264" s="38"/>
      <c r="AT264" s="146"/>
      <c r="AU264" s="187" t="str">
        <f>IF(OR(SnapshotTable[[#This Row],[LP No Fill]]="Y",SnapshotTable[[#This Row],[SP Is Filled]],SnapshotTable[[#This Row],[LC Not Filled]]="Y",SnapshotTable[[#This Row],[SC Is Filled]]),"Y","")</f>
        <v/>
      </c>
      <c r="AV264" s="219"/>
      <c r="AW264" s="225"/>
      <c r="AX264" s="220"/>
      <c r="AY264" s="219" t="str">
        <f>IF(SnapshotTable[[#This Row],[Implied Move]]&gt;0, SnapshotTable[[#This Row],[Last Price]]-SnapshotTable[[#This Row],[Implied Move]],"")</f>
        <v/>
      </c>
      <c r="AZ264" s="219" t="str">
        <f>IF(SnapshotTable[[#This Row],[Implied Move]]&gt;0, SnapshotTable[[#This Row],[Last Price]] + SnapshotTable[[#This Row],[Implied Move]],"")</f>
        <v/>
      </c>
      <c r="BA264" s="331">
        <v>8.2899999999999991</v>
      </c>
      <c r="BB264" s="347"/>
      <c r="BC26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4" s="351"/>
      <c r="BE264" s="5"/>
      <c r="BF264" s="14"/>
      <c r="BG264" s="13"/>
      <c r="BH264" s="13"/>
      <c r="BI264" s="5"/>
      <c r="BJ264" s="136">
        <f>IF(SnapshotTable[[#This Row],[LP Qty]] &gt; 0, SnapshotTable[[#This Row],[LP Qty]] * SnapshotTable[[#This Row],[LP Book Price]] * 100,0)</f>
        <v>0</v>
      </c>
      <c r="BK264" s="136">
        <f>IF(SnapshotTable[[#This Row],[LP Premium]] &gt; 0, SnapshotTable[[#This Row],[LP Qty]] * SnapshotTable[[#This Row],[LP Strike Price]] * 100,0)</f>
        <v>0</v>
      </c>
      <c r="BL264" s="154"/>
      <c r="BM264" s="385" t="str">
        <f>IF(SnapshotTable[[#This Row],[LP Premium]] &gt; 0,SnapshotTable[[#This Row],[LP Exp Date]]-MAX(SnapshotTable[[#This Row],[LP Book Date]], SnapshotTable[[#This Row],[LP Fill Date]]),"")</f>
        <v/>
      </c>
      <c r="BN264" s="385" t="str">
        <f>IF(ISNUMBER( SnapshotTable[[#This Row],[LP Term]]), SnapshotTable[[#This Row],[LP Exp Date]] - MockToday,"")</f>
        <v/>
      </c>
      <c r="BO264" s="163" t="str">
        <f>IF(AND(SnapshotTable[[#This Row],[LP Exp Date]]&gt;0, SnapshotTable[[#This Row],[LP Strike Price]]&gt;0,SnapshotTable[[#This Row],[LP Qty]]&gt;0,SnapshotTable[[#This Row],[LP Book Date]]&gt;0,SnapshotTable[[#This Row],[LP Book Price]]&gt;0,SnapshotTable[[#This Row],[LP Fill Date]]=0),"Y","")</f>
        <v/>
      </c>
      <c r="BP264" s="31" t="str">
        <f>IF(AND(SnapshotTable[[#This Row],[LP No Fill]]&lt;&gt;"Y",SnapshotTable[[#This Row],[LP Contract Value]]&gt;0, SnapshotTable[[#This Row],[LP Qty]]&gt;0), SnapshotTable[[#This Row],[LP Contract Value]]*SnapshotTable[[#This Row],[LP Qty]]*100,"")</f>
        <v/>
      </c>
      <c r="BQ264" s="13"/>
      <c r="BR264" s="5" t="str">
        <f>IF(SnapshotTable[[#This Row],[SP Exp Date]]&lt;&gt;"",TRUNC(SnapshotTable[[#This Row],[Last Price]]),"")</f>
        <v/>
      </c>
      <c r="BS264" s="36"/>
      <c r="BT264" s="147"/>
      <c r="BU264" s="13"/>
      <c r="BV264" s="5"/>
      <c r="BW264" s="419" t="b">
        <f>AND(ISNUMBER(SnapshotTable[[#This Row],[SP Exp Date]]), ISNUMBER(SnapshotTable[[#This Row],[SP Strike Price]]), ISNUMBER(SnapshotTable[[#This Row],[SP Qty]]), ISNUMBER(SnapshotTable[[#This Row],[SP Book Date]]), ISNUMBER(SnapshotTable[[#This Row],[SP Book Price]]))</f>
        <v>0</v>
      </c>
      <c r="BX264" s="419" t="b">
        <f>AND(SnapshotTable[[#This Row],[SP Is Booked]], NOT(ISBLANK(SnapshotTable[[#This Row],[SP Fill Date]])))</f>
        <v>0</v>
      </c>
      <c r="BY264" s="33">
        <f>IF(SnapshotTable[[#This Row],[SP Is Booked]], SnapshotTable[[#This Row],[SP Qty]] * SnapshotTable[[#This Row],[SP Book Price]] * 100, 0)</f>
        <v>0</v>
      </c>
      <c r="BZ264" s="369"/>
      <c r="CA264" s="368">
        <f>SnapshotTable[[#This Row],[LP Qty]]</f>
        <v>0</v>
      </c>
      <c r="CB264" s="4" t="str">
        <f>IF(SnapshotTable[[#This Row],[SP Is Booked]], SnapshotTable[[#This Row],[SP Strike Price]] - SnapshotTable[[#This Row],[SP Book Price]], "")</f>
        <v/>
      </c>
      <c r="CC264" s="19" t="str">
        <f>IF(SnapshotTable[[#This Row],[SP Is Booked]],SnapshotTable[[#This Row],[SP Exp Date]]-MAX(SnapshotTable[[#This Row],[SP Book Date]], SnapshotTable[[#This Row],[SP Fill Date]]),"")</f>
        <v/>
      </c>
      <c r="CD264" s="7" t="str">
        <f>IF(SnapshotTable[[#This Row],[SP Is Booked]], SnapshotTable[[#This Row],[SP Book Price]]/SnapshotTable[[#This Row],[SP Strike Price]], "")</f>
        <v/>
      </c>
      <c r="CE264" s="7" t="str">
        <f>IF(ISNUMBER(SnapshotTable[[#This Row],[SP ROO Term]]),SnapshotTable[[#This Row],[SP ROO Term]]*(365/SnapshotTable[[#This Row],[SP Term]]),"")</f>
        <v/>
      </c>
      <c r="CF264" s="236">
        <f>SnapshotTable[[#This Row],[LP Strike Price]] * SnapshotTable[[#This Row],[LP Qty]] * 100</f>
        <v>0</v>
      </c>
      <c r="CG264" s="31" t="e">
        <f>IF(ISNUMBER(SnapshotTable[[#This Row],[SP Premium]]), (SnapshotTable[[#This Row],[SP Qty]] * SnapshotTable[[#This Row],[SP Strike Price]]* 100) - SnapshotTable[[#This Row],[LP Protection]], 0)</f>
        <v>#VALUE!</v>
      </c>
      <c r="CH264" s="7" t="str">
        <f>IF(ISNUMBER(SnapshotTable[[#This Row],[SP Break Even]]),-1 * (SnapshotTable[[#This Row],[SP Break Even]] - SnapshotTable[[#This Row],[Last Price]]) / SnapshotTable[[#This Row],[Last Price]], "")</f>
        <v/>
      </c>
      <c r="CI264" s="31">
        <f>IF(AND(ISNUMBER((SnapshotTable[[#This Row],[SP Potential Spend]])), SnapshotTable[[#This Row],[SP Strike Price]] &gt; SnapshotTable[[#This Row],[Last Price]], SnapshotTable[[#This Row],[SP Is Filled]]), SnapshotTable[[#This Row],[SP Potential Spend]] -  SnapshotTable[[#This Row],[LP Max Value]], 0)</f>
        <v>0</v>
      </c>
      <c r="CJ264" s="244"/>
      <c r="CK264" s="31" t="str">
        <f>IF(ISNUMBER(SnapshotTable[[#This Row],[SP Potential Spend]]),IF(ISNUMBER(SnapshotTable[[#This Row],[SP POW]]), SnapshotTable[[#This Row],[SP POW]] * SnapshotTable[[#This Row],[SP Potential Spend]], SnapshotTable[[#This Row],[SP Potential Spend]]), "")</f>
        <v/>
      </c>
      <c r="CL264" s="164" t="e">
        <f>IF(NOT(SnapshotTable[[#This Row],[SP Is Filled]]),(SnapshotTable[[#This Row],[SP Qty]] * SnapshotTable[[#This Row],[SP Strike Price]] * 100) - SnapshotTable[[#This Row],[LP Max Value]],"")</f>
        <v>#VALUE!</v>
      </c>
      <c r="CM264" s="31" t="str">
        <f>IF(SnapshotTable[[#This Row],[SP Actual Spend]]&lt;&gt;0, ((SnapshotTable[[#This Row],[SP Strike Price]]-SnapshotTable[[#This Row],[Last Price]]) *(SnapshotTable[[#This Row],[SP Qty]]*100) - SnapshotTable[[#This Row],[SP Premium]]) * - 1, "")</f>
        <v/>
      </c>
      <c r="CN264" s="218"/>
      <c r="CO264" s="369"/>
      <c r="CP264" s="4" t="str">
        <f>IF(SnapshotTable[[#This Row],[SP Is Filled]], btc_max_buyback_amount(SnapshotTable[[#This Row],[SP Fill Date]],SnapshotTable[[#This Row],[SP Exp Date]], SnapshotTable[[#This Row],[SP Book Price]]),"")</f>
        <v/>
      </c>
      <c r="CQ264" s="78"/>
      <c r="CR26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4" s="155" t="str">
        <f>IF(SnapshotTable[[#This Row],[SP Is Filled]], btc_next_cutoff_date(SnapshotTable[[#This Row],[SP Fill Date]],SnapshotTable[[#This Row],[SP Exp Date]]),"")</f>
        <v/>
      </c>
      <c r="CT264" s="235" t="str" cm="1">
        <f t="array" ref="CT264">IF(SnapshotTable[[#This Row],[SP Is Filled]], btc_should_buy_back(SnapshotTable[[#This Row],[SP Fill Date]], SnapshotTable[[#This Row],[SP Exp Date]], SnapshotTable[[#This Row],[SP Book Price]], SnapshotTable[[#This Row],[SP Current Ask]], MockToday, SnapshotTable[[#This Row],[SP Buyback Override]]),"")</f>
        <v/>
      </c>
      <c r="CU264" s="156"/>
      <c r="CV264" s="235"/>
      <c r="CW264" s="378" t="str">
        <f>IF(ISNUMBER( SnapshotTable[[#This Row],[SP Term]]), SnapshotTable[[#This Row],[SP Exp Date]] - MockToday,"")</f>
        <v/>
      </c>
      <c r="CX264" s="31" t="str">
        <f>IF(SnapshotTable[[#This Row],[SP Is Filled]],SnapshotTable[[#This Row],[SP Buyback Price to Use]] * 100 * SnapshotTable[[#This Row],[SP Qty]], "")</f>
        <v/>
      </c>
      <c r="CY264" s="4" t="str">
        <f>IF(ISNUMBER(SnapshotTable[[#This Row],[SP Strike Price]]), SnapshotTable[[#This Row],[SP Strike Price]] * (1 - SP_MaxLoss_StrikePct), "")</f>
        <v/>
      </c>
      <c r="CZ264" s="31" t="str">
        <f>IF(ISNUMBER(SnapshotTable[[#This Row],[SP Strike  Stop Per Share]]),SnapshotTable[[#This Row],[SP Premium]] - ((SnapshotTable[[#This Row],[SP Strike Price]]-SnapshotTable[[#This Row],[SP Strike  Stop Per Share]]) *(SnapshotTable[[#This Row],[SP Qty]] * 100)),"")</f>
        <v/>
      </c>
      <c r="DA264" s="4" t="str">
        <f>IF(AND(ISNUMBER(SnapshotTable[[#This Row],[SP Premium]]),SnapshotTable[[#This Row],[SP Premium]]&gt;0), SnapshotTable[[#This Row],[SP Book Price]] * (1 + SP_MaxLoss_OptionPct), "")</f>
        <v/>
      </c>
      <c r="DB264" s="31" t="str">
        <f>IF(ISNUMBER(SnapshotTable[[#This Row],[SP Option  Stop Contract]]),(SnapshotTable[[#This Row],[SP Option  Stop Contract]] *(SnapshotTable[[#This Row],[SP Qty]] * 100) - SnapshotTable[[#This Row],[SP Premium]]),"")</f>
        <v/>
      </c>
      <c r="DC264" s="4"/>
      <c r="DD264" s="4"/>
      <c r="DE264" s="4" t="str">
        <f>IF(AND(SnapshotTable[[#This Row],[SP Qty]]&gt;0, SnapshotTable[[#This Row],[SP Stop To Use]]&gt;0),SnapshotTable[[#This Row],[SP Premium]] - ( SnapshotTable[[#This Row],[SP Qty]] * SnapshotTable[[#This Row],[SP Stop To Use]] * 100), "")</f>
        <v/>
      </c>
      <c r="DF264" s="31" t="str">
        <f>IF(AND(SnapshotTable[[#This Row],[SP Qty]]&gt;0,SnapshotTable[[#This Row],[SP Current Ask]]&gt;0), SnapshotTable[[#This Row],[SP Qty]] * SnapshotTable[[#This Row],[SP Current Ask]] * -100, "")</f>
        <v/>
      </c>
      <c r="DG264" s="31" t="str">
        <f>IF(ISNUMBER((SnapshotTable[[#This Row],[SP Total Value]])), SnapshotTable[[#This Row],[SP Premium]] + SnapshotTable[[#This Row],[SP Total Value]], "")</f>
        <v/>
      </c>
      <c r="DH264" s="294" t="str">
        <f>IF(ISNUMBER((SnapshotTable[[#This Row],[SP Total Value]])), SnapshotTable[[#This Row],[SP Gain Loss]] / SnapshotTable[[#This Row],[SP Premium]], "")</f>
        <v/>
      </c>
      <c r="DI264" s="406"/>
      <c r="DJ264" s="138"/>
      <c r="DK264" s="148"/>
      <c r="DL264" s="13"/>
      <c r="DM264" s="13"/>
      <c r="DO264" s="31">
        <f>IF(SnapshotTable[[#This Row],[LC Symbol Count]]=1, SnapshotTable[[#This Row],[LC Qty]] * SnapshotTable[[#This Row],[LC Book Price]] * 100, 0)</f>
        <v>0</v>
      </c>
      <c r="DP264" s="163" t="str">
        <f>IF(AND(SnapshotTable[[#This Row],[LC Exp Date]]&gt;0, SnapshotTable[[#This Row],[LC Strike Price]]&gt;0,SnapshotTable[[#This Row],[LC Qty]]&gt;0,SnapshotTable[[#This Row],[LC Book Date]]&gt;0,SnapshotTable[[#This Row],[LC Book Price]]&gt;0,SnapshotTable[[#This Row],[LC Fill Date]]=0),"Y","")</f>
        <v/>
      </c>
      <c r="DQ264" s="386" t="str">
        <f>IF(SnapshotTable[[#This Row],[LC Premium]] &gt; 0,SnapshotTable[[#This Row],[LC Exp Date]]-MAX(SnapshotTable[[#This Row],[LC Book Date]], SnapshotTable[[#This Row],[LC Fill Date]]),"")</f>
        <v/>
      </c>
      <c r="DR264" s="386" t="str">
        <f>IF(ISNUMBER(SnapshotTable[[#This Row],[LC Term]]), SnapshotTable[[#This Row],[LC Exp Date]] - MockToday, "")</f>
        <v/>
      </c>
      <c r="DS264" s="234" t="str">
        <f>IF(SnapshotTable[[#This Row],[LC Premium]]&gt;0,SnapshotTable[[#This Row],[LC Strike Price]] + SnapshotTable[[#This Row],[LC Book Price]],"")</f>
        <v/>
      </c>
      <c r="DU264" s="9" t="str">
        <f>IF(AND(SnapshotTable[[#This Row],[LC Symbol Count]]&gt;0, SnapshotTable[[#This Row],[LC Contract Value]]&gt;0), SnapshotTable[[#This Row],[LC Contract Value]] * SnapshotTable[[#This Row],[LC Qty]] * 100, "")</f>
        <v/>
      </c>
      <c r="DV264" s="9" t="str">
        <f>IF(AND(ISNUMBER(SnapshotTable[[#This Row],[LC Total Value]]), SnapshotTable[[#This Row],[LC Not Filled]]&lt;&gt;"Y"), SnapshotTable[[#This Row],[LC Total Value]]-SnapshotTable[[#This Row],[LC Premium]],"")</f>
        <v/>
      </c>
      <c r="DW264" s="240" t="str">
        <f>IF(ISNUMBER(SnapshotTable[[#This Row],[LC Actual Gain Loss]]), SnapshotTable[[#This Row],[LC Actual Gain Loss]] / SnapshotTable[[#This Row],[LC Premium]],"")</f>
        <v/>
      </c>
      <c r="DX264" s="284" t="str">
        <f>IF(ISNUMBER(SnapshotTable[[#This Row],[LC Book Price]]),SnapshotTable[[#This Row],[LC Book Price]] * 1.5,"")</f>
        <v/>
      </c>
      <c r="DY264" s="265" t="str">
        <f>IF(SnapshotTable[[#This Row],[LC Premium]]&gt;0, SnapshotTable[[#This Row],[LC Next Target]] * SnapshotTable[[#This Row],[LC Qty]] * 100,"")</f>
        <v/>
      </c>
      <c r="DZ264" s="265" t="str">
        <f>IF(ISNUMBER(SnapshotTable[[#This Row],[LC Target Gross]]), SnapshotTable[[#This Row],[LC Target Gross]] - SnapshotTable[[#This Row],[LC Premium]], "")</f>
        <v/>
      </c>
      <c r="EA264" s="305" t="str">
        <f>IF(ISNUMBER(SnapshotTable[[#This Row],[LC Target Gain Loss]]), SnapshotTable[[#This Row],[LC Target Gain Loss]]/SnapshotTable[[#This Row],[LC Premium]], "")</f>
        <v/>
      </c>
      <c r="EB264" s="262"/>
      <c r="EC264" s="283" t="str">
        <f>IF(SnapshotTable[[#This Row],[LC Premium]]&gt;0, SnapshotTable[[#This Row],[LC Book Price]] * (1 - LC_StopLoss_Pct),"")</f>
        <v/>
      </c>
      <c r="ED264" s="284"/>
      <c r="EE264" s="283" t="str">
        <f>IF(ISNUMBER(SnapshotTable[[#This Row],[LC Contract Value]]),IF(ISNUMBER(SnapshotTable[[#This Row],[LC Stop Loss Override]]), SnapshotTable[[#This Row],[LC Stop Loss Override]],SnapshotTable[[#This Row],[LC Stop Loss Calc Target]]),"")</f>
        <v/>
      </c>
      <c r="EF264" s="31" t="str">
        <f>IF(ISNUMBER(SnapshotTable[[#This Row],[LC Stop  To Use]]), (SnapshotTable[[#This Row],[LC Stop  To Use]] * SnapshotTable[[#This Row],[LC Qty]] * 100),"")</f>
        <v/>
      </c>
      <c r="EG264" s="9" t="str">
        <f>IF(ISNUMBER(SnapshotTable[[#This Row],[LC Total Value]]),SnapshotTable[[#This Row],[LC Stop Loss Amount]] - SnapshotTable[[#This Row],[LC Premium]],"")</f>
        <v/>
      </c>
      <c r="EH264" s="9">
        <f>IF(ISNUMBER(SnapshotTable[[#This Row],[LC Premium]]), SnapshotTable[[#This Row],[LC Qty]] * 100 * SnapshotTable[[#This Row],[LC Strike Price]], "")</f>
        <v>0</v>
      </c>
      <c r="EI264" s="240" t="str">
        <f>IF(AND(ISNUMBER(SnapshotTable[[#This Row],[LC Total Value]]),SnapshotTable[[#This Row],[LC Total Value]]&gt;0),SnapshotTable[[#This Row],[LC Stop Gain Loss]]  / SnapshotTable[[#This Row],[LC Premium]],"")</f>
        <v/>
      </c>
      <c r="EJ264" s="35">
        <f>IF(ISNUMBER(SnapshotTable[[#This Row],[Equity Shares]]),TRUNC(SnapshotTable[[#This Row],[Equity Shares]] / 100),0) + SnapshotTable[[#This Row],[LC Qty]]</f>
        <v>0</v>
      </c>
      <c r="EK264" s="147"/>
      <c r="EL264" s="138" t="str">
        <f>IF(SnapshotTable[[#This Row],[SC Exp Date]]&lt;&gt;"",TRUNC(SnapshotTable[[#This Row],[Last Price]]),"")</f>
        <v/>
      </c>
      <c r="EM264" s="148"/>
      <c r="EN264" s="147"/>
      <c r="EO264" s="147"/>
      <c r="EP264" s="138"/>
      <c r="EQ264" s="419" t="b">
        <f>AND(ISNUMBER(SnapshotTable[[#This Row],[SC Exp Date]]), ISNUMBER(SnapshotTable[[#This Row],[SC Strike Price]]), ISNUMBER(SnapshotTable[[#This Row],[SC Qty]]), ISNUMBER(SnapshotTable[[#This Row],[SC Book Date]]), ISNUMBER(SnapshotTable[[#This Row],[SC Book Price]]))</f>
        <v>0</v>
      </c>
      <c r="ER264" s="419" t="b">
        <f>AND(SnapshotTable[[#This Row],[SC Is Booked]], NOT(ISBLANK(SnapshotTable[[#This Row],[SC Fill Date]])))</f>
        <v>0</v>
      </c>
      <c r="ES264" s="370"/>
      <c r="ET264" s="34" t="str">
        <f>IF(AND(ISNUMBER(SnapshotTable[[#This Row],[SC Exp Date]]), ISNUMBER(SnapshotTable[[#This Row],[SC Book Date]])), SnapshotTable[[#This Row],[SC Exp Date]] - MAX(SnapshotTable[[#This Row],[SC Book Date]], SnapshotTable[[#This Row],[SC Fill Date]]) + 1, "")</f>
        <v/>
      </c>
      <c r="EU264" s="34" t="str">
        <f>IF(ISNUMBER(SnapshotTable[[#This Row],[SC Term]]), SnapshotTable[[#This Row],[SC Exp Date]]- MockToday, "")</f>
        <v/>
      </c>
      <c r="EV264" s="31">
        <f>IF(SnapshotTable[[#This Row],[SC Is Booked]], SnapshotTable[[#This Row],[SC Qty]] * SnapshotTable[[#This Row],[SC Book Price]] * 100, 0)</f>
        <v>0</v>
      </c>
      <c r="EW264" s="4" t="str">
        <f>IF(AND(ISNUMBER(SnapshotTable[[#This Row],[Last Price]]), ISNUMBER( SnapshotTable[[#This Row],[SC Book Price]])), SnapshotTable[[#This Row],[Last Price]] - SnapshotTable[[#This Row],[SC Book Price]],"")</f>
        <v/>
      </c>
      <c r="EX264" s="234" t="str">
        <f>IF(SnapshotTable[[#This Row],[SC Is Booked]],IF(SnapshotTable[[#This Row],[SC Intrinsic Value]] &gt; 0, SnapshotTable[[#This Row],[SC Strike Price]], SnapshotTable[[#This Row],[Last Price]]), "")</f>
        <v/>
      </c>
      <c r="EY264" s="4">
        <f>IF(SnapshotTable[[#This Row],[SC Is Booked]], (MinimumPremiumRequired * SnapshotTable[[#This Row],[SC Basis]] * SnapshotTable[[#This Row],[SC Term]]), 0)</f>
        <v>0</v>
      </c>
      <c r="EZ264" s="283"/>
      <c r="FA264" s="218"/>
      <c r="FB264" s="370"/>
      <c r="FC264" s="4">
        <f>IF(SnapshotTable[[#This Row],[SC Is Filled]], btc_max_buyback_amount(SnapshotTable[[#This Row],[SC Fill Date]],SnapshotTable[[#This Row],[SC Exp Date]], SnapshotTable[[#This Row],[SC Book Price]]),0)</f>
        <v>0</v>
      </c>
      <c r="FD264" s="5"/>
      <c r="FE264" s="144" t="str">
        <f>IF(SnapshotTable[[#This Row],[SC Is Filled]], btc_next_cutoff_date(SnapshotTable[[#This Row],[SC Fill Date]],SnapshotTable[[#This Row],[SC Exp Date]]),"")</f>
        <v/>
      </c>
      <c r="FF264" s="4" t="str" cm="1">
        <f t="array" ref="FF264">IF(SnapshotTable[[#This Row],[SC Is Filled]], btc_should_buy_back(SnapshotTable[[#This Row],[SC Fill Date]], SnapshotTable[[#This Row],[SC Exp Date]], SnapshotTable[[#This Row],[SC Book Price]], SnapshotTable[[#This Row],[SC Current Ask]], MockToday, SnapshotTable[[#This Row],[SC Buyback Override]]),"")</f>
        <v/>
      </c>
      <c r="FG264" s="4">
        <f>IF(SnapshotTable[[#This Row],[SC Is Filled]], MAX(0,SnapshotTable[[#This Row],[Last Price]]  - SnapshotTable[[#This Row],[SC Strike Price]]), 0)</f>
        <v>0</v>
      </c>
      <c r="FH264" s="382">
        <f>IF(SnapshotTable[[#This Row],[SC Is Filled]], IF(ISNUMBER(SnapshotTable[[#This Row],[SC Current Ask]]), SnapshotTable[[#This Row],[SC Current Ask]], SnapshotTable[[#This Row],[SC Book Price]]) - SnapshotTable[[#This Row],[SC Intrinsic Value]], 0)</f>
        <v>0</v>
      </c>
      <c r="FI264" s="143"/>
      <c r="FJ264" s="32" t="str">
        <f>IF(SnapshotTable[[#This Row],[SC Is Filled]],100 * SnapshotTable[[#This Row],[SC Qty]] * IF(ISNUMBER(SnapshotTable[[#This Row],[SC Buyback Override]]), SnapshotTable[[#This Row],[SC Buyback Override]], SnapshotTable[[#This Row],[SC Current Ask]]), "")</f>
        <v/>
      </c>
      <c r="FK264" s="250" t="str">
        <f>IF(SnapshotTable[[#This Row],[SC Time Val]]&gt;0, SnapshotTable[[#This Row],[SC Time Val]] / SnapshotTable[[#This Row],[Last Price]],"")</f>
        <v/>
      </c>
      <c r="FL264" s="302" t="str">
        <f>IF(SnapshotTable[[#This Row],[SC Is Booked]], ((SnapshotTable[[#This Row],[Last Price]] -SnapshotTable[[#This Row],[SC Strike Price]]) / SnapshotTable[[#This Row],[Last Price]]) * -1, "")</f>
        <v/>
      </c>
      <c r="FM264" s="157" t="str">
        <f>IF(SnapshotTable[[#This Row],[SC Is Booked]],  (SnapshotTable[[#This Row],[SC Qty]] * 100 * SnapshotTable[[#This Row],[SC Strike Price]]) - SnapshotTable[[#This Row],[SC Current Ask]], "")</f>
        <v/>
      </c>
      <c r="FN26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4" s="31" t="str">
        <f>IF(AND(ISNUMBER(SnapshotTable[[#This Row],[SC Exercise Gross]]), ISNUMBER(SnapshotTable[[#This Row],[Equity Basis Per Share]] )), SnapshotTable[[#This Row],[SC Exercise Gross]] - SnapshotTable[[#This Row],[Equity Basis Total]] +  SnapshotTable[[#This Row],[SC Premium]], "")</f>
        <v/>
      </c>
      <c r="FP264" s="5" t="str">
        <f>IF(ISNUMBER(SnapshotTable[[#This Row],[SC Exercise Gross]]), (SnapshotTable[[#This Row],[SC Exercise Gross]]) / (SnapshotTable[[#This Row],[SC Qty]] * 100), "")</f>
        <v/>
      </c>
      <c r="FQ264" s="27" t="str">
        <f>IF(SnapshotTable[[#This Row],[SC Is Booked]],SnapshotTable[[#This Row],[SC Time Val]] /SnapshotTable[[#This Row],[SC Basis]], "")</f>
        <v/>
      </c>
      <c r="FR264" s="27" t="str" cm="1">
        <f t="array" ref="FR264">IF(AND(ISNUMBER(SnapshotTable[[#This Row],[SC Term]]),ISNUMBER(SnapshotTable[[#This Row],[SC Simple ROO]])), EllmanAnnualize(SnapshotTable[[#This Row],[SC DTE]], SnapshotTable[[#This Row],[SC Simple ROO]] ),"")</f>
        <v/>
      </c>
      <c r="FS264" s="4" t="e">
        <f>IF(SnapshotTable[[#This Row],[SC Strike Price]] &gt; SnapshotTable[[#This Row],[Last Price]], SnapshotTable[[#This Row],[SC Strike Price]] - SnapshotTable[[#This Row],[Last Price]],0)</f>
        <v>#VALUE!</v>
      </c>
      <c r="FT264" s="27" t="e">
        <f>IF(AND(ISNUMBER(SnapshotTable[[#This Row],[SC Upside Potential]]), SnapshotTable[[#This Row],[SC Upside Potential]] &gt; 0),(SnapshotTable[[#This Row],[SC Upside Potential]]/ SnapshotTable[[#This Row],[ACB]]),"")</f>
        <v>#VALUE!</v>
      </c>
      <c r="FU264" s="333" t="str">
        <f>IF(SnapshotTable[[#This Row],[SC Intrinsic Value]] &gt; 0,SnapshotTable[[#This Row],[SC Intrinsic Value]],"")</f>
        <v/>
      </c>
      <c r="FV264" s="27" t="str">
        <f>IF(AND( ISNUMBER( SnapshotTable[[#This Row],[ACB]]),ISNUMBER(SnapshotTable[[#This Row],[SC Downside Protect]])),SnapshotTable[[#This Row],[SC Downside Protect]] / SnapshotTable[[#This Row],[ACB]],"")</f>
        <v/>
      </c>
      <c r="FW264" s="236" t="str">
        <f>IF(AND(ISNUMBER(SnapshotTable[[#This Row],[SC Simple ROO]]),SnapshotTable[[#This Row],[SC Simple ROO]] &gt; 0), SnapshotTable[[#This Row],[SC Premium]] + (SnapshotTable[[#This Row],[SC Qty]] * SnapshotTable[[#This Row],[SC Upside Potential]]), "")</f>
        <v/>
      </c>
      <c r="FX264" s="302" t="str" cm="1">
        <f t="array" ref="FX264">IF(ISNUMBER(SnapshotTable[[#This Row],[SC Max Dollars]]), annualize(SnapshotTable[[#This Row],[SC Term]],(SnapshotTable[[#This Row],[SC Max Dollars]]/SnapshotTable[[#This Row],[SC Basis]])),"")</f>
        <v/>
      </c>
      <c r="FY264" s="236" t="str">
        <f>IF(AND(SnapshotTable[[#This Row],[SC Qty]]&gt;0,SnapshotTable[[#This Row],[SC Current Ask]]&gt;0), SnapshotTable[[#This Row],[SC Qty]] * SnapshotTable[[#This Row],[SC Current Ask]] * -100, "")</f>
        <v/>
      </c>
      <c r="FZ264" s="31" t="str">
        <f>IF(ISNUMBER((SnapshotTable[[#This Row],[SC Current Value]])), SnapshotTable[[#This Row],[SC Premium]] + SnapshotTable[[#This Row],[SC Current Value]], "")</f>
        <v/>
      </c>
      <c r="GA264" s="294" t="str">
        <f>IFERROR( IF(ISNUMBER((SnapshotTable[[#This Row],[SC Current Value]])), SnapshotTable[[#This Row],[SC Gain Loss]] / SnapshotTable[[#This Row],[SC Premium]], ""), "")</f>
        <v/>
      </c>
      <c r="GB264" s="42">
        <f>SnapshotTable[[#This Row],[Equity Shares]] * SaleSharesToConsiderPercentage</f>
        <v>10</v>
      </c>
      <c r="GC264" s="40">
        <f>SnapshotTable[[#This Row],[Long Term Target]] * SellingPriceToConsiderBasedOnTargetPercentage</f>
        <v>0</v>
      </c>
      <c r="GD264" s="40">
        <f>SnapshotTable[[#This Row],[Last Price]] * (1+ SellingPriceToConsiderBasedOnTargetPercentage)</f>
        <v>11.407499999999999</v>
      </c>
      <c r="GE264" s="41"/>
      <c r="GF264" s="40"/>
      <c r="GG264" s="31">
        <f>SnapshotTable[[#This Row],[Booked Sale Shares]] * SnapshotTable[[#This Row],[Booked Sale Price]]</f>
        <v>0</v>
      </c>
      <c r="GH264" s="31">
        <f>IF(SnapshotTable[[#This Row],[Equity Basis Total]] &gt; 0, SnapshotTable[[#This Row],[Equity Basis Per Share]] * SnapshotTable[[#This Row],[Booked Sale Shares]], "")</f>
        <v>0</v>
      </c>
      <c r="GI264" s="31">
        <f>IF(SnapshotTable[[#This Row],[Sale Proceeds]]&gt;0, SnapshotTable[[#This Row],[Sale Proceeds]] - SnapshotTable[[#This Row],[Sale Basis]], 0)</f>
        <v>0</v>
      </c>
      <c r="GJ264" s="27" t="str">
        <f>IF(SnapshotTable[[#This Row],[Sale G/L]]&gt;0, SnapshotTable[[#This Row],[Sale G/L]] / SnapshotTable[[#This Row],[Sale Basis]], IF(ISNUMBER(SnapshotTable[[#This Row],[SC Exercise P&amp;L (TAX)]]), SnapshotTable[[#This Row],[SC Exercise P&amp;L (TAX)]] / SnapshotTable[[#This Row],[SC Basis]], ""))</f>
        <v/>
      </c>
      <c r="GK264" s="27"/>
      <c r="GL264" s="43" t="str">
        <f>IF(AND(SnapshotTable[[#This Row],[LP Exp Date]]&gt;0,SnapshotTable[[#This Row],[LP Strike Price]]&gt;0), [1]!ToOptionSymbol(SnapshotTable[[#This Row],[Symbol]], SnapshotTable[[#This Row],[LP Strike Price]],SnapshotTable[[#This Row],[LP Exp Date]],1), "")</f>
        <v/>
      </c>
      <c r="GM264" s="30" t="str">
        <f>IF(LEN(SnapshotTable[[#This Row],[LP Symbol]])&gt;0, 1, "")</f>
        <v/>
      </c>
      <c r="GN264" s="43" t="str">
        <f>IF(AND(SnapshotTable[[#This Row],[SP Exp Date]]&gt;0,SnapshotTable[[#This Row],[SP Strike Price]]&gt;0), [1]!ToOptionSymbol(SnapshotTable[[#This Row],[Symbol]], SnapshotTable[[#This Row],[SP Strike Price]],SnapshotTable[[#This Row],[SP Exp Date]],1), "")</f>
        <v/>
      </c>
      <c r="GO264" s="30" t="str">
        <f>IF(LEN(SnapshotTable[[#This Row],[SP Symbol]])&gt;0, 1, "")</f>
        <v/>
      </c>
      <c r="GP264" s="43" t="str">
        <f>IF(AND(SnapshotTable[[#This Row],[LC Exp Date]]&gt;0,SnapshotTable[[#This Row],[LC Strike Price]]&gt;0), [1]!ToOptionSymbol(SnapshotTable[[#This Row],[Symbol]], SnapshotTable[[#This Row],[LC Strike Price]],SnapshotTable[[#This Row],[LC Exp Date]],0), "")</f>
        <v/>
      </c>
      <c r="GQ264" s="30" t="str">
        <f>IF(LEN(SnapshotTable[[#This Row],[LC Symbol]])&gt;0, 1, "")</f>
        <v/>
      </c>
      <c r="GR264" s="43" t="str">
        <f>IF(AND(SnapshotTable[[#This Row],[SC Exp Date]]&gt;0,SnapshotTable[[#This Row],[SC Strike Price]]&gt;0), [1]!ToOptionSymbol(SnapshotTable[[#This Row],[Symbol]], SnapshotTable[[#This Row],[SC Strike Price]],SnapshotTable[[#This Row],[SC Exp Date]],0), "")</f>
        <v/>
      </c>
      <c r="GS264" s="30" t="str">
        <f>IF(LEN(SnapshotTable[[#This Row],[SC Symbol]])&gt;0, 1, "")</f>
        <v/>
      </c>
      <c r="GT264" s="29" t="str">
        <f>IF(COUNT(SnapshotTable[[#This Row],[LP Symbol Count]],SnapshotTable[[#This Row],[SP Symbol Count]],SnapshotTable[[#This Row],[LC Symbol Count]],SnapshotTable[[#This Row],[SC Symbol Count]])&gt;0, "Y", "")</f>
        <v/>
      </c>
      <c r="GU26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264" s="231" t="e">
        <f>MAX(SnapshotTable[[#This Row],[Equity Basis Total]],SnapshotTable[[#This Row],[Equity Value]]) + (SnapshotTable[[#This Row],[SP Potential Spend]]- SnapshotTable[[#This Row],[SP Premium]] + SnapshotTable[[#This Row],[LP Premium]])+ (SnapshotTable[[#This Row],[LC Premium]] - SnapshotTable[[#This Row],[SC Premium]])</f>
        <v>#VALUE!</v>
      </c>
      <c r="GW264" s="139" t="e">
        <f>IF(AND(SnapshotTable[[#This Row],[Exposure]] &lt;&gt; 0),SnapshotTable[[#This Row],[Exposure]] / SnapshotTable[[#Totals],[Exposure]], "")</f>
        <v>#VALUE!</v>
      </c>
      <c r="HK264" s="1"/>
      <c r="HL264" s="1"/>
      <c r="HM264" s="1"/>
      <c r="HN264" s="1"/>
      <c r="HO264" s="1"/>
      <c r="HP264" s="1"/>
    </row>
    <row r="265" spans="2:224" ht="12.75" hidden="1" customHeight="1" x14ac:dyDescent="0.25">
      <c r="B265" s="12" t="s">
        <v>1262</v>
      </c>
      <c r="C265" s="422">
        <v>62.6</v>
      </c>
      <c r="D265" s="208" t="s">
        <v>1075</v>
      </c>
      <c r="E265" s="39">
        <f>SnapshotTable[[#This Row],[Last Price]]*(1 -CrashDiscount)</f>
        <v>53.21</v>
      </c>
      <c r="F265" s="26" t="s">
        <v>208</v>
      </c>
      <c r="G265" s="26" t="s">
        <v>41</v>
      </c>
      <c r="H265" s="149"/>
      <c r="I265" s="194"/>
      <c r="J265" s="195"/>
      <c r="K265" s="196"/>
      <c r="L265" s="326"/>
      <c r="M265" s="140"/>
      <c r="N265" s="140"/>
      <c r="O265" s="140"/>
      <c r="P265" s="22"/>
      <c r="Q265" s="25"/>
      <c r="R265" s="4" t="str">
        <f>IF(SnapshotTable[[#This Row],[Equity Basis Total]] &gt; 0, SnapshotTable[[#This Row],[Equity Basis Total]] / SnapshotTable[[#This Row],[Equity Shares]], "")</f>
        <v/>
      </c>
      <c r="S265" s="269">
        <f>SnapshotTable[[#This Row],[Last Price]] * SnapshotTable[[#This Row],[Equity Shares]]</f>
        <v>0</v>
      </c>
      <c r="T265" s="269">
        <f>SnapshotTable[[#This Row],[Equity Value]] - SnapshotTable[[#This Row],[Equity Basis Total]]</f>
        <v>0</v>
      </c>
      <c r="U265" s="270" t="str">
        <f>IF(SnapshotTable[[#This Row],[Equity Basis Total]] &gt; 0, SnapshotTable[[#This Row],[Equity G/L]] / SnapshotTable[[#This Row],[Equity Basis Total]], "")</f>
        <v/>
      </c>
      <c r="V265" s="268"/>
      <c r="W265" s="268"/>
      <c r="X265" s="4" t="str">
        <f>IF(AND(ISNUMBER(SnapshotTable[[#This Row],[Equity Basis Per Share]]),ISNUMBER(SnapshotTable[[#This Row],[Equity Target]])),SnapshotTable[[#This Row],[Equity Target]]-SnapshotTable[[#This Row],[Equity Basis Per Share]],"")</f>
        <v/>
      </c>
      <c r="Y265" s="4" t="str">
        <f>IF(AND(ISNUMBER(SnapshotTable[[#This Row],[Equity Basis Per Share]]),ISNUMBER(SnapshotTable[[#This Row],[Equity Stop Loss]])),SnapshotTable[[#This Row],[Equity Stop Loss]]-SnapshotTable[[#This Row],[Equity Basis Per Share]],"")</f>
        <v/>
      </c>
      <c r="Z265" s="275" t="str">
        <f>IFERROR( TEXT(SnapshotTable[[#This Row],[Equity Max Gain Per Share]] /ABS( SnapshotTable[[#This Row],[Equity Max Loss Per Share]]),"0.0 " ) &amp; " : 1", "")</f>
        <v/>
      </c>
      <c r="AA265" s="31" t="str">
        <f>IF(ISNUMBER(SnapshotTable[[#This Row],[Equity Max Gain Per Share]]),SnapshotTable[[#This Row],[Equity Max Gain Per Share]] * SnapshotTable[[#This Row],[Equity Shares]],"")</f>
        <v/>
      </c>
      <c r="AB265" s="31" t="str">
        <f>IF(ISNUMBER(SnapshotTable[[#This Row],[Equity Max Loss Per Share]]),SnapshotTable[[#This Row],[Equity Max Loss Per Share]] * SnapshotTable[[#This Row],[Equity Shares]],"")</f>
        <v/>
      </c>
      <c r="AC265" s="150"/>
      <c r="AD265" s="151"/>
      <c r="AE265" s="31">
        <f>(SnapshotTable[[#This Row],[Annual Dividend Per Share]] / 4) * SnapshotTable[[#This Row],[Equity Shares]]</f>
        <v>0</v>
      </c>
      <c r="AF265" s="31">
        <f>SnapshotTable[[#This Row],[Quarterly Div $]] * 4</f>
        <v>0</v>
      </c>
      <c r="AG265" s="7">
        <f>IF(SnapshotTable[[#This Row],[Annual Dividend Per Share]]&gt;0, SnapshotTable[[#This Row],[Annual Dividend Per Share]]  / SnapshotTable[[#This Row],[Last Price]], 0)</f>
        <v>0</v>
      </c>
      <c r="AH265" s="151"/>
      <c r="AI265" s="5"/>
      <c r="AJ265" s="138"/>
      <c r="AK265" s="152" t="str">
        <f>IF(ISNUMBER( SnapshotTable[[#This Row],[EBF Target]]),(SnapshotTable[[#This Row],[EBF Target]] - SnapshotTable[[#This Row],[Last Price]]) / SnapshotTable[[#This Row],[Last Price]], "")</f>
        <v/>
      </c>
      <c r="AL265" s="152" t="str">
        <f>IF(AND(SnapshotTable[[#This Row],[Equity Basis Total]] &gt; 0,ISNUMBER( SnapshotTable[[#This Row],[Long Term Target]])), SnapshotTable[[#This Row],[From Basis $]] / SnapshotTable[[#This Row],[Equity Basis Total]], "")</f>
        <v/>
      </c>
      <c r="AM265" s="9">
        <f>IF( AND(SnapshotTable[[#This Row],[Equity Shares]] &gt;0,ISNUMBER( SnapshotTable[[#This Row],[Long Term Target]])),(SnapshotTable[[#This Row],[Equity Shares]] * SnapshotTable[[#This Row],[Long Term Target]]) - SnapshotTable[[#This Row],[Equity Basis Total]],0)</f>
        <v>0</v>
      </c>
      <c r="AN265" s="9">
        <f>IF( AND(SnapshotTable[[#This Row],[Equity Shares]] &gt;0,ISNUMBER( SnapshotTable[[#This Row],[Long Term Target]])),(SnapshotTable[[#This Row],[Equity Shares]]*SnapshotTable[[#This Row],[Long Term Target]]) - SnapshotTable[[#This Row],[Equity Value]],0)</f>
        <v>0</v>
      </c>
      <c r="AO265" s="152" t="str">
        <f>IF(AND(ISNUMBER( SnapshotTable[[#This Row],[Long Term Target]]), ISNUMBER(SnapshotTable[[#This Row],[Last Price]])),(SnapshotTable[[#This Row],[Long Term Target]] - SnapshotTable[[#This Row],[Last Price]]) / SnapshotTable[[#This Row],[Last Price]], "")</f>
        <v/>
      </c>
      <c r="AP265" s="5"/>
      <c r="AQ265" s="38"/>
      <c r="AR265" s="5"/>
      <c r="AS265" s="38"/>
      <c r="AT265" s="146"/>
      <c r="AU265" s="187" t="str">
        <f>IF(OR(SnapshotTable[[#This Row],[LP No Fill]]="Y",SnapshotTable[[#This Row],[SP Is Filled]],SnapshotTable[[#This Row],[LC Not Filled]]="Y",SnapshotTable[[#This Row],[SC Is Filled]]),"Y","")</f>
        <v/>
      </c>
      <c r="AV265" s="219"/>
      <c r="AW265" s="225"/>
      <c r="AX265" s="220"/>
      <c r="AY265" s="219" t="str">
        <f>IF(SnapshotTable[[#This Row],[Implied Move]]&gt;0, SnapshotTable[[#This Row],[Last Price]]-SnapshotTable[[#This Row],[Implied Move]],"")</f>
        <v/>
      </c>
      <c r="AZ265" s="219" t="str">
        <f>IF(SnapshotTable[[#This Row],[Implied Move]]&gt;0, SnapshotTable[[#This Row],[Last Price]] + SnapshotTable[[#This Row],[Implied Move]],"")</f>
        <v/>
      </c>
      <c r="BA265" s="331">
        <v>72.25</v>
      </c>
      <c r="BB265" s="347"/>
      <c r="BC265"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46773</v>
      </c>
      <c r="BD265" s="351"/>
      <c r="BE265" s="5"/>
      <c r="BF265" s="14"/>
      <c r="BG265" s="13"/>
      <c r="BH265" s="13"/>
      <c r="BI265" s="5"/>
      <c r="BJ265" s="136">
        <f>IF(SnapshotTable[[#This Row],[LP Qty]] &gt; 0, SnapshotTable[[#This Row],[LP Qty]] * SnapshotTable[[#This Row],[LP Book Price]] * 100,0)</f>
        <v>0</v>
      </c>
      <c r="BK265" s="136">
        <f>IF(SnapshotTable[[#This Row],[LP Premium]] &gt; 0, SnapshotTable[[#This Row],[LP Qty]] * SnapshotTable[[#This Row],[LP Strike Price]] * 100,0)</f>
        <v>0</v>
      </c>
      <c r="BL265" s="154"/>
      <c r="BM265" s="385" t="str">
        <f>IF(SnapshotTable[[#This Row],[LP Premium]] &gt; 0,SnapshotTable[[#This Row],[LP Exp Date]]-MAX(SnapshotTable[[#This Row],[LP Book Date]], SnapshotTable[[#This Row],[LP Fill Date]]),"")</f>
        <v/>
      </c>
      <c r="BN265" s="385" t="str">
        <f>IF(ISNUMBER( SnapshotTable[[#This Row],[LP Term]]), SnapshotTable[[#This Row],[LP Exp Date]] - MockToday,"")</f>
        <v/>
      </c>
      <c r="BO265" s="163" t="str">
        <f>IF(AND(SnapshotTable[[#This Row],[LP Exp Date]]&gt;0, SnapshotTable[[#This Row],[LP Strike Price]]&gt;0,SnapshotTable[[#This Row],[LP Qty]]&gt;0,SnapshotTable[[#This Row],[LP Book Date]]&gt;0,SnapshotTable[[#This Row],[LP Book Price]]&gt;0,SnapshotTable[[#This Row],[LP Fill Date]]=0),"Y","")</f>
        <v/>
      </c>
      <c r="BP265" s="31" t="str">
        <f>IF(AND(SnapshotTable[[#This Row],[LP No Fill]]&lt;&gt;"Y",SnapshotTable[[#This Row],[LP Contract Value]]&gt;0, SnapshotTable[[#This Row],[LP Qty]]&gt;0), SnapshotTable[[#This Row],[LP Contract Value]]*SnapshotTable[[#This Row],[LP Qty]]*100,"")</f>
        <v/>
      </c>
      <c r="BQ265" s="13"/>
      <c r="BR265" s="5" t="str">
        <f>IF(SnapshotTable[[#This Row],[SP Exp Date]]&lt;&gt;"",TRUNC(SnapshotTable[[#This Row],[Last Price]]),"")</f>
        <v/>
      </c>
      <c r="BS265" s="36"/>
      <c r="BT265" s="147"/>
      <c r="BU265" s="13"/>
      <c r="BV265" s="5"/>
      <c r="BW265" s="419" t="b">
        <f>AND(ISNUMBER(SnapshotTable[[#This Row],[SP Exp Date]]), ISNUMBER(SnapshotTable[[#This Row],[SP Strike Price]]), ISNUMBER(SnapshotTable[[#This Row],[SP Qty]]), ISNUMBER(SnapshotTable[[#This Row],[SP Book Date]]), ISNUMBER(SnapshotTable[[#This Row],[SP Book Price]]))</f>
        <v>0</v>
      </c>
      <c r="BX265" s="419" t="b">
        <f>AND(SnapshotTable[[#This Row],[SP Is Booked]], NOT(ISBLANK(SnapshotTable[[#This Row],[SP Fill Date]])))</f>
        <v>0</v>
      </c>
      <c r="BY265" s="33">
        <f>IF(SnapshotTable[[#This Row],[SP Is Booked]], SnapshotTable[[#This Row],[SP Qty]] * SnapshotTable[[#This Row],[SP Book Price]] * 100, 0)</f>
        <v>0</v>
      </c>
      <c r="BZ265" s="369"/>
      <c r="CA265" s="368">
        <f>SnapshotTable[[#This Row],[LP Qty]]</f>
        <v>0</v>
      </c>
      <c r="CB265" s="4" t="str">
        <f>IF(SnapshotTable[[#This Row],[SP Is Booked]], SnapshotTable[[#This Row],[SP Strike Price]] - SnapshotTable[[#This Row],[SP Book Price]], "")</f>
        <v/>
      </c>
      <c r="CC265" s="19" t="str">
        <f>IF(SnapshotTable[[#This Row],[SP Is Booked]],SnapshotTable[[#This Row],[SP Exp Date]]-MAX(SnapshotTable[[#This Row],[SP Book Date]], SnapshotTable[[#This Row],[SP Fill Date]]),"")</f>
        <v/>
      </c>
      <c r="CD265" s="7" t="str">
        <f>IF(SnapshotTable[[#This Row],[SP Is Booked]], SnapshotTable[[#This Row],[SP Book Price]]/SnapshotTable[[#This Row],[SP Strike Price]], "")</f>
        <v/>
      </c>
      <c r="CE265" s="7" t="str">
        <f>IF(ISNUMBER(SnapshotTable[[#This Row],[SP ROO Term]]),SnapshotTable[[#This Row],[SP ROO Term]]*(365/SnapshotTable[[#This Row],[SP Term]]),"")</f>
        <v/>
      </c>
      <c r="CF265" s="236">
        <f>SnapshotTable[[#This Row],[LP Strike Price]] * SnapshotTable[[#This Row],[LP Qty]] * 100</f>
        <v>0</v>
      </c>
      <c r="CG265" s="31" t="e">
        <f>IF(ISNUMBER(SnapshotTable[[#This Row],[SP Premium]]), (SnapshotTable[[#This Row],[SP Qty]] * SnapshotTable[[#This Row],[SP Strike Price]]* 100) - SnapshotTable[[#This Row],[LP Protection]], 0)</f>
        <v>#VALUE!</v>
      </c>
      <c r="CH265" s="7" t="str">
        <f>IF(ISNUMBER(SnapshotTable[[#This Row],[SP Break Even]]),-1 * (SnapshotTable[[#This Row],[SP Break Even]] - SnapshotTable[[#This Row],[Last Price]]) / SnapshotTable[[#This Row],[Last Price]], "")</f>
        <v/>
      </c>
      <c r="CI265" s="31">
        <f>IF(AND(ISNUMBER((SnapshotTable[[#This Row],[SP Potential Spend]])), SnapshotTable[[#This Row],[SP Strike Price]] &gt; SnapshotTable[[#This Row],[Last Price]], SnapshotTable[[#This Row],[SP Is Filled]]), SnapshotTable[[#This Row],[SP Potential Spend]] -  SnapshotTable[[#This Row],[LP Max Value]], 0)</f>
        <v>0</v>
      </c>
      <c r="CJ265" s="244"/>
      <c r="CK265" s="31" t="str">
        <f>IF(ISNUMBER(SnapshotTable[[#This Row],[SP Potential Spend]]),IF(ISNUMBER(SnapshotTable[[#This Row],[SP POW]]), SnapshotTable[[#This Row],[SP POW]] * SnapshotTable[[#This Row],[SP Potential Spend]], SnapshotTable[[#This Row],[SP Potential Spend]]), "")</f>
        <v/>
      </c>
      <c r="CL265" s="164" t="e">
        <f>IF(NOT(SnapshotTable[[#This Row],[SP Is Filled]]),(SnapshotTable[[#This Row],[SP Qty]] * SnapshotTable[[#This Row],[SP Strike Price]] * 100) - SnapshotTable[[#This Row],[LP Max Value]],"")</f>
        <v>#VALUE!</v>
      </c>
      <c r="CM265" s="31" t="str">
        <f>IF(SnapshotTable[[#This Row],[SP Actual Spend]]&lt;&gt;0, ((SnapshotTable[[#This Row],[SP Strike Price]]-SnapshotTable[[#This Row],[Last Price]]) *(SnapshotTable[[#This Row],[SP Qty]]*100) - SnapshotTable[[#This Row],[SP Premium]]) * - 1, "")</f>
        <v/>
      </c>
      <c r="CN265" s="78"/>
      <c r="CO265" s="369"/>
      <c r="CP265" s="4" t="str">
        <f>IF(SnapshotTable[[#This Row],[SP Is Filled]], btc_max_buyback_amount(SnapshotTable[[#This Row],[SP Fill Date]],SnapshotTable[[#This Row],[SP Exp Date]], SnapshotTable[[#This Row],[SP Book Price]]),"")</f>
        <v/>
      </c>
      <c r="CQ265" s="78"/>
      <c r="CR26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5" s="155" t="str">
        <f>IF(SnapshotTable[[#This Row],[SP Is Filled]], btc_next_cutoff_date(SnapshotTable[[#This Row],[SP Fill Date]],SnapshotTable[[#This Row],[SP Exp Date]]),"")</f>
        <v/>
      </c>
      <c r="CT265" s="235" t="str" cm="1">
        <f t="array" ref="CT265">IF(SnapshotTable[[#This Row],[SP Is Filled]], btc_should_buy_back(SnapshotTable[[#This Row],[SP Fill Date]], SnapshotTable[[#This Row],[SP Exp Date]], SnapshotTable[[#This Row],[SP Book Price]], SnapshotTable[[#This Row],[SP Current Ask]], MockToday, SnapshotTable[[#This Row],[SP Buyback Override]]),"")</f>
        <v/>
      </c>
      <c r="CU265" s="143"/>
      <c r="CV265" s="235"/>
      <c r="CW265" s="378" t="str">
        <f>IF(ISNUMBER( SnapshotTable[[#This Row],[SP Term]]), SnapshotTable[[#This Row],[SP Exp Date]] - MockToday,"")</f>
        <v/>
      </c>
      <c r="CX265" s="31" t="str">
        <f>IF(SnapshotTable[[#This Row],[SP Is Filled]],SnapshotTable[[#This Row],[SP Buyback Price to Use]] * 100 * SnapshotTable[[#This Row],[SP Qty]], "")</f>
        <v/>
      </c>
      <c r="CY265" s="4" t="str">
        <f>IF(ISNUMBER(SnapshotTable[[#This Row],[SP Strike Price]]), SnapshotTable[[#This Row],[SP Strike Price]] * (1 - SP_MaxLoss_StrikePct), "")</f>
        <v/>
      </c>
      <c r="CZ265" s="31" t="str">
        <f>IF(ISNUMBER(SnapshotTable[[#This Row],[SP Strike  Stop Per Share]]),SnapshotTable[[#This Row],[SP Premium]] - ((SnapshotTable[[#This Row],[SP Strike Price]]-SnapshotTable[[#This Row],[SP Strike  Stop Per Share]]) *(SnapshotTable[[#This Row],[SP Qty]] * 100)),"")</f>
        <v/>
      </c>
      <c r="DA265" s="4" t="str">
        <f>IF(AND(ISNUMBER(SnapshotTable[[#This Row],[SP Premium]]),SnapshotTable[[#This Row],[SP Premium]]&gt;0), SnapshotTable[[#This Row],[SP Book Price]] * (1 + SP_MaxLoss_OptionPct), "")</f>
        <v/>
      </c>
      <c r="DB265" s="31" t="str">
        <f>IF(ISNUMBER(SnapshotTable[[#This Row],[SP Option  Stop Contract]]),(SnapshotTable[[#This Row],[SP Option  Stop Contract]] *(SnapshotTable[[#This Row],[SP Qty]] * 100) - SnapshotTable[[#This Row],[SP Premium]]),"")</f>
        <v/>
      </c>
      <c r="DC265" s="4"/>
      <c r="DD265" s="4"/>
      <c r="DE265" s="4" t="str">
        <f>IF(AND(SnapshotTable[[#This Row],[SP Qty]]&gt;0, SnapshotTable[[#This Row],[SP Stop To Use]]&gt;0),SnapshotTable[[#This Row],[SP Premium]] - ( SnapshotTable[[#This Row],[SP Qty]] * SnapshotTable[[#This Row],[SP Stop To Use]] * 100), "")</f>
        <v/>
      </c>
      <c r="DF265" s="31" t="str">
        <f>IF(AND(SnapshotTable[[#This Row],[SP Qty]]&gt;0,SnapshotTable[[#This Row],[SP Current Ask]]&gt;0), SnapshotTable[[#This Row],[SP Qty]] * SnapshotTable[[#This Row],[SP Current Ask]] * -100, "")</f>
        <v/>
      </c>
      <c r="DG265" s="31" t="str">
        <f>IF(ISNUMBER((SnapshotTable[[#This Row],[SP Total Value]])), SnapshotTable[[#This Row],[SP Premium]] + SnapshotTable[[#This Row],[SP Total Value]], "")</f>
        <v/>
      </c>
      <c r="DH265" s="294" t="str">
        <f>IF(ISNUMBER((SnapshotTable[[#This Row],[SP Total Value]])), SnapshotTable[[#This Row],[SP Gain Loss]] / SnapshotTable[[#This Row],[SP Premium]], "")</f>
        <v/>
      </c>
      <c r="DI265" s="406">
        <v>46773</v>
      </c>
      <c r="DJ265" s="138">
        <v>60</v>
      </c>
      <c r="DK265" s="148">
        <v>6</v>
      </c>
      <c r="DL265" s="13">
        <v>46087</v>
      </c>
      <c r="DM265" s="13">
        <v>46087</v>
      </c>
      <c r="DN265" s="5">
        <v>16.63</v>
      </c>
      <c r="DO265" s="31">
        <f>IF(SnapshotTable[[#This Row],[LC Symbol Count]]=1, SnapshotTable[[#This Row],[LC Qty]] * SnapshotTable[[#This Row],[LC Book Price]] * 100, 0)</f>
        <v>9978</v>
      </c>
      <c r="DP265" s="163" t="str">
        <f>IF(AND(SnapshotTable[[#This Row],[LC Exp Date]]&gt;0, SnapshotTable[[#This Row],[LC Strike Price]]&gt;0,SnapshotTable[[#This Row],[LC Qty]]&gt;0,SnapshotTable[[#This Row],[LC Book Date]]&gt;0,SnapshotTable[[#This Row],[LC Book Price]]&gt;0,SnapshotTable[[#This Row],[LC Fill Date]]=0),"Y","")</f>
        <v/>
      </c>
      <c r="DQ265" s="386">
        <f>IF(SnapshotTable[[#This Row],[LC Premium]] &gt; 0,SnapshotTable[[#This Row],[LC Exp Date]]-MAX(SnapshotTable[[#This Row],[LC Book Date]], SnapshotTable[[#This Row],[LC Fill Date]]),"")</f>
        <v>686</v>
      </c>
      <c r="DR265" s="386">
        <f ca="1">IF(ISNUMBER(SnapshotTable[[#This Row],[LC Term]]), SnapshotTable[[#This Row],[LC Exp Date]] - MockToday, "")</f>
        <v>538</v>
      </c>
      <c r="DS265" s="234">
        <f>IF(SnapshotTable[[#This Row],[LC Premium]]&gt;0,SnapshotTable[[#This Row],[LC Strike Price]] + SnapshotTable[[#This Row],[LC Book Price]],"")</f>
        <v>76.63</v>
      </c>
      <c r="DU265" s="9" t="str">
        <f>IF(AND(SnapshotTable[[#This Row],[LC Symbol Count]]&gt;0, SnapshotTable[[#This Row],[LC Contract Value]]&gt;0), SnapshotTable[[#This Row],[LC Contract Value]] * SnapshotTable[[#This Row],[LC Qty]] * 100, "")</f>
        <v/>
      </c>
      <c r="DV265" s="9" t="str">
        <f>IF(AND(ISNUMBER(SnapshotTable[[#This Row],[LC Total Value]]), SnapshotTable[[#This Row],[LC Not Filled]]&lt;&gt;"Y"), SnapshotTable[[#This Row],[LC Total Value]]-SnapshotTable[[#This Row],[LC Premium]],"")</f>
        <v/>
      </c>
      <c r="DW265" s="240" t="str">
        <f>IF(ISNUMBER(SnapshotTable[[#This Row],[LC Actual Gain Loss]]), SnapshotTable[[#This Row],[LC Actual Gain Loss]] / SnapshotTable[[#This Row],[LC Premium]],"")</f>
        <v/>
      </c>
      <c r="DX265" s="284">
        <f>IF(ISNUMBER(SnapshotTable[[#This Row],[LC Book Price]]),SnapshotTable[[#This Row],[LC Book Price]] * 1.5,"")</f>
        <v>24.945</v>
      </c>
      <c r="DY265" s="265">
        <f>IF(SnapshotTable[[#This Row],[LC Premium]]&gt;0, SnapshotTable[[#This Row],[LC Next Target]] * SnapshotTable[[#This Row],[LC Qty]] * 100,"")</f>
        <v>14967.000000000002</v>
      </c>
      <c r="DZ265" s="265">
        <f>IF(ISNUMBER(SnapshotTable[[#This Row],[LC Target Gross]]), SnapshotTable[[#This Row],[LC Target Gross]] - SnapshotTable[[#This Row],[LC Premium]], "")</f>
        <v>4989.0000000000018</v>
      </c>
      <c r="EA265" s="305">
        <f>IF(ISNUMBER(SnapshotTable[[#This Row],[LC Target Gain Loss]]), SnapshotTable[[#This Row],[LC Target Gain Loss]]/SnapshotTable[[#This Row],[LC Premium]], "")</f>
        <v>0.50000000000000022</v>
      </c>
      <c r="EB265" s="262"/>
      <c r="EC265" s="283">
        <f>IF(SnapshotTable[[#This Row],[LC Premium]]&gt;0, SnapshotTable[[#This Row],[LC Book Price]] * (1 - LC_StopLoss_Pct),"")</f>
        <v>12.4725</v>
      </c>
      <c r="ED265" s="284"/>
      <c r="EE265" s="283" t="str">
        <f>IF(ISNUMBER(SnapshotTable[[#This Row],[LC Contract Value]]),IF(ISNUMBER(SnapshotTable[[#This Row],[LC Stop Loss Override]]), SnapshotTable[[#This Row],[LC Stop Loss Override]],SnapshotTable[[#This Row],[LC Stop Loss Calc Target]]),"")</f>
        <v/>
      </c>
      <c r="EF265" s="31" t="str">
        <f>IF(ISNUMBER(SnapshotTable[[#This Row],[LC Stop  To Use]]), (SnapshotTable[[#This Row],[LC Stop  To Use]] * SnapshotTable[[#This Row],[LC Qty]] * 100),"")</f>
        <v/>
      </c>
      <c r="EG265" s="9" t="str">
        <f>IF(ISNUMBER(SnapshotTable[[#This Row],[LC Total Value]]),SnapshotTable[[#This Row],[LC Stop Loss Amount]] - SnapshotTable[[#This Row],[LC Premium]],"")</f>
        <v/>
      </c>
      <c r="EH265" s="9">
        <f>IF(ISNUMBER(SnapshotTable[[#This Row],[LC Premium]]), SnapshotTable[[#This Row],[LC Qty]] * 100 * SnapshotTable[[#This Row],[LC Strike Price]], "")</f>
        <v>36000</v>
      </c>
      <c r="EI265" s="240" t="str">
        <f>IF(AND(ISNUMBER(SnapshotTable[[#This Row],[LC Total Value]]),SnapshotTable[[#This Row],[LC Total Value]]&gt;0),SnapshotTable[[#This Row],[LC Stop Gain Loss]]  / SnapshotTable[[#This Row],[LC Premium]],"")</f>
        <v/>
      </c>
      <c r="EJ265" s="35">
        <f>IF(ISNUMBER(SnapshotTable[[#This Row],[Equity Shares]]),TRUNC(SnapshotTable[[#This Row],[Equity Shares]] / 100),0) + SnapshotTable[[#This Row],[LC Qty]]</f>
        <v>6</v>
      </c>
      <c r="EK265" s="147"/>
      <c r="EL265" s="138" t="str">
        <f>IF(SnapshotTable[[#This Row],[SC Exp Date]]&lt;&gt;"",TRUNC(SnapshotTable[[#This Row],[Last Price]]),"")</f>
        <v/>
      </c>
      <c r="EM265" s="148"/>
      <c r="EN265" s="147"/>
      <c r="EO265" s="147"/>
      <c r="EP265" s="138"/>
      <c r="EQ265" s="419" t="b">
        <f>AND(ISNUMBER(SnapshotTable[[#This Row],[SC Exp Date]]), ISNUMBER(SnapshotTable[[#This Row],[SC Strike Price]]), ISNUMBER(SnapshotTable[[#This Row],[SC Qty]]), ISNUMBER(SnapshotTable[[#This Row],[SC Book Date]]), ISNUMBER(SnapshotTable[[#This Row],[SC Book Price]]))</f>
        <v>0</v>
      </c>
      <c r="ER265" s="419" t="b">
        <f>AND(SnapshotTable[[#This Row],[SC Is Booked]], NOT(ISBLANK(SnapshotTable[[#This Row],[SC Fill Date]])))</f>
        <v>0</v>
      </c>
      <c r="ES265" s="370"/>
      <c r="ET265" s="34" t="str">
        <f>IF(AND(ISNUMBER(SnapshotTable[[#This Row],[SC Exp Date]]), ISNUMBER(SnapshotTable[[#This Row],[SC Book Date]])), SnapshotTable[[#This Row],[SC Exp Date]] - MAX(SnapshotTable[[#This Row],[SC Book Date]], SnapshotTable[[#This Row],[SC Fill Date]]) + 1, "")</f>
        <v/>
      </c>
      <c r="EU265" s="34" t="str">
        <f>IF(ISNUMBER(SnapshotTable[[#This Row],[SC Term]]), SnapshotTable[[#This Row],[SC Exp Date]]- MockToday, "")</f>
        <v/>
      </c>
      <c r="EV265" s="31">
        <f>IF(SnapshotTable[[#This Row],[SC Is Booked]], SnapshotTable[[#This Row],[SC Qty]] * SnapshotTable[[#This Row],[SC Book Price]] * 100, 0)</f>
        <v>0</v>
      </c>
      <c r="EW265" s="4" t="str">
        <f>IF(AND(ISNUMBER(SnapshotTable[[#This Row],[Last Price]]), ISNUMBER( SnapshotTable[[#This Row],[SC Book Price]])), SnapshotTable[[#This Row],[Last Price]] - SnapshotTable[[#This Row],[SC Book Price]],"")</f>
        <v/>
      </c>
      <c r="EX265" s="234" t="str">
        <f>IF(SnapshotTable[[#This Row],[SC Is Booked]],IF(SnapshotTable[[#This Row],[SC Intrinsic Value]] &gt; 0, SnapshotTable[[#This Row],[SC Strike Price]], SnapshotTable[[#This Row],[Last Price]]), "")</f>
        <v/>
      </c>
      <c r="EY265" s="4">
        <f>IF(SnapshotTable[[#This Row],[SC Is Booked]], (MinimumPremiumRequired * SnapshotTable[[#This Row],[SC Basis]] * SnapshotTable[[#This Row],[SC Term]]), 0)</f>
        <v>0</v>
      </c>
      <c r="EZ265" s="283"/>
      <c r="FA265" s="218"/>
      <c r="FB265" s="370"/>
      <c r="FC265" s="4">
        <f>IF(SnapshotTable[[#This Row],[SC Is Filled]], btc_max_buyback_amount(SnapshotTable[[#This Row],[SC Fill Date]],SnapshotTable[[#This Row],[SC Exp Date]], SnapshotTable[[#This Row],[SC Book Price]]),0)</f>
        <v>0</v>
      </c>
      <c r="FD265" s="5"/>
      <c r="FE265" s="144" t="str">
        <f>IF(SnapshotTable[[#This Row],[SC Is Filled]], btc_next_cutoff_date(SnapshotTable[[#This Row],[SC Fill Date]],SnapshotTable[[#This Row],[SC Exp Date]]),"")</f>
        <v/>
      </c>
      <c r="FF265" s="4" t="str" cm="1">
        <f t="array" ref="FF265">IF(SnapshotTable[[#This Row],[SC Is Filled]], btc_should_buy_back(SnapshotTable[[#This Row],[SC Fill Date]], SnapshotTable[[#This Row],[SC Exp Date]], SnapshotTable[[#This Row],[SC Book Price]], SnapshotTable[[#This Row],[SC Current Ask]], MockToday, SnapshotTable[[#This Row],[SC Buyback Override]]),"")</f>
        <v/>
      </c>
      <c r="FG265" s="4">
        <f>IF(SnapshotTable[[#This Row],[SC Is Filled]], MAX(0,SnapshotTable[[#This Row],[Last Price]]  - SnapshotTable[[#This Row],[SC Strike Price]]), 0)</f>
        <v>0</v>
      </c>
      <c r="FH265" s="382">
        <f>IF(SnapshotTable[[#This Row],[SC Is Filled]], IF(ISNUMBER(SnapshotTable[[#This Row],[SC Current Ask]]), SnapshotTable[[#This Row],[SC Current Ask]], SnapshotTable[[#This Row],[SC Book Price]]) - SnapshotTable[[#This Row],[SC Intrinsic Value]], 0)</f>
        <v>0</v>
      </c>
      <c r="FI265" s="143"/>
      <c r="FJ265" s="32" t="str">
        <f>IF(SnapshotTable[[#This Row],[SC Is Filled]],100 * SnapshotTable[[#This Row],[SC Qty]] * IF(ISNUMBER(SnapshotTable[[#This Row],[SC Buyback Override]]), SnapshotTable[[#This Row],[SC Buyback Override]], SnapshotTable[[#This Row],[SC Current Ask]]), "")</f>
        <v/>
      </c>
      <c r="FK265" s="250" t="str">
        <f>IF(SnapshotTable[[#This Row],[SC Time Val]]&gt;0, SnapshotTable[[#This Row],[SC Time Val]] / SnapshotTable[[#This Row],[Last Price]],"")</f>
        <v/>
      </c>
      <c r="FL265" s="302" t="str">
        <f>IF(SnapshotTable[[#This Row],[SC Is Booked]], ((SnapshotTable[[#This Row],[Last Price]] -SnapshotTable[[#This Row],[SC Strike Price]]) / SnapshotTable[[#This Row],[Last Price]]) * -1, "")</f>
        <v/>
      </c>
      <c r="FM265" s="157" t="str">
        <f>IF(SnapshotTable[[#This Row],[SC Is Booked]],  (SnapshotTable[[#This Row],[SC Qty]] * 100 * SnapshotTable[[#This Row],[SC Strike Price]]) - SnapshotTable[[#This Row],[SC Current Ask]], "")</f>
        <v/>
      </c>
      <c r="FN26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5" s="31" t="str">
        <f>IF(AND(ISNUMBER(SnapshotTable[[#This Row],[SC Exercise Gross]]), ISNUMBER(SnapshotTable[[#This Row],[Equity Basis Per Share]] )), SnapshotTable[[#This Row],[SC Exercise Gross]] - SnapshotTable[[#This Row],[Equity Basis Total]] +  SnapshotTable[[#This Row],[SC Premium]], "")</f>
        <v/>
      </c>
      <c r="FP265" s="5" t="str">
        <f>IF(ISNUMBER(SnapshotTable[[#This Row],[SC Exercise Gross]]), (SnapshotTable[[#This Row],[SC Exercise Gross]]) / (SnapshotTable[[#This Row],[SC Qty]] * 100), "")</f>
        <v/>
      </c>
      <c r="FQ265" s="27" t="str">
        <f>IF(SnapshotTable[[#This Row],[SC Is Booked]],SnapshotTable[[#This Row],[SC Time Val]] /SnapshotTable[[#This Row],[SC Basis]], "")</f>
        <v/>
      </c>
      <c r="FR265" s="27" t="str" cm="1">
        <f t="array" ref="FR265">IF(AND(ISNUMBER(SnapshotTable[[#This Row],[SC Term]]),ISNUMBER(SnapshotTable[[#This Row],[SC Simple ROO]])), EllmanAnnualize(SnapshotTable[[#This Row],[SC DTE]], SnapshotTable[[#This Row],[SC Simple ROO]] ),"")</f>
        <v/>
      </c>
      <c r="FS265" s="4" t="e">
        <f>IF(SnapshotTable[[#This Row],[SC Strike Price]] &gt; SnapshotTable[[#This Row],[Last Price]], SnapshotTable[[#This Row],[SC Strike Price]] - SnapshotTable[[#This Row],[Last Price]],0)</f>
        <v>#VALUE!</v>
      </c>
      <c r="FT265" s="27" t="e">
        <f>IF(AND(ISNUMBER(SnapshotTable[[#This Row],[SC Upside Potential]]), SnapshotTable[[#This Row],[SC Upside Potential]] &gt; 0),(SnapshotTable[[#This Row],[SC Upside Potential]]/ SnapshotTable[[#This Row],[ACB]]),"")</f>
        <v>#VALUE!</v>
      </c>
      <c r="FU265" s="333" t="str">
        <f>IF(SnapshotTable[[#This Row],[SC Intrinsic Value]] &gt; 0,SnapshotTable[[#This Row],[SC Intrinsic Value]],"")</f>
        <v/>
      </c>
      <c r="FV265" s="27" t="str">
        <f>IF(AND( ISNUMBER( SnapshotTable[[#This Row],[ACB]]),ISNUMBER(SnapshotTable[[#This Row],[SC Downside Protect]])),SnapshotTable[[#This Row],[SC Downside Protect]] / SnapshotTable[[#This Row],[ACB]],"")</f>
        <v/>
      </c>
      <c r="FW265" s="236" t="str">
        <f>IF(AND(ISNUMBER(SnapshotTable[[#This Row],[SC Simple ROO]]),SnapshotTable[[#This Row],[SC Simple ROO]] &gt; 0), SnapshotTable[[#This Row],[SC Premium]] + (SnapshotTable[[#This Row],[SC Qty]] * SnapshotTable[[#This Row],[SC Upside Potential]]), "")</f>
        <v/>
      </c>
      <c r="FX265" s="302" t="str" cm="1">
        <f t="array" ref="FX265">IF(ISNUMBER(SnapshotTable[[#This Row],[SC Max Dollars]]), annualize(SnapshotTable[[#This Row],[SC Term]],(SnapshotTable[[#This Row],[SC Max Dollars]]/SnapshotTable[[#This Row],[SC Basis]])),"")</f>
        <v/>
      </c>
      <c r="FY265" s="236" t="str">
        <f>IF(AND(SnapshotTable[[#This Row],[SC Qty]]&gt;0,SnapshotTable[[#This Row],[SC Current Ask]]&gt;0), SnapshotTable[[#This Row],[SC Qty]] * SnapshotTable[[#This Row],[SC Current Ask]] * -100, "")</f>
        <v/>
      </c>
      <c r="FZ265" s="31" t="str">
        <f>IF(ISNUMBER((SnapshotTable[[#This Row],[SC Current Value]])), SnapshotTable[[#This Row],[SC Premium]] + SnapshotTable[[#This Row],[SC Current Value]], "")</f>
        <v/>
      </c>
      <c r="GA265" s="294" t="str">
        <f>IFERROR( IF(ISNUMBER((SnapshotTable[[#This Row],[SC Current Value]])), SnapshotTable[[#This Row],[SC Gain Loss]] / SnapshotTable[[#This Row],[SC Premium]], ""), "")</f>
        <v/>
      </c>
      <c r="GB265" s="42">
        <f>SnapshotTable[[#This Row],[Equity Shares]] * SaleSharesToConsiderPercentage</f>
        <v>0</v>
      </c>
      <c r="GC265" s="40">
        <f>SnapshotTable[[#This Row],[Long Term Target]] * SellingPriceToConsiderBasedOnTargetPercentage</f>
        <v>0</v>
      </c>
      <c r="GD265" s="40">
        <f>SnapshotTable[[#This Row],[Last Price]] * (1+ SellingPriceToConsiderBasedOnTargetPercentage)</f>
        <v>122.07</v>
      </c>
      <c r="GE265" s="41"/>
      <c r="GF265" s="40"/>
      <c r="GG265" s="31">
        <f>SnapshotTable[[#This Row],[Booked Sale Shares]] * SnapshotTable[[#This Row],[Booked Sale Price]]</f>
        <v>0</v>
      </c>
      <c r="GH265" s="31" t="str">
        <f>IF(SnapshotTable[[#This Row],[Equity Basis Total]] &gt; 0, SnapshotTable[[#This Row],[Equity Basis Per Share]] * SnapshotTable[[#This Row],[Booked Sale Shares]], "")</f>
        <v/>
      </c>
      <c r="GI265" s="31">
        <f>IF(SnapshotTable[[#This Row],[Sale Proceeds]]&gt;0, SnapshotTable[[#This Row],[Sale Proceeds]] - SnapshotTable[[#This Row],[Sale Basis]], 0)</f>
        <v>0</v>
      </c>
      <c r="GJ265" s="27" t="str">
        <f>IF(SnapshotTable[[#This Row],[Sale G/L]]&gt;0, SnapshotTable[[#This Row],[Sale G/L]] / SnapshotTable[[#This Row],[Sale Basis]], IF(ISNUMBER(SnapshotTable[[#This Row],[SC Exercise P&amp;L (TAX)]]), SnapshotTable[[#This Row],[SC Exercise P&amp;L (TAX)]] / SnapshotTable[[#This Row],[SC Basis]], ""))</f>
        <v/>
      </c>
      <c r="GK265" s="27"/>
      <c r="GL265" s="43" t="str">
        <f>IF(AND(SnapshotTable[[#This Row],[LP Exp Date]]&gt;0,SnapshotTable[[#This Row],[LP Strike Price]]&gt;0), [1]!ToOptionSymbol(SnapshotTable[[#This Row],[Symbol]], SnapshotTable[[#This Row],[LP Strike Price]],SnapshotTable[[#This Row],[LP Exp Date]],1), "")</f>
        <v/>
      </c>
      <c r="GM265" s="30" t="str">
        <f>IF(LEN(SnapshotTable[[#This Row],[LP Symbol]])&gt;0, 1, "")</f>
        <v/>
      </c>
      <c r="GN265" s="43" t="str">
        <f>IF(AND(SnapshotTable[[#This Row],[SP Exp Date]]&gt;0,SnapshotTable[[#This Row],[SP Strike Price]]&gt;0), [1]!ToOptionSymbol(SnapshotTable[[#This Row],[Symbol]], SnapshotTable[[#This Row],[SP Strike Price]],SnapshotTable[[#This Row],[SP Exp Date]],1), "")</f>
        <v/>
      </c>
      <c r="GO265" s="30" t="str">
        <f>IF(LEN(SnapshotTable[[#This Row],[SP Symbol]])&gt;0, 1, "")</f>
        <v/>
      </c>
      <c r="GP265" s="43" t="str">
        <f>IF(AND(SnapshotTable[[#This Row],[LC Exp Date]]&gt;0,SnapshotTable[[#This Row],[LC Strike Price]]&gt;0), [1]!ToOptionSymbol(SnapshotTable[[#This Row],[Symbol]], SnapshotTable[[#This Row],[LC Strike Price]],SnapshotTable[[#This Row],[LC Exp Date]],0), "")</f>
        <v>FCX280121C00060000</v>
      </c>
      <c r="GQ265" s="30">
        <f>IF(LEN(SnapshotTable[[#This Row],[LC Symbol]])&gt;0, 1, "")</f>
        <v>1</v>
      </c>
      <c r="GR265" s="43" t="str">
        <f>IF(AND(SnapshotTable[[#This Row],[SC Exp Date]]&gt;0,SnapshotTable[[#This Row],[SC Strike Price]]&gt;0), [1]!ToOptionSymbol(SnapshotTable[[#This Row],[Symbol]], SnapshotTable[[#This Row],[SC Strike Price]],SnapshotTable[[#This Row],[SC Exp Date]],0), "")</f>
        <v/>
      </c>
      <c r="GS265" s="30" t="str">
        <f>IF(LEN(SnapshotTable[[#This Row],[SC Symbol]])&gt;0, 1, "")</f>
        <v/>
      </c>
      <c r="GT265" s="29" t="str">
        <f>IF(COUNT(SnapshotTable[[#This Row],[LP Symbol Count]],SnapshotTable[[#This Row],[SP Symbol Count]],SnapshotTable[[#This Row],[LC Symbol Count]],SnapshotTable[[#This Row],[SC Symbol Count]])&gt;0, "Y", "")</f>
        <v>Y</v>
      </c>
      <c r="GU26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LC </v>
      </c>
      <c r="GV265" s="231" t="e">
        <f>MAX(SnapshotTable[[#This Row],[Equity Basis Total]],SnapshotTable[[#This Row],[Equity Value]]) + (SnapshotTable[[#This Row],[SP Potential Spend]]- SnapshotTable[[#This Row],[SP Premium]] + SnapshotTable[[#This Row],[LP Premium]])+ (SnapshotTable[[#This Row],[LC Premium]] - SnapshotTable[[#This Row],[SC Premium]])</f>
        <v>#VALUE!</v>
      </c>
      <c r="GW265" s="139" t="e">
        <f>IF(AND(SnapshotTable[[#This Row],[Exposure]] &lt;&gt; 0),SnapshotTable[[#This Row],[Exposure]] / SnapshotTable[[#Totals],[Exposure]], "")</f>
        <v>#VALUE!</v>
      </c>
      <c r="GX265" s="13"/>
      <c r="HK265" s="1"/>
      <c r="HL265" s="1"/>
      <c r="HM265" s="1"/>
      <c r="HN265" s="1"/>
      <c r="HO265" s="1"/>
      <c r="HP265" s="1"/>
    </row>
    <row r="266" spans="2:224" ht="12.75" hidden="1" customHeight="1" x14ac:dyDescent="0.25">
      <c r="B266" s="12" t="s">
        <v>1260</v>
      </c>
      <c r="C266" s="422">
        <v>14.04</v>
      </c>
      <c r="D266" s="208"/>
      <c r="E266" s="39">
        <f>SnapshotTable[[#This Row],[Last Price]]*(1 -CrashDiscount)</f>
        <v>11.933999999999999</v>
      </c>
      <c r="F266" s="325" t="s">
        <v>5</v>
      </c>
      <c r="G266" s="325" t="s">
        <v>4</v>
      </c>
      <c r="H266" s="149"/>
      <c r="I266" s="194"/>
      <c r="J266" s="195"/>
      <c r="K266" s="196"/>
      <c r="L266" s="326"/>
      <c r="M266" s="140"/>
      <c r="N266" s="140"/>
      <c r="O266" s="140"/>
      <c r="P266" s="22"/>
      <c r="Q266" s="25"/>
      <c r="R266" s="4" t="str">
        <f>IF(SnapshotTable[[#This Row],[Equity Basis Total]] &gt; 0, SnapshotTable[[#This Row],[Equity Basis Total]] / SnapshotTable[[#This Row],[Equity Shares]], "")</f>
        <v/>
      </c>
      <c r="S266" s="269">
        <f>SnapshotTable[[#This Row],[Last Price]] * SnapshotTable[[#This Row],[Equity Shares]]</f>
        <v>0</v>
      </c>
      <c r="T266" s="269">
        <f>SnapshotTable[[#This Row],[Equity Value]] - SnapshotTable[[#This Row],[Equity Basis Total]]</f>
        <v>0</v>
      </c>
      <c r="U266" s="270" t="str">
        <f>IF(SnapshotTable[[#This Row],[Equity Basis Total]] &gt; 0, SnapshotTable[[#This Row],[Equity G/L]] / SnapshotTable[[#This Row],[Equity Basis Total]], "")</f>
        <v/>
      </c>
      <c r="V266" s="268">
        <v>30</v>
      </c>
      <c r="W266" s="268"/>
      <c r="X266" s="4" t="str">
        <f>IF(AND(ISNUMBER(SnapshotTable[[#This Row],[Equity Basis Per Share]]),ISNUMBER(SnapshotTable[[#This Row],[Equity Target]])),SnapshotTable[[#This Row],[Equity Target]]-SnapshotTable[[#This Row],[Equity Basis Per Share]],"")</f>
        <v/>
      </c>
      <c r="Y266" s="4" t="str">
        <f>IF(AND(ISNUMBER(SnapshotTable[[#This Row],[Equity Basis Per Share]]),ISNUMBER(SnapshotTable[[#This Row],[Equity Stop Loss]])),SnapshotTable[[#This Row],[Equity Stop Loss]]-SnapshotTable[[#This Row],[Equity Basis Per Share]],"")</f>
        <v/>
      </c>
      <c r="Z266" s="275" t="str">
        <f>IFERROR( TEXT(SnapshotTable[[#This Row],[Equity Max Gain Per Share]] /ABS( SnapshotTable[[#This Row],[Equity Max Loss Per Share]]),"0.0 " ) &amp; " : 1", "")</f>
        <v/>
      </c>
      <c r="AA266" s="31" t="str">
        <f>IF(ISNUMBER(SnapshotTable[[#This Row],[Equity Max Gain Per Share]]),SnapshotTable[[#This Row],[Equity Max Gain Per Share]] * SnapshotTable[[#This Row],[Equity Shares]],"")</f>
        <v/>
      </c>
      <c r="AB266" s="31" t="str">
        <f>IF(ISNUMBER(SnapshotTable[[#This Row],[Equity Max Loss Per Share]]),SnapshotTable[[#This Row],[Equity Max Loss Per Share]] * SnapshotTable[[#This Row],[Equity Shares]],"")</f>
        <v/>
      </c>
      <c r="AC266" s="150"/>
      <c r="AD266" s="151"/>
      <c r="AE266" s="31">
        <f>(SnapshotTable[[#This Row],[Annual Dividend Per Share]] / 4) * SnapshotTable[[#This Row],[Equity Shares]]</f>
        <v>0</v>
      </c>
      <c r="AF266" s="31">
        <f>SnapshotTable[[#This Row],[Quarterly Div $]] * 4</f>
        <v>0</v>
      </c>
      <c r="AG266" s="7">
        <f>IF(SnapshotTable[[#This Row],[Annual Dividend Per Share]]&gt;0, SnapshotTable[[#This Row],[Annual Dividend Per Share]]  / SnapshotTable[[#This Row],[Last Price]], 0)</f>
        <v>0</v>
      </c>
      <c r="AH266" s="151"/>
      <c r="AI266" s="5"/>
      <c r="AJ266" s="138"/>
      <c r="AK266" s="152" t="str">
        <f>IF(ISNUMBER( SnapshotTable[[#This Row],[EBF Target]]),(SnapshotTable[[#This Row],[EBF Target]] - SnapshotTable[[#This Row],[Last Price]]) / SnapshotTable[[#This Row],[Last Price]], "")</f>
        <v/>
      </c>
      <c r="AL266" s="152" t="str">
        <f>IF(AND(SnapshotTable[[#This Row],[Equity Basis Total]] &gt; 0,ISNUMBER( SnapshotTable[[#This Row],[Long Term Target]])), SnapshotTable[[#This Row],[From Basis $]] / SnapshotTable[[#This Row],[Equity Basis Total]], "")</f>
        <v/>
      </c>
      <c r="AM266" s="9">
        <f>IF( AND(SnapshotTable[[#This Row],[Equity Shares]] &gt;0,ISNUMBER( SnapshotTable[[#This Row],[Long Term Target]])),(SnapshotTable[[#This Row],[Equity Shares]] * SnapshotTable[[#This Row],[Long Term Target]]) - SnapshotTable[[#This Row],[Equity Basis Total]],0)</f>
        <v>0</v>
      </c>
      <c r="AN266" s="9">
        <f>IF( AND(SnapshotTable[[#This Row],[Equity Shares]] &gt;0,ISNUMBER( SnapshotTable[[#This Row],[Long Term Target]])),(SnapshotTable[[#This Row],[Equity Shares]]*SnapshotTable[[#This Row],[Long Term Target]]) - SnapshotTable[[#This Row],[Equity Value]],0)</f>
        <v>0</v>
      </c>
      <c r="AO266" s="152" t="str">
        <f>IF(AND(ISNUMBER( SnapshotTable[[#This Row],[Long Term Target]]), ISNUMBER(SnapshotTable[[#This Row],[Last Price]])),(SnapshotTable[[#This Row],[Long Term Target]] - SnapshotTable[[#This Row],[Last Price]]) / SnapshotTable[[#This Row],[Last Price]], "")</f>
        <v/>
      </c>
      <c r="AP266" s="5"/>
      <c r="AQ266" s="38"/>
      <c r="AR266" s="5"/>
      <c r="AS266" s="38"/>
      <c r="AT266" s="146"/>
      <c r="AU266" s="187" t="str">
        <f>IF(OR(SnapshotTable[[#This Row],[LP No Fill]]="Y",SnapshotTable[[#This Row],[SP Is Filled]],SnapshotTable[[#This Row],[LC Not Filled]]="Y",SnapshotTable[[#This Row],[SC Is Filled]]),"Y","")</f>
        <v/>
      </c>
      <c r="AV266" s="219"/>
      <c r="AW266" s="225"/>
      <c r="AX266" s="220"/>
      <c r="AY266" s="219" t="str">
        <f>IF(SnapshotTable[[#This Row],[Implied Move]]&gt;0, SnapshotTable[[#This Row],[Last Price]]-SnapshotTable[[#This Row],[Implied Move]],"")</f>
        <v/>
      </c>
      <c r="AZ266" s="219" t="str">
        <f>IF(SnapshotTable[[#This Row],[Implied Move]]&gt;0, SnapshotTable[[#This Row],[Last Price]] + SnapshotTable[[#This Row],[Implied Move]],"")</f>
        <v/>
      </c>
      <c r="BA266" s="331">
        <v>25.78</v>
      </c>
      <c r="BB266" s="347"/>
      <c r="BC266"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46920</v>
      </c>
      <c r="BD266" s="351"/>
      <c r="BE266" s="5"/>
      <c r="BF266" s="14"/>
      <c r="BG266" s="13"/>
      <c r="BH266" s="13"/>
      <c r="BI266" s="5"/>
      <c r="BJ266" s="136">
        <f>IF(SnapshotTable[[#This Row],[LP Qty]] &gt; 0, SnapshotTable[[#This Row],[LP Qty]] * SnapshotTable[[#This Row],[LP Book Price]] * 100,0)</f>
        <v>0</v>
      </c>
      <c r="BK266" s="136">
        <f>IF(SnapshotTable[[#This Row],[LP Premium]] &gt; 0, SnapshotTable[[#This Row],[LP Qty]] * SnapshotTable[[#This Row],[LP Strike Price]] * 100,0)</f>
        <v>0</v>
      </c>
      <c r="BL266" s="154"/>
      <c r="BM266" s="385" t="str">
        <f>IF(SnapshotTable[[#This Row],[LP Premium]] &gt; 0,SnapshotTable[[#This Row],[LP Exp Date]]-MAX(SnapshotTable[[#This Row],[LP Book Date]], SnapshotTable[[#This Row],[LP Fill Date]]),"")</f>
        <v/>
      </c>
      <c r="BN266" s="385" t="str">
        <f>IF(ISNUMBER( SnapshotTable[[#This Row],[LP Term]]), SnapshotTable[[#This Row],[LP Exp Date]] - MockToday,"")</f>
        <v/>
      </c>
      <c r="BO266" s="163" t="str">
        <f>IF(AND(SnapshotTable[[#This Row],[LP Exp Date]]&gt;0, SnapshotTable[[#This Row],[LP Strike Price]]&gt;0,SnapshotTable[[#This Row],[LP Qty]]&gt;0,SnapshotTable[[#This Row],[LP Book Date]]&gt;0,SnapshotTable[[#This Row],[LP Book Price]]&gt;0,SnapshotTable[[#This Row],[LP Fill Date]]=0),"Y","")</f>
        <v/>
      </c>
      <c r="BP266" s="31" t="str">
        <f>IF(AND(SnapshotTable[[#This Row],[LP No Fill]]&lt;&gt;"Y",SnapshotTable[[#This Row],[LP Contract Value]]&gt;0, SnapshotTable[[#This Row],[LP Qty]]&gt;0), SnapshotTable[[#This Row],[LP Contract Value]]*SnapshotTable[[#This Row],[LP Qty]]*100,"")</f>
        <v/>
      </c>
      <c r="BQ266" s="13"/>
      <c r="BR266" s="5" t="str">
        <f>IF(SnapshotTable[[#This Row],[SP Exp Date]]&lt;&gt;"",TRUNC(SnapshotTable[[#This Row],[Last Price]]),"")</f>
        <v/>
      </c>
      <c r="BS266" s="36"/>
      <c r="BT266" s="147"/>
      <c r="BU266" s="13"/>
      <c r="BV266" s="5"/>
      <c r="BW266" s="419" t="b">
        <f>AND(ISNUMBER(SnapshotTable[[#This Row],[SP Exp Date]]), ISNUMBER(SnapshotTable[[#This Row],[SP Strike Price]]), ISNUMBER(SnapshotTable[[#This Row],[SP Qty]]), ISNUMBER(SnapshotTable[[#This Row],[SP Book Date]]), ISNUMBER(SnapshotTable[[#This Row],[SP Book Price]]))</f>
        <v>0</v>
      </c>
      <c r="BX266" s="419" t="b">
        <f>AND(SnapshotTable[[#This Row],[SP Is Booked]], NOT(ISBLANK(SnapshotTable[[#This Row],[SP Fill Date]])))</f>
        <v>0</v>
      </c>
      <c r="BY266" s="33">
        <f>IF(SnapshotTable[[#This Row],[SP Is Booked]], SnapshotTable[[#This Row],[SP Qty]] * SnapshotTable[[#This Row],[SP Book Price]] * 100, 0)</f>
        <v>0</v>
      </c>
      <c r="BZ266" s="369"/>
      <c r="CA266" s="368">
        <f>SnapshotTable[[#This Row],[LP Qty]]</f>
        <v>0</v>
      </c>
      <c r="CB266" s="4" t="str">
        <f>IF(SnapshotTable[[#This Row],[SP Is Booked]], SnapshotTable[[#This Row],[SP Strike Price]] - SnapshotTable[[#This Row],[SP Book Price]], "")</f>
        <v/>
      </c>
      <c r="CC266" s="19" t="str">
        <f>IF(SnapshotTable[[#This Row],[SP Is Booked]],SnapshotTable[[#This Row],[SP Exp Date]]-MAX(SnapshotTable[[#This Row],[SP Book Date]], SnapshotTable[[#This Row],[SP Fill Date]]),"")</f>
        <v/>
      </c>
      <c r="CD266" s="7" t="str">
        <f>IF(SnapshotTable[[#This Row],[SP Is Booked]], SnapshotTable[[#This Row],[SP Book Price]]/SnapshotTable[[#This Row],[SP Strike Price]], "")</f>
        <v/>
      </c>
      <c r="CE266" s="7" t="str">
        <f>IF(ISNUMBER(SnapshotTable[[#This Row],[SP ROO Term]]),SnapshotTable[[#This Row],[SP ROO Term]]*(365/SnapshotTable[[#This Row],[SP Term]]),"")</f>
        <v/>
      </c>
      <c r="CF266" s="236">
        <f>SnapshotTable[[#This Row],[LP Strike Price]] * SnapshotTable[[#This Row],[LP Qty]] * 100</f>
        <v>0</v>
      </c>
      <c r="CG266" s="31" t="e">
        <f>IF(ISNUMBER(SnapshotTable[[#This Row],[SP Premium]]), (SnapshotTable[[#This Row],[SP Qty]] * SnapshotTable[[#This Row],[SP Strike Price]]* 100) - SnapshotTable[[#This Row],[LP Protection]], 0)</f>
        <v>#VALUE!</v>
      </c>
      <c r="CH266" s="7" t="str">
        <f>IF(ISNUMBER(SnapshotTable[[#This Row],[SP Break Even]]),-1 * (SnapshotTable[[#This Row],[SP Break Even]] - SnapshotTable[[#This Row],[Last Price]]) / SnapshotTable[[#This Row],[Last Price]], "")</f>
        <v/>
      </c>
      <c r="CI266" s="31">
        <f>IF(AND(ISNUMBER((SnapshotTable[[#This Row],[SP Potential Spend]])), SnapshotTable[[#This Row],[SP Strike Price]] &gt; SnapshotTable[[#This Row],[Last Price]], SnapshotTable[[#This Row],[SP Is Filled]]), SnapshotTable[[#This Row],[SP Potential Spend]] -  SnapshotTable[[#This Row],[LP Max Value]], 0)</f>
        <v>0</v>
      </c>
      <c r="CJ266" s="244"/>
      <c r="CK266" s="31" t="str">
        <f>IF(ISNUMBER(SnapshotTable[[#This Row],[SP Potential Spend]]),IF(ISNUMBER(SnapshotTable[[#This Row],[SP POW]]), SnapshotTable[[#This Row],[SP POW]] * SnapshotTable[[#This Row],[SP Potential Spend]], SnapshotTable[[#This Row],[SP Potential Spend]]), "")</f>
        <v/>
      </c>
      <c r="CL266" s="164" t="e">
        <f>IF(NOT(SnapshotTable[[#This Row],[SP Is Filled]]),(SnapshotTable[[#This Row],[SP Qty]] * SnapshotTable[[#This Row],[SP Strike Price]] * 100) - SnapshotTable[[#This Row],[LP Max Value]],"")</f>
        <v>#VALUE!</v>
      </c>
      <c r="CM266" s="31" t="str">
        <f>IF(SnapshotTable[[#This Row],[SP Actual Spend]]&lt;&gt;0, ((SnapshotTable[[#This Row],[SP Strike Price]]-SnapshotTable[[#This Row],[Last Price]]) *(SnapshotTable[[#This Row],[SP Qty]]*100) - SnapshotTable[[#This Row],[SP Premium]]) * - 1, "")</f>
        <v/>
      </c>
      <c r="CN266" s="78"/>
      <c r="CO266" s="369"/>
      <c r="CP266" s="4" t="str">
        <f>IF(SnapshotTable[[#This Row],[SP Is Filled]], btc_max_buyback_amount(SnapshotTable[[#This Row],[SP Fill Date]],SnapshotTable[[#This Row],[SP Exp Date]], SnapshotTable[[#This Row],[SP Book Price]]),"")</f>
        <v/>
      </c>
      <c r="CQ266" s="78"/>
      <c r="CR26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6" s="155" t="str">
        <f>IF(SnapshotTable[[#This Row],[SP Is Filled]], btc_next_cutoff_date(SnapshotTable[[#This Row],[SP Fill Date]],SnapshotTable[[#This Row],[SP Exp Date]]),"")</f>
        <v/>
      </c>
      <c r="CT266" s="235" t="str" cm="1">
        <f t="array" ref="CT266">IF(SnapshotTable[[#This Row],[SP Is Filled]], btc_should_buy_back(SnapshotTable[[#This Row],[SP Fill Date]], SnapshotTable[[#This Row],[SP Exp Date]], SnapshotTable[[#This Row],[SP Book Price]], SnapshotTable[[#This Row],[SP Current Ask]], MockToday, SnapshotTable[[#This Row],[SP Buyback Override]]),"")</f>
        <v/>
      </c>
      <c r="CU266" s="143"/>
      <c r="CV266" s="235"/>
      <c r="CW266" s="378" t="str">
        <f>IF(ISNUMBER( SnapshotTable[[#This Row],[SP Term]]), SnapshotTable[[#This Row],[SP Exp Date]] - MockToday,"")</f>
        <v/>
      </c>
      <c r="CX266" s="31" t="str">
        <f>IF(SnapshotTable[[#This Row],[SP Is Filled]],SnapshotTable[[#This Row],[SP Buyback Price to Use]] * 100 * SnapshotTable[[#This Row],[SP Qty]], "")</f>
        <v/>
      </c>
      <c r="CY266" s="4" t="str">
        <f>IF(ISNUMBER(SnapshotTable[[#This Row],[SP Strike Price]]), SnapshotTable[[#This Row],[SP Strike Price]] * (1 - SP_MaxLoss_StrikePct), "")</f>
        <v/>
      </c>
      <c r="CZ266" s="31" t="str">
        <f>IF(ISNUMBER(SnapshotTable[[#This Row],[SP Strike  Stop Per Share]]),SnapshotTable[[#This Row],[SP Premium]] - ((SnapshotTable[[#This Row],[SP Strike Price]]-SnapshotTable[[#This Row],[SP Strike  Stop Per Share]]) *(SnapshotTable[[#This Row],[SP Qty]] * 100)),"")</f>
        <v/>
      </c>
      <c r="DA266" s="4" t="str">
        <f>IF(AND(ISNUMBER(SnapshotTable[[#This Row],[SP Premium]]),SnapshotTable[[#This Row],[SP Premium]]&gt;0), SnapshotTable[[#This Row],[SP Book Price]] * (1 + SP_MaxLoss_OptionPct), "")</f>
        <v/>
      </c>
      <c r="DB266" s="31" t="str">
        <f>IF(ISNUMBER(SnapshotTable[[#This Row],[SP Option  Stop Contract]]),(SnapshotTable[[#This Row],[SP Option  Stop Contract]] *(SnapshotTable[[#This Row],[SP Qty]] * 100) - SnapshotTable[[#This Row],[SP Premium]]),"")</f>
        <v/>
      </c>
      <c r="DC266" s="4"/>
      <c r="DD266" s="4"/>
      <c r="DE266" s="4" t="str">
        <f>IF(AND(SnapshotTable[[#This Row],[SP Qty]]&gt;0, SnapshotTable[[#This Row],[SP Stop To Use]]&gt;0),SnapshotTable[[#This Row],[SP Premium]] - ( SnapshotTable[[#This Row],[SP Qty]] * SnapshotTable[[#This Row],[SP Stop To Use]] * 100), "")</f>
        <v/>
      </c>
      <c r="DF266" s="31" t="str">
        <f>IF(AND(SnapshotTable[[#This Row],[SP Qty]]&gt;0,SnapshotTable[[#This Row],[SP Current Ask]]&gt;0), SnapshotTable[[#This Row],[SP Qty]] * SnapshotTable[[#This Row],[SP Current Ask]] * -100, "")</f>
        <v/>
      </c>
      <c r="DG266" s="31" t="str">
        <f>IF(ISNUMBER((SnapshotTable[[#This Row],[SP Total Value]])), SnapshotTable[[#This Row],[SP Premium]] + SnapshotTable[[#This Row],[SP Total Value]], "")</f>
        <v/>
      </c>
      <c r="DH266" s="294" t="str">
        <f>IF(ISNUMBER((SnapshotTable[[#This Row],[SP Total Value]])), SnapshotTable[[#This Row],[SP Gain Loss]] / SnapshotTable[[#This Row],[SP Premium]], "")</f>
        <v/>
      </c>
      <c r="DI266" s="406">
        <v>46920</v>
      </c>
      <c r="DJ266" s="138">
        <v>20</v>
      </c>
      <c r="DK266" s="148">
        <v>16</v>
      </c>
      <c r="DL266" s="13">
        <v>46079</v>
      </c>
      <c r="DM266" s="13">
        <v>46079</v>
      </c>
      <c r="DN266" s="5">
        <v>5.78</v>
      </c>
      <c r="DO266" s="31">
        <f>IF(SnapshotTable[[#This Row],[LC Symbol Count]]=1, SnapshotTable[[#This Row],[LC Qty]] * SnapshotTable[[#This Row],[LC Book Price]] * 100, 0)</f>
        <v>9248</v>
      </c>
      <c r="DP266" s="163" t="str">
        <f>IF(AND(SnapshotTable[[#This Row],[LC Exp Date]]&gt;0, SnapshotTable[[#This Row],[LC Strike Price]]&gt;0,SnapshotTable[[#This Row],[LC Qty]]&gt;0,SnapshotTable[[#This Row],[LC Book Date]]&gt;0,SnapshotTable[[#This Row],[LC Book Price]]&gt;0,SnapshotTable[[#This Row],[LC Fill Date]]=0),"Y","")</f>
        <v/>
      </c>
      <c r="DQ266" s="386">
        <f>IF(SnapshotTable[[#This Row],[LC Premium]] &gt; 0,SnapshotTable[[#This Row],[LC Exp Date]]-MAX(SnapshotTable[[#This Row],[LC Book Date]], SnapshotTable[[#This Row],[LC Fill Date]]),"")</f>
        <v>841</v>
      </c>
      <c r="DR266" s="386">
        <f ca="1">IF(ISNUMBER(SnapshotTable[[#This Row],[LC Term]]), SnapshotTable[[#This Row],[LC Exp Date]] - MockToday, "")</f>
        <v>685</v>
      </c>
      <c r="DS266" s="234">
        <f>IF(SnapshotTable[[#This Row],[LC Premium]]&gt;0,SnapshotTable[[#This Row],[LC Strike Price]] + SnapshotTable[[#This Row],[LC Book Price]],"")</f>
        <v>25.78</v>
      </c>
      <c r="DT266" s="5">
        <v>6.01</v>
      </c>
      <c r="DU266" s="9">
        <f>IF(AND(SnapshotTable[[#This Row],[LC Symbol Count]]&gt;0, SnapshotTable[[#This Row],[LC Contract Value]]&gt;0), SnapshotTable[[#This Row],[LC Contract Value]] * SnapshotTable[[#This Row],[LC Qty]] * 100, "")</f>
        <v>9616</v>
      </c>
      <c r="DV266" s="9">
        <f>IF(AND(ISNUMBER(SnapshotTable[[#This Row],[LC Total Value]]), SnapshotTable[[#This Row],[LC Not Filled]]&lt;&gt;"Y"), SnapshotTable[[#This Row],[LC Total Value]]-SnapshotTable[[#This Row],[LC Premium]],"")</f>
        <v>368</v>
      </c>
      <c r="DW266" s="240">
        <f>IF(ISNUMBER(SnapshotTable[[#This Row],[LC Actual Gain Loss]]), SnapshotTable[[#This Row],[LC Actual Gain Loss]] / SnapshotTable[[#This Row],[LC Premium]],"")</f>
        <v>3.9792387543252594E-2</v>
      </c>
      <c r="DX266" s="284">
        <f>IF(ISNUMBER(SnapshotTable[[#This Row],[LC Book Price]]),SnapshotTable[[#This Row],[LC Book Price]] * 1.5,"")</f>
        <v>8.67</v>
      </c>
      <c r="DY266" s="265">
        <f>IF(SnapshotTable[[#This Row],[LC Premium]]&gt;0, SnapshotTable[[#This Row],[LC Next Target]] * SnapshotTable[[#This Row],[LC Qty]] * 100,"")</f>
        <v>13872</v>
      </c>
      <c r="DZ266" s="265">
        <f>IF(ISNUMBER(SnapshotTable[[#This Row],[LC Target Gross]]), SnapshotTable[[#This Row],[LC Target Gross]] - SnapshotTable[[#This Row],[LC Premium]], "")</f>
        <v>4624</v>
      </c>
      <c r="EA266" s="305">
        <f>IF(ISNUMBER(SnapshotTable[[#This Row],[LC Target Gain Loss]]), SnapshotTable[[#This Row],[LC Target Gain Loss]]/SnapshotTable[[#This Row],[LC Premium]], "")</f>
        <v>0.5</v>
      </c>
      <c r="EB266" s="262"/>
      <c r="EC266" s="283">
        <f>IF(SnapshotTable[[#This Row],[LC Premium]]&gt;0, SnapshotTable[[#This Row],[LC Book Price]] * (1 - LC_StopLoss_Pct),"")</f>
        <v>4.335</v>
      </c>
      <c r="ED266" s="284"/>
      <c r="EE266" s="283">
        <f>IF(ISNUMBER(SnapshotTable[[#This Row],[LC Contract Value]]),IF(ISNUMBER(SnapshotTable[[#This Row],[LC Stop Loss Override]]), SnapshotTable[[#This Row],[LC Stop Loss Override]],SnapshotTable[[#This Row],[LC Stop Loss Calc Target]]),"")</f>
        <v>4.335</v>
      </c>
      <c r="EF266" s="31">
        <f>IF(ISNUMBER(SnapshotTable[[#This Row],[LC Stop  To Use]]), (SnapshotTable[[#This Row],[LC Stop  To Use]] * SnapshotTable[[#This Row],[LC Qty]] * 100),"")</f>
        <v>6936</v>
      </c>
      <c r="EG266" s="9">
        <f>IF(ISNUMBER(SnapshotTable[[#This Row],[LC Total Value]]),SnapshotTable[[#This Row],[LC Stop Loss Amount]] - SnapshotTable[[#This Row],[LC Premium]],"")</f>
        <v>-2312</v>
      </c>
      <c r="EH266" s="9">
        <f>IF(ISNUMBER(SnapshotTable[[#This Row],[LC Premium]]), SnapshotTable[[#This Row],[LC Qty]] * 100 * SnapshotTable[[#This Row],[LC Strike Price]], "")</f>
        <v>32000</v>
      </c>
      <c r="EI266" s="240">
        <f>IF(AND(ISNUMBER(SnapshotTable[[#This Row],[LC Total Value]]),SnapshotTable[[#This Row],[LC Total Value]]&gt;0),SnapshotTable[[#This Row],[LC Stop Gain Loss]]  / SnapshotTable[[#This Row],[LC Premium]],"")</f>
        <v>-0.25</v>
      </c>
      <c r="EJ266" s="35">
        <f>IF(ISNUMBER(SnapshotTable[[#This Row],[Equity Shares]]),TRUNC(SnapshotTable[[#This Row],[Equity Shares]] / 100),0) + SnapshotTable[[#This Row],[LC Qty]]</f>
        <v>16</v>
      </c>
      <c r="EK266" s="147"/>
      <c r="EL266" s="138" t="str">
        <f>IF(SnapshotTable[[#This Row],[SC Exp Date]]&lt;&gt;"",TRUNC(SnapshotTable[[#This Row],[Last Price]]),"")</f>
        <v/>
      </c>
      <c r="EM266" s="148">
        <v>16</v>
      </c>
      <c r="EN266" s="147">
        <v>46143</v>
      </c>
      <c r="EO266" s="147"/>
      <c r="EP266" s="138">
        <v>0.08</v>
      </c>
      <c r="EQ266" s="419" t="b">
        <f>AND(ISNUMBER(SnapshotTable[[#This Row],[SC Exp Date]]), ISNUMBER(SnapshotTable[[#This Row],[SC Strike Price]]), ISNUMBER(SnapshotTable[[#This Row],[SC Qty]]), ISNUMBER(SnapshotTable[[#This Row],[SC Book Date]]), ISNUMBER(SnapshotTable[[#This Row],[SC Book Price]]))</f>
        <v>0</v>
      </c>
      <c r="ER266" s="419" t="b">
        <f>AND(SnapshotTable[[#This Row],[SC Is Booked]], NOT(ISBLANK(SnapshotTable[[#This Row],[SC Fill Date]])))</f>
        <v>0</v>
      </c>
      <c r="ES266" s="370"/>
      <c r="ET266" s="34" t="str">
        <f>IF(AND(ISNUMBER(SnapshotTable[[#This Row],[SC Exp Date]]), ISNUMBER(SnapshotTable[[#This Row],[SC Book Date]])), SnapshotTable[[#This Row],[SC Exp Date]] - MAX(SnapshotTable[[#This Row],[SC Book Date]], SnapshotTable[[#This Row],[SC Fill Date]]) + 1, "")</f>
        <v/>
      </c>
      <c r="EU266" s="34" t="str">
        <f>IF(ISNUMBER(SnapshotTable[[#This Row],[SC Term]]), SnapshotTable[[#This Row],[SC Exp Date]]- MockToday, "")</f>
        <v/>
      </c>
      <c r="EV266" s="31">
        <f>IF(SnapshotTable[[#This Row],[SC Is Booked]], SnapshotTable[[#This Row],[SC Qty]] * SnapshotTable[[#This Row],[SC Book Price]] * 100, 0)</f>
        <v>0</v>
      </c>
      <c r="EW266" s="4">
        <f>IF(AND(ISNUMBER(SnapshotTable[[#This Row],[Last Price]]), ISNUMBER( SnapshotTable[[#This Row],[SC Book Price]])), SnapshotTable[[#This Row],[Last Price]] - SnapshotTable[[#This Row],[SC Book Price]],"")</f>
        <v>13.959999999999999</v>
      </c>
      <c r="EX266" s="234" t="str">
        <f>IF(SnapshotTable[[#This Row],[SC Is Booked]],IF(SnapshotTable[[#This Row],[SC Intrinsic Value]] &gt; 0, SnapshotTable[[#This Row],[SC Strike Price]], SnapshotTable[[#This Row],[Last Price]]), "")</f>
        <v/>
      </c>
      <c r="EY266" s="4">
        <f>IF(SnapshotTable[[#This Row],[SC Is Booked]], (MinimumPremiumRequired * SnapshotTable[[#This Row],[SC Basis]] * SnapshotTable[[#This Row],[SC Term]]), 0)</f>
        <v>0</v>
      </c>
      <c r="EZ266" s="283"/>
      <c r="FA266" s="218"/>
      <c r="FB266" s="370"/>
      <c r="FC266" s="4">
        <f>IF(SnapshotTable[[#This Row],[SC Is Filled]], btc_max_buyback_amount(SnapshotTable[[#This Row],[SC Fill Date]],SnapshotTable[[#This Row],[SC Exp Date]], SnapshotTable[[#This Row],[SC Book Price]]),0)</f>
        <v>0</v>
      </c>
      <c r="FD266" s="5"/>
      <c r="FE266" s="144" t="str">
        <f>IF(SnapshotTable[[#This Row],[SC Is Filled]], btc_next_cutoff_date(SnapshotTable[[#This Row],[SC Fill Date]],SnapshotTable[[#This Row],[SC Exp Date]]),"")</f>
        <v/>
      </c>
      <c r="FF266" s="4" t="str" cm="1">
        <f t="array" ref="FF266">IF(SnapshotTable[[#This Row],[SC Is Filled]], btc_should_buy_back(SnapshotTable[[#This Row],[SC Fill Date]], SnapshotTable[[#This Row],[SC Exp Date]], SnapshotTable[[#This Row],[SC Book Price]], SnapshotTable[[#This Row],[SC Current Ask]], MockToday, SnapshotTable[[#This Row],[SC Buyback Override]]),"")</f>
        <v/>
      </c>
      <c r="FG266" s="4">
        <f>IF(SnapshotTable[[#This Row],[SC Is Filled]], MAX(0,SnapshotTable[[#This Row],[Last Price]]  - SnapshotTable[[#This Row],[SC Strike Price]]), 0)</f>
        <v>0</v>
      </c>
      <c r="FH266" s="382">
        <f>IF(SnapshotTable[[#This Row],[SC Is Filled]], IF(ISNUMBER(SnapshotTable[[#This Row],[SC Current Ask]]), SnapshotTable[[#This Row],[SC Current Ask]], SnapshotTable[[#This Row],[SC Book Price]]) - SnapshotTable[[#This Row],[SC Intrinsic Value]], 0)</f>
        <v>0</v>
      </c>
      <c r="FI266" s="143"/>
      <c r="FJ266" s="32" t="str">
        <f>IF(SnapshotTable[[#This Row],[SC Is Filled]],100 * SnapshotTable[[#This Row],[SC Qty]] * IF(ISNUMBER(SnapshotTable[[#This Row],[SC Buyback Override]]), SnapshotTable[[#This Row],[SC Buyback Override]], SnapshotTable[[#This Row],[SC Current Ask]]), "")</f>
        <v/>
      </c>
      <c r="FK266" s="250" t="str">
        <f>IF(SnapshotTable[[#This Row],[SC Time Val]]&gt;0, SnapshotTable[[#This Row],[SC Time Val]] / SnapshotTable[[#This Row],[Last Price]],"")</f>
        <v/>
      </c>
      <c r="FL266" s="302" t="str">
        <f>IF(SnapshotTable[[#This Row],[SC Is Booked]], ((SnapshotTable[[#This Row],[Last Price]] -SnapshotTable[[#This Row],[SC Strike Price]]) / SnapshotTable[[#This Row],[Last Price]]) * -1, "")</f>
        <v/>
      </c>
      <c r="FM266" s="157" t="str">
        <f>IF(SnapshotTable[[#This Row],[SC Is Booked]],  (SnapshotTable[[#This Row],[SC Qty]] * 100 * SnapshotTable[[#This Row],[SC Strike Price]]) - SnapshotTable[[#This Row],[SC Current Ask]], "")</f>
        <v/>
      </c>
      <c r="FN26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6" s="31" t="str">
        <f>IF(AND(ISNUMBER(SnapshotTable[[#This Row],[SC Exercise Gross]]), ISNUMBER(SnapshotTable[[#This Row],[Equity Basis Per Share]] )), SnapshotTable[[#This Row],[SC Exercise Gross]] - SnapshotTable[[#This Row],[Equity Basis Total]] +  SnapshotTable[[#This Row],[SC Premium]], "")</f>
        <v/>
      </c>
      <c r="FP266" s="5" t="str">
        <f>IF(ISNUMBER(SnapshotTable[[#This Row],[SC Exercise Gross]]), (SnapshotTable[[#This Row],[SC Exercise Gross]]) / (SnapshotTable[[#This Row],[SC Qty]] * 100), "")</f>
        <v/>
      </c>
      <c r="FQ266" s="27" t="str">
        <f>IF(SnapshotTable[[#This Row],[SC Is Booked]],SnapshotTable[[#This Row],[SC Time Val]] /SnapshotTable[[#This Row],[SC Basis]], "")</f>
        <v/>
      </c>
      <c r="FR266" s="27" t="str" cm="1">
        <f t="array" ref="FR266">IF(AND(ISNUMBER(SnapshotTable[[#This Row],[SC Term]]),ISNUMBER(SnapshotTable[[#This Row],[SC Simple ROO]])), EllmanAnnualize(SnapshotTable[[#This Row],[SC DTE]], SnapshotTable[[#This Row],[SC Simple ROO]] ),"")</f>
        <v/>
      </c>
      <c r="FS266" s="4" t="e">
        <f>IF(SnapshotTable[[#This Row],[SC Strike Price]] &gt; SnapshotTable[[#This Row],[Last Price]], SnapshotTable[[#This Row],[SC Strike Price]] - SnapshotTable[[#This Row],[Last Price]],0)</f>
        <v>#VALUE!</v>
      </c>
      <c r="FT266" s="27" t="e">
        <f>IF(AND(ISNUMBER(SnapshotTable[[#This Row],[SC Upside Potential]]), SnapshotTable[[#This Row],[SC Upside Potential]] &gt; 0),(SnapshotTable[[#This Row],[SC Upside Potential]]/ SnapshotTable[[#This Row],[ACB]]),"")</f>
        <v>#VALUE!</v>
      </c>
      <c r="FU266" s="333" t="str">
        <f>IF(SnapshotTable[[#This Row],[SC Intrinsic Value]] &gt; 0,SnapshotTable[[#This Row],[SC Intrinsic Value]],"")</f>
        <v/>
      </c>
      <c r="FV266" s="27" t="str">
        <f>IF(AND( ISNUMBER( SnapshotTable[[#This Row],[ACB]]),ISNUMBER(SnapshotTable[[#This Row],[SC Downside Protect]])),SnapshotTable[[#This Row],[SC Downside Protect]] / SnapshotTable[[#This Row],[ACB]],"")</f>
        <v/>
      </c>
      <c r="FW266" s="236" t="str">
        <f>IF(AND(ISNUMBER(SnapshotTable[[#This Row],[SC Simple ROO]]),SnapshotTable[[#This Row],[SC Simple ROO]] &gt; 0), SnapshotTable[[#This Row],[SC Premium]] + (SnapshotTable[[#This Row],[SC Qty]] * SnapshotTable[[#This Row],[SC Upside Potential]]), "")</f>
        <v/>
      </c>
      <c r="FX266" s="302" t="str" cm="1">
        <f t="array" ref="FX266">IF(ISNUMBER(SnapshotTable[[#This Row],[SC Max Dollars]]), annualize(SnapshotTable[[#This Row],[SC Term]],(SnapshotTable[[#This Row],[SC Max Dollars]]/SnapshotTable[[#This Row],[SC Basis]])),"")</f>
        <v/>
      </c>
      <c r="FY266" s="236" t="str">
        <f>IF(AND(SnapshotTable[[#This Row],[SC Qty]]&gt;0,SnapshotTable[[#This Row],[SC Current Ask]]&gt;0), SnapshotTable[[#This Row],[SC Qty]] * SnapshotTable[[#This Row],[SC Current Ask]] * -100, "")</f>
        <v/>
      </c>
      <c r="FZ266" s="31" t="str">
        <f>IF(ISNUMBER((SnapshotTable[[#This Row],[SC Current Value]])), SnapshotTable[[#This Row],[SC Premium]] + SnapshotTable[[#This Row],[SC Current Value]], "")</f>
        <v/>
      </c>
      <c r="GA266" s="294" t="str">
        <f>IFERROR( IF(ISNUMBER((SnapshotTable[[#This Row],[SC Current Value]])), SnapshotTable[[#This Row],[SC Gain Loss]] / SnapshotTable[[#This Row],[SC Premium]], ""), "")</f>
        <v/>
      </c>
      <c r="GB266" s="42">
        <f>SnapshotTable[[#This Row],[Equity Shares]] * SaleSharesToConsiderPercentage</f>
        <v>0</v>
      </c>
      <c r="GC266" s="40">
        <f>SnapshotTable[[#This Row],[Long Term Target]] * SellingPriceToConsiderBasedOnTargetPercentage</f>
        <v>0</v>
      </c>
      <c r="GD266" s="40">
        <f>SnapshotTable[[#This Row],[Last Price]] * (1+ SellingPriceToConsiderBasedOnTargetPercentage)</f>
        <v>27.377999999999997</v>
      </c>
      <c r="GE266" s="41"/>
      <c r="GF266" s="40"/>
      <c r="GG266" s="31">
        <f>SnapshotTable[[#This Row],[Booked Sale Shares]] * SnapshotTable[[#This Row],[Booked Sale Price]]</f>
        <v>0</v>
      </c>
      <c r="GH266" s="31" t="str">
        <f>IF(SnapshotTable[[#This Row],[Equity Basis Total]] &gt; 0, SnapshotTable[[#This Row],[Equity Basis Per Share]] * SnapshotTable[[#This Row],[Booked Sale Shares]], "")</f>
        <v/>
      </c>
      <c r="GI266" s="31">
        <f>IF(SnapshotTable[[#This Row],[Sale Proceeds]]&gt;0, SnapshotTable[[#This Row],[Sale Proceeds]] - SnapshotTable[[#This Row],[Sale Basis]], 0)</f>
        <v>0</v>
      </c>
      <c r="GJ266" s="27" t="str">
        <f>IF(SnapshotTable[[#This Row],[Sale G/L]]&gt;0, SnapshotTable[[#This Row],[Sale G/L]] / SnapshotTable[[#This Row],[Sale Basis]], IF(ISNUMBER(SnapshotTable[[#This Row],[SC Exercise P&amp;L (TAX)]]), SnapshotTable[[#This Row],[SC Exercise P&amp;L (TAX)]] / SnapshotTable[[#This Row],[SC Basis]], ""))</f>
        <v/>
      </c>
      <c r="GK266" s="27"/>
      <c r="GL266" s="43" t="str">
        <f>IF(AND(SnapshotTable[[#This Row],[LP Exp Date]]&gt;0,SnapshotTable[[#This Row],[LP Strike Price]]&gt;0), [1]!ToOptionSymbol(SnapshotTable[[#This Row],[Symbol]], SnapshotTable[[#This Row],[LP Strike Price]],SnapshotTable[[#This Row],[LP Exp Date]],1), "")</f>
        <v/>
      </c>
      <c r="GM266" s="30" t="str">
        <f>IF(LEN(SnapshotTable[[#This Row],[LP Symbol]])&gt;0, 1, "")</f>
        <v/>
      </c>
      <c r="GN266" s="43" t="str">
        <f>IF(AND(SnapshotTable[[#This Row],[SP Exp Date]]&gt;0,SnapshotTable[[#This Row],[SP Strike Price]]&gt;0), [1]!ToOptionSymbol(SnapshotTable[[#This Row],[Symbol]], SnapshotTable[[#This Row],[SP Strike Price]],SnapshotTable[[#This Row],[SP Exp Date]],1), "")</f>
        <v/>
      </c>
      <c r="GO266" s="30" t="str">
        <f>IF(LEN(SnapshotTable[[#This Row],[SP Symbol]])&gt;0, 1, "")</f>
        <v/>
      </c>
      <c r="GP266" s="43" t="str">
        <f>IF(AND(SnapshotTable[[#This Row],[LC Exp Date]]&gt;0,SnapshotTable[[#This Row],[LC Strike Price]]&gt;0), [1]!ToOptionSymbol(SnapshotTable[[#This Row],[Symbol]], SnapshotTable[[#This Row],[LC Strike Price]],SnapshotTable[[#This Row],[LC Exp Date]],0), "")</f>
        <v>ETHA280616C00020000</v>
      </c>
      <c r="GQ266" s="30">
        <f>IF(LEN(SnapshotTable[[#This Row],[LC Symbol]])&gt;0, 1, "")</f>
        <v>1</v>
      </c>
      <c r="GR266" s="43" t="str">
        <f>IF(AND(SnapshotTable[[#This Row],[SC Exp Date]]&gt;0,SnapshotTable[[#This Row],[SC Strike Price]]&gt;0), [1]!ToOptionSymbol(SnapshotTable[[#This Row],[Symbol]], SnapshotTable[[#This Row],[SC Strike Price]],SnapshotTable[[#This Row],[SC Exp Date]],0), "")</f>
        <v/>
      </c>
      <c r="GS266" s="30" t="str">
        <f>IF(LEN(SnapshotTable[[#This Row],[SC Symbol]])&gt;0, 1, "")</f>
        <v/>
      </c>
      <c r="GT266" s="29" t="str">
        <f>IF(COUNT(SnapshotTable[[#This Row],[LP Symbol Count]],SnapshotTable[[#This Row],[SP Symbol Count]],SnapshotTable[[#This Row],[LC Symbol Count]],SnapshotTable[[#This Row],[SC Symbol Count]])&gt;0, "Y", "")</f>
        <v>Y</v>
      </c>
      <c r="GU26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LC </v>
      </c>
      <c r="GV266" s="231" t="e">
        <f>MAX(SnapshotTable[[#This Row],[Equity Basis Total]],SnapshotTable[[#This Row],[Equity Value]]) + (SnapshotTable[[#This Row],[SP Potential Spend]]- SnapshotTable[[#This Row],[SP Premium]] + SnapshotTable[[#This Row],[LP Premium]])+ (SnapshotTable[[#This Row],[LC Premium]] - SnapshotTable[[#This Row],[SC Premium]])</f>
        <v>#VALUE!</v>
      </c>
      <c r="GW266" s="139" t="e">
        <f>IF(AND(SnapshotTable[[#This Row],[Exposure]] &lt;&gt; 0),SnapshotTable[[#This Row],[Exposure]] / SnapshotTable[[#Totals],[Exposure]], "")</f>
        <v>#VALUE!</v>
      </c>
      <c r="HK266" s="1"/>
      <c r="HL266" s="1"/>
      <c r="HM266" s="1"/>
      <c r="HN266" s="1"/>
      <c r="HO266" s="1"/>
      <c r="HP266" s="1"/>
    </row>
    <row r="267" spans="2:224" ht="12.75" hidden="1" customHeight="1" x14ac:dyDescent="0.25">
      <c r="B267" s="12" t="s">
        <v>1248</v>
      </c>
      <c r="C267" s="422">
        <v>6.27</v>
      </c>
      <c r="D267" s="208"/>
      <c r="E267" s="39">
        <f>SnapshotTable[[#This Row],[Last Price]]*(1 -CrashDiscount)</f>
        <v>5.3294999999999995</v>
      </c>
      <c r="F267" s="325" t="s">
        <v>1249</v>
      </c>
      <c r="G267" s="325" t="s">
        <v>872</v>
      </c>
      <c r="H267" s="149"/>
      <c r="I267" s="194"/>
      <c r="J267" s="195"/>
      <c r="K267" s="196"/>
      <c r="L267" s="326"/>
      <c r="M267" s="140"/>
      <c r="N267" s="140"/>
      <c r="O267" s="140"/>
      <c r="P267" s="22"/>
      <c r="Q267" s="25"/>
      <c r="R267" s="4" t="str">
        <f>IF(SnapshotTable[[#This Row],[Equity Basis Total]] &gt; 0, SnapshotTable[[#This Row],[Equity Basis Total]] / SnapshotTable[[#This Row],[Equity Shares]], "")</f>
        <v/>
      </c>
      <c r="S267" s="269">
        <f>SnapshotTable[[#This Row],[Last Price]] * SnapshotTable[[#This Row],[Equity Shares]]</f>
        <v>0</v>
      </c>
      <c r="T267" s="269">
        <f>SnapshotTable[[#This Row],[Equity Value]] - SnapshotTable[[#This Row],[Equity Basis Total]]</f>
        <v>0</v>
      </c>
      <c r="U267" s="270" t="str">
        <f>IF(SnapshotTable[[#This Row],[Equity Basis Total]] &gt; 0, SnapshotTable[[#This Row],[Equity G/L]] / SnapshotTable[[#This Row],[Equity Basis Total]], "")</f>
        <v/>
      </c>
      <c r="V267" s="268"/>
      <c r="W267" s="268"/>
      <c r="X267" s="4" t="str">
        <f>IF(AND(ISNUMBER(SnapshotTable[[#This Row],[Equity Basis Per Share]]),ISNUMBER(SnapshotTable[[#This Row],[Equity Target]])),SnapshotTable[[#This Row],[Equity Target]]-SnapshotTable[[#This Row],[Equity Basis Per Share]],"")</f>
        <v/>
      </c>
      <c r="Y267" s="4" t="str">
        <f>IF(AND(ISNUMBER(SnapshotTable[[#This Row],[Equity Basis Per Share]]),ISNUMBER(SnapshotTable[[#This Row],[Equity Stop Loss]])),SnapshotTable[[#This Row],[Equity Stop Loss]]-SnapshotTable[[#This Row],[Equity Basis Per Share]],"")</f>
        <v/>
      </c>
      <c r="Z267" s="275" t="str">
        <f>IFERROR( TEXT(SnapshotTable[[#This Row],[Equity Max Gain Per Share]] /ABS( SnapshotTable[[#This Row],[Equity Max Loss Per Share]]),"0.0 " ) &amp; " : 1", "")</f>
        <v/>
      </c>
      <c r="AA267" s="31" t="str">
        <f>IF(ISNUMBER(SnapshotTable[[#This Row],[Equity Max Gain Per Share]]),SnapshotTable[[#This Row],[Equity Max Gain Per Share]] * SnapshotTable[[#This Row],[Equity Shares]],"")</f>
        <v/>
      </c>
      <c r="AB267" s="31" t="str">
        <f>IF(ISNUMBER(SnapshotTable[[#This Row],[Equity Max Loss Per Share]]),SnapshotTable[[#This Row],[Equity Max Loss Per Share]] * SnapshotTable[[#This Row],[Equity Shares]],"")</f>
        <v/>
      </c>
      <c r="AC267" s="150"/>
      <c r="AD267" s="151"/>
      <c r="AE267" s="31">
        <f>(SnapshotTable[[#This Row],[Annual Dividend Per Share]] / 4) * SnapshotTable[[#This Row],[Equity Shares]]</f>
        <v>0</v>
      </c>
      <c r="AF267" s="31">
        <f>SnapshotTable[[#This Row],[Quarterly Div $]] * 4</f>
        <v>0</v>
      </c>
      <c r="AG267" s="7">
        <f>IF(SnapshotTable[[#This Row],[Annual Dividend Per Share]]&gt;0, SnapshotTable[[#This Row],[Annual Dividend Per Share]]  / SnapshotTable[[#This Row],[Last Price]], 0)</f>
        <v>0</v>
      </c>
      <c r="AH267" s="151"/>
      <c r="AI267" s="5"/>
      <c r="AJ267" s="138"/>
      <c r="AK267" s="152" t="str">
        <f>IF(ISNUMBER( SnapshotTable[[#This Row],[EBF Target]]),(SnapshotTable[[#This Row],[EBF Target]] - SnapshotTable[[#This Row],[Last Price]]) / SnapshotTable[[#This Row],[Last Price]], "")</f>
        <v/>
      </c>
      <c r="AL267" s="152" t="str">
        <f>IF(AND(SnapshotTable[[#This Row],[Equity Basis Total]] &gt; 0,ISNUMBER( SnapshotTable[[#This Row],[Long Term Target]])), SnapshotTable[[#This Row],[From Basis $]] / SnapshotTable[[#This Row],[Equity Basis Total]], "")</f>
        <v/>
      </c>
      <c r="AM267" s="9">
        <f>IF( AND(SnapshotTable[[#This Row],[Equity Shares]] &gt;0,ISNUMBER( SnapshotTable[[#This Row],[Long Term Target]])),(SnapshotTable[[#This Row],[Equity Shares]] * SnapshotTable[[#This Row],[Long Term Target]]) - SnapshotTable[[#This Row],[Equity Basis Total]],0)</f>
        <v>0</v>
      </c>
      <c r="AN267" s="9">
        <f>IF( AND(SnapshotTable[[#This Row],[Equity Shares]] &gt;0,ISNUMBER( SnapshotTable[[#This Row],[Long Term Target]])),(SnapshotTable[[#This Row],[Equity Shares]]*SnapshotTable[[#This Row],[Long Term Target]]) - SnapshotTable[[#This Row],[Equity Value]],0)</f>
        <v>0</v>
      </c>
      <c r="AO267" s="152" t="str">
        <f>IF(AND(ISNUMBER( SnapshotTable[[#This Row],[Long Term Target]]), ISNUMBER(SnapshotTable[[#This Row],[Last Price]])),(SnapshotTable[[#This Row],[Long Term Target]] - SnapshotTable[[#This Row],[Last Price]]) / SnapshotTable[[#This Row],[Last Price]], "")</f>
        <v/>
      </c>
      <c r="AP267" s="5"/>
      <c r="AQ267" s="38"/>
      <c r="AR267" s="5"/>
      <c r="AS267" s="38"/>
      <c r="AT267" s="146"/>
      <c r="AU267" s="187" t="str">
        <f>IF(OR(SnapshotTable[[#This Row],[LP No Fill]]="Y",SnapshotTable[[#This Row],[SP Is Filled]],SnapshotTable[[#This Row],[LC Not Filled]]="Y",SnapshotTable[[#This Row],[SC Is Filled]]),"Y","")</f>
        <v/>
      </c>
      <c r="AV267" s="219"/>
      <c r="AW267" s="225"/>
      <c r="AX267" s="220"/>
      <c r="AY267" s="219" t="str">
        <f>IF(SnapshotTable[[#This Row],[Implied Move]]&gt;0, SnapshotTable[[#This Row],[Last Price]]-SnapshotTable[[#This Row],[Implied Move]],"")</f>
        <v/>
      </c>
      <c r="AZ267" s="219" t="str">
        <f>IF(SnapshotTable[[#This Row],[Implied Move]]&gt;0, SnapshotTable[[#This Row],[Last Price]] + SnapshotTable[[#This Row],[Implied Move]],"")</f>
        <v/>
      </c>
      <c r="BA267" s="331">
        <v>8.3699999999999992</v>
      </c>
      <c r="BB267" s="347"/>
      <c r="BC26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7" s="351"/>
      <c r="BE267" s="5"/>
      <c r="BF267" s="14"/>
      <c r="BG267" s="13"/>
      <c r="BH267" s="13"/>
      <c r="BI267" s="5"/>
      <c r="BJ267" s="136">
        <f>IF(SnapshotTable[[#This Row],[LP Qty]] &gt; 0, SnapshotTable[[#This Row],[LP Qty]] * SnapshotTable[[#This Row],[LP Book Price]] * 100,0)</f>
        <v>0</v>
      </c>
      <c r="BK267" s="136">
        <f>IF(SnapshotTable[[#This Row],[LP Premium]] &gt; 0, SnapshotTable[[#This Row],[LP Qty]] * SnapshotTable[[#This Row],[LP Strike Price]] * 100,0)</f>
        <v>0</v>
      </c>
      <c r="BL267" s="154"/>
      <c r="BM267" s="385" t="str">
        <f>IF(SnapshotTable[[#This Row],[LP Premium]] &gt; 0,SnapshotTable[[#This Row],[LP Exp Date]]-MAX(SnapshotTable[[#This Row],[LP Book Date]], SnapshotTable[[#This Row],[LP Fill Date]]),"")</f>
        <v/>
      </c>
      <c r="BN267" s="385" t="str">
        <f>IF(ISNUMBER( SnapshotTable[[#This Row],[LP Term]]), SnapshotTable[[#This Row],[LP Exp Date]] - MockToday,"")</f>
        <v/>
      </c>
      <c r="BO267" s="163" t="str">
        <f>IF(AND(SnapshotTable[[#This Row],[LP Exp Date]]&gt;0, SnapshotTable[[#This Row],[LP Strike Price]]&gt;0,SnapshotTable[[#This Row],[LP Qty]]&gt;0,SnapshotTable[[#This Row],[LP Book Date]]&gt;0,SnapshotTable[[#This Row],[LP Book Price]]&gt;0,SnapshotTable[[#This Row],[LP Fill Date]]=0),"Y","")</f>
        <v/>
      </c>
      <c r="BP267" s="31" t="str">
        <f>IF(AND(SnapshotTable[[#This Row],[LP No Fill]]&lt;&gt;"Y",SnapshotTable[[#This Row],[LP Contract Value]]&gt;0, SnapshotTable[[#This Row],[LP Qty]]&gt;0), SnapshotTable[[#This Row],[LP Contract Value]]*SnapshotTable[[#This Row],[LP Qty]]*100,"")</f>
        <v/>
      </c>
      <c r="BQ267" s="13"/>
      <c r="BR267" s="5" t="str">
        <f>IF(SnapshotTable[[#This Row],[SP Exp Date]]&lt;&gt;"",TRUNC(SnapshotTable[[#This Row],[Last Price]]),"")</f>
        <v/>
      </c>
      <c r="BS267" s="36"/>
      <c r="BT267" s="147"/>
      <c r="BU267" s="13"/>
      <c r="BV267" s="5"/>
      <c r="BW267" s="419" t="b">
        <f>AND(ISNUMBER(SnapshotTable[[#This Row],[SP Exp Date]]), ISNUMBER(SnapshotTable[[#This Row],[SP Strike Price]]), ISNUMBER(SnapshotTable[[#This Row],[SP Qty]]), ISNUMBER(SnapshotTable[[#This Row],[SP Book Date]]), ISNUMBER(SnapshotTable[[#This Row],[SP Book Price]]))</f>
        <v>0</v>
      </c>
      <c r="BX267" s="419" t="b">
        <f>AND(SnapshotTable[[#This Row],[SP Is Booked]], NOT(ISBLANK(SnapshotTable[[#This Row],[SP Fill Date]])))</f>
        <v>0</v>
      </c>
      <c r="BY267" s="33">
        <f>IF(SnapshotTable[[#This Row],[SP Is Booked]], SnapshotTable[[#This Row],[SP Qty]] * SnapshotTable[[#This Row],[SP Book Price]] * 100, 0)</f>
        <v>0</v>
      </c>
      <c r="BZ267" s="369"/>
      <c r="CA267" s="368">
        <f>SnapshotTable[[#This Row],[LP Qty]]</f>
        <v>0</v>
      </c>
      <c r="CB267" s="4" t="str">
        <f>IF(SnapshotTable[[#This Row],[SP Is Booked]], SnapshotTable[[#This Row],[SP Strike Price]] - SnapshotTable[[#This Row],[SP Book Price]], "")</f>
        <v/>
      </c>
      <c r="CC267" s="19" t="str">
        <f>IF(SnapshotTable[[#This Row],[SP Is Booked]],SnapshotTable[[#This Row],[SP Exp Date]]-MAX(SnapshotTable[[#This Row],[SP Book Date]], SnapshotTable[[#This Row],[SP Fill Date]]),"")</f>
        <v/>
      </c>
      <c r="CD267" s="7" t="str">
        <f>IF(SnapshotTable[[#This Row],[SP Is Booked]], SnapshotTable[[#This Row],[SP Book Price]]/SnapshotTable[[#This Row],[SP Strike Price]], "")</f>
        <v/>
      </c>
      <c r="CE267" s="7" t="str">
        <f>IF(ISNUMBER(SnapshotTable[[#This Row],[SP ROO Term]]),SnapshotTable[[#This Row],[SP ROO Term]]*(365/SnapshotTable[[#This Row],[SP Term]]),"")</f>
        <v/>
      </c>
      <c r="CF267" s="236">
        <f>SnapshotTable[[#This Row],[LP Strike Price]] * SnapshotTable[[#This Row],[LP Qty]] * 100</f>
        <v>0</v>
      </c>
      <c r="CG267" s="31" t="e">
        <f>IF(ISNUMBER(SnapshotTable[[#This Row],[SP Premium]]), (SnapshotTable[[#This Row],[SP Qty]] * SnapshotTable[[#This Row],[SP Strike Price]]* 100) - SnapshotTable[[#This Row],[LP Protection]], 0)</f>
        <v>#VALUE!</v>
      </c>
      <c r="CH267" s="7" t="str">
        <f>IF(ISNUMBER(SnapshotTable[[#This Row],[SP Break Even]]),-1 * (SnapshotTable[[#This Row],[SP Break Even]] - SnapshotTable[[#This Row],[Last Price]]) / SnapshotTable[[#This Row],[Last Price]], "")</f>
        <v/>
      </c>
      <c r="CI267" s="31">
        <f>IF(AND(ISNUMBER((SnapshotTable[[#This Row],[SP Potential Spend]])), SnapshotTable[[#This Row],[SP Strike Price]] &gt; SnapshotTable[[#This Row],[Last Price]], SnapshotTable[[#This Row],[SP Is Filled]]), SnapshotTable[[#This Row],[SP Potential Spend]] -  SnapshotTable[[#This Row],[LP Max Value]], 0)</f>
        <v>0</v>
      </c>
      <c r="CJ267" s="244"/>
      <c r="CK267" s="31" t="str">
        <f>IF(ISNUMBER(SnapshotTable[[#This Row],[SP Potential Spend]]),IF(ISNUMBER(SnapshotTable[[#This Row],[SP POW]]), SnapshotTable[[#This Row],[SP POW]] * SnapshotTable[[#This Row],[SP Potential Spend]], SnapshotTable[[#This Row],[SP Potential Spend]]), "")</f>
        <v/>
      </c>
      <c r="CL267" s="164" t="e">
        <f>IF(NOT(SnapshotTable[[#This Row],[SP Is Filled]]),(SnapshotTable[[#This Row],[SP Qty]] * SnapshotTable[[#This Row],[SP Strike Price]] * 100) - SnapshotTable[[#This Row],[LP Max Value]],"")</f>
        <v>#VALUE!</v>
      </c>
      <c r="CM267" s="31" t="str">
        <f>IF(SnapshotTable[[#This Row],[SP Actual Spend]]&lt;&gt;0, ((SnapshotTable[[#This Row],[SP Strike Price]]-SnapshotTable[[#This Row],[Last Price]]) *(SnapshotTable[[#This Row],[SP Qty]]*100) - SnapshotTable[[#This Row],[SP Premium]]) * - 1, "")</f>
        <v/>
      </c>
      <c r="CN267" s="218"/>
      <c r="CO267" s="369"/>
      <c r="CP267" s="4" t="str">
        <f>IF(SnapshotTable[[#This Row],[SP Is Filled]], btc_max_buyback_amount(SnapshotTable[[#This Row],[SP Fill Date]],SnapshotTable[[#This Row],[SP Exp Date]], SnapshotTable[[#This Row],[SP Book Price]]),"")</f>
        <v/>
      </c>
      <c r="CQ267" s="78"/>
      <c r="CR26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7" s="155" t="str">
        <f>IF(SnapshotTable[[#This Row],[SP Is Filled]], btc_next_cutoff_date(SnapshotTable[[#This Row],[SP Fill Date]],SnapshotTable[[#This Row],[SP Exp Date]]),"")</f>
        <v/>
      </c>
      <c r="CT267" s="235" t="str" cm="1">
        <f t="array" ref="CT267">IF(SnapshotTable[[#This Row],[SP Is Filled]], btc_should_buy_back(SnapshotTable[[#This Row],[SP Fill Date]], SnapshotTable[[#This Row],[SP Exp Date]], SnapshotTable[[#This Row],[SP Book Price]], SnapshotTable[[#This Row],[SP Current Ask]], MockToday, SnapshotTable[[#This Row],[SP Buyback Override]]),"")</f>
        <v/>
      </c>
      <c r="CU267" s="143"/>
      <c r="CV267" s="235"/>
      <c r="CW267" s="378" t="str">
        <f>IF(ISNUMBER( SnapshotTable[[#This Row],[SP Term]]), SnapshotTable[[#This Row],[SP Exp Date]] - MockToday,"")</f>
        <v/>
      </c>
      <c r="CX267" s="31" t="str">
        <f>IF(SnapshotTable[[#This Row],[SP Is Filled]],SnapshotTable[[#This Row],[SP Buyback Price to Use]] * 100 * SnapshotTable[[#This Row],[SP Qty]], "")</f>
        <v/>
      </c>
      <c r="CY267" s="4" t="str">
        <f>IF(ISNUMBER(SnapshotTable[[#This Row],[SP Strike Price]]), SnapshotTable[[#This Row],[SP Strike Price]] * (1 - SP_MaxLoss_StrikePct), "")</f>
        <v/>
      </c>
      <c r="CZ267" s="31" t="str">
        <f>IF(ISNUMBER(SnapshotTable[[#This Row],[SP Strike  Stop Per Share]]),SnapshotTable[[#This Row],[SP Premium]] - ((SnapshotTable[[#This Row],[SP Strike Price]]-SnapshotTable[[#This Row],[SP Strike  Stop Per Share]]) *(SnapshotTable[[#This Row],[SP Qty]] * 100)),"")</f>
        <v/>
      </c>
      <c r="DA267" s="4" t="str">
        <f>IF(AND(ISNUMBER(SnapshotTable[[#This Row],[SP Premium]]),SnapshotTable[[#This Row],[SP Premium]]&gt;0), SnapshotTable[[#This Row],[SP Book Price]] * (1 + SP_MaxLoss_OptionPct), "")</f>
        <v/>
      </c>
      <c r="DB267" s="31" t="str">
        <f>IF(ISNUMBER(SnapshotTable[[#This Row],[SP Option  Stop Contract]]),(SnapshotTable[[#This Row],[SP Option  Stop Contract]] *(SnapshotTable[[#This Row],[SP Qty]] * 100) - SnapshotTable[[#This Row],[SP Premium]]),"")</f>
        <v/>
      </c>
      <c r="DC267" s="4"/>
      <c r="DD267" s="4"/>
      <c r="DE267" s="4" t="str">
        <f>IF(AND(SnapshotTable[[#This Row],[SP Qty]]&gt;0, SnapshotTable[[#This Row],[SP Stop To Use]]&gt;0),SnapshotTable[[#This Row],[SP Premium]] - ( SnapshotTable[[#This Row],[SP Qty]] * SnapshotTable[[#This Row],[SP Stop To Use]] * 100), "")</f>
        <v/>
      </c>
      <c r="DF267" s="31" t="str">
        <f>IF(AND(SnapshotTable[[#This Row],[SP Qty]]&gt;0,SnapshotTable[[#This Row],[SP Current Ask]]&gt;0), SnapshotTable[[#This Row],[SP Qty]] * SnapshotTable[[#This Row],[SP Current Ask]] * -100, "")</f>
        <v/>
      </c>
      <c r="DG267" s="31" t="str">
        <f>IF(ISNUMBER((SnapshotTable[[#This Row],[SP Total Value]])), SnapshotTable[[#This Row],[SP Premium]] + SnapshotTable[[#This Row],[SP Total Value]], "")</f>
        <v/>
      </c>
      <c r="DH267" s="294" t="str">
        <f>IF(ISNUMBER((SnapshotTable[[#This Row],[SP Total Value]])), SnapshotTable[[#This Row],[SP Gain Loss]] / SnapshotTable[[#This Row],[SP Premium]], "")</f>
        <v/>
      </c>
      <c r="DI267" s="406"/>
      <c r="DJ267" s="138"/>
      <c r="DK267" s="148"/>
      <c r="DL267" s="13"/>
      <c r="DM267" s="13"/>
      <c r="DO267" s="31">
        <f>IF(SnapshotTable[[#This Row],[LC Symbol Count]]=1, SnapshotTable[[#This Row],[LC Qty]] * SnapshotTable[[#This Row],[LC Book Price]] * 100, 0)</f>
        <v>0</v>
      </c>
      <c r="DP267" s="163" t="str">
        <f>IF(AND(SnapshotTable[[#This Row],[LC Exp Date]]&gt;0, SnapshotTable[[#This Row],[LC Strike Price]]&gt;0,SnapshotTable[[#This Row],[LC Qty]]&gt;0,SnapshotTable[[#This Row],[LC Book Date]]&gt;0,SnapshotTable[[#This Row],[LC Book Price]]&gt;0,SnapshotTable[[#This Row],[LC Fill Date]]=0),"Y","")</f>
        <v/>
      </c>
      <c r="DQ267" s="386" t="str">
        <f>IF(SnapshotTable[[#This Row],[LC Premium]] &gt; 0,SnapshotTable[[#This Row],[LC Exp Date]]-MAX(SnapshotTable[[#This Row],[LC Book Date]], SnapshotTable[[#This Row],[LC Fill Date]]),"")</f>
        <v/>
      </c>
      <c r="DR267" s="386" t="str">
        <f>IF(ISNUMBER(SnapshotTable[[#This Row],[LC Term]]), SnapshotTable[[#This Row],[LC Exp Date]] - MockToday, "")</f>
        <v/>
      </c>
      <c r="DS267" s="234" t="str">
        <f>IF(SnapshotTable[[#This Row],[LC Premium]]&gt;0,SnapshotTable[[#This Row],[LC Strike Price]] + SnapshotTable[[#This Row],[LC Book Price]],"")</f>
        <v/>
      </c>
      <c r="DU267" s="9" t="str">
        <f>IF(AND(SnapshotTable[[#This Row],[LC Symbol Count]]&gt;0, SnapshotTable[[#This Row],[LC Contract Value]]&gt;0), SnapshotTable[[#This Row],[LC Contract Value]] * SnapshotTable[[#This Row],[LC Qty]] * 100, "")</f>
        <v/>
      </c>
      <c r="DV267" s="9" t="str">
        <f>IF(AND(ISNUMBER(SnapshotTable[[#This Row],[LC Total Value]]), SnapshotTable[[#This Row],[LC Not Filled]]&lt;&gt;"Y"), SnapshotTable[[#This Row],[LC Total Value]]-SnapshotTable[[#This Row],[LC Premium]],"")</f>
        <v/>
      </c>
      <c r="DW267" s="240" t="str">
        <f>IF(ISNUMBER(SnapshotTable[[#This Row],[LC Actual Gain Loss]]), SnapshotTable[[#This Row],[LC Actual Gain Loss]] / SnapshotTable[[#This Row],[LC Premium]],"")</f>
        <v/>
      </c>
      <c r="DX267" s="284" t="str">
        <f>IF(ISNUMBER(SnapshotTable[[#This Row],[LC Book Price]]),SnapshotTable[[#This Row],[LC Book Price]] * 1.5,"")</f>
        <v/>
      </c>
      <c r="DY267" s="265" t="str">
        <f>IF(SnapshotTable[[#This Row],[LC Premium]]&gt;0, SnapshotTable[[#This Row],[LC Next Target]] * SnapshotTable[[#This Row],[LC Qty]] * 100,"")</f>
        <v/>
      </c>
      <c r="DZ267" s="265" t="str">
        <f>IF(ISNUMBER(SnapshotTable[[#This Row],[LC Target Gross]]), SnapshotTable[[#This Row],[LC Target Gross]] - SnapshotTable[[#This Row],[LC Premium]], "")</f>
        <v/>
      </c>
      <c r="EA267" s="305" t="str">
        <f>IF(ISNUMBER(SnapshotTable[[#This Row],[LC Target Gain Loss]]), SnapshotTable[[#This Row],[LC Target Gain Loss]]/SnapshotTable[[#This Row],[LC Premium]], "")</f>
        <v/>
      </c>
      <c r="EB267" s="262"/>
      <c r="EC267" s="283" t="str">
        <f>IF(SnapshotTable[[#This Row],[LC Premium]]&gt;0, SnapshotTable[[#This Row],[LC Book Price]] * (1 - LC_StopLoss_Pct),"")</f>
        <v/>
      </c>
      <c r="ED267" s="284"/>
      <c r="EE267" s="283" t="str">
        <f>IF(ISNUMBER(SnapshotTable[[#This Row],[LC Contract Value]]),IF(ISNUMBER(SnapshotTable[[#This Row],[LC Stop Loss Override]]), SnapshotTable[[#This Row],[LC Stop Loss Override]],SnapshotTable[[#This Row],[LC Stop Loss Calc Target]]),"")</f>
        <v/>
      </c>
      <c r="EF267" s="31" t="str">
        <f>IF(ISNUMBER(SnapshotTable[[#This Row],[LC Stop  To Use]]), (SnapshotTable[[#This Row],[LC Stop  To Use]] * SnapshotTable[[#This Row],[LC Qty]] * 100),"")</f>
        <v/>
      </c>
      <c r="EG267" s="9" t="str">
        <f>IF(ISNUMBER(SnapshotTable[[#This Row],[LC Total Value]]),SnapshotTable[[#This Row],[LC Stop Loss Amount]] - SnapshotTable[[#This Row],[LC Premium]],"")</f>
        <v/>
      </c>
      <c r="EH267" s="9">
        <f>IF(ISNUMBER(SnapshotTable[[#This Row],[LC Premium]]), SnapshotTable[[#This Row],[LC Qty]] * 100 * SnapshotTable[[#This Row],[LC Strike Price]], "")</f>
        <v>0</v>
      </c>
      <c r="EI267" s="240" t="str">
        <f>IF(AND(ISNUMBER(SnapshotTable[[#This Row],[LC Total Value]]),SnapshotTable[[#This Row],[LC Total Value]]&gt;0),SnapshotTable[[#This Row],[LC Stop Gain Loss]]  / SnapshotTable[[#This Row],[LC Premium]],"")</f>
        <v/>
      </c>
      <c r="EJ267" s="35">
        <f>IF(ISNUMBER(SnapshotTable[[#This Row],[Equity Shares]]),TRUNC(SnapshotTable[[#This Row],[Equity Shares]] / 100),0) + SnapshotTable[[#This Row],[LC Qty]]</f>
        <v>0</v>
      </c>
      <c r="EK267" s="147"/>
      <c r="EL267" s="138" t="str">
        <f>IF(SnapshotTable[[#This Row],[SC Exp Date]]&lt;&gt;"",TRUNC(SnapshotTable[[#This Row],[Last Price]]),"")</f>
        <v/>
      </c>
      <c r="EM267" s="148"/>
      <c r="EN267" s="147"/>
      <c r="EO267" s="147"/>
      <c r="EP267" s="138"/>
      <c r="EQ267" s="419" t="b">
        <f>AND(ISNUMBER(SnapshotTable[[#This Row],[SC Exp Date]]), ISNUMBER(SnapshotTable[[#This Row],[SC Strike Price]]), ISNUMBER(SnapshotTable[[#This Row],[SC Qty]]), ISNUMBER(SnapshotTable[[#This Row],[SC Book Date]]), ISNUMBER(SnapshotTable[[#This Row],[SC Book Price]]))</f>
        <v>0</v>
      </c>
      <c r="ER267" s="419" t="b">
        <f>AND(SnapshotTable[[#This Row],[SC Is Booked]], NOT(ISBLANK(SnapshotTable[[#This Row],[SC Fill Date]])))</f>
        <v>0</v>
      </c>
      <c r="ES267" s="370"/>
      <c r="ET267" s="34" t="str">
        <f>IF(AND(ISNUMBER(SnapshotTable[[#This Row],[SC Exp Date]]), ISNUMBER(SnapshotTable[[#This Row],[SC Book Date]])), SnapshotTable[[#This Row],[SC Exp Date]] - MAX(SnapshotTable[[#This Row],[SC Book Date]], SnapshotTable[[#This Row],[SC Fill Date]]) + 1, "")</f>
        <v/>
      </c>
      <c r="EU267" s="34" t="str">
        <f>IF(ISNUMBER(SnapshotTable[[#This Row],[SC Term]]), SnapshotTable[[#This Row],[SC Exp Date]]- MockToday, "")</f>
        <v/>
      </c>
      <c r="EV267" s="31">
        <f>IF(SnapshotTable[[#This Row],[SC Is Booked]], SnapshotTable[[#This Row],[SC Qty]] * SnapshotTable[[#This Row],[SC Book Price]] * 100, 0)</f>
        <v>0</v>
      </c>
      <c r="EW267" s="4" t="str">
        <f>IF(AND(ISNUMBER(SnapshotTable[[#This Row],[Last Price]]), ISNUMBER( SnapshotTable[[#This Row],[SC Book Price]])), SnapshotTable[[#This Row],[Last Price]] - SnapshotTable[[#This Row],[SC Book Price]],"")</f>
        <v/>
      </c>
      <c r="EX267" s="234" t="str">
        <f>IF(SnapshotTable[[#This Row],[SC Is Booked]],IF(SnapshotTable[[#This Row],[SC Intrinsic Value]] &gt; 0, SnapshotTable[[#This Row],[SC Strike Price]], SnapshotTable[[#This Row],[Last Price]]), "")</f>
        <v/>
      </c>
      <c r="EY267" s="4">
        <f>IF(SnapshotTable[[#This Row],[SC Is Booked]], (MinimumPremiumRequired * SnapshotTable[[#This Row],[SC Basis]] * SnapshotTable[[#This Row],[SC Term]]), 0)</f>
        <v>0</v>
      </c>
      <c r="EZ267" s="283"/>
      <c r="FA267" s="218"/>
      <c r="FB267" s="370"/>
      <c r="FC267" s="4">
        <f>IF(SnapshotTable[[#This Row],[SC Is Filled]], btc_max_buyback_amount(SnapshotTable[[#This Row],[SC Fill Date]],SnapshotTable[[#This Row],[SC Exp Date]], SnapshotTable[[#This Row],[SC Book Price]]),0)</f>
        <v>0</v>
      </c>
      <c r="FD267" s="5"/>
      <c r="FE267" s="144" t="str">
        <f>IF(SnapshotTable[[#This Row],[SC Is Filled]], btc_next_cutoff_date(SnapshotTable[[#This Row],[SC Fill Date]],SnapshotTable[[#This Row],[SC Exp Date]]),"")</f>
        <v/>
      </c>
      <c r="FF267" s="4" t="str" cm="1">
        <f t="array" ref="FF267">IF(SnapshotTable[[#This Row],[SC Is Filled]], btc_should_buy_back(SnapshotTable[[#This Row],[SC Fill Date]], SnapshotTable[[#This Row],[SC Exp Date]], SnapshotTable[[#This Row],[SC Book Price]], SnapshotTable[[#This Row],[SC Current Ask]], MockToday, SnapshotTable[[#This Row],[SC Buyback Override]]),"")</f>
        <v/>
      </c>
      <c r="FG267" s="4">
        <f>IF(SnapshotTable[[#This Row],[SC Is Filled]], MAX(0,SnapshotTable[[#This Row],[Last Price]]  - SnapshotTable[[#This Row],[SC Strike Price]]), 0)</f>
        <v>0</v>
      </c>
      <c r="FH267" s="382">
        <f>IF(SnapshotTable[[#This Row],[SC Is Filled]], IF(ISNUMBER(SnapshotTable[[#This Row],[SC Current Ask]]), SnapshotTable[[#This Row],[SC Current Ask]], SnapshotTable[[#This Row],[SC Book Price]]) - SnapshotTable[[#This Row],[SC Intrinsic Value]], 0)</f>
        <v>0</v>
      </c>
      <c r="FI267" s="143"/>
      <c r="FJ267" s="32" t="str">
        <f>IF(SnapshotTable[[#This Row],[SC Is Filled]],100 * SnapshotTable[[#This Row],[SC Qty]] * IF(ISNUMBER(SnapshotTable[[#This Row],[SC Buyback Override]]), SnapshotTable[[#This Row],[SC Buyback Override]], SnapshotTable[[#This Row],[SC Current Ask]]), "")</f>
        <v/>
      </c>
      <c r="FK267" s="250" t="str">
        <f>IF(SnapshotTable[[#This Row],[SC Time Val]]&gt;0, SnapshotTable[[#This Row],[SC Time Val]] / SnapshotTable[[#This Row],[Last Price]],"")</f>
        <v/>
      </c>
      <c r="FL267" s="302" t="str">
        <f>IF(SnapshotTable[[#This Row],[SC Is Booked]], ((SnapshotTable[[#This Row],[Last Price]] -SnapshotTable[[#This Row],[SC Strike Price]]) / SnapshotTable[[#This Row],[Last Price]]) * -1, "")</f>
        <v/>
      </c>
      <c r="FM267" s="157" t="str">
        <f>IF(SnapshotTable[[#This Row],[SC Is Booked]],  (SnapshotTable[[#This Row],[SC Qty]] * 100 * SnapshotTable[[#This Row],[SC Strike Price]]) - SnapshotTable[[#This Row],[SC Current Ask]], "")</f>
        <v/>
      </c>
      <c r="FN26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7" s="31" t="str">
        <f>IF(AND(ISNUMBER(SnapshotTable[[#This Row],[SC Exercise Gross]]), ISNUMBER(SnapshotTable[[#This Row],[Equity Basis Per Share]] )), SnapshotTable[[#This Row],[SC Exercise Gross]] - SnapshotTable[[#This Row],[Equity Basis Total]] +  SnapshotTable[[#This Row],[SC Premium]], "")</f>
        <v/>
      </c>
      <c r="FP267" s="5" t="str">
        <f>IF(ISNUMBER(SnapshotTable[[#This Row],[SC Exercise Gross]]), (SnapshotTable[[#This Row],[SC Exercise Gross]]) / (SnapshotTable[[#This Row],[SC Qty]] * 100), "")</f>
        <v/>
      </c>
      <c r="FQ267" s="27" t="str">
        <f>IF(SnapshotTable[[#This Row],[SC Is Booked]],SnapshotTable[[#This Row],[SC Time Val]] /SnapshotTable[[#This Row],[SC Basis]], "")</f>
        <v/>
      </c>
      <c r="FR267" s="27" t="str" cm="1">
        <f t="array" ref="FR267">IF(AND(ISNUMBER(SnapshotTable[[#This Row],[SC Term]]),ISNUMBER(SnapshotTable[[#This Row],[SC Simple ROO]])), EllmanAnnualize(SnapshotTable[[#This Row],[SC DTE]], SnapshotTable[[#This Row],[SC Simple ROO]] ),"")</f>
        <v/>
      </c>
      <c r="FS267" s="4" t="e">
        <f>IF(SnapshotTable[[#This Row],[SC Strike Price]] &gt; SnapshotTable[[#This Row],[Last Price]], SnapshotTable[[#This Row],[SC Strike Price]] - SnapshotTable[[#This Row],[Last Price]],0)</f>
        <v>#VALUE!</v>
      </c>
      <c r="FT267" s="27" t="e">
        <f>IF(AND(ISNUMBER(SnapshotTable[[#This Row],[SC Upside Potential]]), SnapshotTable[[#This Row],[SC Upside Potential]] &gt; 0),(SnapshotTable[[#This Row],[SC Upside Potential]]/ SnapshotTable[[#This Row],[ACB]]),"")</f>
        <v>#VALUE!</v>
      </c>
      <c r="FU267" s="333" t="str">
        <f>IF(SnapshotTable[[#This Row],[SC Intrinsic Value]] &gt; 0,SnapshotTable[[#This Row],[SC Intrinsic Value]],"")</f>
        <v/>
      </c>
      <c r="FV267" s="27" t="str">
        <f>IF(AND( ISNUMBER( SnapshotTable[[#This Row],[ACB]]),ISNUMBER(SnapshotTable[[#This Row],[SC Downside Protect]])),SnapshotTable[[#This Row],[SC Downside Protect]] / SnapshotTable[[#This Row],[ACB]],"")</f>
        <v/>
      </c>
      <c r="FW267" s="236" t="str">
        <f>IF(AND(ISNUMBER(SnapshotTable[[#This Row],[SC Simple ROO]]),SnapshotTable[[#This Row],[SC Simple ROO]] &gt; 0), SnapshotTable[[#This Row],[SC Premium]] + (SnapshotTable[[#This Row],[SC Qty]] * SnapshotTable[[#This Row],[SC Upside Potential]]), "")</f>
        <v/>
      </c>
      <c r="FX267" s="302" t="str" cm="1">
        <f t="array" ref="FX267">IF(ISNUMBER(SnapshotTable[[#This Row],[SC Max Dollars]]), annualize(SnapshotTable[[#This Row],[SC Term]],(SnapshotTable[[#This Row],[SC Max Dollars]]/SnapshotTable[[#This Row],[SC Basis]])),"")</f>
        <v/>
      </c>
      <c r="FY267" s="236" t="str">
        <f>IF(AND(SnapshotTable[[#This Row],[SC Qty]]&gt;0,SnapshotTable[[#This Row],[SC Current Ask]]&gt;0), SnapshotTable[[#This Row],[SC Qty]] * SnapshotTable[[#This Row],[SC Current Ask]] * -100, "")</f>
        <v/>
      </c>
      <c r="FZ267" s="31" t="str">
        <f>IF(ISNUMBER((SnapshotTable[[#This Row],[SC Current Value]])), SnapshotTable[[#This Row],[SC Premium]] + SnapshotTable[[#This Row],[SC Current Value]], "")</f>
        <v/>
      </c>
      <c r="GA267" s="294" t="str">
        <f>IFERROR( IF(ISNUMBER((SnapshotTable[[#This Row],[SC Current Value]])), SnapshotTable[[#This Row],[SC Gain Loss]] / SnapshotTable[[#This Row],[SC Premium]], ""), "")</f>
        <v/>
      </c>
      <c r="GB267" s="42">
        <f>SnapshotTable[[#This Row],[Equity Shares]] * SaleSharesToConsiderPercentage</f>
        <v>0</v>
      </c>
      <c r="GC267" s="40">
        <f>SnapshotTable[[#This Row],[Long Term Target]] * SellingPriceToConsiderBasedOnTargetPercentage</f>
        <v>0</v>
      </c>
      <c r="GD267" s="40">
        <f>SnapshotTable[[#This Row],[Last Price]] * (1+ SellingPriceToConsiderBasedOnTargetPercentage)</f>
        <v>12.2265</v>
      </c>
      <c r="GE267" s="41"/>
      <c r="GF267" s="40"/>
      <c r="GG267" s="31">
        <f>SnapshotTable[[#This Row],[Booked Sale Shares]] * SnapshotTable[[#This Row],[Booked Sale Price]]</f>
        <v>0</v>
      </c>
      <c r="GH267" s="31" t="str">
        <f>IF(SnapshotTable[[#This Row],[Equity Basis Total]] &gt; 0, SnapshotTable[[#This Row],[Equity Basis Per Share]] * SnapshotTable[[#This Row],[Booked Sale Shares]], "")</f>
        <v/>
      </c>
      <c r="GI267" s="31">
        <f>IF(SnapshotTable[[#This Row],[Sale Proceeds]]&gt;0, SnapshotTable[[#This Row],[Sale Proceeds]] - SnapshotTable[[#This Row],[Sale Basis]], 0)</f>
        <v>0</v>
      </c>
      <c r="GJ267" s="27" t="str">
        <f>IF(SnapshotTable[[#This Row],[Sale G/L]]&gt;0, SnapshotTable[[#This Row],[Sale G/L]] / SnapshotTable[[#This Row],[Sale Basis]], IF(ISNUMBER(SnapshotTable[[#This Row],[SC Exercise P&amp;L (TAX)]]), SnapshotTable[[#This Row],[SC Exercise P&amp;L (TAX)]] / SnapshotTable[[#This Row],[SC Basis]], ""))</f>
        <v/>
      </c>
      <c r="GK267" s="27"/>
      <c r="GL267" s="43" t="str">
        <f>IF(AND(SnapshotTable[[#This Row],[LP Exp Date]]&gt;0,SnapshotTable[[#This Row],[LP Strike Price]]&gt;0), [1]!ToOptionSymbol(SnapshotTable[[#This Row],[Symbol]], SnapshotTable[[#This Row],[LP Strike Price]],SnapshotTable[[#This Row],[LP Exp Date]],1), "")</f>
        <v/>
      </c>
      <c r="GM267" s="30" t="str">
        <f>IF(LEN(SnapshotTable[[#This Row],[LP Symbol]])&gt;0, 1, "")</f>
        <v/>
      </c>
      <c r="GN267" s="43" t="str">
        <f>IF(AND(SnapshotTable[[#This Row],[SP Exp Date]]&gt;0,SnapshotTable[[#This Row],[SP Strike Price]]&gt;0), [1]!ToOptionSymbol(SnapshotTable[[#This Row],[Symbol]], SnapshotTable[[#This Row],[SP Strike Price]],SnapshotTable[[#This Row],[SP Exp Date]],1), "")</f>
        <v/>
      </c>
      <c r="GO267" s="30" t="str">
        <f>IF(LEN(SnapshotTable[[#This Row],[SP Symbol]])&gt;0, 1, "")</f>
        <v/>
      </c>
      <c r="GP267" s="43" t="str">
        <f>IF(AND(SnapshotTable[[#This Row],[LC Exp Date]]&gt;0,SnapshotTable[[#This Row],[LC Strike Price]]&gt;0), [1]!ToOptionSymbol(SnapshotTable[[#This Row],[Symbol]], SnapshotTable[[#This Row],[LC Strike Price]],SnapshotTable[[#This Row],[LC Exp Date]],0), "")</f>
        <v/>
      </c>
      <c r="GQ267" s="30" t="str">
        <f>IF(LEN(SnapshotTable[[#This Row],[LC Symbol]])&gt;0, 1, "")</f>
        <v/>
      </c>
      <c r="GR267" s="43" t="str">
        <f>IF(AND(SnapshotTable[[#This Row],[SC Exp Date]]&gt;0,SnapshotTable[[#This Row],[SC Strike Price]]&gt;0), [1]!ToOptionSymbol(SnapshotTable[[#This Row],[Symbol]], SnapshotTable[[#This Row],[SC Strike Price]],SnapshotTable[[#This Row],[SC Exp Date]],0), "")</f>
        <v/>
      </c>
      <c r="GS267" s="30" t="str">
        <f>IF(LEN(SnapshotTable[[#This Row],[SC Symbol]])&gt;0, 1, "")</f>
        <v/>
      </c>
      <c r="GT267" s="29" t="str">
        <f>IF(COUNT(SnapshotTable[[#This Row],[LP Symbol Count]],SnapshotTable[[#This Row],[SP Symbol Count]],SnapshotTable[[#This Row],[LC Symbol Count]],SnapshotTable[[#This Row],[SC Symbol Count]])&gt;0, "Y", "")</f>
        <v/>
      </c>
      <c r="GU26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7" s="231" t="e">
        <f>MAX(SnapshotTable[[#This Row],[Equity Basis Total]],SnapshotTable[[#This Row],[Equity Value]]) + (SnapshotTable[[#This Row],[SP Potential Spend]]- SnapshotTable[[#This Row],[SP Premium]] + SnapshotTable[[#This Row],[LP Premium]])+ (SnapshotTable[[#This Row],[LC Premium]] - SnapshotTable[[#This Row],[SC Premium]])</f>
        <v>#VALUE!</v>
      </c>
      <c r="GW267" s="139" t="e">
        <f>IF(AND(SnapshotTable[[#This Row],[Exposure]] &lt;&gt; 0),SnapshotTable[[#This Row],[Exposure]] / SnapshotTable[[#Totals],[Exposure]], "")</f>
        <v>#VALUE!</v>
      </c>
      <c r="GX267" s="13"/>
      <c r="HE267" s="268"/>
      <c r="HF267" s="268"/>
      <c r="HK267" s="1"/>
      <c r="HL267" s="1"/>
      <c r="HM267" s="1"/>
      <c r="HN267" s="1"/>
      <c r="HO267" s="1"/>
      <c r="HP267" s="1"/>
    </row>
    <row r="268" spans="2:224" ht="12.75" hidden="1" customHeight="1" x14ac:dyDescent="0.25">
      <c r="B268" s="12" t="s">
        <v>915</v>
      </c>
      <c r="C268" s="422">
        <v>14.66</v>
      </c>
      <c r="D268" s="208" t="s">
        <v>578</v>
      </c>
      <c r="E268" s="39">
        <f>SnapshotTable[[#This Row],[Last Price]]*(1 -CrashDiscount)</f>
        <v>12.461</v>
      </c>
      <c r="F268" s="26" t="s">
        <v>916</v>
      </c>
      <c r="G268" s="26" t="s">
        <v>9</v>
      </c>
      <c r="H268" s="149"/>
      <c r="I268" s="194">
        <v>44783.670138888891</v>
      </c>
      <c r="J268" s="195">
        <v>44783.670138888891</v>
      </c>
      <c r="K268" s="196"/>
      <c r="L268" s="326"/>
      <c r="M268" s="140"/>
      <c r="N268" s="140"/>
      <c r="O268" s="140"/>
      <c r="P268" s="22"/>
      <c r="Q268" s="25"/>
      <c r="R268" s="4" t="str">
        <f>IF(SnapshotTable[[#This Row],[Equity Basis Total]] &gt; 0, SnapshotTable[[#This Row],[Equity Basis Total]] / SnapshotTable[[#This Row],[Equity Shares]], "")</f>
        <v/>
      </c>
      <c r="S268" s="269">
        <f>SnapshotTable[[#This Row],[Last Price]] * SnapshotTable[[#This Row],[Equity Shares]]</f>
        <v>0</v>
      </c>
      <c r="T268" s="269">
        <f>SnapshotTable[[#This Row],[Equity Value]] - SnapshotTable[[#This Row],[Equity Basis Total]]</f>
        <v>0</v>
      </c>
      <c r="U268" s="270" t="str">
        <f>IF(SnapshotTable[[#This Row],[Equity Basis Total]] &gt; 0, SnapshotTable[[#This Row],[Equity G/L]] / SnapshotTable[[#This Row],[Equity Basis Total]], "")</f>
        <v/>
      </c>
      <c r="V268" s="268"/>
      <c r="W268" s="268"/>
      <c r="X268" s="4" t="str">
        <f>IF(AND(ISNUMBER(SnapshotTable[[#This Row],[Equity Basis Per Share]]),ISNUMBER(SnapshotTable[[#This Row],[Equity Target]])),SnapshotTable[[#This Row],[Equity Target]]-SnapshotTable[[#This Row],[Equity Basis Per Share]],"")</f>
        <v/>
      </c>
      <c r="Y268" s="4" t="str">
        <f>IF(AND(ISNUMBER(SnapshotTable[[#This Row],[Equity Basis Per Share]]),ISNUMBER(SnapshotTable[[#This Row],[Equity Stop Loss]])),SnapshotTable[[#This Row],[Equity Stop Loss]]-SnapshotTable[[#This Row],[Equity Basis Per Share]],"")</f>
        <v/>
      </c>
      <c r="Z268" s="275" t="str">
        <f>IFERROR( TEXT(SnapshotTable[[#This Row],[Equity Max Gain Per Share]] /ABS( SnapshotTable[[#This Row],[Equity Max Loss Per Share]]),"0.0 " ) &amp; " : 1", "")</f>
        <v/>
      </c>
      <c r="AA268" s="31" t="str">
        <f>IF(ISNUMBER(SnapshotTable[[#This Row],[Equity Max Gain Per Share]]),SnapshotTable[[#This Row],[Equity Max Gain Per Share]] * SnapshotTable[[#This Row],[Equity Shares]],"")</f>
        <v/>
      </c>
      <c r="AB268" s="31" t="str">
        <f>IF(ISNUMBER(SnapshotTable[[#This Row],[Equity Max Loss Per Share]]),SnapshotTable[[#This Row],[Equity Max Loss Per Share]] * SnapshotTable[[#This Row],[Equity Shares]],"")</f>
        <v/>
      </c>
      <c r="AC268" s="150"/>
      <c r="AD268" s="151"/>
      <c r="AE268" s="31">
        <f>(SnapshotTable[[#This Row],[Annual Dividend Per Share]] / 4) * SnapshotTable[[#This Row],[Equity Shares]]</f>
        <v>0</v>
      </c>
      <c r="AF268" s="31">
        <f>SnapshotTable[[#This Row],[Quarterly Div $]] * 4</f>
        <v>0</v>
      </c>
      <c r="AG268" s="7">
        <f>IF(SnapshotTable[[#This Row],[Annual Dividend Per Share]]&gt;0, SnapshotTable[[#This Row],[Annual Dividend Per Share]]  / SnapshotTable[[#This Row],[Last Price]], 0)</f>
        <v>0</v>
      </c>
      <c r="AH268" s="151"/>
      <c r="AI268" s="5"/>
      <c r="AJ268" s="138">
        <v>16.43</v>
      </c>
      <c r="AK268" s="152" t="str">
        <f>IF(ISNUMBER( SnapshotTable[[#This Row],[EBF Target]]),(SnapshotTable[[#This Row],[EBF Target]] - SnapshotTable[[#This Row],[Last Price]]) / SnapshotTable[[#This Row],[Last Price]], "")</f>
        <v/>
      </c>
      <c r="AL268" s="152" t="str">
        <f>IF(AND(SnapshotTable[[#This Row],[Equity Basis Total]] &gt; 0,ISNUMBER( SnapshotTable[[#This Row],[Long Term Target]])), SnapshotTable[[#This Row],[From Basis $]] / SnapshotTable[[#This Row],[Equity Basis Total]], "")</f>
        <v/>
      </c>
      <c r="AM268" s="9">
        <f>IF( AND(SnapshotTable[[#This Row],[Equity Shares]] &gt;0,ISNUMBER( SnapshotTable[[#This Row],[Long Term Target]])),(SnapshotTable[[#This Row],[Equity Shares]] * SnapshotTable[[#This Row],[Long Term Target]]) - SnapshotTable[[#This Row],[Equity Basis Total]],0)</f>
        <v>0</v>
      </c>
      <c r="AN268" s="9">
        <f>IF( AND(SnapshotTable[[#This Row],[Equity Shares]] &gt;0,ISNUMBER( SnapshotTable[[#This Row],[Long Term Target]])),(SnapshotTable[[#This Row],[Equity Shares]]*SnapshotTable[[#This Row],[Long Term Target]]) - SnapshotTable[[#This Row],[Equity Value]],0)</f>
        <v>0</v>
      </c>
      <c r="AO268" s="152">
        <f>IF(AND(ISNUMBER( SnapshotTable[[#This Row],[Long Term Target]]), ISNUMBER(SnapshotTable[[#This Row],[Last Price]])),(SnapshotTable[[#This Row],[Long Term Target]] - SnapshotTable[[#This Row],[Last Price]]) / SnapshotTable[[#This Row],[Last Price]], "")</f>
        <v>0.12073669849931784</v>
      </c>
      <c r="AP268" s="5">
        <v>17.5</v>
      </c>
      <c r="AQ268" s="38" t="s">
        <v>27</v>
      </c>
      <c r="AR268" s="5">
        <v>17.5</v>
      </c>
      <c r="AS268" s="38" t="s">
        <v>38</v>
      </c>
      <c r="AT268" s="146" t="s">
        <v>535</v>
      </c>
      <c r="AU268" s="187" t="str">
        <f>IF(OR(SnapshotTable[[#This Row],[LP No Fill]]="Y",SnapshotTable[[#This Row],[SP Is Filled]],SnapshotTable[[#This Row],[LC Not Filled]]="Y",SnapshotTable[[#This Row],[SC Is Filled]]),"Y","")</f>
        <v/>
      </c>
      <c r="AV268" s="219"/>
      <c r="AW268" s="225">
        <v>2.3039999999999998</v>
      </c>
      <c r="AX268" s="220">
        <v>44155</v>
      </c>
      <c r="AY268" s="219">
        <f>IF(SnapshotTable[[#This Row],[Implied Move]]&gt;0, SnapshotTable[[#This Row],[Last Price]]-SnapshotTable[[#This Row],[Implied Move]],"")</f>
        <v>12.356</v>
      </c>
      <c r="AZ268" s="219">
        <f>IF(SnapshotTable[[#This Row],[Implied Move]]&gt;0, SnapshotTable[[#This Row],[Last Price]] + SnapshotTable[[#This Row],[Implied Move]],"")</f>
        <v>16.963999999999999</v>
      </c>
      <c r="BA268" s="331"/>
      <c r="BB268" s="347"/>
      <c r="BC26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8" s="351"/>
      <c r="BE268" s="313"/>
      <c r="BF268" s="314"/>
      <c r="BG268" s="315"/>
      <c r="BH268" s="315"/>
      <c r="BI268" s="316"/>
      <c r="BJ268" s="153">
        <f>IF(SnapshotTable[[#This Row],[LP Qty]] &gt; 0, SnapshotTable[[#This Row],[LP Qty]] * SnapshotTable[[#This Row],[LP Book Price]] * 100,0)</f>
        <v>0</v>
      </c>
      <c r="BK268" s="136">
        <f>IF(SnapshotTable[[#This Row],[LP Premium]] &gt; 0, SnapshotTable[[#This Row],[LP Qty]] * SnapshotTable[[#This Row],[LP Strike Price]] * 100,0)</f>
        <v>0</v>
      </c>
      <c r="BL268" s="154"/>
      <c r="BM268" s="385" t="str">
        <f>IF(SnapshotTable[[#This Row],[LP Premium]] &gt; 0,SnapshotTable[[#This Row],[LP Exp Date]]-MAX(SnapshotTable[[#This Row],[LP Book Date]], SnapshotTable[[#This Row],[LP Fill Date]]),"")</f>
        <v/>
      </c>
      <c r="BN268" s="385" t="str">
        <f>IF(ISNUMBER( SnapshotTable[[#This Row],[LP Term]]), SnapshotTable[[#This Row],[LP Exp Date]] - MockToday,"")</f>
        <v/>
      </c>
      <c r="BO268" s="163" t="str">
        <f>IF(AND(SnapshotTable[[#This Row],[LP Exp Date]]&gt;0, SnapshotTable[[#This Row],[LP Strike Price]]&gt;0,SnapshotTable[[#This Row],[LP Qty]]&gt;0,SnapshotTable[[#This Row],[LP Book Date]]&gt;0,SnapshotTable[[#This Row],[LP Book Price]]&gt;0,SnapshotTable[[#This Row],[LP Fill Date]]=0),"Y","")</f>
        <v/>
      </c>
      <c r="BP268" s="31" t="str">
        <f>IF(AND(SnapshotTable[[#This Row],[LP No Fill]]&lt;&gt;"Y",SnapshotTable[[#This Row],[LP Contract Value]]&gt;0, SnapshotTable[[#This Row],[LP Qty]]&gt;0), SnapshotTable[[#This Row],[LP Contract Value]]*SnapshotTable[[#This Row],[LP Qty]]*100,"")</f>
        <v/>
      </c>
      <c r="BQ268" s="13"/>
      <c r="BR268" s="5" t="str">
        <f>IF(SnapshotTable[[#This Row],[SP Exp Date]]&lt;&gt;"",TRUNC(SnapshotTable[[#This Row],[Last Price]]),"")</f>
        <v/>
      </c>
      <c r="BS268" s="36"/>
      <c r="BT268" s="147"/>
      <c r="BU268" s="13"/>
      <c r="BV268" s="5"/>
      <c r="BW268" s="419" t="b">
        <f>AND(ISNUMBER(SnapshotTable[[#This Row],[SP Exp Date]]), ISNUMBER(SnapshotTable[[#This Row],[SP Strike Price]]), ISNUMBER(SnapshotTable[[#This Row],[SP Qty]]), ISNUMBER(SnapshotTable[[#This Row],[SP Book Date]]), ISNUMBER(SnapshotTable[[#This Row],[SP Book Price]]))</f>
        <v>0</v>
      </c>
      <c r="BX268" s="419" t="b">
        <f>AND(SnapshotTable[[#This Row],[SP Is Booked]], NOT(ISBLANK(SnapshotTable[[#This Row],[SP Fill Date]])))</f>
        <v>0</v>
      </c>
      <c r="BY268" s="33">
        <f>IF(SnapshotTable[[#This Row],[SP Is Booked]], SnapshotTable[[#This Row],[SP Qty]] * SnapshotTable[[#This Row],[SP Book Price]] * 100, 0)</f>
        <v>0</v>
      </c>
      <c r="BZ268" s="369"/>
      <c r="CA268" s="368">
        <f>SnapshotTable[[#This Row],[LP Qty]]</f>
        <v>0</v>
      </c>
      <c r="CB268" s="4" t="str">
        <f>IF(SnapshotTable[[#This Row],[SP Is Booked]], SnapshotTable[[#This Row],[SP Strike Price]] - SnapshotTable[[#This Row],[SP Book Price]], "")</f>
        <v/>
      </c>
      <c r="CC268" s="19" t="str">
        <f>IF(SnapshotTable[[#This Row],[SP Is Booked]],SnapshotTable[[#This Row],[SP Exp Date]]-MAX(SnapshotTable[[#This Row],[SP Book Date]], SnapshotTable[[#This Row],[SP Fill Date]]),"")</f>
        <v/>
      </c>
      <c r="CD268" s="7" t="str">
        <f>IF(SnapshotTable[[#This Row],[SP Is Booked]], SnapshotTable[[#This Row],[SP Book Price]]/SnapshotTable[[#This Row],[SP Strike Price]], "")</f>
        <v/>
      </c>
      <c r="CE268" s="7" t="str">
        <f>IF(ISNUMBER(SnapshotTable[[#This Row],[SP ROO Term]]),SnapshotTable[[#This Row],[SP ROO Term]]*(365/SnapshotTable[[#This Row],[SP Term]]),"")</f>
        <v/>
      </c>
      <c r="CF268" s="236">
        <f>SnapshotTable[[#This Row],[LP Strike Price]] * SnapshotTable[[#This Row],[LP Qty]] * 100</f>
        <v>0</v>
      </c>
      <c r="CG268" s="31" t="e">
        <f>IF(ISNUMBER(SnapshotTable[[#This Row],[SP Premium]]), (SnapshotTable[[#This Row],[SP Qty]] * SnapshotTable[[#This Row],[SP Strike Price]]* 100) - SnapshotTable[[#This Row],[LP Protection]], 0)</f>
        <v>#VALUE!</v>
      </c>
      <c r="CH268" s="7" t="str">
        <f>IF(ISNUMBER(SnapshotTable[[#This Row],[SP Break Even]]),-1 * (SnapshotTable[[#This Row],[SP Break Even]] - SnapshotTable[[#This Row],[Last Price]]) / SnapshotTable[[#This Row],[Last Price]], "")</f>
        <v/>
      </c>
      <c r="CI268" s="31">
        <f>IF(AND(ISNUMBER((SnapshotTable[[#This Row],[SP Potential Spend]])), SnapshotTable[[#This Row],[SP Strike Price]] &gt; SnapshotTable[[#This Row],[Last Price]], SnapshotTable[[#This Row],[SP Is Filled]]), SnapshotTable[[#This Row],[SP Potential Spend]] -  SnapshotTable[[#This Row],[LP Max Value]], 0)</f>
        <v>0</v>
      </c>
      <c r="CJ268" s="244"/>
      <c r="CK268" s="31" t="str">
        <f>IF(ISNUMBER(SnapshotTable[[#This Row],[SP Potential Spend]]),IF(ISNUMBER(SnapshotTable[[#This Row],[SP POW]]), SnapshotTable[[#This Row],[SP POW]] * SnapshotTable[[#This Row],[SP Potential Spend]], SnapshotTable[[#This Row],[SP Potential Spend]]), "")</f>
        <v/>
      </c>
      <c r="CL268" s="164" t="e">
        <f>IF(NOT(SnapshotTable[[#This Row],[SP Is Filled]]),(SnapshotTable[[#This Row],[SP Qty]] * SnapshotTable[[#This Row],[SP Strike Price]] * 100) - SnapshotTable[[#This Row],[LP Max Value]],"")</f>
        <v>#VALUE!</v>
      </c>
      <c r="CM268" s="31" t="str">
        <f>IF(SnapshotTable[[#This Row],[SP Actual Spend]]&lt;&gt;0, ((SnapshotTable[[#This Row],[SP Strike Price]]-SnapshotTable[[#This Row],[Last Price]]) *(SnapshotTable[[#This Row],[SP Qty]]*100) - SnapshotTable[[#This Row],[SP Premium]]) * - 1, "")</f>
        <v/>
      </c>
      <c r="CN268" s="154"/>
      <c r="CO268" s="369"/>
      <c r="CP268" s="4" t="str">
        <f>IF(SnapshotTable[[#This Row],[SP Is Filled]], btc_max_buyback_amount(SnapshotTable[[#This Row],[SP Fill Date]],SnapshotTable[[#This Row],[SP Exp Date]], SnapshotTable[[#This Row],[SP Book Price]]),"")</f>
        <v/>
      </c>
      <c r="CQ268" s="78"/>
      <c r="CR26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8" s="155" t="str">
        <f>IF(SnapshotTable[[#This Row],[SP Is Filled]], btc_next_cutoff_date(SnapshotTable[[#This Row],[SP Fill Date]],SnapshotTable[[#This Row],[SP Exp Date]]),"")</f>
        <v/>
      </c>
      <c r="CT268" s="235" t="str" cm="1">
        <f t="array" ref="CT268">IF(SnapshotTable[[#This Row],[SP Is Filled]], btc_should_buy_back(SnapshotTable[[#This Row],[SP Fill Date]], SnapshotTable[[#This Row],[SP Exp Date]], SnapshotTable[[#This Row],[SP Book Price]], SnapshotTable[[#This Row],[SP Current Ask]], MockToday, SnapshotTable[[#This Row],[SP Buyback Override]]),"")</f>
        <v/>
      </c>
      <c r="CU268" s="156"/>
      <c r="CV268" s="235"/>
      <c r="CW268" s="378" t="str">
        <f>IF(ISNUMBER( SnapshotTable[[#This Row],[SP Term]]), SnapshotTable[[#This Row],[SP Exp Date]] - MockToday,"")</f>
        <v/>
      </c>
      <c r="CX268" s="31" t="str">
        <f>IF(SnapshotTable[[#This Row],[SP Is Filled]],SnapshotTable[[#This Row],[SP Buyback Price to Use]] * 100 * SnapshotTable[[#This Row],[SP Qty]], "")</f>
        <v/>
      </c>
      <c r="CY268" s="4" t="str">
        <f>IF(ISNUMBER(SnapshotTable[[#This Row],[SP Strike Price]]), SnapshotTable[[#This Row],[SP Strike Price]] * (1 - SP_MaxLoss_StrikePct), "")</f>
        <v/>
      </c>
      <c r="CZ268" s="31" t="str">
        <f>IF(ISNUMBER(SnapshotTable[[#This Row],[SP Strike  Stop Per Share]]),SnapshotTable[[#This Row],[SP Premium]] - ((SnapshotTable[[#This Row],[SP Strike Price]]-SnapshotTable[[#This Row],[SP Strike  Stop Per Share]]) *(SnapshotTable[[#This Row],[SP Qty]] * 100)),"")</f>
        <v/>
      </c>
      <c r="DA268" s="4" t="str">
        <f>IF(AND(ISNUMBER(SnapshotTable[[#This Row],[SP Premium]]),SnapshotTable[[#This Row],[SP Premium]]&gt;0), SnapshotTable[[#This Row],[SP Book Price]] * (1 + SP_MaxLoss_OptionPct), "")</f>
        <v/>
      </c>
      <c r="DB268" s="31" t="str">
        <f>IF(ISNUMBER(SnapshotTable[[#This Row],[SP Option  Stop Contract]]),(SnapshotTable[[#This Row],[SP Option  Stop Contract]] *(SnapshotTable[[#This Row],[SP Qty]] * 100) - SnapshotTable[[#This Row],[SP Premium]]),"")</f>
        <v/>
      </c>
      <c r="DC268" s="4"/>
      <c r="DD268" s="4"/>
      <c r="DE268" s="4" t="str">
        <f>IF(AND(SnapshotTable[[#This Row],[SP Qty]]&gt;0, SnapshotTable[[#This Row],[SP Stop To Use]]&gt;0),SnapshotTable[[#This Row],[SP Premium]] - ( SnapshotTable[[#This Row],[SP Qty]] * SnapshotTable[[#This Row],[SP Stop To Use]] * 100), "")</f>
        <v/>
      </c>
      <c r="DF268" s="31" t="str">
        <f>IF(AND(SnapshotTable[[#This Row],[SP Qty]]&gt;0,SnapshotTable[[#This Row],[SP Current Ask]]&gt;0), SnapshotTable[[#This Row],[SP Qty]] * SnapshotTable[[#This Row],[SP Current Ask]] * -100, "")</f>
        <v/>
      </c>
      <c r="DG268" s="31" t="str">
        <f>IF(ISNUMBER((SnapshotTable[[#This Row],[SP Total Value]])), SnapshotTable[[#This Row],[SP Premium]] + SnapshotTable[[#This Row],[SP Total Value]], "")</f>
        <v/>
      </c>
      <c r="DH268" s="294" t="str">
        <f>IF(ISNUMBER((SnapshotTable[[#This Row],[SP Total Value]])), SnapshotTable[[#This Row],[SP Gain Loss]] / SnapshotTable[[#This Row],[SP Premium]], "")</f>
        <v/>
      </c>
      <c r="DI268" s="406"/>
      <c r="DJ268" s="138"/>
      <c r="DK268" s="148"/>
      <c r="DL268" s="147"/>
      <c r="DM268" s="147"/>
      <c r="DO268" s="31">
        <f>IF(SnapshotTable[[#This Row],[LC Symbol Count]]=1, SnapshotTable[[#This Row],[LC Qty]] * SnapshotTable[[#This Row],[LC Book Price]] * 100, 0)</f>
        <v>0</v>
      </c>
      <c r="DP268" s="289" t="str">
        <f>IF(AND(SnapshotTable[[#This Row],[LC Exp Date]]&gt;0, SnapshotTable[[#This Row],[LC Strike Price]]&gt;0,SnapshotTable[[#This Row],[LC Qty]]&gt;0,SnapshotTable[[#This Row],[LC Book Date]]&gt;0,SnapshotTable[[#This Row],[LC Book Price]]&gt;0,SnapshotTable[[#This Row],[LC Fill Date]]=0),"Y","")</f>
        <v/>
      </c>
      <c r="DQ268" s="386" t="str">
        <f>IF(SnapshotTable[[#This Row],[LC Premium]] &gt; 0,SnapshotTable[[#This Row],[LC Exp Date]]-MAX(SnapshotTable[[#This Row],[LC Book Date]], SnapshotTable[[#This Row],[LC Fill Date]]),"")</f>
        <v/>
      </c>
      <c r="DR268" s="386" t="str">
        <f>IF(ISNUMBER(SnapshotTable[[#This Row],[LC Term]]), SnapshotTable[[#This Row],[LC Exp Date]] - MockToday, "")</f>
        <v/>
      </c>
      <c r="DS268" s="234" t="str">
        <f>IF(SnapshotTable[[#This Row],[LC Premium]]&gt;0,SnapshotTable[[#This Row],[LC Strike Price]] + SnapshotTable[[#This Row],[LC Book Price]],"")</f>
        <v/>
      </c>
      <c r="DU268" s="9" t="str">
        <f>IF(AND(SnapshotTable[[#This Row],[LC Symbol Count]]&gt;0, SnapshotTable[[#This Row],[LC Contract Value]]&gt;0), SnapshotTable[[#This Row],[LC Contract Value]] * SnapshotTable[[#This Row],[LC Qty]] * 100, "")</f>
        <v/>
      </c>
      <c r="DV268" s="9" t="str">
        <f>IF(AND(ISNUMBER(SnapshotTable[[#This Row],[LC Total Value]]), SnapshotTable[[#This Row],[LC Not Filled]]&lt;&gt;"Y"), SnapshotTable[[#This Row],[LC Total Value]]-SnapshotTable[[#This Row],[LC Premium]],"")</f>
        <v/>
      </c>
      <c r="DW268" s="240" t="str">
        <f>IF(ISNUMBER(SnapshotTable[[#This Row],[LC Actual Gain Loss]]), SnapshotTable[[#This Row],[LC Actual Gain Loss]] / SnapshotTable[[#This Row],[LC Premium]],"")</f>
        <v/>
      </c>
      <c r="DX268" s="284" t="str">
        <f>IF(ISNUMBER(SnapshotTable[[#This Row],[LC Book Price]]),SnapshotTable[[#This Row],[LC Book Price]] * 1.5,"")</f>
        <v/>
      </c>
      <c r="DY268" s="265" t="str">
        <f>IF(SnapshotTable[[#This Row],[LC Premium]]&gt;0, SnapshotTable[[#This Row],[LC Next Target]] * SnapshotTable[[#This Row],[LC Qty]] * 100,"")</f>
        <v/>
      </c>
      <c r="DZ268" s="265" t="str">
        <f>IF(ISNUMBER(SnapshotTable[[#This Row],[LC Target Gross]]), SnapshotTable[[#This Row],[LC Target Gross]] - SnapshotTable[[#This Row],[LC Premium]], "")</f>
        <v/>
      </c>
      <c r="EA268" s="305" t="str">
        <f>IF(ISNUMBER(SnapshotTable[[#This Row],[LC Target Gain Loss]]), SnapshotTable[[#This Row],[LC Target Gain Loss]]/SnapshotTable[[#This Row],[LC Premium]], "")</f>
        <v/>
      </c>
      <c r="EB268" s="262"/>
      <c r="EC268" s="283" t="str">
        <f>IF(SnapshotTable[[#This Row],[LC Premium]]&gt;0, SnapshotTable[[#This Row],[LC Book Price]] * (1 - LC_StopLoss_Pct),"")</f>
        <v/>
      </c>
      <c r="ED268" s="284"/>
      <c r="EE268" s="283" t="str">
        <f>IF(ISNUMBER(SnapshotTable[[#This Row],[LC Contract Value]]),IF(ISNUMBER(SnapshotTable[[#This Row],[LC Stop Loss Override]]), SnapshotTable[[#This Row],[LC Stop Loss Override]],SnapshotTable[[#This Row],[LC Stop Loss Calc Target]]),"")</f>
        <v/>
      </c>
      <c r="EF268" s="31" t="str">
        <f>IF(ISNUMBER(SnapshotTable[[#This Row],[LC Stop  To Use]]), (SnapshotTable[[#This Row],[LC Stop  To Use]] * SnapshotTable[[#This Row],[LC Qty]] * 100),"")</f>
        <v/>
      </c>
      <c r="EG268" s="9" t="str">
        <f>IF(ISNUMBER(SnapshotTable[[#This Row],[LC Total Value]]),SnapshotTable[[#This Row],[LC Stop Loss Amount]] - SnapshotTable[[#This Row],[LC Premium]],"")</f>
        <v/>
      </c>
      <c r="EH268" s="9">
        <f>IF(ISNUMBER(SnapshotTable[[#This Row],[LC Premium]]), SnapshotTable[[#This Row],[LC Qty]] * 100 * SnapshotTable[[#This Row],[LC Strike Price]], "")</f>
        <v>0</v>
      </c>
      <c r="EI268" s="240" t="str">
        <f>IF(AND(ISNUMBER(SnapshotTable[[#This Row],[LC Total Value]]),SnapshotTable[[#This Row],[LC Total Value]]&gt;0),SnapshotTable[[#This Row],[LC Stop Gain Loss]]  / SnapshotTable[[#This Row],[LC Premium]],"")</f>
        <v/>
      </c>
      <c r="EJ268" s="35">
        <f>IF(ISNUMBER(SnapshotTable[[#This Row],[Equity Shares]]),TRUNC(SnapshotTable[[#This Row],[Equity Shares]] / 100),0) + SnapshotTable[[#This Row],[LC Qty]]</f>
        <v>0</v>
      </c>
      <c r="EK268" s="147"/>
      <c r="EL268" s="138" t="str">
        <f>IF(SnapshotTable[[#This Row],[SC Exp Date]]&lt;&gt;"",TRUNC(SnapshotTable[[#This Row],[Last Price]]),"")</f>
        <v/>
      </c>
      <c r="EM268" s="148"/>
      <c r="EN268" s="147"/>
      <c r="EO268" s="147"/>
      <c r="EP268" s="138"/>
      <c r="EQ268" s="419" t="b">
        <f>AND(ISNUMBER(SnapshotTable[[#This Row],[SC Exp Date]]), ISNUMBER(SnapshotTable[[#This Row],[SC Strike Price]]), ISNUMBER(SnapshotTable[[#This Row],[SC Qty]]), ISNUMBER(SnapshotTable[[#This Row],[SC Book Date]]), ISNUMBER(SnapshotTable[[#This Row],[SC Book Price]]))</f>
        <v>0</v>
      </c>
      <c r="ER268" s="419" t="b">
        <f>AND(SnapshotTable[[#This Row],[SC Is Booked]], NOT(ISBLANK(SnapshotTable[[#This Row],[SC Fill Date]])))</f>
        <v>0</v>
      </c>
      <c r="ES268" s="370"/>
      <c r="ET268" s="34" t="str">
        <f>IF(AND(ISNUMBER(SnapshotTable[[#This Row],[SC Exp Date]]), ISNUMBER(SnapshotTable[[#This Row],[SC Book Date]])), SnapshotTable[[#This Row],[SC Exp Date]] - MAX(SnapshotTable[[#This Row],[SC Book Date]], SnapshotTable[[#This Row],[SC Fill Date]]) + 1, "")</f>
        <v/>
      </c>
      <c r="EU268" s="34" t="str">
        <f>IF(ISNUMBER(SnapshotTable[[#This Row],[SC Term]]), SnapshotTable[[#This Row],[SC Exp Date]]- MockToday, "")</f>
        <v/>
      </c>
      <c r="EV268" s="31">
        <f>IF(SnapshotTable[[#This Row],[SC Is Booked]], SnapshotTable[[#This Row],[SC Qty]] * SnapshotTable[[#This Row],[SC Book Price]] * 100, 0)</f>
        <v>0</v>
      </c>
      <c r="EW268" s="4" t="str">
        <f>IF(AND(ISNUMBER(SnapshotTable[[#This Row],[Last Price]]), ISNUMBER( SnapshotTable[[#This Row],[SC Book Price]])), SnapshotTable[[#This Row],[Last Price]] - SnapshotTable[[#This Row],[SC Book Price]],"")</f>
        <v/>
      </c>
      <c r="EX268" s="234" t="str">
        <f>IF(SnapshotTable[[#This Row],[SC Is Booked]],IF(SnapshotTable[[#This Row],[SC Intrinsic Value]] &gt; 0, SnapshotTable[[#This Row],[SC Strike Price]], SnapshotTable[[#This Row],[Last Price]]), "")</f>
        <v/>
      </c>
      <c r="EY268" s="4">
        <f>IF(SnapshotTable[[#This Row],[SC Is Booked]], (MinimumPremiumRequired * SnapshotTable[[#This Row],[SC Basis]] * SnapshotTable[[#This Row],[SC Term]]), 0)</f>
        <v>0</v>
      </c>
      <c r="EZ268" s="283"/>
      <c r="FA268" s="218"/>
      <c r="FB268" s="370"/>
      <c r="FC268" s="4">
        <f>IF(SnapshotTable[[#This Row],[SC Is Filled]], btc_max_buyback_amount(SnapshotTable[[#This Row],[SC Fill Date]],SnapshotTable[[#This Row],[SC Exp Date]], SnapshotTable[[#This Row],[SC Book Price]]),0)</f>
        <v>0</v>
      </c>
      <c r="FD268" s="5"/>
      <c r="FE268" s="144" t="str">
        <f>IF(SnapshotTable[[#This Row],[SC Is Filled]], btc_next_cutoff_date(SnapshotTable[[#This Row],[SC Fill Date]],SnapshotTable[[#This Row],[SC Exp Date]]),"")</f>
        <v/>
      </c>
      <c r="FF268" s="4" t="str" cm="1">
        <f t="array" ref="FF268">IF(SnapshotTable[[#This Row],[SC Is Filled]], btc_should_buy_back(SnapshotTable[[#This Row],[SC Fill Date]], SnapshotTable[[#This Row],[SC Exp Date]], SnapshotTable[[#This Row],[SC Book Price]], SnapshotTable[[#This Row],[SC Current Ask]], MockToday, SnapshotTable[[#This Row],[SC Buyback Override]]),"")</f>
        <v/>
      </c>
      <c r="FG268" s="4">
        <f>IF(SnapshotTable[[#This Row],[SC Is Filled]], MAX(0,SnapshotTable[[#This Row],[Last Price]]  - SnapshotTable[[#This Row],[SC Strike Price]]), 0)</f>
        <v>0</v>
      </c>
      <c r="FH268" s="382">
        <f>IF(SnapshotTable[[#This Row],[SC Is Filled]], IF(ISNUMBER(SnapshotTable[[#This Row],[SC Current Ask]]), SnapshotTable[[#This Row],[SC Current Ask]], SnapshotTable[[#This Row],[SC Book Price]]) - SnapshotTable[[#This Row],[SC Intrinsic Value]], 0)</f>
        <v>0</v>
      </c>
      <c r="FI268" s="143"/>
      <c r="FJ268" s="32" t="str">
        <f>IF(SnapshotTable[[#This Row],[SC Is Filled]],100 * SnapshotTable[[#This Row],[SC Qty]] * IF(ISNUMBER(SnapshotTable[[#This Row],[SC Buyback Override]]), SnapshotTable[[#This Row],[SC Buyback Override]], SnapshotTable[[#This Row],[SC Current Ask]]), "")</f>
        <v/>
      </c>
      <c r="FK268" s="250" t="str">
        <f>IF(SnapshotTable[[#This Row],[SC Time Val]]&gt;0, SnapshotTable[[#This Row],[SC Time Val]] / SnapshotTable[[#This Row],[Last Price]],"")</f>
        <v/>
      </c>
      <c r="FL268" s="302" t="str">
        <f>IF(SnapshotTable[[#This Row],[SC Is Booked]], ((SnapshotTable[[#This Row],[Last Price]] -SnapshotTable[[#This Row],[SC Strike Price]]) / SnapshotTable[[#This Row],[Last Price]]) * -1, "")</f>
        <v/>
      </c>
      <c r="FM268" s="157" t="str">
        <f>IF(SnapshotTable[[#This Row],[SC Is Booked]],  (SnapshotTable[[#This Row],[SC Qty]] * 100 * SnapshotTable[[#This Row],[SC Strike Price]]) - SnapshotTable[[#This Row],[SC Current Ask]], "")</f>
        <v/>
      </c>
      <c r="FN268"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8" s="157" t="str">
        <f>IF(AND(ISNUMBER(SnapshotTable[[#This Row],[SC Exercise Gross]]), ISNUMBER(SnapshotTable[[#This Row],[Equity Basis Per Share]] )), SnapshotTable[[#This Row],[SC Exercise Gross]] - SnapshotTable[[#This Row],[Equity Basis Total]] +  SnapshotTable[[#This Row],[SC Premium]], "")</f>
        <v/>
      </c>
      <c r="FP268" s="5" t="str">
        <f>IF(ISNUMBER(SnapshotTable[[#This Row],[SC Exercise Gross]]), (SnapshotTable[[#This Row],[SC Exercise Gross]]) / (SnapshotTable[[#This Row],[SC Qty]] * 100), "")</f>
        <v/>
      </c>
      <c r="FQ268" s="27" t="str">
        <f>IF(SnapshotTable[[#This Row],[SC Is Booked]],SnapshotTable[[#This Row],[SC Time Val]] /SnapshotTable[[#This Row],[SC Basis]], "")</f>
        <v/>
      </c>
      <c r="FR268" s="27" t="str" cm="1">
        <f t="array" ref="FR268">IF(AND(ISNUMBER(SnapshotTable[[#This Row],[SC Term]]),ISNUMBER(SnapshotTable[[#This Row],[SC Simple ROO]])), EllmanAnnualize(SnapshotTable[[#This Row],[SC DTE]], SnapshotTable[[#This Row],[SC Simple ROO]] ),"")</f>
        <v/>
      </c>
      <c r="FS268" s="4" t="e">
        <f>IF(SnapshotTable[[#This Row],[SC Strike Price]] &gt; SnapshotTable[[#This Row],[Last Price]], SnapshotTable[[#This Row],[SC Strike Price]] - SnapshotTable[[#This Row],[Last Price]],0)</f>
        <v>#VALUE!</v>
      </c>
      <c r="FT268" s="27" t="e">
        <f>IF(AND(ISNUMBER(SnapshotTable[[#This Row],[SC Upside Potential]]), SnapshotTable[[#This Row],[SC Upside Potential]] &gt; 0),(SnapshotTable[[#This Row],[SC Upside Potential]]/ SnapshotTable[[#This Row],[ACB]]),"")</f>
        <v>#VALUE!</v>
      </c>
      <c r="FU268" s="333" t="str">
        <f>IF(SnapshotTable[[#This Row],[SC Intrinsic Value]] &gt; 0,SnapshotTable[[#This Row],[SC Intrinsic Value]],"")</f>
        <v/>
      </c>
      <c r="FV268" s="27" t="str">
        <f>IF(AND( ISNUMBER( SnapshotTable[[#This Row],[ACB]]),ISNUMBER(SnapshotTable[[#This Row],[SC Downside Protect]])),SnapshotTable[[#This Row],[SC Downside Protect]] / SnapshotTable[[#This Row],[ACB]],"")</f>
        <v/>
      </c>
      <c r="FW268" s="236" t="str">
        <f>IF(AND(ISNUMBER(SnapshotTable[[#This Row],[SC Simple ROO]]),SnapshotTable[[#This Row],[SC Simple ROO]] &gt; 0), SnapshotTable[[#This Row],[SC Premium]] + (SnapshotTable[[#This Row],[SC Qty]] * SnapshotTable[[#This Row],[SC Upside Potential]]), "")</f>
        <v/>
      </c>
      <c r="FX268" s="302" t="str" cm="1">
        <f t="array" ref="FX268">IF(ISNUMBER(SnapshotTable[[#This Row],[SC Max Dollars]]), annualize(SnapshotTable[[#This Row],[SC Term]],(SnapshotTable[[#This Row],[SC Max Dollars]]/SnapshotTable[[#This Row],[SC Basis]])),"")</f>
        <v/>
      </c>
      <c r="FY268" s="236" t="str">
        <f>IF(AND(SnapshotTable[[#This Row],[SC Qty]]&gt;0,SnapshotTable[[#This Row],[SC Current Ask]]&gt;0), SnapshotTable[[#This Row],[SC Qty]] * SnapshotTable[[#This Row],[SC Current Ask]] * -100, "")</f>
        <v/>
      </c>
      <c r="FZ268" s="235" t="str">
        <f>IF(ISNUMBER((SnapshotTable[[#This Row],[SC Current Value]])), SnapshotTable[[#This Row],[SC Premium]] + SnapshotTable[[#This Row],[SC Current Value]], "")</f>
        <v/>
      </c>
      <c r="GA268" s="294" t="str">
        <f>IFERROR( IF(ISNUMBER((SnapshotTable[[#This Row],[SC Current Value]])), SnapshotTable[[#This Row],[SC Gain Loss]] / SnapshotTable[[#This Row],[SC Premium]], ""), "")</f>
        <v/>
      </c>
      <c r="GB268" s="317">
        <f>SnapshotTable[[#This Row],[Equity Shares]] * SaleSharesToConsiderPercentage</f>
        <v>0</v>
      </c>
      <c r="GC268" s="318">
        <f>SnapshotTable[[#This Row],[Long Term Target]] * SellingPriceToConsiderBasedOnTargetPercentage</f>
        <v>15.608499999999999</v>
      </c>
      <c r="GD268" s="318">
        <f>SnapshotTable[[#This Row],[Last Price]] * (1+ SellingPriceToConsiderBasedOnTargetPercentage)</f>
        <v>28.587</v>
      </c>
      <c r="GE268" s="319"/>
      <c r="GF268" s="318"/>
      <c r="GG268" s="31">
        <f>SnapshotTable[[#This Row],[Booked Sale Shares]] * SnapshotTable[[#This Row],[Booked Sale Price]]</f>
        <v>0</v>
      </c>
      <c r="GH268" s="31" t="str">
        <f>IF(SnapshotTable[[#This Row],[Equity Basis Total]] &gt; 0, SnapshotTable[[#This Row],[Equity Basis Per Share]] * SnapshotTable[[#This Row],[Booked Sale Shares]], "")</f>
        <v/>
      </c>
      <c r="GI268" s="31">
        <f>IF(SnapshotTable[[#This Row],[Sale Proceeds]]&gt;0, SnapshotTable[[#This Row],[Sale Proceeds]] - SnapshotTable[[#This Row],[Sale Basis]], 0)</f>
        <v>0</v>
      </c>
      <c r="GJ268" s="158" t="str">
        <f>IF(SnapshotTable[[#This Row],[Sale G/L]]&gt;0, SnapshotTable[[#This Row],[Sale G/L]] / SnapshotTable[[#This Row],[Sale Basis]], IF(ISNUMBER(SnapshotTable[[#This Row],[SC Exercise P&amp;L (TAX)]]), SnapshotTable[[#This Row],[SC Exercise P&amp;L (TAX)]] / SnapshotTable[[#This Row],[SC Basis]], ""))</f>
        <v/>
      </c>
      <c r="GK268" s="27"/>
      <c r="GL268" s="159" t="str">
        <f>IF(AND(SnapshotTable[[#This Row],[LP Exp Date]]&gt;0,SnapshotTable[[#This Row],[LP Strike Price]]&gt;0), [1]!ToOptionSymbol(SnapshotTable[[#This Row],[Symbol]], SnapshotTable[[#This Row],[LP Strike Price]],SnapshotTable[[#This Row],[LP Exp Date]],1), "")</f>
        <v/>
      </c>
      <c r="GM268" s="30" t="str">
        <f>IF(LEN(SnapshotTable[[#This Row],[LP Symbol]])&gt;0, 1, "")</f>
        <v/>
      </c>
      <c r="GN268" s="43" t="str">
        <f>IF(AND(SnapshotTable[[#This Row],[SP Exp Date]]&gt;0,SnapshotTable[[#This Row],[SP Strike Price]]&gt;0), [1]!ToOptionSymbol(SnapshotTable[[#This Row],[Symbol]], SnapshotTable[[#This Row],[SP Strike Price]],SnapshotTable[[#This Row],[SP Exp Date]],1), "")</f>
        <v/>
      </c>
      <c r="GO268" s="30" t="str">
        <f>IF(LEN(SnapshotTable[[#This Row],[SP Symbol]])&gt;0, 1, "")</f>
        <v/>
      </c>
      <c r="GP268" s="159" t="str">
        <f>IF(AND(SnapshotTable[[#This Row],[LC Exp Date]]&gt;0,SnapshotTable[[#This Row],[LC Strike Price]]&gt;0), [1]!ToOptionSymbol(SnapshotTable[[#This Row],[Symbol]], SnapshotTable[[#This Row],[LC Strike Price]],SnapshotTable[[#This Row],[LC Exp Date]],0), "")</f>
        <v/>
      </c>
      <c r="GQ268" s="160" t="str">
        <f>IF(LEN(SnapshotTable[[#This Row],[LC Symbol]])&gt;0, 1, "")</f>
        <v/>
      </c>
      <c r="GR268" s="159" t="str">
        <f>IF(AND(SnapshotTable[[#This Row],[SC Exp Date]]&gt;0,SnapshotTable[[#This Row],[SC Strike Price]]&gt;0), [1]!ToOptionSymbol(SnapshotTable[[#This Row],[Symbol]], SnapshotTable[[#This Row],[SC Strike Price]],SnapshotTable[[#This Row],[SC Exp Date]],0), "")</f>
        <v/>
      </c>
      <c r="GS268" s="160" t="str">
        <f>IF(LEN(SnapshotTable[[#This Row],[SC Symbol]])&gt;0, 1, "")</f>
        <v/>
      </c>
      <c r="GT268" s="161" t="str">
        <f>IF(COUNT(SnapshotTable[[#This Row],[LP Symbol Count]],SnapshotTable[[#This Row],[SP Symbol Count]],SnapshotTable[[#This Row],[LC Symbol Count]],SnapshotTable[[#This Row],[SC Symbol Count]])&gt;0, "Y", "")</f>
        <v/>
      </c>
      <c r="GU26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8" s="231" t="e">
        <f>MAX(SnapshotTable[[#This Row],[Equity Basis Total]],SnapshotTable[[#This Row],[Equity Value]]) + (SnapshotTable[[#This Row],[SP Potential Spend]]- SnapshotTable[[#This Row],[SP Premium]] + SnapshotTable[[#This Row],[LP Premium]])+ (SnapshotTable[[#This Row],[LC Premium]] - SnapshotTable[[#This Row],[SC Premium]])</f>
        <v>#VALUE!</v>
      </c>
      <c r="GW268" s="139" t="e">
        <f>IF(AND(SnapshotTable[[#This Row],[Exposure]] &lt;&gt; 0),SnapshotTable[[#This Row],[Exposure]] / SnapshotTable[[#Totals],[Exposure]], "")</f>
        <v>#VALUE!</v>
      </c>
      <c r="HK268" s="1"/>
      <c r="HL268" s="1"/>
      <c r="HM268" s="1"/>
      <c r="HN268" s="1"/>
      <c r="HO268" s="1"/>
      <c r="HP268" s="1"/>
    </row>
    <row r="269" spans="2:224" ht="12.75" hidden="1" customHeight="1" x14ac:dyDescent="0.25">
      <c r="B269" s="12" t="s">
        <v>1238</v>
      </c>
      <c r="C269" s="422">
        <v>6.46</v>
      </c>
      <c r="D269" s="208"/>
      <c r="E269" s="39">
        <f>SnapshotTable[[#This Row],[Last Price]]*(1 -CrashDiscount)</f>
        <v>5.4909999999999997</v>
      </c>
      <c r="F269" s="325" t="s">
        <v>613</v>
      </c>
      <c r="G269" s="325" t="s">
        <v>9</v>
      </c>
      <c r="H269" s="149"/>
      <c r="I269" s="194"/>
      <c r="J269" s="195"/>
      <c r="K269" s="196"/>
      <c r="L269" s="326"/>
      <c r="M269" s="140"/>
      <c r="N269" s="140"/>
      <c r="O269" s="140"/>
      <c r="P269" s="22"/>
      <c r="Q269" s="25"/>
      <c r="R269" s="4" t="str">
        <f>IF(SnapshotTable[[#This Row],[Equity Basis Total]] &gt; 0, SnapshotTable[[#This Row],[Equity Basis Total]] / SnapshotTable[[#This Row],[Equity Shares]], "")</f>
        <v/>
      </c>
      <c r="S269" s="269">
        <f>SnapshotTable[[#This Row],[Last Price]] * SnapshotTable[[#This Row],[Equity Shares]]</f>
        <v>0</v>
      </c>
      <c r="T269" s="269">
        <f>SnapshotTable[[#This Row],[Equity Value]] - SnapshotTable[[#This Row],[Equity Basis Total]]</f>
        <v>0</v>
      </c>
      <c r="U269" s="270" t="str">
        <f>IF(SnapshotTable[[#This Row],[Equity Basis Total]] &gt; 0, SnapshotTable[[#This Row],[Equity G/L]] / SnapshotTable[[#This Row],[Equity Basis Total]], "")</f>
        <v/>
      </c>
      <c r="V269" s="268">
        <v>17.5</v>
      </c>
      <c r="W269" s="268">
        <v>15.6</v>
      </c>
      <c r="X269" s="4" t="str">
        <f>IF(AND(ISNUMBER(SnapshotTable[[#This Row],[Equity Basis Per Share]]),ISNUMBER(SnapshotTable[[#This Row],[Equity Target]])),SnapshotTable[[#This Row],[Equity Target]]-SnapshotTable[[#This Row],[Equity Basis Per Share]],"")</f>
        <v/>
      </c>
      <c r="Y269" s="4" t="str">
        <f>IF(AND(ISNUMBER(SnapshotTable[[#This Row],[Equity Basis Per Share]]),ISNUMBER(SnapshotTable[[#This Row],[Equity Stop Loss]])),SnapshotTable[[#This Row],[Equity Stop Loss]]-SnapshotTable[[#This Row],[Equity Basis Per Share]],"")</f>
        <v/>
      </c>
      <c r="Z269" s="275" t="str">
        <f>IFERROR( TEXT(SnapshotTable[[#This Row],[Equity Max Gain Per Share]] /ABS( SnapshotTable[[#This Row],[Equity Max Loss Per Share]]),"0.0 " ) &amp; " : 1", "")</f>
        <v/>
      </c>
      <c r="AA269" s="31" t="str">
        <f>IF(ISNUMBER(SnapshotTable[[#This Row],[Equity Max Gain Per Share]]),SnapshotTable[[#This Row],[Equity Max Gain Per Share]] * SnapshotTable[[#This Row],[Equity Shares]],"")</f>
        <v/>
      </c>
      <c r="AB269" s="31" t="str">
        <f>IF(ISNUMBER(SnapshotTable[[#This Row],[Equity Max Loss Per Share]]),SnapshotTable[[#This Row],[Equity Max Loss Per Share]] * SnapshotTable[[#This Row],[Equity Shares]],"")</f>
        <v/>
      </c>
      <c r="AC269" s="150"/>
      <c r="AD269" s="151"/>
      <c r="AE269" s="31">
        <f>(SnapshotTable[[#This Row],[Annual Dividend Per Share]] / 4) * SnapshotTable[[#This Row],[Equity Shares]]</f>
        <v>0</v>
      </c>
      <c r="AF269" s="31">
        <f>SnapshotTable[[#This Row],[Quarterly Div $]] * 4</f>
        <v>0</v>
      </c>
      <c r="AG269" s="7">
        <f>IF(SnapshotTable[[#This Row],[Annual Dividend Per Share]]&gt;0, SnapshotTable[[#This Row],[Annual Dividend Per Share]]  / SnapshotTable[[#This Row],[Last Price]], 0)</f>
        <v>0</v>
      </c>
      <c r="AH269" s="151"/>
      <c r="AI269" s="5"/>
      <c r="AJ269" s="138"/>
      <c r="AK269" s="152" t="str">
        <f>IF(ISNUMBER( SnapshotTable[[#This Row],[EBF Target]]),(SnapshotTable[[#This Row],[EBF Target]] - SnapshotTable[[#This Row],[Last Price]]) / SnapshotTable[[#This Row],[Last Price]], "")</f>
        <v/>
      </c>
      <c r="AL269" s="152" t="str">
        <f>IF(AND(SnapshotTable[[#This Row],[Equity Basis Total]] &gt; 0,ISNUMBER( SnapshotTable[[#This Row],[Long Term Target]])), SnapshotTable[[#This Row],[From Basis $]] / SnapshotTable[[#This Row],[Equity Basis Total]], "")</f>
        <v/>
      </c>
      <c r="AM269" s="9">
        <f>IF( AND(SnapshotTable[[#This Row],[Equity Shares]] &gt;0,ISNUMBER( SnapshotTable[[#This Row],[Long Term Target]])),(SnapshotTable[[#This Row],[Equity Shares]] * SnapshotTable[[#This Row],[Long Term Target]]) - SnapshotTable[[#This Row],[Equity Basis Total]],0)</f>
        <v>0</v>
      </c>
      <c r="AN269" s="9">
        <f>IF( AND(SnapshotTable[[#This Row],[Equity Shares]] &gt;0,ISNUMBER( SnapshotTable[[#This Row],[Long Term Target]])),(SnapshotTable[[#This Row],[Equity Shares]]*SnapshotTable[[#This Row],[Long Term Target]]) - SnapshotTable[[#This Row],[Equity Value]],0)</f>
        <v>0</v>
      </c>
      <c r="AO269" s="152" t="str">
        <f>IF(AND(ISNUMBER( SnapshotTable[[#This Row],[Long Term Target]]), ISNUMBER(SnapshotTable[[#This Row],[Last Price]])),(SnapshotTable[[#This Row],[Long Term Target]] - SnapshotTable[[#This Row],[Last Price]]) / SnapshotTable[[#This Row],[Last Price]], "")</f>
        <v/>
      </c>
      <c r="AP269" s="5"/>
      <c r="AQ269" s="38"/>
      <c r="AR269" s="5"/>
      <c r="AS269" s="38"/>
      <c r="AT269" s="146"/>
      <c r="AU269" s="187" t="str">
        <f>IF(OR(SnapshotTable[[#This Row],[LP No Fill]]="Y",SnapshotTable[[#This Row],[SP Is Filled]],SnapshotTable[[#This Row],[LC Not Filled]]="Y",SnapshotTable[[#This Row],[SC Is Filled]]),"Y","")</f>
        <v/>
      </c>
      <c r="AV269" s="219"/>
      <c r="AW269" s="225"/>
      <c r="AX269" s="220"/>
      <c r="AY269" s="219" t="str">
        <f>IF(SnapshotTable[[#This Row],[Implied Move]]&gt;0, SnapshotTable[[#This Row],[Last Price]]-SnapshotTable[[#This Row],[Implied Move]],"")</f>
        <v/>
      </c>
      <c r="AZ269" s="219" t="str">
        <f>IF(SnapshotTable[[#This Row],[Implied Move]]&gt;0, SnapshotTable[[#This Row],[Last Price]] + SnapshotTable[[#This Row],[Implied Move]],"")</f>
        <v/>
      </c>
      <c r="BA269" s="331"/>
      <c r="BB269" s="347"/>
      <c r="BC26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9" s="351"/>
      <c r="BE269" s="5"/>
      <c r="BF269" s="14"/>
      <c r="BG269" s="13"/>
      <c r="BH269" s="13"/>
      <c r="BI269" s="5"/>
      <c r="BJ269" s="136">
        <f>IF(SnapshotTable[[#This Row],[LP Qty]] &gt; 0, SnapshotTable[[#This Row],[LP Qty]] * SnapshotTable[[#This Row],[LP Book Price]] * 100,0)</f>
        <v>0</v>
      </c>
      <c r="BK269" s="136">
        <f>IF(SnapshotTable[[#This Row],[LP Premium]] &gt; 0, SnapshotTable[[#This Row],[LP Qty]] * SnapshotTable[[#This Row],[LP Strike Price]] * 100,0)</f>
        <v>0</v>
      </c>
      <c r="BL269" s="154"/>
      <c r="BM269" s="385" t="str">
        <f>IF(SnapshotTable[[#This Row],[LP Premium]] &gt; 0,SnapshotTable[[#This Row],[LP Exp Date]]-MAX(SnapshotTable[[#This Row],[LP Book Date]], SnapshotTable[[#This Row],[LP Fill Date]]),"")</f>
        <v/>
      </c>
      <c r="BN269" s="385" t="str">
        <f>IF(ISNUMBER( SnapshotTable[[#This Row],[LP Term]]), SnapshotTable[[#This Row],[LP Exp Date]] - MockToday,"")</f>
        <v/>
      </c>
      <c r="BO269" s="163" t="str">
        <f>IF(AND(SnapshotTable[[#This Row],[LP Exp Date]]&gt;0, SnapshotTable[[#This Row],[LP Strike Price]]&gt;0,SnapshotTable[[#This Row],[LP Qty]]&gt;0,SnapshotTable[[#This Row],[LP Book Date]]&gt;0,SnapshotTable[[#This Row],[LP Book Price]]&gt;0,SnapshotTable[[#This Row],[LP Fill Date]]=0),"Y","")</f>
        <v/>
      </c>
      <c r="BP269" s="31" t="str">
        <f>IF(AND(SnapshotTable[[#This Row],[LP No Fill]]&lt;&gt;"Y",SnapshotTable[[#This Row],[LP Contract Value]]&gt;0, SnapshotTable[[#This Row],[LP Qty]]&gt;0), SnapshotTable[[#This Row],[LP Contract Value]]*SnapshotTable[[#This Row],[LP Qty]]*100,"")</f>
        <v/>
      </c>
      <c r="BQ269" s="13"/>
      <c r="BR269" s="5" t="str">
        <f>IF(SnapshotTable[[#This Row],[SP Exp Date]]&lt;&gt;"",TRUNC(SnapshotTable[[#This Row],[Last Price]]),"")</f>
        <v/>
      </c>
      <c r="BS269" s="36"/>
      <c r="BT269" s="147"/>
      <c r="BU269" s="13"/>
      <c r="BV269" s="5"/>
      <c r="BW269" s="419" t="b">
        <f>AND(ISNUMBER(SnapshotTable[[#This Row],[SP Exp Date]]), ISNUMBER(SnapshotTable[[#This Row],[SP Strike Price]]), ISNUMBER(SnapshotTable[[#This Row],[SP Qty]]), ISNUMBER(SnapshotTable[[#This Row],[SP Book Date]]), ISNUMBER(SnapshotTable[[#This Row],[SP Book Price]]))</f>
        <v>0</v>
      </c>
      <c r="BX269" s="419" t="b">
        <f>AND(SnapshotTable[[#This Row],[SP Is Booked]], NOT(ISBLANK(SnapshotTable[[#This Row],[SP Fill Date]])))</f>
        <v>0</v>
      </c>
      <c r="BY269" s="33">
        <f>IF(SnapshotTable[[#This Row],[SP Is Booked]], SnapshotTable[[#This Row],[SP Qty]] * SnapshotTable[[#This Row],[SP Book Price]] * 100, 0)</f>
        <v>0</v>
      </c>
      <c r="BZ269" s="369"/>
      <c r="CA269" s="368">
        <f>SnapshotTable[[#This Row],[LP Qty]]</f>
        <v>0</v>
      </c>
      <c r="CB269" s="4" t="str">
        <f>IF(SnapshotTable[[#This Row],[SP Is Booked]], SnapshotTable[[#This Row],[SP Strike Price]] - SnapshotTable[[#This Row],[SP Book Price]], "")</f>
        <v/>
      </c>
      <c r="CC269" s="19" t="str">
        <f>IF(SnapshotTable[[#This Row],[SP Is Booked]],SnapshotTable[[#This Row],[SP Exp Date]]-MAX(SnapshotTable[[#This Row],[SP Book Date]], SnapshotTable[[#This Row],[SP Fill Date]]),"")</f>
        <v/>
      </c>
      <c r="CD269" s="7" t="str">
        <f>IF(SnapshotTable[[#This Row],[SP Is Booked]], SnapshotTable[[#This Row],[SP Book Price]]/SnapshotTable[[#This Row],[SP Strike Price]], "")</f>
        <v/>
      </c>
      <c r="CE269" s="7" t="str">
        <f>IF(ISNUMBER(SnapshotTable[[#This Row],[SP ROO Term]]),SnapshotTable[[#This Row],[SP ROO Term]]*(365/SnapshotTable[[#This Row],[SP Term]]),"")</f>
        <v/>
      </c>
      <c r="CF269" s="236">
        <f>SnapshotTable[[#This Row],[LP Strike Price]] * SnapshotTable[[#This Row],[LP Qty]] * 100</f>
        <v>0</v>
      </c>
      <c r="CG269" s="31" t="e">
        <f>IF(ISNUMBER(SnapshotTable[[#This Row],[SP Premium]]), (SnapshotTable[[#This Row],[SP Qty]] * SnapshotTable[[#This Row],[SP Strike Price]]* 100) - SnapshotTable[[#This Row],[LP Protection]], 0)</f>
        <v>#VALUE!</v>
      </c>
      <c r="CH269" s="7" t="str">
        <f>IF(ISNUMBER(SnapshotTable[[#This Row],[SP Break Even]]),-1 * (SnapshotTable[[#This Row],[SP Break Even]] - SnapshotTable[[#This Row],[Last Price]]) / SnapshotTable[[#This Row],[Last Price]], "")</f>
        <v/>
      </c>
      <c r="CI269" s="31">
        <f>IF(AND(ISNUMBER((SnapshotTable[[#This Row],[SP Potential Spend]])), SnapshotTable[[#This Row],[SP Strike Price]] &gt; SnapshotTable[[#This Row],[Last Price]], SnapshotTable[[#This Row],[SP Is Filled]]), SnapshotTable[[#This Row],[SP Potential Spend]] -  SnapshotTable[[#This Row],[LP Max Value]], 0)</f>
        <v>0</v>
      </c>
      <c r="CJ269" s="244"/>
      <c r="CK269" s="31" t="str">
        <f>IF(ISNUMBER(SnapshotTable[[#This Row],[SP Potential Spend]]),IF(ISNUMBER(SnapshotTable[[#This Row],[SP POW]]), SnapshotTable[[#This Row],[SP POW]] * SnapshotTable[[#This Row],[SP Potential Spend]], SnapshotTable[[#This Row],[SP Potential Spend]]), "")</f>
        <v/>
      </c>
      <c r="CL269" s="164" t="e">
        <f>IF(NOT(SnapshotTable[[#This Row],[SP Is Filled]]),(SnapshotTable[[#This Row],[SP Qty]] * SnapshotTable[[#This Row],[SP Strike Price]] * 100) - SnapshotTable[[#This Row],[LP Max Value]],"")</f>
        <v>#VALUE!</v>
      </c>
      <c r="CM269" s="31" t="str">
        <f>IF(SnapshotTable[[#This Row],[SP Actual Spend]]&lt;&gt;0, ((SnapshotTable[[#This Row],[SP Strike Price]]-SnapshotTable[[#This Row],[Last Price]]) *(SnapshotTable[[#This Row],[SP Qty]]*100) - SnapshotTable[[#This Row],[SP Premium]]) * - 1, "")</f>
        <v/>
      </c>
      <c r="CN269" s="218"/>
      <c r="CO269" s="369"/>
      <c r="CP269" s="4" t="str">
        <f>IF(SnapshotTable[[#This Row],[SP Is Filled]], btc_max_buyback_amount(SnapshotTable[[#This Row],[SP Fill Date]],SnapshotTable[[#This Row],[SP Exp Date]], SnapshotTable[[#This Row],[SP Book Price]]),"")</f>
        <v/>
      </c>
      <c r="CQ269" s="78"/>
      <c r="CR26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9" s="155" t="str">
        <f>IF(SnapshotTable[[#This Row],[SP Is Filled]], btc_next_cutoff_date(SnapshotTable[[#This Row],[SP Fill Date]],SnapshotTable[[#This Row],[SP Exp Date]]),"")</f>
        <v/>
      </c>
      <c r="CT269" s="235" t="str" cm="1">
        <f t="array" ref="CT269">IF(SnapshotTable[[#This Row],[SP Is Filled]], btc_should_buy_back(SnapshotTable[[#This Row],[SP Fill Date]], SnapshotTable[[#This Row],[SP Exp Date]], SnapshotTable[[#This Row],[SP Book Price]], SnapshotTable[[#This Row],[SP Current Ask]], MockToday, SnapshotTable[[#This Row],[SP Buyback Override]]),"")</f>
        <v/>
      </c>
      <c r="CU269" s="156"/>
      <c r="CV269" s="235"/>
      <c r="CW269" s="378" t="str">
        <f>IF(ISNUMBER( SnapshotTable[[#This Row],[SP Term]]), SnapshotTable[[#This Row],[SP Exp Date]] - MockToday,"")</f>
        <v/>
      </c>
      <c r="CX269" s="31" t="str">
        <f>IF(SnapshotTable[[#This Row],[SP Is Filled]],SnapshotTable[[#This Row],[SP Buyback Price to Use]] * 100 * SnapshotTable[[#This Row],[SP Qty]], "")</f>
        <v/>
      </c>
      <c r="CY269" s="4" t="str">
        <f>IF(ISNUMBER(SnapshotTable[[#This Row],[SP Strike Price]]), SnapshotTable[[#This Row],[SP Strike Price]] * (1 - SP_MaxLoss_StrikePct), "")</f>
        <v/>
      </c>
      <c r="CZ269" s="31" t="str">
        <f>IF(ISNUMBER(SnapshotTable[[#This Row],[SP Strike  Stop Per Share]]),SnapshotTable[[#This Row],[SP Premium]] - ((SnapshotTable[[#This Row],[SP Strike Price]]-SnapshotTable[[#This Row],[SP Strike  Stop Per Share]]) *(SnapshotTable[[#This Row],[SP Qty]] * 100)),"")</f>
        <v/>
      </c>
      <c r="DA269" s="4" t="str">
        <f>IF(AND(ISNUMBER(SnapshotTable[[#This Row],[SP Premium]]),SnapshotTable[[#This Row],[SP Premium]]&gt;0), SnapshotTable[[#This Row],[SP Book Price]] * (1 + SP_MaxLoss_OptionPct), "")</f>
        <v/>
      </c>
      <c r="DB269" s="31" t="str">
        <f>IF(ISNUMBER(SnapshotTable[[#This Row],[SP Option  Stop Contract]]),(SnapshotTable[[#This Row],[SP Option  Stop Contract]] *(SnapshotTable[[#This Row],[SP Qty]] * 100) - SnapshotTable[[#This Row],[SP Premium]]),"")</f>
        <v/>
      </c>
      <c r="DC269" s="4"/>
      <c r="DD269" s="4"/>
      <c r="DE269" s="4" t="str">
        <f>IF(AND(SnapshotTable[[#This Row],[SP Qty]]&gt;0, SnapshotTable[[#This Row],[SP Stop To Use]]&gt;0),SnapshotTable[[#This Row],[SP Premium]] - ( SnapshotTable[[#This Row],[SP Qty]] * SnapshotTable[[#This Row],[SP Stop To Use]] * 100), "")</f>
        <v/>
      </c>
      <c r="DF269" s="31" t="str">
        <f>IF(AND(SnapshotTable[[#This Row],[SP Qty]]&gt;0,SnapshotTable[[#This Row],[SP Current Ask]]&gt;0), SnapshotTable[[#This Row],[SP Qty]] * SnapshotTable[[#This Row],[SP Current Ask]] * -100, "")</f>
        <v/>
      </c>
      <c r="DG269" s="31" t="str">
        <f>IF(ISNUMBER((SnapshotTable[[#This Row],[SP Total Value]])), SnapshotTable[[#This Row],[SP Premium]] + SnapshotTable[[#This Row],[SP Total Value]], "")</f>
        <v/>
      </c>
      <c r="DH269" s="294" t="str">
        <f>IF(ISNUMBER((SnapshotTable[[#This Row],[SP Total Value]])), SnapshotTable[[#This Row],[SP Gain Loss]] / SnapshotTable[[#This Row],[SP Premium]], "")</f>
        <v/>
      </c>
      <c r="DI269" s="406"/>
      <c r="DJ269" s="138"/>
      <c r="DK269" s="148"/>
      <c r="DL269" s="13"/>
      <c r="DM269" s="13"/>
      <c r="DO269" s="31">
        <f>IF(SnapshotTable[[#This Row],[LC Symbol Count]]=1, SnapshotTable[[#This Row],[LC Qty]] * SnapshotTable[[#This Row],[LC Book Price]] * 100, 0)</f>
        <v>0</v>
      </c>
      <c r="DP269" s="163" t="str">
        <f>IF(AND(SnapshotTable[[#This Row],[LC Exp Date]]&gt;0, SnapshotTable[[#This Row],[LC Strike Price]]&gt;0,SnapshotTable[[#This Row],[LC Qty]]&gt;0,SnapshotTable[[#This Row],[LC Book Date]]&gt;0,SnapshotTable[[#This Row],[LC Book Price]]&gt;0,SnapshotTable[[#This Row],[LC Fill Date]]=0),"Y","")</f>
        <v/>
      </c>
      <c r="DQ269" s="386" t="str">
        <f>IF(SnapshotTable[[#This Row],[LC Premium]] &gt; 0,SnapshotTable[[#This Row],[LC Exp Date]]-MAX(SnapshotTable[[#This Row],[LC Book Date]], SnapshotTable[[#This Row],[LC Fill Date]]),"")</f>
        <v/>
      </c>
      <c r="DR269" s="386" t="str">
        <f>IF(ISNUMBER(SnapshotTable[[#This Row],[LC Term]]), SnapshotTable[[#This Row],[LC Exp Date]] - MockToday, "")</f>
        <v/>
      </c>
      <c r="DS269" s="234" t="str">
        <f>IF(SnapshotTable[[#This Row],[LC Premium]]&gt;0,SnapshotTable[[#This Row],[LC Strike Price]] + SnapshotTable[[#This Row],[LC Book Price]],"")</f>
        <v/>
      </c>
      <c r="DU269" s="9" t="str">
        <f>IF(AND(SnapshotTable[[#This Row],[LC Symbol Count]]&gt;0, SnapshotTable[[#This Row],[LC Contract Value]]&gt;0), SnapshotTable[[#This Row],[LC Contract Value]] * SnapshotTable[[#This Row],[LC Qty]] * 100, "")</f>
        <v/>
      </c>
      <c r="DV269" s="9" t="str">
        <f>IF(AND(ISNUMBER(SnapshotTable[[#This Row],[LC Total Value]]), SnapshotTable[[#This Row],[LC Not Filled]]&lt;&gt;"Y"), SnapshotTable[[#This Row],[LC Total Value]]-SnapshotTable[[#This Row],[LC Premium]],"")</f>
        <v/>
      </c>
      <c r="DW269" s="240" t="str">
        <f>IF(ISNUMBER(SnapshotTable[[#This Row],[LC Actual Gain Loss]]), SnapshotTable[[#This Row],[LC Actual Gain Loss]] / SnapshotTable[[#This Row],[LC Premium]],"")</f>
        <v/>
      </c>
      <c r="DX269" s="284" t="str">
        <f>IF(ISNUMBER(SnapshotTable[[#This Row],[LC Book Price]]),SnapshotTable[[#This Row],[LC Book Price]] * 1.5,"")</f>
        <v/>
      </c>
      <c r="DY269" s="265" t="str">
        <f>IF(SnapshotTable[[#This Row],[LC Premium]]&gt;0, SnapshotTable[[#This Row],[LC Next Target]] * SnapshotTable[[#This Row],[LC Qty]] * 100,"")</f>
        <v/>
      </c>
      <c r="DZ269" s="265" t="str">
        <f>IF(ISNUMBER(SnapshotTable[[#This Row],[LC Target Gross]]), SnapshotTable[[#This Row],[LC Target Gross]] - SnapshotTable[[#This Row],[LC Premium]], "")</f>
        <v/>
      </c>
      <c r="EA269" s="305" t="str">
        <f>IF(ISNUMBER(SnapshotTable[[#This Row],[LC Target Gain Loss]]), SnapshotTable[[#This Row],[LC Target Gain Loss]]/SnapshotTable[[#This Row],[LC Premium]], "")</f>
        <v/>
      </c>
      <c r="EB269" s="262"/>
      <c r="EC269" s="283" t="str">
        <f>IF(SnapshotTable[[#This Row],[LC Premium]]&gt;0, SnapshotTable[[#This Row],[LC Book Price]] * (1 - LC_StopLoss_Pct),"")</f>
        <v/>
      </c>
      <c r="ED269" s="284"/>
      <c r="EE269" s="283" t="str">
        <f>IF(ISNUMBER(SnapshotTable[[#This Row],[LC Contract Value]]),IF(ISNUMBER(SnapshotTable[[#This Row],[LC Stop Loss Override]]), SnapshotTable[[#This Row],[LC Stop Loss Override]],SnapshotTable[[#This Row],[LC Stop Loss Calc Target]]),"")</f>
        <v/>
      </c>
      <c r="EF269" s="31" t="str">
        <f>IF(ISNUMBER(SnapshotTable[[#This Row],[LC Stop  To Use]]), (SnapshotTable[[#This Row],[LC Stop  To Use]] * SnapshotTable[[#This Row],[LC Qty]] * 100),"")</f>
        <v/>
      </c>
      <c r="EG269" s="9" t="str">
        <f>IF(ISNUMBER(SnapshotTable[[#This Row],[LC Total Value]]),SnapshotTable[[#This Row],[LC Stop Loss Amount]] - SnapshotTable[[#This Row],[LC Premium]],"")</f>
        <v/>
      </c>
      <c r="EH269" s="9">
        <f>IF(ISNUMBER(SnapshotTable[[#This Row],[LC Premium]]), SnapshotTable[[#This Row],[LC Qty]] * 100 * SnapshotTable[[#This Row],[LC Strike Price]], "")</f>
        <v>0</v>
      </c>
      <c r="EI269" s="240" t="str">
        <f>IF(AND(ISNUMBER(SnapshotTable[[#This Row],[LC Total Value]]),SnapshotTable[[#This Row],[LC Total Value]]&gt;0),SnapshotTable[[#This Row],[LC Stop Gain Loss]]  / SnapshotTable[[#This Row],[LC Premium]],"")</f>
        <v/>
      </c>
      <c r="EJ269" s="35">
        <f>IF(ISNUMBER(SnapshotTable[[#This Row],[Equity Shares]]),TRUNC(SnapshotTable[[#This Row],[Equity Shares]] / 100),0) + SnapshotTable[[#This Row],[LC Qty]]</f>
        <v>0</v>
      </c>
      <c r="EK269" s="147"/>
      <c r="EL269" s="138" t="str">
        <f>IF(SnapshotTable[[#This Row],[SC Exp Date]]&lt;&gt;"",TRUNC(SnapshotTable[[#This Row],[Last Price]]),"")</f>
        <v/>
      </c>
      <c r="EM269" s="148"/>
      <c r="EN269" s="147"/>
      <c r="EO269" s="147"/>
      <c r="EP269" s="138"/>
      <c r="EQ269" s="419" t="b">
        <f>AND(ISNUMBER(SnapshotTable[[#This Row],[SC Exp Date]]), ISNUMBER(SnapshotTable[[#This Row],[SC Strike Price]]), ISNUMBER(SnapshotTable[[#This Row],[SC Qty]]), ISNUMBER(SnapshotTable[[#This Row],[SC Book Date]]), ISNUMBER(SnapshotTable[[#This Row],[SC Book Price]]))</f>
        <v>0</v>
      </c>
      <c r="ER269" s="419" t="b">
        <f>AND(SnapshotTable[[#This Row],[SC Is Booked]], NOT(ISBLANK(SnapshotTable[[#This Row],[SC Fill Date]])))</f>
        <v>0</v>
      </c>
      <c r="ES269" s="370"/>
      <c r="ET269" s="34" t="str">
        <f>IF(AND(ISNUMBER(SnapshotTable[[#This Row],[SC Exp Date]]), ISNUMBER(SnapshotTable[[#This Row],[SC Book Date]])), SnapshotTable[[#This Row],[SC Exp Date]] - MAX(SnapshotTable[[#This Row],[SC Book Date]], SnapshotTable[[#This Row],[SC Fill Date]]) + 1, "")</f>
        <v/>
      </c>
      <c r="EU269" s="34" t="str">
        <f>IF(ISNUMBER(SnapshotTable[[#This Row],[SC Term]]), SnapshotTable[[#This Row],[SC Exp Date]]- MockToday, "")</f>
        <v/>
      </c>
      <c r="EV269" s="31">
        <f>IF(SnapshotTable[[#This Row],[SC Is Booked]], SnapshotTable[[#This Row],[SC Qty]] * SnapshotTable[[#This Row],[SC Book Price]] * 100, 0)</f>
        <v>0</v>
      </c>
      <c r="EW269" s="4" t="str">
        <f>IF(AND(ISNUMBER(SnapshotTable[[#This Row],[Last Price]]), ISNUMBER( SnapshotTable[[#This Row],[SC Book Price]])), SnapshotTable[[#This Row],[Last Price]] - SnapshotTable[[#This Row],[SC Book Price]],"")</f>
        <v/>
      </c>
      <c r="EX269" s="234" t="str">
        <f>IF(SnapshotTable[[#This Row],[SC Is Booked]],IF(SnapshotTable[[#This Row],[SC Intrinsic Value]] &gt; 0, SnapshotTable[[#This Row],[SC Strike Price]], SnapshotTable[[#This Row],[Last Price]]), "")</f>
        <v/>
      </c>
      <c r="EY269" s="4">
        <f>IF(SnapshotTable[[#This Row],[SC Is Booked]], (MinimumPremiumRequired * SnapshotTable[[#This Row],[SC Basis]] * SnapshotTable[[#This Row],[SC Term]]), 0)</f>
        <v>0</v>
      </c>
      <c r="EZ269" s="283"/>
      <c r="FA269" s="218"/>
      <c r="FB269" s="370"/>
      <c r="FC269" s="4">
        <f>IF(SnapshotTable[[#This Row],[SC Is Filled]], btc_max_buyback_amount(SnapshotTable[[#This Row],[SC Fill Date]],SnapshotTable[[#This Row],[SC Exp Date]], SnapshotTable[[#This Row],[SC Book Price]]),0)</f>
        <v>0</v>
      </c>
      <c r="FD269" s="5"/>
      <c r="FE269" s="144" t="str">
        <f>IF(SnapshotTable[[#This Row],[SC Is Filled]], btc_next_cutoff_date(SnapshotTable[[#This Row],[SC Fill Date]],SnapshotTable[[#This Row],[SC Exp Date]]),"")</f>
        <v/>
      </c>
      <c r="FF269" s="4" t="str" cm="1">
        <f t="array" ref="FF269">IF(SnapshotTable[[#This Row],[SC Is Filled]], btc_should_buy_back(SnapshotTable[[#This Row],[SC Fill Date]], SnapshotTable[[#This Row],[SC Exp Date]], SnapshotTable[[#This Row],[SC Book Price]], SnapshotTable[[#This Row],[SC Current Ask]], MockToday, SnapshotTable[[#This Row],[SC Buyback Override]]),"")</f>
        <v/>
      </c>
      <c r="FG269" s="4">
        <f>IF(SnapshotTable[[#This Row],[SC Is Filled]], MAX(0,SnapshotTable[[#This Row],[Last Price]]  - SnapshotTable[[#This Row],[SC Strike Price]]), 0)</f>
        <v>0</v>
      </c>
      <c r="FH269" s="382">
        <f>IF(SnapshotTable[[#This Row],[SC Is Filled]], IF(ISNUMBER(SnapshotTable[[#This Row],[SC Current Ask]]), SnapshotTable[[#This Row],[SC Current Ask]], SnapshotTable[[#This Row],[SC Book Price]]) - SnapshotTable[[#This Row],[SC Intrinsic Value]], 0)</f>
        <v>0</v>
      </c>
      <c r="FI269" s="143"/>
      <c r="FJ269" s="32" t="str">
        <f>IF(SnapshotTable[[#This Row],[SC Is Filled]],100 * SnapshotTable[[#This Row],[SC Qty]] * IF(ISNUMBER(SnapshotTable[[#This Row],[SC Buyback Override]]), SnapshotTable[[#This Row],[SC Buyback Override]], SnapshotTable[[#This Row],[SC Current Ask]]), "")</f>
        <v/>
      </c>
      <c r="FK269" s="250" t="str">
        <f>IF(SnapshotTable[[#This Row],[SC Time Val]]&gt;0, SnapshotTable[[#This Row],[SC Time Val]] / SnapshotTable[[#This Row],[Last Price]],"")</f>
        <v/>
      </c>
      <c r="FL269" s="302" t="str">
        <f>IF(SnapshotTable[[#This Row],[SC Is Booked]], ((SnapshotTable[[#This Row],[Last Price]] -SnapshotTable[[#This Row],[SC Strike Price]]) / SnapshotTable[[#This Row],[Last Price]]) * -1, "")</f>
        <v/>
      </c>
      <c r="FM269" s="157" t="str">
        <f>IF(SnapshotTable[[#This Row],[SC Is Booked]],  (SnapshotTable[[#This Row],[SC Qty]] * 100 * SnapshotTable[[#This Row],[SC Strike Price]]) - SnapshotTable[[#This Row],[SC Current Ask]], "")</f>
        <v/>
      </c>
      <c r="FN26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9" s="31" t="str">
        <f>IF(AND(ISNUMBER(SnapshotTable[[#This Row],[SC Exercise Gross]]), ISNUMBER(SnapshotTable[[#This Row],[Equity Basis Per Share]] )), SnapshotTable[[#This Row],[SC Exercise Gross]] - SnapshotTable[[#This Row],[Equity Basis Total]] +  SnapshotTable[[#This Row],[SC Premium]], "")</f>
        <v/>
      </c>
      <c r="FP269" s="5" t="str">
        <f>IF(ISNUMBER(SnapshotTable[[#This Row],[SC Exercise Gross]]), (SnapshotTable[[#This Row],[SC Exercise Gross]]) / (SnapshotTable[[#This Row],[SC Qty]] * 100), "")</f>
        <v/>
      </c>
      <c r="FQ269" s="27" t="str">
        <f>IF(SnapshotTable[[#This Row],[SC Is Booked]],SnapshotTable[[#This Row],[SC Time Val]] /SnapshotTable[[#This Row],[SC Basis]], "")</f>
        <v/>
      </c>
      <c r="FR269" s="27" t="str" cm="1">
        <f t="array" ref="FR269">IF(AND(ISNUMBER(SnapshotTable[[#This Row],[SC Term]]),ISNUMBER(SnapshotTable[[#This Row],[SC Simple ROO]])), EllmanAnnualize(SnapshotTable[[#This Row],[SC DTE]], SnapshotTable[[#This Row],[SC Simple ROO]] ),"")</f>
        <v/>
      </c>
      <c r="FS269" s="4" t="e">
        <f>IF(SnapshotTable[[#This Row],[SC Strike Price]] &gt; SnapshotTable[[#This Row],[Last Price]], SnapshotTable[[#This Row],[SC Strike Price]] - SnapshotTable[[#This Row],[Last Price]],0)</f>
        <v>#VALUE!</v>
      </c>
      <c r="FT269" s="27" t="e">
        <f>IF(AND(ISNUMBER(SnapshotTable[[#This Row],[SC Upside Potential]]), SnapshotTable[[#This Row],[SC Upside Potential]] &gt; 0),(SnapshotTable[[#This Row],[SC Upside Potential]]/ SnapshotTable[[#This Row],[ACB]]),"")</f>
        <v>#VALUE!</v>
      </c>
      <c r="FU269" s="333" t="str">
        <f>IF(SnapshotTable[[#This Row],[SC Intrinsic Value]] &gt; 0,SnapshotTable[[#This Row],[SC Intrinsic Value]],"")</f>
        <v/>
      </c>
      <c r="FV269" s="27" t="str">
        <f>IF(AND( ISNUMBER( SnapshotTable[[#This Row],[ACB]]),ISNUMBER(SnapshotTable[[#This Row],[SC Downside Protect]])),SnapshotTable[[#This Row],[SC Downside Protect]] / SnapshotTable[[#This Row],[ACB]],"")</f>
        <v/>
      </c>
      <c r="FW269" s="236" t="str">
        <f>IF(AND(ISNUMBER(SnapshotTable[[#This Row],[SC Simple ROO]]),SnapshotTable[[#This Row],[SC Simple ROO]] &gt; 0), SnapshotTable[[#This Row],[SC Premium]] + (SnapshotTable[[#This Row],[SC Qty]] * SnapshotTable[[#This Row],[SC Upside Potential]]), "")</f>
        <v/>
      </c>
      <c r="FX269" s="302" t="str" cm="1">
        <f t="array" ref="FX269">IF(ISNUMBER(SnapshotTable[[#This Row],[SC Max Dollars]]), annualize(SnapshotTable[[#This Row],[SC Term]],(SnapshotTable[[#This Row],[SC Max Dollars]]/SnapshotTable[[#This Row],[SC Basis]])),"")</f>
        <v/>
      </c>
      <c r="FY269" s="236" t="str">
        <f>IF(AND(SnapshotTable[[#This Row],[SC Qty]]&gt;0,SnapshotTable[[#This Row],[SC Current Ask]]&gt;0), SnapshotTable[[#This Row],[SC Qty]] * SnapshotTable[[#This Row],[SC Current Ask]] * -100, "")</f>
        <v/>
      </c>
      <c r="FZ269" s="31" t="str">
        <f>IF(ISNUMBER((SnapshotTable[[#This Row],[SC Current Value]])), SnapshotTable[[#This Row],[SC Premium]] + SnapshotTable[[#This Row],[SC Current Value]], "")</f>
        <v/>
      </c>
      <c r="GA269" s="294" t="str">
        <f>IFERROR( IF(ISNUMBER((SnapshotTable[[#This Row],[SC Current Value]])), SnapshotTable[[#This Row],[SC Gain Loss]] / SnapshotTable[[#This Row],[SC Premium]], ""), "")</f>
        <v/>
      </c>
      <c r="GB269" s="42">
        <f>SnapshotTable[[#This Row],[Equity Shares]] * SaleSharesToConsiderPercentage</f>
        <v>0</v>
      </c>
      <c r="GC269" s="40">
        <f>SnapshotTable[[#This Row],[Long Term Target]] * SellingPriceToConsiderBasedOnTargetPercentage</f>
        <v>0</v>
      </c>
      <c r="GD269" s="40">
        <f>SnapshotTable[[#This Row],[Last Price]] * (1+ SellingPriceToConsiderBasedOnTargetPercentage)</f>
        <v>12.597</v>
      </c>
      <c r="GE269" s="41"/>
      <c r="GF269" s="40"/>
      <c r="GG269" s="31">
        <f>SnapshotTable[[#This Row],[Booked Sale Shares]] * SnapshotTable[[#This Row],[Booked Sale Price]]</f>
        <v>0</v>
      </c>
      <c r="GH269" s="31" t="str">
        <f>IF(SnapshotTable[[#This Row],[Equity Basis Total]] &gt; 0, SnapshotTable[[#This Row],[Equity Basis Per Share]] * SnapshotTable[[#This Row],[Booked Sale Shares]], "")</f>
        <v/>
      </c>
      <c r="GI269" s="31">
        <f>IF(SnapshotTable[[#This Row],[Sale Proceeds]]&gt;0, SnapshotTable[[#This Row],[Sale Proceeds]] - SnapshotTable[[#This Row],[Sale Basis]], 0)</f>
        <v>0</v>
      </c>
      <c r="GJ269" s="27" t="str">
        <f>IF(SnapshotTable[[#This Row],[Sale G/L]]&gt;0, SnapshotTable[[#This Row],[Sale G/L]] / SnapshotTable[[#This Row],[Sale Basis]], IF(ISNUMBER(SnapshotTable[[#This Row],[SC Exercise P&amp;L (TAX)]]), SnapshotTable[[#This Row],[SC Exercise P&amp;L (TAX)]] / SnapshotTable[[#This Row],[SC Basis]], ""))</f>
        <v/>
      </c>
      <c r="GK269" s="27"/>
      <c r="GL269" s="43" t="str">
        <f>IF(AND(SnapshotTable[[#This Row],[LP Exp Date]]&gt;0,SnapshotTable[[#This Row],[LP Strike Price]]&gt;0), [1]!ToOptionSymbol(SnapshotTable[[#This Row],[Symbol]], SnapshotTable[[#This Row],[LP Strike Price]],SnapshotTable[[#This Row],[LP Exp Date]],1), "")</f>
        <v/>
      </c>
      <c r="GM269" s="30" t="str">
        <f>IF(LEN(SnapshotTable[[#This Row],[LP Symbol]])&gt;0, 1, "")</f>
        <v/>
      </c>
      <c r="GN269" s="43" t="str">
        <f>IF(AND(SnapshotTable[[#This Row],[SP Exp Date]]&gt;0,SnapshotTable[[#This Row],[SP Strike Price]]&gt;0), [1]!ToOptionSymbol(SnapshotTable[[#This Row],[Symbol]], SnapshotTable[[#This Row],[SP Strike Price]],SnapshotTable[[#This Row],[SP Exp Date]],1), "")</f>
        <v/>
      </c>
      <c r="GO269" s="30" t="str">
        <f>IF(LEN(SnapshotTable[[#This Row],[SP Symbol]])&gt;0, 1, "")</f>
        <v/>
      </c>
      <c r="GP269" s="43" t="str">
        <f>IF(AND(SnapshotTable[[#This Row],[LC Exp Date]]&gt;0,SnapshotTable[[#This Row],[LC Strike Price]]&gt;0), [1]!ToOptionSymbol(SnapshotTable[[#This Row],[Symbol]], SnapshotTable[[#This Row],[LC Strike Price]],SnapshotTable[[#This Row],[LC Exp Date]],0), "")</f>
        <v/>
      </c>
      <c r="GQ269" s="30" t="str">
        <f>IF(LEN(SnapshotTable[[#This Row],[LC Symbol]])&gt;0, 1, "")</f>
        <v/>
      </c>
      <c r="GR269" s="43" t="str">
        <f>IF(AND(SnapshotTable[[#This Row],[SC Exp Date]]&gt;0,SnapshotTable[[#This Row],[SC Strike Price]]&gt;0), [1]!ToOptionSymbol(SnapshotTable[[#This Row],[Symbol]], SnapshotTable[[#This Row],[SC Strike Price]],SnapshotTable[[#This Row],[SC Exp Date]],0), "")</f>
        <v/>
      </c>
      <c r="GS269" s="30" t="str">
        <f>IF(LEN(SnapshotTable[[#This Row],[SC Symbol]])&gt;0, 1, "")</f>
        <v/>
      </c>
      <c r="GT269" s="29" t="str">
        <f>IF(COUNT(SnapshotTable[[#This Row],[LP Symbol Count]],SnapshotTable[[#This Row],[SP Symbol Count]],SnapshotTable[[#This Row],[LC Symbol Count]],SnapshotTable[[#This Row],[SC Symbol Count]])&gt;0, "Y", "")</f>
        <v/>
      </c>
      <c r="GU26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9" s="231" t="e">
        <f>MAX(SnapshotTable[[#This Row],[Equity Basis Total]],SnapshotTable[[#This Row],[Equity Value]]) + (SnapshotTable[[#This Row],[SP Potential Spend]]- SnapshotTable[[#This Row],[SP Premium]] + SnapshotTable[[#This Row],[LP Premium]])+ (SnapshotTable[[#This Row],[LC Premium]] - SnapshotTable[[#This Row],[SC Premium]])</f>
        <v>#VALUE!</v>
      </c>
      <c r="GW269" s="139" t="e">
        <f>IF(AND(SnapshotTable[[#This Row],[Exposure]] &lt;&gt; 0),SnapshotTable[[#This Row],[Exposure]] / SnapshotTable[[#Totals],[Exposure]], "")</f>
        <v>#VALUE!</v>
      </c>
      <c r="HK269" s="1"/>
      <c r="HL269" s="1"/>
      <c r="HM269" s="1"/>
      <c r="HN269" s="1"/>
      <c r="HO269" s="1"/>
      <c r="HP269" s="1"/>
    </row>
    <row r="270" spans="2:224" ht="12.75" hidden="1" customHeight="1" x14ac:dyDescent="0.25">
      <c r="B270" s="12" t="s">
        <v>544</v>
      </c>
      <c r="C270" s="422">
        <v>116.27</v>
      </c>
      <c r="D270" s="208"/>
      <c r="E270" s="39">
        <f>SnapshotTable[[#This Row],[Last Price]]*(1 -CrashDiscount)</f>
        <v>98.829499999999996</v>
      </c>
      <c r="F270" s="26" t="s">
        <v>230</v>
      </c>
      <c r="G270" s="26" t="s">
        <v>9</v>
      </c>
      <c r="H270" s="149"/>
      <c r="I270" s="194">
        <v>44797.666666666664</v>
      </c>
      <c r="J270" s="195">
        <v>44797.666666666664</v>
      </c>
      <c r="K270" s="196"/>
      <c r="L270" s="326"/>
      <c r="M270" s="140"/>
      <c r="N270" s="140"/>
      <c r="O270" s="140"/>
      <c r="P270" s="22"/>
      <c r="Q270" s="25"/>
      <c r="R270" s="4" t="str">
        <f>IF(SnapshotTable[[#This Row],[Equity Basis Total]] &gt; 0, SnapshotTable[[#This Row],[Equity Basis Total]] / SnapshotTable[[#This Row],[Equity Shares]], "")</f>
        <v/>
      </c>
      <c r="S270" s="269">
        <f>SnapshotTable[[#This Row],[Last Price]] * SnapshotTable[[#This Row],[Equity Shares]]</f>
        <v>0</v>
      </c>
      <c r="T270" s="269">
        <f>SnapshotTable[[#This Row],[Equity Value]] - SnapshotTable[[#This Row],[Equity Basis Total]]</f>
        <v>0</v>
      </c>
      <c r="U270" s="270" t="str">
        <f>IF(SnapshotTable[[#This Row],[Equity Basis Total]] &gt; 0, SnapshotTable[[#This Row],[Equity G/L]] / SnapshotTable[[#This Row],[Equity Basis Total]], "")</f>
        <v/>
      </c>
      <c r="V270" s="268"/>
      <c r="W270" s="268"/>
      <c r="X270" s="4" t="str">
        <f>IF(AND(ISNUMBER(SnapshotTable[[#This Row],[Equity Basis Per Share]]),ISNUMBER(SnapshotTable[[#This Row],[Equity Target]])),SnapshotTable[[#This Row],[Equity Target]]-SnapshotTable[[#This Row],[Equity Basis Per Share]],"")</f>
        <v/>
      </c>
      <c r="Y270" s="4" t="str">
        <f>IF(AND(ISNUMBER(SnapshotTable[[#This Row],[Equity Basis Per Share]]),ISNUMBER(SnapshotTable[[#This Row],[Equity Stop Loss]])),SnapshotTable[[#This Row],[Equity Stop Loss]]-SnapshotTable[[#This Row],[Equity Basis Per Share]],"")</f>
        <v/>
      </c>
      <c r="Z270" s="275" t="str">
        <f>IFERROR( TEXT(SnapshotTable[[#This Row],[Equity Max Gain Per Share]] /ABS( SnapshotTable[[#This Row],[Equity Max Loss Per Share]]),"0.0 " ) &amp; " : 1", "")</f>
        <v/>
      </c>
      <c r="AA270" s="31" t="str">
        <f>IF(ISNUMBER(SnapshotTable[[#This Row],[Equity Max Gain Per Share]]),SnapshotTable[[#This Row],[Equity Max Gain Per Share]] * SnapshotTable[[#This Row],[Equity Shares]],"")</f>
        <v/>
      </c>
      <c r="AB270" s="31" t="str">
        <f>IF(ISNUMBER(SnapshotTable[[#This Row],[Equity Max Loss Per Share]]),SnapshotTable[[#This Row],[Equity Max Loss Per Share]] * SnapshotTable[[#This Row],[Equity Shares]],"")</f>
        <v/>
      </c>
      <c r="AC270" s="150"/>
      <c r="AD270" s="151"/>
      <c r="AE270" s="31">
        <f>(SnapshotTable[[#This Row],[Annual Dividend Per Share]] / 4) * SnapshotTable[[#This Row],[Equity Shares]]</f>
        <v>0</v>
      </c>
      <c r="AF270" s="31">
        <f>SnapshotTable[[#This Row],[Quarterly Div $]] * 4</f>
        <v>0</v>
      </c>
      <c r="AG270" s="7">
        <f>IF(SnapshotTable[[#This Row],[Annual Dividend Per Share]]&gt;0, SnapshotTable[[#This Row],[Annual Dividend Per Share]]  / SnapshotTable[[#This Row],[Last Price]], 0)</f>
        <v>0</v>
      </c>
      <c r="AH270" s="151"/>
      <c r="AI270" s="5"/>
      <c r="AJ270" s="138">
        <v>153.21</v>
      </c>
      <c r="AK270" s="152" t="str">
        <f>IF(ISNUMBER( SnapshotTable[[#This Row],[EBF Target]]),(SnapshotTable[[#This Row],[EBF Target]] - SnapshotTable[[#This Row],[Last Price]]) / SnapshotTable[[#This Row],[Last Price]], "")</f>
        <v/>
      </c>
      <c r="AL270" s="152" t="str">
        <f>IF(AND(SnapshotTable[[#This Row],[Equity Basis Total]] &gt; 0,ISNUMBER( SnapshotTable[[#This Row],[Long Term Target]])), SnapshotTable[[#This Row],[From Basis $]] / SnapshotTable[[#This Row],[Equity Basis Total]], "")</f>
        <v/>
      </c>
      <c r="AM270" s="9">
        <f>IF( AND(SnapshotTable[[#This Row],[Equity Shares]] &gt;0,ISNUMBER( SnapshotTable[[#This Row],[Long Term Target]])),(SnapshotTable[[#This Row],[Equity Shares]] * SnapshotTable[[#This Row],[Long Term Target]]) - SnapshotTable[[#This Row],[Equity Basis Total]],0)</f>
        <v>0</v>
      </c>
      <c r="AN270" s="9">
        <f>IF( AND(SnapshotTable[[#This Row],[Equity Shares]] &gt;0,ISNUMBER( SnapshotTable[[#This Row],[Long Term Target]])),(SnapshotTable[[#This Row],[Equity Shares]]*SnapshotTable[[#This Row],[Long Term Target]]) - SnapshotTable[[#This Row],[Equity Value]],0)</f>
        <v>0</v>
      </c>
      <c r="AO270" s="152">
        <f>IF(AND(ISNUMBER( SnapshotTable[[#This Row],[Long Term Target]]), ISNUMBER(SnapshotTable[[#This Row],[Last Price]])),(SnapshotTable[[#This Row],[Long Term Target]] - SnapshotTable[[#This Row],[Last Price]]) / SnapshotTable[[#This Row],[Last Price]], "")</f>
        <v>0.31770878128494034</v>
      </c>
      <c r="AP270" s="5">
        <v>132</v>
      </c>
      <c r="AQ270" s="38" t="s">
        <v>110</v>
      </c>
      <c r="AR270" s="5" t="s">
        <v>546</v>
      </c>
      <c r="AS270" s="38" t="s">
        <v>109</v>
      </c>
      <c r="AT270" s="146" t="s">
        <v>545</v>
      </c>
      <c r="AU270" s="187" t="str">
        <f>IF(OR(SnapshotTable[[#This Row],[LP No Fill]]="Y",SnapshotTable[[#This Row],[SP Is Filled]],SnapshotTable[[#This Row],[LC Not Filled]]="Y",SnapshotTable[[#This Row],[SC Is Filled]]),"Y","")</f>
        <v/>
      </c>
      <c r="AV270" s="219"/>
      <c r="AW270" s="225"/>
      <c r="AX270" s="220"/>
      <c r="AY270" s="219" t="str">
        <f>IF(SnapshotTable[[#This Row],[Implied Move]]&gt;0, SnapshotTable[[#This Row],[Last Price]]-SnapshotTable[[#This Row],[Implied Move]],"")</f>
        <v/>
      </c>
      <c r="AZ270" s="219" t="str">
        <f>IF(SnapshotTable[[#This Row],[Implied Move]]&gt;0, SnapshotTable[[#This Row],[Last Price]] + SnapshotTable[[#This Row],[Implied Move]],"")</f>
        <v/>
      </c>
      <c r="BA270" s="331"/>
      <c r="BB270" s="347"/>
      <c r="BC27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0" s="351"/>
      <c r="BE270" s="5"/>
      <c r="BF270" s="14"/>
      <c r="BG270" s="13"/>
      <c r="BH270" s="13"/>
      <c r="BI270" s="5"/>
      <c r="BJ270" s="136">
        <f>IF(SnapshotTable[[#This Row],[LP Qty]] &gt; 0, SnapshotTable[[#This Row],[LP Qty]] * SnapshotTable[[#This Row],[LP Book Price]] * 100,0)</f>
        <v>0</v>
      </c>
      <c r="BK270" s="136">
        <f>IF(SnapshotTable[[#This Row],[LP Premium]] &gt; 0, SnapshotTable[[#This Row],[LP Qty]] * SnapshotTable[[#This Row],[LP Strike Price]] * 100,0)</f>
        <v>0</v>
      </c>
      <c r="BL270" s="154"/>
      <c r="BM270" s="385" t="str">
        <f>IF(SnapshotTable[[#This Row],[LP Premium]] &gt; 0,SnapshotTable[[#This Row],[LP Exp Date]]-MAX(SnapshotTable[[#This Row],[LP Book Date]], SnapshotTable[[#This Row],[LP Fill Date]]),"")</f>
        <v/>
      </c>
      <c r="BN270" s="385" t="str">
        <f>IF(ISNUMBER( SnapshotTable[[#This Row],[LP Term]]), SnapshotTable[[#This Row],[LP Exp Date]] - MockToday,"")</f>
        <v/>
      </c>
      <c r="BO270" s="163" t="str">
        <f>IF(AND(SnapshotTable[[#This Row],[LP Exp Date]]&gt;0, SnapshotTable[[#This Row],[LP Strike Price]]&gt;0,SnapshotTable[[#This Row],[LP Qty]]&gt;0,SnapshotTable[[#This Row],[LP Book Date]]&gt;0,SnapshotTable[[#This Row],[LP Book Price]]&gt;0,SnapshotTable[[#This Row],[LP Fill Date]]=0),"Y","")</f>
        <v/>
      </c>
      <c r="BP270" s="31" t="str">
        <f>IF(AND(SnapshotTable[[#This Row],[LP No Fill]]&lt;&gt;"Y",SnapshotTable[[#This Row],[LP Contract Value]]&gt;0, SnapshotTable[[#This Row],[LP Qty]]&gt;0), SnapshotTable[[#This Row],[LP Contract Value]]*SnapshotTable[[#This Row],[LP Qty]]*100,"")</f>
        <v/>
      </c>
      <c r="BQ270" s="13"/>
      <c r="BR270" s="5" t="str">
        <f>IF(SnapshotTable[[#This Row],[SP Exp Date]]&lt;&gt;"",TRUNC(SnapshotTable[[#This Row],[Last Price]]),"")</f>
        <v/>
      </c>
      <c r="BS270" s="36"/>
      <c r="BT270" s="147"/>
      <c r="BU270" s="13"/>
      <c r="BV270" s="5"/>
      <c r="BW270" s="419" t="b">
        <f>AND(ISNUMBER(SnapshotTable[[#This Row],[SP Exp Date]]), ISNUMBER(SnapshotTable[[#This Row],[SP Strike Price]]), ISNUMBER(SnapshotTable[[#This Row],[SP Qty]]), ISNUMBER(SnapshotTable[[#This Row],[SP Book Date]]), ISNUMBER(SnapshotTable[[#This Row],[SP Book Price]]))</f>
        <v>0</v>
      </c>
      <c r="BX270" s="419" t="b">
        <f>AND(SnapshotTable[[#This Row],[SP Is Booked]], NOT(ISBLANK(SnapshotTable[[#This Row],[SP Fill Date]])))</f>
        <v>0</v>
      </c>
      <c r="BY270" s="33">
        <f>IF(SnapshotTable[[#This Row],[SP Is Booked]], SnapshotTable[[#This Row],[SP Qty]] * SnapshotTable[[#This Row],[SP Book Price]] * 100, 0)</f>
        <v>0</v>
      </c>
      <c r="BZ270" s="369"/>
      <c r="CA270" s="368">
        <f>SnapshotTable[[#This Row],[LP Qty]]</f>
        <v>0</v>
      </c>
      <c r="CB270" s="4" t="str">
        <f>IF(SnapshotTable[[#This Row],[SP Is Booked]], SnapshotTable[[#This Row],[SP Strike Price]] - SnapshotTable[[#This Row],[SP Book Price]], "")</f>
        <v/>
      </c>
      <c r="CC270" s="19" t="str">
        <f>IF(SnapshotTable[[#This Row],[SP Is Booked]],SnapshotTable[[#This Row],[SP Exp Date]]-MAX(SnapshotTable[[#This Row],[SP Book Date]], SnapshotTable[[#This Row],[SP Fill Date]]),"")</f>
        <v/>
      </c>
      <c r="CD270" s="7" t="str">
        <f>IF(SnapshotTable[[#This Row],[SP Is Booked]], SnapshotTable[[#This Row],[SP Book Price]]/SnapshotTable[[#This Row],[SP Strike Price]], "")</f>
        <v/>
      </c>
      <c r="CE270" s="7" t="str">
        <f>IF(ISNUMBER(SnapshotTable[[#This Row],[SP ROO Term]]),SnapshotTable[[#This Row],[SP ROO Term]]*(365/SnapshotTable[[#This Row],[SP Term]]),"")</f>
        <v/>
      </c>
      <c r="CF270" s="236">
        <f>SnapshotTable[[#This Row],[LP Strike Price]] * SnapshotTable[[#This Row],[LP Qty]] * 100</f>
        <v>0</v>
      </c>
      <c r="CG270" s="31" t="e">
        <f>IF(ISNUMBER(SnapshotTable[[#This Row],[SP Premium]]), (SnapshotTable[[#This Row],[SP Qty]] * SnapshotTable[[#This Row],[SP Strike Price]]* 100) - SnapshotTable[[#This Row],[LP Protection]], 0)</f>
        <v>#VALUE!</v>
      </c>
      <c r="CH270" s="7" t="str">
        <f>IF(ISNUMBER(SnapshotTable[[#This Row],[SP Break Even]]),-1 * (SnapshotTable[[#This Row],[SP Break Even]] - SnapshotTable[[#This Row],[Last Price]]) / SnapshotTable[[#This Row],[Last Price]], "")</f>
        <v/>
      </c>
      <c r="CI270" s="31">
        <f>IF(AND(ISNUMBER((SnapshotTable[[#This Row],[SP Potential Spend]])), SnapshotTable[[#This Row],[SP Strike Price]] &gt; SnapshotTable[[#This Row],[Last Price]], SnapshotTable[[#This Row],[SP Is Filled]]), SnapshotTable[[#This Row],[SP Potential Spend]] -  SnapshotTable[[#This Row],[LP Max Value]], 0)</f>
        <v>0</v>
      </c>
      <c r="CJ270" s="244"/>
      <c r="CK270" s="31" t="str">
        <f>IF(ISNUMBER(SnapshotTable[[#This Row],[SP Potential Spend]]),IF(ISNUMBER(SnapshotTable[[#This Row],[SP POW]]), SnapshotTable[[#This Row],[SP POW]] * SnapshotTable[[#This Row],[SP Potential Spend]], SnapshotTable[[#This Row],[SP Potential Spend]]), "")</f>
        <v/>
      </c>
      <c r="CL270" s="164" t="e">
        <f>IF(NOT(SnapshotTable[[#This Row],[SP Is Filled]]),(SnapshotTable[[#This Row],[SP Qty]] * SnapshotTable[[#This Row],[SP Strike Price]] * 100) - SnapshotTable[[#This Row],[LP Max Value]],"")</f>
        <v>#VALUE!</v>
      </c>
      <c r="CM270" s="31" t="str">
        <f>IF(SnapshotTable[[#This Row],[SP Actual Spend]]&lt;&gt;0, ((SnapshotTable[[#This Row],[SP Strike Price]]-SnapshotTable[[#This Row],[Last Price]]) *(SnapshotTable[[#This Row],[SP Qty]]*100) - SnapshotTable[[#This Row],[SP Premium]]) * - 1, "")</f>
        <v/>
      </c>
      <c r="CN270" s="78"/>
      <c r="CO270" s="369"/>
      <c r="CP270" s="4" t="str">
        <f>IF(SnapshotTable[[#This Row],[SP Is Filled]], btc_max_buyback_amount(SnapshotTable[[#This Row],[SP Fill Date]],SnapshotTable[[#This Row],[SP Exp Date]], SnapshotTable[[#This Row],[SP Book Price]]),"")</f>
        <v/>
      </c>
      <c r="CQ270" s="78"/>
      <c r="CR27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0" s="155" t="str">
        <f>IF(SnapshotTable[[#This Row],[SP Is Filled]], btc_next_cutoff_date(SnapshotTable[[#This Row],[SP Fill Date]],SnapshotTable[[#This Row],[SP Exp Date]]),"")</f>
        <v/>
      </c>
      <c r="CT270" s="235" t="str" cm="1">
        <f t="array" ref="CT270">IF(SnapshotTable[[#This Row],[SP Is Filled]], btc_should_buy_back(SnapshotTable[[#This Row],[SP Fill Date]], SnapshotTable[[#This Row],[SP Exp Date]], SnapshotTable[[#This Row],[SP Book Price]], SnapshotTable[[#This Row],[SP Current Ask]], MockToday, SnapshotTable[[#This Row],[SP Buyback Override]]),"")</f>
        <v/>
      </c>
      <c r="CU270" s="143"/>
      <c r="CV270" s="235"/>
      <c r="CW270" s="378" t="str">
        <f>IF(ISNUMBER( SnapshotTable[[#This Row],[SP Term]]), SnapshotTable[[#This Row],[SP Exp Date]] - MockToday,"")</f>
        <v/>
      </c>
      <c r="CX270" s="31" t="str">
        <f>IF(SnapshotTable[[#This Row],[SP Is Filled]],SnapshotTable[[#This Row],[SP Buyback Price to Use]] * 100 * SnapshotTable[[#This Row],[SP Qty]], "")</f>
        <v/>
      </c>
      <c r="CY270" s="4" t="str">
        <f>IF(ISNUMBER(SnapshotTable[[#This Row],[SP Strike Price]]), SnapshotTable[[#This Row],[SP Strike Price]] * (1 - SP_MaxLoss_StrikePct), "")</f>
        <v/>
      </c>
      <c r="CZ270" s="31" t="str">
        <f>IF(ISNUMBER(SnapshotTable[[#This Row],[SP Strike  Stop Per Share]]),SnapshotTable[[#This Row],[SP Premium]] - ((SnapshotTable[[#This Row],[SP Strike Price]]-SnapshotTable[[#This Row],[SP Strike  Stop Per Share]]) *(SnapshotTable[[#This Row],[SP Qty]] * 100)),"")</f>
        <v/>
      </c>
      <c r="DA270" s="4" t="str">
        <f>IF(AND(ISNUMBER(SnapshotTable[[#This Row],[SP Premium]]),SnapshotTable[[#This Row],[SP Premium]]&gt;0), SnapshotTable[[#This Row],[SP Book Price]] * (1 + SP_MaxLoss_OptionPct), "")</f>
        <v/>
      </c>
      <c r="DB270" s="31" t="str">
        <f>IF(ISNUMBER(SnapshotTable[[#This Row],[SP Option  Stop Contract]]),(SnapshotTable[[#This Row],[SP Option  Stop Contract]] *(SnapshotTable[[#This Row],[SP Qty]] * 100) - SnapshotTable[[#This Row],[SP Premium]]),"")</f>
        <v/>
      </c>
      <c r="DC270" s="4"/>
      <c r="DD270" s="4"/>
      <c r="DE270" s="4" t="str">
        <f>IF(AND(SnapshotTable[[#This Row],[SP Qty]]&gt;0, SnapshotTable[[#This Row],[SP Stop To Use]]&gt;0),SnapshotTable[[#This Row],[SP Premium]] - ( SnapshotTable[[#This Row],[SP Qty]] * SnapshotTable[[#This Row],[SP Stop To Use]] * 100), "")</f>
        <v/>
      </c>
      <c r="DF270" s="31" t="str">
        <f>IF(AND(SnapshotTable[[#This Row],[SP Qty]]&gt;0,SnapshotTable[[#This Row],[SP Current Ask]]&gt;0), SnapshotTable[[#This Row],[SP Qty]] * SnapshotTable[[#This Row],[SP Current Ask]] * -100, "")</f>
        <v/>
      </c>
      <c r="DG270" s="31" t="str">
        <f>IF(ISNUMBER((SnapshotTable[[#This Row],[SP Total Value]])), SnapshotTable[[#This Row],[SP Premium]] + SnapshotTable[[#This Row],[SP Total Value]], "")</f>
        <v/>
      </c>
      <c r="DH270" s="294" t="str">
        <f>IF(ISNUMBER((SnapshotTable[[#This Row],[SP Total Value]])), SnapshotTable[[#This Row],[SP Gain Loss]] / SnapshotTable[[#This Row],[SP Premium]], "")</f>
        <v/>
      </c>
      <c r="DI270" s="406"/>
      <c r="DJ270" s="138"/>
      <c r="DK270" s="148"/>
      <c r="DL270" s="13"/>
      <c r="DM270" s="13"/>
      <c r="DO270" s="31">
        <f>IF(SnapshotTable[[#This Row],[LC Symbol Count]]=1, SnapshotTable[[#This Row],[LC Qty]] * SnapshotTable[[#This Row],[LC Book Price]] * 100, 0)</f>
        <v>0</v>
      </c>
      <c r="DP270" s="163" t="str">
        <f>IF(AND(SnapshotTable[[#This Row],[LC Exp Date]]&gt;0, SnapshotTable[[#This Row],[LC Strike Price]]&gt;0,SnapshotTable[[#This Row],[LC Qty]]&gt;0,SnapshotTable[[#This Row],[LC Book Date]]&gt;0,SnapshotTable[[#This Row],[LC Book Price]]&gt;0,SnapshotTable[[#This Row],[LC Fill Date]]=0),"Y","")</f>
        <v/>
      </c>
      <c r="DQ270" s="386" t="str">
        <f>IF(SnapshotTable[[#This Row],[LC Premium]] &gt; 0,SnapshotTable[[#This Row],[LC Exp Date]]-MAX(SnapshotTable[[#This Row],[LC Book Date]], SnapshotTable[[#This Row],[LC Fill Date]]),"")</f>
        <v/>
      </c>
      <c r="DR270" s="386" t="str">
        <f>IF(ISNUMBER(SnapshotTable[[#This Row],[LC Term]]), SnapshotTable[[#This Row],[LC Exp Date]] - MockToday, "")</f>
        <v/>
      </c>
      <c r="DS270" s="234" t="str">
        <f>IF(SnapshotTable[[#This Row],[LC Premium]]&gt;0,SnapshotTable[[#This Row],[LC Strike Price]] + SnapshotTable[[#This Row],[LC Book Price]],"")</f>
        <v/>
      </c>
      <c r="DU270" s="9" t="str">
        <f>IF(AND(SnapshotTable[[#This Row],[LC Symbol Count]]&gt;0, SnapshotTable[[#This Row],[LC Contract Value]]&gt;0), SnapshotTable[[#This Row],[LC Contract Value]] * SnapshotTable[[#This Row],[LC Qty]] * 100, "")</f>
        <v/>
      </c>
      <c r="DV270" s="9" t="str">
        <f>IF(AND(ISNUMBER(SnapshotTable[[#This Row],[LC Total Value]]), SnapshotTable[[#This Row],[LC Not Filled]]&lt;&gt;"Y"), SnapshotTable[[#This Row],[LC Total Value]]-SnapshotTable[[#This Row],[LC Premium]],"")</f>
        <v/>
      </c>
      <c r="DW270" s="240" t="str">
        <f>IF(ISNUMBER(SnapshotTable[[#This Row],[LC Actual Gain Loss]]), SnapshotTable[[#This Row],[LC Actual Gain Loss]] / SnapshotTable[[#This Row],[LC Premium]],"")</f>
        <v/>
      </c>
      <c r="DX270" s="284" t="str">
        <f>IF(ISNUMBER(SnapshotTable[[#This Row],[LC Book Price]]),SnapshotTable[[#This Row],[LC Book Price]] * 1.5,"")</f>
        <v/>
      </c>
      <c r="DY270" s="265" t="str">
        <f>IF(SnapshotTable[[#This Row],[LC Premium]]&gt;0, SnapshotTable[[#This Row],[LC Next Target]] * SnapshotTable[[#This Row],[LC Qty]] * 100,"")</f>
        <v/>
      </c>
      <c r="DZ270" s="265" t="str">
        <f>IF(ISNUMBER(SnapshotTable[[#This Row],[LC Target Gross]]), SnapshotTable[[#This Row],[LC Target Gross]] - SnapshotTable[[#This Row],[LC Premium]], "")</f>
        <v/>
      </c>
      <c r="EA270" s="305" t="str">
        <f>IF(ISNUMBER(SnapshotTable[[#This Row],[LC Target Gain Loss]]), SnapshotTable[[#This Row],[LC Target Gain Loss]]/SnapshotTable[[#This Row],[LC Premium]], "")</f>
        <v/>
      </c>
      <c r="EB270" s="262"/>
      <c r="EC270" s="283" t="str">
        <f>IF(SnapshotTable[[#This Row],[LC Premium]]&gt;0, SnapshotTable[[#This Row],[LC Book Price]] * (1 - LC_StopLoss_Pct),"")</f>
        <v/>
      </c>
      <c r="ED270" s="284"/>
      <c r="EE270" s="283" t="str">
        <f>IF(ISNUMBER(SnapshotTable[[#This Row],[LC Contract Value]]),IF(ISNUMBER(SnapshotTable[[#This Row],[LC Stop Loss Override]]), SnapshotTable[[#This Row],[LC Stop Loss Override]],SnapshotTable[[#This Row],[LC Stop Loss Calc Target]]),"")</f>
        <v/>
      </c>
      <c r="EF270" s="31" t="str">
        <f>IF(ISNUMBER(SnapshotTable[[#This Row],[LC Stop  To Use]]), (SnapshotTable[[#This Row],[LC Stop  To Use]] * SnapshotTable[[#This Row],[LC Qty]] * 100),"")</f>
        <v/>
      </c>
      <c r="EG270" s="9" t="str">
        <f>IF(ISNUMBER(SnapshotTable[[#This Row],[LC Total Value]]),SnapshotTable[[#This Row],[LC Stop Loss Amount]] - SnapshotTable[[#This Row],[LC Premium]],"")</f>
        <v/>
      </c>
      <c r="EH270" s="9">
        <f>IF(ISNUMBER(SnapshotTable[[#This Row],[LC Premium]]), SnapshotTable[[#This Row],[LC Qty]] * 100 * SnapshotTable[[#This Row],[LC Strike Price]], "")</f>
        <v>0</v>
      </c>
      <c r="EI270" s="240" t="str">
        <f>IF(AND(ISNUMBER(SnapshotTable[[#This Row],[LC Total Value]]),SnapshotTable[[#This Row],[LC Total Value]]&gt;0),SnapshotTable[[#This Row],[LC Stop Gain Loss]]  / SnapshotTable[[#This Row],[LC Premium]],"")</f>
        <v/>
      </c>
      <c r="EJ270" s="35">
        <f>IF(ISNUMBER(SnapshotTable[[#This Row],[Equity Shares]]),TRUNC(SnapshotTable[[#This Row],[Equity Shares]] / 100),0) + SnapshotTable[[#This Row],[LC Qty]]</f>
        <v>0</v>
      </c>
      <c r="EK270" s="147"/>
      <c r="EL270" s="138" t="str">
        <f>IF(SnapshotTable[[#This Row],[SC Exp Date]]&lt;&gt;"",TRUNC(SnapshotTable[[#This Row],[Last Price]]),"")</f>
        <v/>
      </c>
      <c r="EM270" s="148"/>
      <c r="EN270" s="147"/>
      <c r="EO270" s="147"/>
      <c r="EP270" s="138"/>
      <c r="EQ270" s="419" t="b">
        <f>AND(ISNUMBER(SnapshotTable[[#This Row],[SC Exp Date]]), ISNUMBER(SnapshotTable[[#This Row],[SC Strike Price]]), ISNUMBER(SnapshotTable[[#This Row],[SC Qty]]), ISNUMBER(SnapshotTable[[#This Row],[SC Book Date]]), ISNUMBER(SnapshotTable[[#This Row],[SC Book Price]]))</f>
        <v>0</v>
      </c>
      <c r="ER270" s="419" t="b">
        <f>AND(SnapshotTable[[#This Row],[SC Is Booked]], NOT(ISBLANK(SnapshotTable[[#This Row],[SC Fill Date]])))</f>
        <v>0</v>
      </c>
      <c r="ES270" s="370"/>
      <c r="ET270" s="34" t="str">
        <f>IF(AND(ISNUMBER(SnapshotTable[[#This Row],[SC Exp Date]]), ISNUMBER(SnapshotTable[[#This Row],[SC Book Date]])), SnapshotTable[[#This Row],[SC Exp Date]] - MAX(SnapshotTable[[#This Row],[SC Book Date]], SnapshotTable[[#This Row],[SC Fill Date]]) + 1, "")</f>
        <v/>
      </c>
      <c r="EU270" s="34" t="str">
        <f>IF(ISNUMBER(SnapshotTable[[#This Row],[SC Term]]), SnapshotTable[[#This Row],[SC Exp Date]]- MockToday, "")</f>
        <v/>
      </c>
      <c r="EV270" s="31">
        <f>IF(SnapshotTable[[#This Row],[SC Is Booked]], SnapshotTable[[#This Row],[SC Qty]] * SnapshotTable[[#This Row],[SC Book Price]] * 100, 0)</f>
        <v>0</v>
      </c>
      <c r="EW270" s="4" t="str">
        <f>IF(AND(ISNUMBER(SnapshotTable[[#This Row],[Last Price]]), ISNUMBER( SnapshotTable[[#This Row],[SC Book Price]])), SnapshotTable[[#This Row],[Last Price]] - SnapshotTable[[#This Row],[SC Book Price]],"")</f>
        <v/>
      </c>
      <c r="EX270" s="234" t="str">
        <f>IF(SnapshotTable[[#This Row],[SC Is Booked]],IF(SnapshotTable[[#This Row],[SC Intrinsic Value]] &gt; 0, SnapshotTable[[#This Row],[SC Strike Price]], SnapshotTable[[#This Row],[Last Price]]), "")</f>
        <v/>
      </c>
      <c r="EY270" s="4">
        <f>IF(SnapshotTable[[#This Row],[SC Is Booked]], (MinimumPremiumRequired * SnapshotTable[[#This Row],[SC Basis]] * SnapshotTable[[#This Row],[SC Term]]), 0)</f>
        <v>0</v>
      </c>
      <c r="EZ270" s="283"/>
      <c r="FA270" s="218"/>
      <c r="FB270" s="370"/>
      <c r="FC270" s="4">
        <f>IF(SnapshotTable[[#This Row],[SC Is Filled]], btc_max_buyback_amount(SnapshotTable[[#This Row],[SC Fill Date]],SnapshotTable[[#This Row],[SC Exp Date]], SnapshotTable[[#This Row],[SC Book Price]]),0)</f>
        <v>0</v>
      </c>
      <c r="FD270" s="5"/>
      <c r="FE270" s="144" t="str">
        <f>IF(SnapshotTable[[#This Row],[SC Is Filled]], btc_next_cutoff_date(SnapshotTable[[#This Row],[SC Fill Date]],SnapshotTable[[#This Row],[SC Exp Date]]),"")</f>
        <v/>
      </c>
      <c r="FF270" s="4" t="str" cm="1">
        <f t="array" ref="FF270">IF(SnapshotTable[[#This Row],[SC Is Filled]], btc_should_buy_back(SnapshotTable[[#This Row],[SC Fill Date]], SnapshotTable[[#This Row],[SC Exp Date]], SnapshotTable[[#This Row],[SC Book Price]], SnapshotTable[[#This Row],[SC Current Ask]], MockToday, SnapshotTable[[#This Row],[SC Buyback Override]]),"")</f>
        <v/>
      </c>
      <c r="FG270" s="4">
        <f>IF(SnapshotTable[[#This Row],[SC Is Filled]], MAX(0,SnapshotTable[[#This Row],[Last Price]]  - SnapshotTable[[#This Row],[SC Strike Price]]), 0)</f>
        <v>0</v>
      </c>
      <c r="FH270" s="382">
        <f>IF(SnapshotTable[[#This Row],[SC Is Filled]], IF(ISNUMBER(SnapshotTable[[#This Row],[SC Current Ask]]), SnapshotTable[[#This Row],[SC Current Ask]], SnapshotTable[[#This Row],[SC Book Price]]) - SnapshotTable[[#This Row],[SC Intrinsic Value]], 0)</f>
        <v>0</v>
      </c>
      <c r="FI270" s="143"/>
      <c r="FJ270" s="32" t="str">
        <f>IF(SnapshotTable[[#This Row],[SC Is Filled]],100 * SnapshotTable[[#This Row],[SC Qty]] * IF(ISNUMBER(SnapshotTable[[#This Row],[SC Buyback Override]]), SnapshotTable[[#This Row],[SC Buyback Override]], SnapshotTable[[#This Row],[SC Current Ask]]), "")</f>
        <v/>
      </c>
      <c r="FK270" s="250" t="str">
        <f>IF(SnapshotTable[[#This Row],[SC Time Val]]&gt;0, SnapshotTable[[#This Row],[SC Time Val]] / SnapshotTable[[#This Row],[Last Price]],"")</f>
        <v/>
      </c>
      <c r="FL270" s="302" t="str">
        <f>IF(SnapshotTable[[#This Row],[SC Is Booked]], ((SnapshotTable[[#This Row],[Last Price]] -SnapshotTable[[#This Row],[SC Strike Price]]) / SnapshotTable[[#This Row],[Last Price]]) * -1, "")</f>
        <v/>
      </c>
      <c r="FM270" s="157" t="str">
        <f>IF(SnapshotTable[[#This Row],[SC Is Booked]],  (SnapshotTable[[#This Row],[SC Qty]] * 100 * SnapshotTable[[#This Row],[SC Strike Price]]) - SnapshotTable[[#This Row],[SC Current Ask]], "")</f>
        <v/>
      </c>
      <c r="FN27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0" s="31" t="str">
        <f>IF(AND(ISNUMBER(SnapshotTable[[#This Row],[SC Exercise Gross]]), ISNUMBER(SnapshotTable[[#This Row],[Equity Basis Per Share]] )), SnapshotTable[[#This Row],[SC Exercise Gross]] - SnapshotTable[[#This Row],[Equity Basis Total]] +  SnapshotTable[[#This Row],[SC Premium]], "")</f>
        <v/>
      </c>
      <c r="FP270" s="5" t="str">
        <f>IF(ISNUMBER(SnapshotTable[[#This Row],[SC Exercise Gross]]), (SnapshotTable[[#This Row],[SC Exercise Gross]]) / (SnapshotTable[[#This Row],[SC Qty]] * 100), "")</f>
        <v/>
      </c>
      <c r="FQ270" s="27" t="str">
        <f>IF(SnapshotTable[[#This Row],[SC Is Booked]],SnapshotTable[[#This Row],[SC Time Val]] /SnapshotTable[[#This Row],[SC Basis]], "")</f>
        <v/>
      </c>
      <c r="FR270" s="27" t="str" cm="1">
        <f t="array" ref="FR270">IF(AND(ISNUMBER(SnapshotTable[[#This Row],[SC Term]]),ISNUMBER(SnapshotTable[[#This Row],[SC Simple ROO]])), EllmanAnnualize(SnapshotTable[[#This Row],[SC DTE]], SnapshotTable[[#This Row],[SC Simple ROO]] ),"")</f>
        <v/>
      </c>
      <c r="FS270" s="4" t="e">
        <f>IF(SnapshotTable[[#This Row],[SC Strike Price]] &gt; SnapshotTable[[#This Row],[Last Price]], SnapshotTable[[#This Row],[SC Strike Price]] - SnapshotTable[[#This Row],[Last Price]],0)</f>
        <v>#VALUE!</v>
      </c>
      <c r="FT270" s="27" t="e">
        <f>IF(AND(ISNUMBER(SnapshotTable[[#This Row],[SC Upside Potential]]), SnapshotTable[[#This Row],[SC Upside Potential]] &gt; 0),(SnapshotTable[[#This Row],[SC Upside Potential]]/ SnapshotTable[[#This Row],[ACB]]),"")</f>
        <v>#VALUE!</v>
      </c>
      <c r="FU270" s="333" t="str">
        <f>IF(SnapshotTable[[#This Row],[SC Intrinsic Value]] &gt; 0,SnapshotTable[[#This Row],[SC Intrinsic Value]],"")</f>
        <v/>
      </c>
      <c r="FV270" s="27" t="str">
        <f>IF(AND( ISNUMBER( SnapshotTable[[#This Row],[ACB]]),ISNUMBER(SnapshotTable[[#This Row],[SC Downside Protect]])),SnapshotTable[[#This Row],[SC Downside Protect]] / SnapshotTable[[#This Row],[ACB]],"")</f>
        <v/>
      </c>
      <c r="FW270" s="236" t="str">
        <f>IF(AND(ISNUMBER(SnapshotTable[[#This Row],[SC Simple ROO]]),SnapshotTable[[#This Row],[SC Simple ROO]] &gt; 0), SnapshotTable[[#This Row],[SC Premium]] + (SnapshotTable[[#This Row],[SC Qty]] * SnapshotTable[[#This Row],[SC Upside Potential]]), "")</f>
        <v/>
      </c>
      <c r="FX270" s="302" t="str" cm="1">
        <f t="array" ref="FX270">IF(ISNUMBER(SnapshotTable[[#This Row],[SC Max Dollars]]), annualize(SnapshotTable[[#This Row],[SC Term]],(SnapshotTable[[#This Row],[SC Max Dollars]]/SnapshotTable[[#This Row],[SC Basis]])),"")</f>
        <v/>
      </c>
      <c r="FY270" s="236" t="str">
        <f>IF(AND(SnapshotTable[[#This Row],[SC Qty]]&gt;0,SnapshotTable[[#This Row],[SC Current Ask]]&gt;0), SnapshotTable[[#This Row],[SC Qty]] * SnapshotTable[[#This Row],[SC Current Ask]] * -100, "")</f>
        <v/>
      </c>
      <c r="FZ270" s="31" t="str">
        <f>IF(ISNUMBER((SnapshotTable[[#This Row],[SC Current Value]])), SnapshotTable[[#This Row],[SC Premium]] + SnapshotTable[[#This Row],[SC Current Value]], "")</f>
        <v/>
      </c>
      <c r="GA270" s="294" t="str">
        <f>IFERROR( IF(ISNUMBER((SnapshotTable[[#This Row],[SC Current Value]])), SnapshotTable[[#This Row],[SC Gain Loss]] / SnapshotTable[[#This Row],[SC Premium]], ""), "")</f>
        <v/>
      </c>
      <c r="GB270" s="42">
        <f>SnapshotTable[[#This Row],[Equity Shares]] * SaleSharesToConsiderPercentage</f>
        <v>0</v>
      </c>
      <c r="GC270" s="40">
        <f>SnapshotTable[[#This Row],[Long Term Target]] * SellingPriceToConsiderBasedOnTargetPercentage</f>
        <v>145.54949999999999</v>
      </c>
      <c r="GD270" s="40">
        <f>SnapshotTable[[#This Row],[Last Price]] * (1+ SellingPriceToConsiderBasedOnTargetPercentage)</f>
        <v>226.72649999999999</v>
      </c>
      <c r="GE270" s="41"/>
      <c r="GF270" s="40"/>
      <c r="GG270" s="31">
        <f>SnapshotTable[[#This Row],[Booked Sale Shares]] * SnapshotTable[[#This Row],[Booked Sale Price]]</f>
        <v>0</v>
      </c>
      <c r="GH270" s="31" t="str">
        <f>IF(SnapshotTable[[#This Row],[Equity Basis Total]] &gt; 0, SnapshotTable[[#This Row],[Equity Basis Per Share]] * SnapshotTable[[#This Row],[Booked Sale Shares]], "")</f>
        <v/>
      </c>
      <c r="GI270" s="31">
        <f>IF(SnapshotTable[[#This Row],[Sale Proceeds]]&gt;0, SnapshotTable[[#This Row],[Sale Proceeds]] - SnapshotTable[[#This Row],[Sale Basis]], 0)</f>
        <v>0</v>
      </c>
      <c r="GJ270" s="27" t="str">
        <f>IF(SnapshotTable[[#This Row],[Sale G/L]]&gt;0, SnapshotTable[[#This Row],[Sale G/L]] / SnapshotTable[[#This Row],[Sale Basis]], IF(ISNUMBER(SnapshotTable[[#This Row],[SC Exercise P&amp;L (TAX)]]), SnapshotTable[[#This Row],[SC Exercise P&amp;L (TAX)]] / SnapshotTable[[#This Row],[SC Basis]], ""))</f>
        <v/>
      </c>
      <c r="GK270" s="27" t="s">
        <v>754</v>
      </c>
      <c r="GL270" s="43" t="str">
        <f>IF(AND(SnapshotTable[[#This Row],[LP Exp Date]]&gt;0,SnapshotTable[[#This Row],[LP Strike Price]]&gt;0), [1]!ToOptionSymbol(SnapshotTable[[#This Row],[Symbol]], SnapshotTable[[#This Row],[LP Strike Price]],SnapshotTable[[#This Row],[LP Exp Date]],1), "")</f>
        <v/>
      </c>
      <c r="GM270" s="30" t="str">
        <f>IF(LEN(SnapshotTable[[#This Row],[LP Symbol]])&gt;0, 1, "")</f>
        <v/>
      </c>
      <c r="GN270" s="43" t="str">
        <f>IF(AND(SnapshotTable[[#This Row],[SP Exp Date]]&gt;0,SnapshotTable[[#This Row],[SP Strike Price]]&gt;0), [1]!ToOptionSymbol(SnapshotTable[[#This Row],[Symbol]], SnapshotTable[[#This Row],[SP Strike Price]],SnapshotTable[[#This Row],[SP Exp Date]],1), "")</f>
        <v/>
      </c>
      <c r="GO270" s="30" t="str">
        <f>IF(LEN(SnapshotTable[[#This Row],[SP Symbol]])&gt;0, 1, "")</f>
        <v/>
      </c>
      <c r="GP270" s="43" t="str">
        <f>IF(AND(SnapshotTable[[#This Row],[LC Exp Date]]&gt;0,SnapshotTable[[#This Row],[LC Strike Price]]&gt;0), [1]!ToOptionSymbol(SnapshotTable[[#This Row],[Symbol]], SnapshotTable[[#This Row],[LC Strike Price]],SnapshotTable[[#This Row],[LC Exp Date]],0), "")</f>
        <v/>
      </c>
      <c r="GQ270" s="30" t="str">
        <f>IF(LEN(SnapshotTable[[#This Row],[LC Symbol]])&gt;0, 1, "")</f>
        <v/>
      </c>
      <c r="GR270" s="43" t="str">
        <f>IF(AND(SnapshotTable[[#This Row],[SC Exp Date]]&gt;0,SnapshotTable[[#This Row],[SC Strike Price]]&gt;0), [1]!ToOptionSymbol(SnapshotTable[[#This Row],[Symbol]], SnapshotTable[[#This Row],[SC Strike Price]],SnapshotTable[[#This Row],[SC Exp Date]],0), "")</f>
        <v/>
      </c>
      <c r="GS270" s="30" t="str">
        <f>IF(LEN(SnapshotTable[[#This Row],[SC Symbol]])&gt;0, 1, "")</f>
        <v/>
      </c>
      <c r="GT270" s="29" t="str">
        <f>IF(COUNT(SnapshotTable[[#This Row],[LP Symbol Count]],SnapshotTable[[#This Row],[SP Symbol Count]],SnapshotTable[[#This Row],[LC Symbol Count]],SnapshotTable[[#This Row],[SC Symbol Count]])&gt;0, "Y", "")</f>
        <v/>
      </c>
      <c r="GU27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0" s="231" t="e">
        <f>MAX(SnapshotTable[[#This Row],[Equity Basis Total]],SnapshotTable[[#This Row],[Equity Value]]) + (SnapshotTable[[#This Row],[SP Potential Spend]]- SnapshotTable[[#This Row],[SP Premium]] + SnapshotTable[[#This Row],[LP Premium]])+ (SnapshotTable[[#This Row],[LC Premium]] - SnapshotTable[[#This Row],[SC Premium]])</f>
        <v>#VALUE!</v>
      </c>
      <c r="GW270" s="139" t="e">
        <f>IF(AND(SnapshotTable[[#This Row],[Exposure]] &lt;&gt; 0),SnapshotTable[[#This Row],[Exposure]] / SnapshotTable[[#Totals],[Exposure]], "")</f>
        <v>#VALUE!</v>
      </c>
      <c r="HK270" s="1"/>
      <c r="HL270" s="1"/>
      <c r="HM270" s="1"/>
      <c r="HN270" s="1"/>
      <c r="HO270" s="1"/>
      <c r="HP270" s="1"/>
    </row>
    <row r="271" spans="2:224" hidden="1" x14ac:dyDescent="0.25">
      <c r="B271" s="12" t="s">
        <v>1146</v>
      </c>
      <c r="C271" s="422">
        <v>10.65</v>
      </c>
      <c r="D271" s="208"/>
      <c r="E271" s="39">
        <f>SnapshotTable[[#This Row],[Last Price]]*(1 -CrashDiscount)</f>
        <v>9.0525000000000002</v>
      </c>
      <c r="F271" s="26"/>
      <c r="G271" s="26"/>
      <c r="H271" s="149"/>
      <c r="I271" s="194"/>
      <c r="J271" s="195"/>
      <c r="K271" s="196"/>
      <c r="L271" s="326"/>
      <c r="M271" s="140"/>
      <c r="N271" s="140"/>
      <c r="O271" s="140"/>
      <c r="P271" s="22"/>
      <c r="Q271" s="25"/>
      <c r="R271" s="4" t="str">
        <f>IF(SnapshotTable[[#This Row],[Equity Basis Total]] &gt; 0, SnapshotTable[[#This Row],[Equity Basis Total]] / SnapshotTable[[#This Row],[Equity Shares]], "")</f>
        <v/>
      </c>
      <c r="S271" s="269">
        <f>SnapshotTable[[#This Row],[Last Price]] * SnapshotTable[[#This Row],[Equity Shares]]</f>
        <v>0</v>
      </c>
      <c r="T271" s="269">
        <f>SnapshotTable[[#This Row],[Equity Value]] - SnapshotTable[[#This Row],[Equity Basis Total]]</f>
        <v>0</v>
      </c>
      <c r="U271" s="270" t="str">
        <f>IF(SnapshotTable[[#This Row],[Equity Basis Total]] &gt; 0, SnapshotTable[[#This Row],[Equity G/L]] / SnapshotTable[[#This Row],[Equity Basis Total]], "")</f>
        <v/>
      </c>
      <c r="V271" s="268"/>
      <c r="W271" s="268"/>
      <c r="X271" s="4" t="str">
        <f>IF(AND(ISNUMBER(SnapshotTable[[#This Row],[Equity Basis Per Share]]),ISNUMBER(SnapshotTable[[#This Row],[Equity Target]])),SnapshotTable[[#This Row],[Equity Target]]-SnapshotTable[[#This Row],[Equity Basis Per Share]],"")</f>
        <v/>
      </c>
      <c r="Y271" s="4" t="str">
        <f>IF(AND(ISNUMBER(SnapshotTable[[#This Row],[Equity Basis Per Share]]),ISNUMBER(SnapshotTable[[#This Row],[Equity Stop Loss]])),SnapshotTable[[#This Row],[Equity Stop Loss]]-SnapshotTable[[#This Row],[Equity Basis Per Share]],"")</f>
        <v/>
      </c>
      <c r="Z271" s="275" t="str">
        <f>IFERROR( TEXT(SnapshotTable[[#This Row],[Equity Max Gain Per Share]] /ABS( SnapshotTable[[#This Row],[Equity Max Loss Per Share]]),"0.0 " ) &amp; " : 1", "")</f>
        <v/>
      </c>
      <c r="AA271" s="31" t="str">
        <f>IF(ISNUMBER(SnapshotTable[[#This Row],[Equity Max Gain Per Share]]),SnapshotTable[[#This Row],[Equity Max Gain Per Share]] * SnapshotTable[[#This Row],[Equity Shares]],"")</f>
        <v/>
      </c>
      <c r="AB271" s="31" t="str">
        <f>IF(ISNUMBER(SnapshotTable[[#This Row],[Equity Max Loss Per Share]]),SnapshotTable[[#This Row],[Equity Max Loss Per Share]] * SnapshotTable[[#This Row],[Equity Shares]],"")</f>
        <v/>
      </c>
      <c r="AC271" s="150"/>
      <c r="AD271" s="151"/>
      <c r="AE271" s="31">
        <f>(SnapshotTable[[#This Row],[Annual Dividend Per Share]] / 4) * SnapshotTable[[#This Row],[Equity Shares]]</f>
        <v>0</v>
      </c>
      <c r="AF271" s="31">
        <f>SnapshotTable[[#This Row],[Quarterly Div $]] * 4</f>
        <v>0</v>
      </c>
      <c r="AG271" s="7">
        <f>IF(SnapshotTable[[#This Row],[Annual Dividend Per Share]]&gt;0, SnapshotTable[[#This Row],[Annual Dividend Per Share]]  / SnapshotTable[[#This Row],[Last Price]], 0)</f>
        <v>0</v>
      </c>
      <c r="AH271" s="151"/>
      <c r="AI271" s="5"/>
      <c r="AJ271" s="138"/>
      <c r="AK271" s="152" t="str">
        <f>IF(ISNUMBER( SnapshotTable[[#This Row],[EBF Target]]),(SnapshotTable[[#This Row],[EBF Target]] - SnapshotTable[[#This Row],[Last Price]]) / SnapshotTable[[#This Row],[Last Price]], "")</f>
        <v/>
      </c>
      <c r="AL271" s="152" t="str">
        <f>IF(AND(SnapshotTable[[#This Row],[Equity Basis Total]] &gt; 0,ISNUMBER( SnapshotTable[[#This Row],[Long Term Target]])), SnapshotTable[[#This Row],[From Basis $]] / SnapshotTable[[#This Row],[Equity Basis Total]], "")</f>
        <v/>
      </c>
      <c r="AM271" s="9">
        <f>IF( AND(SnapshotTable[[#This Row],[Equity Shares]] &gt;0,ISNUMBER( SnapshotTable[[#This Row],[Long Term Target]])),(SnapshotTable[[#This Row],[Equity Shares]] * SnapshotTable[[#This Row],[Long Term Target]]) - SnapshotTable[[#This Row],[Equity Basis Total]],0)</f>
        <v>0</v>
      </c>
      <c r="AN271" s="9">
        <f>IF( AND(SnapshotTable[[#This Row],[Equity Shares]] &gt;0,ISNUMBER( SnapshotTable[[#This Row],[Long Term Target]])),(SnapshotTable[[#This Row],[Equity Shares]]*SnapshotTable[[#This Row],[Long Term Target]]) - SnapshotTable[[#This Row],[Equity Value]],0)</f>
        <v>0</v>
      </c>
      <c r="AO271" s="152" t="str">
        <f>IF(AND(ISNUMBER( SnapshotTable[[#This Row],[Long Term Target]]), ISNUMBER(SnapshotTable[[#This Row],[Last Price]])),(SnapshotTable[[#This Row],[Long Term Target]] - SnapshotTable[[#This Row],[Last Price]]) / SnapshotTable[[#This Row],[Last Price]], "")</f>
        <v/>
      </c>
      <c r="AP271" s="5">
        <v>17.5</v>
      </c>
      <c r="AQ271" s="38" t="s">
        <v>27</v>
      </c>
      <c r="AR271" s="5">
        <v>17.5</v>
      </c>
      <c r="AS271" s="38" t="s">
        <v>38</v>
      </c>
      <c r="AT271" s="146" t="s">
        <v>1147</v>
      </c>
      <c r="AU271" s="187" t="str">
        <f>IF(OR(SnapshotTable[[#This Row],[LP No Fill]]="Y",SnapshotTable[[#This Row],[SP Is Filled]],SnapshotTable[[#This Row],[LC Not Filled]]="Y",SnapshotTable[[#This Row],[SC Is Filled]]),"Y","")</f>
        <v/>
      </c>
      <c r="AV271" s="219"/>
      <c r="AW271" s="225"/>
      <c r="AX271" s="220"/>
      <c r="AY271" s="219" t="str">
        <f>IF(SnapshotTable[[#This Row],[Implied Move]]&gt;0, SnapshotTable[[#This Row],[Last Price]]-SnapshotTable[[#This Row],[Implied Move]],"")</f>
        <v/>
      </c>
      <c r="AZ271" s="219" t="str">
        <f>IF(SnapshotTable[[#This Row],[Implied Move]]&gt;0, SnapshotTable[[#This Row],[Last Price]] + SnapshotTable[[#This Row],[Implied Move]],"")</f>
        <v/>
      </c>
      <c r="BA271" s="331">
        <v>16.399999999999999</v>
      </c>
      <c r="BB271" s="347"/>
      <c r="BC27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1" s="351"/>
      <c r="BE271" s="5"/>
      <c r="BF271" s="14"/>
      <c r="BG271" s="13"/>
      <c r="BH271" s="13"/>
      <c r="BI271" s="5"/>
      <c r="BJ271" s="136">
        <f>IF(SnapshotTable[[#This Row],[LP Qty]] &gt; 0, SnapshotTable[[#This Row],[LP Qty]] * SnapshotTable[[#This Row],[LP Book Price]] * 100,0)</f>
        <v>0</v>
      </c>
      <c r="BK271" s="136">
        <f>IF(SnapshotTable[[#This Row],[LP Premium]] &gt; 0, SnapshotTable[[#This Row],[LP Qty]] * SnapshotTable[[#This Row],[LP Strike Price]] * 100,0)</f>
        <v>0</v>
      </c>
      <c r="BL271" s="154"/>
      <c r="BM271" s="385" t="str">
        <f>IF(SnapshotTable[[#This Row],[LP Premium]] &gt; 0,SnapshotTable[[#This Row],[LP Exp Date]]-MAX(SnapshotTable[[#This Row],[LP Book Date]], SnapshotTable[[#This Row],[LP Fill Date]]),"")</f>
        <v/>
      </c>
      <c r="BN271" s="385" t="str">
        <f>IF(ISNUMBER( SnapshotTable[[#This Row],[LP Term]]), SnapshotTable[[#This Row],[LP Exp Date]] - MockToday,"")</f>
        <v/>
      </c>
      <c r="BO271" s="163" t="str">
        <f>IF(AND(SnapshotTable[[#This Row],[LP Exp Date]]&gt;0, SnapshotTable[[#This Row],[LP Strike Price]]&gt;0,SnapshotTable[[#This Row],[LP Qty]]&gt;0,SnapshotTable[[#This Row],[LP Book Date]]&gt;0,SnapshotTable[[#This Row],[LP Book Price]]&gt;0,SnapshotTable[[#This Row],[LP Fill Date]]=0),"Y","")</f>
        <v/>
      </c>
      <c r="BP271" s="31" t="str">
        <f>IF(AND(SnapshotTable[[#This Row],[LP No Fill]]&lt;&gt;"Y",SnapshotTable[[#This Row],[LP Contract Value]]&gt;0, SnapshotTable[[#This Row],[LP Qty]]&gt;0), SnapshotTable[[#This Row],[LP Contract Value]]*SnapshotTable[[#This Row],[LP Qty]]*100,"")</f>
        <v/>
      </c>
      <c r="BQ271" s="13"/>
      <c r="BR271" s="5" t="str">
        <f>IF(SnapshotTable[[#This Row],[SP Exp Date]]&lt;&gt;"",TRUNC(SnapshotTable[[#This Row],[Last Price]]),"")</f>
        <v/>
      </c>
      <c r="BS271" s="36"/>
      <c r="BT271" s="147"/>
      <c r="BU271" s="13"/>
      <c r="BV271" s="5"/>
      <c r="BW271" s="419" t="b">
        <f>AND(ISNUMBER(SnapshotTable[[#This Row],[SP Exp Date]]), ISNUMBER(SnapshotTable[[#This Row],[SP Strike Price]]), ISNUMBER(SnapshotTable[[#This Row],[SP Qty]]), ISNUMBER(SnapshotTable[[#This Row],[SP Book Date]]), ISNUMBER(SnapshotTable[[#This Row],[SP Book Price]]))</f>
        <v>0</v>
      </c>
      <c r="BX271" s="419" t="b">
        <f>AND(SnapshotTable[[#This Row],[SP Is Booked]], NOT(ISBLANK(SnapshotTable[[#This Row],[SP Fill Date]])))</f>
        <v>0</v>
      </c>
      <c r="BY271" s="33">
        <f>IF(SnapshotTable[[#This Row],[SP Is Booked]], SnapshotTable[[#This Row],[SP Qty]] * SnapshotTable[[#This Row],[SP Book Price]] * 100, 0)</f>
        <v>0</v>
      </c>
      <c r="BZ271" s="369"/>
      <c r="CA271" s="368">
        <f>SnapshotTable[[#This Row],[LP Qty]]</f>
        <v>0</v>
      </c>
      <c r="CB271" s="4" t="str">
        <f>IF(SnapshotTable[[#This Row],[SP Is Booked]], SnapshotTable[[#This Row],[SP Strike Price]] - SnapshotTable[[#This Row],[SP Book Price]], "")</f>
        <v/>
      </c>
      <c r="CC271" s="19" t="str">
        <f>IF(SnapshotTable[[#This Row],[SP Is Booked]],SnapshotTable[[#This Row],[SP Exp Date]]-MAX(SnapshotTable[[#This Row],[SP Book Date]], SnapshotTable[[#This Row],[SP Fill Date]]),"")</f>
        <v/>
      </c>
      <c r="CD271" s="7" t="str">
        <f>IF(SnapshotTable[[#This Row],[SP Is Booked]], SnapshotTable[[#This Row],[SP Book Price]]/SnapshotTable[[#This Row],[SP Strike Price]], "")</f>
        <v/>
      </c>
      <c r="CE271" s="7" t="str">
        <f>IF(ISNUMBER(SnapshotTable[[#This Row],[SP ROO Term]]),SnapshotTable[[#This Row],[SP ROO Term]]*(365/SnapshotTable[[#This Row],[SP Term]]),"")</f>
        <v/>
      </c>
      <c r="CF271" s="236">
        <f>SnapshotTable[[#This Row],[LP Strike Price]] * SnapshotTable[[#This Row],[LP Qty]] * 100</f>
        <v>0</v>
      </c>
      <c r="CG271" s="31" t="e">
        <f>IF(ISNUMBER(SnapshotTable[[#This Row],[SP Premium]]), (SnapshotTable[[#This Row],[SP Qty]] * SnapshotTable[[#This Row],[SP Strike Price]]* 100) - SnapshotTable[[#This Row],[LP Protection]], 0)</f>
        <v>#VALUE!</v>
      </c>
      <c r="CH271" s="7" t="str">
        <f>IF(ISNUMBER(SnapshotTable[[#This Row],[SP Break Even]]),-1 * (SnapshotTable[[#This Row],[SP Break Even]] - SnapshotTable[[#This Row],[Last Price]]) / SnapshotTable[[#This Row],[Last Price]], "")</f>
        <v/>
      </c>
      <c r="CI271" s="31">
        <f>IF(AND(ISNUMBER((SnapshotTable[[#This Row],[SP Potential Spend]])), SnapshotTable[[#This Row],[SP Strike Price]] &gt; SnapshotTable[[#This Row],[Last Price]], SnapshotTable[[#This Row],[SP Is Filled]]), SnapshotTable[[#This Row],[SP Potential Spend]] -  SnapshotTable[[#This Row],[LP Max Value]], 0)</f>
        <v>0</v>
      </c>
      <c r="CJ271" s="244"/>
      <c r="CK271" s="31" t="str">
        <f>IF(ISNUMBER(SnapshotTable[[#This Row],[SP Potential Spend]]),IF(ISNUMBER(SnapshotTable[[#This Row],[SP POW]]), SnapshotTable[[#This Row],[SP POW]] * SnapshotTable[[#This Row],[SP Potential Spend]], SnapshotTable[[#This Row],[SP Potential Spend]]), "")</f>
        <v/>
      </c>
      <c r="CL271" s="164" t="e">
        <f>IF(NOT(SnapshotTable[[#This Row],[SP Is Filled]]),(SnapshotTable[[#This Row],[SP Qty]] * SnapshotTable[[#This Row],[SP Strike Price]] * 100) - SnapshotTable[[#This Row],[LP Max Value]],"")</f>
        <v>#VALUE!</v>
      </c>
      <c r="CM271" s="31" t="str">
        <f>IF(SnapshotTable[[#This Row],[SP Actual Spend]]&lt;&gt;0, ((SnapshotTable[[#This Row],[SP Strike Price]]-SnapshotTable[[#This Row],[Last Price]]) *(SnapshotTable[[#This Row],[SP Qty]]*100) - SnapshotTable[[#This Row],[SP Premium]]) * - 1, "")</f>
        <v/>
      </c>
      <c r="CN271" s="78"/>
      <c r="CO271" s="369"/>
      <c r="CP271" s="4" t="str">
        <f>IF(SnapshotTable[[#This Row],[SP Is Filled]], btc_max_buyback_amount(SnapshotTable[[#This Row],[SP Fill Date]],SnapshotTable[[#This Row],[SP Exp Date]], SnapshotTable[[#This Row],[SP Book Price]]),"")</f>
        <v/>
      </c>
      <c r="CQ271" s="78"/>
      <c r="CR27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1" s="155" t="str">
        <f>IF(SnapshotTable[[#This Row],[SP Is Filled]], btc_next_cutoff_date(SnapshotTable[[#This Row],[SP Fill Date]],SnapshotTable[[#This Row],[SP Exp Date]]),"")</f>
        <v/>
      </c>
      <c r="CT271" s="235" t="str" cm="1">
        <f t="array" ref="CT271">IF(SnapshotTable[[#This Row],[SP Is Filled]], btc_should_buy_back(SnapshotTable[[#This Row],[SP Fill Date]], SnapshotTable[[#This Row],[SP Exp Date]], SnapshotTable[[#This Row],[SP Book Price]], SnapshotTable[[#This Row],[SP Current Ask]], MockToday, SnapshotTable[[#This Row],[SP Buyback Override]]),"")</f>
        <v/>
      </c>
      <c r="CU271" s="143"/>
      <c r="CV271" s="235"/>
      <c r="CW271" s="378" t="str">
        <f>IF(ISNUMBER( SnapshotTable[[#This Row],[SP Term]]), SnapshotTable[[#This Row],[SP Exp Date]] - MockToday,"")</f>
        <v/>
      </c>
      <c r="CX271" s="31" t="str">
        <f>IF(SnapshotTable[[#This Row],[SP Is Filled]],SnapshotTable[[#This Row],[SP Buyback Price to Use]] * 100 * SnapshotTable[[#This Row],[SP Qty]], "")</f>
        <v/>
      </c>
      <c r="CY271" s="4" t="str">
        <f>IF(ISNUMBER(SnapshotTable[[#This Row],[SP Strike Price]]), SnapshotTable[[#This Row],[SP Strike Price]] * (1 - SP_MaxLoss_StrikePct), "")</f>
        <v/>
      </c>
      <c r="CZ271" s="31" t="str">
        <f>IF(ISNUMBER(SnapshotTable[[#This Row],[SP Strike  Stop Per Share]]),SnapshotTable[[#This Row],[SP Premium]] - ((SnapshotTable[[#This Row],[SP Strike Price]]-SnapshotTable[[#This Row],[SP Strike  Stop Per Share]]) *(SnapshotTable[[#This Row],[SP Qty]] * 100)),"")</f>
        <v/>
      </c>
      <c r="DA271" s="4" t="str">
        <f>IF(AND(ISNUMBER(SnapshotTable[[#This Row],[SP Premium]]),SnapshotTable[[#This Row],[SP Premium]]&gt;0), SnapshotTable[[#This Row],[SP Book Price]] * (1 + SP_MaxLoss_OptionPct), "")</f>
        <v/>
      </c>
      <c r="DB271" s="31" t="str">
        <f>IF(ISNUMBER(SnapshotTable[[#This Row],[SP Option  Stop Contract]]),(SnapshotTable[[#This Row],[SP Option  Stop Contract]] *(SnapshotTable[[#This Row],[SP Qty]] * 100) - SnapshotTable[[#This Row],[SP Premium]]),"")</f>
        <v/>
      </c>
      <c r="DC271" s="4"/>
      <c r="DD271" s="4"/>
      <c r="DE271" s="4" t="str">
        <f>IF(AND(SnapshotTable[[#This Row],[SP Qty]]&gt;0, SnapshotTable[[#This Row],[SP Stop To Use]]&gt;0),SnapshotTable[[#This Row],[SP Premium]] - ( SnapshotTable[[#This Row],[SP Qty]] * SnapshotTable[[#This Row],[SP Stop To Use]] * 100), "")</f>
        <v/>
      </c>
      <c r="DF271" s="31" t="str">
        <f>IF(AND(SnapshotTable[[#This Row],[SP Qty]]&gt;0,SnapshotTable[[#This Row],[SP Current Ask]]&gt;0), SnapshotTable[[#This Row],[SP Qty]] * SnapshotTable[[#This Row],[SP Current Ask]] * -100, "")</f>
        <v/>
      </c>
      <c r="DG271" s="31" t="str">
        <f>IF(ISNUMBER((SnapshotTable[[#This Row],[SP Total Value]])), SnapshotTable[[#This Row],[SP Premium]] + SnapshotTable[[#This Row],[SP Total Value]], "")</f>
        <v/>
      </c>
      <c r="DH271" s="294" t="str">
        <f>IF(ISNUMBER((SnapshotTable[[#This Row],[SP Total Value]])), SnapshotTable[[#This Row],[SP Gain Loss]] / SnapshotTable[[#This Row],[SP Premium]], "")</f>
        <v/>
      </c>
      <c r="DI271" s="406"/>
      <c r="DJ271" s="138"/>
      <c r="DK271" s="148"/>
      <c r="DL271" s="13"/>
      <c r="DM271" s="13"/>
      <c r="DO271" s="31">
        <f>IF(SnapshotTable[[#This Row],[LC Symbol Count]]=1, SnapshotTable[[#This Row],[LC Qty]] * SnapshotTable[[#This Row],[LC Book Price]] * 100, 0)</f>
        <v>0</v>
      </c>
      <c r="DP271" s="163" t="str">
        <f>IF(AND(SnapshotTable[[#This Row],[LC Exp Date]]&gt;0, SnapshotTable[[#This Row],[LC Strike Price]]&gt;0,SnapshotTable[[#This Row],[LC Qty]]&gt;0,SnapshotTable[[#This Row],[LC Book Date]]&gt;0,SnapshotTable[[#This Row],[LC Book Price]]&gt;0,SnapshotTable[[#This Row],[LC Fill Date]]=0),"Y","")</f>
        <v/>
      </c>
      <c r="DQ271" s="386" t="str">
        <f>IF(SnapshotTable[[#This Row],[LC Premium]] &gt; 0,SnapshotTable[[#This Row],[LC Exp Date]]-MAX(SnapshotTable[[#This Row],[LC Book Date]], SnapshotTable[[#This Row],[LC Fill Date]]),"")</f>
        <v/>
      </c>
      <c r="DR271" s="386" t="str">
        <f>IF(ISNUMBER(SnapshotTable[[#This Row],[LC Term]]), SnapshotTable[[#This Row],[LC Exp Date]] - MockToday, "")</f>
        <v/>
      </c>
      <c r="DS271" s="234" t="str">
        <f>IF(SnapshotTable[[#This Row],[LC Premium]]&gt;0,SnapshotTable[[#This Row],[LC Strike Price]] + SnapshotTable[[#This Row],[LC Book Price]],"")</f>
        <v/>
      </c>
      <c r="DU271" s="9" t="str">
        <f>IF(AND(SnapshotTable[[#This Row],[LC Symbol Count]]&gt;0, SnapshotTable[[#This Row],[LC Contract Value]]&gt;0), SnapshotTable[[#This Row],[LC Contract Value]] * SnapshotTable[[#This Row],[LC Qty]] * 100, "")</f>
        <v/>
      </c>
      <c r="DV271" s="9" t="str">
        <f>IF(AND(ISNUMBER(SnapshotTable[[#This Row],[LC Total Value]]), SnapshotTable[[#This Row],[LC Not Filled]]&lt;&gt;"Y"), SnapshotTable[[#This Row],[LC Total Value]]-SnapshotTable[[#This Row],[LC Premium]],"")</f>
        <v/>
      </c>
      <c r="DW271" s="240" t="str">
        <f>IF(ISNUMBER(SnapshotTable[[#This Row],[LC Actual Gain Loss]]), SnapshotTable[[#This Row],[LC Actual Gain Loss]] / SnapshotTable[[#This Row],[LC Premium]],"")</f>
        <v/>
      </c>
      <c r="DX271" s="284" t="str">
        <f>IF(ISNUMBER(SnapshotTable[[#This Row],[LC Book Price]]),SnapshotTable[[#This Row],[LC Book Price]] * 1.5,"")</f>
        <v/>
      </c>
      <c r="DY271" s="265" t="str">
        <f>IF(SnapshotTable[[#This Row],[LC Premium]]&gt;0, SnapshotTable[[#This Row],[LC Next Target]] * SnapshotTable[[#This Row],[LC Qty]] * 100,"")</f>
        <v/>
      </c>
      <c r="DZ271" s="265" t="str">
        <f>IF(ISNUMBER(SnapshotTable[[#This Row],[LC Target Gross]]), SnapshotTable[[#This Row],[LC Target Gross]] - SnapshotTable[[#This Row],[LC Premium]], "")</f>
        <v/>
      </c>
      <c r="EA271" s="305" t="str">
        <f>IF(ISNUMBER(SnapshotTable[[#This Row],[LC Target Gain Loss]]), SnapshotTable[[#This Row],[LC Target Gain Loss]]/SnapshotTable[[#This Row],[LC Premium]], "")</f>
        <v/>
      </c>
      <c r="EB271" s="262"/>
      <c r="EC271" s="283" t="str">
        <f>IF(SnapshotTable[[#This Row],[LC Premium]]&gt;0, SnapshotTable[[#This Row],[LC Book Price]] * (1 - LC_StopLoss_Pct),"")</f>
        <v/>
      </c>
      <c r="ED271" s="284"/>
      <c r="EE271" s="283" t="str">
        <f>IF(ISNUMBER(SnapshotTable[[#This Row],[LC Contract Value]]),IF(ISNUMBER(SnapshotTable[[#This Row],[LC Stop Loss Override]]), SnapshotTable[[#This Row],[LC Stop Loss Override]],SnapshotTable[[#This Row],[LC Stop Loss Calc Target]]),"")</f>
        <v/>
      </c>
      <c r="EF271" s="31" t="str">
        <f>IF(ISNUMBER(SnapshotTable[[#This Row],[LC Stop  To Use]]), (SnapshotTable[[#This Row],[LC Stop  To Use]] * SnapshotTable[[#This Row],[LC Qty]] * 100),"")</f>
        <v/>
      </c>
      <c r="EG271" s="9" t="str">
        <f>IF(ISNUMBER(SnapshotTable[[#This Row],[LC Total Value]]),SnapshotTable[[#This Row],[LC Stop Loss Amount]] - SnapshotTable[[#This Row],[LC Premium]],"")</f>
        <v/>
      </c>
      <c r="EH271" s="9">
        <f>IF(ISNUMBER(SnapshotTable[[#This Row],[LC Premium]]), SnapshotTable[[#This Row],[LC Qty]] * 100 * SnapshotTable[[#This Row],[LC Strike Price]], "")</f>
        <v>0</v>
      </c>
      <c r="EI271" s="240" t="str">
        <f>IF(AND(ISNUMBER(SnapshotTable[[#This Row],[LC Total Value]]),SnapshotTable[[#This Row],[LC Total Value]]&gt;0),SnapshotTable[[#This Row],[LC Stop Gain Loss]]  / SnapshotTable[[#This Row],[LC Premium]],"")</f>
        <v/>
      </c>
      <c r="EJ271" s="35">
        <f>IF(ISNUMBER(SnapshotTable[[#This Row],[Equity Shares]]),TRUNC(SnapshotTable[[#This Row],[Equity Shares]] / 100),0) + SnapshotTable[[#This Row],[LC Qty]]</f>
        <v>0</v>
      </c>
      <c r="EK271" s="147"/>
      <c r="EL271" s="138" t="str">
        <f>IF(SnapshotTable[[#This Row],[SC Exp Date]]&lt;&gt;"",TRUNC(SnapshotTable[[#This Row],[Last Price]]),"")</f>
        <v/>
      </c>
      <c r="EM271" s="148"/>
      <c r="EN271" s="147"/>
      <c r="EO271" s="147"/>
      <c r="EP271" s="138"/>
      <c r="EQ271" s="419" t="b">
        <f>AND(ISNUMBER(SnapshotTable[[#This Row],[SC Exp Date]]), ISNUMBER(SnapshotTable[[#This Row],[SC Strike Price]]), ISNUMBER(SnapshotTable[[#This Row],[SC Qty]]), ISNUMBER(SnapshotTable[[#This Row],[SC Book Date]]), ISNUMBER(SnapshotTable[[#This Row],[SC Book Price]]))</f>
        <v>0</v>
      </c>
      <c r="ER271" s="419" t="b">
        <f>AND(SnapshotTable[[#This Row],[SC Is Booked]], NOT(ISBLANK(SnapshotTable[[#This Row],[SC Fill Date]])))</f>
        <v>0</v>
      </c>
      <c r="ES271" s="370"/>
      <c r="ET271" s="34" t="str">
        <f>IF(AND(ISNUMBER(SnapshotTable[[#This Row],[SC Exp Date]]), ISNUMBER(SnapshotTable[[#This Row],[SC Book Date]])), SnapshotTable[[#This Row],[SC Exp Date]] - MAX(SnapshotTable[[#This Row],[SC Book Date]], SnapshotTable[[#This Row],[SC Fill Date]]) + 1, "")</f>
        <v/>
      </c>
      <c r="EU271" s="34" t="str">
        <f>IF(ISNUMBER(SnapshotTable[[#This Row],[SC Term]]), SnapshotTable[[#This Row],[SC Exp Date]]- MockToday, "")</f>
        <v/>
      </c>
      <c r="EV271" s="31">
        <f>IF(SnapshotTable[[#This Row],[SC Is Booked]], SnapshotTable[[#This Row],[SC Qty]] * SnapshotTable[[#This Row],[SC Book Price]] * 100, 0)</f>
        <v>0</v>
      </c>
      <c r="EW271" s="4" t="str">
        <f>IF(AND(ISNUMBER(SnapshotTable[[#This Row],[Last Price]]), ISNUMBER( SnapshotTable[[#This Row],[SC Book Price]])), SnapshotTable[[#This Row],[Last Price]] - SnapshotTable[[#This Row],[SC Book Price]],"")</f>
        <v/>
      </c>
      <c r="EX271" s="234" t="str">
        <f>IF(SnapshotTable[[#This Row],[SC Is Booked]],IF(SnapshotTable[[#This Row],[SC Intrinsic Value]] &gt; 0, SnapshotTable[[#This Row],[SC Strike Price]], SnapshotTable[[#This Row],[Last Price]]), "")</f>
        <v/>
      </c>
      <c r="EY271" s="4">
        <f>IF(SnapshotTable[[#This Row],[SC Is Booked]], (MinimumPremiumRequired * SnapshotTable[[#This Row],[SC Basis]] * SnapshotTable[[#This Row],[SC Term]]), 0)</f>
        <v>0</v>
      </c>
      <c r="EZ271" s="283"/>
      <c r="FA271" s="218"/>
      <c r="FB271" s="370"/>
      <c r="FC271" s="4">
        <f>IF(SnapshotTable[[#This Row],[SC Is Filled]], btc_max_buyback_amount(SnapshotTable[[#This Row],[SC Fill Date]],SnapshotTable[[#This Row],[SC Exp Date]], SnapshotTable[[#This Row],[SC Book Price]]),0)</f>
        <v>0</v>
      </c>
      <c r="FD271" s="5"/>
      <c r="FE271" s="144" t="str">
        <f>IF(SnapshotTable[[#This Row],[SC Is Filled]], btc_next_cutoff_date(SnapshotTable[[#This Row],[SC Fill Date]],SnapshotTable[[#This Row],[SC Exp Date]]),"")</f>
        <v/>
      </c>
      <c r="FF271" s="4" t="str" cm="1">
        <f t="array" ref="FF271">IF(SnapshotTable[[#This Row],[SC Is Filled]], btc_should_buy_back(SnapshotTable[[#This Row],[SC Fill Date]], SnapshotTable[[#This Row],[SC Exp Date]], SnapshotTable[[#This Row],[SC Book Price]], SnapshotTable[[#This Row],[SC Current Ask]], MockToday, SnapshotTable[[#This Row],[SC Buyback Override]]),"")</f>
        <v/>
      </c>
      <c r="FG271" s="4">
        <f>IF(SnapshotTable[[#This Row],[SC Is Filled]], MAX(0,SnapshotTable[[#This Row],[Last Price]]  - SnapshotTable[[#This Row],[SC Strike Price]]), 0)</f>
        <v>0</v>
      </c>
      <c r="FH271" s="382">
        <f>IF(SnapshotTable[[#This Row],[SC Is Filled]], IF(ISNUMBER(SnapshotTable[[#This Row],[SC Current Ask]]), SnapshotTable[[#This Row],[SC Current Ask]], SnapshotTable[[#This Row],[SC Book Price]]) - SnapshotTable[[#This Row],[SC Intrinsic Value]], 0)</f>
        <v>0</v>
      </c>
      <c r="FI271" s="143"/>
      <c r="FJ271" s="32" t="str">
        <f>IF(SnapshotTable[[#This Row],[SC Is Filled]],100 * SnapshotTable[[#This Row],[SC Qty]] * IF(ISNUMBER(SnapshotTable[[#This Row],[SC Buyback Override]]), SnapshotTable[[#This Row],[SC Buyback Override]], SnapshotTable[[#This Row],[SC Current Ask]]), "")</f>
        <v/>
      </c>
      <c r="FK271" s="250" t="str">
        <f>IF(SnapshotTable[[#This Row],[SC Time Val]]&gt;0, SnapshotTable[[#This Row],[SC Time Val]] / SnapshotTable[[#This Row],[Last Price]],"")</f>
        <v/>
      </c>
      <c r="FL271" s="302" t="str">
        <f>IF(SnapshotTable[[#This Row],[SC Is Booked]], ((SnapshotTable[[#This Row],[Last Price]] -SnapshotTable[[#This Row],[SC Strike Price]]) / SnapshotTable[[#This Row],[Last Price]]) * -1, "")</f>
        <v/>
      </c>
      <c r="FM271" s="157" t="str">
        <f>IF(SnapshotTable[[#This Row],[SC Is Booked]],  (SnapshotTable[[#This Row],[SC Qty]] * 100 * SnapshotTable[[#This Row],[SC Strike Price]]) - SnapshotTable[[#This Row],[SC Current Ask]], "")</f>
        <v/>
      </c>
      <c r="FN27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1" s="31" t="str">
        <f>IF(AND(ISNUMBER(SnapshotTable[[#This Row],[SC Exercise Gross]]), ISNUMBER(SnapshotTable[[#This Row],[Equity Basis Per Share]] )), SnapshotTable[[#This Row],[SC Exercise Gross]] - SnapshotTable[[#This Row],[Equity Basis Total]] +  SnapshotTable[[#This Row],[SC Premium]], "")</f>
        <v/>
      </c>
      <c r="FP271" s="5" t="str">
        <f>IF(ISNUMBER(SnapshotTable[[#This Row],[SC Exercise Gross]]), (SnapshotTable[[#This Row],[SC Exercise Gross]]) / (SnapshotTable[[#This Row],[SC Qty]] * 100), "")</f>
        <v/>
      </c>
      <c r="FQ271" s="27" t="str">
        <f>IF(SnapshotTable[[#This Row],[SC Is Booked]],SnapshotTable[[#This Row],[SC Time Val]] /SnapshotTable[[#This Row],[SC Basis]], "")</f>
        <v/>
      </c>
      <c r="FR271" s="27" t="str" cm="1">
        <f t="array" ref="FR271">IF(AND(ISNUMBER(SnapshotTable[[#This Row],[SC Term]]),ISNUMBER(SnapshotTable[[#This Row],[SC Simple ROO]])), EllmanAnnualize(SnapshotTable[[#This Row],[SC DTE]], SnapshotTable[[#This Row],[SC Simple ROO]] ),"")</f>
        <v/>
      </c>
      <c r="FS271" s="4" t="e">
        <f>IF(SnapshotTable[[#This Row],[SC Strike Price]] &gt; SnapshotTable[[#This Row],[Last Price]], SnapshotTable[[#This Row],[SC Strike Price]] - SnapshotTable[[#This Row],[Last Price]],0)</f>
        <v>#VALUE!</v>
      </c>
      <c r="FT271" s="27" t="e">
        <f>IF(AND(ISNUMBER(SnapshotTable[[#This Row],[SC Upside Potential]]), SnapshotTable[[#This Row],[SC Upside Potential]] &gt; 0),(SnapshotTable[[#This Row],[SC Upside Potential]]/ SnapshotTable[[#This Row],[ACB]]),"")</f>
        <v>#VALUE!</v>
      </c>
      <c r="FU271" s="333" t="str">
        <f>IF(SnapshotTable[[#This Row],[SC Intrinsic Value]] &gt; 0,SnapshotTable[[#This Row],[SC Intrinsic Value]],"")</f>
        <v/>
      </c>
      <c r="FV271" s="27" t="str">
        <f>IF(AND( ISNUMBER( SnapshotTable[[#This Row],[ACB]]),ISNUMBER(SnapshotTable[[#This Row],[SC Downside Protect]])),SnapshotTable[[#This Row],[SC Downside Protect]] / SnapshotTable[[#This Row],[ACB]],"")</f>
        <v/>
      </c>
      <c r="FW271" s="236" t="str">
        <f>IF(AND(ISNUMBER(SnapshotTable[[#This Row],[SC Simple ROO]]),SnapshotTable[[#This Row],[SC Simple ROO]] &gt; 0), SnapshotTable[[#This Row],[SC Premium]] + (SnapshotTable[[#This Row],[SC Qty]] * SnapshotTable[[#This Row],[SC Upside Potential]]), "")</f>
        <v/>
      </c>
      <c r="FX271" s="302" t="str" cm="1">
        <f t="array" ref="FX271">IF(ISNUMBER(SnapshotTable[[#This Row],[SC Max Dollars]]), annualize(SnapshotTable[[#This Row],[SC Term]],(SnapshotTable[[#This Row],[SC Max Dollars]]/SnapshotTable[[#This Row],[SC Basis]])),"")</f>
        <v/>
      </c>
      <c r="FY271" s="236" t="str">
        <f>IF(AND(SnapshotTable[[#This Row],[SC Qty]]&gt;0,SnapshotTable[[#This Row],[SC Current Ask]]&gt;0), SnapshotTable[[#This Row],[SC Qty]] * SnapshotTable[[#This Row],[SC Current Ask]] * -100, "")</f>
        <v/>
      </c>
      <c r="FZ271" s="31" t="str">
        <f>IF(ISNUMBER((SnapshotTable[[#This Row],[SC Current Value]])), SnapshotTable[[#This Row],[SC Premium]] + SnapshotTable[[#This Row],[SC Current Value]], "")</f>
        <v/>
      </c>
      <c r="GA271" s="294" t="str">
        <f>IFERROR( IF(ISNUMBER((SnapshotTable[[#This Row],[SC Current Value]])), SnapshotTable[[#This Row],[SC Gain Loss]] / SnapshotTable[[#This Row],[SC Premium]], ""), "")</f>
        <v/>
      </c>
      <c r="GB271" s="42">
        <f>SnapshotTable[[#This Row],[Equity Shares]] * SaleSharesToConsiderPercentage</f>
        <v>0</v>
      </c>
      <c r="GC271" s="40">
        <f>SnapshotTable[[#This Row],[Long Term Target]] * SellingPriceToConsiderBasedOnTargetPercentage</f>
        <v>0</v>
      </c>
      <c r="GD271" s="40">
        <f>SnapshotTable[[#This Row],[Last Price]] * (1+ SellingPriceToConsiderBasedOnTargetPercentage)</f>
        <v>20.767500000000002</v>
      </c>
      <c r="GE271" s="41"/>
      <c r="GF271" s="40"/>
      <c r="GG271" s="31">
        <f>SnapshotTable[[#This Row],[Booked Sale Shares]] * SnapshotTable[[#This Row],[Booked Sale Price]]</f>
        <v>0</v>
      </c>
      <c r="GH271" s="31" t="str">
        <f>IF(SnapshotTable[[#This Row],[Equity Basis Total]] &gt; 0, SnapshotTable[[#This Row],[Equity Basis Per Share]] * SnapshotTable[[#This Row],[Booked Sale Shares]], "")</f>
        <v/>
      </c>
      <c r="GI271" s="31">
        <f>IF(SnapshotTable[[#This Row],[Sale Proceeds]]&gt;0, SnapshotTable[[#This Row],[Sale Proceeds]] - SnapshotTable[[#This Row],[Sale Basis]], 0)</f>
        <v>0</v>
      </c>
      <c r="GJ271" s="27" t="str">
        <f>IF(SnapshotTable[[#This Row],[Sale G/L]]&gt;0, SnapshotTable[[#This Row],[Sale G/L]] / SnapshotTable[[#This Row],[Sale Basis]], IF(ISNUMBER(SnapshotTable[[#This Row],[SC Exercise P&amp;L (TAX)]]), SnapshotTable[[#This Row],[SC Exercise P&amp;L (TAX)]] / SnapshotTable[[#This Row],[SC Basis]], ""))</f>
        <v/>
      </c>
      <c r="GK271" s="27"/>
      <c r="GL271" s="43" t="str">
        <f>IF(AND(SnapshotTable[[#This Row],[LP Exp Date]]&gt;0,SnapshotTable[[#This Row],[LP Strike Price]]&gt;0), [1]!ToOptionSymbol(SnapshotTable[[#This Row],[Symbol]], SnapshotTable[[#This Row],[LP Strike Price]],SnapshotTable[[#This Row],[LP Exp Date]],1), "")</f>
        <v/>
      </c>
      <c r="GM271" s="30" t="str">
        <f>IF(LEN(SnapshotTable[[#This Row],[LP Symbol]])&gt;0, 1, "")</f>
        <v/>
      </c>
      <c r="GN271" s="43" t="str">
        <f>IF(AND(SnapshotTable[[#This Row],[SP Exp Date]]&gt;0,SnapshotTable[[#This Row],[SP Strike Price]]&gt;0), [1]!ToOptionSymbol(SnapshotTable[[#This Row],[Symbol]], SnapshotTable[[#This Row],[SP Strike Price]],SnapshotTable[[#This Row],[SP Exp Date]],1), "")</f>
        <v/>
      </c>
      <c r="GO271" s="30" t="str">
        <f>IF(LEN(SnapshotTable[[#This Row],[SP Symbol]])&gt;0, 1, "")</f>
        <v/>
      </c>
      <c r="GP271" s="43" t="str">
        <f>IF(AND(SnapshotTable[[#This Row],[LC Exp Date]]&gt;0,SnapshotTable[[#This Row],[LC Strike Price]]&gt;0), [1]!ToOptionSymbol(SnapshotTable[[#This Row],[Symbol]], SnapshotTable[[#This Row],[LC Strike Price]],SnapshotTable[[#This Row],[LC Exp Date]],0), "")</f>
        <v/>
      </c>
      <c r="GQ271" s="30" t="str">
        <f>IF(LEN(SnapshotTable[[#This Row],[LC Symbol]])&gt;0, 1, "")</f>
        <v/>
      </c>
      <c r="GR271" s="43" t="str">
        <f>IF(AND(SnapshotTable[[#This Row],[SC Exp Date]]&gt;0,SnapshotTable[[#This Row],[SC Strike Price]]&gt;0), [1]!ToOptionSymbol(SnapshotTable[[#This Row],[Symbol]], SnapshotTable[[#This Row],[SC Strike Price]],SnapshotTable[[#This Row],[SC Exp Date]],0), "")</f>
        <v/>
      </c>
      <c r="GS271" s="30" t="str">
        <f>IF(LEN(SnapshotTable[[#This Row],[SC Symbol]])&gt;0, 1, "")</f>
        <v/>
      </c>
      <c r="GT271" s="29" t="str">
        <f>IF(COUNT(SnapshotTable[[#This Row],[LP Symbol Count]],SnapshotTable[[#This Row],[SP Symbol Count]],SnapshotTable[[#This Row],[LC Symbol Count]],SnapshotTable[[#This Row],[SC Symbol Count]])&gt;0, "Y", "")</f>
        <v/>
      </c>
      <c r="GU27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1" s="231" t="e">
        <f>MAX(SnapshotTable[[#This Row],[Equity Basis Total]],SnapshotTable[[#This Row],[Equity Value]]) + (SnapshotTable[[#This Row],[SP Potential Spend]]- SnapshotTable[[#This Row],[SP Premium]] + SnapshotTable[[#This Row],[LP Premium]])+ (SnapshotTable[[#This Row],[LC Premium]] - SnapshotTable[[#This Row],[SC Premium]])</f>
        <v>#VALUE!</v>
      </c>
      <c r="GW271" s="139" t="e">
        <f>IF(AND(SnapshotTable[[#This Row],[Exposure]] &lt;&gt; 0),SnapshotTable[[#This Row],[Exposure]] / SnapshotTable[[#Totals],[Exposure]], "")</f>
        <v>#VALUE!</v>
      </c>
      <c r="HK271" s="1"/>
      <c r="HL271" s="1"/>
      <c r="HM271" s="1"/>
      <c r="HN271" s="1"/>
      <c r="HO271" s="1"/>
      <c r="HP271" s="1"/>
    </row>
    <row r="272" spans="2:224" ht="12.75" hidden="1" customHeight="1" x14ac:dyDescent="0.25">
      <c r="B272" s="12" t="s">
        <v>930</v>
      </c>
      <c r="C272" s="422">
        <v>474.16</v>
      </c>
      <c r="D272" s="208"/>
      <c r="E272" s="39">
        <f>SnapshotTable[[#This Row],[Last Price]]*(1 -CrashDiscount)</f>
        <v>403.036</v>
      </c>
      <c r="F272" s="26" t="s">
        <v>607</v>
      </c>
      <c r="G272" s="26" t="s">
        <v>606</v>
      </c>
      <c r="H272" s="149"/>
      <c r="I272" s="194">
        <v>44769.25</v>
      </c>
      <c r="J272" s="195">
        <v>44769.25</v>
      </c>
      <c r="K272" s="196"/>
      <c r="L272" s="326"/>
      <c r="M272" s="140"/>
      <c r="N272" s="140"/>
      <c r="O272" s="140"/>
      <c r="P272" s="22"/>
      <c r="Q272" s="25"/>
      <c r="R272" s="4" t="str">
        <f>IF(SnapshotTable[[#This Row],[Equity Basis Total]] &gt; 0, SnapshotTable[[#This Row],[Equity Basis Total]] / SnapshotTable[[#This Row],[Equity Shares]], "")</f>
        <v/>
      </c>
      <c r="S272" s="269">
        <f>SnapshotTable[[#This Row],[Last Price]] * SnapshotTable[[#This Row],[Equity Shares]]</f>
        <v>0</v>
      </c>
      <c r="T272" s="269">
        <f>SnapshotTable[[#This Row],[Equity Value]] - SnapshotTable[[#This Row],[Equity Basis Total]]</f>
        <v>0</v>
      </c>
      <c r="U272" s="270" t="str">
        <f>IF(SnapshotTable[[#This Row],[Equity Basis Total]] &gt; 0, SnapshotTable[[#This Row],[Equity G/L]] / SnapshotTable[[#This Row],[Equity Basis Total]], "")</f>
        <v/>
      </c>
      <c r="V272" s="268"/>
      <c r="W272" s="268"/>
      <c r="X272" s="4" t="str">
        <f>IF(AND(ISNUMBER(SnapshotTable[[#This Row],[Equity Basis Per Share]]),ISNUMBER(SnapshotTable[[#This Row],[Equity Target]])),SnapshotTable[[#This Row],[Equity Target]]-SnapshotTable[[#This Row],[Equity Basis Per Share]],"")</f>
        <v/>
      </c>
      <c r="Y272" s="4" t="str">
        <f>IF(AND(ISNUMBER(SnapshotTable[[#This Row],[Equity Basis Per Share]]),ISNUMBER(SnapshotTable[[#This Row],[Equity Stop Loss]])),SnapshotTable[[#This Row],[Equity Stop Loss]]-SnapshotTable[[#This Row],[Equity Basis Per Share]],"")</f>
        <v/>
      </c>
      <c r="Z272" s="275" t="str">
        <f>IFERROR( TEXT(SnapshotTable[[#This Row],[Equity Max Gain Per Share]] /ABS( SnapshotTable[[#This Row],[Equity Max Loss Per Share]]),"0.0 " ) &amp; " : 1", "")</f>
        <v/>
      </c>
      <c r="AA272" s="31" t="str">
        <f>IF(ISNUMBER(SnapshotTable[[#This Row],[Equity Max Gain Per Share]]),SnapshotTable[[#This Row],[Equity Max Gain Per Share]] * SnapshotTable[[#This Row],[Equity Shares]],"")</f>
        <v/>
      </c>
      <c r="AB272" s="31" t="str">
        <f>IF(ISNUMBER(SnapshotTable[[#This Row],[Equity Max Loss Per Share]]),SnapshotTable[[#This Row],[Equity Max Loss Per Share]] * SnapshotTable[[#This Row],[Equity Shares]],"")</f>
        <v/>
      </c>
      <c r="AC272" s="150"/>
      <c r="AD272" s="151"/>
      <c r="AE272" s="31">
        <f>(SnapshotTable[[#This Row],[Annual Dividend Per Share]] / 4) * SnapshotTable[[#This Row],[Equity Shares]]</f>
        <v>0</v>
      </c>
      <c r="AF272" s="31">
        <f>SnapshotTable[[#This Row],[Quarterly Div $]] * 4</f>
        <v>0</v>
      </c>
      <c r="AG272" s="7">
        <f>IF(SnapshotTable[[#This Row],[Annual Dividend Per Share]]&gt;0, SnapshotTable[[#This Row],[Annual Dividend Per Share]]  / SnapshotTable[[#This Row],[Last Price]], 0)</f>
        <v>0</v>
      </c>
      <c r="AH272" s="151"/>
      <c r="AI272" s="5"/>
      <c r="AJ272" s="138">
        <v>262.38</v>
      </c>
      <c r="AK272" s="152" t="str">
        <f>IF(ISNUMBER( SnapshotTable[[#This Row],[EBF Target]]),(SnapshotTable[[#This Row],[EBF Target]] - SnapshotTable[[#This Row],[Last Price]]) / SnapshotTable[[#This Row],[Last Price]], "")</f>
        <v/>
      </c>
      <c r="AL272" s="152" t="str">
        <f>IF(AND(SnapshotTable[[#This Row],[Equity Basis Total]] &gt; 0,ISNUMBER( SnapshotTable[[#This Row],[Long Term Target]])), SnapshotTable[[#This Row],[From Basis $]] / SnapshotTable[[#This Row],[Equity Basis Total]], "")</f>
        <v/>
      </c>
      <c r="AM272" s="9">
        <f>IF( AND(SnapshotTable[[#This Row],[Equity Shares]] &gt;0,ISNUMBER( SnapshotTable[[#This Row],[Long Term Target]])),(SnapshotTable[[#This Row],[Equity Shares]] * SnapshotTable[[#This Row],[Long Term Target]]) - SnapshotTable[[#This Row],[Equity Basis Total]],0)</f>
        <v>0</v>
      </c>
      <c r="AN272" s="9">
        <f>IF( AND(SnapshotTable[[#This Row],[Equity Shares]] &gt;0,ISNUMBER( SnapshotTable[[#This Row],[Long Term Target]])),(SnapshotTable[[#This Row],[Equity Shares]]*SnapshotTable[[#This Row],[Long Term Target]]) - SnapshotTable[[#This Row],[Equity Value]],0)</f>
        <v>0</v>
      </c>
      <c r="AO272" s="152">
        <f>IF(AND(ISNUMBER( SnapshotTable[[#This Row],[Long Term Target]]), ISNUMBER(SnapshotTable[[#This Row],[Last Price]])),(SnapshotTable[[#This Row],[Long Term Target]] - SnapshotTable[[#This Row],[Last Price]]) / SnapshotTable[[#This Row],[Last Price]], "")</f>
        <v>-0.44664248354985664</v>
      </c>
      <c r="AP272" s="5"/>
      <c r="AQ272" s="38"/>
      <c r="AR272" s="5"/>
      <c r="AS272" s="38"/>
      <c r="AT272" s="146"/>
      <c r="AU272" s="187" t="str">
        <f>IF(OR(SnapshotTable[[#This Row],[LP No Fill]]="Y",SnapshotTable[[#This Row],[SP Is Filled]],SnapshotTable[[#This Row],[LC Not Filled]]="Y",SnapshotTable[[#This Row],[SC Is Filled]]),"Y","")</f>
        <v/>
      </c>
      <c r="AV272" s="219"/>
      <c r="AW272" s="225"/>
      <c r="AX272" s="220"/>
      <c r="AY272" s="219" t="str">
        <f>IF(SnapshotTable[[#This Row],[Implied Move]]&gt;0, SnapshotTable[[#This Row],[Last Price]]-SnapshotTable[[#This Row],[Implied Move]],"")</f>
        <v/>
      </c>
      <c r="AZ272" s="219" t="str">
        <f>IF(SnapshotTable[[#This Row],[Implied Move]]&gt;0, SnapshotTable[[#This Row],[Last Price]] + SnapshotTable[[#This Row],[Implied Move]],"")</f>
        <v/>
      </c>
      <c r="BA272" s="331"/>
      <c r="BB272" s="347"/>
      <c r="BC27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2" s="351"/>
      <c r="BE272" s="138"/>
      <c r="BF272" s="166"/>
      <c r="BG272" s="167"/>
      <c r="BH272" s="167"/>
      <c r="BI272" s="221"/>
      <c r="BJ272" s="153">
        <f>IF(SnapshotTable[[#This Row],[LP Qty]] &gt; 0, SnapshotTable[[#This Row],[LP Qty]] * SnapshotTable[[#This Row],[LP Book Price]] * 100,0)</f>
        <v>0</v>
      </c>
      <c r="BK272" s="136">
        <f>IF(SnapshotTable[[#This Row],[LP Premium]] &gt; 0, SnapshotTable[[#This Row],[LP Qty]] * SnapshotTable[[#This Row],[LP Strike Price]] * 100,0)</f>
        <v>0</v>
      </c>
      <c r="BL272" s="154"/>
      <c r="BM272" s="385" t="str">
        <f>IF(SnapshotTable[[#This Row],[LP Premium]] &gt; 0,SnapshotTable[[#This Row],[LP Exp Date]]-MAX(SnapshotTable[[#This Row],[LP Book Date]], SnapshotTable[[#This Row],[LP Fill Date]]),"")</f>
        <v/>
      </c>
      <c r="BN272" s="385" t="str">
        <f>IF(ISNUMBER( SnapshotTable[[#This Row],[LP Term]]), SnapshotTable[[#This Row],[LP Exp Date]] - MockToday,"")</f>
        <v/>
      </c>
      <c r="BO272" s="163" t="str">
        <f>IF(AND(SnapshotTable[[#This Row],[LP Exp Date]]&gt;0, SnapshotTable[[#This Row],[LP Strike Price]]&gt;0,SnapshotTable[[#This Row],[LP Qty]]&gt;0,SnapshotTable[[#This Row],[LP Book Date]]&gt;0,SnapshotTable[[#This Row],[LP Book Price]]&gt;0,SnapshotTable[[#This Row],[LP Fill Date]]=0),"Y","")</f>
        <v/>
      </c>
      <c r="BP272" s="31" t="str">
        <f>IF(AND(SnapshotTable[[#This Row],[LP No Fill]]&lt;&gt;"Y",SnapshotTable[[#This Row],[LP Contract Value]]&gt;0, SnapshotTable[[#This Row],[LP Qty]]&gt;0), SnapshotTable[[#This Row],[LP Contract Value]]*SnapshotTable[[#This Row],[LP Qty]]*100,"")</f>
        <v/>
      </c>
      <c r="BQ272" s="13"/>
      <c r="BR272" s="5" t="str">
        <f>IF(SnapshotTable[[#This Row],[SP Exp Date]]&lt;&gt;"",TRUNC(SnapshotTable[[#This Row],[Last Price]]),"")</f>
        <v/>
      </c>
      <c r="BS272" s="36"/>
      <c r="BT272" s="147"/>
      <c r="BU272" s="13"/>
      <c r="BV272" s="5"/>
      <c r="BW272" s="419" t="b">
        <f>AND(ISNUMBER(SnapshotTable[[#This Row],[SP Exp Date]]), ISNUMBER(SnapshotTable[[#This Row],[SP Strike Price]]), ISNUMBER(SnapshotTable[[#This Row],[SP Qty]]), ISNUMBER(SnapshotTable[[#This Row],[SP Book Date]]), ISNUMBER(SnapshotTable[[#This Row],[SP Book Price]]))</f>
        <v>0</v>
      </c>
      <c r="BX272" s="419" t="b">
        <f>AND(SnapshotTable[[#This Row],[SP Is Booked]], NOT(ISBLANK(SnapshotTable[[#This Row],[SP Fill Date]])))</f>
        <v>0</v>
      </c>
      <c r="BY272" s="33">
        <f>IF(SnapshotTable[[#This Row],[SP Is Booked]], SnapshotTable[[#This Row],[SP Qty]] * SnapshotTable[[#This Row],[SP Book Price]] * 100, 0)</f>
        <v>0</v>
      </c>
      <c r="BZ272" s="369"/>
      <c r="CA272" s="368">
        <f>SnapshotTable[[#This Row],[LP Qty]]</f>
        <v>0</v>
      </c>
      <c r="CB272" s="4" t="str">
        <f>IF(SnapshotTable[[#This Row],[SP Is Booked]], SnapshotTable[[#This Row],[SP Strike Price]] - SnapshotTable[[#This Row],[SP Book Price]], "")</f>
        <v/>
      </c>
      <c r="CC272" s="19" t="str">
        <f>IF(SnapshotTable[[#This Row],[SP Is Booked]],SnapshotTable[[#This Row],[SP Exp Date]]-MAX(SnapshotTable[[#This Row],[SP Book Date]], SnapshotTable[[#This Row],[SP Fill Date]]),"")</f>
        <v/>
      </c>
      <c r="CD272" s="7" t="str">
        <f>IF(SnapshotTable[[#This Row],[SP Is Booked]], SnapshotTable[[#This Row],[SP Book Price]]/SnapshotTable[[#This Row],[SP Strike Price]], "")</f>
        <v/>
      </c>
      <c r="CE272" s="7" t="str">
        <f>IF(ISNUMBER(SnapshotTable[[#This Row],[SP ROO Term]]),SnapshotTable[[#This Row],[SP ROO Term]]*(365/SnapshotTable[[#This Row],[SP Term]]),"")</f>
        <v/>
      </c>
      <c r="CF272" s="236">
        <f>SnapshotTable[[#This Row],[LP Strike Price]] * SnapshotTable[[#This Row],[LP Qty]] * 100</f>
        <v>0</v>
      </c>
      <c r="CG272" s="31" t="e">
        <f>IF(ISNUMBER(SnapshotTable[[#This Row],[SP Premium]]), (SnapshotTable[[#This Row],[SP Qty]] * SnapshotTable[[#This Row],[SP Strike Price]]* 100) - SnapshotTable[[#This Row],[LP Protection]], 0)</f>
        <v>#VALUE!</v>
      </c>
      <c r="CH272" s="7" t="str">
        <f>IF(ISNUMBER(SnapshotTable[[#This Row],[SP Break Even]]),-1 * (SnapshotTable[[#This Row],[SP Break Even]] - SnapshotTable[[#This Row],[Last Price]]) / SnapshotTable[[#This Row],[Last Price]], "")</f>
        <v/>
      </c>
      <c r="CI272" s="31">
        <f>IF(AND(ISNUMBER((SnapshotTable[[#This Row],[SP Potential Spend]])), SnapshotTable[[#This Row],[SP Strike Price]] &gt; SnapshotTable[[#This Row],[Last Price]], SnapshotTable[[#This Row],[SP Is Filled]]), SnapshotTable[[#This Row],[SP Potential Spend]] -  SnapshotTable[[#This Row],[LP Max Value]], 0)</f>
        <v>0</v>
      </c>
      <c r="CJ272" s="244"/>
      <c r="CK272" s="31" t="str">
        <f>IF(ISNUMBER(SnapshotTable[[#This Row],[SP Potential Spend]]),IF(ISNUMBER(SnapshotTable[[#This Row],[SP POW]]), SnapshotTable[[#This Row],[SP POW]] * SnapshotTable[[#This Row],[SP Potential Spend]], SnapshotTable[[#This Row],[SP Potential Spend]]), "")</f>
        <v/>
      </c>
      <c r="CL272" s="164" t="e">
        <f>IF(NOT(SnapshotTable[[#This Row],[SP Is Filled]]),(SnapshotTable[[#This Row],[SP Qty]] * SnapshotTable[[#This Row],[SP Strike Price]] * 100) - SnapshotTable[[#This Row],[LP Max Value]],"")</f>
        <v>#VALUE!</v>
      </c>
      <c r="CM272" s="31" t="str">
        <f>IF(SnapshotTable[[#This Row],[SP Actual Spend]]&lt;&gt;0, ((SnapshotTable[[#This Row],[SP Strike Price]]-SnapshotTable[[#This Row],[Last Price]]) *(SnapshotTable[[#This Row],[SP Qty]]*100) - SnapshotTable[[#This Row],[SP Premium]]) * - 1, "")</f>
        <v/>
      </c>
      <c r="CN272" s="154"/>
      <c r="CO272" s="369"/>
      <c r="CP272" s="320" t="str">
        <f>IF(SnapshotTable[[#This Row],[SP Is Filled]], btc_max_buyback_amount(SnapshotTable[[#This Row],[SP Fill Date]],SnapshotTable[[#This Row],[SP Exp Date]], SnapshotTable[[#This Row],[SP Book Price]]),"")</f>
        <v/>
      </c>
      <c r="CQ272" s="78"/>
      <c r="CR272" s="76"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2" s="155" t="str">
        <f>IF(SnapshotTable[[#This Row],[SP Is Filled]], btc_next_cutoff_date(SnapshotTable[[#This Row],[SP Fill Date]],SnapshotTable[[#This Row],[SP Exp Date]]),"")</f>
        <v/>
      </c>
      <c r="CT272" s="235" t="str" cm="1">
        <f t="array" ref="CT272">IF(SnapshotTable[[#This Row],[SP Is Filled]], btc_should_buy_back(SnapshotTable[[#This Row],[SP Fill Date]], SnapshotTable[[#This Row],[SP Exp Date]], SnapshotTable[[#This Row],[SP Book Price]], SnapshotTable[[#This Row],[SP Current Ask]], MockToday, SnapshotTable[[#This Row],[SP Buyback Override]]),"")</f>
        <v/>
      </c>
      <c r="CU272" s="156"/>
      <c r="CV272" s="235"/>
      <c r="CW272" s="378" t="str">
        <f>IF(ISNUMBER( SnapshotTable[[#This Row],[SP Term]]), SnapshotTable[[#This Row],[SP Exp Date]] - MockToday,"")</f>
        <v/>
      </c>
      <c r="CX272" s="31" t="str">
        <f>IF(SnapshotTable[[#This Row],[SP Is Filled]],SnapshotTable[[#This Row],[SP Buyback Price to Use]] * 100 * SnapshotTable[[#This Row],[SP Qty]], "")</f>
        <v/>
      </c>
      <c r="CY272" s="4" t="str">
        <f>IF(ISNUMBER(SnapshotTable[[#This Row],[SP Strike Price]]), SnapshotTable[[#This Row],[SP Strike Price]] * (1 - SP_MaxLoss_StrikePct), "")</f>
        <v/>
      </c>
      <c r="CZ272" s="31" t="str">
        <f>IF(ISNUMBER(SnapshotTable[[#This Row],[SP Strike  Stop Per Share]]),SnapshotTable[[#This Row],[SP Premium]] - ((SnapshotTable[[#This Row],[SP Strike Price]]-SnapshotTable[[#This Row],[SP Strike  Stop Per Share]]) *(SnapshotTable[[#This Row],[SP Qty]] * 100)),"")</f>
        <v/>
      </c>
      <c r="DA272" s="4" t="str">
        <f>IF(AND(ISNUMBER(SnapshotTable[[#This Row],[SP Premium]]),SnapshotTable[[#This Row],[SP Premium]]&gt;0), SnapshotTable[[#This Row],[SP Book Price]] * (1 + SP_MaxLoss_OptionPct), "")</f>
        <v/>
      </c>
      <c r="DB272" s="31" t="str">
        <f>IF(ISNUMBER(SnapshotTable[[#This Row],[SP Option  Stop Contract]]),(SnapshotTable[[#This Row],[SP Option  Stop Contract]] *(SnapshotTable[[#This Row],[SP Qty]] * 100) - SnapshotTable[[#This Row],[SP Premium]]),"")</f>
        <v/>
      </c>
      <c r="DC272" s="4"/>
      <c r="DD272" s="4"/>
      <c r="DE272" s="4" t="str">
        <f>IF(AND(SnapshotTable[[#This Row],[SP Qty]]&gt;0, SnapshotTable[[#This Row],[SP Stop To Use]]&gt;0),SnapshotTable[[#This Row],[SP Premium]] - ( SnapshotTable[[#This Row],[SP Qty]] * SnapshotTable[[#This Row],[SP Stop To Use]] * 100), "")</f>
        <v/>
      </c>
      <c r="DF272" s="31" t="str">
        <f>IF(AND(SnapshotTable[[#This Row],[SP Qty]]&gt;0,SnapshotTable[[#This Row],[SP Current Ask]]&gt;0), SnapshotTable[[#This Row],[SP Qty]] * SnapshotTable[[#This Row],[SP Current Ask]] * -100, "")</f>
        <v/>
      </c>
      <c r="DG272" s="31" t="str">
        <f>IF(ISNUMBER((SnapshotTable[[#This Row],[SP Total Value]])), SnapshotTable[[#This Row],[SP Premium]] + SnapshotTable[[#This Row],[SP Total Value]], "")</f>
        <v/>
      </c>
      <c r="DH272" s="294" t="str">
        <f>IF(ISNUMBER((SnapshotTable[[#This Row],[SP Total Value]])), SnapshotTable[[#This Row],[SP Gain Loss]] / SnapshotTable[[#This Row],[SP Premium]], "")</f>
        <v/>
      </c>
      <c r="DI272" s="406"/>
      <c r="DJ272" s="138"/>
      <c r="DK272" s="148"/>
      <c r="DL272" s="147"/>
      <c r="DM272" s="147"/>
      <c r="DO272" s="31">
        <f>IF(SnapshotTable[[#This Row],[LC Symbol Count]]=1, SnapshotTable[[#This Row],[LC Qty]] * SnapshotTable[[#This Row],[LC Book Price]] * 100, 0)</f>
        <v>0</v>
      </c>
      <c r="DP272" s="289" t="str">
        <f>IF(AND(SnapshotTable[[#This Row],[LC Exp Date]]&gt;0, SnapshotTable[[#This Row],[LC Strike Price]]&gt;0,SnapshotTable[[#This Row],[LC Qty]]&gt;0,SnapshotTable[[#This Row],[LC Book Date]]&gt;0,SnapshotTable[[#This Row],[LC Book Price]]&gt;0,SnapshotTable[[#This Row],[LC Fill Date]]=0),"Y","")</f>
        <v/>
      </c>
      <c r="DQ272" s="386" t="str">
        <f>IF(SnapshotTable[[#This Row],[LC Premium]] &gt; 0,SnapshotTable[[#This Row],[LC Exp Date]]-MAX(SnapshotTable[[#This Row],[LC Book Date]], SnapshotTable[[#This Row],[LC Fill Date]]),"")</f>
        <v/>
      </c>
      <c r="DR272" s="386" t="str">
        <f>IF(ISNUMBER(SnapshotTable[[#This Row],[LC Term]]), SnapshotTable[[#This Row],[LC Exp Date]] - MockToday, "")</f>
        <v/>
      </c>
      <c r="DS272" s="234" t="str">
        <f>IF(SnapshotTable[[#This Row],[LC Premium]]&gt;0,SnapshotTable[[#This Row],[LC Strike Price]] + SnapshotTable[[#This Row],[LC Book Price]],"")</f>
        <v/>
      </c>
      <c r="DU272" s="9" t="str">
        <f>IF(AND(SnapshotTable[[#This Row],[LC Symbol Count]]&gt;0, SnapshotTable[[#This Row],[LC Contract Value]]&gt;0), SnapshotTable[[#This Row],[LC Contract Value]] * SnapshotTable[[#This Row],[LC Qty]] * 100, "")</f>
        <v/>
      </c>
      <c r="DV272" s="9" t="str">
        <f>IF(AND(ISNUMBER(SnapshotTable[[#This Row],[LC Total Value]]), SnapshotTable[[#This Row],[LC Not Filled]]&lt;&gt;"Y"), SnapshotTable[[#This Row],[LC Total Value]]-SnapshotTable[[#This Row],[LC Premium]],"")</f>
        <v/>
      </c>
      <c r="DW272" s="240" t="str">
        <f>IF(ISNUMBER(SnapshotTable[[#This Row],[LC Actual Gain Loss]]), SnapshotTable[[#This Row],[LC Actual Gain Loss]] / SnapshotTable[[#This Row],[LC Premium]],"")</f>
        <v/>
      </c>
      <c r="DX272" s="284" t="str">
        <f>IF(ISNUMBER(SnapshotTable[[#This Row],[LC Book Price]]),SnapshotTable[[#This Row],[LC Book Price]] * 1.5,"")</f>
        <v/>
      </c>
      <c r="DY272" s="265" t="str">
        <f>IF(SnapshotTable[[#This Row],[LC Premium]]&gt;0, SnapshotTable[[#This Row],[LC Next Target]] * SnapshotTable[[#This Row],[LC Qty]] * 100,"")</f>
        <v/>
      </c>
      <c r="DZ272" s="265" t="str">
        <f>IF(ISNUMBER(SnapshotTable[[#This Row],[LC Target Gross]]), SnapshotTable[[#This Row],[LC Target Gross]] - SnapshotTable[[#This Row],[LC Premium]], "")</f>
        <v/>
      </c>
      <c r="EA272" s="305" t="str">
        <f>IF(ISNUMBER(SnapshotTable[[#This Row],[LC Target Gain Loss]]), SnapshotTable[[#This Row],[LC Target Gain Loss]]/SnapshotTable[[#This Row],[LC Premium]], "")</f>
        <v/>
      </c>
      <c r="EB272" s="262"/>
      <c r="EC272" s="290" t="str">
        <f>IF(SnapshotTable[[#This Row],[LC Premium]]&gt;0, SnapshotTable[[#This Row],[LC Book Price]] * (1 - LC_StopLoss_Pct),"")</f>
        <v/>
      </c>
      <c r="ED272" s="284"/>
      <c r="EE272" s="283" t="str">
        <f>IF(ISNUMBER(SnapshotTable[[#This Row],[LC Contract Value]]),IF(ISNUMBER(SnapshotTable[[#This Row],[LC Stop Loss Override]]), SnapshotTable[[#This Row],[LC Stop Loss Override]],SnapshotTable[[#This Row],[LC Stop Loss Calc Target]]),"")</f>
        <v/>
      </c>
      <c r="EF272" s="31" t="str">
        <f>IF(ISNUMBER(SnapshotTable[[#This Row],[LC Stop  To Use]]), (SnapshotTable[[#This Row],[LC Stop  To Use]] * SnapshotTable[[#This Row],[LC Qty]] * 100),"")</f>
        <v/>
      </c>
      <c r="EG272" s="9" t="str">
        <f>IF(ISNUMBER(SnapshotTable[[#This Row],[LC Total Value]]),SnapshotTable[[#This Row],[LC Stop Loss Amount]] - SnapshotTable[[#This Row],[LC Premium]],"")</f>
        <v/>
      </c>
      <c r="EH272" s="9">
        <f>IF(ISNUMBER(SnapshotTable[[#This Row],[LC Premium]]), SnapshotTable[[#This Row],[LC Qty]] * 100 * SnapshotTable[[#This Row],[LC Strike Price]], "")</f>
        <v>0</v>
      </c>
      <c r="EI272" s="240" t="str">
        <f>IF(AND(ISNUMBER(SnapshotTable[[#This Row],[LC Total Value]]),SnapshotTable[[#This Row],[LC Total Value]]&gt;0),SnapshotTable[[#This Row],[LC Stop Gain Loss]]  / SnapshotTable[[#This Row],[LC Premium]],"")</f>
        <v/>
      </c>
      <c r="EJ272" s="35">
        <f>IF(ISNUMBER(SnapshotTable[[#This Row],[Equity Shares]]),TRUNC(SnapshotTable[[#This Row],[Equity Shares]] / 100),0) + SnapshotTable[[#This Row],[LC Qty]]</f>
        <v>0</v>
      </c>
      <c r="EK272" s="147"/>
      <c r="EL272" s="138" t="str">
        <f>IF(SnapshotTable[[#This Row],[SC Exp Date]]&lt;&gt;"",TRUNC(SnapshotTable[[#This Row],[Last Price]]),"")</f>
        <v/>
      </c>
      <c r="EM272" s="148"/>
      <c r="EN272" s="147"/>
      <c r="EO272" s="147"/>
      <c r="EP272" s="138"/>
      <c r="EQ272" s="419" t="b">
        <f>AND(ISNUMBER(SnapshotTable[[#This Row],[SC Exp Date]]), ISNUMBER(SnapshotTable[[#This Row],[SC Strike Price]]), ISNUMBER(SnapshotTable[[#This Row],[SC Qty]]), ISNUMBER(SnapshotTable[[#This Row],[SC Book Date]]), ISNUMBER(SnapshotTable[[#This Row],[SC Book Price]]))</f>
        <v>0</v>
      </c>
      <c r="ER272" s="419" t="b">
        <f>AND(SnapshotTable[[#This Row],[SC Is Booked]], NOT(ISBLANK(SnapshotTable[[#This Row],[SC Fill Date]])))</f>
        <v>0</v>
      </c>
      <c r="ES272" s="370"/>
      <c r="ET272" s="34" t="str">
        <f>IF(AND(ISNUMBER(SnapshotTable[[#This Row],[SC Exp Date]]), ISNUMBER(SnapshotTable[[#This Row],[SC Book Date]])), SnapshotTable[[#This Row],[SC Exp Date]] - MAX(SnapshotTable[[#This Row],[SC Book Date]], SnapshotTable[[#This Row],[SC Fill Date]]) + 1, "")</f>
        <v/>
      </c>
      <c r="EU272" s="34" t="str">
        <f>IF(ISNUMBER(SnapshotTable[[#This Row],[SC Term]]), SnapshotTable[[#This Row],[SC Exp Date]]- MockToday, "")</f>
        <v/>
      </c>
      <c r="EV272" s="31">
        <f>IF(SnapshotTable[[#This Row],[SC Is Booked]], SnapshotTable[[#This Row],[SC Qty]] * SnapshotTable[[#This Row],[SC Book Price]] * 100, 0)</f>
        <v>0</v>
      </c>
      <c r="EW272" s="4" t="str">
        <f>IF(AND(ISNUMBER(SnapshotTable[[#This Row],[Last Price]]), ISNUMBER( SnapshotTable[[#This Row],[SC Book Price]])), SnapshotTable[[#This Row],[Last Price]] - SnapshotTable[[#This Row],[SC Book Price]],"")</f>
        <v/>
      </c>
      <c r="EX272" s="234" t="str">
        <f>IF(SnapshotTable[[#This Row],[SC Is Booked]],IF(SnapshotTable[[#This Row],[SC Intrinsic Value]] &gt; 0, SnapshotTable[[#This Row],[SC Strike Price]], SnapshotTable[[#This Row],[Last Price]]), "")</f>
        <v/>
      </c>
      <c r="EY272" s="4">
        <f>IF(SnapshotTable[[#This Row],[SC Is Booked]], (MinimumPremiumRequired * SnapshotTable[[#This Row],[SC Basis]] * SnapshotTable[[#This Row],[SC Term]]), 0)</f>
        <v>0</v>
      </c>
      <c r="EZ272" s="283"/>
      <c r="FA272" s="218"/>
      <c r="FB272" s="370"/>
      <c r="FC272" s="4">
        <f>IF(SnapshotTable[[#This Row],[SC Is Filled]], btc_max_buyback_amount(SnapshotTable[[#This Row],[SC Fill Date]],SnapshotTable[[#This Row],[SC Exp Date]], SnapshotTable[[#This Row],[SC Book Price]]),0)</f>
        <v>0</v>
      </c>
      <c r="FD272" s="5"/>
      <c r="FE272" s="144" t="str">
        <f>IF(SnapshotTable[[#This Row],[SC Is Filled]], btc_next_cutoff_date(SnapshotTable[[#This Row],[SC Fill Date]],SnapshotTable[[#This Row],[SC Exp Date]]),"")</f>
        <v/>
      </c>
      <c r="FF272" s="4" t="str" cm="1">
        <f t="array" ref="FF272">IF(SnapshotTable[[#This Row],[SC Is Filled]], btc_should_buy_back(SnapshotTable[[#This Row],[SC Fill Date]], SnapshotTable[[#This Row],[SC Exp Date]], SnapshotTable[[#This Row],[SC Book Price]], SnapshotTable[[#This Row],[SC Current Ask]], MockToday, SnapshotTable[[#This Row],[SC Buyback Override]]),"")</f>
        <v/>
      </c>
      <c r="FG272" s="4">
        <f>IF(SnapshotTable[[#This Row],[SC Is Filled]], MAX(0,SnapshotTable[[#This Row],[Last Price]]  - SnapshotTable[[#This Row],[SC Strike Price]]), 0)</f>
        <v>0</v>
      </c>
      <c r="FH272" s="382">
        <f>IF(SnapshotTable[[#This Row],[SC Is Filled]], IF(ISNUMBER(SnapshotTable[[#This Row],[SC Current Ask]]), SnapshotTable[[#This Row],[SC Current Ask]], SnapshotTable[[#This Row],[SC Book Price]]) - SnapshotTable[[#This Row],[SC Intrinsic Value]], 0)</f>
        <v>0</v>
      </c>
      <c r="FI272" s="143"/>
      <c r="FJ272" s="32" t="str">
        <f>IF(SnapshotTable[[#This Row],[SC Is Filled]],100 * SnapshotTable[[#This Row],[SC Qty]] * IF(ISNUMBER(SnapshotTable[[#This Row],[SC Buyback Override]]), SnapshotTable[[#This Row],[SC Buyback Override]], SnapshotTable[[#This Row],[SC Current Ask]]), "")</f>
        <v/>
      </c>
      <c r="FK272" s="250" t="str">
        <f>IF(SnapshotTable[[#This Row],[SC Time Val]]&gt;0, SnapshotTable[[#This Row],[SC Time Val]] / SnapshotTable[[#This Row],[Last Price]],"")</f>
        <v/>
      </c>
      <c r="FL272" s="302" t="str">
        <f>IF(SnapshotTable[[#This Row],[SC Is Booked]], ((SnapshotTable[[#This Row],[Last Price]] -SnapshotTable[[#This Row],[SC Strike Price]]) / SnapshotTable[[#This Row],[Last Price]]) * -1, "")</f>
        <v/>
      </c>
      <c r="FM272" s="157" t="str">
        <f>IF(SnapshotTable[[#This Row],[SC Is Booked]],  (SnapshotTable[[#This Row],[SC Qty]] * 100 * SnapshotTable[[#This Row],[SC Strike Price]]) - SnapshotTable[[#This Row],[SC Current Ask]], "")</f>
        <v/>
      </c>
      <c r="FN272"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2" s="157" t="str">
        <f>IF(AND(ISNUMBER(SnapshotTable[[#This Row],[SC Exercise Gross]]), ISNUMBER(SnapshotTable[[#This Row],[Equity Basis Per Share]] )), SnapshotTable[[#This Row],[SC Exercise Gross]] - SnapshotTable[[#This Row],[Equity Basis Total]] +  SnapshotTable[[#This Row],[SC Premium]], "")</f>
        <v/>
      </c>
      <c r="FP272" s="5" t="str">
        <f>IF(ISNUMBER(SnapshotTable[[#This Row],[SC Exercise Gross]]), (SnapshotTable[[#This Row],[SC Exercise Gross]]) / (SnapshotTable[[#This Row],[SC Qty]] * 100), "")</f>
        <v/>
      </c>
      <c r="FQ272" s="27" t="str">
        <f>IF(SnapshotTable[[#This Row],[SC Is Booked]],SnapshotTable[[#This Row],[SC Time Val]] /SnapshotTable[[#This Row],[SC Basis]], "")</f>
        <v/>
      </c>
      <c r="FR272" s="27" t="str" cm="1">
        <f t="array" ref="FR272">IF(AND(ISNUMBER(SnapshotTable[[#This Row],[SC Term]]),ISNUMBER(SnapshotTable[[#This Row],[SC Simple ROO]])), EllmanAnnualize(SnapshotTable[[#This Row],[SC DTE]], SnapshotTable[[#This Row],[SC Simple ROO]] ),"")</f>
        <v/>
      </c>
      <c r="FS272" s="4" t="e">
        <f>IF(SnapshotTable[[#This Row],[SC Strike Price]] &gt; SnapshotTable[[#This Row],[Last Price]], SnapshotTable[[#This Row],[SC Strike Price]] - SnapshotTable[[#This Row],[Last Price]],0)</f>
        <v>#VALUE!</v>
      </c>
      <c r="FT272" s="27" t="e">
        <f>IF(AND(ISNUMBER(SnapshotTable[[#This Row],[SC Upside Potential]]), SnapshotTable[[#This Row],[SC Upside Potential]] &gt; 0),(SnapshotTable[[#This Row],[SC Upside Potential]]/ SnapshotTable[[#This Row],[ACB]]),"")</f>
        <v>#VALUE!</v>
      </c>
      <c r="FU272" s="333" t="str">
        <f>IF(SnapshotTable[[#This Row],[SC Intrinsic Value]] &gt; 0,SnapshotTable[[#This Row],[SC Intrinsic Value]],"")</f>
        <v/>
      </c>
      <c r="FV272" s="27" t="str">
        <f>IF(AND( ISNUMBER( SnapshotTable[[#This Row],[ACB]]),ISNUMBER(SnapshotTable[[#This Row],[SC Downside Protect]])),SnapshotTable[[#This Row],[SC Downside Protect]] / SnapshotTable[[#This Row],[ACB]],"")</f>
        <v/>
      </c>
      <c r="FW272" s="236" t="str">
        <f>IF(AND(ISNUMBER(SnapshotTable[[#This Row],[SC Simple ROO]]),SnapshotTable[[#This Row],[SC Simple ROO]] &gt; 0), SnapshotTable[[#This Row],[SC Premium]] + (SnapshotTable[[#This Row],[SC Qty]] * SnapshotTable[[#This Row],[SC Upside Potential]]), "")</f>
        <v/>
      </c>
      <c r="FX272" s="302" t="str" cm="1">
        <f t="array" ref="FX272">IF(ISNUMBER(SnapshotTable[[#This Row],[SC Max Dollars]]), annualize(SnapshotTable[[#This Row],[SC Term]],(SnapshotTable[[#This Row],[SC Max Dollars]]/SnapshotTable[[#This Row],[SC Basis]])),"")</f>
        <v/>
      </c>
      <c r="FY272" s="236" t="str">
        <f>IF(AND(SnapshotTable[[#This Row],[SC Qty]]&gt;0,SnapshotTable[[#This Row],[SC Current Ask]]&gt;0), SnapshotTable[[#This Row],[SC Qty]] * SnapshotTable[[#This Row],[SC Current Ask]] * -100, "")</f>
        <v/>
      </c>
      <c r="FZ272" s="235" t="str">
        <f>IF(ISNUMBER((SnapshotTable[[#This Row],[SC Current Value]])), SnapshotTable[[#This Row],[SC Premium]] + SnapshotTable[[#This Row],[SC Current Value]], "")</f>
        <v/>
      </c>
      <c r="GA272" s="294" t="str">
        <f>IFERROR( IF(ISNUMBER((SnapshotTable[[#This Row],[SC Current Value]])), SnapshotTable[[#This Row],[SC Gain Loss]] / SnapshotTable[[#This Row],[SC Premium]], ""), "")</f>
        <v/>
      </c>
      <c r="GB272" s="42">
        <f>SnapshotTable[[#This Row],[Equity Shares]] * SaleSharesToConsiderPercentage</f>
        <v>0</v>
      </c>
      <c r="GC272" s="40">
        <f>SnapshotTable[[#This Row],[Long Term Target]] * SellingPriceToConsiderBasedOnTargetPercentage</f>
        <v>249.261</v>
      </c>
      <c r="GD272" s="40">
        <f>SnapshotTable[[#This Row],[Last Price]] * (1+ SellingPriceToConsiderBasedOnTargetPercentage)</f>
        <v>924.61200000000008</v>
      </c>
      <c r="GE272" s="41"/>
      <c r="GF272" s="40"/>
      <c r="GG272" s="31">
        <f>SnapshotTable[[#This Row],[Booked Sale Shares]] * SnapshotTable[[#This Row],[Booked Sale Price]]</f>
        <v>0</v>
      </c>
      <c r="GH272" s="31" t="str">
        <f>IF(SnapshotTable[[#This Row],[Equity Basis Total]] &gt; 0, SnapshotTable[[#This Row],[Equity Basis Per Share]] * SnapshotTable[[#This Row],[Booked Sale Shares]], "")</f>
        <v/>
      </c>
      <c r="GI272" s="31">
        <f>IF(SnapshotTable[[#This Row],[Sale Proceeds]]&gt;0, SnapshotTable[[#This Row],[Sale Proceeds]] - SnapshotTable[[#This Row],[Sale Basis]], 0)</f>
        <v>0</v>
      </c>
      <c r="GJ272" s="158" t="str">
        <f>IF(SnapshotTable[[#This Row],[Sale G/L]]&gt;0, SnapshotTable[[#This Row],[Sale G/L]] / SnapshotTable[[#This Row],[Sale Basis]], IF(ISNUMBER(SnapshotTable[[#This Row],[SC Exercise P&amp;L (TAX)]]), SnapshotTable[[#This Row],[SC Exercise P&amp;L (TAX)]] / SnapshotTable[[#This Row],[SC Basis]], ""))</f>
        <v/>
      </c>
      <c r="GK272" s="27"/>
      <c r="GL272" s="159" t="str">
        <f>IF(AND(SnapshotTable[[#This Row],[LP Exp Date]]&gt;0,SnapshotTable[[#This Row],[LP Strike Price]]&gt;0), [1]!ToOptionSymbol(SnapshotTable[[#This Row],[Symbol]], SnapshotTable[[#This Row],[LP Strike Price]],SnapshotTable[[#This Row],[LP Exp Date]],1), "")</f>
        <v/>
      </c>
      <c r="GM272" s="30" t="str">
        <f>IF(LEN(SnapshotTable[[#This Row],[LP Symbol]])&gt;0, 1, "")</f>
        <v/>
      </c>
      <c r="GN272" s="43" t="str">
        <f>IF(AND(SnapshotTable[[#This Row],[SP Exp Date]]&gt;0,SnapshotTable[[#This Row],[SP Strike Price]]&gt;0), [1]!ToOptionSymbol(SnapshotTable[[#This Row],[Symbol]], SnapshotTable[[#This Row],[SP Strike Price]],SnapshotTable[[#This Row],[SP Exp Date]],1), "")</f>
        <v/>
      </c>
      <c r="GO272" s="30" t="str">
        <f>IF(LEN(SnapshotTable[[#This Row],[SP Symbol]])&gt;0, 1, "")</f>
        <v/>
      </c>
      <c r="GP272" s="159" t="str">
        <f>IF(AND(SnapshotTable[[#This Row],[LC Exp Date]]&gt;0,SnapshotTable[[#This Row],[LC Strike Price]]&gt;0), [1]!ToOptionSymbol(SnapshotTable[[#This Row],[Symbol]], SnapshotTable[[#This Row],[LC Strike Price]],SnapshotTable[[#This Row],[LC Exp Date]],0), "")</f>
        <v/>
      </c>
      <c r="GQ272" s="160" t="str">
        <f>IF(LEN(SnapshotTable[[#This Row],[LC Symbol]])&gt;0, 1, "")</f>
        <v/>
      </c>
      <c r="GR272" s="159" t="str">
        <f>IF(AND(SnapshotTable[[#This Row],[SC Exp Date]]&gt;0,SnapshotTable[[#This Row],[SC Strike Price]]&gt;0), [1]!ToOptionSymbol(SnapshotTable[[#This Row],[Symbol]], SnapshotTable[[#This Row],[SC Strike Price]],SnapshotTable[[#This Row],[SC Exp Date]],0), "")</f>
        <v/>
      </c>
      <c r="GS272" s="160" t="str">
        <f>IF(LEN(SnapshotTable[[#This Row],[SC Symbol]])&gt;0, 1, "")</f>
        <v/>
      </c>
      <c r="GT272" s="161" t="str">
        <f>IF(COUNT(SnapshotTable[[#This Row],[LP Symbol Count]],SnapshotTable[[#This Row],[SP Symbol Count]],SnapshotTable[[#This Row],[LC Symbol Count]],SnapshotTable[[#This Row],[SC Symbol Count]])&gt;0, "Y", "")</f>
        <v/>
      </c>
      <c r="GU27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2" s="231" t="e">
        <f>MAX(SnapshotTable[[#This Row],[Equity Basis Total]],SnapshotTable[[#This Row],[Equity Value]]) + (SnapshotTable[[#This Row],[SP Potential Spend]]- SnapshotTable[[#This Row],[SP Premium]] + SnapshotTable[[#This Row],[LP Premium]])+ (SnapshotTable[[#This Row],[LC Premium]] - SnapshotTable[[#This Row],[SC Premium]])</f>
        <v>#VALUE!</v>
      </c>
      <c r="GW272" s="139" t="e">
        <f>IF(AND(SnapshotTable[[#This Row],[Exposure]] &lt;&gt; 0),SnapshotTable[[#This Row],[Exposure]] / SnapshotTable[[#Totals],[Exposure]], "")</f>
        <v>#VALUE!</v>
      </c>
      <c r="HK272" s="1"/>
      <c r="HL272" s="1"/>
      <c r="HM272" s="1"/>
      <c r="HN272" s="1"/>
      <c r="HO272" s="1"/>
      <c r="HP272" s="1"/>
    </row>
    <row r="273" spans="2:224" ht="12.75" hidden="1" customHeight="1" x14ac:dyDescent="0.25">
      <c r="B273" s="12" t="s">
        <v>568</v>
      </c>
      <c r="C273" s="422">
        <v>747.41</v>
      </c>
      <c r="D273" s="208" t="s">
        <v>586</v>
      </c>
      <c r="E273" s="39">
        <f>SnapshotTable[[#This Row],[Last Price]]*(1 -CrashDiscount)</f>
        <v>635.29849999999999</v>
      </c>
      <c r="F273" s="26" t="s">
        <v>5</v>
      </c>
      <c r="G273" s="26" t="s">
        <v>4</v>
      </c>
      <c r="H273" s="149"/>
      <c r="I273" s="194"/>
      <c r="J273" s="195"/>
      <c r="K273" s="196"/>
      <c r="L273" s="326"/>
      <c r="M273" s="140"/>
      <c r="N273" s="140"/>
      <c r="O273" s="140"/>
      <c r="P273" s="22"/>
      <c r="Q273" s="25"/>
      <c r="R273" s="4" t="str">
        <f>IF(SnapshotTable[[#This Row],[Equity Basis Total]] &gt; 0, SnapshotTable[[#This Row],[Equity Basis Total]] / SnapshotTable[[#This Row],[Equity Shares]], "")</f>
        <v/>
      </c>
      <c r="S273" s="269">
        <f>SnapshotTable[[#This Row],[Last Price]] * SnapshotTable[[#This Row],[Equity Shares]]</f>
        <v>0</v>
      </c>
      <c r="T273" s="269">
        <f>SnapshotTable[[#This Row],[Equity Value]] - SnapshotTable[[#This Row],[Equity Basis Total]]</f>
        <v>0</v>
      </c>
      <c r="U273" s="270" t="str">
        <f>IF(SnapshotTable[[#This Row],[Equity Basis Total]] &gt; 0, SnapshotTable[[#This Row],[Equity G/L]] / SnapshotTable[[#This Row],[Equity Basis Total]], "")</f>
        <v/>
      </c>
      <c r="V273" s="268"/>
      <c r="W273" s="268"/>
      <c r="X273" s="4" t="str">
        <f>IF(AND(ISNUMBER(SnapshotTable[[#This Row],[Equity Basis Per Share]]),ISNUMBER(SnapshotTable[[#This Row],[Equity Target]])),SnapshotTable[[#This Row],[Equity Target]]-SnapshotTable[[#This Row],[Equity Basis Per Share]],"")</f>
        <v/>
      </c>
      <c r="Y273" s="4" t="str">
        <f>IF(AND(ISNUMBER(SnapshotTable[[#This Row],[Equity Basis Per Share]]),ISNUMBER(SnapshotTable[[#This Row],[Equity Stop Loss]])),SnapshotTable[[#This Row],[Equity Stop Loss]]-SnapshotTable[[#This Row],[Equity Basis Per Share]],"")</f>
        <v/>
      </c>
      <c r="Z273" s="275" t="str">
        <f>IFERROR( TEXT(SnapshotTable[[#This Row],[Equity Max Gain Per Share]] /ABS( SnapshotTable[[#This Row],[Equity Max Loss Per Share]]),"0.0 " ) &amp; " : 1", "")</f>
        <v/>
      </c>
      <c r="AA273" s="31" t="str">
        <f>IF(ISNUMBER(SnapshotTable[[#This Row],[Equity Max Gain Per Share]]),SnapshotTable[[#This Row],[Equity Max Gain Per Share]] * SnapshotTable[[#This Row],[Equity Shares]],"")</f>
        <v/>
      </c>
      <c r="AB273" s="31" t="str">
        <f>IF(ISNUMBER(SnapshotTable[[#This Row],[Equity Max Loss Per Share]]),SnapshotTable[[#This Row],[Equity Max Loss Per Share]] * SnapshotTable[[#This Row],[Equity Shares]],"")</f>
        <v/>
      </c>
      <c r="AC273" s="150"/>
      <c r="AD273" s="151"/>
      <c r="AE273" s="31">
        <f>(SnapshotTable[[#This Row],[Annual Dividend Per Share]] / 4) * SnapshotTable[[#This Row],[Equity Shares]]</f>
        <v>0</v>
      </c>
      <c r="AF273" s="31">
        <f>SnapshotTable[[#This Row],[Quarterly Div $]] * 4</f>
        <v>0</v>
      </c>
      <c r="AG273" s="7">
        <f>IF(SnapshotTable[[#This Row],[Annual Dividend Per Share]]&gt;0, SnapshotTable[[#This Row],[Annual Dividend Per Share]]  / SnapshotTable[[#This Row],[Last Price]], 0)</f>
        <v>0</v>
      </c>
      <c r="AH273" s="151"/>
      <c r="AI273" s="5"/>
      <c r="AJ273" s="138" t="s">
        <v>164</v>
      </c>
      <c r="AK273" s="152" t="str">
        <f>IF(ISNUMBER( SnapshotTable[[#This Row],[EBF Target]]),(SnapshotTable[[#This Row],[EBF Target]] - SnapshotTable[[#This Row],[Last Price]]) / SnapshotTable[[#This Row],[Last Price]], "")</f>
        <v/>
      </c>
      <c r="AL273" s="152" t="str">
        <f>IF(AND(SnapshotTable[[#This Row],[Equity Basis Total]] &gt; 0,ISNUMBER( SnapshotTable[[#This Row],[Long Term Target]])), SnapshotTable[[#This Row],[From Basis $]] / SnapshotTable[[#This Row],[Equity Basis Total]], "")</f>
        <v/>
      </c>
      <c r="AM273" s="9">
        <f>IF( AND(SnapshotTable[[#This Row],[Equity Shares]] &gt;0,ISNUMBER( SnapshotTable[[#This Row],[Long Term Target]])),(SnapshotTable[[#This Row],[Equity Shares]] * SnapshotTable[[#This Row],[Long Term Target]]) - SnapshotTable[[#This Row],[Equity Basis Total]],0)</f>
        <v>0</v>
      </c>
      <c r="AN273" s="9">
        <f>IF( AND(SnapshotTable[[#This Row],[Equity Shares]] &gt;0,ISNUMBER( SnapshotTable[[#This Row],[Long Term Target]])),(SnapshotTable[[#This Row],[Equity Shares]]*SnapshotTable[[#This Row],[Long Term Target]]) - SnapshotTable[[#This Row],[Equity Value]],0)</f>
        <v>0</v>
      </c>
      <c r="AO273" s="152" t="str">
        <f>IF(AND(ISNUMBER( SnapshotTable[[#This Row],[Long Term Target]]), ISNUMBER(SnapshotTable[[#This Row],[Last Price]])),(SnapshotTable[[#This Row],[Long Term Target]] - SnapshotTable[[#This Row],[Last Price]]) / SnapshotTable[[#This Row],[Last Price]], "")</f>
        <v/>
      </c>
      <c r="AP273" s="5">
        <v>410</v>
      </c>
      <c r="AQ273" s="38" t="s">
        <v>1078</v>
      </c>
      <c r="AR273" s="5">
        <v>400</v>
      </c>
      <c r="AS273" s="38" t="s">
        <v>26</v>
      </c>
      <c r="AT273" s="146" t="s">
        <v>826</v>
      </c>
      <c r="AU273" s="187" t="str">
        <f>IF(OR(SnapshotTable[[#This Row],[LP No Fill]]="Y",SnapshotTable[[#This Row],[SP Is Filled]],SnapshotTable[[#This Row],[LC Not Filled]]="Y",SnapshotTable[[#This Row],[SC Is Filled]]),"Y","")</f>
        <v/>
      </c>
      <c r="AV273" s="219"/>
      <c r="AW273" s="225"/>
      <c r="AX273" s="220"/>
      <c r="AY273" s="219" t="str">
        <f>IF(SnapshotTable[[#This Row],[Implied Move]]&gt;0, SnapshotTable[[#This Row],[Last Price]]-SnapshotTable[[#This Row],[Implied Move]],"")</f>
        <v/>
      </c>
      <c r="AZ273" s="219" t="str">
        <f>IF(SnapshotTable[[#This Row],[Implied Move]]&gt;0, SnapshotTable[[#This Row],[Last Price]] + SnapshotTable[[#This Row],[Implied Move]],"")</f>
        <v/>
      </c>
      <c r="BA273" s="331">
        <v>28.07</v>
      </c>
      <c r="BB273" s="347" t="s">
        <v>1233</v>
      </c>
      <c r="BC273" s="37"/>
      <c r="BD273" s="351"/>
      <c r="BE273" s="138"/>
      <c r="BF273" s="166"/>
      <c r="BG273" s="167"/>
      <c r="BH273" s="167"/>
      <c r="BI273" s="5"/>
      <c r="BJ273" s="153">
        <f>IF(SnapshotTable[[#This Row],[LP Qty]] &gt; 0, SnapshotTable[[#This Row],[LP Qty]] * SnapshotTable[[#This Row],[LP Book Price]] * 100,0)</f>
        <v>0</v>
      </c>
      <c r="BK273" s="136">
        <f>IF(SnapshotTable[[#This Row],[LP Premium]] &gt; 0, SnapshotTable[[#This Row],[LP Qty]] * SnapshotTable[[#This Row],[LP Strike Price]] * 100,0)</f>
        <v>0</v>
      </c>
      <c r="BL273" s="154"/>
      <c r="BM273" s="385" t="str">
        <f>IF(SnapshotTable[[#This Row],[LP Premium]] &gt; 0,SnapshotTable[[#This Row],[LP Exp Date]]-MAX(SnapshotTable[[#This Row],[LP Book Date]], SnapshotTable[[#This Row],[LP Fill Date]]),"")</f>
        <v/>
      </c>
      <c r="BN273" s="385" t="str">
        <f>IF(ISNUMBER( SnapshotTable[[#This Row],[LP Term]]), SnapshotTable[[#This Row],[LP Exp Date]] - MockToday,"")</f>
        <v/>
      </c>
      <c r="BO273" s="163" t="str">
        <f>IF(AND(SnapshotTable[[#This Row],[LP Exp Date]]&gt;0, SnapshotTable[[#This Row],[LP Strike Price]]&gt;0,SnapshotTable[[#This Row],[LP Qty]]&gt;0,SnapshotTable[[#This Row],[LP Book Date]]&gt;0,SnapshotTable[[#This Row],[LP Book Price]]&gt;0,SnapshotTable[[#This Row],[LP Fill Date]]=0),"Y","")</f>
        <v/>
      </c>
      <c r="BP273" s="31" t="str">
        <f>IF(AND(SnapshotTable[[#This Row],[LP No Fill]]&lt;&gt;"Y",SnapshotTable[[#This Row],[LP Contract Value]]&gt;0, SnapshotTable[[#This Row],[LP Qty]]&gt;0), SnapshotTable[[#This Row],[LP Contract Value]]*SnapshotTable[[#This Row],[LP Qty]]*100,"")</f>
        <v/>
      </c>
      <c r="BQ273" s="13"/>
      <c r="BR273" s="5" t="str">
        <f>IF(SnapshotTable[[#This Row],[SP Exp Date]]&lt;&gt;"",TRUNC(SnapshotTable[[#This Row],[Last Price]]),"")</f>
        <v/>
      </c>
      <c r="BS273" s="36"/>
      <c r="BT273" s="147"/>
      <c r="BU273" s="13"/>
      <c r="BV273" s="5"/>
      <c r="BW273" s="419" t="b">
        <f>AND(ISNUMBER(SnapshotTable[[#This Row],[SP Exp Date]]), ISNUMBER(SnapshotTable[[#This Row],[SP Strike Price]]), ISNUMBER(SnapshotTable[[#This Row],[SP Qty]]), ISNUMBER(SnapshotTable[[#This Row],[SP Book Date]]), ISNUMBER(SnapshotTable[[#This Row],[SP Book Price]]))</f>
        <v>0</v>
      </c>
      <c r="BX273" s="419" t="b">
        <f>AND(SnapshotTable[[#This Row],[SP Is Booked]], NOT(ISBLANK(SnapshotTable[[#This Row],[SP Fill Date]])))</f>
        <v>0</v>
      </c>
      <c r="BY273" s="33">
        <f>IF(SnapshotTable[[#This Row],[SP Is Booked]], SnapshotTable[[#This Row],[SP Qty]] * SnapshotTable[[#This Row],[SP Book Price]] * 100, 0)</f>
        <v>0</v>
      </c>
      <c r="BZ273" s="369"/>
      <c r="CA273" s="368">
        <f>SnapshotTable[[#This Row],[LP Qty]]</f>
        <v>0</v>
      </c>
      <c r="CB273" s="4" t="str">
        <f>IF(SnapshotTable[[#This Row],[SP Is Booked]], SnapshotTable[[#This Row],[SP Strike Price]] - SnapshotTable[[#This Row],[SP Book Price]], "")</f>
        <v/>
      </c>
      <c r="CC273" s="19" t="str">
        <f>IF(SnapshotTable[[#This Row],[SP Is Booked]],SnapshotTable[[#This Row],[SP Exp Date]]-MAX(SnapshotTable[[#This Row],[SP Book Date]], SnapshotTable[[#This Row],[SP Fill Date]]),"")</f>
        <v/>
      </c>
      <c r="CD273" s="7" t="str">
        <f>IF(SnapshotTable[[#This Row],[SP Is Booked]], SnapshotTable[[#This Row],[SP Book Price]]/SnapshotTable[[#This Row],[SP Strike Price]], "")</f>
        <v/>
      </c>
      <c r="CE273" s="7" t="str">
        <f>IF(ISNUMBER(SnapshotTable[[#This Row],[SP ROO Term]]),SnapshotTable[[#This Row],[SP ROO Term]]*(365/SnapshotTable[[#This Row],[SP Term]]),"")</f>
        <v/>
      </c>
      <c r="CF273" s="236">
        <f>SnapshotTable[[#This Row],[LP Strike Price]] * SnapshotTable[[#This Row],[LP Qty]] * 100</f>
        <v>0</v>
      </c>
      <c r="CG273" s="31" t="e">
        <f>IF(ISNUMBER(SnapshotTable[[#This Row],[SP Premium]]), (SnapshotTable[[#This Row],[SP Qty]] * SnapshotTable[[#This Row],[SP Strike Price]]* 100) - SnapshotTable[[#This Row],[LP Protection]], 0)</f>
        <v>#VALUE!</v>
      </c>
      <c r="CH273" s="7" t="str">
        <f>IF(ISNUMBER(SnapshotTable[[#This Row],[SP Break Even]]),-1 * (SnapshotTable[[#This Row],[SP Break Even]] - SnapshotTable[[#This Row],[Last Price]]) / SnapshotTable[[#This Row],[Last Price]], "")</f>
        <v/>
      </c>
      <c r="CI273" s="31">
        <f>IF(AND(ISNUMBER((SnapshotTable[[#This Row],[SP Potential Spend]])), SnapshotTable[[#This Row],[SP Strike Price]] &gt; SnapshotTable[[#This Row],[Last Price]], SnapshotTable[[#This Row],[SP Is Filled]]), SnapshotTable[[#This Row],[SP Potential Spend]] -  SnapshotTable[[#This Row],[LP Max Value]], 0)</f>
        <v>0</v>
      </c>
      <c r="CJ273" s="244"/>
      <c r="CK273" s="31" t="str">
        <f>IF(ISNUMBER(SnapshotTable[[#This Row],[SP Potential Spend]]),IF(ISNUMBER(SnapshotTable[[#This Row],[SP POW]]), SnapshotTable[[#This Row],[SP POW]] * SnapshotTable[[#This Row],[SP Potential Spend]], SnapshotTable[[#This Row],[SP Potential Spend]]), "")</f>
        <v/>
      </c>
      <c r="CL273" s="164" t="e">
        <f>IF(NOT(SnapshotTable[[#This Row],[SP Is Filled]]),(SnapshotTable[[#This Row],[SP Qty]] * SnapshotTable[[#This Row],[SP Strike Price]] * 100) - SnapshotTable[[#This Row],[LP Max Value]],"")</f>
        <v>#VALUE!</v>
      </c>
      <c r="CM273" s="31" t="str">
        <f>IF(SnapshotTable[[#This Row],[SP Actual Spend]]&lt;&gt;0, ((SnapshotTable[[#This Row],[SP Strike Price]]-SnapshotTable[[#This Row],[Last Price]]) *(SnapshotTable[[#This Row],[SP Qty]]*100) - SnapshotTable[[#This Row],[SP Premium]]) * - 1, "")</f>
        <v/>
      </c>
      <c r="CN273" s="154"/>
      <c r="CO273" s="369"/>
      <c r="CP273" s="4" t="str">
        <f>IF(SnapshotTable[[#This Row],[SP Is Filled]], btc_max_buyback_amount(SnapshotTable[[#This Row],[SP Fill Date]],SnapshotTable[[#This Row],[SP Exp Date]], SnapshotTable[[#This Row],[SP Book Price]]),"")</f>
        <v/>
      </c>
      <c r="CQ273" s="78"/>
      <c r="CR27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3" s="155" t="str">
        <f>IF(SnapshotTable[[#This Row],[SP Is Filled]], btc_next_cutoff_date(SnapshotTable[[#This Row],[SP Fill Date]],SnapshotTable[[#This Row],[SP Exp Date]]),"")</f>
        <v/>
      </c>
      <c r="CT273" s="235" t="str" cm="1">
        <f t="array" ref="CT273">IF(SnapshotTable[[#This Row],[SP Is Filled]], btc_should_buy_back(SnapshotTable[[#This Row],[SP Fill Date]], SnapshotTable[[#This Row],[SP Exp Date]], SnapshotTable[[#This Row],[SP Book Price]], SnapshotTable[[#This Row],[SP Current Ask]], MockToday, SnapshotTable[[#This Row],[SP Buyback Override]]),"")</f>
        <v/>
      </c>
      <c r="CU273" s="156"/>
      <c r="CV273" s="235"/>
      <c r="CW273" s="378" t="str">
        <f>IF(ISNUMBER( SnapshotTable[[#This Row],[SP Term]]), SnapshotTable[[#This Row],[SP Exp Date]] - MockToday,"")</f>
        <v/>
      </c>
      <c r="CX273" s="31" t="str">
        <f>IF(SnapshotTable[[#This Row],[SP Is Filled]],SnapshotTable[[#This Row],[SP Buyback Price to Use]] * 100 * SnapshotTable[[#This Row],[SP Qty]], "")</f>
        <v/>
      </c>
      <c r="CY273" s="4" t="str">
        <f>IF(ISNUMBER(SnapshotTable[[#This Row],[SP Strike Price]]), SnapshotTable[[#This Row],[SP Strike Price]] * (1 - SP_MaxLoss_StrikePct), "")</f>
        <v/>
      </c>
      <c r="CZ273" s="31" t="str">
        <f>IF(ISNUMBER(SnapshotTable[[#This Row],[SP Strike  Stop Per Share]]),SnapshotTable[[#This Row],[SP Premium]] - ((SnapshotTable[[#This Row],[SP Strike Price]]-SnapshotTable[[#This Row],[SP Strike  Stop Per Share]]) *(SnapshotTable[[#This Row],[SP Qty]] * 100)),"")</f>
        <v/>
      </c>
      <c r="DA273" s="4" t="str">
        <f>IF(AND(ISNUMBER(SnapshotTable[[#This Row],[SP Premium]]),SnapshotTable[[#This Row],[SP Premium]]&gt;0), SnapshotTable[[#This Row],[SP Book Price]] * (1 + SP_MaxLoss_OptionPct), "")</f>
        <v/>
      </c>
      <c r="DB273" s="31" t="str">
        <f>IF(ISNUMBER(SnapshotTable[[#This Row],[SP Option  Stop Contract]]),(SnapshotTable[[#This Row],[SP Option  Stop Contract]] *(SnapshotTable[[#This Row],[SP Qty]] * 100) - SnapshotTable[[#This Row],[SP Premium]]),"")</f>
        <v/>
      </c>
      <c r="DC273" s="4"/>
      <c r="DD273" s="4"/>
      <c r="DE273" s="4" t="str">
        <f>IF(AND(SnapshotTable[[#This Row],[SP Qty]]&gt;0, SnapshotTable[[#This Row],[SP Stop To Use]]&gt;0),SnapshotTable[[#This Row],[SP Premium]] - ( SnapshotTable[[#This Row],[SP Qty]] * SnapshotTable[[#This Row],[SP Stop To Use]] * 100), "")</f>
        <v/>
      </c>
      <c r="DF273" s="31" t="str">
        <f>IF(AND(SnapshotTable[[#This Row],[SP Qty]]&gt;0,SnapshotTable[[#This Row],[SP Current Ask]]&gt;0), SnapshotTable[[#This Row],[SP Qty]] * SnapshotTable[[#This Row],[SP Current Ask]] * -100, "")</f>
        <v/>
      </c>
      <c r="DG273" s="31" t="str">
        <f>IF(ISNUMBER((SnapshotTable[[#This Row],[SP Total Value]])), SnapshotTable[[#This Row],[SP Premium]] + SnapshotTable[[#This Row],[SP Total Value]], "")</f>
        <v/>
      </c>
      <c r="DH273" s="294" t="str">
        <f>IF(ISNUMBER((SnapshotTable[[#This Row],[SP Total Value]])), SnapshotTable[[#This Row],[SP Gain Loss]] / SnapshotTable[[#This Row],[SP Premium]], "")</f>
        <v/>
      </c>
      <c r="DI273" s="406"/>
      <c r="DJ273" s="138"/>
      <c r="DK273" s="148"/>
      <c r="DL273" s="13"/>
      <c r="DM273" s="13"/>
      <c r="DO273" s="31">
        <f>IF(SnapshotTable[[#This Row],[LC Symbol Count]]=1, SnapshotTable[[#This Row],[LC Qty]] * SnapshotTable[[#This Row],[LC Book Price]] * 100, 0)</f>
        <v>0</v>
      </c>
      <c r="DP273" s="163" t="str">
        <f>IF(AND(SnapshotTable[[#This Row],[LC Exp Date]]&gt;0, SnapshotTable[[#This Row],[LC Strike Price]]&gt;0,SnapshotTable[[#This Row],[LC Qty]]&gt;0,SnapshotTable[[#This Row],[LC Book Date]]&gt;0,SnapshotTable[[#This Row],[LC Book Price]]&gt;0,SnapshotTable[[#This Row],[LC Fill Date]]=0),"Y","")</f>
        <v/>
      </c>
      <c r="DQ273" s="386" t="str">
        <f>IF(SnapshotTable[[#This Row],[LC Premium]] &gt; 0,SnapshotTable[[#This Row],[LC Exp Date]]-MAX(SnapshotTable[[#This Row],[LC Book Date]], SnapshotTable[[#This Row],[LC Fill Date]]),"")</f>
        <v/>
      </c>
      <c r="DR273" s="386" t="str">
        <f>IF(ISNUMBER(SnapshotTable[[#This Row],[LC Term]]), SnapshotTable[[#This Row],[LC Exp Date]] - MockToday, "")</f>
        <v/>
      </c>
      <c r="DS273" s="234" t="str">
        <f>IF(SnapshotTable[[#This Row],[LC Premium]]&gt;0,SnapshotTable[[#This Row],[LC Strike Price]] + SnapshotTable[[#This Row],[LC Book Price]],"")</f>
        <v/>
      </c>
      <c r="DU273" s="9" t="str">
        <f>IF(AND(SnapshotTable[[#This Row],[LC Symbol Count]]&gt;0, SnapshotTable[[#This Row],[LC Contract Value]]&gt;0), SnapshotTable[[#This Row],[LC Contract Value]] * SnapshotTable[[#This Row],[LC Qty]] * 100, "")</f>
        <v/>
      </c>
      <c r="DV273" s="9" t="str">
        <f>IF(AND(ISNUMBER(SnapshotTable[[#This Row],[LC Total Value]]), SnapshotTable[[#This Row],[LC Not Filled]]&lt;&gt;"Y"), SnapshotTable[[#This Row],[LC Total Value]]-SnapshotTable[[#This Row],[LC Premium]],"")</f>
        <v/>
      </c>
      <c r="DW273" s="240" t="str">
        <f>IF(ISNUMBER(SnapshotTable[[#This Row],[LC Actual Gain Loss]]), SnapshotTable[[#This Row],[LC Actual Gain Loss]] / SnapshotTable[[#This Row],[LC Premium]],"")</f>
        <v/>
      </c>
      <c r="DX273" s="284" t="str">
        <f>IF(ISNUMBER(SnapshotTable[[#This Row],[LC Book Price]]),SnapshotTable[[#This Row],[LC Book Price]] * 1.5,"")</f>
        <v/>
      </c>
      <c r="DY273" s="265" t="str">
        <f>IF(SnapshotTable[[#This Row],[LC Premium]]&gt;0, SnapshotTable[[#This Row],[LC Next Target]] * SnapshotTable[[#This Row],[LC Qty]] * 100,"")</f>
        <v/>
      </c>
      <c r="DZ273" s="265" t="str">
        <f>IF(ISNUMBER(SnapshotTable[[#This Row],[LC Target Gross]]), SnapshotTable[[#This Row],[LC Target Gross]] - SnapshotTable[[#This Row],[LC Premium]], "")</f>
        <v/>
      </c>
      <c r="EA273" s="305" t="str">
        <f>IF(ISNUMBER(SnapshotTable[[#This Row],[LC Target Gain Loss]]), SnapshotTable[[#This Row],[LC Target Gain Loss]]/SnapshotTable[[#This Row],[LC Premium]], "")</f>
        <v/>
      </c>
      <c r="EB273" s="262"/>
      <c r="EC273" s="283" t="str">
        <f>IF(SnapshotTable[[#This Row],[LC Premium]]&gt;0, SnapshotTable[[#This Row],[LC Book Price]] * (1 - LC_StopLoss_Pct),"")</f>
        <v/>
      </c>
      <c r="ED273" s="284"/>
      <c r="EE273" s="283" t="str">
        <f>IF(ISNUMBER(SnapshotTable[[#This Row],[LC Contract Value]]),IF(ISNUMBER(SnapshotTable[[#This Row],[LC Stop Loss Override]]), SnapshotTable[[#This Row],[LC Stop Loss Override]],SnapshotTable[[#This Row],[LC Stop Loss Calc Target]]),"")</f>
        <v/>
      </c>
      <c r="EF273" s="31" t="str">
        <f>IF(ISNUMBER(SnapshotTable[[#This Row],[LC Stop  To Use]]), (SnapshotTable[[#This Row],[LC Stop  To Use]] * SnapshotTable[[#This Row],[LC Qty]] * 100),"")</f>
        <v/>
      </c>
      <c r="EG273" s="9" t="str">
        <f>IF(ISNUMBER(SnapshotTable[[#This Row],[LC Total Value]]),SnapshotTable[[#This Row],[LC Stop Loss Amount]] - SnapshotTable[[#This Row],[LC Premium]],"")</f>
        <v/>
      </c>
      <c r="EH273" s="9">
        <f>IF(ISNUMBER(SnapshotTable[[#This Row],[LC Premium]]), SnapshotTable[[#This Row],[LC Qty]] * 100 * SnapshotTable[[#This Row],[LC Strike Price]], "")</f>
        <v>0</v>
      </c>
      <c r="EI273" s="240" t="str">
        <f>IF(AND(ISNUMBER(SnapshotTable[[#This Row],[LC Total Value]]),SnapshotTable[[#This Row],[LC Total Value]]&gt;0),SnapshotTable[[#This Row],[LC Stop Gain Loss]]  / SnapshotTable[[#This Row],[LC Premium]],"")</f>
        <v/>
      </c>
      <c r="EJ273" s="35">
        <f>IF(ISNUMBER(SnapshotTable[[#This Row],[Equity Shares]]),TRUNC(SnapshotTable[[#This Row],[Equity Shares]] / 100),0) + SnapshotTable[[#This Row],[LC Qty]]</f>
        <v>0</v>
      </c>
      <c r="EK273" s="147"/>
      <c r="EL273" s="138" t="str">
        <f>IF(SnapshotTable[[#This Row],[SC Exp Date]]&lt;&gt;"",TRUNC(SnapshotTable[[#This Row],[Last Price]]),"")</f>
        <v/>
      </c>
      <c r="EM273" s="148"/>
      <c r="EN273" s="147"/>
      <c r="EO273" s="147"/>
      <c r="EP273" s="138"/>
      <c r="EQ273" s="419" t="b">
        <f>AND(ISNUMBER(SnapshotTable[[#This Row],[SC Exp Date]]), ISNUMBER(SnapshotTable[[#This Row],[SC Strike Price]]), ISNUMBER(SnapshotTable[[#This Row],[SC Qty]]), ISNUMBER(SnapshotTable[[#This Row],[SC Book Date]]), ISNUMBER(SnapshotTable[[#This Row],[SC Book Price]]))</f>
        <v>0</v>
      </c>
      <c r="ER273" s="419" t="b">
        <f>AND(SnapshotTable[[#This Row],[SC Is Booked]], NOT(ISBLANK(SnapshotTable[[#This Row],[SC Fill Date]])))</f>
        <v>0</v>
      </c>
      <c r="ES273" s="370"/>
      <c r="ET273" s="34" t="str">
        <f>IF(AND(ISNUMBER(SnapshotTable[[#This Row],[SC Exp Date]]), ISNUMBER(SnapshotTable[[#This Row],[SC Book Date]])), SnapshotTable[[#This Row],[SC Exp Date]] - MAX(SnapshotTable[[#This Row],[SC Book Date]], SnapshotTable[[#This Row],[SC Fill Date]]) + 1, "")</f>
        <v/>
      </c>
      <c r="EU273" s="34" t="str">
        <f>IF(ISNUMBER(SnapshotTable[[#This Row],[SC Term]]), SnapshotTable[[#This Row],[SC Exp Date]]- MockToday, "")</f>
        <v/>
      </c>
      <c r="EV273" s="31">
        <f>IF(SnapshotTable[[#This Row],[SC Is Booked]], SnapshotTable[[#This Row],[SC Qty]] * SnapshotTable[[#This Row],[SC Book Price]] * 100, 0)</f>
        <v>0</v>
      </c>
      <c r="EW273" s="4" t="str">
        <f>IF(AND(ISNUMBER(SnapshotTable[[#This Row],[Last Price]]), ISNUMBER( SnapshotTable[[#This Row],[SC Book Price]])), SnapshotTable[[#This Row],[Last Price]] - SnapshotTable[[#This Row],[SC Book Price]],"")</f>
        <v/>
      </c>
      <c r="EX273" s="234" t="str">
        <f>IF(SnapshotTable[[#This Row],[SC Is Booked]],IF(SnapshotTable[[#This Row],[SC Intrinsic Value]] &gt; 0, SnapshotTable[[#This Row],[SC Strike Price]], SnapshotTable[[#This Row],[Last Price]]), "")</f>
        <v/>
      </c>
      <c r="EY273" s="4">
        <f>IF(SnapshotTable[[#This Row],[SC Is Booked]], (MinimumPremiumRequired * SnapshotTable[[#This Row],[SC Basis]] * SnapshotTable[[#This Row],[SC Term]]), 0)</f>
        <v>0</v>
      </c>
      <c r="EZ273" s="283"/>
      <c r="FA273" s="218"/>
      <c r="FB273" s="370"/>
      <c r="FC273" s="4">
        <f>IF(SnapshotTable[[#This Row],[SC Is Filled]], btc_max_buyback_amount(SnapshotTable[[#This Row],[SC Fill Date]],SnapshotTable[[#This Row],[SC Exp Date]], SnapshotTable[[#This Row],[SC Book Price]]),0)</f>
        <v>0</v>
      </c>
      <c r="FD273" s="5"/>
      <c r="FE273" s="144" t="str">
        <f>IF(SnapshotTable[[#This Row],[SC Is Filled]], btc_next_cutoff_date(SnapshotTable[[#This Row],[SC Fill Date]],SnapshotTable[[#This Row],[SC Exp Date]]),"")</f>
        <v/>
      </c>
      <c r="FF273" s="4" t="str" cm="1">
        <f t="array" ref="FF273">IF(SnapshotTable[[#This Row],[SC Is Filled]], btc_should_buy_back(SnapshotTable[[#This Row],[SC Fill Date]], SnapshotTable[[#This Row],[SC Exp Date]], SnapshotTable[[#This Row],[SC Book Price]], SnapshotTable[[#This Row],[SC Current Ask]], MockToday, SnapshotTable[[#This Row],[SC Buyback Override]]),"")</f>
        <v/>
      </c>
      <c r="FG273" s="4">
        <f>IF(SnapshotTable[[#This Row],[SC Is Filled]], MAX(0,SnapshotTable[[#This Row],[Last Price]]  - SnapshotTable[[#This Row],[SC Strike Price]]), 0)</f>
        <v>0</v>
      </c>
      <c r="FH273" s="382">
        <f>IF(SnapshotTable[[#This Row],[SC Is Filled]], IF(ISNUMBER(SnapshotTable[[#This Row],[SC Current Ask]]), SnapshotTable[[#This Row],[SC Current Ask]], SnapshotTable[[#This Row],[SC Book Price]]) - SnapshotTable[[#This Row],[SC Intrinsic Value]], 0)</f>
        <v>0</v>
      </c>
      <c r="FI273" s="143"/>
      <c r="FJ273" s="32" t="str">
        <f>IF(SnapshotTable[[#This Row],[SC Is Filled]],100 * SnapshotTable[[#This Row],[SC Qty]] * IF(ISNUMBER(SnapshotTable[[#This Row],[SC Buyback Override]]), SnapshotTable[[#This Row],[SC Buyback Override]], SnapshotTable[[#This Row],[SC Current Ask]]), "")</f>
        <v/>
      </c>
      <c r="FK273" s="250" t="str">
        <f>IF(SnapshotTable[[#This Row],[SC Time Val]]&gt;0, SnapshotTable[[#This Row],[SC Time Val]] / SnapshotTable[[#This Row],[Last Price]],"")</f>
        <v/>
      </c>
      <c r="FL273" s="302" t="str">
        <f>IF(SnapshotTable[[#This Row],[SC Is Booked]], ((SnapshotTable[[#This Row],[Last Price]] -SnapshotTable[[#This Row],[SC Strike Price]]) / SnapshotTable[[#This Row],[Last Price]]) * -1, "")</f>
        <v/>
      </c>
      <c r="FM273" s="157" t="str">
        <f>IF(SnapshotTable[[#This Row],[SC Is Booked]],  (SnapshotTable[[#This Row],[SC Qty]] * 100 * SnapshotTable[[#This Row],[SC Strike Price]]) - SnapshotTable[[#This Row],[SC Current Ask]], "")</f>
        <v/>
      </c>
      <c r="FN273"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3" s="157" t="str">
        <f>IF(AND(ISNUMBER(SnapshotTable[[#This Row],[SC Exercise Gross]]), ISNUMBER(SnapshotTable[[#This Row],[Equity Basis Per Share]] )), SnapshotTable[[#This Row],[SC Exercise Gross]] - SnapshotTable[[#This Row],[Equity Basis Total]] +  SnapshotTable[[#This Row],[SC Premium]], "")</f>
        <v/>
      </c>
      <c r="FP273" s="5" t="str">
        <f>IF(ISNUMBER(SnapshotTable[[#This Row],[SC Exercise Gross]]), (SnapshotTable[[#This Row],[SC Exercise Gross]]) / (SnapshotTable[[#This Row],[SC Qty]] * 100), "")</f>
        <v/>
      </c>
      <c r="FQ273" s="27" t="str">
        <f>IF(SnapshotTable[[#This Row],[SC Is Booked]],SnapshotTable[[#This Row],[SC Time Val]] /SnapshotTable[[#This Row],[SC Basis]], "")</f>
        <v/>
      </c>
      <c r="FR273" s="27" t="str" cm="1">
        <f t="array" ref="FR273">IF(AND(ISNUMBER(SnapshotTable[[#This Row],[SC Term]]),ISNUMBER(SnapshotTable[[#This Row],[SC Simple ROO]])), EllmanAnnualize(SnapshotTable[[#This Row],[SC DTE]], SnapshotTable[[#This Row],[SC Simple ROO]] ),"")</f>
        <v/>
      </c>
      <c r="FS273" s="4" t="e">
        <f>IF(SnapshotTable[[#This Row],[SC Strike Price]] &gt; SnapshotTable[[#This Row],[Last Price]], SnapshotTable[[#This Row],[SC Strike Price]] - SnapshotTable[[#This Row],[Last Price]],0)</f>
        <v>#VALUE!</v>
      </c>
      <c r="FT273" s="27" t="e">
        <f>IF(AND(ISNUMBER(SnapshotTable[[#This Row],[SC Upside Potential]]), SnapshotTable[[#This Row],[SC Upside Potential]] &gt; 0),(SnapshotTable[[#This Row],[SC Upside Potential]]/ SnapshotTable[[#This Row],[ACB]]),"")</f>
        <v>#VALUE!</v>
      </c>
      <c r="FU273" s="333" t="str">
        <f>IF(SnapshotTable[[#This Row],[SC Intrinsic Value]] &gt; 0,SnapshotTable[[#This Row],[SC Intrinsic Value]],"")</f>
        <v/>
      </c>
      <c r="FV273" s="27" t="str">
        <f>IF(AND( ISNUMBER( SnapshotTable[[#This Row],[ACB]]),ISNUMBER(SnapshotTable[[#This Row],[SC Downside Protect]])),SnapshotTable[[#This Row],[SC Downside Protect]] / SnapshotTable[[#This Row],[ACB]],"")</f>
        <v/>
      </c>
      <c r="FW273" s="236" t="str">
        <f>IF(AND(ISNUMBER(SnapshotTable[[#This Row],[SC Simple ROO]]),SnapshotTable[[#This Row],[SC Simple ROO]] &gt; 0), SnapshotTable[[#This Row],[SC Premium]] + (SnapshotTable[[#This Row],[SC Qty]] * SnapshotTable[[#This Row],[SC Upside Potential]]), "")</f>
        <v/>
      </c>
      <c r="FX273" s="302" t="str" cm="1">
        <f t="array" ref="FX273">IF(ISNUMBER(SnapshotTable[[#This Row],[SC Max Dollars]]), annualize(SnapshotTable[[#This Row],[SC Term]],(SnapshotTable[[#This Row],[SC Max Dollars]]/SnapshotTable[[#This Row],[SC Basis]])),"")</f>
        <v/>
      </c>
      <c r="FY273" s="236" t="str">
        <f>IF(AND(SnapshotTable[[#This Row],[SC Qty]]&gt;0,SnapshotTable[[#This Row],[SC Current Ask]]&gt;0), SnapshotTable[[#This Row],[SC Qty]] * SnapshotTable[[#This Row],[SC Current Ask]] * -100, "")</f>
        <v/>
      </c>
      <c r="FZ273" s="31" t="str">
        <f>IF(ISNUMBER((SnapshotTable[[#This Row],[SC Current Value]])), SnapshotTable[[#This Row],[SC Premium]] + SnapshotTable[[#This Row],[SC Current Value]], "")</f>
        <v/>
      </c>
      <c r="GA273" s="294" t="str">
        <f>IFERROR( IF(ISNUMBER((SnapshotTable[[#This Row],[SC Current Value]])), SnapshotTable[[#This Row],[SC Gain Loss]] / SnapshotTable[[#This Row],[SC Premium]], ""), "")</f>
        <v/>
      </c>
      <c r="GB273" s="42">
        <f>SnapshotTable[[#This Row],[Equity Shares]] * SaleSharesToConsiderPercentage</f>
        <v>0</v>
      </c>
      <c r="GC273" s="40" t="e">
        <f>SnapshotTable[[#This Row],[Long Term Target]] * SellingPriceToConsiderBasedOnTargetPercentage</f>
        <v>#VALUE!</v>
      </c>
      <c r="GD273" s="40">
        <f>SnapshotTable[[#This Row],[Last Price]] * (1+ SellingPriceToConsiderBasedOnTargetPercentage)</f>
        <v>1457.4494999999999</v>
      </c>
      <c r="GE273" s="41"/>
      <c r="GF273" s="40"/>
      <c r="GG273" s="31">
        <f>SnapshotTable[[#This Row],[Booked Sale Shares]] * SnapshotTable[[#This Row],[Booked Sale Price]]</f>
        <v>0</v>
      </c>
      <c r="GH273" s="31" t="str">
        <f>IF(SnapshotTable[[#This Row],[Equity Basis Total]] &gt; 0, SnapshotTable[[#This Row],[Equity Basis Per Share]] * SnapshotTable[[#This Row],[Booked Sale Shares]], "")</f>
        <v/>
      </c>
      <c r="GI273" s="31">
        <f>IF(SnapshotTable[[#This Row],[Sale Proceeds]]&gt;0, SnapshotTable[[#This Row],[Sale Proceeds]] - SnapshotTable[[#This Row],[Sale Basis]], 0)</f>
        <v>0</v>
      </c>
      <c r="GJ273" s="158" t="str">
        <f>IF(SnapshotTable[[#This Row],[Sale G/L]]&gt;0, SnapshotTable[[#This Row],[Sale G/L]] / SnapshotTable[[#This Row],[Sale Basis]], IF(ISNUMBER(SnapshotTable[[#This Row],[SC Exercise P&amp;L (TAX)]]), SnapshotTable[[#This Row],[SC Exercise P&amp;L (TAX)]] / SnapshotTable[[#This Row],[SC Basis]], ""))</f>
        <v/>
      </c>
      <c r="GK273" s="158" t="s">
        <v>1118</v>
      </c>
      <c r="GL273" s="159" t="str">
        <f>IF(AND(SnapshotTable[[#This Row],[LP Exp Date]]&gt;0,SnapshotTable[[#This Row],[LP Strike Price]]&gt;0), [1]!ToOptionSymbol(SnapshotTable[[#This Row],[Symbol]], SnapshotTable[[#This Row],[LP Strike Price]],SnapshotTable[[#This Row],[LP Exp Date]],1), "")</f>
        <v/>
      </c>
      <c r="GM273" s="30" t="str">
        <f>IF(LEN(SnapshotTable[[#This Row],[LP Symbol]])&gt;0, 1, "")</f>
        <v/>
      </c>
      <c r="GN273" s="43" t="str">
        <f>IF(AND(SnapshotTable[[#This Row],[SP Exp Date]]&gt;0,SnapshotTable[[#This Row],[SP Strike Price]]&gt;0), [1]!ToOptionSymbol(SnapshotTable[[#This Row],[Symbol]], SnapshotTable[[#This Row],[SP Strike Price]],SnapshotTable[[#This Row],[SP Exp Date]],1), "")</f>
        <v/>
      </c>
      <c r="GO273" s="30" t="str">
        <f>IF(LEN(SnapshotTable[[#This Row],[SP Symbol]])&gt;0, 1, "")</f>
        <v/>
      </c>
      <c r="GP273" s="159" t="str">
        <f>IF(AND(SnapshotTable[[#This Row],[LC Exp Date]]&gt;0,SnapshotTable[[#This Row],[LC Strike Price]]&gt;0), [1]!ToOptionSymbol(SnapshotTable[[#This Row],[Symbol]], SnapshotTable[[#This Row],[LC Strike Price]],SnapshotTable[[#This Row],[LC Exp Date]],0), "")</f>
        <v/>
      </c>
      <c r="GQ273" s="160" t="str">
        <f>IF(LEN(SnapshotTable[[#This Row],[LC Symbol]])&gt;0, 1, "")</f>
        <v/>
      </c>
      <c r="GR273" s="159" t="str">
        <f>IF(AND(SnapshotTable[[#This Row],[SC Exp Date]]&gt;0,SnapshotTable[[#This Row],[SC Strike Price]]&gt;0), [1]!ToOptionSymbol(SnapshotTable[[#This Row],[Symbol]], SnapshotTable[[#This Row],[SC Strike Price]],SnapshotTable[[#This Row],[SC Exp Date]],0), "")</f>
        <v/>
      </c>
      <c r="GS273" s="160" t="str">
        <f>IF(LEN(SnapshotTable[[#This Row],[SC Symbol]])&gt;0, 1, "")</f>
        <v/>
      </c>
      <c r="GT273" s="161" t="str">
        <f>IF(COUNT(SnapshotTable[[#This Row],[LP Symbol Count]],SnapshotTable[[#This Row],[SP Symbol Count]],SnapshotTable[[#This Row],[LC Symbol Count]],SnapshotTable[[#This Row],[SC Symbol Count]])&gt;0, "Y", "")</f>
        <v/>
      </c>
      <c r="GU27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3" s="231" t="e">
        <f>MAX(SnapshotTable[[#This Row],[Equity Basis Total]],SnapshotTable[[#This Row],[Equity Value]]) + (SnapshotTable[[#This Row],[SP Potential Spend]]- SnapshotTable[[#This Row],[SP Premium]] + SnapshotTable[[#This Row],[LP Premium]])+ (SnapshotTable[[#This Row],[LC Premium]] - SnapshotTable[[#This Row],[SC Premium]])</f>
        <v>#VALUE!</v>
      </c>
      <c r="GW273" s="139" t="e">
        <f>IF(AND(SnapshotTable[[#This Row],[Exposure]] &lt;&gt; 0),SnapshotTable[[#This Row],[Exposure]] / SnapshotTable[[#Totals],[Exposure]], "")</f>
        <v>#VALUE!</v>
      </c>
      <c r="HK273" s="1"/>
      <c r="HL273" s="1"/>
      <c r="HM273" s="1"/>
      <c r="HN273" s="1"/>
      <c r="HO273" s="1"/>
      <c r="HP273" s="1"/>
    </row>
    <row r="274" spans="2:224" ht="12.75" hidden="1" customHeight="1" x14ac:dyDescent="0.25">
      <c r="B274" s="12" t="s">
        <v>40</v>
      </c>
      <c r="C274" s="422">
        <v>58.38</v>
      </c>
      <c r="D274" s="208"/>
      <c r="E274" s="39">
        <f>SnapshotTable[[#This Row],[Last Price]]*(1 -CrashDiscount)</f>
        <v>49.622999999999998</v>
      </c>
      <c r="F274" s="26" t="s">
        <v>39</v>
      </c>
      <c r="G274" s="26" t="s">
        <v>9</v>
      </c>
      <c r="H274" s="149"/>
      <c r="I274" s="194">
        <v>45233</v>
      </c>
      <c r="J274" s="195">
        <v>44777.673611111109</v>
      </c>
      <c r="K274" s="196"/>
      <c r="L274" s="326"/>
      <c r="M274" s="140"/>
      <c r="N274" s="140"/>
      <c r="O274" s="140"/>
      <c r="P274" s="22"/>
      <c r="Q274" s="25"/>
      <c r="R274" s="4" t="str">
        <f>IF(SnapshotTable[[#This Row],[Equity Basis Total]] &gt; 0, SnapshotTable[[#This Row],[Equity Basis Total]] / SnapshotTable[[#This Row],[Equity Shares]], "")</f>
        <v/>
      </c>
      <c r="S274" s="269">
        <f>SnapshotTable[[#This Row],[Last Price]] * SnapshotTable[[#This Row],[Equity Shares]]</f>
        <v>0</v>
      </c>
      <c r="T274" s="269">
        <f>SnapshotTable[[#This Row],[Equity Value]] - SnapshotTable[[#This Row],[Equity Basis Total]]</f>
        <v>0</v>
      </c>
      <c r="U274" s="270" t="str">
        <f>IF(SnapshotTable[[#This Row],[Equity Basis Total]] &gt; 0, SnapshotTable[[#This Row],[Equity G/L]] / SnapshotTable[[#This Row],[Equity Basis Total]], "")</f>
        <v/>
      </c>
      <c r="V274" s="268"/>
      <c r="W274" s="268"/>
      <c r="X274" s="4" t="str">
        <f>IF(AND(ISNUMBER(SnapshotTable[[#This Row],[Equity Basis Per Share]]),ISNUMBER(SnapshotTable[[#This Row],[Equity Target]])),SnapshotTable[[#This Row],[Equity Target]]-SnapshotTable[[#This Row],[Equity Basis Per Share]],"")</f>
        <v/>
      </c>
      <c r="Y274" s="4" t="str">
        <f>IF(AND(ISNUMBER(SnapshotTable[[#This Row],[Equity Basis Per Share]]),ISNUMBER(SnapshotTable[[#This Row],[Equity Stop Loss]])),SnapshotTable[[#This Row],[Equity Stop Loss]]-SnapshotTable[[#This Row],[Equity Basis Per Share]],"")</f>
        <v/>
      </c>
      <c r="Z274" s="275" t="str">
        <f>IFERROR( TEXT(SnapshotTable[[#This Row],[Equity Max Gain Per Share]] /ABS( SnapshotTable[[#This Row],[Equity Max Loss Per Share]]),"0.0 " ) &amp; " : 1", "")</f>
        <v/>
      </c>
      <c r="AA274" s="31" t="str">
        <f>IF(ISNUMBER(SnapshotTable[[#This Row],[Equity Max Gain Per Share]]),SnapshotTable[[#This Row],[Equity Max Gain Per Share]] * SnapshotTable[[#This Row],[Equity Shares]],"")</f>
        <v/>
      </c>
      <c r="AB274" s="31" t="str">
        <f>IF(ISNUMBER(SnapshotTable[[#This Row],[Equity Max Loss Per Share]]),SnapshotTable[[#This Row],[Equity Max Loss Per Share]] * SnapshotTable[[#This Row],[Equity Shares]],"")</f>
        <v/>
      </c>
      <c r="AC274" s="150"/>
      <c r="AD274" s="151" t="s">
        <v>2</v>
      </c>
      <c r="AE274" s="31">
        <f>(SnapshotTable[[#This Row],[Annual Dividend Per Share]] / 4) * SnapshotTable[[#This Row],[Equity Shares]]</f>
        <v>0</v>
      </c>
      <c r="AF274" s="31">
        <f>SnapshotTable[[#This Row],[Quarterly Div $]] * 4</f>
        <v>0</v>
      </c>
      <c r="AG274" s="7">
        <f>IF(SnapshotTable[[#This Row],[Annual Dividend Per Share]]&gt;0, SnapshotTable[[#This Row],[Annual Dividend Per Share]]  / SnapshotTable[[#This Row],[Last Price]], 0)</f>
        <v>0</v>
      </c>
      <c r="AH274" s="151"/>
      <c r="AI274" s="5"/>
      <c r="AJ274" s="138">
        <v>85.72</v>
      </c>
      <c r="AK274" s="152" t="str">
        <f>IF(ISNUMBER( SnapshotTable[[#This Row],[EBF Target]]),(SnapshotTable[[#This Row],[EBF Target]] - SnapshotTable[[#This Row],[Last Price]]) / SnapshotTable[[#This Row],[Last Price]], "")</f>
        <v/>
      </c>
      <c r="AL274" s="152" t="str">
        <f>IF(AND(SnapshotTable[[#This Row],[Equity Basis Total]] &gt; 0,ISNUMBER( SnapshotTable[[#This Row],[Long Term Target]])), SnapshotTable[[#This Row],[From Basis $]] / SnapshotTable[[#This Row],[Equity Basis Total]], "")</f>
        <v/>
      </c>
      <c r="AM274" s="9">
        <f>IF( AND(SnapshotTable[[#This Row],[Equity Shares]] &gt;0,ISNUMBER( SnapshotTable[[#This Row],[Long Term Target]])),(SnapshotTable[[#This Row],[Equity Shares]] * SnapshotTable[[#This Row],[Long Term Target]]) - SnapshotTable[[#This Row],[Equity Basis Total]],0)</f>
        <v>0</v>
      </c>
      <c r="AN274" s="9">
        <f>IF( AND(SnapshotTable[[#This Row],[Equity Shares]] &gt;0,ISNUMBER( SnapshotTable[[#This Row],[Long Term Target]])),(SnapshotTable[[#This Row],[Equity Shares]]*SnapshotTable[[#This Row],[Long Term Target]]) - SnapshotTable[[#This Row],[Equity Value]],0)</f>
        <v>0</v>
      </c>
      <c r="AO274" s="152">
        <f>IF(AND(ISNUMBER( SnapshotTable[[#This Row],[Long Term Target]]), ISNUMBER(SnapshotTable[[#This Row],[Last Price]])),(SnapshotTable[[#This Row],[Long Term Target]] - SnapshotTable[[#This Row],[Last Price]]) / SnapshotTable[[#This Row],[Last Price]], "")</f>
        <v>0.46831106543336753</v>
      </c>
      <c r="AP274" s="5">
        <v>56</v>
      </c>
      <c r="AQ274" s="38" t="s">
        <v>38</v>
      </c>
      <c r="AR274" s="5">
        <v>56</v>
      </c>
      <c r="AS274" s="38" t="s">
        <v>26</v>
      </c>
      <c r="AT274" s="146" t="s">
        <v>538</v>
      </c>
      <c r="AU274" s="187" t="str">
        <f>IF(OR(SnapshotTable[[#This Row],[LP No Fill]]="Y",SnapshotTable[[#This Row],[SP Is Filled]],SnapshotTable[[#This Row],[LC Not Filled]]="Y",SnapshotTable[[#This Row],[SC Is Filled]]),"Y","")</f>
        <v/>
      </c>
      <c r="AV274" s="219"/>
      <c r="AW274" s="225"/>
      <c r="AX274" s="220"/>
      <c r="AY274" s="219" t="str">
        <f>IF(SnapshotTable[[#This Row],[Implied Move]]&gt;0, SnapshotTable[[#This Row],[Last Price]]-SnapshotTable[[#This Row],[Implied Move]],"")</f>
        <v/>
      </c>
      <c r="AZ274" s="219" t="str">
        <f>IF(SnapshotTable[[#This Row],[Implied Move]]&gt;0, SnapshotTable[[#This Row],[Last Price]] + SnapshotTable[[#This Row],[Implied Move]],"")</f>
        <v/>
      </c>
      <c r="BA274" s="331">
        <v>54.76</v>
      </c>
      <c r="BB274" s="347"/>
      <c r="BC27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4" s="351"/>
      <c r="BE274" s="5"/>
      <c r="BF274" s="14"/>
      <c r="BG274" s="13"/>
      <c r="BH274" s="13"/>
      <c r="BI274" s="5"/>
      <c r="BJ274" s="136">
        <f>IF(SnapshotTable[[#This Row],[LP Qty]] &gt; 0, SnapshotTable[[#This Row],[LP Qty]] * SnapshotTable[[#This Row],[LP Book Price]] * 100,0)</f>
        <v>0</v>
      </c>
      <c r="BK274" s="136">
        <f>IF(SnapshotTable[[#This Row],[LP Premium]] &gt; 0, SnapshotTable[[#This Row],[LP Qty]] * SnapshotTable[[#This Row],[LP Strike Price]] * 100,0)</f>
        <v>0</v>
      </c>
      <c r="BL274" s="154"/>
      <c r="BM274" s="385" t="str">
        <f>IF(SnapshotTable[[#This Row],[LP Premium]] &gt; 0,SnapshotTable[[#This Row],[LP Exp Date]]-MAX(SnapshotTable[[#This Row],[LP Book Date]], SnapshotTable[[#This Row],[LP Fill Date]]),"")</f>
        <v/>
      </c>
      <c r="BN274" s="385" t="str">
        <f>IF(ISNUMBER( SnapshotTable[[#This Row],[LP Term]]), SnapshotTable[[#This Row],[LP Exp Date]] - MockToday,"")</f>
        <v/>
      </c>
      <c r="BO274" s="163" t="str">
        <f>IF(AND(SnapshotTable[[#This Row],[LP Exp Date]]&gt;0, SnapshotTable[[#This Row],[LP Strike Price]]&gt;0,SnapshotTable[[#This Row],[LP Qty]]&gt;0,SnapshotTable[[#This Row],[LP Book Date]]&gt;0,SnapshotTable[[#This Row],[LP Book Price]]&gt;0,SnapshotTable[[#This Row],[LP Fill Date]]=0),"Y","")</f>
        <v/>
      </c>
      <c r="BP274" s="31" t="str">
        <f>IF(AND(SnapshotTable[[#This Row],[LP No Fill]]&lt;&gt;"Y",SnapshotTable[[#This Row],[LP Contract Value]]&gt;0, SnapshotTable[[#This Row],[LP Qty]]&gt;0), SnapshotTable[[#This Row],[LP Contract Value]]*SnapshotTable[[#This Row],[LP Qty]]*100,"")</f>
        <v/>
      </c>
      <c r="BQ274" s="13"/>
      <c r="BR274" s="5" t="str">
        <f>IF(SnapshotTable[[#This Row],[SP Exp Date]]&lt;&gt;"",TRUNC(SnapshotTable[[#This Row],[Last Price]]),"")</f>
        <v/>
      </c>
      <c r="BS274" s="36"/>
      <c r="BT274" s="147"/>
      <c r="BU274" s="13"/>
      <c r="BV274" s="5"/>
      <c r="BW274" s="419" t="b">
        <f>AND(ISNUMBER(SnapshotTable[[#This Row],[SP Exp Date]]), ISNUMBER(SnapshotTable[[#This Row],[SP Strike Price]]), ISNUMBER(SnapshotTable[[#This Row],[SP Qty]]), ISNUMBER(SnapshotTable[[#This Row],[SP Book Date]]), ISNUMBER(SnapshotTable[[#This Row],[SP Book Price]]))</f>
        <v>0</v>
      </c>
      <c r="BX274" s="419" t="b">
        <f>AND(SnapshotTable[[#This Row],[SP Is Booked]], NOT(ISBLANK(SnapshotTable[[#This Row],[SP Fill Date]])))</f>
        <v>0</v>
      </c>
      <c r="BY274" s="33">
        <f>IF(SnapshotTable[[#This Row],[SP Is Booked]], SnapshotTable[[#This Row],[SP Qty]] * SnapshotTable[[#This Row],[SP Book Price]] * 100, 0)</f>
        <v>0</v>
      </c>
      <c r="BZ274" s="369"/>
      <c r="CA274" s="368">
        <f>SnapshotTable[[#This Row],[LP Qty]]</f>
        <v>0</v>
      </c>
      <c r="CB274" s="4" t="str">
        <f>IF(SnapshotTable[[#This Row],[SP Is Booked]], SnapshotTable[[#This Row],[SP Strike Price]] - SnapshotTable[[#This Row],[SP Book Price]], "")</f>
        <v/>
      </c>
      <c r="CC274" s="19" t="str">
        <f>IF(SnapshotTable[[#This Row],[SP Is Booked]],SnapshotTable[[#This Row],[SP Exp Date]]-MAX(SnapshotTable[[#This Row],[SP Book Date]], SnapshotTable[[#This Row],[SP Fill Date]]),"")</f>
        <v/>
      </c>
      <c r="CD274" s="7" t="str">
        <f>IF(SnapshotTable[[#This Row],[SP Is Booked]], SnapshotTable[[#This Row],[SP Book Price]]/SnapshotTable[[#This Row],[SP Strike Price]], "")</f>
        <v/>
      </c>
      <c r="CE274" s="7" t="str">
        <f>IF(ISNUMBER(SnapshotTable[[#This Row],[SP ROO Term]]),SnapshotTable[[#This Row],[SP ROO Term]]*(365/SnapshotTable[[#This Row],[SP Term]]),"")</f>
        <v/>
      </c>
      <c r="CF274" s="236">
        <f>SnapshotTable[[#This Row],[LP Strike Price]] * SnapshotTable[[#This Row],[LP Qty]] * 100</f>
        <v>0</v>
      </c>
      <c r="CG274" s="31" t="e">
        <f>IF(ISNUMBER(SnapshotTable[[#This Row],[SP Premium]]), (SnapshotTable[[#This Row],[SP Qty]] * SnapshotTable[[#This Row],[SP Strike Price]]* 100) - SnapshotTable[[#This Row],[LP Protection]], 0)</f>
        <v>#VALUE!</v>
      </c>
      <c r="CH274" s="7" t="str">
        <f>IF(ISNUMBER(SnapshotTable[[#This Row],[SP Break Even]]),-1 * (SnapshotTable[[#This Row],[SP Break Even]] - SnapshotTable[[#This Row],[Last Price]]) / SnapshotTable[[#This Row],[Last Price]], "")</f>
        <v/>
      </c>
      <c r="CI274" s="31">
        <f>IF(AND(ISNUMBER((SnapshotTable[[#This Row],[SP Potential Spend]])), SnapshotTable[[#This Row],[SP Strike Price]] &gt; SnapshotTable[[#This Row],[Last Price]], SnapshotTable[[#This Row],[SP Is Filled]]), SnapshotTable[[#This Row],[SP Potential Spend]] -  SnapshotTable[[#This Row],[LP Max Value]], 0)</f>
        <v>0</v>
      </c>
      <c r="CJ274" s="244"/>
      <c r="CK274" s="31" t="str">
        <f>IF(ISNUMBER(SnapshotTable[[#This Row],[SP Potential Spend]]),IF(ISNUMBER(SnapshotTable[[#This Row],[SP POW]]), SnapshotTable[[#This Row],[SP POW]] * SnapshotTable[[#This Row],[SP Potential Spend]], SnapshotTable[[#This Row],[SP Potential Spend]]), "")</f>
        <v/>
      </c>
      <c r="CL274" s="164" t="e">
        <f>IF(NOT(SnapshotTable[[#This Row],[SP Is Filled]]),(SnapshotTable[[#This Row],[SP Qty]] * SnapshotTable[[#This Row],[SP Strike Price]] * 100) - SnapshotTable[[#This Row],[LP Max Value]],"")</f>
        <v>#VALUE!</v>
      </c>
      <c r="CM274" s="31" t="str">
        <f>IF(SnapshotTable[[#This Row],[SP Actual Spend]]&lt;&gt;0, ((SnapshotTable[[#This Row],[SP Strike Price]]-SnapshotTable[[#This Row],[Last Price]]) *(SnapshotTable[[#This Row],[SP Qty]]*100) - SnapshotTable[[#This Row],[SP Premium]]) * - 1, "")</f>
        <v/>
      </c>
      <c r="CN274" s="78"/>
      <c r="CO274" s="369"/>
      <c r="CP274" s="4" t="str">
        <f>IF(SnapshotTable[[#This Row],[SP Is Filled]], btc_max_buyback_amount(SnapshotTable[[#This Row],[SP Fill Date]],SnapshotTable[[#This Row],[SP Exp Date]], SnapshotTable[[#This Row],[SP Book Price]]),"")</f>
        <v/>
      </c>
      <c r="CQ274" s="78"/>
      <c r="CR27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4" s="155" t="str">
        <f>IF(SnapshotTable[[#This Row],[SP Is Filled]], btc_next_cutoff_date(SnapshotTable[[#This Row],[SP Fill Date]],SnapshotTable[[#This Row],[SP Exp Date]]),"")</f>
        <v/>
      </c>
      <c r="CT274" s="235" t="str" cm="1">
        <f t="array" ref="CT274">IF(SnapshotTable[[#This Row],[SP Is Filled]], btc_should_buy_back(SnapshotTable[[#This Row],[SP Fill Date]], SnapshotTable[[#This Row],[SP Exp Date]], SnapshotTable[[#This Row],[SP Book Price]], SnapshotTable[[#This Row],[SP Current Ask]], MockToday, SnapshotTable[[#This Row],[SP Buyback Override]]),"")</f>
        <v/>
      </c>
      <c r="CU274" s="143"/>
      <c r="CV274" s="235"/>
      <c r="CW274" s="378" t="str">
        <f>IF(ISNUMBER( SnapshotTable[[#This Row],[SP Term]]), SnapshotTable[[#This Row],[SP Exp Date]] - MockToday,"")</f>
        <v/>
      </c>
      <c r="CX274" s="31" t="str">
        <f>IF(SnapshotTable[[#This Row],[SP Is Filled]],SnapshotTable[[#This Row],[SP Buyback Price to Use]] * 100 * SnapshotTable[[#This Row],[SP Qty]], "")</f>
        <v/>
      </c>
      <c r="CY274" s="4" t="str">
        <f>IF(ISNUMBER(SnapshotTable[[#This Row],[SP Strike Price]]), SnapshotTable[[#This Row],[SP Strike Price]] * (1 - SP_MaxLoss_StrikePct), "")</f>
        <v/>
      </c>
      <c r="CZ274" s="31" t="str">
        <f>IF(ISNUMBER(SnapshotTable[[#This Row],[SP Strike  Stop Per Share]]),SnapshotTable[[#This Row],[SP Premium]] - ((SnapshotTable[[#This Row],[SP Strike Price]]-SnapshotTable[[#This Row],[SP Strike  Stop Per Share]]) *(SnapshotTable[[#This Row],[SP Qty]] * 100)),"")</f>
        <v/>
      </c>
      <c r="DA274" s="4" t="str">
        <f>IF(AND(ISNUMBER(SnapshotTable[[#This Row],[SP Premium]]),SnapshotTable[[#This Row],[SP Premium]]&gt;0), SnapshotTable[[#This Row],[SP Book Price]] * (1 + SP_MaxLoss_OptionPct), "")</f>
        <v/>
      </c>
      <c r="DB274" s="31" t="str">
        <f>IF(ISNUMBER(SnapshotTable[[#This Row],[SP Option  Stop Contract]]),(SnapshotTable[[#This Row],[SP Option  Stop Contract]] *(SnapshotTable[[#This Row],[SP Qty]] * 100) - SnapshotTable[[#This Row],[SP Premium]]),"")</f>
        <v/>
      </c>
      <c r="DC274" s="4"/>
      <c r="DD274" s="4"/>
      <c r="DE274" s="4" t="str">
        <f>IF(AND(SnapshotTable[[#This Row],[SP Qty]]&gt;0, SnapshotTable[[#This Row],[SP Stop To Use]]&gt;0),SnapshotTable[[#This Row],[SP Premium]] - ( SnapshotTable[[#This Row],[SP Qty]] * SnapshotTable[[#This Row],[SP Stop To Use]] * 100), "")</f>
        <v/>
      </c>
      <c r="DF274" s="31" t="str">
        <f>IF(AND(SnapshotTable[[#This Row],[SP Qty]]&gt;0,SnapshotTable[[#This Row],[SP Current Ask]]&gt;0), SnapshotTable[[#This Row],[SP Qty]] * SnapshotTable[[#This Row],[SP Current Ask]] * -100, "")</f>
        <v/>
      </c>
      <c r="DG274" s="31" t="str">
        <f>IF(ISNUMBER((SnapshotTable[[#This Row],[SP Total Value]])), SnapshotTable[[#This Row],[SP Premium]] + SnapshotTable[[#This Row],[SP Total Value]], "")</f>
        <v/>
      </c>
      <c r="DH274" s="294" t="str">
        <f>IF(ISNUMBER((SnapshotTable[[#This Row],[SP Total Value]])), SnapshotTable[[#This Row],[SP Gain Loss]] / SnapshotTable[[#This Row],[SP Premium]], "")</f>
        <v/>
      </c>
      <c r="DI274" s="406"/>
      <c r="DJ274" s="138"/>
      <c r="DK274" s="148"/>
      <c r="DL274" s="13"/>
      <c r="DM274" s="13"/>
      <c r="DO274" s="31">
        <f>IF(SnapshotTable[[#This Row],[LC Symbol Count]]=1, SnapshotTable[[#This Row],[LC Qty]] * SnapshotTable[[#This Row],[LC Book Price]] * 100, 0)</f>
        <v>0</v>
      </c>
      <c r="DP274" s="163" t="str">
        <f>IF(AND(SnapshotTable[[#This Row],[LC Exp Date]]&gt;0, SnapshotTable[[#This Row],[LC Strike Price]]&gt;0,SnapshotTable[[#This Row],[LC Qty]]&gt;0,SnapshotTable[[#This Row],[LC Book Date]]&gt;0,SnapshotTable[[#This Row],[LC Book Price]]&gt;0,SnapshotTable[[#This Row],[LC Fill Date]]=0),"Y","")</f>
        <v/>
      </c>
      <c r="DQ274" s="386" t="str">
        <f>IF(SnapshotTable[[#This Row],[LC Premium]] &gt; 0,SnapshotTable[[#This Row],[LC Exp Date]]-MAX(SnapshotTable[[#This Row],[LC Book Date]], SnapshotTable[[#This Row],[LC Fill Date]]),"")</f>
        <v/>
      </c>
      <c r="DR274" s="386" t="str">
        <f>IF(ISNUMBER(SnapshotTable[[#This Row],[LC Term]]), SnapshotTable[[#This Row],[LC Exp Date]] - MockToday, "")</f>
        <v/>
      </c>
      <c r="DS274" s="234" t="str">
        <f>IF(SnapshotTable[[#This Row],[LC Premium]]&gt;0,SnapshotTable[[#This Row],[LC Strike Price]] + SnapshotTable[[#This Row],[LC Book Price]],"")</f>
        <v/>
      </c>
      <c r="DU274" s="9" t="str">
        <f>IF(AND(SnapshotTable[[#This Row],[LC Symbol Count]]&gt;0, SnapshotTable[[#This Row],[LC Contract Value]]&gt;0), SnapshotTable[[#This Row],[LC Contract Value]] * SnapshotTable[[#This Row],[LC Qty]] * 100, "")</f>
        <v/>
      </c>
      <c r="DV274" s="9" t="str">
        <f>IF(AND(ISNUMBER(SnapshotTable[[#This Row],[LC Total Value]]), SnapshotTable[[#This Row],[LC Not Filled]]&lt;&gt;"Y"), SnapshotTable[[#This Row],[LC Total Value]]-SnapshotTable[[#This Row],[LC Premium]],"")</f>
        <v/>
      </c>
      <c r="DW274" s="240" t="str">
        <f>IF(ISNUMBER(SnapshotTable[[#This Row],[LC Actual Gain Loss]]), SnapshotTable[[#This Row],[LC Actual Gain Loss]] / SnapshotTable[[#This Row],[LC Premium]],"")</f>
        <v/>
      </c>
      <c r="DX274" s="284" t="str">
        <f>IF(ISNUMBER(SnapshotTable[[#This Row],[LC Book Price]]),SnapshotTable[[#This Row],[LC Book Price]] * 1.5,"")</f>
        <v/>
      </c>
      <c r="DY274" s="265" t="str">
        <f>IF(SnapshotTable[[#This Row],[LC Premium]]&gt;0, SnapshotTable[[#This Row],[LC Next Target]] * SnapshotTable[[#This Row],[LC Qty]] * 100,"")</f>
        <v/>
      </c>
      <c r="DZ274" s="265" t="str">
        <f>IF(ISNUMBER(SnapshotTable[[#This Row],[LC Target Gross]]), SnapshotTable[[#This Row],[LC Target Gross]] - SnapshotTable[[#This Row],[LC Premium]], "")</f>
        <v/>
      </c>
      <c r="EA274" s="305" t="str">
        <f>IF(ISNUMBER(SnapshotTable[[#This Row],[LC Target Gain Loss]]), SnapshotTable[[#This Row],[LC Target Gain Loss]]/SnapshotTable[[#This Row],[LC Premium]], "")</f>
        <v/>
      </c>
      <c r="EB274" s="262"/>
      <c r="EC274" s="283" t="str">
        <f>IF(SnapshotTable[[#This Row],[LC Premium]]&gt;0, SnapshotTable[[#This Row],[LC Book Price]] * (1 - LC_StopLoss_Pct),"")</f>
        <v/>
      </c>
      <c r="ED274" s="284"/>
      <c r="EE274" s="283" t="str">
        <f>IF(ISNUMBER(SnapshotTable[[#This Row],[LC Contract Value]]),IF(ISNUMBER(SnapshotTable[[#This Row],[LC Stop Loss Override]]), SnapshotTable[[#This Row],[LC Stop Loss Override]],SnapshotTable[[#This Row],[LC Stop Loss Calc Target]]),"")</f>
        <v/>
      </c>
      <c r="EF274" s="31" t="str">
        <f>IF(ISNUMBER(SnapshotTable[[#This Row],[LC Stop  To Use]]), (SnapshotTable[[#This Row],[LC Stop  To Use]] * SnapshotTable[[#This Row],[LC Qty]] * 100),"")</f>
        <v/>
      </c>
      <c r="EG274" s="9" t="str">
        <f>IF(ISNUMBER(SnapshotTable[[#This Row],[LC Total Value]]),SnapshotTable[[#This Row],[LC Stop Loss Amount]] - SnapshotTable[[#This Row],[LC Premium]],"")</f>
        <v/>
      </c>
      <c r="EH274" s="9">
        <f>IF(ISNUMBER(SnapshotTable[[#This Row],[LC Premium]]), SnapshotTable[[#This Row],[LC Qty]] * 100 * SnapshotTable[[#This Row],[LC Strike Price]], "")</f>
        <v>0</v>
      </c>
      <c r="EI274" s="240" t="str">
        <f>IF(AND(ISNUMBER(SnapshotTable[[#This Row],[LC Total Value]]),SnapshotTable[[#This Row],[LC Total Value]]&gt;0),SnapshotTable[[#This Row],[LC Stop Gain Loss]]  / SnapshotTable[[#This Row],[LC Premium]],"")</f>
        <v/>
      </c>
      <c r="EJ274" s="35">
        <f>IF(ISNUMBER(SnapshotTable[[#This Row],[Equity Shares]]),TRUNC(SnapshotTable[[#This Row],[Equity Shares]] / 100),0) + SnapshotTable[[#This Row],[LC Qty]]</f>
        <v>0</v>
      </c>
      <c r="EK274" s="147"/>
      <c r="EL274" s="138" t="str">
        <f>IF(SnapshotTable[[#This Row],[SC Exp Date]]&lt;&gt;"",TRUNC(SnapshotTable[[#This Row],[Last Price]]),"")</f>
        <v/>
      </c>
      <c r="EM274" s="148"/>
      <c r="EN274" s="147"/>
      <c r="EO274" s="147"/>
      <c r="EP274" s="138"/>
      <c r="EQ274" s="419" t="b">
        <f>AND(ISNUMBER(SnapshotTable[[#This Row],[SC Exp Date]]), ISNUMBER(SnapshotTable[[#This Row],[SC Strike Price]]), ISNUMBER(SnapshotTable[[#This Row],[SC Qty]]), ISNUMBER(SnapshotTable[[#This Row],[SC Book Date]]), ISNUMBER(SnapshotTable[[#This Row],[SC Book Price]]))</f>
        <v>0</v>
      </c>
      <c r="ER274" s="419" t="b">
        <f>AND(SnapshotTable[[#This Row],[SC Is Booked]], NOT(ISBLANK(SnapshotTable[[#This Row],[SC Fill Date]])))</f>
        <v>0</v>
      </c>
      <c r="ES274" s="370"/>
      <c r="ET274" s="34" t="str">
        <f>IF(AND(ISNUMBER(SnapshotTable[[#This Row],[SC Exp Date]]), ISNUMBER(SnapshotTable[[#This Row],[SC Book Date]])), SnapshotTable[[#This Row],[SC Exp Date]] - MAX(SnapshotTable[[#This Row],[SC Book Date]], SnapshotTable[[#This Row],[SC Fill Date]]) + 1, "")</f>
        <v/>
      </c>
      <c r="EU274" s="34" t="str">
        <f>IF(ISNUMBER(SnapshotTable[[#This Row],[SC Term]]), SnapshotTable[[#This Row],[SC Exp Date]]- MockToday, "")</f>
        <v/>
      </c>
      <c r="EV274" s="31">
        <f>IF(SnapshotTable[[#This Row],[SC Is Booked]], SnapshotTable[[#This Row],[SC Qty]] * SnapshotTable[[#This Row],[SC Book Price]] * 100, 0)</f>
        <v>0</v>
      </c>
      <c r="EW274" s="4" t="str">
        <f>IF(AND(ISNUMBER(SnapshotTable[[#This Row],[Last Price]]), ISNUMBER( SnapshotTable[[#This Row],[SC Book Price]])), SnapshotTable[[#This Row],[Last Price]] - SnapshotTable[[#This Row],[SC Book Price]],"")</f>
        <v/>
      </c>
      <c r="EX274" s="234" t="str">
        <f>IF(SnapshotTable[[#This Row],[SC Is Booked]],IF(SnapshotTable[[#This Row],[SC Intrinsic Value]] &gt; 0, SnapshotTable[[#This Row],[SC Strike Price]], SnapshotTable[[#This Row],[Last Price]]), "")</f>
        <v/>
      </c>
      <c r="EY274" s="4">
        <f>IF(SnapshotTable[[#This Row],[SC Is Booked]], (MinimumPremiumRequired * SnapshotTable[[#This Row],[SC Basis]] * SnapshotTable[[#This Row],[SC Term]]), 0)</f>
        <v>0</v>
      </c>
      <c r="EZ274" s="283"/>
      <c r="FA274" s="218"/>
      <c r="FB274" s="370"/>
      <c r="FC274" s="4">
        <f>IF(SnapshotTable[[#This Row],[SC Is Filled]], btc_max_buyback_amount(SnapshotTable[[#This Row],[SC Fill Date]],SnapshotTable[[#This Row],[SC Exp Date]], SnapshotTable[[#This Row],[SC Book Price]]),0)</f>
        <v>0</v>
      </c>
      <c r="FD274" s="5"/>
      <c r="FE274" s="144" t="str">
        <f>IF(SnapshotTable[[#This Row],[SC Is Filled]], btc_next_cutoff_date(SnapshotTable[[#This Row],[SC Fill Date]],SnapshotTable[[#This Row],[SC Exp Date]]),"")</f>
        <v/>
      </c>
      <c r="FF274" s="4" t="str" cm="1">
        <f t="array" ref="FF274">IF(SnapshotTable[[#This Row],[SC Is Filled]], btc_should_buy_back(SnapshotTable[[#This Row],[SC Fill Date]], SnapshotTable[[#This Row],[SC Exp Date]], SnapshotTable[[#This Row],[SC Book Price]], SnapshotTable[[#This Row],[SC Current Ask]], MockToday, SnapshotTable[[#This Row],[SC Buyback Override]]),"")</f>
        <v/>
      </c>
      <c r="FG274" s="4">
        <f>IF(SnapshotTable[[#This Row],[SC Is Filled]], MAX(0,SnapshotTable[[#This Row],[Last Price]]  - SnapshotTable[[#This Row],[SC Strike Price]]), 0)</f>
        <v>0</v>
      </c>
      <c r="FH274" s="382">
        <f>IF(SnapshotTable[[#This Row],[SC Is Filled]], IF(ISNUMBER(SnapshotTable[[#This Row],[SC Current Ask]]), SnapshotTable[[#This Row],[SC Current Ask]], SnapshotTable[[#This Row],[SC Book Price]]) - SnapshotTable[[#This Row],[SC Intrinsic Value]], 0)</f>
        <v>0</v>
      </c>
      <c r="FI274" s="143"/>
      <c r="FJ274" s="32" t="str">
        <f>IF(SnapshotTable[[#This Row],[SC Is Filled]],100 * SnapshotTable[[#This Row],[SC Qty]] * IF(ISNUMBER(SnapshotTable[[#This Row],[SC Buyback Override]]), SnapshotTable[[#This Row],[SC Buyback Override]], SnapshotTable[[#This Row],[SC Current Ask]]), "")</f>
        <v/>
      </c>
      <c r="FK274" s="250" t="str">
        <f>IF(SnapshotTable[[#This Row],[SC Time Val]]&gt;0, SnapshotTable[[#This Row],[SC Time Val]] / SnapshotTable[[#This Row],[Last Price]],"")</f>
        <v/>
      </c>
      <c r="FL274" s="302" t="str">
        <f>IF(SnapshotTable[[#This Row],[SC Is Booked]], ((SnapshotTable[[#This Row],[Last Price]] -SnapshotTable[[#This Row],[SC Strike Price]]) / SnapshotTable[[#This Row],[Last Price]]) * -1, "")</f>
        <v/>
      </c>
      <c r="FM274" s="157" t="str">
        <f>IF(SnapshotTable[[#This Row],[SC Is Booked]],  (SnapshotTable[[#This Row],[SC Qty]] * 100 * SnapshotTable[[#This Row],[SC Strike Price]]) - SnapshotTable[[#This Row],[SC Current Ask]], "")</f>
        <v/>
      </c>
      <c r="FN27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4" s="31" t="str">
        <f>IF(AND(ISNUMBER(SnapshotTable[[#This Row],[SC Exercise Gross]]), ISNUMBER(SnapshotTable[[#This Row],[Equity Basis Per Share]] )), SnapshotTable[[#This Row],[SC Exercise Gross]] - SnapshotTable[[#This Row],[Equity Basis Total]] +  SnapshotTable[[#This Row],[SC Premium]], "")</f>
        <v/>
      </c>
      <c r="FP274" s="5" t="str">
        <f>IF(ISNUMBER(SnapshotTable[[#This Row],[SC Exercise Gross]]), (SnapshotTable[[#This Row],[SC Exercise Gross]]) / (SnapshotTable[[#This Row],[SC Qty]] * 100), "")</f>
        <v/>
      </c>
      <c r="FQ274" s="27" t="str">
        <f>IF(SnapshotTable[[#This Row],[SC Is Booked]],SnapshotTable[[#This Row],[SC Time Val]] /SnapshotTable[[#This Row],[SC Basis]], "")</f>
        <v/>
      </c>
      <c r="FR274" s="27" t="str" cm="1">
        <f t="array" ref="FR274">IF(AND(ISNUMBER(SnapshotTable[[#This Row],[SC Term]]),ISNUMBER(SnapshotTable[[#This Row],[SC Simple ROO]])), EllmanAnnualize(SnapshotTable[[#This Row],[SC DTE]], SnapshotTable[[#This Row],[SC Simple ROO]] ),"")</f>
        <v/>
      </c>
      <c r="FS274" s="4" t="e">
        <f>IF(SnapshotTable[[#This Row],[SC Strike Price]] &gt; SnapshotTable[[#This Row],[Last Price]], SnapshotTable[[#This Row],[SC Strike Price]] - SnapshotTable[[#This Row],[Last Price]],0)</f>
        <v>#VALUE!</v>
      </c>
      <c r="FT274" s="27" t="e">
        <f>IF(AND(ISNUMBER(SnapshotTable[[#This Row],[SC Upside Potential]]), SnapshotTable[[#This Row],[SC Upside Potential]] &gt; 0),(SnapshotTable[[#This Row],[SC Upside Potential]]/ SnapshotTable[[#This Row],[ACB]]),"")</f>
        <v>#VALUE!</v>
      </c>
      <c r="FU274" s="333" t="str">
        <f>IF(SnapshotTable[[#This Row],[SC Intrinsic Value]] &gt; 0,SnapshotTable[[#This Row],[SC Intrinsic Value]],"")</f>
        <v/>
      </c>
      <c r="FV274" s="27" t="str">
        <f>IF(AND( ISNUMBER( SnapshotTable[[#This Row],[ACB]]),ISNUMBER(SnapshotTable[[#This Row],[SC Downside Protect]])),SnapshotTable[[#This Row],[SC Downside Protect]] / SnapshotTable[[#This Row],[ACB]],"")</f>
        <v/>
      </c>
      <c r="FW274" s="236" t="str">
        <f>IF(AND(ISNUMBER(SnapshotTable[[#This Row],[SC Simple ROO]]),SnapshotTable[[#This Row],[SC Simple ROO]] &gt; 0), SnapshotTable[[#This Row],[SC Premium]] + (SnapshotTable[[#This Row],[SC Qty]] * SnapshotTable[[#This Row],[SC Upside Potential]]), "")</f>
        <v/>
      </c>
      <c r="FX274" s="302" t="str" cm="1">
        <f t="array" ref="FX274">IF(ISNUMBER(SnapshotTable[[#This Row],[SC Max Dollars]]), annualize(SnapshotTable[[#This Row],[SC Term]],(SnapshotTable[[#This Row],[SC Max Dollars]]/SnapshotTable[[#This Row],[SC Basis]])),"")</f>
        <v/>
      </c>
      <c r="FY274" s="236" t="str">
        <f>IF(AND(SnapshotTable[[#This Row],[SC Qty]]&gt;0,SnapshotTable[[#This Row],[SC Current Ask]]&gt;0), SnapshotTable[[#This Row],[SC Qty]] * SnapshotTable[[#This Row],[SC Current Ask]] * -100, "")</f>
        <v/>
      </c>
      <c r="FZ274" s="31" t="str">
        <f>IF(ISNUMBER((SnapshotTable[[#This Row],[SC Current Value]])), SnapshotTable[[#This Row],[SC Premium]] + SnapshotTable[[#This Row],[SC Current Value]], "")</f>
        <v/>
      </c>
      <c r="GA274" s="294" t="str">
        <f>IFERROR( IF(ISNUMBER((SnapshotTable[[#This Row],[SC Current Value]])), SnapshotTable[[#This Row],[SC Gain Loss]] / SnapshotTable[[#This Row],[SC Premium]], ""), "")</f>
        <v/>
      </c>
      <c r="GB274" s="42">
        <f>SnapshotTable[[#This Row],[Equity Shares]] * SaleSharesToConsiderPercentage</f>
        <v>0</v>
      </c>
      <c r="GC274" s="40">
        <f>SnapshotTable[[#This Row],[Long Term Target]] * SellingPriceToConsiderBasedOnTargetPercentage</f>
        <v>81.433999999999997</v>
      </c>
      <c r="GD274" s="40">
        <f>SnapshotTable[[#This Row],[Last Price]] * (1+ SellingPriceToConsiderBasedOnTargetPercentage)</f>
        <v>113.84100000000001</v>
      </c>
      <c r="GE274" s="41"/>
      <c r="GF274" s="40"/>
      <c r="GG274" s="31">
        <f>SnapshotTable[[#This Row],[Booked Sale Shares]] * SnapshotTable[[#This Row],[Booked Sale Price]]</f>
        <v>0</v>
      </c>
      <c r="GH274" s="31" t="str">
        <f>IF(SnapshotTable[[#This Row],[Equity Basis Total]] &gt; 0, SnapshotTable[[#This Row],[Equity Basis Per Share]] * SnapshotTable[[#This Row],[Booked Sale Shares]], "")</f>
        <v/>
      </c>
      <c r="GI274" s="31">
        <f>IF(SnapshotTable[[#This Row],[Sale Proceeds]]&gt;0, SnapshotTable[[#This Row],[Sale Proceeds]] - SnapshotTable[[#This Row],[Sale Basis]], 0)</f>
        <v>0</v>
      </c>
      <c r="GJ274" s="27" t="str">
        <f>IF(SnapshotTable[[#This Row],[Sale G/L]]&gt;0, SnapshotTable[[#This Row],[Sale G/L]] / SnapshotTable[[#This Row],[Sale Basis]], IF(ISNUMBER(SnapshotTable[[#This Row],[SC Exercise P&amp;L (TAX)]]), SnapshotTable[[#This Row],[SC Exercise P&amp;L (TAX)]] / SnapshotTable[[#This Row],[SC Basis]], ""))</f>
        <v/>
      </c>
      <c r="GK274" s="27" t="s">
        <v>755</v>
      </c>
      <c r="GL274" s="43" t="str">
        <f>IF(AND(SnapshotTable[[#This Row],[LP Exp Date]]&gt;0,SnapshotTable[[#This Row],[LP Strike Price]]&gt;0), [1]!ToOptionSymbol(SnapshotTable[[#This Row],[Symbol]], SnapshotTable[[#This Row],[LP Strike Price]],SnapshotTable[[#This Row],[LP Exp Date]],1), "")</f>
        <v/>
      </c>
      <c r="GM274" s="30" t="str">
        <f>IF(LEN(SnapshotTable[[#This Row],[LP Symbol]])&gt;0, 1, "")</f>
        <v/>
      </c>
      <c r="GN274" s="43" t="str">
        <f>IF(AND(SnapshotTable[[#This Row],[SP Exp Date]]&gt;0,SnapshotTable[[#This Row],[SP Strike Price]]&gt;0), [1]!ToOptionSymbol(SnapshotTable[[#This Row],[Symbol]], SnapshotTable[[#This Row],[SP Strike Price]],SnapshotTable[[#This Row],[SP Exp Date]],1), "")</f>
        <v/>
      </c>
      <c r="GO274" s="30" t="str">
        <f>IF(LEN(SnapshotTable[[#This Row],[SP Symbol]])&gt;0, 1, "")</f>
        <v/>
      </c>
      <c r="GP274" s="43" t="str">
        <f>IF(AND(SnapshotTable[[#This Row],[LC Exp Date]]&gt;0,SnapshotTable[[#This Row],[LC Strike Price]]&gt;0), [1]!ToOptionSymbol(SnapshotTable[[#This Row],[Symbol]], SnapshotTable[[#This Row],[LC Strike Price]],SnapshotTable[[#This Row],[LC Exp Date]],0), "")</f>
        <v/>
      </c>
      <c r="GQ274" s="30" t="str">
        <f>IF(LEN(SnapshotTable[[#This Row],[LC Symbol]])&gt;0, 1, "")</f>
        <v/>
      </c>
      <c r="GR274" s="43" t="str">
        <f>IF(AND(SnapshotTable[[#This Row],[SC Exp Date]]&gt;0,SnapshotTable[[#This Row],[SC Strike Price]]&gt;0), [1]!ToOptionSymbol(SnapshotTable[[#This Row],[Symbol]], SnapshotTable[[#This Row],[SC Strike Price]],SnapshotTable[[#This Row],[SC Exp Date]],0), "")</f>
        <v/>
      </c>
      <c r="GS274" s="30" t="str">
        <f>IF(LEN(SnapshotTable[[#This Row],[SC Symbol]])&gt;0, 1, "")</f>
        <v/>
      </c>
      <c r="GT274" s="29" t="str">
        <f>IF(COUNT(SnapshotTable[[#This Row],[LP Symbol Count]],SnapshotTable[[#This Row],[SP Symbol Count]],SnapshotTable[[#This Row],[LC Symbol Count]],SnapshotTable[[#This Row],[SC Symbol Count]])&gt;0, "Y", "")</f>
        <v/>
      </c>
      <c r="GU27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4" s="231" t="e">
        <f>MAX(SnapshotTable[[#This Row],[Equity Basis Total]],SnapshotTable[[#This Row],[Equity Value]]) + (SnapshotTable[[#This Row],[SP Potential Spend]]- SnapshotTable[[#This Row],[SP Premium]] + SnapshotTable[[#This Row],[LP Premium]])+ (SnapshotTable[[#This Row],[LC Premium]] - SnapshotTable[[#This Row],[SC Premium]])</f>
        <v>#VALUE!</v>
      </c>
      <c r="GW274" s="139" t="e">
        <f>IF(AND(SnapshotTable[[#This Row],[Exposure]] &lt;&gt; 0),SnapshotTable[[#This Row],[Exposure]] / SnapshotTable[[#Totals],[Exposure]], "")</f>
        <v>#VALUE!</v>
      </c>
      <c r="HK274" s="1"/>
      <c r="HL274" s="1"/>
      <c r="HM274" s="1"/>
      <c r="HN274" s="1"/>
      <c r="HO274" s="1"/>
      <c r="HP274" s="1"/>
    </row>
    <row r="275" spans="2:224" ht="12.75" hidden="1" customHeight="1" x14ac:dyDescent="0.25">
      <c r="B275" s="12" t="s">
        <v>1063</v>
      </c>
      <c r="C275" s="422">
        <v>40.94</v>
      </c>
      <c r="D275" s="208" t="s">
        <v>258</v>
      </c>
      <c r="E275" s="39">
        <f>SnapshotTable[[#This Row],[Last Price]]*(1 -CrashDiscount)</f>
        <v>34.798999999999999</v>
      </c>
      <c r="F275" s="26" t="s">
        <v>5</v>
      </c>
      <c r="G275" s="26" t="s">
        <v>4</v>
      </c>
      <c r="H275" s="149"/>
      <c r="I275" s="194"/>
      <c r="J275" s="195"/>
      <c r="K275" s="196"/>
      <c r="L275" s="326"/>
      <c r="M275" s="140"/>
      <c r="N275" s="140"/>
      <c r="O275" s="140"/>
      <c r="P275" s="22"/>
      <c r="Q275" s="25"/>
      <c r="R275" s="4" t="str">
        <f>IF(SnapshotTable[[#This Row],[Equity Basis Total]] &gt; 0, SnapshotTable[[#This Row],[Equity Basis Total]] / SnapshotTable[[#This Row],[Equity Shares]], "")</f>
        <v/>
      </c>
      <c r="S275" s="269">
        <f>SnapshotTable[[#This Row],[Last Price]] * SnapshotTable[[#This Row],[Equity Shares]]</f>
        <v>0</v>
      </c>
      <c r="T275" s="269">
        <f>SnapshotTable[[#This Row],[Equity Value]] - SnapshotTable[[#This Row],[Equity Basis Total]]</f>
        <v>0</v>
      </c>
      <c r="U275" s="270" t="str">
        <f>IF(SnapshotTable[[#This Row],[Equity Basis Total]] &gt; 0, SnapshotTable[[#This Row],[Equity G/L]] / SnapshotTable[[#This Row],[Equity Basis Total]], "")</f>
        <v/>
      </c>
      <c r="V275" s="268"/>
      <c r="W275" s="268"/>
      <c r="X275" s="4" t="str">
        <f>IF(AND(ISNUMBER(SnapshotTable[[#This Row],[Equity Basis Per Share]]),ISNUMBER(SnapshotTable[[#This Row],[Equity Target]])),SnapshotTable[[#This Row],[Equity Target]]-SnapshotTable[[#This Row],[Equity Basis Per Share]],"")</f>
        <v/>
      </c>
      <c r="Y275" s="4" t="str">
        <f>IF(AND(ISNUMBER(SnapshotTable[[#This Row],[Equity Basis Per Share]]),ISNUMBER(SnapshotTable[[#This Row],[Equity Stop Loss]])),SnapshotTable[[#This Row],[Equity Stop Loss]]-SnapshotTable[[#This Row],[Equity Basis Per Share]],"")</f>
        <v/>
      </c>
      <c r="Z275" s="275" t="str">
        <f>IFERROR( TEXT(SnapshotTable[[#This Row],[Equity Max Gain Per Share]] /ABS( SnapshotTable[[#This Row],[Equity Max Loss Per Share]]),"0.0 " ) &amp; " : 1", "")</f>
        <v/>
      </c>
      <c r="AA275" s="31" t="str">
        <f>IF(ISNUMBER(SnapshotTable[[#This Row],[Equity Max Gain Per Share]]),SnapshotTable[[#This Row],[Equity Max Gain Per Share]] * SnapshotTable[[#This Row],[Equity Shares]],"")</f>
        <v/>
      </c>
      <c r="AB275" s="31" t="str">
        <f>IF(ISNUMBER(SnapshotTable[[#This Row],[Equity Max Loss Per Share]]),SnapshotTable[[#This Row],[Equity Max Loss Per Share]] * SnapshotTable[[#This Row],[Equity Shares]],"")</f>
        <v/>
      </c>
      <c r="AC275" s="150"/>
      <c r="AD275" s="151"/>
      <c r="AE275" s="31">
        <f>(SnapshotTable[[#This Row],[Annual Dividend Per Share]] / 4) * SnapshotTable[[#This Row],[Equity Shares]]</f>
        <v>0</v>
      </c>
      <c r="AF275" s="31">
        <f>SnapshotTable[[#This Row],[Quarterly Div $]] * 4</f>
        <v>0</v>
      </c>
      <c r="AG275" s="7">
        <f>IF(SnapshotTable[[#This Row],[Annual Dividend Per Share]]&gt;0, SnapshotTable[[#This Row],[Annual Dividend Per Share]]  / SnapshotTable[[#This Row],[Last Price]], 0)</f>
        <v>0</v>
      </c>
      <c r="AH275" s="151"/>
      <c r="AI275" s="5"/>
      <c r="AJ275" s="138"/>
      <c r="AK275" s="152" t="str">
        <f>IF(ISNUMBER( SnapshotTable[[#This Row],[EBF Target]]),(SnapshotTable[[#This Row],[EBF Target]] - SnapshotTable[[#This Row],[Last Price]]) / SnapshotTable[[#This Row],[Last Price]], "")</f>
        <v/>
      </c>
      <c r="AL275" s="152" t="str">
        <f>IF(AND(SnapshotTable[[#This Row],[Equity Basis Total]] &gt; 0,ISNUMBER( SnapshotTable[[#This Row],[Long Term Target]])), SnapshotTable[[#This Row],[From Basis $]] / SnapshotTable[[#This Row],[Equity Basis Total]], "")</f>
        <v/>
      </c>
      <c r="AM275" s="9">
        <f>IF( AND(SnapshotTable[[#This Row],[Equity Shares]] &gt;0,ISNUMBER( SnapshotTable[[#This Row],[Long Term Target]])),(SnapshotTable[[#This Row],[Equity Shares]] * SnapshotTable[[#This Row],[Long Term Target]]) - SnapshotTable[[#This Row],[Equity Basis Total]],0)</f>
        <v>0</v>
      </c>
      <c r="AN275" s="9">
        <f>IF( AND(SnapshotTable[[#This Row],[Equity Shares]] &gt;0,ISNUMBER( SnapshotTable[[#This Row],[Long Term Target]])),(SnapshotTable[[#This Row],[Equity Shares]]*SnapshotTable[[#This Row],[Long Term Target]]) - SnapshotTable[[#This Row],[Equity Value]],0)</f>
        <v>0</v>
      </c>
      <c r="AO275" s="152" t="str">
        <f>IF(AND(ISNUMBER( SnapshotTable[[#This Row],[Long Term Target]]), ISNUMBER(SnapshotTable[[#This Row],[Last Price]])),(SnapshotTable[[#This Row],[Long Term Target]] - SnapshotTable[[#This Row],[Last Price]]) / SnapshotTable[[#This Row],[Last Price]], "")</f>
        <v/>
      </c>
      <c r="AP275" s="5">
        <v>25</v>
      </c>
      <c r="AQ275" s="38" t="s">
        <v>1078</v>
      </c>
      <c r="AR275" s="5"/>
      <c r="AS275" s="38" t="s">
        <v>26</v>
      </c>
      <c r="AT275" s="146" t="s">
        <v>1124</v>
      </c>
      <c r="AU275" s="187" t="str">
        <f>IF(OR(SnapshotTable[[#This Row],[LP No Fill]]="Y",SnapshotTable[[#This Row],[SP Is Filled]],SnapshotTable[[#This Row],[LC Not Filled]]="Y",SnapshotTable[[#This Row],[SC Is Filled]]),"Y","")</f>
        <v/>
      </c>
      <c r="AV275" s="219"/>
      <c r="AW275" s="225"/>
      <c r="AX275" s="220"/>
      <c r="AY275" s="219" t="str">
        <f>IF(SnapshotTable[[#This Row],[Implied Move]]&gt;0, SnapshotTable[[#This Row],[Last Price]]-SnapshotTable[[#This Row],[Implied Move]],"")</f>
        <v/>
      </c>
      <c r="AZ275" s="219" t="str">
        <f>IF(SnapshotTable[[#This Row],[Implied Move]]&gt;0, SnapshotTable[[#This Row],[Last Price]] + SnapshotTable[[#This Row],[Implied Move]],"")</f>
        <v/>
      </c>
      <c r="BA275" s="331">
        <v>12.4</v>
      </c>
      <c r="BB275" s="347" t="s">
        <v>1188</v>
      </c>
      <c r="BC27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5" s="351"/>
      <c r="BE275" s="5"/>
      <c r="BF275" s="14"/>
      <c r="BG275" s="13"/>
      <c r="BH275" s="13"/>
      <c r="BI275" s="5"/>
      <c r="BJ275" s="136">
        <f>IF(SnapshotTable[[#This Row],[LP Qty]] &gt; 0, SnapshotTable[[#This Row],[LP Qty]] * SnapshotTable[[#This Row],[LP Book Price]] * 100,0)</f>
        <v>0</v>
      </c>
      <c r="BK275" s="136">
        <f>IF(SnapshotTable[[#This Row],[LP Premium]] &gt; 0, SnapshotTable[[#This Row],[LP Qty]] * SnapshotTable[[#This Row],[LP Strike Price]] * 100,0)</f>
        <v>0</v>
      </c>
      <c r="BL275" s="154"/>
      <c r="BM275" s="385" t="str">
        <f>IF(SnapshotTable[[#This Row],[LP Premium]] &gt; 0,SnapshotTable[[#This Row],[LP Exp Date]]-MAX(SnapshotTable[[#This Row],[LP Book Date]], SnapshotTable[[#This Row],[LP Fill Date]]),"")</f>
        <v/>
      </c>
      <c r="BN275" s="385" t="str">
        <f>IF(ISNUMBER( SnapshotTable[[#This Row],[LP Term]]), SnapshotTable[[#This Row],[LP Exp Date]] - MockToday,"")</f>
        <v/>
      </c>
      <c r="BO275" s="163" t="str">
        <f>IF(AND(SnapshotTable[[#This Row],[LP Exp Date]]&gt;0, SnapshotTable[[#This Row],[LP Strike Price]]&gt;0,SnapshotTable[[#This Row],[LP Qty]]&gt;0,SnapshotTable[[#This Row],[LP Book Date]]&gt;0,SnapshotTable[[#This Row],[LP Book Price]]&gt;0,SnapshotTable[[#This Row],[LP Fill Date]]=0),"Y","")</f>
        <v/>
      </c>
      <c r="BP275" s="31" t="str">
        <f>IF(AND(SnapshotTable[[#This Row],[LP No Fill]]&lt;&gt;"Y",SnapshotTable[[#This Row],[LP Contract Value]]&gt;0, SnapshotTable[[#This Row],[LP Qty]]&gt;0), SnapshotTable[[#This Row],[LP Contract Value]]*SnapshotTable[[#This Row],[LP Qty]]*100,"")</f>
        <v/>
      </c>
      <c r="BQ275" s="13"/>
      <c r="BR275" s="5" t="str">
        <f>IF(SnapshotTable[[#This Row],[SP Exp Date]]&lt;&gt;"",TRUNC(SnapshotTable[[#This Row],[Last Price]]),"")</f>
        <v/>
      </c>
      <c r="BS275" s="36"/>
      <c r="BT275" s="147"/>
      <c r="BU275" s="13"/>
      <c r="BV275" s="5"/>
      <c r="BW275" s="419" t="b">
        <f>AND(ISNUMBER(SnapshotTable[[#This Row],[SP Exp Date]]), ISNUMBER(SnapshotTable[[#This Row],[SP Strike Price]]), ISNUMBER(SnapshotTable[[#This Row],[SP Qty]]), ISNUMBER(SnapshotTable[[#This Row],[SP Book Date]]), ISNUMBER(SnapshotTable[[#This Row],[SP Book Price]]))</f>
        <v>0</v>
      </c>
      <c r="BX275" s="419" t="b">
        <f>AND(SnapshotTable[[#This Row],[SP Is Booked]], NOT(ISBLANK(SnapshotTable[[#This Row],[SP Fill Date]])))</f>
        <v>0</v>
      </c>
      <c r="BY275" s="33">
        <f>IF(SnapshotTable[[#This Row],[SP Is Booked]], SnapshotTable[[#This Row],[SP Qty]] * SnapshotTable[[#This Row],[SP Book Price]] * 100, 0)</f>
        <v>0</v>
      </c>
      <c r="BZ275" s="369"/>
      <c r="CA275" s="368">
        <f>SnapshotTable[[#This Row],[LP Qty]]</f>
        <v>0</v>
      </c>
      <c r="CB275" s="4" t="str">
        <f>IF(SnapshotTable[[#This Row],[SP Is Booked]], SnapshotTable[[#This Row],[SP Strike Price]] - SnapshotTable[[#This Row],[SP Book Price]], "")</f>
        <v/>
      </c>
      <c r="CC275" s="19" t="str">
        <f>IF(SnapshotTable[[#This Row],[SP Is Booked]],SnapshotTable[[#This Row],[SP Exp Date]]-MAX(SnapshotTable[[#This Row],[SP Book Date]], SnapshotTable[[#This Row],[SP Fill Date]]),"")</f>
        <v/>
      </c>
      <c r="CD275" s="7" t="str">
        <f>IF(SnapshotTable[[#This Row],[SP Is Booked]], SnapshotTable[[#This Row],[SP Book Price]]/SnapshotTable[[#This Row],[SP Strike Price]], "")</f>
        <v/>
      </c>
      <c r="CE275" s="7" t="str">
        <f>IF(ISNUMBER(SnapshotTable[[#This Row],[SP ROO Term]]),SnapshotTable[[#This Row],[SP ROO Term]]*(365/SnapshotTable[[#This Row],[SP Term]]),"")</f>
        <v/>
      </c>
      <c r="CF275" s="236">
        <f>SnapshotTable[[#This Row],[LP Strike Price]] * SnapshotTable[[#This Row],[LP Qty]] * 100</f>
        <v>0</v>
      </c>
      <c r="CG275" s="31" t="e">
        <f>IF(ISNUMBER(SnapshotTable[[#This Row],[SP Premium]]), (SnapshotTable[[#This Row],[SP Qty]] * SnapshotTable[[#This Row],[SP Strike Price]]* 100) - SnapshotTable[[#This Row],[LP Protection]], 0)</f>
        <v>#VALUE!</v>
      </c>
      <c r="CH275" s="7" t="str">
        <f>IF(ISNUMBER(SnapshotTable[[#This Row],[SP Break Even]]),-1 * (SnapshotTable[[#This Row],[SP Break Even]] - SnapshotTable[[#This Row],[Last Price]]) / SnapshotTable[[#This Row],[Last Price]], "")</f>
        <v/>
      </c>
      <c r="CI275" s="31">
        <f>IF(AND(ISNUMBER((SnapshotTable[[#This Row],[SP Potential Spend]])), SnapshotTable[[#This Row],[SP Strike Price]] &gt; SnapshotTable[[#This Row],[Last Price]], SnapshotTable[[#This Row],[SP Is Filled]]), SnapshotTable[[#This Row],[SP Potential Spend]] -  SnapshotTable[[#This Row],[LP Max Value]], 0)</f>
        <v>0</v>
      </c>
      <c r="CJ275" s="244"/>
      <c r="CK275" s="31" t="str">
        <f>IF(ISNUMBER(SnapshotTable[[#This Row],[SP Potential Spend]]),IF(ISNUMBER(SnapshotTable[[#This Row],[SP POW]]), SnapshotTable[[#This Row],[SP POW]] * SnapshotTable[[#This Row],[SP Potential Spend]], SnapshotTable[[#This Row],[SP Potential Spend]]), "")</f>
        <v/>
      </c>
      <c r="CL275" s="164" t="e">
        <f>IF(NOT(SnapshotTable[[#This Row],[SP Is Filled]]),(SnapshotTable[[#This Row],[SP Qty]] * SnapshotTable[[#This Row],[SP Strike Price]] * 100) - SnapshotTable[[#This Row],[LP Max Value]],"")</f>
        <v>#VALUE!</v>
      </c>
      <c r="CM275" s="31" t="str">
        <f>IF(SnapshotTable[[#This Row],[SP Actual Spend]]&lt;&gt;0, ((SnapshotTable[[#This Row],[SP Strike Price]]-SnapshotTable[[#This Row],[Last Price]]) *(SnapshotTable[[#This Row],[SP Qty]]*100) - SnapshotTable[[#This Row],[SP Premium]]) * - 1, "")</f>
        <v/>
      </c>
      <c r="CN275" s="78"/>
      <c r="CO275" s="369"/>
      <c r="CP275" s="4" t="str">
        <f>IF(SnapshotTable[[#This Row],[SP Is Filled]], btc_max_buyback_amount(SnapshotTable[[#This Row],[SP Fill Date]],SnapshotTable[[#This Row],[SP Exp Date]], SnapshotTable[[#This Row],[SP Book Price]]),"")</f>
        <v/>
      </c>
      <c r="CQ275" s="78"/>
      <c r="CR27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5" s="155" t="str">
        <f>IF(SnapshotTable[[#This Row],[SP Is Filled]], btc_next_cutoff_date(SnapshotTable[[#This Row],[SP Fill Date]],SnapshotTable[[#This Row],[SP Exp Date]]),"")</f>
        <v/>
      </c>
      <c r="CT275" s="235" t="str" cm="1">
        <f t="array" ref="CT275">IF(SnapshotTable[[#This Row],[SP Is Filled]], btc_should_buy_back(SnapshotTable[[#This Row],[SP Fill Date]], SnapshotTable[[#This Row],[SP Exp Date]], SnapshotTable[[#This Row],[SP Book Price]], SnapshotTable[[#This Row],[SP Current Ask]], MockToday, SnapshotTable[[#This Row],[SP Buyback Override]]),"")</f>
        <v/>
      </c>
      <c r="CU275" s="143"/>
      <c r="CV275" s="235"/>
      <c r="CW275" s="378" t="str">
        <f>IF(ISNUMBER( SnapshotTable[[#This Row],[SP Term]]), SnapshotTable[[#This Row],[SP Exp Date]] - MockToday,"")</f>
        <v/>
      </c>
      <c r="CX275" s="31" t="str">
        <f>IF(SnapshotTable[[#This Row],[SP Is Filled]],SnapshotTable[[#This Row],[SP Buyback Price to Use]] * 100 * SnapshotTable[[#This Row],[SP Qty]], "")</f>
        <v/>
      </c>
      <c r="CY275" s="4" t="str">
        <f>IF(ISNUMBER(SnapshotTable[[#This Row],[SP Strike Price]]), SnapshotTable[[#This Row],[SP Strike Price]] * (1 - SP_MaxLoss_StrikePct), "")</f>
        <v/>
      </c>
      <c r="CZ275" s="31" t="str">
        <f>IF(ISNUMBER(SnapshotTable[[#This Row],[SP Strike  Stop Per Share]]),SnapshotTable[[#This Row],[SP Premium]] - ((SnapshotTable[[#This Row],[SP Strike Price]]-SnapshotTable[[#This Row],[SP Strike  Stop Per Share]]) *(SnapshotTable[[#This Row],[SP Qty]] * 100)),"")</f>
        <v/>
      </c>
      <c r="DA275" s="4" t="str">
        <f>IF(AND(ISNUMBER(SnapshotTable[[#This Row],[SP Premium]]),SnapshotTable[[#This Row],[SP Premium]]&gt;0), SnapshotTable[[#This Row],[SP Book Price]] * (1 + SP_MaxLoss_OptionPct), "")</f>
        <v/>
      </c>
      <c r="DB275" s="31" t="str">
        <f>IF(ISNUMBER(SnapshotTable[[#This Row],[SP Option  Stop Contract]]),(SnapshotTable[[#This Row],[SP Option  Stop Contract]] *(SnapshotTable[[#This Row],[SP Qty]] * 100) - SnapshotTable[[#This Row],[SP Premium]]),"")</f>
        <v/>
      </c>
      <c r="DC275" s="4"/>
      <c r="DD275" s="4"/>
      <c r="DE275" s="4" t="str">
        <f>IF(AND(SnapshotTable[[#This Row],[SP Qty]]&gt;0, SnapshotTable[[#This Row],[SP Stop To Use]]&gt;0),SnapshotTable[[#This Row],[SP Premium]] - ( SnapshotTable[[#This Row],[SP Qty]] * SnapshotTable[[#This Row],[SP Stop To Use]] * 100), "")</f>
        <v/>
      </c>
      <c r="DF275" s="31" t="str">
        <f>IF(AND(SnapshotTable[[#This Row],[SP Qty]]&gt;0,SnapshotTable[[#This Row],[SP Current Ask]]&gt;0), SnapshotTable[[#This Row],[SP Qty]] * SnapshotTable[[#This Row],[SP Current Ask]] * -100, "")</f>
        <v/>
      </c>
      <c r="DG275" s="31" t="str">
        <f>IF(ISNUMBER((SnapshotTable[[#This Row],[SP Total Value]])), SnapshotTable[[#This Row],[SP Premium]] + SnapshotTable[[#This Row],[SP Total Value]], "")</f>
        <v/>
      </c>
      <c r="DH275" s="294" t="str">
        <f>IF(ISNUMBER((SnapshotTable[[#This Row],[SP Total Value]])), SnapshotTable[[#This Row],[SP Gain Loss]] / SnapshotTable[[#This Row],[SP Premium]], "")</f>
        <v/>
      </c>
      <c r="DI275" s="406"/>
      <c r="DJ275" s="138"/>
      <c r="DK275" s="148"/>
      <c r="DL275" s="13"/>
      <c r="DM275" s="13"/>
      <c r="DO275" s="31">
        <f>IF(SnapshotTable[[#This Row],[LC Symbol Count]]=1, SnapshotTable[[#This Row],[LC Qty]] * SnapshotTable[[#This Row],[LC Book Price]] * 100, 0)</f>
        <v>0</v>
      </c>
      <c r="DP275" s="163" t="str">
        <f>IF(AND(SnapshotTable[[#This Row],[LC Exp Date]]&gt;0, SnapshotTable[[#This Row],[LC Strike Price]]&gt;0,SnapshotTable[[#This Row],[LC Qty]]&gt;0,SnapshotTable[[#This Row],[LC Book Date]]&gt;0,SnapshotTable[[#This Row],[LC Book Price]]&gt;0,SnapshotTable[[#This Row],[LC Fill Date]]=0),"Y","")</f>
        <v/>
      </c>
      <c r="DQ275" s="386" t="str">
        <f>IF(SnapshotTable[[#This Row],[LC Premium]] &gt; 0,SnapshotTable[[#This Row],[LC Exp Date]]-MAX(SnapshotTable[[#This Row],[LC Book Date]], SnapshotTable[[#This Row],[LC Fill Date]]),"")</f>
        <v/>
      </c>
      <c r="DR275" s="386" t="str">
        <f>IF(ISNUMBER(SnapshotTable[[#This Row],[LC Term]]), SnapshotTable[[#This Row],[LC Exp Date]] - MockToday, "")</f>
        <v/>
      </c>
      <c r="DS275" s="234" t="str">
        <f>IF(SnapshotTable[[#This Row],[LC Premium]]&gt;0,SnapshotTable[[#This Row],[LC Strike Price]] + SnapshotTable[[#This Row],[LC Book Price]],"")</f>
        <v/>
      </c>
      <c r="DU275" s="9" t="str">
        <f>IF(AND(SnapshotTable[[#This Row],[LC Symbol Count]]&gt;0, SnapshotTable[[#This Row],[LC Contract Value]]&gt;0), SnapshotTable[[#This Row],[LC Contract Value]] * SnapshotTable[[#This Row],[LC Qty]] * 100, "")</f>
        <v/>
      </c>
      <c r="DV275" s="9" t="str">
        <f>IF(AND(ISNUMBER(SnapshotTable[[#This Row],[LC Total Value]]), SnapshotTable[[#This Row],[LC Not Filled]]&lt;&gt;"Y"), SnapshotTable[[#This Row],[LC Total Value]]-SnapshotTable[[#This Row],[LC Premium]],"")</f>
        <v/>
      </c>
      <c r="DW275" s="240" t="str">
        <f>IF(ISNUMBER(SnapshotTable[[#This Row],[LC Actual Gain Loss]]), SnapshotTable[[#This Row],[LC Actual Gain Loss]] / SnapshotTable[[#This Row],[LC Premium]],"")</f>
        <v/>
      </c>
      <c r="DX275" s="284" t="str">
        <f>IF(ISNUMBER(SnapshotTable[[#This Row],[LC Book Price]]),SnapshotTable[[#This Row],[LC Book Price]] * 1.5,"")</f>
        <v/>
      </c>
      <c r="DY275" s="265" t="str">
        <f>IF(SnapshotTable[[#This Row],[LC Premium]]&gt;0, SnapshotTable[[#This Row],[LC Next Target]] * SnapshotTable[[#This Row],[LC Qty]] * 100,"")</f>
        <v/>
      </c>
      <c r="DZ275" s="265" t="str">
        <f>IF(ISNUMBER(SnapshotTable[[#This Row],[LC Target Gross]]), SnapshotTable[[#This Row],[LC Target Gross]] - SnapshotTable[[#This Row],[LC Premium]], "")</f>
        <v/>
      </c>
      <c r="EA275" s="305" t="str">
        <f>IF(ISNUMBER(SnapshotTable[[#This Row],[LC Target Gain Loss]]), SnapshotTable[[#This Row],[LC Target Gain Loss]]/SnapshotTable[[#This Row],[LC Premium]], "")</f>
        <v/>
      </c>
      <c r="EB275" s="262"/>
      <c r="EC275" s="283" t="str">
        <f>IF(SnapshotTable[[#This Row],[LC Premium]]&gt;0, SnapshotTable[[#This Row],[LC Book Price]] * (1 - LC_StopLoss_Pct),"")</f>
        <v/>
      </c>
      <c r="ED275" s="284"/>
      <c r="EE275" s="283" t="str">
        <f>IF(ISNUMBER(SnapshotTable[[#This Row],[LC Contract Value]]),IF(ISNUMBER(SnapshotTable[[#This Row],[LC Stop Loss Override]]), SnapshotTable[[#This Row],[LC Stop Loss Override]],SnapshotTable[[#This Row],[LC Stop Loss Calc Target]]),"")</f>
        <v/>
      </c>
      <c r="EF275" s="31" t="str">
        <f>IF(ISNUMBER(SnapshotTable[[#This Row],[LC Stop  To Use]]), (SnapshotTable[[#This Row],[LC Stop  To Use]] * SnapshotTable[[#This Row],[LC Qty]] * 100),"")</f>
        <v/>
      </c>
      <c r="EG275" s="9" t="str">
        <f>IF(ISNUMBER(SnapshotTable[[#This Row],[LC Total Value]]),SnapshotTable[[#This Row],[LC Stop Loss Amount]] - SnapshotTable[[#This Row],[LC Premium]],"")</f>
        <v/>
      </c>
      <c r="EH275" s="9">
        <f>IF(ISNUMBER(SnapshotTable[[#This Row],[LC Premium]]), SnapshotTable[[#This Row],[LC Qty]] * 100 * SnapshotTable[[#This Row],[LC Strike Price]], "")</f>
        <v>0</v>
      </c>
      <c r="EI275" s="240" t="str">
        <f>IF(AND(ISNUMBER(SnapshotTable[[#This Row],[LC Total Value]]),SnapshotTable[[#This Row],[LC Total Value]]&gt;0),SnapshotTable[[#This Row],[LC Stop Gain Loss]]  / SnapshotTable[[#This Row],[LC Premium]],"")</f>
        <v/>
      </c>
      <c r="EJ275" s="35">
        <f>IF(ISNUMBER(SnapshotTable[[#This Row],[Equity Shares]]),TRUNC(SnapshotTable[[#This Row],[Equity Shares]] / 100),0) + SnapshotTable[[#This Row],[LC Qty]]</f>
        <v>0</v>
      </c>
      <c r="EK275" s="147"/>
      <c r="EL275" s="138" t="str">
        <f>IF(SnapshotTable[[#This Row],[SC Exp Date]]&lt;&gt;"",TRUNC(SnapshotTable[[#This Row],[Last Price]]),"")</f>
        <v/>
      </c>
      <c r="EM275" s="148"/>
      <c r="EN275" s="147"/>
      <c r="EO275" s="147"/>
      <c r="EP275" s="138"/>
      <c r="EQ275" s="419" t="b">
        <f>AND(ISNUMBER(SnapshotTable[[#This Row],[SC Exp Date]]), ISNUMBER(SnapshotTable[[#This Row],[SC Strike Price]]), ISNUMBER(SnapshotTable[[#This Row],[SC Qty]]), ISNUMBER(SnapshotTable[[#This Row],[SC Book Date]]), ISNUMBER(SnapshotTable[[#This Row],[SC Book Price]]))</f>
        <v>0</v>
      </c>
      <c r="ER275" s="419" t="b">
        <f>AND(SnapshotTable[[#This Row],[SC Is Booked]], NOT(ISBLANK(SnapshotTable[[#This Row],[SC Fill Date]])))</f>
        <v>0</v>
      </c>
      <c r="ES275" s="370"/>
      <c r="ET275" s="34" t="str">
        <f>IF(AND(ISNUMBER(SnapshotTable[[#This Row],[SC Exp Date]]), ISNUMBER(SnapshotTable[[#This Row],[SC Book Date]])), SnapshotTable[[#This Row],[SC Exp Date]] - MAX(SnapshotTable[[#This Row],[SC Book Date]], SnapshotTable[[#This Row],[SC Fill Date]]) + 1, "")</f>
        <v/>
      </c>
      <c r="EU275" s="34" t="str">
        <f>IF(ISNUMBER(SnapshotTable[[#This Row],[SC Term]]), SnapshotTable[[#This Row],[SC Exp Date]]- MockToday, "")</f>
        <v/>
      </c>
      <c r="EV275" s="31">
        <f>IF(SnapshotTable[[#This Row],[SC Is Booked]], SnapshotTable[[#This Row],[SC Qty]] * SnapshotTable[[#This Row],[SC Book Price]] * 100, 0)</f>
        <v>0</v>
      </c>
      <c r="EW275" s="4" t="str">
        <f>IF(AND(ISNUMBER(SnapshotTable[[#This Row],[Last Price]]), ISNUMBER( SnapshotTable[[#This Row],[SC Book Price]])), SnapshotTable[[#This Row],[Last Price]] - SnapshotTable[[#This Row],[SC Book Price]],"")</f>
        <v/>
      </c>
      <c r="EX275" s="234" t="str">
        <f>IF(SnapshotTable[[#This Row],[SC Is Booked]],IF(SnapshotTable[[#This Row],[SC Intrinsic Value]] &gt; 0, SnapshotTable[[#This Row],[SC Strike Price]], SnapshotTable[[#This Row],[Last Price]]), "")</f>
        <v/>
      </c>
      <c r="EY275" s="4">
        <f>IF(SnapshotTable[[#This Row],[SC Is Booked]], (MinimumPremiumRequired * SnapshotTable[[#This Row],[SC Basis]] * SnapshotTable[[#This Row],[SC Term]]), 0)</f>
        <v>0</v>
      </c>
      <c r="EZ275" s="283"/>
      <c r="FA275" s="218"/>
      <c r="FB275" s="370"/>
      <c r="FC275" s="4">
        <f>IF(SnapshotTable[[#This Row],[SC Is Filled]], btc_max_buyback_amount(SnapshotTable[[#This Row],[SC Fill Date]],SnapshotTable[[#This Row],[SC Exp Date]], SnapshotTable[[#This Row],[SC Book Price]]),0)</f>
        <v>0</v>
      </c>
      <c r="FD275" s="5"/>
      <c r="FE275" s="144" t="str">
        <f>IF(SnapshotTable[[#This Row],[SC Is Filled]], btc_next_cutoff_date(SnapshotTable[[#This Row],[SC Fill Date]],SnapshotTable[[#This Row],[SC Exp Date]]),"")</f>
        <v/>
      </c>
      <c r="FF275" s="4" t="str" cm="1">
        <f t="array" ref="FF275">IF(SnapshotTable[[#This Row],[SC Is Filled]], btc_should_buy_back(SnapshotTable[[#This Row],[SC Fill Date]], SnapshotTable[[#This Row],[SC Exp Date]], SnapshotTable[[#This Row],[SC Book Price]], SnapshotTable[[#This Row],[SC Current Ask]], MockToday, SnapshotTable[[#This Row],[SC Buyback Override]]),"")</f>
        <v/>
      </c>
      <c r="FG275" s="4">
        <f>IF(SnapshotTable[[#This Row],[SC Is Filled]], MAX(0,SnapshotTable[[#This Row],[Last Price]]  - SnapshotTable[[#This Row],[SC Strike Price]]), 0)</f>
        <v>0</v>
      </c>
      <c r="FH275" s="382">
        <f>IF(SnapshotTable[[#This Row],[SC Is Filled]], IF(ISNUMBER(SnapshotTable[[#This Row],[SC Current Ask]]), SnapshotTable[[#This Row],[SC Current Ask]], SnapshotTable[[#This Row],[SC Book Price]]) - SnapshotTable[[#This Row],[SC Intrinsic Value]], 0)</f>
        <v>0</v>
      </c>
      <c r="FI275" s="143"/>
      <c r="FJ275" s="32" t="str">
        <f>IF(SnapshotTable[[#This Row],[SC Is Filled]],100 * SnapshotTable[[#This Row],[SC Qty]] * IF(ISNUMBER(SnapshotTable[[#This Row],[SC Buyback Override]]), SnapshotTable[[#This Row],[SC Buyback Override]], SnapshotTable[[#This Row],[SC Current Ask]]), "")</f>
        <v/>
      </c>
      <c r="FK275" s="250" t="str">
        <f>IF(SnapshotTable[[#This Row],[SC Time Val]]&gt;0, SnapshotTable[[#This Row],[SC Time Val]] / SnapshotTable[[#This Row],[Last Price]],"")</f>
        <v/>
      </c>
      <c r="FL275" s="302" t="str">
        <f>IF(SnapshotTable[[#This Row],[SC Is Booked]], ((SnapshotTable[[#This Row],[Last Price]] -SnapshotTable[[#This Row],[SC Strike Price]]) / SnapshotTable[[#This Row],[Last Price]]) * -1, "")</f>
        <v/>
      </c>
      <c r="FM275" s="157" t="str">
        <f>IF(SnapshotTable[[#This Row],[SC Is Booked]],  (SnapshotTable[[#This Row],[SC Qty]] * 100 * SnapshotTable[[#This Row],[SC Strike Price]]) - SnapshotTable[[#This Row],[SC Current Ask]], "")</f>
        <v/>
      </c>
      <c r="FN27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5" s="31" t="str">
        <f>IF(AND(ISNUMBER(SnapshotTable[[#This Row],[SC Exercise Gross]]), ISNUMBER(SnapshotTable[[#This Row],[Equity Basis Per Share]] )), SnapshotTable[[#This Row],[SC Exercise Gross]] - SnapshotTable[[#This Row],[Equity Basis Total]] +  SnapshotTable[[#This Row],[SC Premium]], "")</f>
        <v/>
      </c>
      <c r="FP275" s="5" t="str">
        <f>IF(ISNUMBER(SnapshotTable[[#This Row],[SC Exercise Gross]]), (SnapshotTable[[#This Row],[SC Exercise Gross]]) / (SnapshotTable[[#This Row],[SC Qty]] * 100), "")</f>
        <v/>
      </c>
      <c r="FQ275" s="27" t="str">
        <f>IF(SnapshotTable[[#This Row],[SC Is Booked]],SnapshotTable[[#This Row],[SC Time Val]] /SnapshotTable[[#This Row],[SC Basis]], "")</f>
        <v/>
      </c>
      <c r="FR275" s="27" t="str" cm="1">
        <f t="array" ref="FR275">IF(AND(ISNUMBER(SnapshotTable[[#This Row],[SC Term]]),ISNUMBER(SnapshotTable[[#This Row],[SC Simple ROO]])), EllmanAnnualize(SnapshotTable[[#This Row],[SC DTE]], SnapshotTable[[#This Row],[SC Simple ROO]] ),"")</f>
        <v/>
      </c>
      <c r="FS275" s="4" t="e">
        <f>IF(SnapshotTable[[#This Row],[SC Strike Price]] &gt; SnapshotTable[[#This Row],[Last Price]], SnapshotTable[[#This Row],[SC Strike Price]] - SnapshotTable[[#This Row],[Last Price]],0)</f>
        <v>#VALUE!</v>
      </c>
      <c r="FT275" s="27" t="e">
        <f>IF(AND(ISNUMBER(SnapshotTable[[#This Row],[SC Upside Potential]]), SnapshotTable[[#This Row],[SC Upside Potential]] &gt; 0),(SnapshotTable[[#This Row],[SC Upside Potential]]/ SnapshotTable[[#This Row],[ACB]]),"")</f>
        <v>#VALUE!</v>
      </c>
      <c r="FU275" s="333" t="str">
        <f>IF(SnapshotTable[[#This Row],[SC Intrinsic Value]] &gt; 0,SnapshotTable[[#This Row],[SC Intrinsic Value]],"")</f>
        <v/>
      </c>
      <c r="FV275" s="27" t="str">
        <f>IF(AND( ISNUMBER( SnapshotTable[[#This Row],[ACB]]),ISNUMBER(SnapshotTable[[#This Row],[SC Downside Protect]])),SnapshotTable[[#This Row],[SC Downside Protect]] / SnapshotTable[[#This Row],[ACB]],"")</f>
        <v/>
      </c>
      <c r="FW275" s="236" t="str">
        <f>IF(AND(ISNUMBER(SnapshotTable[[#This Row],[SC Simple ROO]]),SnapshotTable[[#This Row],[SC Simple ROO]] &gt; 0), SnapshotTable[[#This Row],[SC Premium]] + (SnapshotTable[[#This Row],[SC Qty]] * SnapshotTable[[#This Row],[SC Upside Potential]]), "")</f>
        <v/>
      </c>
      <c r="FX275" s="302" t="str" cm="1">
        <f t="array" ref="FX275">IF(ISNUMBER(SnapshotTable[[#This Row],[SC Max Dollars]]), annualize(SnapshotTable[[#This Row],[SC Term]],(SnapshotTable[[#This Row],[SC Max Dollars]]/SnapshotTable[[#This Row],[SC Basis]])),"")</f>
        <v/>
      </c>
      <c r="FY275" s="236" t="str">
        <f>IF(AND(SnapshotTable[[#This Row],[SC Qty]]&gt;0,SnapshotTable[[#This Row],[SC Current Ask]]&gt;0), SnapshotTable[[#This Row],[SC Qty]] * SnapshotTable[[#This Row],[SC Current Ask]] * -100, "")</f>
        <v/>
      </c>
      <c r="FZ275" s="31" t="str">
        <f>IF(ISNUMBER((SnapshotTable[[#This Row],[SC Current Value]])), SnapshotTable[[#This Row],[SC Premium]] + SnapshotTable[[#This Row],[SC Current Value]], "")</f>
        <v/>
      </c>
      <c r="GA275" s="294" t="str">
        <f>IFERROR( IF(ISNUMBER((SnapshotTable[[#This Row],[SC Current Value]])), SnapshotTable[[#This Row],[SC Gain Loss]] / SnapshotTable[[#This Row],[SC Premium]], ""), "")</f>
        <v/>
      </c>
      <c r="GB275" s="42">
        <f>SnapshotTable[[#This Row],[Equity Shares]] * SaleSharesToConsiderPercentage</f>
        <v>0</v>
      </c>
      <c r="GC275" s="40">
        <f>SnapshotTable[[#This Row],[Long Term Target]] * SellingPriceToConsiderBasedOnTargetPercentage</f>
        <v>0</v>
      </c>
      <c r="GD275" s="40">
        <f>SnapshotTable[[#This Row],[Last Price]] * (1+ SellingPriceToConsiderBasedOnTargetPercentage)</f>
        <v>79.832999999999998</v>
      </c>
      <c r="GE275" s="41"/>
      <c r="GF275" s="40"/>
      <c r="GG275" s="31">
        <f>SnapshotTable[[#This Row],[Booked Sale Shares]] * SnapshotTable[[#This Row],[Booked Sale Price]]</f>
        <v>0</v>
      </c>
      <c r="GH275" s="31" t="str">
        <f>IF(SnapshotTable[[#This Row],[Equity Basis Total]] &gt; 0, SnapshotTable[[#This Row],[Equity Basis Per Share]] * SnapshotTable[[#This Row],[Booked Sale Shares]], "")</f>
        <v/>
      </c>
      <c r="GI275" s="31">
        <f>IF(SnapshotTable[[#This Row],[Sale Proceeds]]&gt;0, SnapshotTable[[#This Row],[Sale Proceeds]] - SnapshotTable[[#This Row],[Sale Basis]], 0)</f>
        <v>0</v>
      </c>
      <c r="GJ275" s="27" t="str">
        <f>IF(SnapshotTable[[#This Row],[Sale G/L]]&gt;0, SnapshotTable[[#This Row],[Sale G/L]] / SnapshotTable[[#This Row],[Sale Basis]], IF(ISNUMBER(SnapshotTable[[#This Row],[SC Exercise P&amp;L (TAX)]]), SnapshotTable[[#This Row],[SC Exercise P&amp;L (TAX)]] / SnapshotTable[[#This Row],[SC Basis]], ""))</f>
        <v/>
      </c>
      <c r="GK275" s="27" t="s">
        <v>1119</v>
      </c>
      <c r="GL275" s="43" t="str">
        <f>IF(AND(SnapshotTable[[#This Row],[LP Exp Date]]&gt;0,SnapshotTable[[#This Row],[LP Strike Price]]&gt;0), [1]!ToOptionSymbol(SnapshotTable[[#This Row],[Symbol]], SnapshotTable[[#This Row],[LP Strike Price]],SnapshotTable[[#This Row],[LP Exp Date]],1), "")</f>
        <v/>
      </c>
      <c r="GM275" s="30" t="str">
        <f>IF(LEN(SnapshotTable[[#This Row],[LP Symbol]])&gt;0, 1, "")</f>
        <v/>
      </c>
      <c r="GN275" s="43" t="str">
        <f>IF(AND(SnapshotTable[[#This Row],[SP Exp Date]]&gt;0,SnapshotTable[[#This Row],[SP Strike Price]]&gt;0), [1]!ToOptionSymbol(SnapshotTable[[#This Row],[Symbol]], SnapshotTable[[#This Row],[SP Strike Price]],SnapshotTable[[#This Row],[SP Exp Date]],1), "")</f>
        <v/>
      </c>
      <c r="GO275" s="30" t="str">
        <f>IF(LEN(SnapshotTable[[#This Row],[SP Symbol]])&gt;0, 1, "")</f>
        <v/>
      </c>
      <c r="GP275" s="43" t="str">
        <f>IF(AND(SnapshotTable[[#This Row],[LC Exp Date]]&gt;0,SnapshotTable[[#This Row],[LC Strike Price]]&gt;0), [1]!ToOptionSymbol(SnapshotTable[[#This Row],[Symbol]], SnapshotTable[[#This Row],[LC Strike Price]],SnapshotTable[[#This Row],[LC Exp Date]],0), "")</f>
        <v/>
      </c>
      <c r="GQ275" s="30" t="str">
        <f>IF(LEN(SnapshotTable[[#This Row],[LC Symbol]])&gt;0, 1, "")</f>
        <v/>
      </c>
      <c r="GR275" s="43" t="str">
        <f>IF(AND(SnapshotTable[[#This Row],[SC Exp Date]]&gt;0,SnapshotTable[[#This Row],[SC Strike Price]]&gt;0), [1]!ToOptionSymbol(SnapshotTable[[#This Row],[Symbol]], SnapshotTable[[#This Row],[SC Strike Price]],SnapshotTable[[#This Row],[SC Exp Date]],0), "")</f>
        <v/>
      </c>
      <c r="GS275" s="30" t="str">
        <f>IF(LEN(SnapshotTable[[#This Row],[SC Symbol]])&gt;0, 1, "")</f>
        <v/>
      </c>
      <c r="GT275" s="29" t="str">
        <f>IF(COUNT(SnapshotTable[[#This Row],[LP Symbol Count]],SnapshotTable[[#This Row],[SP Symbol Count]],SnapshotTable[[#This Row],[LC Symbol Count]],SnapshotTable[[#This Row],[SC Symbol Count]])&gt;0, "Y", "")</f>
        <v/>
      </c>
      <c r="GU27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5" s="231" t="e">
        <f>MAX(SnapshotTable[[#This Row],[Equity Basis Total]],SnapshotTable[[#This Row],[Equity Value]]) + (SnapshotTable[[#This Row],[SP Potential Spend]]- SnapshotTable[[#This Row],[SP Premium]] + SnapshotTable[[#This Row],[LP Premium]])+ (SnapshotTable[[#This Row],[LC Premium]] - SnapshotTable[[#This Row],[SC Premium]])</f>
        <v>#VALUE!</v>
      </c>
      <c r="GW275" s="139" t="e">
        <f>IF(AND(SnapshotTable[[#This Row],[Exposure]] &lt;&gt; 0),SnapshotTable[[#This Row],[Exposure]] / SnapshotTable[[#Totals],[Exposure]], "")</f>
        <v>#VALUE!</v>
      </c>
      <c r="HK275" s="1"/>
      <c r="HL275" s="1"/>
      <c r="HM275" s="1"/>
      <c r="HN275" s="1"/>
      <c r="HO275" s="1"/>
      <c r="HP275" s="1"/>
    </row>
    <row r="276" spans="2:224" ht="12.75" hidden="1" customHeight="1" x14ac:dyDescent="0.25">
      <c r="B276" s="12" t="s">
        <v>1052</v>
      </c>
      <c r="C276" s="422">
        <v>67.27</v>
      </c>
      <c r="D276" s="208" t="s">
        <v>578</v>
      </c>
      <c r="E276" s="39">
        <f>SnapshotTable[[#This Row],[Last Price]]*(1 -CrashDiscount)</f>
        <v>57.179499999999997</v>
      </c>
      <c r="F276" s="26" t="s">
        <v>5</v>
      </c>
      <c r="G276" s="26" t="s">
        <v>4</v>
      </c>
      <c r="H276" s="149"/>
      <c r="I276" s="194"/>
      <c r="J276" s="195"/>
      <c r="K276" s="196"/>
      <c r="L276" s="326"/>
      <c r="M276" s="140"/>
      <c r="N276" s="140"/>
      <c r="O276" s="140"/>
      <c r="P276" s="22"/>
      <c r="Q276" s="25"/>
      <c r="R276" s="4" t="str">
        <f>IF(SnapshotTable[[#This Row],[Equity Basis Total]] &gt; 0, SnapshotTable[[#This Row],[Equity Basis Total]] / SnapshotTable[[#This Row],[Equity Shares]], "")</f>
        <v/>
      </c>
      <c r="S276" s="269">
        <f>SnapshotTable[[#This Row],[Last Price]] * SnapshotTable[[#This Row],[Equity Shares]]</f>
        <v>0</v>
      </c>
      <c r="T276" s="269">
        <f>SnapshotTable[[#This Row],[Equity Value]] - SnapshotTable[[#This Row],[Equity Basis Total]]</f>
        <v>0</v>
      </c>
      <c r="U276" s="270" t="str">
        <f>IF(SnapshotTable[[#This Row],[Equity Basis Total]] &gt; 0, SnapshotTable[[#This Row],[Equity G/L]] / SnapshotTable[[#This Row],[Equity Basis Total]], "")</f>
        <v/>
      </c>
      <c r="V276" s="268"/>
      <c r="W276" s="268"/>
      <c r="X276" s="4" t="str">
        <f>IF(AND(ISNUMBER(SnapshotTable[[#This Row],[Equity Basis Per Share]]),ISNUMBER(SnapshotTable[[#This Row],[Equity Target]])),SnapshotTable[[#This Row],[Equity Target]]-SnapshotTable[[#This Row],[Equity Basis Per Share]],"")</f>
        <v/>
      </c>
      <c r="Y276" s="4" t="str">
        <f>IF(AND(ISNUMBER(SnapshotTable[[#This Row],[Equity Basis Per Share]]),ISNUMBER(SnapshotTable[[#This Row],[Equity Stop Loss]])),SnapshotTable[[#This Row],[Equity Stop Loss]]-SnapshotTable[[#This Row],[Equity Basis Per Share]],"")</f>
        <v/>
      </c>
      <c r="Z276" s="275" t="str">
        <f>IFERROR( TEXT(SnapshotTable[[#This Row],[Equity Max Gain Per Share]] /ABS( SnapshotTable[[#This Row],[Equity Max Loss Per Share]]),"0.0 " ) &amp; " : 1", "")</f>
        <v/>
      </c>
      <c r="AA276" s="31" t="str">
        <f>IF(ISNUMBER(SnapshotTable[[#This Row],[Equity Max Gain Per Share]]),SnapshotTable[[#This Row],[Equity Max Gain Per Share]] * SnapshotTable[[#This Row],[Equity Shares]],"")</f>
        <v/>
      </c>
      <c r="AB276" s="31" t="str">
        <f>IF(ISNUMBER(SnapshotTable[[#This Row],[Equity Max Loss Per Share]]),SnapshotTable[[#This Row],[Equity Max Loss Per Share]] * SnapshotTable[[#This Row],[Equity Shares]],"")</f>
        <v/>
      </c>
      <c r="AC276" s="150"/>
      <c r="AD276" s="151"/>
      <c r="AE276" s="31">
        <f>(SnapshotTable[[#This Row],[Annual Dividend Per Share]] / 4) * SnapshotTable[[#This Row],[Equity Shares]]</f>
        <v>0</v>
      </c>
      <c r="AF276" s="31">
        <f>SnapshotTable[[#This Row],[Quarterly Div $]] * 4</f>
        <v>0</v>
      </c>
      <c r="AG276" s="7">
        <f>IF(SnapshotTable[[#This Row],[Annual Dividend Per Share]]&gt;0, SnapshotTable[[#This Row],[Annual Dividend Per Share]]  / SnapshotTable[[#This Row],[Last Price]], 0)</f>
        <v>0</v>
      </c>
      <c r="AH276" s="151"/>
      <c r="AI276" s="5"/>
      <c r="AJ276" s="138"/>
      <c r="AK276" s="152" t="str">
        <f>IF(ISNUMBER( SnapshotTable[[#This Row],[EBF Target]]),(SnapshotTable[[#This Row],[EBF Target]] - SnapshotTable[[#This Row],[Last Price]]) / SnapshotTable[[#This Row],[Last Price]], "")</f>
        <v/>
      </c>
      <c r="AL276" s="152" t="str">
        <f>IF(AND(SnapshotTable[[#This Row],[Equity Basis Total]] &gt; 0,ISNUMBER( SnapshotTable[[#This Row],[Long Term Target]])), SnapshotTable[[#This Row],[From Basis $]] / SnapshotTable[[#This Row],[Equity Basis Total]], "")</f>
        <v/>
      </c>
      <c r="AM276" s="9">
        <f>IF( AND(SnapshotTable[[#This Row],[Equity Shares]] &gt;0,ISNUMBER( SnapshotTable[[#This Row],[Long Term Target]])),(SnapshotTable[[#This Row],[Equity Shares]] * SnapshotTable[[#This Row],[Long Term Target]]) - SnapshotTable[[#This Row],[Equity Basis Total]],0)</f>
        <v>0</v>
      </c>
      <c r="AN276" s="9">
        <f>IF( AND(SnapshotTable[[#This Row],[Equity Shares]] &gt;0,ISNUMBER( SnapshotTable[[#This Row],[Long Term Target]])),(SnapshotTable[[#This Row],[Equity Shares]]*SnapshotTable[[#This Row],[Long Term Target]]) - SnapshotTable[[#This Row],[Equity Value]],0)</f>
        <v>0</v>
      </c>
      <c r="AO276" s="152" t="str">
        <f>IF(AND(ISNUMBER( SnapshotTable[[#This Row],[Long Term Target]]), ISNUMBER(SnapshotTable[[#This Row],[Last Price]])),(SnapshotTable[[#This Row],[Long Term Target]] - SnapshotTable[[#This Row],[Last Price]]) / SnapshotTable[[#This Row],[Last Price]], "")</f>
        <v/>
      </c>
      <c r="AP276" s="5">
        <v>65</v>
      </c>
      <c r="AQ276" s="38" t="s">
        <v>89</v>
      </c>
      <c r="AR276" s="5">
        <v>51.9</v>
      </c>
      <c r="AS276" s="38" t="s">
        <v>32</v>
      </c>
      <c r="AT276" s="146"/>
      <c r="AU276" s="187" t="str">
        <f>IF(OR(SnapshotTable[[#This Row],[LP No Fill]]="Y",SnapshotTable[[#This Row],[SP Is Filled]],SnapshotTable[[#This Row],[LC Not Filled]]="Y",SnapshotTable[[#This Row],[SC Is Filled]]),"Y","")</f>
        <v/>
      </c>
      <c r="AV276" s="219"/>
      <c r="AW276" s="225"/>
      <c r="AX276" s="220"/>
      <c r="AY276" s="219" t="str">
        <f>IF(SnapshotTable[[#This Row],[Implied Move]]&gt;0, SnapshotTable[[#This Row],[Last Price]]-SnapshotTable[[#This Row],[Implied Move]],"")</f>
        <v/>
      </c>
      <c r="AZ276" s="219" t="str">
        <f>IF(SnapshotTable[[#This Row],[Implied Move]]&gt;0, SnapshotTable[[#This Row],[Last Price]] + SnapshotTable[[#This Row],[Implied Move]],"")</f>
        <v/>
      </c>
      <c r="BA276" s="331">
        <v>53.359000000000002</v>
      </c>
      <c r="BB276" s="347"/>
      <c r="BC27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6" s="351"/>
      <c r="BE276" s="5"/>
      <c r="BF276" s="14"/>
      <c r="BG276" s="13"/>
      <c r="BH276" s="13"/>
      <c r="BI276" s="5"/>
      <c r="BJ276" s="136">
        <f>IF(SnapshotTable[[#This Row],[LP Qty]] &gt; 0, SnapshotTable[[#This Row],[LP Qty]] * SnapshotTable[[#This Row],[LP Book Price]] * 100,0)</f>
        <v>0</v>
      </c>
      <c r="BK276" s="136">
        <f>IF(SnapshotTable[[#This Row],[LP Premium]] &gt; 0, SnapshotTable[[#This Row],[LP Qty]] * SnapshotTable[[#This Row],[LP Strike Price]] * 100,0)</f>
        <v>0</v>
      </c>
      <c r="BL276" s="154"/>
      <c r="BM276" s="385" t="str">
        <f>IF(SnapshotTable[[#This Row],[LP Premium]] &gt; 0,SnapshotTable[[#This Row],[LP Exp Date]]-MAX(SnapshotTable[[#This Row],[LP Book Date]], SnapshotTable[[#This Row],[LP Fill Date]]),"")</f>
        <v/>
      </c>
      <c r="BN276" s="385" t="str">
        <f>IF(ISNUMBER( SnapshotTable[[#This Row],[LP Term]]), SnapshotTable[[#This Row],[LP Exp Date]] - MockToday,"")</f>
        <v/>
      </c>
      <c r="BO276" s="163" t="str">
        <f>IF(AND(SnapshotTable[[#This Row],[LP Exp Date]]&gt;0, SnapshotTable[[#This Row],[LP Strike Price]]&gt;0,SnapshotTable[[#This Row],[LP Qty]]&gt;0,SnapshotTable[[#This Row],[LP Book Date]]&gt;0,SnapshotTable[[#This Row],[LP Book Price]]&gt;0,SnapshotTable[[#This Row],[LP Fill Date]]=0),"Y","")</f>
        <v/>
      </c>
      <c r="BP276" s="31" t="str">
        <f>IF(AND(SnapshotTable[[#This Row],[LP No Fill]]&lt;&gt;"Y",SnapshotTable[[#This Row],[LP Contract Value]]&gt;0, SnapshotTable[[#This Row],[LP Qty]]&gt;0), SnapshotTable[[#This Row],[LP Contract Value]]*SnapshotTable[[#This Row],[LP Qty]]*100,"")</f>
        <v/>
      </c>
      <c r="BQ276" s="13"/>
      <c r="BR276" s="5" t="str">
        <f>IF(SnapshotTable[[#This Row],[SP Exp Date]]&lt;&gt;"",TRUNC(SnapshotTable[[#This Row],[Last Price]]),"")</f>
        <v/>
      </c>
      <c r="BS276" s="36"/>
      <c r="BT276" s="147"/>
      <c r="BU276" s="13"/>
      <c r="BV276" s="5"/>
      <c r="BW276" s="419" t="b">
        <f>AND(ISNUMBER(SnapshotTable[[#This Row],[SP Exp Date]]), ISNUMBER(SnapshotTable[[#This Row],[SP Strike Price]]), ISNUMBER(SnapshotTable[[#This Row],[SP Qty]]), ISNUMBER(SnapshotTable[[#This Row],[SP Book Date]]), ISNUMBER(SnapshotTable[[#This Row],[SP Book Price]]))</f>
        <v>0</v>
      </c>
      <c r="BX276" s="419" t="b">
        <f>AND(SnapshotTable[[#This Row],[SP Is Booked]], NOT(ISBLANK(SnapshotTable[[#This Row],[SP Fill Date]])))</f>
        <v>0</v>
      </c>
      <c r="BY276" s="33">
        <f>IF(SnapshotTable[[#This Row],[SP Is Booked]], SnapshotTable[[#This Row],[SP Qty]] * SnapshotTable[[#This Row],[SP Book Price]] * 100, 0)</f>
        <v>0</v>
      </c>
      <c r="BZ276" s="369"/>
      <c r="CA276" s="368">
        <f>SnapshotTable[[#This Row],[LP Qty]]</f>
        <v>0</v>
      </c>
      <c r="CB276" s="4" t="str">
        <f>IF(SnapshotTable[[#This Row],[SP Is Booked]], SnapshotTable[[#This Row],[SP Strike Price]] - SnapshotTable[[#This Row],[SP Book Price]], "")</f>
        <v/>
      </c>
      <c r="CC276" s="19" t="str">
        <f>IF(SnapshotTable[[#This Row],[SP Is Booked]],SnapshotTable[[#This Row],[SP Exp Date]]-MAX(SnapshotTable[[#This Row],[SP Book Date]], SnapshotTable[[#This Row],[SP Fill Date]]),"")</f>
        <v/>
      </c>
      <c r="CD276" s="7" t="str">
        <f>IF(SnapshotTable[[#This Row],[SP Is Booked]], SnapshotTable[[#This Row],[SP Book Price]]/SnapshotTable[[#This Row],[SP Strike Price]], "")</f>
        <v/>
      </c>
      <c r="CE276" s="7" t="str">
        <f>IF(ISNUMBER(SnapshotTable[[#This Row],[SP ROO Term]]),SnapshotTable[[#This Row],[SP ROO Term]]*(365/SnapshotTable[[#This Row],[SP Term]]),"")</f>
        <v/>
      </c>
      <c r="CF276" s="236">
        <f>SnapshotTable[[#This Row],[LP Strike Price]] * SnapshotTable[[#This Row],[LP Qty]] * 100</f>
        <v>0</v>
      </c>
      <c r="CG276" s="31" t="e">
        <f>IF(ISNUMBER(SnapshotTable[[#This Row],[SP Premium]]), (SnapshotTable[[#This Row],[SP Qty]] * SnapshotTable[[#This Row],[SP Strike Price]]* 100) - SnapshotTable[[#This Row],[LP Protection]], 0)</f>
        <v>#VALUE!</v>
      </c>
      <c r="CH276" s="7" t="str">
        <f>IF(ISNUMBER(SnapshotTable[[#This Row],[SP Break Even]]),-1 * (SnapshotTable[[#This Row],[SP Break Even]] - SnapshotTable[[#This Row],[Last Price]]) / SnapshotTable[[#This Row],[Last Price]], "")</f>
        <v/>
      </c>
      <c r="CI276" s="31">
        <f>IF(AND(ISNUMBER((SnapshotTable[[#This Row],[SP Potential Spend]])), SnapshotTable[[#This Row],[SP Strike Price]] &gt; SnapshotTable[[#This Row],[Last Price]], SnapshotTable[[#This Row],[SP Is Filled]]), SnapshotTable[[#This Row],[SP Potential Spend]] -  SnapshotTable[[#This Row],[LP Max Value]], 0)</f>
        <v>0</v>
      </c>
      <c r="CJ276" s="244"/>
      <c r="CK276" s="31" t="str">
        <f>IF(ISNUMBER(SnapshotTable[[#This Row],[SP Potential Spend]]),IF(ISNUMBER(SnapshotTable[[#This Row],[SP POW]]), SnapshotTable[[#This Row],[SP POW]] * SnapshotTable[[#This Row],[SP Potential Spend]], SnapshotTable[[#This Row],[SP Potential Spend]]), "")</f>
        <v/>
      </c>
      <c r="CL276" s="164" t="e">
        <f>IF(NOT(SnapshotTable[[#This Row],[SP Is Filled]]),(SnapshotTable[[#This Row],[SP Qty]] * SnapshotTable[[#This Row],[SP Strike Price]] * 100) - SnapshotTable[[#This Row],[LP Max Value]],"")</f>
        <v>#VALUE!</v>
      </c>
      <c r="CM276" s="31" t="str">
        <f>IF(SnapshotTable[[#This Row],[SP Actual Spend]]&lt;&gt;0, ((SnapshotTable[[#This Row],[SP Strike Price]]-SnapshotTable[[#This Row],[Last Price]]) *(SnapshotTable[[#This Row],[SP Qty]]*100) - SnapshotTable[[#This Row],[SP Premium]]) * - 1, "")</f>
        <v/>
      </c>
      <c r="CN276" s="78"/>
      <c r="CO276" s="369"/>
      <c r="CP276" s="4" t="str">
        <f>IF(SnapshotTable[[#This Row],[SP Is Filled]], btc_max_buyback_amount(SnapshotTable[[#This Row],[SP Fill Date]],SnapshotTable[[#This Row],[SP Exp Date]], SnapshotTable[[#This Row],[SP Book Price]]),"")</f>
        <v/>
      </c>
      <c r="CQ276" s="78"/>
      <c r="CR27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6" s="155" t="str">
        <f>IF(SnapshotTable[[#This Row],[SP Is Filled]], btc_next_cutoff_date(SnapshotTable[[#This Row],[SP Fill Date]],SnapshotTable[[#This Row],[SP Exp Date]]),"")</f>
        <v/>
      </c>
      <c r="CT276" s="235" t="str" cm="1">
        <f t="array" ref="CT276">IF(SnapshotTable[[#This Row],[SP Is Filled]], btc_should_buy_back(SnapshotTable[[#This Row],[SP Fill Date]], SnapshotTable[[#This Row],[SP Exp Date]], SnapshotTable[[#This Row],[SP Book Price]], SnapshotTable[[#This Row],[SP Current Ask]], MockToday, SnapshotTable[[#This Row],[SP Buyback Override]]),"")</f>
        <v/>
      </c>
      <c r="CU276" s="143"/>
      <c r="CV276" s="235"/>
      <c r="CW276" s="378" t="str">
        <f>IF(ISNUMBER( SnapshotTable[[#This Row],[SP Term]]), SnapshotTable[[#This Row],[SP Exp Date]] - MockToday,"")</f>
        <v/>
      </c>
      <c r="CX276" s="31" t="str">
        <f>IF(SnapshotTable[[#This Row],[SP Is Filled]],SnapshotTable[[#This Row],[SP Buyback Price to Use]] * 100 * SnapshotTable[[#This Row],[SP Qty]], "")</f>
        <v/>
      </c>
      <c r="CY276" s="4" t="str">
        <f>IF(ISNUMBER(SnapshotTable[[#This Row],[SP Strike Price]]), SnapshotTable[[#This Row],[SP Strike Price]] * (1 - SP_MaxLoss_StrikePct), "")</f>
        <v/>
      </c>
      <c r="CZ276" s="31" t="str">
        <f>IF(ISNUMBER(SnapshotTable[[#This Row],[SP Strike  Stop Per Share]]),SnapshotTable[[#This Row],[SP Premium]] - ((SnapshotTable[[#This Row],[SP Strike Price]]-SnapshotTable[[#This Row],[SP Strike  Stop Per Share]]) *(SnapshotTable[[#This Row],[SP Qty]] * 100)),"")</f>
        <v/>
      </c>
      <c r="DA276" s="4" t="str">
        <f>IF(AND(ISNUMBER(SnapshotTable[[#This Row],[SP Premium]]),SnapshotTable[[#This Row],[SP Premium]]&gt;0), SnapshotTable[[#This Row],[SP Book Price]] * (1 + SP_MaxLoss_OptionPct), "")</f>
        <v/>
      </c>
      <c r="DB276" s="31" t="str">
        <f>IF(ISNUMBER(SnapshotTable[[#This Row],[SP Option  Stop Contract]]),(SnapshotTable[[#This Row],[SP Option  Stop Contract]] *(SnapshotTable[[#This Row],[SP Qty]] * 100) - SnapshotTable[[#This Row],[SP Premium]]),"")</f>
        <v/>
      </c>
      <c r="DC276" s="4"/>
      <c r="DD276" s="4"/>
      <c r="DE276" s="4" t="str">
        <f>IF(AND(SnapshotTable[[#This Row],[SP Qty]]&gt;0, SnapshotTable[[#This Row],[SP Stop To Use]]&gt;0),SnapshotTable[[#This Row],[SP Premium]] - ( SnapshotTable[[#This Row],[SP Qty]] * SnapshotTable[[#This Row],[SP Stop To Use]] * 100), "")</f>
        <v/>
      </c>
      <c r="DF276" s="31" t="str">
        <f>IF(AND(SnapshotTable[[#This Row],[SP Qty]]&gt;0,SnapshotTable[[#This Row],[SP Current Ask]]&gt;0), SnapshotTable[[#This Row],[SP Qty]] * SnapshotTable[[#This Row],[SP Current Ask]] * -100, "")</f>
        <v/>
      </c>
      <c r="DG276" s="31" t="str">
        <f>IF(ISNUMBER((SnapshotTable[[#This Row],[SP Total Value]])), SnapshotTable[[#This Row],[SP Premium]] + SnapshotTable[[#This Row],[SP Total Value]], "")</f>
        <v/>
      </c>
      <c r="DH276" s="294" t="str">
        <f>IF(ISNUMBER((SnapshotTable[[#This Row],[SP Total Value]])), SnapshotTable[[#This Row],[SP Gain Loss]] / SnapshotTable[[#This Row],[SP Premium]], "")</f>
        <v/>
      </c>
      <c r="DI276" s="406"/>
      <c r="DJ276" s="138"/>
      <c r="DK276" s="148"/>
      <c r="DL276" s="13"/>
      <c r="DM276" s="13"/>
      <c r="DO276" s="31">
        <f>IF(SnapshotTable[[#This Row],[LC Symbol Count]]=1, SnapshotTable[[#This Row],[LC Qty]] * SnapshotTable[[#This Row],[LC Book Price]] * 100, 0)</f>
        <v>0</v>
      </c>
      <c r="DP276" s="163" t="str">
        <f>IF(AND(SnapshotTable[[#This Row],[LC Exp Date]]&gt;0, SnapshotTable[[#This Row],[LC Strike Price]]&gt;0,SnapshotTable[[#This Row],[LC Qty]]&gt;0,SnapshotTable[[#This Row],[LC Book Date]]&gt;0,SnapshotTable[[#This Row],[LC Book Price]]&gt;0,SnapshotTable[[#This Row],[LC Fill Date]]=0),"Y","")</f>
        <v/>
      </c>
      <c r="DQ276" s="386" t="str">
        <f>IF(SnapshotTable[[#This Row],[LC Premium]] &gt; 0,SnapshotTable[[#This Row],[LC Exp Date]]-MAX(SnapshotTable[[#This Row],[LC Book Date]], SnapshotTable[[#This Row],[LC Fill Date]]),"")</f>
        <v/>
      </c>
      <c r="DR276" s="386" t="str">
        <f>IF(ISNUMBER(SnapshotTable[[#This Row],[LC Term]]), SnapshotTable[[#This Row],[LC Exp Date]] - MockToday, "")</f>
        <v/>
      </c>
      <c r="DS276" s="234" t="str">
        <f>IF(SnapshotTable[[#This Row],[LC Premium]]&gt;0,SnapshotTable[[#This Row],[LC Strike Price]] + SnapshotTable[[#This Row],[LC Book Price]],"")</f>
        <v/>
      </c>
      <c r="DU276" s="9" t="str">
        <f>IF(AND(SnapshotTable[[#This Row],[LC Symbol Count]]&gt;0, SnapshotTable[[#This Row],[LC Contract Value]]&gt;0), SnapshotTable[[#This Row],[LC Contract Value]] * SnapshotTable[[#This Row],[LC Qty]] * 100, "")</f>
        <v/>
      </c>
      <c r="DV276" s="9" t="str">
        <f>IF(AND(ISNUMBER(SnapshotTable[[#This Row],[LC Total Value]]), SnapshotTable[[#This Row],[LC Not Filled]]&lt;&gt;"Y"), SnapshotTable[[#This Row],[LC Total Value]]-SnapshotTable[[#This Row],[LC Premium]],"")</f>
        <v/>
      </c>
      <c r="DW276" s="240" t="str">
        <f>IF(ISNUMBER(SnapshotTable[[#This Row],[LC Actual Gain Loss]]), SnapshotTable[[#This Row],[LC Actual Gain Loss]] / SnapshotTable[[#This Row],[LC Premium]],"")</f>
        <v/>
      </c>
      <c r="DX276" s="284" t="str">
        <f>IF(ISNUMBER(SnapshotTable[[#This Row],[LC Book Price]]),SnapshotTable[[#This Row],[LC Book Price]] * 1.5,"")</f>
        <v/>
      </c>
      <c r="DY276" s="265" t="str">
        <f>IF(SnapshotTable[[#This Row],[LC Premium]]&gt;0, SnapshotTable[[#This Row],[LC Next Target]] * SnapshotTable[[#This Row],[LC Qty]] * 100,"")</f>
        <v/>
      </c>
      <c r="DZ276" s="265" t="str">
        <f>IF(ISNUMBER(SnapshotTable[[#This Row],[LC Target Gross]]), SnapshotTable[[#This Row],[LC Target Gross]] - SnapshotTable[[#This Row],[LC Premium]], "")</f>
        <v/>
      </c>
      <c r="EA276" s="305" t="str">
        <f>IF(ISNUMBER(SnapshotTable[[#This Row],[LC Target Gain Loss]]), SnapshotTable[[#This Row],[LC Target Gain Loss]]/SnapshotTable[[#This Row],[LC Premium]], "")</f>
        <v/>
      </c>
      <c r="EB276" s="262"/>
      <c r="EC276" s="283" t="str">
        <f>IF(SnapshotTable[[#This Row],[LC Premium]]&gt;0, SnapshotTable[[#This Row],[LC Book Price]] * (1 - LC_StopLoss_Pct),"")</f>
        <v/>
      </c>
      <c r="ED276" s="284"/>
      <c r="EE276" s="283" t="str">
        <f>IF(ISNUMBER(SnapshotTable[[#This Row],[LC Contract Value]]),IF(ISNUMBER(SnapshotTable[[#This Row],[LC Stop Loss Override]]), SnapshotTable[[#This Row],[LC Stop Loss Override]],SnapshotTable[[#This Row],[LC Stop Loss Calc Target]]),"")</f>
        <v/>
      </c>
      <c r="EF276" s="31" t="str">
        <f>IF(ISNUMBER(SnapshotTable[[#This Row],[LC Stop  To Use]]), (SnapshotTable[[#This Row],[LC Stop  To Use]] * SnapshotTable[[#This Row],[LC Qty]] * 100),"")</f>
        <v/>
      </c>
      <c r="EG276" s="9" t="str">
        <f>IF(ISNUMBER(SnapshotTable[[#This Row],[LC Total Value]]),SnapshotTable[[#This Row],[LC Stop Loss Amount]] - SnapshotTable[[#This Row],[LC Premium]],"")</f>
        <v/>
      </c>
      <c r="EH276" s="9">
        <f>IF(ISNUMBER(SnapshotTable[[#This Row],[LC Premium]]), SnapshotTable[[#This Row],[LC Qty]] * 100 * SnapshotTable[[#This Row],[LC Strike Price]], "")</f>
        <v>0</v>
      </c>
      <c r="EI276" s="240" t="str">
        <f>IF(AND(ISNUMBER(SnapshotTable[[#This Row],[LC Total Value]]),SnapshotTable[[#This Row],[LC Total Value]]&gt;0),SnapshotTable[[#This Row],[LC Stop Gain Loss]]  / SnapshotTable[[#This Row],[LC Premium]],"")</f>
        <v/>
      </c>
      <c r="EJ276" s="35">
        <f>IF(ISNUMBER(SnapshotTable[[#This Row],[Equity Shares]]),TRUNC(SnapshotTable[[#This Row],[Equity Shares]] / 100),0) + SnapshotTable[[#This Row],[LC Qty]]</f>
        <v>0</v>
      </c>
      <c r="EK276" s="147"/>
      <c r="EL276" s="138" t="str">
        <f>IF(SnapshotTable[[#This Row],[SC Exp Date]]&lt;&gt;"",TRUNC(SnapshotTable[[#This Row],[Last Price]]),"")</f>
        <v/>
      </c>
      <c r="EM276" s="148"/>
      <c r="EN276" s="147"/>
      <c r="EO276" s="147"/>
      <c r="EP276" s="138"/>
      <c r="EQ276" s="419" t="b">
        <f>AND(ISNUMBER(SnapshotTable[[#This Row],[SC Exp Date]]), ISNUMBER(SnapshotTable[[#This Row],[SC Strike Price]]), ISNUMBER(SnapshotTable[[#This Row],[SC Qty]]), ISNUMBER(SnapshotTable[[#This Row],[SC Book Date]]), ISNUMBER(SnapshotTable[[#This Row],[SC Book Price]]))</f>
        <v>0</v>
      </c>
      <c r="ER276" s="419" t="b">
        <f>AND(SnapshotTable[[#This Row],[SC Is Booked]], NOT(ISBLANK(SnapshotTable[[#This Row],[SC Fill Date]])))</f>
        <v>0</v>
      </c>
      <c r="ES276" s="370"/>
      <c r="ET276" s="34" t="str">
        <f>IF(AND(ISNUMBER(SnapshotTable[[#This Row],[SC Exp Date]]), ISNUMBER(SnapshotTable[[#This Row],[SC Book Date]])), SnapshotTable[[#This Row],[SC Exp Date]] - MAX(SnapshotTable[[#This Row],[SC Book Date]], SnapshotTable[[#This Row],[SC Fill Date]]) + 1, "")</f>
        <v/>
      </c>
      <c r="EU276" s="34" t="str">
        <f>IF(ISNUMBER(SnapshotTable[[#This Row],[SC Term]]), SnapshotTable[[#This Row],[SC Exp Date]]- MockToday, "")</f>
        <v/>
      </c>
      <c r="EV276" s="31">
        <f>IF(SnapshotTable[[#This Row],[SC Is Booked]], SnapshotTable[[#This Row],[SC Qty]] * SnapshotTable[[#This Row],[SC Book Price]] * 100, 0)</f>
        <v>0</v>
      </c>
      <c r="EW276" s="4" t="str">
        <f>IF(AND(ISNUMBER(SnapshotTable[[#This Row],[Last Price]]), ISNUMBER( SnapshotTable[[#This Row],[SC Book Price]])), SnapshotTable[[#This Row],[Last Price]] - SnapshotTable[[#This Row],[SC Book Price]],"")</f>
        <v/>
      </c>
      <c r="EX276" s="234" t="str">
        <f>IF(SnapshotTable[[#This Row],[SC Is Booked]],IF(SnapshotTable[[#This Row],[SC Intrinsic Value]] &gt; 0, SnapshotTable[[#This Row],[SC Strike Price]], SnapshotTable[[#This Row],[Last Price]]), "")</f>
        <v/>
      </c>
      <c r="EY276" s="4">
        <f>IF(SnapshotTable[[#This Row],[SC Is Booked]], (MinimumPremiumRequired * SnapshotTable[[#This Row],[SC Basis]] * SnapshotTable[[#This Row],[SC Term]]), 0)</f>
        <v>0</v>
      </c>
      <c r="EZ276" s="283"/>
      <c r="FA276" s="218"/>
      <c r="FB276" s="370"/>
      <c r="FC276" s="4">
        <f>IF(SnapshotTable[[#This Row],[SC Is Filled]], btc_max_buyback_amount(SnapshotTable[[#This Row],[SC Fill Date]],SnapshotTable[[#This Row],[SC Exp Date]], SnapshotTable[[#This Row],[SC Book Price]]),0)</f>
        <v>0</v>
      </c>
      <c r="FD276" s="5"/>
      <c r="FE276" s="144" t="str">
        <f>IF(SnapshotTable[[#This Row],[SC Is Filled]], btc_next_cutoff_date(SnapshotTable[[#This Row],[SC Fill Date]],SnapshotTable[[#This Row],[SC Exp Date]]),"")</f>
        <v/>
      </c>
      <c r="FF276" s="4" t="str" cm="1">
        <f t="array" ref="FF276">IF(SnapshotTable[[#This Row],[SC Is Filled]], btc_should_buy_back(SnapshotTable[[#This Row],[SC Fill Date]], SnapshotTable[[#This Row],[SC Exp Date]], SnapshotTable[[#This Row],[SC Book Price]], SnapshotTable[[#This Row],[SC Current Ask]], MockToday, SnapshotTable[[#This Row],[SC Buyback Override]]),"")</f>
        <v/>
      </c>
      <c r="FG276" s="4">
        <f>IF(SnapshotTable[[#This Row],[SC Is Filled]], MAX(0,SnapshotTable[[#This Row],[Last Price]]  - SnapshotTable[[#This Row],[SC Strike Price]]), 0)</f>
        <v>0</v>
      </c>
      <c r="FH276" s="382">
        <f>IF(SnapshotTable[[#This Row],[SC Is Filled]], IF(ISNUMBER(SnapshotTable[[#This Row],[SC Current Ask]]), SnapshotTable[[#This Row],[SC Current Ask]], SnapshotTable[[#This Row],[SC Book Price]]) - SnapshotTable[[#This Row],[SC Intrinsic Value]], 0)</f>
        <v>0</v>
      </c>
      <c r="FI276" s="143"/>
      <c r="FJ276" s="32" t="str">
        <f>IF(SnapshotTable[[#This Row],[SC Is Filled]],100 * SnapshotTable[[#This Row],[SC Qty]] * IF(ISNUMBER(SnapshotTable[[#This Row],[SC Buyback Override]]), SnapshotTable[[#This Row],[SC Buyback Override]], SnapshotTable[[#This Row],[SC Current Ask]]), "")</f>
        <v/>
      </c>
      <c r="FK276" s="250" t="str">
        <f>IF(SnapshotTable[[#This Row],[SC Time Val]]&gt;0, SnapshotTable[[#This Row],[SC Time Val]] / SnapshotTable[[#This Row],[Last Price]],"")</f>
        <v/>
      </c>
      <c r="FL276" s="302" t="str">
        <f>IF(SnapshotTable[[#This Row],[SC Is Booked]], ((SnapshotTable[[#This Row],[Last Price]] -SnapshotTable[[#This Row],[SC Strike Price]]) / SnapshotTable[[#This Row],[Last Price]]) * -1, "")</f>
        <v/>
      </c>
      <c r="FM276" s="157" t="str">
        <f>IF(SnapshotTable[[#This Row],[SC Is Booked]],  (SnapshotTable[[#This Row],[SC Qty]] * 100 * SnapshotTable[[#This Row],[SC Strike Price]]) - SnapshotTable[[#This Row],[SC Current Ask]], "")</f>
        <v/>
      </c>
      <c r="FN27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6" s="31" t="str">
        <f>IF(AND(ISNUMBER(SnapshotTable[[#This Row],[SC Exercise Gross]]), ISNUMBER(SnapshotTable[[#This Row],[Equity Basis Per Share]] )), SnapshotTable[[#This Row],[SC Exercise Gross]] - SnapshotTable[[#This Row],[Equity Basis Total]] +  SnapshotTable[[#This Row],[SC Premium]], "")</f>
        <v/>
      </c>
      <c r="FP276" s="5" t="str">
        <f>IF(ISNUMBER(SnapshotTable[[#This Row],[SC Exercise Gross]]), (SnapshotTable[[#This Row],[SC Exercise Gross]]) / (SnapshotTable[[#This Row],[SC Qty]] * 100), "")</f>
        <v/>
      </c>
      <c r="FQ276" s="27" t="str">
        <f>IF(SnapshotTable[[#This Row],[SC Is Booked]],SnapshotTable[[#This Row],[SC Time Val]] /SnapshotTable[[#This Row],[SC Basis]], "")</f>
        <v/>
      </c>
      <c r="FR276" s="27" t="str" cm="1">
        <f t="array" ref="FR276">IF(AND(ISNUMBER(SnapshotTable[[#This Row],[SC Term]]),ISNUMBER(SnapshotTable[[#This Row],[SC Simple ROO]])), EllmanAnnualize(SnapshotTable[[#This Row],[SC DTE]], SnapshotTable[[#This Row],[SC Simple ROO]] ),"")</f>
        <v/>
      </c>
      <c r="FS276" s="4" t="e">
        <f>IF(SnapshotTable[[#This Row],[SC Strike Price]] &gt; SnapshotTable[[#This Row],[Last Price]], SnapshotTable[[#This Row],[SC Strike Price]] - SnapshotTable[[#This Row],[Last Price]],0)</f>
        <v>#VALUE!</v>
      </c>
      <c r="FT276" s="27" t="e">
        <f>IF(AND(ISNUMBER(SnapshotTable[[#This Row],[SC Upside Potential]]), SnapshotTable[[#This Row],[SC Upside Potential]] &gt; 0),(SnapshotTable[[#This Row],[SC Upside Potential]]/ SnapshotTable[[#This Row],[ACB]]),"")</f>
        <v>#VALUE!</v>
      </c>
      <c r="FU276" s="333" t="str">
        <f>IF(SnapshotTable[[#This Row],[SC Intrinsic Value]] &gt; 0,SnapshotTable[[#This Row],[SC Intrinsic Value]],"")</f>
        <v/>
      </c>
      <c r="FV276" s="27" t="str">
        <f>IF(AND( ISNUMBER( SnapshotTable[[#This Row],[ACB]]),ISNUMBER(SnapshotTable[[#This Row],[SC Downside Protect]])),SnapshotTable[[#This Row],[SC Downside Protect]] / SnapshotTable[[#This Row],[ACB]],"")</f>
        <v/>
      </c>
      <c r="FW276" s="236" t="str">
        <f>IF(AND(ISNUMBER(SnapshotTable[[#This Row],[SC Simple ROO]]),SnapshotTable[[#This Row],[SC Simple ROO]] &gt; 0), SnapshotTable[[#This Row],[SC Premium]] + (SnapshotTable[[#This Row],[SC Qty]] * SnapshotTable[[#This Row],[SC Upside Potential]]), "")</f>
        <v/>
      </c>
      <c r="FX276" s="302" t="str" cm="1">
        <f t="array" ref="FX276">IF(ISNUMBER(SnapshotTable[[#This Row],[SC Max Dollars]]), annualize(SnapshotTable[[#This Row],[SC Term]],(SnapshotTable[[#This Row],[SC Max Dollars]]/SnapshotTable[[#This Row],[SC Basis]])),"")</f>
        <v/>
      </c>
      <c r="FY276" s="236" t="str">
        <f>IF(AND(SnapshotTable[[#This Row],[SC Qty]]&gt;0,SnapshotTable[[#This Row],[SC Current Ask]]&gt;0), SnapshotTable[[#This Row],[SC Qty]] * SnapshotTable[[#This Row],[SC Current Ask]] * -100, "")</f>
        <v/>
      </c>
      <c r="FZ276" s="31" t="str">
        <f>IF(ISNUMBER((SnapshotTable[[#This Row],[SC Current Value]])), SnapshotTable[[#This Row],[SC Premium]] + SnapshotTable[[#This Row],[SC Current Value]], "")</f>
        <v/>
      </c>
      <c r="GA276" s="294" t="str">
        <f>IFERROR( IF(ISNUMBER((SnapshotTable[[#This Row],[SC Current Value]])), SnapshotTable[[#This Row],[SC Gain Loss]] / SnapshotTable[[#This Row],[SC Premium]], ""), "")</f>
        <v/>
      </c>
      <c r="GB276" s="42">
        <f>SnapshotTable[[#This Row],[Equity Shares]] * SaleSharesToConsiderPercentage</f>
        <v>0</v>
      </c>
      <c r="GC276" s="40">
        <f>SnapshotTable[[#This Row],[Long Term Target]] * SellingPriceToConsiderBasedOnTargetPercentage</f>
        <v>0</v>
      </c>
      <c r="GD276" s="40">
        <f>SnapshotTable[[#This Row],[Last Price]] * (1+ SellingPriceToConsiderBasedOnTargetPercentage)</f>
        <v>131.17649999999998</v>
      </c>
      <c r="GE276" s="41"/>
      <c r="GF276" s="40"/>
      <c r="GG276" s="31">
        <f>SnapshotTable[[#This Row],[Booked Sale Shares]] * SnapshotTable[[#This Row],[Booked Sale Price]]</f>
        <v>0</v>
      </c>
      <c r="GH276" s="31" t="str">
        <f>IF(SnapshotTable[[#This Row],[Equity Basis Total]] &gt; 0, SnapshotTable[[#This Row],[Equity Basis Per Share]] * SnapshotTable[[#This Row],[Booked Sale Shares]], "")</f>
        <v/>
      </c>
      <c r="GI276" s="31">
        <f>IF(SnapshotTable[[#This Row],[Sale Proceeds]]&gt;0, SnapshotTable[[#This Row],[Sale Proceeds]] - SnapshotTable[[#This Row],[Sale Basis]], 0)</f>
        <v>0</v>
      </c>
      <c r="GJ276" s="27" t="str">
        <f>IF(SnapshotTable[[#This Row],[Sale G/L]]&gt;0, SnapshotTable[[#This Row],[Sale G/L]] / SnapshotTable[[#This Row],[Sale Basis]], IF(ISNUMBER(SnapshotTable[[#This Row],[SC Exercise P&amp;L (TAX)]]), SnapshotTable[[#This Row],[SC Exercise P&amp;L (TAX)]] / SnapshotTable[[#This Row],[SC Basis]], ""))</f>
        <v/>
      </c>
      <c r="GK276" s="27"/>
      <c r="GL276" s="43" t="str">
        <f>IF(AND(SnapshotTable[[#This Row],[LP Exp Date]]&gt;0,SnapshotTable[[#This Row],[LP Strike Price]]&gt;0), [1]!ToOptionSymbol(SnapshotTable[[#This Row],[Symbol]], SnapshotTable[[#This Row],[LP Strike Price]],SnapshotTable[[#This Row],[LP Exp Date]],1), "")</f>
        <v/>
      </c>
      <c r="GM276" s="30" t="str">
        <f>IF(LEN(SnapshotTable[[#This Row],[LP Symbol]])&gt;0, 1, "")</f>
        <v/>
      </c>
      <c r="GN276" s="43" t="str">
        <f>IF(AND(SnapshotTable[[#This Row],[SP Exp Date]]&gt;0,SnapshotTable[[#This Row],[SP Strike Price]]&gt;0), [1]!ToOptionSymbol(SnapshotTable[[#This Row],[Symbol]], SnapshotTable[[#This Row],[SP Strike Price]],SnapshotTable[[#This Row],[SP Exp Date]],1), "")</f>
        <v/>
      </c>
      <c r="GO276" s="30" t="str">
        <f>IF(LEN(SnapshotTable[[#This Row],[SP Symbol]])&gt;0, 1, "")</f>
        <v/>
      </c>
      <c r="GP276" s="43" t="str">
        <f>IF(AND(SnapshotTable[[#This Row],[LC Exp Date]]&gt;0,SnapshotTable[[#This Row],[LC Strike Price]]&gt;0), [1]!ToOptionSymbol(SnapshotTable[[#This Row],[Symbol]], SnapshotTable[[#This Row],[LC Strike Price]],SnapshotTable[[#This Row],[LC Exp Date]],0), "")</f>
        <v/>
      </c>
      <c r="GQ276" s="30" t="str">
        <f>IF(LEN(SnapshotTable[[#This Row],[LC Symbol]])&gt;0, 1, "")</f>
        <v/>
      </c>
      <c r="GR276" s="43" t="str">
        <f>IF(AND(SnapshotTable[[#This Row],[SC Exp Date]]&gt;0,SnapshotTable[[#This Row],[SC Strike Price]]&gt;0), [1]!ToOptionSymbol(SnapshotTable[[#This Row],[Symbol]], SnapshotTable[[#This Row],[SC Strike Price]],SnapshotTable[[#This Row],[SC Exp Date]],0), "")</f>
        <v/>
      </c>
      <c r="GS276" s="30" t="str">
        <f>IF(LEN(SnapshotTable[[#This Row],[SC Symbol]])&gt;0, 1, "")</f>
        <v/>
      </c>
      <c r="GT276" s="29" t="str">
        <f>IF(COUNT(SnapshotTable[[#This Row],[LP Symbol Count]],SnapshotTable[[#This Row],[SP Symbol Count]],SnapshotTable[[#This Row],[LC Symbol Count]],SnapshotTable[[#This Row],[SC Symbol Count]])&gt;0, "Y", "")</f>
        <v/>
      </c>
      <c r="GU27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6" s="231" t="e">
        <f>MAX(SnapshotTable[[#This Row],[Equity Basis Total]],SnapshotTable[[#This Row],[Equity Value]]) + (SnapshotTable[[#This Row],[SP Potential Spend]]- SnapshotTable[[#This Row],[SP Premium]] + SnapshotTable[[#This Row],[LP Premium]])+ (SnapshotTable[[#This Row],[LC Premium]] - SnapshotTable[[#This Row],[SC Premium]])</f>
        <v>#VALUE!</v>
      </c>
      <c r="GW276" s="139" t="e">
        <f>IF(AND(SnapshotTable[[#This Row],[Exposure]] &lt;&gt; 0),SnapshotTable[[#This Row],[Exposure]] / SnapshotTable[[#Totals],[Exposure]], "")</f>
        <v>#VALUE!</v>
      </c>
      <c r="GX276" s="13"/>
      <c r="HK276" s="1"/>
      <c r="HL276" s="1"/>
      <c r="HM276" s="1"/>
      <c r="HN276" s="1"/>
      <c r="HO276" s="1"/>
      <c r="HP276" s="1"/>
    </row>
    <row r="277" spans="2:224" ht="12.75" hidden="1" customHeight="1" x14ac:dyDescent="0.25">
      <c r="B277" s="12" t="s">
        <v>1056</v>
      </c>
      <c r="C277" s="422">
        <v>6.01</v>
      </c>
      <c r="D277" s="208"/>
      <c r="E277" s="39">
        <f>SnapshotTable[[#This Row],[Last Price]]*(1 -CrashDiscount)</f>
        <v>5.1084999999999994</v>
      </c>
      <c r="F277" s="26" t="s">
        <v>840</v>
      </c>
      <c r="G277" s="26" t="s">
        <v>9</v>
      </c>
      <c r="H277" s="149"/>
      <c r="I277" s="194">
        <v>44868.670138888891</v>
      </c>
      <c r="J277" s="195">
        <v>44868.670138888891</v>
      </c>
      <c r="K277" s="196"/>
      <c r="L277" s="326"/>
      <c r="M277" s="140"/>
      <c r="N277" s="140"/>
      <c r="O277" s="140"/>
      <c r="P277" s="22"/>
      <c r="Q277" s="25"/>
      <c r="R277" s="4" t="str">
        <f>IF(SnapshotTable[[#This Row],[Equity Basis Total]] &gt; 0, SnapshotTable[[#This Row],[Equity Basis Total]] / SnapshotTable[[#This Row],[Equity Shares]], "")</f>
        <v/>
      </c>
      <c r="S277" s="269">
        <f>SnapshotTable[[#This Row],[Last Price]] * SnapshotTable[[#This Row],[Equity Shares]]</f>
        <v>0</v>
      </c>
      <c r="T277" s="269">
        <f>SnapshotTable[[#This Row],[Equity Value]] - SnapshotTable[[#This Row],[Equity Basis Total]]</f>
        <v>0</v>
      </c>
      <c r="U277" s="270" t="str">
        <f>IF(SnapshotTable[[#This Row],[Equity Basis Total]] &gt; 0, SnapshotTable[[#This Row],[Equity G/L]] / SnapshotTable[[#This Row],[Equity Basis Total]], "")</f>
        <v/>
      </c>
      <c r="V277" s="268"/>
      <c r="W277" s="268"/>
      <c r="X277" s="4" t="str">
        <f>IF(AND(ISNUMBER(SnapshotTable[[#This Row],[Equity Basis Per Share]]),ISNUMBER(SnapshotTable[[#This Row],[Equity Target]])),SnapshotTable[[#This Row],[Equity Target]]-SnapshotTable[[#This Row],[Equity Basis Per Share]],"")</f>
        <v/>
      </c>
      <c r="Y277" s="4" t="str">
        <f>IF(AND(ISNUMBER(SnapshotTable[[#This Row],[Equity Basis Per Share]]),ISNUMBER(SnapshotTable[[#This Row],[Equity Stop Loss]])),SnapshotTable[[#This Row],[Equity Stop Loss]]-SnapshotTable[[#This Row],[Equity Basis Per Share]],"")</f>
        <v/>
      </c>
      <c r="Z277" s="275" t="str">
        <f>IFERROR( TEXT(SnapshotTable[[#This Row],[Equity Max Gain Per Share]] /ABS( SnapshotTable[[#This Row],[Equity Max Loss Per Share]]),"0.0 " ) &amp; " : 1", "")</f>
        <v/>
      </c>
      <c r="AA277" s="31" t="str">
        <f>IF(ISNUMBER(SnapshotTable[[#This Row],[Equity Max Gain Per Share]]),SnapshotTable[[#This Row],[Equity Max Gain Per Share]] * SnapshotTable[[#This Row],[Equity Shares]],"")</f>
        <v/>
      </c>
      <c r="AB277" s="31" t="str">
        <f>IF(ISNUMBER(SnapshotTable[[#This Row],[Equity Max Loss Per Share]]),SnapshotTable[[#This Row],[Equity Max Loss Per Share]] * SnapshotTable[[#This Row],[Equity Shares]],"")</f>
        <v/>
      </c>
      <c r="AC277" s="150"/>
      <c r="AD277" s="151"/>
      <c r="AE277" s="31">
        <f>(SnapshotTable[[#This Row],[Annual Dividend Per Share]] / 4) * SnapshotTable[[#This Row],[Equity Shares]]</f>
        <v>0</v>
      </c>
      <c r="AF277" s="31">
        <f>SnapshotTable[[#This Row],[Quarterly Div $]] * 4</f>
        <v>0</v>
      </c>
      <c r="AG277" s="7">
        <f>IF(SnapshotTable[[#This Row],[Annual Dividend Per Share]]&gt;0, SnapshotTable[[#This Row],[Annual Dividend Per Share]]  / SnapshotTable[[#This Row],[Last Price]], 0)</f>
        <v>0</v>
      </c>
      <c r="AH277" s="151"/>
      <c r="AI277" s="5"/>
      <c r="AJ277" s="138">
        <v>19.38</v>
      </c>
      <c r="AK277" s="152" t="str">
        <f>IF(ISNUMBER( SnapshotTable[[#This Row],[EBF Target]]),(SnapshotTable[[#This Row],[EBF Target]] - SnapshotTable[[#This Row],[Last Price]]) / SnapshotTable[[#This Row],[Last Price]], "")</f>
        <v/>
      </c>
      <c r="AL277" s="152" t="str">
        <f>IF(AND(SnapshotTable[[#This Row],[Equity Basis Total]] &gt; 0,ISNUMBER( SnapshotTable[[#This Row],[Long Term Target]])), SnapshotTable[[#This Row],[From Basis $]] / SnapshotTable[[#This Row],[Equity Basis Total]], "")</f>
        <v/>
      </c>
      <c r="AM277" s="9">
        <f>IF( AND(SnapshotTable[[#This Row],[Equity Shares]] &gt;0,ISNUMBER( SnapshotTable[[#This Row],[Long Term Target]])),(SnapshotTable[[#This Row],[Equity Shares]] * SnapshotTable[[#This Row],[Long Term Target]]) - SnapshotTable[[#This Row],[Equity Basis Total]],0)</f>
        <v>0</v>
      </c>
      <c r="AN277" s="9">
        <f>IF( AND(SnapshotTable[[#This Row],[Equity Shares]] &gt;0,ISNUMBER( SnapshotTable[[#This Row],[Long Term Target]])),(SnapshotTable[[#This Row],[Equity Shares]]*SnapshotTable[[#This Row],[Long Term Target]]) - SnapshotTable[[#This Row],[Equity Value]],0)</f>
        <v>0</v>
      </c>
      <c r="AO277" s="152">
        <f>IF(AND(ISNUMBER( SnapshotTable[[#This Row],[Long Term Target]]), ISNUMBER(SnapshotTable[[#This Row],[Last Price]])),(SnapshotTable[[#This Row],[Long Term Target]] - SnapshotTable[[#This Row],[Last Price]]) / SnapshotTable[[#This Row],[Last Price]], "")</f>
        <v>2.2246256239600664</v>
      </c>
      <c r="AP277" s="5">
        <v>19.43</v>
      </c>
      <c r="AQ277" s="38" t="s">
        <v>89</v>
      </c>
      <c r="AR277" s="5">
        <v>14.95</v>
      </c>
      <c r="AS277" s="38" t="s">
        <v>32</v>
      </c>
      <c r="AT277" s="146"/>
      <c r="AU277" s="187" t="str">
        <f>IF(OR(SnapshotTable[[#This Row],[LP No Fill]]="Y",SnapshotTable[[#This Row],[SP Is Filled]],SnapshotTable[[#This Row],[LC Not Filled]]="Y",SnapshotTable[[#This Row],[SC Is Filled]]),"Y","")</f>
        <v/>
      </c>
      <c r="AV277" s="219"/>
      <c r="AW277" s="225"/>
      <c r="AX277" s="220"/>
      <c r="AY277" s="219" t="str">
        <f>IF(SnapshotTable[[#This Row],[Implied Move]]&gt;0, SnapshotTable[[#This Row],[Last Price]]-SnapshotTable[[#This Row],[Implied Move]],"")</f>
        <v/>
      </c>
      <c r="AZ277" s="219" t="str">
        <f>IF(SnapshotTable[[#This Row],[Implied Move]]&gt;0, SnapshotTable[[#This Row],[Last Price]] + SnapshotTable[[#This Row],[Implied Move]],"")</f>
        <v/>
      </c>
      <c r="BA277" s="331">
        <v>17.02</v>
      </c>
      <c r="BB277" s="347"/>
      <c r="BC27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7" s="351"/>
      <c r="BE277" s="5"/>
      <c r="BF277" s="14"/>
      <c r="BG277" s="13"/>
      <c r="BH277" s="13"/>
      <c r="BI277" s="5"/>
      <c r="BJ277" s="136">
        <f>IF(SnapshotTable[[#This Row],[LP Qty]] &gt; 0, SnapshotTable[[#This Row],[LP Qty]] * SnapshotTable[[#This Row],[LP Book Price]] * 100,0)</f>
        <v>0</v>
      </c>
      <c r="BK277" s="136">
        <f>IF(SnapshotTable[[#This Row],[LP Premium]] &gt; 0, SnapshotTable[[#This Row],[LP Qty]] * SnapshotTable[[#This Row],[LP Strike Price]] * 100,0)</f>
        <v>0</v>
      </c>
      <c r="BL277" s="154"/>
      <c r="BM277" s="385" t="str">
        <f>IF(SnapshotTable[[#This Row],[LP Premium]] &gt; 0,SnapshotTable[[#This Row],[LP Exp Date]]-MAX(SnapshotTable[[#This Row],[LP Book Date]], SnapshotTable[[#This Row],[LP Fill Date]]),"")</f>
        <v/>
      </c>
      <c r="BN277" s="385" t="str">
        <f>IF(ISNUMBER( SnapshotTable[[#This Row],[LP Term]]), SnapshotTable[[#This Row],[LP Exp Date]] - MockToday,"")</f>
        <v/>
      </c>
      <c r="BO277" s="163" t="str">
        <f>IF(AND(SnapshotTable[[#This Row],[LP Exp Date]]&gt;0, SnapshotTable[[#This Row],[LP Strike Price]]&gt;0,SnapshotTable[[#This Row],[LP Qty]]&gt;0,SnapshotTable[[#This Row],[LP Book Date]]&gt;0,SnapshotTable[[#This Row],[LP Book Price]]&gt;0,SnapshotTable[[#This Row],[LP Fill Date]]=0),"Y","")</f>
        <v/>
      </c>
      <c r="BP277" s="31" t="str">
        <f>IF(AND(SnapshotTable[[#This Row],[LP No Fill]]&lt;&gt;"Y",SnapshotTable[[#This Row],[LP Contract Value]]&gt;0, SnapshotTable[[#This Row],[LP Qty]]&gt;0), SnapshotTable[[#This Row],[LP Contract Value]]*SnapshotTable[[#This Row],[LP Qty]]*100,"")</f>
        <v/>
      </c>
      <c r="BQ277" s="13"/>
      <c r="BR277" s="5" t="str">
        <f>IF(SnapshotTable[[#This Row],[SP Exp Date]]&lt;&gt;"",TRUNC(SnapshotTable[[#This Row],[Last Price]]),"")</f>
        <v/>
      </c>
      <c r="BS277" s="36"/>
      <c r="BT277" s="147"/>
      <c r="BU277" s="13"/>
      <c r="BV277" s="5"/>
      <c r="BW277" s="419" t="b">
        <f>AND(ISNUMBER(SnapshotTable[[#This Row],[SP Exp Date]]), ISNUMBER(SnapshotTable[[#This Row],[SP Strike Price]]), ISNUMBER(SnapshotTable[[#This Row],[SP Qty]]), ISNUMBER(SnapshotTable[[#This Row],[SP Book Date]]), ISNUMBER(SnapshotTable[[#This Row],[SP Book Price]]))</f>
        <v>0</v>
      </c>
      <c r="BX277" s="419" t="b">
        <f>AND(SnapshotTable[[#This Row],[SP Is Booked]], NOT(ISBLANK(SnapshotTable[[#This Row],[SP Fill Date]])))</f>
        <v>0</v>
      </c>
      <c r="BY277" s="33">
        <f>IF(SnapshotTable[[#This Row],[SP Is Booked]], SnapshotTable[[#This Row],[SP Qty]] * SnapshotTable[[#This Row],[SP Book Price]] * 100, 0)</f>
        <v>0</v>
      </c>
      <c r="BZ277" s="369"/>
      <c r="CA277" s="368">
        <f>SnapshotTable[[#This Row],[LP Qty]]</f>
        <v>0</v>
      </c>
      <c r="CB277" s="4" t="str">
        <f>IF(SnapshotTable[[#This Row],[SP Is Booked]], SnapshotTable[[#This Row],[SP Strike Price]] - SnapshotTable[[#This Row],[SP Book Price]], "")</f>
        <v/>
      </c>
      <c r="CC277" s="19" t="str">
        <f>IF(SnapshotTable[[#This Row],[SP Is Booked]],SnapshotTable[[#This Row],[SP Exp Date]]-MAX(SnapshotTable[[#This Row],[SP Book Date]], SnapshotTable[[#This Row],[SP Fill Date]]),"")</f>
        <v/>
      </c>
      <c r="CD277" s="7" t="str">
        <f>IF(SnapshotTable[[#This Row],[SP Is Booked]], SnapshotTable[[#This Row],[SP Book Price]]/SnapshotTable[[#This Row],[SP Strike Price]], "")</f>
        <v/>
      </c>
      <c r="CE277" s="7" t="str">
        <f>IF(ISNUMBER(SnapshotTable[[#This Row],[SP ROO Term]]),SnapshotTable[[#This Row],[SP ROO Term]]*(365/SnapshotTable[[#This Row],[SP Term]]),"")</f>
        <v/>
      </c>
      <c r="CF277" s="236">
        <f>SnapshotTable[[#This Row],[LP Strike Price]] * SnapshotTable[[#This Row],[LP Qty]] * 100</f>
        <v>0</v>
      </c>
      <c r="CG277" s="31" t="e">
        <f>IF(ISNUMBER(SnapshotTable[[#This Row],[SP Premium]]), (SnapshotTable[[#This Row],[SP Qty]] * SnapshotTable[[#This Row],[SP Strike Price]]* 100) - SnapshotTable[[#This Row],[LP Protection]], 0)</f>
        <v>#VALUE!</v>
      </c>
      <c r="CH277" s="7" t="str">
        <f>IF(ISNUMBER(SnapshotTable[[#This Row],[SP Break Even]]),-1 * (SnapshotTable[[#This Row],[SP Break Even]] - SnapshotTable[[#This Row],[Last Price]]) / SnapshotTable[[#This Row],[Last Price]], "")</f>
        <v/>
      </c>
      <c r="CI277" s="31">
        <f>IF(AND(ISNUMBER((SnapshotTable[[#This Row],[SP Potential Spend]])), SnapshotTable[[#This Row],[SP Strike Price]] &gt; SnapshotTable[[#This Row],[Last Price]], SnapshotTable[[#This Row],[SP Is Filled]]), SnapshotTable[[#This Row],[SP Potential Spend]] -  SnapshotTable[[#This Row],[LP Max Value]], 0)</f>
        <v>0</v>
      </c>
      <c r="CJ277" s="244"/>
      <c r="CK277" s="31" t="str">
        <f>IF(ISNUMBER(SnapshotTable[[#This Row],[SP Potential Spend]]),IF(ISNUMBER(SnapshotTable[[#This Row],[SP POW]]), SnapshotTable[[#This Row],[SP POW]] * SnapshotTable[[#This Row],[SP Potential Spend]], SnapshotTable[[#This Row],[SP Potential Spend]]), "")</f>
        <v/>
      </c>
      <c r="CL277" s="164" t="e">
        <f>IF(NOT(SnapshotTable[[#This Row],[SP Is Filled]]),(SnapshotTable[[#This Row],[SP Qty]] * SnapshotTable[[#This Row],[SP Strike Price]] * 100) - SnapshotTable[[#This Row],[LP Max Value]],"")</f>
        <v>#VALUE!</v>
      </c>
      <c r="CM277" s="31" t="str">
        <f>IF(SnapshotTable[[#This Row],[SP Actual Spend]]&lt;&gt;0, ((SnapshotTable[[#This Row],[SP Strike Price]]-SnapshotTable[[#This Row],[Last Price]]) *(SnapshotTable[[#This Row],[SP Qty]]*100) - SnapshotTable[[#This Row],[SP Premium]]) * - 1, "")</f>
        <v/>
      </c>
      <c r="CN277" s="78"/>
      <c r="CO277" s="369"/>
      <c r="CP277" s="4" t="str">
        <f>IF(SnapshotTable[[#This Row],[SP Is Filled]], btc_max_buyback_amount(SnapshotTable[[#This Row],[SP Fill Date]],SnapshotTable[[#This Row],[SP Exp Date]], SnapshotTable[[#This Row],[SP Book Price]]),"")</f>
        <v/>
      </c>
      <c r="CQ277" s="78"/>
      <c r="CR27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7" s="155" t="str">
        <f>IF(SnapshotTable[[#This Row],[SP Is Filled]], btc_next_cutoff_date(SnapshotTable[[#This Row],[SP Fill Date]],SnapshotTable[[#This Row],[SP Exp Date]]),"")</f>
        <v/>
      </c>
      <c r="CT277" s="235" t="str" cm="1">
        <f t="array" ref="CT277">IF(SnapshotTable[[#This Row],[SP Is Filled]], btc_should_buy_back(SnapshotTable[[#This Row],[SP Fill Date]], SnapshotTable[[#This Row],[SP Exp Date]], SnapshotTable[[#This Row],[SP Book Price]], SnapshotTable[[#This Row],[SP Current Ask]], MockToday, SnapshotTable[[#This Row],[SP Buyback Override]]),"")</f>
        <v/>
      </c>
      <c r="CU277" s="143"/>
      <c r="CV277" s="235"/>
      <c r="CW277" s="378" t="str">
        <f>IF(ISNUMBER( SnapshotTable[[#This Row],[SP Term]]), SnapshotTable[[#This Row],[SP Exp Date]] - MockToday,"")</f>
        <v/>
      </c>
      <c r="CX277" s="31" t="str">
        <f>IF(SnapshotTable[[#This Row],[SP Is Filled]],SnapshotTable[[#This Row],[SP Buyback Price to Use]] * 100 * SnapshotTable[[#This Row],[SP Qty]], "")</f>
        <v/>
      </c>
      <c r="CY277" s="4" t="str">
        <f>IF(ISNUMBER(SnapshotTable[[#This Row],[SP Strike Price]]), SnapshotTable[[#This Row],[SP Strike Price]] * (1 - SP_MaxLoss_StrikePct), "")</f>
        <v/>
      </c>
      <c r="CZ277" s="31" t="str">
        <f>IF(ISNUMBER(SnapshotTable[[#This Row],[SP Strike  Stop Per Share]]),SnapshotTable[[#This Row],[SP Premium]] - ((SnapshotTable[[#This Row],[SP Strike Price]]-SnapshotTable[[#This Row],[SP Strike  Stop Per Share]]) *(SnapshotTable[[#This Row],[SP Qty]] * 100)),"")</f>
        <v/>
      </c>
      <c r="DA277" s="4" t="str">
        <f>IF(AND(ISNUMBER(SnapshotTable[[#This Row],[SP Premium]]),SnapshotTable[[#This Row],[SP Premium]]&gt;0), SnapshotTable[[#This Row],[SP Book Price]] * (1 + SP_MaxLoss_OptionPct), "")</f>
        <v/>
      </c>
      <c r="DB277" s="31" t="str">
        <f>IF(ISNUMBER(SnapshotTable[[#This Row],[SP Option  Stop Contract]]),(SnapshotTable[[#This Row],[SP Option  Stop Contract]] *(SnapshotTable[[#This Row],[SP Qty]] * 100) - SnapshotTable[[#This Row],[SP Premium]]),"")</f>
        <v/>
      </c>
      <c r="DC277" s="4"/>
      <c r="DD277" s="4"/>
      <c r="DE277" s="4" t="str">
        <f>IF(AND(SnapshotTable[[#This Row],[SP Qty]]&gt;0, SnapshotTable[[#This Row],[SP Stop To Use]]&gt;0),SnapshotTable[[#This Row],[SP Premium]] - ( SnapshotTable[[#This Row],[SP Qty]] * SnapshotTable[[#This Row],[SP Stop To Use]] * 100), "")</f>
        <v/>
      </c>
      <c r="DF277" s="31" t="str">
        <f>IF(AND(SnapshotTable[[#This Row],[SP Qty]]&gt;0,SnapshotTable[[#This Row],[SP Current Ask]]&gt;0), SnapshotTable[[#This Row],[SP Qty]] * SnapshotTable[[#This Row],[SP Current Ask]] * -100, "")</f>
        <v/>
      </c>
      <c r="DG277" s="31" t="str">
        <f>IF(ISNUMBER((SnapshotTable[[#This Row],[SP Total Value]])), SnapshotTable[[#This Row],[SP Premium]] + SnapshotTable[[#This Row],[SP Total Value]], "")</f>
        <v/>
      </c>
      <c r="DH277" s="294" t="str">
        <f>IF(ISNUMBER((SnapshotTable[[#This Row],[SP Total Value]])), SnapshotTable[[#This Row],[SP Gain Loss]] / SnapshotTable[[#This Row],[SP Premium]], "")</f>
        <v/>
      </c>
      <c r="DI277" s="406"/>
      <c r="DJ277" s="138"/>
      <c r="DK277" s="148"/>
      <c r="DL277" s="13"/>
      <c r="DM277" s="13"/>
      <c r="DO277" s="31">
        <f>IF(SnapshotTable[[#This Row],[LC Symbol Count]]=1, SnapshotTable[[#This Row],[LC Qty]] * SnapshotTable[[#This Row],[LC Book Price]] * 100, 0)</f>
        <v>0</v>
      </c>
      <c r="DP277" s="163" t="str">
        <f>IF(AND(SnapshotTable[[#This Row],[LC Exp Date]]&gt;0, SnapshotTable[[#This Row],[LC Strike Price]]&gt;0,SnapshotTable[[#This Row],[LC Qty]]&gt;0,SnapshotTable[[#This Row],[LC Book Date]]&gt;0,SnapshotTable[[#This Row],[LC Book Price]]&gt;0,SnapshotTable[[#This Row],[LC Fill Date]]=0),"Y","")</f>
        <v/>
      </c>
      <c r="DQ277" s="386" t="str">
        <f>IF(SnapshotTable[[#This Row],[LC Premium]] &gt; 0,SnapshotTable[[#This Row],[LC Exp Date]]-MAX(SnapshotTable[[#This Row],[LC Book Date]], SnapshotTable[[#This Row],[LC Fill Date]]),"")</f>
        <v/>
      </c>
      <c r="DR277" s="386" t="str">
        <f>IF(ISNUMBER(SnapshotTable[[#This Row],[LC Term]]), SnapshotTable[[#This Row],[LC Exp Date]] - MockToday, "")</f>
        <v/>
      </c>
      <c r="DS277" s="234" t="str">
        <f>IF(SnapshotTable[[#This Row],[LC Premium]]&gt;0,SnapshotTable[[#This Row],[LC Strike Price]] + SnapshotTable[[#This Row],[LC Book Price]],"")</f>
        <v/>
      </c>
      <c r="DU277" s="9" t="str">
        <f>IF(AND(SnapshotTable[[#This Row],[LC Symbol Count]]&gt;0, SnapshotTable[[#This Row],[LC Contract Value]]&gt;0), SnapshotTable[[#This Row],[LC Contract Value]] * SnapshotTable[[#This Row],[LC Qty]] * 100, "")</f>
        <v/>
      </c>
      <c r="DV277" s="9" t="str">
        <f>IF(AND(ISNUMBER(SnapshotTable[[#This Row],[LC Total Value]]), SnapshotTable[[#This Row],[LC Not Filled]]&lt;&gt;"Y"), SnapshotTable[[#This Row],[LC Total Value]]-SnapshotTable[[#This Row],[LC Premium]],"")</f>
        <v/>
      </c>
      <c r="DW277" s="240" t="str">
        <f>IF(ISNUMBER(SnapshotTable[[#This Row],[LC Actual Gain Loss]]), SnapshotTable[[#This Row],[LC Actual Gain Loss]] / SnapshotTable[[#This Row],[LC Premium]],"")</f>
        <v/>
      </c>
      <c r="DX277" s="284" t="str">
        <f>IF(ISNUMBER(SnapshotTable[[#This Row],[LC Book Price]]),SnapshotTable[[#This Row],[LC Book Price]] * 1.5,"")</f>
        <v/>
      </c>
      <c r="DY277" s="265" t="str">
        <f>IF(SnapshotTable[[#This Row],[LC Premium]]&gt;0, SnapshotTable[[#This Row],[LC Next Target]] * SnapshotTable[[#This Row],[LC Qty]] * 100,"")</f>
        <v/>
      </c>
      <c r="DZ277" s="265" t="str">
        <f>IF(ISNUMBER(SnapshotTable[[#This Row],[LC Target Gross]]), SnapshotTable[[#This Row],[LC Target Gross]] - SnapshotTable[[#This Row],[LC Premium]], "")</f>
        <v/>
      </c>
      <c r="EA277" s="305" t="str">
        <f>IF(ISNUMBER(SnapshotTable[[#This Row],[LC Target Gain Loss]]), SnapshotTable[[#This Row],[LC Target Gain Loss]]/SnapshotTable[[#This Row],[LC Premium]], "")</f>
        <v/>
      </c>
      <c r="EB277" s="262"/>
      <c r="EC277" s="283" t="str">
        <f>IF(SnapshotTable[[#This Row],[LC Premium]]&gt;0, SnapshotTable[[#This Row],[LC Book Price]] * (1 - LC_StopLoss_Pct),"")</f>
        <v/>
      </c>
      <c r="ED277" s="284"/>
      <c r="EE277" s="283" t="str">
        <f>IF(ISNUMBER(SnapshotTable[[#This Row],[LC Contract Value]]),IF(ISNUMBER(SnapshotTable[[#This Row],[LC Stop Loss Override]]), SnapshotTable[[#This Row],[LC Stop Loss Override]],SnapshotTable[[#This Row],[LC Stop Loss Calc Target]]),"")</f>
        <v/>
      </c>
      <c r="EF277" s="31" t="str">
        <f>IF(ISNUMBER(SnapshotTable[[#This Row],[LC Stop  To Use]]), (SnapshotTable[[#This Row],[LC Stop  To Use]] * SnapshotTable[[#This Row],[LC Qty]] * 100),"")</f>
        <v/>
      </c>
      <c r="EG277" s="9" t="str">
        <f>IF(ISNUMBER(SnapshotTable[[#This Row],[LC Total Value]]),SnapshotTable[[#This Row],[LC Stop Loss Amount]] - SnapshotTable[[#This Row],[LC Premium]],"")</f>
        <v/>
      </c>
      <c r="EH277" s="9">
        <f>IF(ISNUMBER(SnapshotTable[[#This Row],[LC Premium]]), SnapshotTable[[#This Row],[LC Qty]] * 100 * SnapshotTable[[#This Row],[LC Strike Price]], "")</f>
        <v>0</v>
      </c>
      <c r="EI277" s="240" t="str">
        <f>IF(AND(ISNUMBER(SnapshotTable[[#This Row],[LC Total Value]]),SnapshotTable[[#This Row],[LC Total Value]]&gt;0),SnapshotTable[[#This Row],[LC Stop Gain Loss]]  / SnapshotTable[[#This Row],[LC Premium]],"")</f>
        <v/>
      </c>
      <c r="EJ277" s="35">
        <f>IF(ISNUMBER(SnapshotTable[[#This Row],[Equity Shares]]),TRUNC(SnapshotTable[[#This Row],[Equity Shares]] / 100),0) + SnapshotTable[[#This Row],[LC Qty]]</f>
        <v>0</v>
      </c>
      <c r="EK277" s="147"/>
      <c r="EL277" s="138" t="str">
        <f>IF(SnapshotTable[[#This Row],[SC Exp Date]]&lt;&gt;"",TRUNC(SnapshotTable[[#This Row],[Last Price]]),"")</f>
        <v/>
      </c>
      <c r="EM277" s="148"/>
      <c r="EN277" s="147"/>
      <c r="EO277" s="147"/>
      <c r="EP277" s="138"/>
      <c r="EQ277" s="419" t="b">
        <f>AND(ISNUMBER(SnapshotTable[[#This Row],[SC Exp Date]]), ISNUMBER(SnapshotTable[[#This Row],[SC Strike Price]]), ISNUMBER(SnapshotTable[[#This Row],[SC Qty]]), ISNUMBER(SnapshotTable[[#This Row],[SC Book Date]]), ISNUMBER(SnapshotTable[[#This Row],[SC Book Price]]))</f>
        <v>0</v>
      </c>
      <c r="ER277" s="419" t="b">
        <f>AND(SnapshotTable[[#This Row],[SC Is Booked]], NOT(ISBLANK(SnapshotTable[[#This Row],[SC Fill Date]])))</f>
        <v>0</v>
      </c>
      <c r="ES277" s="370"/>
      <c r="ET277" s="34" t="str">
        <f>IF(AND(ISNUMBER(SnapshotTable[[#This Row],[SC Exp Date]]), ISNUMBER(SnapshotTable[[#This Row],[SC Book Date]])), SnapshotTable[[#This Row],[SC Exp Date]] - MAX(SnapshotTable[[#This Row],[SC Book Date]], SnapshotTable[[#This Row],[SC Fill Date]]) + 1, "")</f>
        <v/>
      </c>
      <c r="EU277" s="34" t="str">
        <f>IF(ISNUMBER(SnapshotTable[[#This Row],[SC Term]]), SnapshotTable[[#This Row],[SC Exp Date]]- MockToday, "")</f>
        <v/>
      </c>
      <c r="EV277" s="31">
        <f>IF(SnapshotTable[[#This Row],[SC Is Booked]], SnapshotTable[[#This Row],[SC Qty]] * SnapshotTable[[#This Row],[SC Book Price]] * 100, 0)</f>
        <v>0</v>
      </c>
      <c r="EW277" s="4" t="str">
        <f>IF(AND(ISNUMBER(SnapshotTable[[#This Row],[Last Price]]), ISNUMBER( SnapshotTable[[#This Row],[SC Book Price]])), SnapshotTable[[#This Row],[Last Price]] - SnapshotTable[[#This Row],[SC Book Price]],"")</f>
        <v/>
      </c>
      <c r="EX277" s="234" t="str">
        <f>IF(SnapshotTable[[#This Row],[SC Is Booked]],IF(SnapshotTable[[#This Row],[SC Intrinsic Value]] &gt; 0, SnapshotTable[[#This Row],[SC Strike Price]], SnapshotTable[[#This Row],[Last Price]]), "")</f>
        <v/>
      </c>
      <c r="EY277" s="4">
        <f>IF(SnapshotTable[[#This Row],[SC Is Booked]], (MinimumPremiumRequired * SnapshotTable[[#This Row],[SC Basis]] * SnapshotTable[[#This Row],[SC Term]]), 0)</f>
        <v>0</v>
      </c>
      <c r="EZ277" s="283"/>
      <c r="FA277" s="218"/>
      <c r="FB277" s="370"/>
      <c r="FC277" s="4">
        <f>IF(SnapshotTable[[#This Row],[SC Is Filled]], btc_max_buyback_amount(SnapshotTable[[#This Row],[SC Fill Date]],SnapshotTable[[#This Row],[SC Exp Date]], SnapshotTable[[#This Row],[SC Book Price]]),0)</f>
        <v>0</v>
      </c>
      <c r="FD277" s="5"/>
      <c r="FE277" s="144" t="str">
        <f>IF(SnapshotTable[[#This Row],[SC Is Filled]], btc_next_cutoff_date(SnapshotTable[[#This Row],[SC Fill Date]],SnapshotTable[[#This Row],[SC Exp Date]]),"")</f>
        <v/>
      </c>
      <c r="FF277" s="4" t="str" cm="1">
        <f t="array" ref="FF277">IF(SnapshotTable[[#This Row],[SC Is Filled]], btc_should_buy_back(SnapshotTable[[#This Row],[SC Fill Date]], SnapshotTable[[#This Row],[SC Exp Date]], SnapshotTable[[#This Row],[SC Book Price]], SnapshotTable[[#This Row],[SC Current Ask]], MockToday, SnapshotTable[[#This Row],[SC Buyback Override]]),"")</f>
        <v/>
      </c>
      <c r="FG277" s="4">
        <f>IF(SnapshotTable[[#This Row],[SC Is Filled]], MAX(0,SnapshotTable[[#This Row],[Last Price]]  - SnapshotTable[[#This Row],[SC Strike Price]]), 0)</f>
        <v>0</v>
      </c>
      <c r="FH277" s="382">
        <f>IF(SnapshotTable[[#This Row],[SC Is Filled]], IF(ISNUMBER(SnapshotTable[[#This Row],[SC Current Ask]]), SnapshotTable[[#This Row],[SC Current Ask]], SnapshotTable[[#This Row],[SC Book Price]]) - SnapshotTable[[#This Row],[SC Intrinsic Value]], 0)</f>
        <v>0</v>
      </c>
      <c r="FI277" s="143"/>
      <c r="FJ277" s="32" t="str">
        <f>IF(SnapshotTable[[#This Row],[SC Is Filled]],100 * SnapshotTable[[#This Row],[SC Qty]] * IF(ISNUMBER(SnapshotTable[[#This Row],[SC Buyback Override]]), SnapshotTable[[#This Row],[SC Buyback Override]], SnapshotTable[[#This Row],[SC Current Ask]]), "")</f>
        <v/>
      </c>
      <c r="FK277" s="250" t="str">
        <f>IF(SnapshotTable[[#This Row],[SC Time Val]]&gt;0, SnapshotTable[[#This Row],[SC Time Val]] / SnapshotTable[[#This Row],[Last Price]],"")</f>
        <v/>
      </c>
      <c r="FL277" s="302" t="str">
        <f>IF(SnapshotTable[[#This Row],[SC Is Booked]], ((SnapshotTable[[#This Row],[Last Price]] -SnapshotTable[[#This Row],[SC Strike Price]]) / SnapshotTable[[#This Row],[Last Price]]) * -1, "")</f>
        <v/>
      </c>
      <c r="FM277" s="157" t="str">
        <f>IF(SnapshotTable[[#This Row],[SC Is Booked]],  (SnapshotTable[[#This Row],[SC Qty]] * 100 * SnapshotTable[[#This Row],[SC Strike Price]]) - SnapshotTable[[#This Row],[SC Current Ask]], "")</f>
        <v/>
      </c>
      <c r="FN27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7" s="31" t="str">
        <f>IF(AND(ISNUMBER(SnapshotTable[[#This Row],[SC Exercise Gross]]), ISNUMBER(SnapshotTable[[#This Row],[Equity Basis Per Share]] )), SnapshotTable[[#This Row],[SC Exercise Gross]] - SnapshotTable[[#This Row],[Equity Basis Total]] +  SnapshotTable[[#This Row],[SC Premium]], "")</f>
        <v/>
      </c>
      <c r="FP277" s="5" t="str">
        <f>IF(ISNUMBER(SnapshotTable[[#This Row],[SC Exercise Gross]]), (SnapshotTable[[#This Row],[SC Exercise Gross]]) / (SnapshotTable[[#This Row],[SC Qty]] * 100), "")</f>
        <v/>
      </c>
      <c r="FQ277" s="27" t="str">
        <f>IF(SnapshotTable[[#This Row],[SC Is Booked]],SnapshotTable[[#This Row],[SC Time Val]] /SnapshotTable[[#This Row],[SC Basis]], "")</f>
        <v/>
      </c>
      <c r="FR277" s="27" t="str" cm="1">
        <f t="array" ref="FR277">IF(AND(ISNUMBER(SnapshotTable[[#This Row],[SC Term]]),ISNUMBER(SnapshotTable[[#This Row],[SC Simple ROO]])), EllmanAnnualize(SnapshotTable[[#This Row],[SC DTE]], SnapshotTable[[#This Row],[SC Simple ROO]] ),"")</f>
        <v/>
      </c>
      <c r="FS277" s="4" t="e">
        <f>IF(SnapshotTable[[#This Row],[SC Strike Price]] &gt; SnapshotTable[[#This Row],[Last Price]], SnapshotTable[[#This Row],[SC Strike Price]] - SnapshotTable[[#This Row],[Last Price]],0)</f>
        <v>#VALUE!</v>
      </c>
      <c r="FT277" s="27" t="e">
        <f>IF(AND(ISNUMBER(SnapshotTable[[#This Row],[SC Upside Potential]]), SnapshotTable[[#This Row],[SC Upside Potential]] &gt; 0),(SnapshotTable[[#This Row],[SC Upside Potential]]/ SnapshotTable[[#This Row],[ACB]]),"")</f>
        <v>#VALUE!</v>
      </c>
      <c r="FU277" s="333" t="str">
        <f>IF(SnapshotTable[[#This Row],[SC Intrinsic Value]] &gt; 0,SnapshotTable[[#This Row],[SC Intrinsic Value]],"")</f>
        <v/>
      </c>
      <c r="FV277" s="27" t="str">
        <f>IF(AND( ISNUMBER( SnapshotTable[[#This Row],[ACB]]),ISNUMBER(SnapshotTable[[#This Row],[SC Downside Protect]])),SnapshotTable[[#This Row],[SC Downside Protect]] / SnapshotTable[[#This Row],[ACB]],"")</f>
        <v/>
      </c>
      <c r="FW277" s="236" t="str">
        <f>IF(AND(ISNUMBER(SnapshotTable[[#This Row],[SC Simple ROO]]),SnapshotTable[[#This Row],[SC Simple ROO]] &gt; 0), SnapshotTable[[#This Row],[SC Premium]] + (SnapshotTable[[#This Row],[SC Qty]] * SnapshotTable[[#This Row],[SC Upside Potential]]), "")</f>
        <v/>
      </c>
      <c r="FX277" s="302" t="str" cm="1">
        <f t="array" ref="FX277">IF(ISNUMBER(SnapshotTable[[#This Row],[SC Max Dollars]]), annualize(SnapshotTable[[#This Row],[SC Term]],(SnapshotTable[[#This Row],[SC Max Dollars]]/SnapshotTable[[#This Row],[SC Basis]])),"")</f>
        <v/>
      </c>
      <c r="FY277" s="236" t="str">
        <f>IF(AND(SnapshotTable[[#This Row],[SC Qty]]&gt;0,SnapshotTable[[#This Row],[SC Current Ask]]&gt;0), SnapshotTable[[#This Row],[SC Qty]] * SnapshotTable[[#This Row],[SC Current Ask]] * -100, "")</f>
        <v/>
      </c>
      <c r="FZ277" s="31" t="str">
        <f>IF(ISNUMBER((SnapshotTable[[#This Row],[SC Current Value]])), SnapshotTable[[#This Row],[SC Premium]] + SnapshotTable[[#This Row],[SC Current Value]], "")</f>
        <v/>
      </c>
      <c r="GA277" s="294" t="str">
        <f>IFERROR( IF(ISNUMBER((SnapshotTable[[#This Row],[SC Current Value]])), SnapshotTable[[#This Row],[SC Gain Loss]] / SnapshotTable[[#This Row],[SC Premium]], ""), "")</f>
        <v/>
      </c>
      <c r="GB277" s="42">
        <f>SnapshotTable[[#This Row],[Equity Shares]] * SaleSharesToConsiderPercentage</f>
        <v>0</v>
      </c>
      <c r="GC277" s="40">
        <f>SnapshotTable[[#This Row],[Long Term Target]] * SellingPriceToConsiderBasedOnTargetPercentage</f>
        <v>18.410999999999998</v>
      </c>
      <c r="GD277" s="40">
        <f>SnapshotTable[[#This Row],[Last Price]] * (1+ SellingPriceToConsiderBasedOnTargetPercentage)</f>
        <v>11.7195</v>
      </c>
      <c r="GE277" s="41"/>
      <c r="GF277" s="40"/>
      <c r="GG277" s="31">
        <f>SnapshotTable[[#This Row],[Booked Sale Shares]] * SnapshotTable[[#This Row],[Booked Sale Price]]</f>
        <v>0</v>
      </c>
      <c r="GH277" s="31" t="str">
        <f>IF(SnapshotTable[[#This Row],[Equity Basis Total]] &gt; 0, SnapshotTable[[#This Row],[Equity Basis Per Share]] * SnapshotTable[[#This Row],[Booked Sale Shares]], "")</f>
        <v/>
      </c>
      <c r="GI277" s="31">
        <f>IF(SnapshotTable[[#This Row],[Sale Proceeds]]&gt;0, SnapshotTable[[#This Row],[Sale Proceeds]] - SnapshotTable[[#This Row],[Sale Basis]], 0)</f>
        <v>0</v>
      </c>
      <c r="GJ277" s="27" t="str">
        <f>IF(SnapshotTable[[#This Row],[Sale G/L]]&gt;0, SnapshotTable[[#This Row],[Sale G/L]] / SnapshotTable[[#This Row],[Sale Basis]], IF(ISNUMBER(SnapshotTable[[#This Row],[SC Exercise P&amp;L (TAX)]]), SnapshotTable[[#This Row],[SC Exercise P&amp;L (TAX)]] / SnapshotTable[[#This Row],[SC Basis]], ""))</f>
        <v/>
      </c>
      <c r="GK277" s="27"/>
      <c r="GL277" s="43" t="str">
        <f>IF(AND(SnapshotTable[[#This Row],[LP Exp Date]]&gt;0,SnapshotTable[[#This Row],[LP Strike Price]]&gt;0), [1]!ToOptionSymbol(SnapshotTable[[#This Row],[Symbol]], SnapshotTable[[#This Row],[LP Strike Price]],SnapshotTable[[#This Row],[LP Exp Date]],1), "")</f>
        <v/>
      </c>
      <c r="GM277" s="30" t="str">
        <f>IF(LEN(SnapshotTable[[#This Row],[LP Symbol]])&gt;0, 1, "")</f>
        <v/>
      </c>
      <c r="GN277" s="43" t="str">
        <f>IF(AND(SnapshotTable[[#This Row],[SP Exp Date]]&gt;0,SnapshotTable[[#This Row],[SP Strike Price]]&gt;0), [1]!ToOptionSymbol(SnapshotTable[[#This Row],[Symbol]], SnapshotTable[[#This Row],[SP Strike Price]],SnapshotTable[[#This Row],[SP Exp Date]],1), "")</f>
        <v/>
      </c>
      <c r="GO277" s="30" t="str">
        <f>IF(LEN(SnapshotTable[[#This Row],[SP Symbol]])&gt;0, 1, "")</f>
        <v/>
      </c>
      <c r="GP277" s="43" t="str">
        <f>IF(AND(SnapshotTable[[#This Row],[LC Exp Date]]&gt;0,SnapshotTable[[#This Row],[LC Strike Price]]&gt;0), [1]!ToOptionSymbol(SnapshotTable[[#This Row],[Symbol]], SnapshotTable[[#This Row],[LC Strike Price]],SnapshotTable[[#This Row],[LC Exp Date]],0), "")</f>
        <v/>
      </c>
      <c r="GQ277" s="30" t="str">
        <f>IF(LEN(SnapshotTable[[#This Row],[LC Symbol]])&gt;0, 1, "")</f>
        <v/>
      </c>
      <c r="GR277" s="43" t="str">
        <f>IF(AND(SnapshotTable[[#This Row],[SC Exp Date]]&gt;0,SnapshotTable[[#This Row],[SC Strike Price]]&gt;0), [1]!ToOptionSymbol(SnapshotTable[[#This Row],[Symbol]], SnapshotTable[[#This Row],[SC Strike Price]],SnapshotTable[[#This Row],[SC Exp Date]],0), "")</f>
        <v/>
      </c>
      <c r="GS277" s="30" t="str">
        <f>IF(LEN(SnapshotTable[[#This Row],[SC Symbol]])&gt;0, 1, "")</f>
        <v/>
      </c>
      <c r="GT277" s="29" t="str">
        <f>IF(COUNT(SnapshotTable[[#This Row],[LP Symbol Count]],SnapshotTable[[#This Row],[SP Symbol Count]],SnapshotTable[[#This Row],[LC Symbol Count]],SnapshotTable[[#This Row],[SC Symbol Count]])&gt;0, "Y", "")</f>
        <v/>
      </c>
      <c r="GU27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7" s="231" t="e">
        <f>MAX(SnapshotTable[[#This Row],[Equity Basis Total]],SnapshotTable[[#This Row],[Equity Value]]) + (SnapshotTable[[#This Row],[SP Potential Spend]]- SnapshotTable[[#This Row],[SP Premium]] + SnapshotTable[[#This Row],[LP Premium]])+ (SnapshotTable[[#This Row],[LC Premium]] - SnapshotTable[[#This Row],[SC Premium]])</f>
        <v>#VALUE!</v>
      </c>
      <c r="GW277" s="139" t="e">
        <f>IF(AND(SnapshotTable[[#This Row],[Exposure]] &lt;&gt; 0),SnapshotTable[[#This Row],[Exposure]] / SnapshotTable[[#Totals],[Exposure]], "")</f>
        <v>#VALUE!</v>
      </c>
      <c r="GX277" s="13"/>
      <c r="HK277" s="1"/>
      <c r="HL277" s="1"/>
      <c r="HM277" s="1"/>
      <c r="HN277" s="1"/>
      <c r="HO277" s="1"/>
      <c r="HP277" s="1"/>
    </row>
    <row r="278" spans="2:224" ht="12.75" hidden="1" customHeight="1" x14ac:dyDescent="0.25">
      <c r="B278" s="12" t="s">
        <v>25</v>
      </c>
      <c r="C278" s="422">
        <v>6.55</v>
      </c>
      <c r="D278" s="208"/>
      <c r="E278" s="39">
        <f>SnapshotTable[[#This Row],[Last Price]]*(1 -CrashDiscount)</f>
        <v>5.5674999999999999</v>
      </c>
      <c r="F278" s="26" t="s">
        <v>24</v>
      </c>
      <c r="G278" s="26" t="s">
        <v>4</v>
      </c>
      <c r="H278" s="149"/>
      <c r="I278" s="194">
        <v>44777.673611111109</v>
      </c>
      <c r="J278" s="195">
        <v>44777.673611111109</v>
      </c>
      <c r="K278" s="196"/>
      <c r="L278" s="326"/>
      <c r="M278" s="140"/>
      <c r="N278" s="140"/>
      <c r="O278" s="140"/>
      <c r="P278" s="22"/>
      <c r="Q278" s="25"/>
      <c r="R278" s="4" t="str">
        <f>IF(SnapshotTable[[#This Row],[Equity Basis Total]] &gt; 0, SnapshotTable[[#This Row],[Equity Basis Total]] / SnapshotTable[[#This Row],[Equity Shares]], "")</f>
        <v/>
      </c>
      <c r="S278" s="269">
        <f>SnapshotTable[[#This Row],[Last Price]] * SnapshotTable[[#This Row],[Equity Shares]]</f>
        <v>0</v>
      </c>
      <c r="T278" s="269">
        <f>SnapshotTable[[#This Row],[Equity Value]] - SnapshotTable[[#This Row],[Equity Basis Total]]</f>
        <v>0</v>
      </c>
      <c r="U278" s="270" t="str">
        <f>IF(SnapshotTable[[#This Row],[Equity Basis Total]] &gt; 0, SnapshotTable[[#This Row],[Equity G/L]] / SnapshotTable[[#This Row],[Equity Basis Total]], "")</f>
        <v/>
      </c>
      <c r="V278" s="268"/>
      <c r="W278" s="268"/>
      <c r="X278" s="4" t="str">
        <f>IF(AND(ISNUMBER(SnapshotTable[[#This Row],[Equity Basis Per Share]]),ISNUMBER(SnapshotTable[[#This Row],[Equity Target]])),SnapshotTable[[#This Row],[Equity Target]]-SnapshotTable[[#This Row],[Equity Basis Per Share]],"")</f>
        <v/>
      </c>
      <c r="Y278" s="4" t="str">
        <f>IF(AND(ISNUMBER(SnapshotTable[[#This Row],[Equity Basis Per Share]]),ISNUMBER(SnapshotTable[[#This Row],[Equity Stop Loss]])),SnapshotTable[[#This Row],[Equity Stop Loss]]-SnapshotTable[[#This Row],[Equity Basis Per Share]],"")</f>
        <v/>
      </c>
      <c r="Z278" s="275" t="str">
        <f>IFERROR( TEXT(SnapshotTable[[#This Row],[Equity Max Gain Per Share]] /ABS( SnapshotTable[[#This Row],[Equity Max Loss Per Share]]),"0.0 " ) &amp; " : 1", "")</f>
        <v/>
      </c>
      <c r="AA278" s="31" t="str">
        <f>IF(ISNUMBER(SnapshotTable[[#This Row],[Equity Max Gain Per Share]]),SnapshotTable[[#This Row],[Equity Max Gain Per Share]] * SnapshotTable[[#This Row],[Equity Shares]],"")</f>
        <v/>
      </c>
      <c r="AB278" s="31" t="str">
        <f>IF(ISNUMBER(SnapshotTable[[#This Row],[Equity Max Loss Per Share]]),SnapshotTable[[#This Row],[Equity Max Loss Per Share]] * SnapshotTable[[#This Row],[Equity Shares]],"")</f>
        <v/>
      </c>
      <c r="AC278" s="150">
        <v>0.96</v>
      </c>
      <c r="AD278" s="151">
        <v>42353</v>
      </c>
      <c r="AE278" s="31">
        <f>(SnapshotTable[[#This Row],[Annual Dividend Per Share]] / 4) * SnapshotTable[[#This Row],[Equity Shares]]</f>
        <v>0</v>
      </c>
      <c r="AF278" s="31">
        <f>SnapshotTable[[#This Row],[Quarterly Div $]] * 4</f>
        <v>0</v>
      </c>
      <c r="AG278" s="7">
        <f>IF(SnapshotTable[[#This Row],[Annual Dividend Per Share]]&gt;0, SnapshotTable[[#This Row],[Annual Dividend Per Share]]  / SnapshotTable[[#This Row],[Last Price]], 0)</f>
        <v>0.14656488549618321</v>
      </c>
      <c r="AH278" s="151">
        <v>42241</v>
      </c>
      <c r="AI278" s="5"/>
      <c r="AJ278" s="138">
        <v>79.42</v>
      </c>
      <c r="AK278" s="152" t="str">
        <f>IF(ISNUMBER( SnapshotTable[[#This Row],[EBF Target]]),(SnapshotTable[[#This Row],[EBF Target]] - SnapshotTable[[#This Row],[Last Price]]) / SnapshotTable[[#This Row],[Last Price]], "")</f>
        <v/>
      </c>
      <c r="AL278" s="152" t="str">
        <f>IF(AND(SnapshotTable[[#This Row],[Equity Basis Total]] &gt; 0,ISNUMBER( SnapshotTable[[#This Row],[Long Term Target]])), SnapshotTable[[#This Row],[From Basis $]] / SnapshotTable[[#This Row],[Equity Basis Total]], "")</f>
        <v/>
      </c>
      <c r="AM278" s="9">
        <f>IF( AND(SnapshotTable[[#This Row],[Equity Shares]] &gt;0,ISNUMBER( SnapshotTable[[#This Row],[Long Term Target]])),(SnapshotTable[[#This Row],[Equity Shares]] * SnapshotTable[[#This Row],[Long Term Target]]) - SnapshotTable[[#This Row],[Equity Basis Total]],0)</f>
        <v>0</v>
      </c>
      <c r="AN278" s="9">
        <f>IF( AND(SnapshotTable[[#This Row],[Equity Shares]] &gt;0,ISNUMBER( SnapshotTable[[#This Row],[Long Term Target]])),(SnapshotTable[[#This Row],[Equity Shares]]*SnapshotTable[[#This Row],[Long Term Target]]) - SnapshotTable[[#This Row],[Equity Value]],0)</f>
        <v>0</v>
      </c>
      <c r="AO278" s="152">
        <f>IF(AND(ISNUMBER( SnapshotTable[[#This Row],[Long Term Target]]), ISNUMBER(SnapshotTable[[#This Row],[Last Price]])),(SnapshotTable[[#This Row],[Long Term Target]] - SnapshotTable[[#This Row],[Last Price]]) / SnapshotTable[[#This Row],[Last Price]], "")</f>
        <v>11.125190839694657</v>
      </c>
      <c r="AP278" s="5"/>
      <c r="AQ278" s="38"/>
      <c r="AR278" s="5"/>
      <c r="AS278" s="38"/>
      <c r="AT278" s="146"/>
      <c r="AU278" s="187" t="str">
        <f>IF(OR(SnapshotTable[[#This Row],[LP No Fill]]="Y",SnapshotTable[[#This Row],[SP Is Filled]],SnapshotTable[[#This Row],[LC Not Filled]]="Y",SnapshotTable[[#This Row],[SC Is Filled]]),"Y","")</f>
        <v/>
      </c>
      <c r="AV278" s="219"/>
      <c r="AW278" s="225"/>
      <c r="AX278" s="220"/>
      <c r="AY278" s="219" t="str">
        <f>IF(SnapshotTable[[#This Row],[Implied Move]]&gt;0, SnapshotTable[[#This Row],[Last Price]]-SnapshotTable[[#This Row],[Implied Move]],"")</f>
        <v/>
      </c>
      <c r="AZ278" s="219" t="str">
        <f>IF(SnapshotTable[[#This Row],[Implied Move]]&gt;0, SnapshotTable[[#This Row],[Last Price]] + SnapshotTable[[#This Row],[Implied Move]],"")</f>
        <v/>
      </c>
      <c r="BA278" s="331"/>
      <c r="BB278" s="347"/>
      <c r="BC27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8" s="351"/>
      <c r="BE278" s="5"/>
      <c r="BF278" s="14"/>
      <c r="BG278" s="13"/>
      <c r="BH278" s="13"/>
      <c r="BI278" s="5"/>
      <c r="BJ278" s="136">
        <f>IF(SnapshotTable[[#This Row],[LP Qty]] &gt; 0, SnapshotTable[[#This Row],[LP Qty]] * SnapshotTable[[#This Row],[LP Book Price]] * 100,0)</f>
        <v>0</v>
      </c>
      <c r="BK278" s="136">
        <f>IF(SnapshotTable[[#This Row],[LP Premium]] &gt; 0, SnapshotTable[[#This Row],[LP Qty]] * SnapshotTable[[#This Row],[LP Strike Price]] * 100,0)</f>
        <v>0</v>
      </c>
      <c r="BL278" s="154"/>
      <c r="BM278" s="385" t="str">
        <f>IF(SnapshotTable[[#This Row],[LP Premium]] &gt; 0,SnapshotTable[[#This Row],[LP Exp Date]]-MAX(SnapshotTable[[#This Row],[LP Book Date]], SnapshotTable[[#This Row],[LP Fill Date]]),"")</f>
        <v/>
      </c>
      <c r="BN278" s="385" t="str">
        <f>IF(ISNUMBER( SnapshotTable[[#This Row],[LP Term]]), SnapshotTable[[#This Row],[LP Exp Date]] - MockToday,"")</f>
        <v/>
      </c>
      <c r="BO278" s="163" t="str">
        <f>IF(AND(SnapshotTable[[#This Row],[LP Exp Date]]&gt;0, SnapshotTable[[#This Row],[LP Strike Price]]&gt;0,SnapshotTable[[#This Row],[LP Qty]]&gt;0,SnapshotTable[[#This Row],[LP Book Date]]&gt;0,SnapshotTable[[#This Row],[LP Book Price]]&gt;0,SnapshotTable[[#This Row],[LP Fill Date]]=0),"Y","")</f>
        <v/>
      </c>
      <c r="BP278" s="31" t="str">
        <f>IF(AND(SnapshotTable[[#This Row],[LP No Fill]]&lt;&gt;"Y",SnapshotTable[[#This Row],[LP Contract Value]]&gt;0, SnapshotTable[[#This Row],[LP Qty]]&gt;0), SnapshotTable[[#This Row],[LP Contract Value]]*SnapshotTable[[#This Row],[LP Qty]]*100,"")</f>
        <v/>
      </c>
      <c r="BQ278" s="13"/>
      <c r="BR278" s="5" t="str">
        <f>IF(SnapshotTable[[#This Row],[SP Exp Date]]&lt;&gt;"",TRUNC(SnapshotTable[[#This Row],[Last Price]]),"")</f>
        <v/>
      </c>
      <c r="BS278" s="36"/>
      <c r="BT278" s="147"/>
      <c r="BU278" s="13"/>
      <c r="BV278" s="5"/>
      <c r="BW278" s="419" t="b">
        <f>AND(ISNUMBER(SnapshotTable[[#This Row],[SP Exp Date]]), ISNUMBER(SnapshotTable[[#This Row],[SP Strike Price]]), ISNUMBER(SnapshotTable[[#This Row],[SP Qty]]), ISNUMBER(SnapshotTable[[#This Row],[SP Book Date]]), ISNUMBER(SnapshotTable[[#This Row],[SP Book Price]]))</f>
        <v>0</v>
      </c>
      <c r="BX278" s="419" t="b">
        <f>AND(SnapshotTable[[#This Row],[SP Is Booked]], NOT(ISBLANK(SnapshotTable[[#This Row],[SP Fill Date]])))</f>
        <v>0</v>
      </c>
      <c r="BY278" s="33">
        <f>IF(SnapshotTable[[#This Row],[SP Is Booked]], SnapshotTable[[#This Row],[SP Qty]] * SnapshotTable[[#This Row],[SP Book Price]] * 100, 0)</f>
        <v>0</v>
      </c>
      <c r="BZ278" s="369"/>
      <c r="CA278" s="368">
        <f>SnapshotTable[[#This Row],[LP Qty]]</f>
        <v>0</v>
      </c>
      <c r="CB278" s="4" t="str">
        <f>IF(SnapshotTable[[#This Row],[SP Is Booked]], SnapshotTable[[#This Row],[SP Strike Price]] - SnapshotTable[[#This Row],[SP Book Price]], "")</f>
        <v/>
      </c>
      <c r="CC278" s="19" t="str">
        <f>IF(SnapshotTable[[#This Row],[SP Is Booked]],SnapshotTable[[#This Row],[SP Exp Date]]-MAX(SnapshotTable[[#This Row],[SP Book Date]], SnapshotTable[[#This Row],[SP Fill Date]]),"")</f>
        <v/>
      </c>
      <c r="CD278" s="7" t="str">
        <f>IF(SnapshotTable[[#This Row],[SP Is Booked]], SnapshotTable[[#This Row],[SP Book Price]]/SnapshotTable[[#This Row],[SP Strike Price]], "")</f>
        <v/>
      </c>
      <c r="CE278" s="7" t="str">
        <f>IF(ISNUMBER(SnapshotTable[[#This Row],[SP ROO Term]]),SnapshotTable[[#This Row],[SP ROO Term]]*(365/SnapshotTable[[#This Row],[SP Term]]),"")</f>
        <v/>
      </c>
      <c r="CF278" s="236">
        <f>SnapshotTable[[#This Row],[LP Strike Price]] * SnapshotTable[[#This Row],[LP Qty]] * 100</f>
        <v>0</v>
      </c>
      <c r="CG278" s="31" t="e">
        <f>IF(ISNUMBER(SnapshotTable[[#This Row],[SP Premium]]), (SnapshotTable[[#This Row],[SP Qty]] * SnapshotTable[[#This Row],[SP Strike Price]]* 100) - SnapshotTable[[#This Row],[LP Protection]], 0)</f>
        <v>#VALUE!</v>
      </c>
      <c r="CH278" s="7" t="str">
        <f>IF(ISNUMBER(SnapshotTable[[#This Row],[SP Break Even]]),-1 * (SnapshotTable[[#This Row],[SP Break Even]] - SnapshotTable[[#This Row],[Last Price]]) / SnapshotTable[[#This Row],[Last Price]], "")</f>
        <v/>
      </c>
      <c r="CI278" s="31">
        <f>IF(AND(ISNUMBER((SnapshotTable[[#This Row],[SP Potential Spend]])), SnapshotTable[[#This Row],[SP Strike Price]] &gt; SnapshotTable[[#This Row],[Last Price]], SnapshotTable[[#This Row],[SP Is Filled]]), SnapshotTable[[#This Row],[SP Potential Spend]] -  SnapshotTable[[#This Row],[LP Max Value]], 0)</f>
        <v>0</v>
      </c>
      <c r="CJ278" s="244"/>
      <c r="CK278" s="31" t="str">
        <f>IF(ISNUMBER(SnapshotTable[[#This Row],[SP Potential Spend]]),IF(ISNUMBER(SnapshotTable[[#This Row],[SP POW]]), SnapshotTable[[#This Row],[SP POW]] * SnapshotTable[[#This Row],[SP Potential Spend]], SnapshotTable[[#This Row],[SP Potential Spend]]), "")</f>
        <v/>
      </c>
      <c r="CL278" s="164" t="e">
        <f>IF(NOT(SnapshotTable[[#This Row],[SP Is Filled]]),(SnapshotTable[[#This Row],[SP Qty]] * SnapshotTable[[#This Row],[SP Strike Price]] * 100) - SnapshotTable[[#This Row],[LP Max Value]],"")</f>
        <v>#VALUE!</v>
      </c>
      <c r="CM278" s="31" t="str">
        <f>IF(SnapshotTable[[#This Row],[SP Actual Spend]]&lt;&gt;0, ((SnapshotTable[[#This Row],[SP Strike Price]]-SnapshotTable[[#This Row],[Last Price]]) *(SnapshotTable[[#This Row],[SP Qty]]*100) - SnapshotTable[[#This Row],[SP Premium]]) * - 1, "")</f>
        <v/>
      </c>
      <c r="CN278" s="78"/>
      <c r="CO278" s="369"/>
      <c r="CP278" s="4" t="str">
        <f>IF(SnapshotTable[[#This Row],[SP Is Filled]], btc_max_buyback_amount(SnapshotTable[[#This Row],[SP Fill Date]],SnapshotTable[[#This Row],[SP Exp Date]], SnapshotTable[[#This Row],[SP Book Price]]),"")</f>
        <v/>
      </c>
      <c r="CQ278" s="78"/>
      <c r="CR27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8" s="155" t="str">
        <f>IF(SnapshotTable[[#This Row],[SP Is Filled]], btc_next_cutoff_date(SnapshotTable[[#This Row],[SP Fill Date]],SnapshotTable[[#This Row],[SP Exp Date]]),"")</f>
        <v/>
      </c>
      <c r="CT278" s="235" t="str" cm="1">
        <f t="array" ref="CT278">IF(SnapshotTable[[#This Row],[SP Is Filled]], btc_should_buy_back(SnapshotTable[[#This Row],[SP Fill Date]], SnapshotTable[[#This Row],[SP Exp Date]], SnapshotTable[[#This Row],[SP Book Price]], SnapshotTable[[#This Row],[SP Current Ask]], MockToday, SnapshotTable[[#This Row],[SP Buyback Override]]),"")</f>
        <v/>
      </c>
      <c r="CU278" s="143"/>
      <c r="CV278" s="235"/>
      <c r="CW278" s="378" t="str">
        <f>IF(ISNUMBER( SnapshotTable[[#This Row],[SP Term]]), SnapshotTable[[#This Row],[SP Exp Date]] - MockToday,"")</f>
        <v/>
      </c>
      <c r="CX278" s="31" t="str">
        <f>IF(SnapshotTable[[#This Row],[SP Is Filled]],SnapshotTable[[#This Row],[SP Buyback Price to Use]] * 100 * SnapshotTable[[#This Row],[SP Qty]], "")</f>
        <v/>
      </c>
      <c r="CY278" s="4" t="str">
        <f>IF(ISNUMBER(SnapshotTable[[#This Row],[SP Strike Price]]), SnapshotTable[[#This Row],[SP Strike Price]] * (1 - SP_MaxLoss_StrikePct), "")</f>
        <v/>
      </c>
      <c r="CZ278" s="31" t="str">
        <f>IF(ISNUMBER(SnapshotTable[[#This Row],[SP Strike  Stop Per Share]]),SnapshotTable[[#This Row],[SP Premium]] - ((SnapshotTable[[#This Row],[SP Strike Price]]-SnapshotTable[[#This Row],[SP Strike  Stop Per Share]]) *(SnapshotTable[[#This Row],[SP Qty]] * 100)),"")</f>
        <v/>
      </c>
      <c r="DA278" s="4" t="str">
        <f>IF(AND(ISNUMBER(SnapshotTable[[#This Row],[SP Premium]]),SnapshotTable[[#This Row],[SP Premium]]&gt;0), SnapshotTable[[#This Row],[SP Book Price]] * (1 + SP_MaxLoss_OptionPct), "")</f>
        <v/>
      </c>
      <c r="DB278" s="31" t="str">
        <f>IF(ISNUMBER(SnapshotTable[[#This Row],[SP Option  Stop Contract]]),(SnapshotTable[[#This Row],[SP Option  Stop Contract]] *(SnapshotTable[[#This Row],[SP Qty]] * 100) - SnapshotTable[[#This Row],[SP Premium]]),"")</f>
        <v/>
      </c>
      <c r="DC278" s="4"/>
      <c r="DD278" s="4"/>
      <c r="DE278" s="4" t="str">
        <f>IF(AND(SnapshotTable[[#This Row],[SP Qty]]&gt;0, SnapshotTable[[#This Row],[SP Stop To Use]]&gt;0),SnapshotTable[[#This Row],[SP Premium]] - ( SnapshotTable[[#This Row],[SP Qty]] * SnapshotTable[[#This Row],[SP Stop To Use]] * 100), "")</f>
        <v/>
      </c>
      <c r="DF278" s="31" t="str">
        <f>IF(AND(SnapshotTable[[#This Row],[SP Qty]]&gt;0,SnapshotTable[[#This Row],[SP Current Ask]]&gt;0), SnapshotTable[[#This Row],[SP Qty]] * SnapshotTable[[#This Row],[SP Current Ask]] * -100, "")</f>
        <v/>
      </c>
      <c r="DG278" s="31" t="str">
        <f>IF(ISNUMBER((SnapshotTable[[#This Row],[SP Total Value]])), SnapshotTable[[#This Row],[SP Premium]] + SnapshotTable[[#This Row],[SP Total Value]], "")</f>
        <v/>
      </c>
      <c r="DH278" s="294" t="str">
        <f>IF(ISNUMBER((SnapshotTable[[#This Row],[SP Total Value]])), SnapshotTable[[#This Row],[SP Gain Loss]] / SnapshotTable[[#This Row],[SP Premium]], "")</f>
        <v/>
      </c>
      <c r="DI278" s="406"/>
      <c r="DJ278" s="138"/>
      <c r="DK278" s="148"/>
      <c r="DL278" s="13"/>
      <c r="DM278" s="13"/>
      <c r="DO278" s="31">
        <f>IF(SnapshotTable[[#This Row],[LC Symbol Count]]=1, SnapshotTable[[#This Row],[LC Qty]] * SnapshotTable[[#This Row],[LC Book Price]] * 100, 0)</f>
        <v>0</v>
      </c>
      <c r="DP278" s="163" t="str">
        <f>IF(AND(SnapshotTable[[#This Row],[LC Exp Date]]&gt;0, SnapshotTable[[#This Row],[LC Strike Price]]&gt;0,SnapshotTable[[#This Row],[LC Qty]]&gt;0,SnapshotTable[[#This Row],[LC Book Date]]&gt;0,SnapshotTable[[#This Row],[LC Book Price]]&gt;0,SnapshotTable[[#This Row],[LC Fill Date]]=0),"Y","")</f>
        <v/>
      </c>
      <c r="DQ278" s="386" t="str">
        <f>IF(SnapshotTable[[#This Row],[LC Premium]] &gt; 0,SnapshotTable[[#This Row],[LC Exp Date]]-MAX(SnapshotTable[[#This Row],[LC Book Date]], SnapshotTable[[#This Row],[LC Fill Date]]),"")</f>
        <v/>
      </c>
      <c r="DR278" s="386" t="str">
        <f>IF(ISNUMBER(SnapshotTable[[#This Row],[LC Term]]), SnapshotTable[[#This Row],[LC Exp Date]] - MockToday, "")</f>
        <v/>
      </c>
      <c r="DS278" s="234" t="str">
        <f>IF(SnapshotTable[[#This Row],[LC Premium]]&gt;0,SnapshotTable[[#This Row],[LC Strike Price]] + SnapshotTable[[#This Row],[LC Book Price]],"")</f>
        <v/>
      </c>
      <c r="DU278" s="9" t="str">
        <f>IF(AND(SnapshotTable[[#This Row],[LC Symbol Count]]&gt;0, SnapshotTable[[#This Row],[LC Contract Value]]&gt;0), SnapshotTable[[#This Row],[LC Contract Value]] * SnapshotTable[[#This Row],[LC Qty]] * 100, "")</f>
        <v/>
      </c>
      <c r="DV278" s="9" t="str">
        <f>IF(AND(ISNUMBER(SnapshotTable[[#This Row],[LC Total Value]]), SnapshotTable[[#This Row],[LC Not Filled]]&lt;&gt;"Y"), SnapshotTable[[#This Row],[LC Total Value]]-SnapshotTable[[#This Row],[LC Premium]],"")</f>
        <v/>
      </c>
      <c r="DW278" s="240" t="str">
        <f>IF(ISNUMBER(SnapshotTable[[#This Row],[LC Actual Gain Loss]]), SnapshotTable[[#This Row],[LC Actual Gain Loss]] / SnapshotTable[[#This Row],[LC Premium]],"")</f>
        <v/>
      </c>
      <c r="DX278" s="284" t="str">
        <f>IF(ISNUMBER(SnapshotTable[[#This Row],[LC Book Price]]),SnapshotTable[[#This Row],[LC Book Price]] * 1.5,"")</f>
        <v/>
      </c>
      <c r="DY278" s="265" t="str">
        <f>IF(SnapshotTable[[#This Row],[LC Premium]]&gt;0, SnapshotTable[[#This Row],[LC Next Target]] * SnapshotTable[[#This Row],[LC Qty]] * 100,"")</f>
        <v/>
      </c>
      <c r="DZ278" s="265" t="str">
        <f>IF(ISNUMBER(SnapshotTable[[#This Row],[LC Target Gross]]), SnapshotTable[[#This Row],[LC Target Gross]] - SnapshotTable[[#This Row],[LC Premium]], "")</f>
        <v/>
      </c>
      <c r="EA278" s="305" t="str">
        <f>IF(ISNUMBER(SnapshotTable[[#This Row],[LC Target Gain Loss]]), SnapshotTable[[#This Row],[LC Target Gain Loss]]/SnapshotTable[[#This Row],[LC Premium]], "")</f>
        <v/>
      </c>
      <c r="EB278" s="262"/>
      <c r="EC278" s="283" t="str">
        <f>IF(SnapshotTable[[#This Row],[LC Premium]]&gt;0, SnapshotTable[[#This Row],[LC Book Price]] * (1 - LC_StopLoss_Pct),"")</f>
        <v/>
      </c>
      <c r="ED278" s="284"/>
      <c r="EE278" s="283" t="str">
        <f>IF(ISNUMBER(SnapshotTable[[#This Row],[LC Contract Value]]),IF(ISNUMBER(SnapshotTable[[#This Row],[LC Stop Loss Override]]), SnapshotTable[[#This Row],[LC Stop Loss Override]],SnapshotTable[[#This Row],[LC Stop Loss Calc Target]]),"")</f>
        <v/>
      </c>
      <c r="EF278" s="31" t="str">
        <f>IF(ISNUMBER(SnapshotTable[[#This Row],[LC Stop  To Use]]), (SnapshotTable[[#This Row],[LC Stop  To Use]] * SnapshotTable[[#This Row],[LC Qty]] * 100),"")</f>
        <v/>
      </c>
      <c r="EG278" s="9" t="str">
        <f>IF(ISNUMBER(SnapshotTable[[#This Row],[LC Total Value]]),SnapshotTable[[#This Row],[LC Stop Loss Amount]] - SnapshotTable[[#This Row],[LC Premium]],"")</f>
        <v/>
      </c>
      <c r="EH278" s="9">
        <f>IF(ISNUMBER(SnapshotTable[[#This Row],[LC Premium]]), SnapshotTable[[#This Row],[LC Qty]] * 100 * SnapshotTable[[#This Row],[LC Strike Price]], "")</f>
        <v>0</v>
      </c>
      <c r="EI278" s="240" t="str">
        <f>IF(AND(ISNUMBER(SnapshotTable[[#This Row],[LC Total Value]]),SnapshotTable[[#This Row],[LC Total Value]]&gt;0),SnapshotTable[[#This Row],[LC Stop Gain Loss]]  / SnapshotTable[[#This Row],[LC Premium]],"")</f>
        <v/>
      </c>
      <c r="EJ278" s="35">
        <f>IF(ISNUMBER(SnapshotTable[[#This Row],[Equity Shares]]),TRUNC(SnapshotTable[[#This Row],[Equity Shares]] / 100),0) + SnapshotTable[[#This Row],[LC Qty]]</f>
        <v>0</v>
      </c>
      <c r="EK278" s="147"/>
      <c r="EL278" s="138" t="str">
        <f>IF(SnapshotTable[[#This Row],[SC Exp Date]]&lt;&gt;"",TRUNC(SnapshotTable[[#This Row],[Last Price]]),"")</f>
        <v/>
      </c>
      <c r="EM278" s="148"/>
      <c r="EN278" s="147"/>
      <c r="EO278" s="147"/>
      <c r="EP278" s="138"/>
      <c r="EQ278" s="419" t="b">
        <f>AND(ISNUMBER(SnapshotTable[[#This Row],[SC Exp Date]]), ISNUMBER(SnapshotTable[[#This Row],[SC Strike Price]]), ISNUMBER(SnapshotTable[[#This Row],[SC Qty]]), ISNUMBER(SnapshotTable[[#This Row],[SC Book Date]]), ISNUMBER(SnapshotTable[[#This Row],[SC Book Price]]))</f>
        <v>0</v>
      </c>
      <c r="ER278" s="419" t="b">
        <f>AND(SnapshotTable[[#This Row],[SC Is Booked]], NOT(ISBLANK(SnapshotTable[[#This Row],[SC Fill Date]])))</f>
        <v>0</v>
      </c>
      <c r="ES278" s="370"/>
      <c r="ET278" s="34" t="str">
        <f>IF(AND(ISNUMBER(SnapshotTable[[#This Row],[SC Exp Date]]), ISNUMBER(SnapshotTable[[#This Row],[SC Book Date]])), SnapshotTable[[#This Row],[SC Exp Date]] - MAX(SnapshotTable[[#This Row],[SC Book Date]], SnapshotTable[[#This Row],[SC Fill Date]]) + 1, "")</f>
        <v/>
      </c>
      <c r="EU278" s="34" t="str">
        <f>IF(ISNUMBER(SnapshotTable[[#This Row],[SC Term]]), SnapshotTable[[#This Row],[SC Exp Date]]- MockToday, "")</f>
        <v/>
      </c>
      <c r="EV278" s="31">
        <f>IF(SnapshotTable[[#This Row],[SC Is Booked]], SnapshotTable[[#This Row],[SC Qty]] * SnapshotTable[[#This Row],[SC Book Price]] * 100, 0)</f>
        <v>0</v>
      </c>
      <c r="EW278" s="4" t="str">
        <f>IF(AND(ISNUMBER(SnapshotTable[[#This Row],[Last Price]]), ISNUMBER( SnapshotTable[[#This Row],[SC Book Price]])), SnapshotTable[[#This Row],[Last Price]] - SnapshotTable[[#This Row],[SC Book Price]],"")</f>
        <v/>
      </c>
      <c r="EX278" s="234" t="str">
        <f>IF(SnapshotTable[[#This Row],[SC Is Booked]],IF(SnapshotTable[[#This Row],[SC Intrinsic Value]] &gt; 0, SnapshotTable[[#This Row],[SC Strike Price]], SnapshotTable[[#This Row],[Last Price]]), "")</f>
        <v/>
      </c>
      <c r="EY278" s="4">
        <f>IF(SnapshotTable[[#This Row],[SC Is Booked]], (MinimumPremiumRequired * SnapshotTable[[#This Row],[SC Basis]] * SnapshotTable[[#This Row],[SC Term]]), 0)</f>
        <v>0</v>
      </c>
      <c r="EZ278" s="283"/>
      <c r="FA278" s="218"/>
      <c r="FB278" s="370"/>
      <c r="FC278" s="4">
        <f>IF(SnapshotTable[[#This Row],[SC Is Filled]], btc_max_buyback_amount(SnapshotTable[[#This Row],[SC Fill Date]],SnapshotTable[[#This Row],[SC Exp Date]], SnapshotTable[[#This Row],[SC Book Price]]),0)</f>
        <v>0</v>
      </c>
      <c r="FD278" s="5"/>
      <c r="FE278" s="144" t="str">
        <f>IF(SnapshotTable[[#This Row],[SC Is Filled]], btc_next_cutoff_date(SnapshotTable[[#This Row],[SC Fill Date]],SnapshotTable[[#This Row],[SC Exp Date]]),"")</f>
        <v/>
      </c>
      <c r="FF278" s="4" t="str" cm="1">
        <f t="array" ref="FF278">IF(SnapshotTable[[#This Row],[SC Is Filled]], btc_should_buy_back(SnapshotTable[[#This Row],[SC Fill Date]], SnapshotTable[[#This Row],[SC Exp Date]], SnapshotTable[[#This Row],[SC Book Price]], SnapshotTable[[#This Row],[SC Current Ask]], MockToday, SnapshotTable[[#This Row],[SC Buyback Override]]),"")</f>
        <v/>
      </c>
      <c r="FG278" s="4">
        <f>IF(SnapshotTable[[#This Row],[SC Is Filled]], MAX(0,SnapshotTable[[#This Row],[Last Price]]  - SnapshotTable[[#This Row],[SC Strike Price]]), 0)</f>
        <v>0</v>
      </c>
      <c r="FH278" s="382">
        <f>IF(SnapshotTable[[#This Row],[SC Is Filled]], IF(ISNUMBER(SnapshotTable[[#This Row],[SC Current Ask]]), SnapshotTable[[#This Row],[SC Current Ask]], SnapshotTable[[#This Row],[SC Book Price]]) - SnapshotTable[[#This Row],[SC Intrinsic Value]], 0)</f>
        <v>0</v>
      </c>
      <c r="FI278" s="143"/>
      <c r="FJ278" s="32" t="str">
        <f>IF(SnapshotTable[[#This Row],[SC Is Filled]],100 * SnapshotTable[[#This Row],[SC Qty]] * IF(ISNUMBER(SnapshotTable[[#This Row],[SC Buyback Override]]), SnapshotTable[[#This Row],[SC Buyback Override]], SnapshotTable[[#This Row],[SC Current Ask]]), "")</f>
        <v/>
      </c>
      <c r="FK278" s="250" t="str">
        <f>IF(SnapshotTable[[#This Row],[SC Time Val]]&gt;0, SnapshotTable[[#This Row],[SC Time Val]] / SnapshotTable[[#This Row],[Last Price]],"")</f>
        <v/>
      </c>
      <c r="FL278" s="302" t="str">
        <f>IF(SnapshotTable[[#This Row],[SC Is Booked]], ((SnapshotTable[[#This Row],[Last Price]] -SnapshotTable[[#This Row],[SC Strike Price]]) / SnapshotTable[[#This Row],[Last Price]]) * -1, "")</f>
        <v/>
      </c>
      <c r="FM278" s="157" t="str">
        <f>IF(SnapshotTable[[#This Row],[SC Is Booked]],  (SnapshotTable[[#This Row],[SC Qty]] * 100 * SnapshotTable[[#This Row],[SC Strike Price]]) - SnapshotTable[[#This Row],[SC Current Ask]], "")</f>
        <v/>
      </c>
      <c r="FN27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8" s="31" t="str">
        <f>IF(AND(ISNUMBER(SnapshotTable[[#This Row],[SC Exercise Gross]]), ISNUMBER(SnapshotTable[[#This Row],[Equity Basis Per Share]] )), SnapshotTable[[#This Row],[SC Exercise Gross]] - SnapshotTable[[#This Row],[Equity Basis Total]] +  SnapshotTable[[#This Row],[SC Premium]], "")</f>
        <v/>
      </c>
      <c r="FP278" s="5" t="str">
        <f>IF(ISNUMBER(SnapshotTable[[#This Row],[SC Exercise Gross]]), (SnapshotTable[[#This Row],[SC Exercise Gross]]) / (SnapshotTable[[#This Row],[SC Qty]] * 100), "")</f>
        <v/>
      </c>
      <c r="FQ278" s="27" t="str">
        <f>IF(SnapshotTable[[#This Row],[SC Is Booked]],SnapshotTable[[#This Row],[SC Time Val]] /SnapshotTable[[#This Row],[SC Basis]], "")</f>
        <v/>
      </c>
      <c r="FR278" s="27" t="str" cm="1">
        <f t="array" ref="FR278">IF(AND(ISNUMBER(SnapshotTable[[#This Row],[SC Term]]),ISNUMBER(SnapshotTable[[#This Row],[SC Simple ROO]])), EllmanAnnualize(SnapshotTable[[#This Row],[SC DTE]], SnapshotTable[[#This Row],[SC Simple ROO]] ),"")</f>
        <v/>
      </c>
      <c r="FS278" s="4" t="e">
        <f>IF(SnapshotTable[[#This Row],[SC Strike Price]] &gt; SnapshotTable[[#This Row],[Last Price]], SnapshotTable[[#This Row],[SC Strike Price]] - SnapshotTable[[#This Row],[Last Price]],0)</f>
        <v>#VALUE!</v>
      </c>
      <c r="FT278" s="27" t="e">
        <f>IF(AND(ISNUMBER(SnapshotTable[[#This Row],[SC Upside Potential]]), SnapshotTable[[#This Row],[SC Upside Potential]] &gt; 0),(SnapshotTable[[#This Row],[SC Upside Potential]]/ SnapshotTable[[#This Row],[ACB]]),"")</f>
        <v>#VALUE!</v>
      </c>
      <c r="FU278" s="333" t="str">
        <f>IF(SnapshotTable[[#This Row],[SC Intrinsic Value]] &gt; 0,SnapshotTable[[#This Row],[SC Intrinsic Value]],"")</f>
        <v/>
      </c>
      <c r="FV278" s="27" t="str">
        <f>IF(AND( ISNUMBER( SnapshotTable[[#This Row],[ACB]]),ISNUMBER(SnapshotTable[[#This Row],[SC Downside Protect]])),SnapshotTable[[#This Row],[SC Downside Protect]] / SnapshotTable[[#This Row],[ACB]],"")</f>
        <v/>
      </c>
      <c r="FW278" s="236" t="str">
        <f>IF(AND(ISNUMBER(SnapshotTable[[#This Row],[SC Simple ROO]]),SnapshotTable[[#This Row],[SC Simple ROO]] &gt; 0), SnapshotTable[[#This Row],[SC Premium]] + (SnapshotTable[[#This Row],[SC Qty]] * SnapshotTable[[#This Row],[SC Upside Potential]]), "")</f>
        <v/>
      </c>
      <c r="FX278" s="302" t="str" cm="1">
        <f t="array" ref="FX278">IF(ISNUMBER(SnapshotTable[[#This Row],[SC Max Dollars]]), annualize(SnapshotTable[[#This Row],[SC Term]],(SnapshotTable[[#This Row],[SC Max Dollars]]/SnapshotTable[[#This Row],[SC Basis]])),"")</f>
        <v/>
      </c>
      <c r="FY278" s="236" t="str">
        <f>IF(AND(SnapshotTable[[#This Row],[SC Qty]]&gt;0,SnapshotTable[[#This Row],[SC Current Ask]]&gt;0), SnapshotTable[[#This Row],[SC Qty]] * SnapshotTable[[#This Row],[SC Current Ask]] * -100, "")</f>
        <v/>
      </c>
      <c r="FZ278" s="31" t="str">
        <f>IF(ISNUMBER((SnapshotTable[[#This Row],[SC Current Value]])), SnapshotTable[[#This Row],[SC Premium]] + SnapshotTable[[#This Row],[SC Current Value]], "")</f>
        <v/>
      </c>
      <c r="GA278" s="294" t="str">
        <f>IFERROR( IF(ISNUMBER((SnapshotTable[[#This Row],[SC Current Value]])), SnapshotTable[[#This Row],[SC Gain Loss]] / SnapshotTable[[#This Row],[SC Premium]], ""), "")</f>
        <v/>
      </c>
      <c r="GB278" s="42">
        <f>SnapshotTable[[#This Row],[Equity Shares]] * SaleSharesToConsiderPercentage</f>
        <v>0</v>
      </c>
      <c r="GC278" s="40">
        <f>SnapshotTable[[#This Row],[Long Term Target]] * SellingPriceToConsiderBasedOnTargetPercentage</f>
        <v>75.448999999999998</v>
      </c>
      <c r="GD278" s="40">
        <f>SnapshotTable[[#This Row],[Last Price]] * (1+ SellingPriceToConsiderBasedOnTargetPercentage)</f>
        <v>12.772499999999999</v>
      </c>
      <c r="GE278" s="41"/>
      <c r="GF278" s="40">
        <v>44.18</v>
      </c>
      <c r="GG278" s="31">
        <f>SnapshotTable[[#This Row],[Booked Sale Shares]] * SnapshotTable[[#This Row],[Booked Sale Price]]</f>
        <v>0</v>
      </c>
      <c r="GH278" s="31" t="str">
        <f>IF(SnapshotTable[[#This Row],[Equity Basis Total]] &gt; 0, SnapshotTable[[#This Row],[Equity Basis Per Share]] * SnapshotTable[[#This Row],[Booked Sale Shares]], "")</f>
        <v/>
      </c>
      <c r="GI278" s="31">
        <f>IF(SnapshotTable[[#This Row],[Sale Proceeds]]&gt;0, SnapshotTable[[#This Row],[Sale Proceeds]] - SnapshotTable[[#This Row],[Sale Basis]], 0)</f>
        <v>0</v>
      </c>
      <c r="GJ278" s="27" t="str">
        <f>IF(SnapshotTable[[#This Row],[Sale G/L]]&gt;0, SnapshotTable[[#This Row],[Sale G/L]] / SnapshotTable[[#This Row],[Sale Basis]], IF(ISNUMBER(SnapshotTable[[#This Row],[SC Exercise P&amp;L (TAX)]]), SnapshotTable[[#This Row],[SC Exercise P&amp;L (TAX)]] / SnapshotTable[[#This Row],[SC Basis]], ""))</f>
        <v/>
      </c>
      <c r="GK278" s="27" t="s">
        <v>756</v>
      </c>
      <c r="GL278" s="43" t="str">
        <f>IF(AND(SnapshotTable[[#This Row],[LP Exp Date]]&gt;0,SnapshotTable[[#This Row],[LP Strike Price]]&gt;0), [1]!ToOptionSymbol(SnapshotTable[[#This Row],[Symbol]], SnapshotTable[[#This Row],[LP Strike Price]],SnapshotTable[[#This Row],[LP Exp Date]],1), "")</f>
        <v/>
      </c>
      <c r="GM278" s="30" t="str">
        <f>IF(LEN(SnapshotTable[[#This Row],[LP Symbol]])&gt;0, 1, "")</f>
        <v/>
      </c>
      <c r="GN278" s="43" t="str">
        <f>IF(AND(SnapshotTable[[#This Row],[SP Exp Date]]&gt;0,SnapshotTable[[#This Row],[SP Strike Price]]&gt;0), [1]!ToOptionSymbol(SnapshotTable[[#This Row],[Symbol]], SnapshotTable[[#This Row],[SP Strike Price]],SnapshotTable[[#This Row],[SP Exp Date]],1), "")</f>
        <v/>
      </c>
      <c r="GO278" s="30" t="str">
        <f>IF(LEN(SnapshotTable[[#This Row],[SP Symbol]])&gt;0, 1, "")</f>
        <v/>
      </c>
      <c r="GP278" s="43" t="str">
        <f>IF(AND(SnapshotTable[[#This Row],[LC Exp Date]]&gt;0,SnapshotTable[[#This Row],[LC Strike Price]]&gt;0), [1]!ToOptionSymbol(SnapshotTable[[#This Row],[Symbol]], SnapshotTable[[#This Row],[LC Strike Price]],SnapshotTable[[#This Row],[LC Exp Date]],0), "")</f>
        <v/>
      </c>
      <c r="GQ278" s="30" t="str">
        <f>IF(LEN(SnapshotTable[[#This Row],[LC Symbol]])&gt;0, 1, "")</f>
        <v/>
      </c>
      <c r="GR278" s="43" t="str">
        <f>IF(AND(SnapshotTable[[#This Row],[SC Exp Date]]&gt;0,SnapshotTable[[#This Row],[SC Strike Price]]&gt;0), [1]!ToOptionSymbol(SnapshotTable[[#This Row],[Symbol]], SnapshotTable[[#This Row],[SC Strike Price]],SnapshotTable[[#This Row],[SC Exp Date]],0), "")</f>
        <v/>
      </c>
      <c r="GS278" s="30" t="str">
        <f>IF(LEN(SnapshotTable[[#This Row],[SC Symbol]])&gt;0, 1, "")</f>
        <v/>
      </c>
      <c r="GT278" s="29" t="str">
        <f>IF(COUNT(SnapshotTable[[#This Row],[LP Symbol Count]],SnapshotTable[[#This Row],[SP Symbol Count]],SnapshotTable[[#This Row],[LC Symbol Count]],SnapshotTable[[#This Row],[SC Symbol Count]])&gt;0, "Y", "")</f>
        <v/>
      </c>
      <c r="GU27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8" s="231" t="e">
        <f>MAX(SnapshotTable[[#This Row],[Equity Basis Total]],SnapshotTable[[#This Row],[Equity Value]]) + (SnapshotTable[[#This Row],[SP Potential Spend]]- SnapshotTable[[#This Row],[SP Premium]] + SnapshotTable[[#This Row],[LP Premium]])+ (SnapshotTable[[#This Row],[LC Premium]] - SnapshotTable[[#This Row],[SC Premium]])</f>
        <v>#VALUE!</v>
      </c>
      <c r="GW278" s="139" t="e">
        <f>IF(AND(SnapshotTable[[#This Row],[Exposure]] &lt;&gt; 0),SnapshotTable[[#This Row],[Exposure]] / SnapshotTable[[#Totals],[Exposure]], "")</f>
        <v>#VALUE!</v>
      </c>
      <c r="GX278" s="13"/>
      <c r="HK278" s="1"/>
      <c r="HL278" s="1"/>
      <c r="HM278" s="1"/>
      <c r="HN278" s="1"/>
      <c r="HO278" s="1"/>
      <c r="HP278" s="1"/>
    </row>
    <row r="279" spans="2:224" ht="12.75" hidden="1" customHeight="1" x14ac:dyDescent="0.25">
      <c r="B279" s="12" t="s">
        <v>812</v>
      </c>
      <c r="C279" s="422">
        <v>220.93</v>
      </c>
      <c r="D279" s="208" t="s">
        <v>578</v>
      </c>
      <c r="E279" s="39">
        <f>SnapshotTable[[#This Row],[Last Price]]*(1 -CrashDiscount)</f>
        <v>187.79050000000001</v>
      </c>
      <c r="F279" s="26" t="s">
        <v>613</v>
      </c>
      <c r="G279" s="26" t="s">
        <v>9</v>
      </c>
      <c r="H279" s="149"/>
      <c r="I279" s="194">
        <v>44777.673611111109</v>
      </c>
      <c r="J279" s="195">
        <v>44777.673611111109</v>
      </c>
      <c r="K279" s="196"/>
      <c r="L279" s="326"/>
      <c r="M279" s="140"/>
      <c r="N279" s="140"/>
      <c r="O279" s="140"/>
      <c r="P279" s="22"/>
      <c r="Q279" s="25"/>
      <c r="R279" s="4" t="str">
        <f>IF(SnapshotTable[[#This Row],[Equity Basis Total]] &gt; 0, SnapshotTable[[#This Row],[Equity Basis Total]] / SnapshotTable[[#This Row],[Equity Shares]], "")</f>
        <v/>
      </c>
      <c r="S279" s="269">
        <f>SnapshotTable[[#This Row],[Last Price]] * SnapshotTable[[#This Row],[Equity Shares]]</f>
        <v>0</v>
      </c>
      <c r="T279" s="269">
        <f>SnapshotTable[[#This Row],[Equity Value]] - SnapshotTable[[#This Row],[Equity Basis Total]]</f>
        <v>0</v>
      </c>
      <c r="U279" s="270" t="str">
        <f>IF(SnapshotTable[[#This Row],[Equity Basis Total]] &gt; 0, SnapshotTable[[#This Row],[Equity G/L]] / SnapshotTable[[#This Row],[Equity Basis Total]], "")</f>
        <v/>
      </c>
      <c r="V279" s="268">
        <v>327.5</v>
      </c>
      <c r="W279" s="268">
        <v>233.8</v>
      </c>
      <c r="X279" s="4" t="str">
        <f>IF(AND(ISNUMBER(SnapshotTable[[#This Row],[Equity Basis Per Share]]),ISNUMBER(SnapshotTable[[#This Row],[Equity Target]])),SnapshotTable[[#This Row],[Equity Target]]-SnapshotTable[[#This Row],[Equity Basis Per Share]],"")</f>
        <v/>
      </c>
      <c r="Y279" s="4" t="str">
        <f>IF(AND(ISNUMBER(SnapshotTable[[#This Row],[Equity Basis Per Share]]),ISNUMBER(SnapshotTable[[#This Row],[Equity Stop Loss]])),SnapshotTable[[#This Row],[Equity Stop Loss]]-SnapshotTable[[#This Row],[Equity Basis Per Share]],"")</f>
        <v/>
      </c>
      <c r="Z279" s="275" t="str">
        <f>IFERROR( TEXT(SnapshotTable[[#This Row],[Equity Max Gain Per Share]] /ABS( SnapshotTable[[#This Row],[Equity Max Loss Per Share]]),"0.0 " ) &amp; " : 1", "")</f>
        <v/>
      </c>
      <c r="AA279" s="31" t="str">
        <f>IF(ISNUMBER(SnapshotTable[[#This Row],[Equity Max Gain Per Share]]),SnapshotTable[[#This Row],[Equity Max Gain Per Share]] * SnapshotTable[[#This Row],[Equity Shares]],"")</f>
        <v/>
      </c>
      <c r="AB279" s="31" t="str">
        <f>IF(ISNUMBER(SnapshotTable[[#This Row],[Equity Max Loss Per Share]]),SnapshotTable[[#This Row],[Equity Max Loss Per Share]] * SnapshotTable[[#This Row],[Equity Shares]],"")</f>
        <v/>
      </c>
      <c r="AC279" s="150"/>
      <c r="AD279" s="151"/>
      <c r="AE279" s="31">
        <f>(SnapshotTable[[#This Row],[Annual Dividend Per Share]] / 4) * SnapshotTable[[#This Row],[Equity Shares]]</f>
        <v>0</v>
      </c>
      <c r="AF279" s="31">
        <f>SnapshotTable[[#This Row],[Quarterly Div $]] * 4</f>
        <v>0</v>
      </c>
      <c r="AG279" s="7">
        <f>IF(SnapshotTable[[#This Row],[Annual Dividend Per Share]]&gt;0, SnapshotTable[[#This Row],[Annual Dividend Per Share]]  / SnapshotTable[[#This Row],[Last Price]], 0)</f>
        <v>0</v>
      </c>
      <c r="AH279" s="151"/>
      <c r="AI279" s="5"/>
      <c r="AJ279" s="138">
        <v>218</v>
      </c>
      <c r="AK279" s="152" t="str">
        <f>IF(ISNUMBER( SnapshotTable[[#This Row],[EBF Target]]),(SnapshotTable[[#This Row],[EBF Target]] - SnapshotTable[[#This Row],[Last Price]]) / SnapshotTable[[#This Row],[Last Price]], "")</f>
        <v/>
      </c>
      <c r="AL279" s="152" t="str">
        <f>IF(AND(SnapshotTable[[#This Row],[Equity Basis Total]] &gt; 0,ISNUMBER( SnapshotTable[[#This Row],[Long Term Target]])), SnapshotTable[[#This Row],[From Basis $]] / SnapshotTable[[#This Row],[Equity Basis Total]], "")</f>
        <v/>
      </c>
      <c r="AM279" s="9">
        <f>IF( AND(SnapshotTable[[#This Row],[Equity Shares]] &gt;0,ISNUMBER( SnapshotTable[[#This Row],[Long Term Target]])),(SnapshotTable[[#This Row],[Equity Shares]] * SnapshotTable[[#This Row],[Long Term Target]]) - SnapshotTable[[#This Row],[Equity Basis Total]],0)</f>
        <v>0</v>
      </c>
      <c r="AN279" s="9">
        <f>IF( AND(SnapshotTable[[#This Row],[Equity Shares]] &gt;0,ISNUMBER( SnapshotTable[[#This Row],[Long Term Target]])),(SnapshotTable[[#This Row],[Equity Shares]]*SnapshotTable[[#This Row],[Long Term Target]]) - SnapshotTable[[#This Row],[Equity Value]],0)</f>
        <v>0</v>
      </c>
      <c r="AO279" s="152">
        <f>IF(AND(ISNUMBER( SnapshotTable[[#This Row],[Long Term Target]]), ISNUMBER(SnapshotTable[[#This Row],[Last Price]])),(SnapshotTable[[#This Row],[Long Term Target]] - SnapshotTable[[#This Row],[Last Price]]) / SnapshotTable[[#This Row],[Last Price]], "")</f>
        <v>-1.3262119223283424E-2</v>
      </c>
      <c r="AP279" s="5">
        <v>310</v>
      </c>
      <c r="AQ279" s="38" t="s">
        <v>89</v>
      </c>
      <c r="AR279" s="5">
        <v>233.8</v>
      </c>
      <c r="AS279" s="38" t="s">
        <v>32</v>
      </c>
      <c r="AT279" s="146"/>
      <c r="AU279" s="187" t="str">
        <f>IF(OR(SnapshotTable[[#This Row],[LP No Fill]]="Y",SnapshotTable[[#This Row],[SP Is Filled]],SnapshotTable[[#This Row],[LC Not Filled]]="Y",SnapshotTable[[#This Row],[SC Is Filled]]),"Y","")</f>
        <v/>
      </c>
      <c r="AV279" s="219"/>
      <c r="AW279" s="225"/>
      <c r="AX279" s="220"/>
      <c r="AY279" s="219" t="str">
        <f>IF(SnapshotTable[[#This Row],[Implied Move]]&gt;0, SnapshotTable[[#This Row],[Last Price]]-SnapshotTable[[#This Row],[Implied Move]],"")</f>
        <v/>
      </c>
      <c r="AZ279" s="219" t="str">
        <f>IF(SnapshotTable[[#This Row],[Implied Move]]&gt;0, SnapshotTable[[#This Row],[Last Price]] + SnapshotTable[[#This Row],[Implied Move]],"")</f>
        <v/>
      </c>
      <c r="BA279" s="331">
        <v>173.45</v>
      </c>
      <c r="BB279" s="347"/>
      <c r="BC27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9" s="351"/>
      <c r="BE279" s="138"/>
      <c r="BF279" s="166"/>
      <c r="BG279" s="167"/>
      <c r="BH279" s="167"/>
      <c r="BI279" s="221"/>
      <c r="BJ279" s="153">
        <f>IF(SnapshotTable[[#This Row],[LP Qty]] &gt; 0, SnapshotTable[[#This Row],[LP Qty]] * SnapshotTable[[#This Row],[LP Book Price]] * 100,0)</f>
        <v>0</v>
      </c>
      <c r="BK279" s="136">
        <f>IF(SnapshotTable[[#This Row],[LP Premium]] &gt; 0, SnapshotTable[[#This Row],[LP Qty]] * SnapshotTable[[#This Row],[LP Strike Price]] * 100,0)</f>
        <v>0</v>
      </c>
      <c r="BL279" s="154"/>
      <c r="BM279" s="385" t="str">
        <f>IF(SnapshotTable[[#This Row],[LP Premium]] &gt; 0,SnapshotTable[[#This Row],[LP Exp Date]]-MAX(SnapshotTable[[#This Row],[LP Book Date]], SnapshotTable[[#This Row],[LP Fill Date]]),"")</f>
        <v/>
      </c>
      <c r="BN279" s="385" t="str">
        <f>IF(ISNUMBER( SnapshotTable[[#This Row],[LP Term]]), SnapshotTable[[#This Row],[LP Exp Date]] - MockToday,"")</f>
        <v/>
      </c>
      <c r="BO279" s="163" t="str">
        <f>IF(AND(SnapshotTable[[#This Row],[LP Exp Date]]&gt;0, SnapshotTable[[#This Row],[LP Strike Price]]&gt;0,SnapshotTable[[#This Row],[LP Qty]]&gt;0,SnapshotTable[[#This Row],[LP Book Date]]&gt;0,SnapshotTable[[#This Row],[LP Book Price]]&gt;0,SnapshotTable[[#This Row],[LP Fill Date]]=0),"Y","")</f>
        <v/>
      </c>
      <c r="BP279" s="31" t="str">
        <f>IF(AND(SnapshotTable[[#This Row],[LP No Fill]]&lt;&gt;"Y",SnapshotTable[[#This Row],[LP Contract Value]]&gt;0, SnapshotTable[[#This Row],[LP Qty]]&gt;0), SnapshotTable[[#This Row],[LP Contract Value]]*SnapshotTable[[#This Row],[LP Qty]]*100,"")</f>
        <v/>
      </c>
      <c r="BQ279" s="13"/>
      <c r="BR279" s="5" t="str">
        <f>IF(SnapshotTable[[#This Row],[SP Exp Date]]&lt;&gt;"",TRUNC(SnapshotTable[[#This Row],[Last Price]]),"")</f>
        <v/>
      </c>
      <c r="BS279" s="36"/>
      <c r="BT279" s="147"/>
      <c r="BU279" s="13"/>
      <c r="BV279" s="5"/>
      <c r="BW279" s="419" t="b">
        <f>AND(ISNUMBER(SnapshotTable[[#This Row],[SP Exp Date]]), ISNUMBER(SnapshotTable[[#This Row],[SP Strike Price]]), ISNUMBER(SnapshotTable[[#This Row],[SP Qty]]), ISNUMBER(SnapshotTable[[#This Row],[SP Book Date]]), ISNUMBER(SnapshotTable[[#This Row],[SP Book Price]]))</f>
        <v>0</v>
      </c>
      <c r="BX279" s="419" t="b">
        <f>AND(SnapshotTable[[#This Row],[SP Is Booked]], NOT(ISBLANK(SnapshotTable[[#This Row],[SP Fill Date]])))</f>
        <v>0</v>
      </c>
      <c r="BY279" s="33">
        <f>IF(SnapshotTable[[#This Row],[SP Is Booked]], SnapshotTable[[#This Row],[SP Qty]] * SnapshotTable[[#This Row],[SP Book Price]] * 100, 0)</f>
        <v>0</v>
      </c>
      <c r="BZ279" s="369"/>
      <c r="CA279" s="368">
        <f>SnapshotTable[[#This Row],[LP Qty]]</f>
        <v>0</v>
      </c>
      <c r="CB279" s="4" t="str">
        <f>IF(SnapshotTable[[#This Row],[SP Is Booked]], SnapshotTable[[#This Row],[SP Strike Price]] - SnapshotTable[[#This Row],[SP Book Price]], "")</f>
        <v/>
      </c>
      <c r="CC279" s="19" t="str">
        <f>IF(SnapshotTable[[#This Row],[SP Is Booked]],SnapshotTable[[#This Row],[SP Exp Date]]-MAX(SnapshotTable[[#This Row],[SP Book Date]], SnapshotTable[[#This Row],[SP Fill Date]]),"")</f>
        <v/>
      </c>
      <c r="CD279" s="7" t="str">
        <f>IF(SnapshotTable[[#This Row],[SP Is Booked]], SnapshotTable[[#This Row],[SP Book Price]]/SnapshotTable[[#This Row],[SP Strike Price]], "")</f>
        <v/>
      </c>
      <c r="CE279" s="7" t="str">
        <f>IF(ISNUMBER(SnapshotTable[[#This Row],[SP ROO Term]]),SnapshotTable[[#This Row],[SP ROO Term]]*(365/SnapshotTable[[#This Row],[SP Term]]),"")</f>
        <v/>
      </c>
      <c r="CF279" s="236">
        <f>SnapshotTable[[#This Row],[LP Strike Price]] * SnapshotTable[[#This Row],[LP Qty]] * 100</f>
        <v>0</v>
      </c>
      <c r="CG279" s="31" t="e">
        <f>IF(ISNUMBER(SnapshotTable[[#This Row],[SP Premium]]), (SnapshotTable[[#This Row],[SP Qty]] * SnapshotTable[[#This Row],[SP Strike Price]]* 100) - SnapshotTable[[#This Row],[LP Protection]], 0)</f>
        <v>#VALUE!</v>
      </c>
      <c r="CH279" s="7" t="str">
        <f>IF(ISNUMBER(SnapshotTable[[#This Row],[SP Break Even]]),-1 * (SnapshotTable[[#This Row],[SP Break Even]] - SnapshotTable[[#This Row],[Last Price]]) / SnapshotTable[[#This Row],[Last Price]], "")</f>
        <v/>
      </c>
      <c r="CI279" s="31">
        <f>IF(AND(ISNUMBER((SnapshotTable[[#This Row],[SP Potential Spend]])), SnapshotTable[[#This Row],[SP Strike Price]] &gt; SnapshotTable[[#This Row],[Last Price]], SnapshotTable[[#This Row],[SP Is Filled]]), SnapshotTable[[#This Row],[SP Potential Spend]] -  SnapshotTable[[#This Row],[LP Max Value]], 0)</f>
        <v>0</v>
      </c>
      <c r="CJ279" s="244"/>
      <c r="CK279" s="31" t="str">
        <f>IF(ISNUMBER(SnapshotTable[[#This Row],[SP Potential Spend]]),IF(ISNUMBER(SnapshotTable[[#This Row],[SP POW]]), SnapshotTable[[#This Row],[SP POW]] * SnapshotTable[[#This Row],[SP Potential Spend]], SnapshotTable[[#This Row],[SP Potential Spend]]), "")</f>
        <v/>
      </c>
      <c r="CL279" s="164" t="e">
        <f>IF(NOT(SnapshotTable[[#This Row],[SP Is Filled]]),(SnapshotTable[[#This Row],[SP Qty]] * SnapshotTable[[#This Row],[SP Strike Price]] * 100) - SnapshotTable[[#This Row],[LP Max Value]],"")</f>
        <v>#VALUE!</v>
      </c>
      <c r="CM279" s="31" t="str">
        <f>IF(SnapshotTable[[#This Row],[SP Actual Spend]]&lt;&gt;0, ((SnapshotTable[[#This Row],[SP Strike Price]]-SnapshotTable[[#This Row],[Last Price]]) *(SnapshotTable[[#This Row],[SP Qty]]*100) - SnapshotTable[[#This Row],[SP Premium]]) * - 1, "")</f>
        <v/>
      </c>
      <c r="CN279" s="154"/>
      <c r="CO279" s="369"/>
      <c r="CP279" s="4" t="str">
        <f>IF(SnapshotTable[[#This Row],[SP Is Filled]], btc_max_buyback_amount(SnapshotTable[[#This Row],[SP Fill Date]],SnapshotTable[[#This Row],[SP Exp Date]], SnapshotTable[[#This Row],[SP Book Price]]),"")</f>
        <v/>
      </c>
      <c r="CQ279" s="78"/>
      <c r="CR27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9" s="155" t="str">
        <f>IF(SnapshotTable[[#This Row],[SP Is Filled]], btc_next_cutoff_date(SnapshotTable[[#This Row],[SP Fill Date]],SnapshotTable[[#This Row],[SP Exp Date]]),"")</f>
        <v/>
      </c>
      <c r="CT279" s="235" t="str" cm="1">
        <f t="array" ref="CT279">IF(SnapshotTable[[#This Row],[SP Is Filled]], btc_should_buy_back(SnapshotTable[[#This Row],[SP Fill Date]], SnapshotTable[[#This Row],[SP Exp Date]], SnapshotTable[[#This Row],[SP Book Price]], SnapshotTable[[#This Row],[SP Current Ask]], MockToday, SnapshotTable[[#This Row],[SP Buyback Override]]),"")</f>
        <v/>
      </c>
      <c r="CU279" s="156"/>
      <c r="CV279" s="235"/>
      <c r="CW279" s="378" t="str">
        <f>IF(ISNUMBER( SnapshotTable[[#This Row],[SP Term]]), SnapshotTable[[#This Row],[SP Exp Date]] - MockToday,"")</f>
        <v/>
      </c>
      <c r="CX279" s="31" t="str">
        <f>IF(SnapshotTable[[#This Row],[SP Is Filled]],SnapshotTable[[#This Row],[SP Buyback Price to Use]] * 100 * SnapshotTable[[#This Row],[SP Qty]], "")</f>
        <v/>
      </c>
      <c r="CY279" s="4" t="str">
        <f>IF(ISNUMBER(SnapshotTable[[#This Row],[SP Strike Price]]), SnapshotTable[[#This Row],[SP Strike Price]] * (1 - SP_MaxLoss_StrikePct), "")</f>
        <v/>
      </c>
      <c r="CZ279" s="31" t="str">
        <f>IF(ISNUMBER(SnapshotTable[[#This Row],[SP Strike  Stop Per Share]]),SnapshotTable[[#This Row],[SP Premium]] - ((SnapshotTable[[#This Row],[SP Strike Price]]-SnapshotTable[[#This Row],[SP Strike  Stop Per Share]]) *(SnapshotTable[[#This Row],[SP Qty]] * 100)),"")</f>
        <v/>
      </c>
      <c r="DA279" s="4" t="str">
        <f>IF(AND(ISNUMBER(SnapshotTable[[#This Row],[SP Premium]]),SnapshotTable[[#This Row],[SP Premium]]&gt;0), SnapshotTable[[#This Row],[SP Book Price]] * (1 + SP_MaxLoss_OptionPct), "")</f>
        <v/>
      </c>
      <c r="DB279" s="31" t="str">
        <f>IF(ISNUMBER(SnapshotTable[[#This Row],[SP Option  Stop Contract]]),(SnapshotTable[[#This Row],[SP Option  Stop Contract]] *(SnapshotTable[[#This Row],[SP Qty]] * 100) - SnapshotTable[[#This Row],[SP Premium]]),"")</f>
        <v/>
      </c>
      <c r="DC279" s="4"/>
      <c r="DD279" s="4"/>
      <c r="DE279" s="4" t="str">
        <f>IF(AND(SnapshotTable[[#This Row],[SP Qty]]&gt;0, SnapshotTable[[#This Row],[SP Stop To Use]]&gt;0),SnapshotTable[[#This Row],[SP Premium]] - ( SnapshotTable[[#This Row],[SP Qty]] * SnapshotTable[[#This Row],[SP Stop To Use]] * 100), "")</f>
        <v/>
      </c>
      <c r="DF279" s="31" t="str">
        <f>IF(AND(SnapshotTable[[#This Row],[SP Qty]]&gt;0,SnapshotTable[[#This Row],[SP Current Ask]]&gt;0), SnapshotTable[[#This Row],[SP Qty]] * SnapshotTable[[#This Row],[SP Current Ask]] * -100, "")</f>
        <v/>
      </c>
      <c r="DG279" s="31" t="str">
        <f>IF(ISNUMBER((SnapshotTable[[#This Row],[SP Total Value]])), SnapshotTable[[#This Row],[SP Premium]] + SnapshotTable[[#This Row],[SP Total Value]], "")</f>
        <v/>
      </c>
      <c r="DH279" s="294" t="str">
        <f>IF(ISNUMBER((SnapshotTable[[#This Row],[SP Total Value]])), SnapshotTable[[#This Row],[SP Gain Loss]] / SnapshotTable[[#This Row],[SP Premium]], "")</f>
        <v/>
      </c>
      <c r="DI279" s="406"/>
      <c r="DJ279" s="138"/>
      <c r="DK279" s="148"/>
      <c r="DL279" s="147"/>
      <c r="DM279" s="147"/>
      <c r="DO279" s="31">
        <f>IF(SnapshotTable[[#This Row],[LC Symbol Count]]=1, SnapshotTable[[#This Row],[LC Qty]] * SnapshotTable[[#This Row],[LC Book Price]] * 100, 0)</f>
        <v>0</v>
      </c>
      <c r="DP279" s="163" t="str">
        <f>IF(AND(SnapshotTable[[#This Row],[LC Exp Date]]&gt;0, SnapshotTable[[#This Row],[LC Strike Price]]&gt;0,SnapshotTable[[#This Row],[LC Qty]]&gt;0,SnapshotTable[[#This Row],[LC Book Date]]&gt;0,SnapshotTable[[#This Row],[LC Book Price]]&gt;0,SnapshotTable[[#This Row],[LC Fill Date]]=0),"Y","")</f>
        <v/>
      </c>
      <c r="DQ279" s="386" t="str">
        <f>IF(SnapshotTable[[#This Row],[LC Premium]] &gt; 0,SnapshotTable[[#This Row],[LC Exp Date]]-MAX(SnapshotTable[[#This Row],[LC Book Date]], SnapshotTable[[#This Row],[LC Fill Date]]),"")</f>
        <v/>
      </c>
      <c r="DR279" s="386" t="str">
        <f>IF(ISNUMBER(SnapshotTable[[#This Row],[LC Term]]), SnapshotTable[[#This Row],[LC Exp Date]] - MockToday, "")</f>
        <v/>
      </c>
      <c r="DS279" s="234" t="str">
        <f>IF(SnapshotTable[[#This Row],[LC Premium]]&gt;0,SnapshotTable[[#This Row],[LC Strike Price]] + SnapshotTable[[#This Row],[LC Book Price]],"")</f>
        <v/>
      </c>
      <c r="DU279" s="9" t="str">
        <f>IF(AND(SnapshotTable[[#This Row],[LC Symbol Count]]&gt;0, SnapshotTable[[#This Row],[LC Contract Value]]&gt;0), SnapshotTable[[#This Row],[LC Contract Value]] * SnapshotTable[[#This Row],[LC Qty]] * 100, "")</f>
        <v/>
      </c>
      <c r="DV279" s="9" t="str">
        <f>IF(AND(ISNUMBER(SnapshotTable[[#This Row],[LC Total Value]]), SnapshotTable[[#This Row],[LC Not Filled]]&lt;&gt;"Y"), SnapshotTable[[#This Row],[LC Total Value]]-SnapshotTable[[#This Row],[LC Premium]],"")</f>
        <v/>
      </c>
      <c r="DW279" s="240" t="str">
        <f>IF(ISNUMBER(SnapshotTable[[#This Row],[LC Actual Gain Loss]]), SnapshotTable[[#This Row],[LC Actual Gain Loss]] / SnapshotTable[[#This Row],[LC Premium]],"")</f>
        <v/>
      </c>
      <c r="DX279" s="284" t="str">
        <f>IF(ISNUMBER(SnapshotTable[[#This Row],[LC Book Price]]),SnapshotTable[[#This Row],[LC Book Price]] * 1.5,"")</f>
        <v/>
      </c>
      <c r="DY279" s="265" t="str">
        <f>IF(SnapshotTable[[#This Row],[LC Premium]]&gt;0, SnapshotTable[[#This Row],[LC Next Target]] * SnapshotTable[[#This Row],[LC Qty]] * 100,"")</f>
        <v/>
      </c>
      <c r="DZ279" s="265" t="str">
        <f>IF(ISNUMBER(SnapshotTable[[#This Row],[LC Target Gross]]), SnapshotTable[[#This Row],[LC Target Gross]] - SnapshotTable[[#This Row],[LC Premium]], "")</f>
        <v/>
      </c>
      <c r="EA279" s="305" t="str">
        <f>IF(ISNUMBER(SnapshotTable[[#This Row],[LC Target Gain Loss]]), SnapshotTable[[#This Row],[LC Target Gain Loss]]/SnapshotTable[[#This Row],[LC Premium]], "")</f>
        <v/>
      </c>
      <c r="EB279" s="262"/>
      <c r="EC279" s="283" t="str">
        <f>IF(SnapshotTable[[#This Row],[LC Premium]]&gt;0, SnapshotTable[[#This Row],[LC Book Price]] * (1 - LC_StopLoss_Pct),"")</f>
        <v/>
      </c>
      <c r="ED279" s="284"/>
      <c r="EE279" s="283" t="str">
        <f>IF(ISNUMBER(SnapshotTable[[#This Row],[LC Contract Value]]),IF(ISNUMBER(SnapshotTable[[#This Row],[LC Stop Loss Override]]), SnapshotTable[[#This Row],[LC Stop Loss Override]],SnapshotTable[[#This Row],[LC Stop Loss Calc Target]]),"")</f>
        <v/>
      </c>
      <c r="EF279" s="31" t="str">
        <f>IF(ISNUMBER(SnapshotTable[[#This Row],[LC Stop  To Use]]), (SnapshotTable[[#This Row],[LC Stop  To Use]] * SnapshotTable[[#This Row],[LC Qty]] * 100),"")</f>
        <v/>
      </c>
      <c r="EG279" s="9" t="str">
        <f>IF(ISNUMBER(SnapshotTable[[#This Row],[LC Total Value]]),SnapshotTable[[#This Row],[LC Stop Loss Amount]] - SnapshotTable[[#This Row],[LC Premium]],"")</f>
        <v/>
      </c>
      <c r="EH279" s="9">
        <f>IF(ISNUMBER(SnapshotTable[[#This Row],[LC Premium]]), SnapshotTable[[#This Row],[LC Qty]] * 100 * SnapshotTable[[#This Row],[LC Strike Price]], "")</f>
        <v>0</v>
      </c>
      <c r="EI279" s="240" t="str">
        <f>IF(AND(ISNUMBER(SnapshotTable[[#This Row],[LC Total Value]]),SnapshotTable[[#This Row],[LC Total Value]]&gt;0),SnapshotTable[[#This Row],[LC Stop Gain Loss]]  / SnapshotTable[[#This Row],[LC Premium]],"")</f>
        <v/>
      </c>
      <c r="EJ279" s="35">
        <f>IF(ISNUMBER(SnapshotTable[[#This Row],[Equity Shares]]),TRUNC(SnapshotTable[[#This Row],[Equity Shares]] / 100),0) + SnapshotTable[[#This Row],[LC Qty]]</f>
        <v>0</v>
      </c>
      <c r="EK279" s="147"/>
      <c r="EL279" s="138" t="str">
        <f>IF(SnapshotTable[[#This Row],[SC Exp Date]]&lt;&gt;"",TRUNC(SnapshotTable[[#This Row],[Last Price]]),"")</f>
        <v/>
      </c>
      <c r="EM279" s="148"/>
      <c r="EN279" s="147"/>
      <c r="EO279" s="147"/>
      <c r="EP279" s="138"/>
      <c r="EQ279" s="419" t="b">
        <f>AND(ISNUMBER(SnapshotTable[[#This Row],[SC Exp Date]]), ISNUMBER(SnapshotTable[[#This Row],[SC Strike Price]]), ISNUMBER(SnapshotTable[[#This Row],[SC Qty]]), ISNUMBER(SnapshotTable[[#This Row],[SC Book Date]]), ISNUMBER(SnapshotTable[[#This Row],[SC Book Price]]))</f>
        <v>0</v>
      </c>
      <c r="ER279" s="419" t="b">
        <f>AND(SnapshotTable[[#This Row],[SC Is Booked]], NOT(ISBLANK(SnapshotTable[[#This Row],[SC Fill Date]])))</f>
        <v>0</v>
      </c>
      <c r="ES279" s="370"/>
      <c r="ET279" s="34" t="str">
        <f>IF(AND(ISNUMBER(SnapshotTable[[#This Row],[SC Exp Date]]), ISNUMBER(SnapshotTable[[#This Row],[SC Book Date]])), SnapshotTable[[#This Row],[SC Exp Date]] - MAX(SnapshotTable[[#This Row],[SC Book Date]], SnapshotTable[[#This Row],[SC Fill Date]]) + 1, "")</f>
        <v/>
      </c>
      <c r="EU279" s="34" t="str">
        <f>IF(ISNUMBER(SnapshotTable[[#This Row],[SC Term]]), SnapshotTable[[#This Row],[SC Exp Date]]- MockToday, "")</f>
        <v/>
      </c>
      <c r="EV279" s="31">
        <f>IF(SnapshotTable[[#This Row],[SC Is Booked]], SnapshotTable[[#This Row],[SC Qty]] * SnapshotTable[[#This Row],[SC Book Price]] * 100, 0)</f>
        <v>0</v>
      </c>
      <c r="EW279" s="4" t="str">
        <f>IF(AND(ISNUMBER(SnapshotTable[[#This Row],[Last Price]]), ISNUMBER( SnapshotTable[[#This Row],[SC Book Price]])), SnapshotTable[[#This Row],[Last Price]] - SnapshotTable[[#This Row],[SC Book Price]],"")</f>
        <v/>
      </c>
      <c r="EX279" s="234" t="str">
        <f>IF(SnapshotTable[[#This Row],[SC Is Booked]],IF(SnapshotTable[[#This Row],[SC Intrinsic Value]] &gt; 0, SnapshotTable[[#This Row],[SC Strike Price]], SnapshotTable[[#This Row],[Last Price]]), "")</f>
        <v/>
      </c>
      <c r="EY279" s="4">
        <f>IF(SnapshotTable[[#This Row],[SC Is Booked]], (MinimumPremiumRequired * SnapshotTable[[#This Row],[SC Basis]] * SnapshotTable[[#This Row],[SC Term]]), 0)</f>
        <v>0</v>
      </c>
      <c r="EZ279" s="283"/>
      <c r="FA279" s="218"/>
      <c r="FB279" s="370"/>
      <c r="FC279" s="4">
        <f>IF(SnapshotTable[[#This Row],[SC Is Filled]], btc_max_buyback_amount(SnapshotTable[[#This Row],[SC Fill Date]],SnapshotTable[[#This Row],[SC Exp Date]], SnapshotTable[[#This Row],[SC Book Price]]),0)</f>
        <v>0</v>
      </c>
      <c r="FD279" s="5"/>
      <c r="FE279" s="144" t="str">
        <f>IF(SnapshotTable[[#This Row],[SC Is Filled]], btc_next_cutoff_date(SnapshotTable[[#This Row],[SC Fill Date]],SnapshotTable[[#This Row],[SC Exp Date]]),"")</f>
        <v/>
      </c>
      <c r="FF279" s="4" t="str" cm="1">
        <f t="array" ref="FF279">IF(SnapshotTable[[#This Row],[SC Is Filled]], btc_should_buy_back(SnapshotTable[[#This Row],[SC Fill Date]], SnapshotTable[[#This Row],[SC Exp Date]], SnapshotTable[[#This Row],[SC Book Price]], SnapshotTable[[#This Row],[SC Current Ask]], MockToday, SnapshotTable[[#This Row],[SC Buyback Override]]),"")</f>
        <v/>
      </c>
      <c r="FG279" s="4">
        <f>IF(SnapshotTable[[#This Row],[SC Is Filled]], MAX(0,SnapshotTable[[#This Row],[Last Price]]  - SnapshotTable[[#This Row],[SC Strike Price]]), 0)</f>
        <v>0</v>
      </c>
      <c r="FH279" s="382">
        <f>IF(SnapshotTable[[#This Row],[SC Is Filled]], IF(ISNUMBER(SnapshotTable[[#This Row],[SC Current Ask]]), SnapshotTable[[#This Row],[SC Current Ask]], SnapshotTable[[#This Row],[SC Book Price]]) - SnapshotTable[[#This Row],[SC Intrinsic Value]], 0)</f>
        <v>0</v>
      </c>
      <c r="FI279" s="143"/>
      <c r="FJ279" s="32" t="str">
        <f>IF(SnapshotTable[[#This Row],[SC Is Filled]],100 * SnapshotTable[[#This Row],[SC Qty]] * IF(ISNUMBER(SnapshotTable[[#This Row],[SC Buyback Override]]), SnapshotTable[[#This Row],[SC Buyback Override]], SnapshotTable[[#This Row],[SC Current Ask]]), "")</f>
        <v/>
      </c>
      <c r="FK279" s="250" t="str">
        <f>IF(SnapshotTable[[#This Row],[SC Time Val]]&gt;0, SnapshotTable[[#This Row],[SC Time Val]] / SnapshotTable[[#This Row],[Last Price]],"")</f>
        <v/>
      </c>
      <c r="FL279" s="302" t="str">
        <f>IF(SnapshotTable[[#This Row],[SC Is Booked]], ((SnapshotTable[[#This Row],[Last Price]] -SnapshotTable[[#This Row],[SC Strike Price]]) / SnapshotTable[[#This Row],[Last Price]]) * -1, "")</f>
        <v/>
      </c>
      <c r="FM279" s="157" t="str">
        <f>IF(SnapshotTable[[#This Row],[SC Is Booked]],  (SnapshotTable[[#This Row],[SC Qty]] * 100 * SnapshotTable[[#This Row],[SC Strike Price]]) - SnapshotTable[[#This Row],[SC Current Ask]], "")</f>
        <v/>
      </c>
      <c r="FN279"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9" s="157" t="str">
        <f>IF(AND(ISNUMBER(SnapshotTable[[#This Row],[SC Exercise Gross]]), ISNUMBER(SnapshotTable[[#This Row],[Equity Basis Per Share]] )), SnapshotTable[[#This Row],[SC Exercise Gross]] - SnapshotTable[[#This Row],[Equity Basis Total]] +  SnapshotTable[[#This Row],[SC Premium]], "")</f>
        <v/>
      </c>
      <c r="FP279" s="5" t="str">
        <f>IF(ISNUMBER(SnapshotTable[[#This Row],[SC Exercise Gross]]), (SnapshotTable[[#This Row],[SC Exercise Gross]]) / (SnapshotTable[[#This Row],[SC Qty]] * 100), "")</f>
        <v/>
      </c>
      <c r="FQ279" s="27" t="str">
        <f>IF(SnapshotTable[[#This Row],[SC Is Booked]],SnapshotTable[[#This Row],[SC Time Val]] /SnapshotTable[[#This Row],[SC Basis]], "")</f>
        <v/>
      </c>
      <c r="FR279" s="27" t="str" cm="1">
        <f t="array" ref="FR279">IF(AND(ISNUMBER(SnapshotTable[[#This Row],[SC Term]]),ISNUMBER(SnapshotTable[[#This Row],[SC Simple ROO]])), EllmanAnnualize(SnapshotTable[[#This Row],[SC DTE]], SnapshotTable[[#This Row],[SC Simple ROO]] ),"")</f>
        <v/>
      </c>
      <c r="FS279" s="4" t="e">
        <f>IF(SnapshotTable[[#This Row],[SC Strike Price]] &gt; SnapshotTable[[#This Row],[Last Price]], SnapshotTable[[#This Row],[SC Strike Price]] - SnapshotTable[[#This Row],[Last Price]],0)</f>
        <v>#VALUE!</v>
      </c>
      <c r="FT279" s="27" t="e">
        <f>IF(AND(ISNUMBER(SnapshotTable[[#This Row],[SC Upside Potential]]), SnapshotTable[[#This Row],[SC Upside Potential]] &gt; 0),(SnapshotTable[[#This Row],[SC Upside Potential]]/ SnapshotTable[[#This Row],[ACB]]),"")</f>
        <v>#VALUE!</v>
      </c>
      <c r="FU279" s="333" t="str">
        <f>IF(SnapshotTable[[#This Row],[SC Intrinsic Value]] &gt; 0,SnapshotTable[[#This Row],[SC Intrinsic Value]],"")</f>
        <v/>
      </c>
      <c r="FV279" s="27" t="str">
        <f>IF(AND( ISNUMBER( SnapshotTable[[#This Row],[ACB]]),ISNUMBER(SnapshotTable[[#This Row],[SC Downside Protect]])),SnapshotTable[[#This Row],[SC Downside Protect]] / SnapshotTable[[#This Row],[ACB]],"")</f>
        <v/>
      </c>
      <c r="FW279" s="236" t="str">
        <f>IF(AND(ISNUMBER(SnapshotTable[[#This Row],[SC Simple ROO]]),SnapshotTable[[#This Row],[SC Simple ROO]] &gt; 0), SnapshotTable[[#This Row],[SC Premium]] + (SnapshotTable[[#This Row],[SC Qty]] * SnapshotTable[[#This Row],[SC Upside Potential]]), "")</f>
        <v/>
      </c>
      <c r="FX279" s="302" t="str" cm="1">
        <f t="array" ref="FX279">IF(ISNUMBER(SnapshotTable[[#This Row],[SC Max Dollars]]), annualize(SnapshotTable[[#This Row],[SC Term]],(SnapshotTable[[#This Row],[SC Max Dollars]]/SnapshotTable[[#This Row],[SC Basis]])),"")</f>
        <v/>
      </c>
      <c r="FY279" s="236" t="str">
        <f>IF(AND(SnapshotTable[[#This Row],[SC Qty]]&gt;0,SnapshotTable[[#This Row],[SC Current Ask]]&gt;0), SnapshotTable[[#This Row],[SC Qty]] * SnapshotTable[[#This Row],[SC Current Ask]] * -100, "")</f>
        <v/>
      </c>
      <c r="FZ279" s="31" t="str">
        <f>IF(ISNUMBER((SnapshotTable[[#This Row],[SC Current Value]])), SnapshotTable[[#This Row],[SC Premium]] + SnapshotTable[[#This Row],[SC Current Value]], "")</f>
        <v/>
      </c>
      <c r="GA279" s="294" t="str">
        <f>IFERROR( IF(ISNUMBER((SnapshotTable[[#This Row],[SC Current Value]])), SnapshotTable[[#This Row],[SC Gain Loss]] / SnapshotTable[[#This Row],[SC Premium]], ""), "")</f>
        <v/>
      </c>
      <c r="GB279" s="42">
        <f>SnapshotTable[[#This Row],[Equity Shares]] * SaleSharesToConsiderPercentage</f>
        <v>0</v>
      </c>
      <c r="GC279" s="40">
        <f>SnapshotTable[[#This Row],[Long Term Target]] * SellingPriceToConsiderBasedOnTargetPercentage</f>
        <v>207.1</v>
      </c>
      <c r="GD279" s="40">
        <f>SnapshotTable[[#This Row],[Last Price]] * (1+ SellingPriceToConsiderBasedOnTargetPercentage)</f>
        <v>430.81349999999998</v>
      </c>
      <c r="GE279" s="41"/>
      <c r="GF279" s="40"/>
      <c r="GG279" s="31">
        <f>SnapshotTable[[#This Row],[Booked Sale Shares]] * SnapshotTable[[#This Row],[Booked Sale Price]]</f>
        <v>0</v>
      </c>
      <c r="GH279" s="31" t="str">
        <f>IF(SnapshotTable[[#This Row],[Equity Basis Total]] &gt; 0, SnapshotTable[[#This Row],[Equity Basis Per Share]] * SnapshotTable[[#This Row],[Booked Sale Shares]], "")</f>
        <v/>
      </c>
      <c r="GI279" s="31">
        <f>IF(SnapshotTable[[#This Row],[Sale Proceeds]]&gt;0, SnapshotTable[[#This Row],[Sale Proceeds]] - SnapshotTable[[#This Row],[Sale Basis]], 0)</f>
        <v>0</v>
      </c>
      <c r="GJ279" s="158" t="str">
        <f>IF(SnapshotTable[[#This Row],[Sale G/L]]&gt;0, SnapshotTable[[#This Row],[Sale G/L]] / SnapshotTable[[#This Row],[Sale Basis]], IF(ISNUMBER(SnapshotTable[[#This Row],[SC Exercise P&amp;L (TAX)]]), SnapshotTable[[#This Row],[SC Exercise P&amp;L (TAX)]] / SnapshotTable[[#This Row],[SC Basis]], ""))</f>
        <v/>
      </c>
      <c r="GK279" s="27"/>
      <c r="GL279" s="159" t="str">
        <f>IF(AND(SnapshotTable[[#This Row],[LP Exp Date]]&gt;0,SnapshotTable[[#This Row],[LP Strike Price]]&gt;0), [1]!ToOptionSymbol(SnapshotTable[[#This Row],[Symbol]], SnapshotTable[[#This Row],[LP Strike Price]],SnapshotTable[[#This Row],[LP Exp Date]],1), "")</f>
        <v/>
      </c>
      <c r="GM279" s="30" t="str">
        <f>IF(LEN(SnapshotTable[[#This Row],[LP Symbol]])&gt;0, 1, "")</f>
        <v/>
      </c>
      <c r="GN279" s="43" t="str">
        <f>IF(AND(SnapshotTable[[#This Row],[SP Exp Date]]&gt;0,SnapshotTable[[#This Row],[SP Strike Price]]&gt;0), [1]!ToOptionSymbol(SnapshotTable[[#This Row],[Symbol]], SnapshotTable[[#This Row],[SP Strike Price]],SnapshotTable[[#This Row],[SP Exp Date]],1), "")</f>
        <v/>
      </c>
      <c r="GO279" s="30" t="str">
        <f>IF(LEN(SnapshotTable[[#This Row],[SP Symbol]])&gt;0, 1, "")</f>
        <v/>
      </c>
      <c r="GP279" s="159" t="str">
        <f>IF(AND(SnapshotTable[[#This Row],[LC Exp Date]]&gt;0,SnapshotTable[[#This Row],[LC Strike Price]]&gt;0), [1]!ToOptionSymbol(SnapshotTable[[#This Row],[Symbol]], SnapshotTable[[#This Row],[LC Strike Price]],SnapshotTable[[#This Row],[LC Exp Date]],0), "")</f>
        <v/>
      </c>
      <c r="GQ279" s="160" t="str">
        <f>IF(LEN(SnapshotTable[[#This Row],[LC Symbol]])&gt;0, 1, "")</f>
        <v/>
      </c>
      <c r="GR279" s="159" t="str">
        <f>IF(AND(SnapshotTable[[#This Row],[SC Exp Date]]&gt;0,SnapshotTable[[#This Row],[SC Strike Price]]&gt;0), [1]!ToOptionSymbol(SnapshotTable[[#This Row],[Symbol]], SnapshotTable[[#This Row],[SC Strike Price]],SnapshotTable[[#This Row],[SC Exp Date]],0), "")</f>
        <v/>
      </c>
      <c r="GS279" s="160" t="str">
        <f>IF(LEN(SnapshotTable[[#This Row],[SC Symbol]])&gt;0, 1, "")</f>
        <v/>
      </c>
      <c r="GT279" s="161" t="str">
        <f>IF(COUNT(SnapshotTable[[#This Row],[LP Symbol Count]],SnapshotTable[[#This Row],[SP Symbol Count]],SnapshotTable[[#This Row],[LC Symbol Count]],SnapshotTable[[#This Row],[SC Symbol Count]])&gt;0, "Y", "")</f>
        <v/>
      </c>
      <c r="GU27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9" s="231" t="e">
        <f>MAX(SnapshotTable[[#This Row],[Equity Basis Total]],SnapshotTable[[#This Row],[Equity Value]]) + (SnapshotTable[[#This Row],[SP Potential Spend]]- SnapshotTable[[#This Row],[SP Premium]] + SnapshotTable[[#This Row],[LP Premium]])+ (SnapshotTable[[#This Row],[LC Premium]] - SnapshotTable[[#This Row],[SC Premium]])</f>
        <v>#VALUE!</v>
      </c>
      <c r="GW279" s="139" t="e">
        <f>IF(AND(SnapshotTable[[#This Row],[Exposure]] &lt;&gt; 0),SnapshotTable[[#This Row],[Exposure]] / SnapshotTable[[#Totals],[Exposure]], "")</f>
        <v>#VALUE!</v>
      </c>
      <c r="GX279" s="13"/>
      <c r="HK279" s="1"/>
      <c r="HL279" s="1"/>
      <c r="HM279" s="1"/>
      <c r="HN279" s="1"/>
      <c r="HO279" s="1"/>
      <c r="HP279" s="1"/>
    </row>
    <row r="280" spans="2:224" ht="12.75" hidden="1" customHeight="1" x14ac:dyDescent="0.25">
      <c r="B280" s="12" t="s">
        <v>588</v>
      </c>
      <c r="C280" s="422">
        <v>11.36</v>
      </c>
      <c r="D280" s="208" t="s">
        <v>578</v>
      </c>
      <c r="E280" s="39">
        <f>SnapshotTable[[#This Row],[Last Price]]*(1 -CrashDiscount)</f>
        <v>9.6559999999999988</v>
      </c>
      <c r="F280" s="26" t="s">
        <v>230</v>
      </c>
      <c r="G280" s="26" t="s">
        <v>9</v>
      </c>
      <c r="H280" s="149"/>
      <c r="I280" s="194">
        <v>44805.670138888891</v>
      </c>
      <c r="J280" s="195">
        <v>44805.670138888891</v>
      </c>
      <c r="K280" s="196"/>
      <c r="L280" s="326"/>
      <c r="M280" s="140"/>
      <c r="N280" s="140"/>
      <c r="O280" s="140"/>
      <c r="P280" s="22"/>
      <c r="Q280" s="25"/>
      <c r="R280" s="4" t="str">
        <f>IF(SnapshotTable[[#This Row],[Equity Basis Total]] &gt; 0, SnapshotTable[[#This Row],[Equity Basis Total]] / SnapshotTable[[#This Row],[Equity Shares]], "")</f>
        <v/>
      </c>
      <c r="S280" s="269">
        <f>SnapshotTable[[#This Row],[Last Price]] * SnapshotTable[[#This Row],[Equity Shares]]</f>
        <v>0</v>
      </c>
      <c r="T280" s="269">
        <f>SnapshotTable[[#This Row],[Equity Value]] - SnapshotTable[[#This Row],[Equity Basis Total]]</f>
        <v>0</v>
      </c>
      <c r="U280" s="270" t="str">
        <f>IF(SnapshotTable[[#This Row],[Equity Basis Total]] &gt; 0, SnapshotTable[[#This Row],[Equity G/L]] / SnapshotTable[[#This Row],[Equity Basis Total]], "")</f>
        <v/>
      </c>
      <c r="V280" s="268"/>
      <c r="W280" s="268"/>
      <c r="X280" s="4" t="str">
        <f>IF(AND(ISNUMBER(SnapshotTable[[#This Row],[Equity Basis Per Share]]),ISNUMBER(SnapshotTable[[#This Row],[Equity Target]])),SnapshotTable[[#This Row],[Equity Target]]-SnapshotTable[[#This Row],[Equity Basis Per Share]],"")</f>
        <v/>
      </c>
      <c r="Y280" s="4" t="str">
        <f>IF(AND(ISNUMBER(SnapshotTable[[#This Row],[Equity Basis Per Share]]),ISNUMBER(SnapshotTable[[#This Row],[Equity Stop Loss]])),SnapshotTable[[#This Row],[Equity Stop Loss]]-SnapshotTable[[#This Row],[Equity Basis Per Share]],"")</f>
        <v/>
      </c>
      <c r="Z280" s="275" t="str">
        <f>IFERROR( TEXT(SnapshotTable[[#This Row],[Equity Max Gain Per Share]] /ABS( SnapshotTable[[#This Row],[Equity Max Loss Per Share]]),"0.0 " ) &amp; " : 1", "")</f>
        <v/>
      </c>
      <c r="AA280" s="31" t="str">
        <f>IF(ISNUMBER(SnapshotTable[[#This Row],[Equity Max Gain Per Share]]),SnapshotTable[[#This Row],[Equity Max Gain Per Share]] * SnapshotTable[[#This Row],[Equity Shares]],"")</f>
        <v/>
      </c>
      <c r="AB280" s="31" t="str">
        <f>IF(ISNUMBER(SnapshotTable[[#This Row],[Equity Max Loss Per Share]]),SnapshotTable[[#This Row],[Equity Max Loss Per Share]] * SnapshotTable[[#This Row],[Equity Shares]],"")</f>
        <v/>
      </c>
      <c r="AC280" s="150"/>
      <c r="AD280" s="151"/>
      <c r="AE280" s="31">
        <f>(SnapshotTable[[#This Row],[Annual Dividend Per Share]] / 4) * SnapshotTable[[#This Row],[Equity Shares]]</f>
        <v>0</v>
      </c>
      <c r="AF280" s="31">
        <f>SnapshotTable[[#This Row],[Quarterly Div $]] * 4</f>
        <v>0</v>
      </c>
      <c r="AG280" s="7">
        <f>IF(SnapshotTable[[#This Row],[Annual Dividend Per Share]]&gt;0, SnapshotTable[[#This Row],[Annual Dividend Per Share]]  / SnapshotTable[[#This Row],[Last Price]], 0)</f>
        <v>0</v>
      </c>
      <c r="AH280" s="151"/>
      <c r="AI280" s="5"/>
      <c r="AJ280" s="138">
        <v>34.67</v>
      </c>
      <c r="AK280" s="152" t="str">
        <f>IF(ISNUMBER( SnapshotTable[[#This Row],[EBF Target]]),(SnapshotTable[[#This Row],[EBF Target]] - SnapshotTable[[#This Row],[Last Price]]) / SnapshotTable[[#This Row],[Last Price]], "")</f>
        <v/>
      </c>
      <c r="AL280" s="152" t="str">
        <f>IF(AND(SnapshotTable[[#This Row],[Equity Basis Total]] &gt; 0,ISNUMBER( SnapshotTable[[#This Row],[Long Term Target]])), SnapshotTable[[#This Row],[From Basis $]] / SnapshotTable[[#This Row],[Equity Basis Total]], "")</f>
        <v/>
      </c>
      <c r="AM280" s="9">
        <f>IF( AND(SnapshotTable[[#This Row],[Equity Shares]] &gt;0,ISNUMBER( SnapshotTable[[#This Row],[Long Term Target]])),(SnapshotTable[[#This Row],[Equity Shares]] * SnapshotTable[[#This Row],[Long Term Target]]) - SnapshotTable[[#This Row],[Equity Basis Total]],0)</f>
        <v>0</v>
      </c>
      <c r="AN280" s="9">
        <f>IF( AND(SnapshotTable[[#This Row],[Equity Shares]] &gt;0,ISNUMBER( SnapshotTable[[#This Row],[Long Term Target]])),(SnapshotTable[[#This Row],[Equity Shares]]*SnapshotTable[[#This Row],[Long Term Target]]) - SnapshotTable[[#This Row],[Equity Value]],0)</f>
        <v>0</v>
      </c>
      <c r="AO280" s="152">
        <f>IF(AND(ISNUMBER( SnapshotTable[[#This Row],[Long Term Target]]), ISNUMBER(SnapshotTable[[#This Row],[Last Price]])),(SnapshotTable[[#This Row],[Long Term Target]] - SnapshotTable[[#This Row],[Last Price]]) / SnapshotTable[[#This Row],[Last Price]], "")</f>
        <v>2.05193661971831</v>
      </c>
      <c r="AP280" s="5"/>
      <c r="AQ280" s="38"/>
      <c r="AR280" s="5"/>
      <c r="AS280" s="38"/>
      <c r="AT280" s="146"/>
      <c r="AU280" s="187" t="str">
        <f>IF(OR(SnapshotTable[[#This Row],[LP No Fill]]="Y",SnapshotTable[[#This Row],[SP Is Filled]],SnapshotTable[[#This Row],[LC Not Filled]]="Y",SnapshotTable[[#This Row],[SC Is Filled]]),"Y","")</f>
        <v/>
      </c>
      <c r="AV280" s="219"/>
      <c r="AW280" s="225"/>
      <c r="AX280" s="220"/>
      <c r="AY280" s="219" t="str">
        <f>IF(SnapshotTable[[#This Row],[Implied Move]]&gt;0, SnapshotTable[[#This Row],[Last Price]]-SnapshotTable[[#This Row],[Implied Move]],"")</f>
        <v/>
      </c>
      <c r="AZ280" s="219" t="str">
        <f>IF(SnapshotTable[[#This Row],[Implied Move]]&gt;0, SnapshotTable[[#This Row],[Last Price]] + SnapshotTable[[#This Row],[Implied Move]],"")</f>
        <v/>
      </c>
      <c r="BA280" s="331"/>
      <c r="BB280" s="347"/>
      <c r="BC28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0" s="351"/>
      <c r="BE280" s="210"/>
      <c r="BF280" s="211"/>
      <c r="BG280" s="212"/>
      <c r="BH280" s="212"/>
      <c r="BI280" s="5"/>
      <c r="BJ280" s="153">
        <f>IF(SnapshotTable[[#This Row],[LP Qty]] &gt; 0, SnapshotTable[[#This Row],[LP Qty]] * SnapshotTable[[#This Row],[LP Book Price]] * 100,0)</f>
        <v>0</v>
      </c>
      <c r="BK280" s="136">
        <f>IF(SnapshotTable[[#This Row],[LP Premium]] &gt; 0, SnapshotTable[[#This Row],[LP Qty]] * SnapshotTable[[#This Row],[LP Strike Price]] * 100,0)</f>
        <v>0</v>
      </c>
      <c r="BL280" s="154"/>
      <c r="BM280" s="385" t="str">
        <f>IF(SnapshotTable[[#This Row],[LP Premium]] &gt; 0,SnapshotTable[[#This Row],[LP Exp Date]]-MAX(SnapshotTable[[#This Row],[LP Book Date]], SnapshotTable[[#This Row],[LP Fill Date]]),"")</f>
        <v/>
      </c>
      <c r="BN280" s="385" t="str">
        <f>IF(ISNUMBER( SnapshotTable[[#This Row],[LP Term]]), SnapshotTable[[#This Row],[LP Exp Date]] - MockToday,"")</f>
        <v/>
      </c>
      <c r="BO280" s="163" t="str">
        <f>IF(AND(SnapshotTable[[#This Row],[LP Exp Date]]&gt;0, SnapshotTable[[#This Row],[LP Strike Price]]&gt;0,SnapshotTable[[#This Row],[LP Qty]]&gt;0,SnapshotTable[[#This Row],[LP Book Date]]&gt;0,SnapshotTable[[#This Row],[LP Book Price]]&gt;0,SnapshotTable[[#This Row],[LP Fill Date]]=0),"Y","")</f>
        <v/>
      </c>
      <c r="BP280" s="31" t="str">
        <f>IF(AND(SnapshotTable[[#This Row],[LP No Fill]]&lt;&gt;"Y",SnapshotTable[[#This Row],[LP Contract Value]]&gt;0, SnapshotTable[[#This Row],[LP Qty]]&gt;0), SnapshotTable[[#This Row],[LP Contract Value]]*SnapshotTable[[#This Row],[LP Qty]]*100,"")</f>
        <v/>
      </c>
      <c r="BQ280" s="13"/>
      <c r="BR280" s="5" t="str">
        <f>IF(SnapshotTable[[#This Row],[SP Exp Date]]&lt;&gt;"",TRUNC(SnapshotTable[[#This Row],[Last Price]]),"")</f>
        <v/>
      </c>
      <c r="BS280" s="36"/>
      <c r="BT280" s="147"/>
      <c r="BU280" s="13"/>
      <c r="BV280" s="5"/>
      <c r="BW280" s="419" t="b">
        <f>AND(ISNUMBER(SnapshotTable[[#This Row],[SP Exp Date]]), ISNUMBER(SnapshotTable[[#This Row],[SP Strike Price]]), ISNUMBER(SnapshotTable[[#This Row],[SP Qty]]), ISNUMBER(SnapshotTable[[#This Row],[SP Book Date]]), ISNUMBER(SnapshotTable[[#This Row],[SP Book Price]]))</f>
        <v>0</v>
      </c>
      <c r="BX280" s="419" t="b">
        <f>AND(SnapshotTable[[#This Row],[SP Is Booked]], NOT(ISBLANK(SnapshotTable[[#This Row],[SP Fill Date]])))</f>
        <v>0</v>
      </c>
      <c r="BY280" s="33">
        <f>IF(SnapshotTable[[#This Row],[SP Is Booked]], SnapshotTable[[#This Row],[SP Qty]] * SnapshotTable[[#This Row],[SP Book Price]] * 100, 0)</f>
        <v>0</v>
      </c>
      <c r="BZ280" s="369"/>
      <c r="CA280" s="368">
        <f>SnapshotTable[[#This Row],[LP Qty]]</f>
        <v>0</v>
      </c>
      <c r="CB280" s="4" t="str">
        <f>IF(SnapshotTable[[#This Row],[SP Is Booked]], SnapshotTable[[#This Row],[SP Strike Price]] - SnapshotTable[[#This Row],[SP Book Price]], "")</f>
        <v/>
      </c>
      <c r="CC280" s="19" t="str">
        <f>IF(SnapshotTable[[#This Row],[SP Is Booked]],SnapshotTable[[#This Row],[SP Exp Date]]-MAX(SnapshotTable[[#This Row],[SP Book Date]], SnapshotTable[[#This Row],[SP Fill Date]]),"")</f>
        <v/>
      </c>
      <c r="CD280" s="7" t="str">
        <f>IF(SnapshotTable[[#This Row],[SP Is Booked]], SnapshotTable[[#This Row],[SP Book Price]]/SnapshotTable[[#This Row],[SP Strike Price]], "")</f>
        <v/>
      </c>
      <c r="CE280" s="7" t="str">
        <f>IF(ISNUMBER(SnapshotTable[[#This Row],[SP ROO Term]]),SnapshotTable[[#This Row],[SP ROO Term]]*(365/SnapshotTable[[#This Row],[SP Term]]),"")</f>
        <v/>
      </c>
      <c r="CF280" s="236">
        <f>SnapshotTable[[#This Row],[LP Strike Price]] * SnapshotTable[[#This Row],[LP Qty]] * 100</f>
        <v>0</v>
      </c>
      <c r="CG280" s="31" t="e">
        <f>IF(ISNUMBER(SnapshotTable[[#This Row],[SP Premium]]), (SnapshotTable[[#This Row],[SP Qty]] * SnapshotTable[[#This Row],[SP Strike Price]]* 100) - SnapshotTable[[#This Row],[LP Protection]], 0)</f>
        <v>#VALUE!</v>
      </c>
      <c r="CH280" s="7" t="str">
        <f>IF(ISNUMBER(SnapshotTable[[#This Row],[SP Break Even]]),-1 * (SnapshotTable[[#This Row],[SP Break Even]] - SnapshotTable[[#This Row],[Last Price]]) / SnapshotTable[[#This Row],[Last Price]], "")</f>
        <v/>
      </c>
      <c r="CI280" s="31">
        <f>IF(AND(ISNUMBER((SnapshotTable[[#This Row],[SP Potential Spend]])), SnapshotTable[[#This Row],[SP Strike Price]] &gt; SnapshotTable[[#This Row],[Last Price]], SnapshotTable[[#This Row],[SP Is Filled]]), SnapshotTable[[#This Row],[SP Potential Spend]] -  SnapshotTable[[#This Row],[LP Max Value]], 0)</f>
        <v>0</v>
      </c>
      <c r="CJ280" s="244"/>
      <c r="CK280" s="31" t="str">
        <f>IF(ISNUMBER(SnapshotTable[[#This Row],[SP Potential Spend]]),IF(ISNUMBER(SnapshotTable[[#This Row],[SP POW]]), SnapshotTable[[#This Row],[SP POW]] * SnapshotTable[[#This Row],[SP Potential Spend]], SnapshotTable[[#This Row],[SP Potential Spend]]), "")</f>
        <v/>
      </c>
      <c r="CL280" s="164" t="e">
        <f>IF(NOT(SnapshotTable[[#This Row],[SP Is Filled]]),(SnapshotTable[[#This Row],[SP Qty]] * SnapshotTable[[#This Row],[SP Strike Price]] * 100) - SnapshotTable[[#This Row],[LP Max Value]],"")</f>
        <v>#VALUE!</v>
      </c>
      <c r="CM280" s="31" t="str">
        <f>IF(SnapshotTable[[#This Row],[SP Actual Spend]]&lt;&gt;0, ((SnapshotTable[[#This Row],[SP Strike Price]]-SnapshotTable[[#This Row],[Last Price]]) *(SnapshotTable[[#This Row],[SP Qty]]*100) - SnapshotTable[[#This Row],[SP Premium]]) * - 1, "")</f>
        <v/>
      </c>
      <c r="CN280" s="154"/>
      <c r="CO280" s="369"/>
      <c r="CP280" s="4" t="str">
        <f>IF(SnapshotTable[[#This Row],[SP Is Filled]], btc_max_buyback_amount(SnapshotTable[[#This Row],[SP Fill Date]],SnapshotTable[[#This Row],[SP Exp Date]], SnapshotTable[[#This Row],[SP Book Price]]),"")</f>
        <v/>
      </c>
      <c r="CQ280" s="78"/>
      <c r="CR28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0" s="155" t="str">
        <f>IF(SnapshotTable[[#This Row],[SP Is Filled]], btc_next_cutoff_date(SnapshotTable[[#This Row],[SP Fill Date]],SnapshotTable[[#This Row],[SP Exp Date]]),"")</f>
        <v/>
      </c>
      <c r="CT280" s="235" t="str" cm="1">
        <f t="array" ref="CT280">IF(SnapshotTable[[#This Row],[SP Is Filled]], btc_should_buy_back(SnapshotTable[[#This Row],[SP Fill Date]], SnapshotTable[[#This Row],[SP Exp Date]], SnapshotTable[[#This Row],[SP Book Price]], SnapshotTable[[#This Row],[SP Current Ask]], MockToday, SnapshotTable[[#This Row],[SP Buyback Override]]),"")</f>
        <v/>
      </c>
      <c r="CU280" s="143"/>
      <c r="CV280" s="235"/>
      <c r="CW280" s="378" t="str">
        <f>IF(ISNUMBER( SnapshotTable[[#This Row],[SP Term]]), SnapshotTable[[#This Row],[SP Exp Date]] - MockToday,"")</f>
        <v/>
      </c>
      <c r="CX280" s="31" t="str">
        <f>IF(SnapshotTable[[#This Row],[SP Is Filled]],SnapshotTable[[#This Row],[SP Buyback Price to Use]] * 100 * SnapshotTable[[#This Row],[SP Qty]], "")</f>
        <v/>
      </c>
      <c r="CY280" s="4" t="str">
        <f>IF(ISNUMBER(SnapshotTable[[#This Row],[SP Strike Price]]), SnapshotTable[[#This Row],[SP Strike Price]] * (1 - SP_MaxLoss_StrikePct), "")</f>
        <v/>
      </c>
      <c r="CZ280" s="31" t="str">
        <f>IF(ISNUMBER(SnapshotTable[[#This Row],[SP Strike  Stop Per Share]]),SnapshotTable[[#This Row],[SP Premium]] - ((SnapshotTable[[#This Row],[SP Strike Price]]-SnapshotTable[[#This Row],[SP Strike  Stop Per Share]]) *(SnapshotTable[[#This Row],[SP Qty]] * 100)),"")</f>
        <v/>
      </c>
      <c r="DA280" s="4" t="str">
        <f>IF(AND(ISNUMBER(SnapshotTable[[#This Row],[SP Premium]]),SnapshotTable[[#This Row],[SP Premium]]&gt;0), SnapshotTable[[#This Row],[SP Book Price]] * (1 + SP_MaxLoss_OptionPct), "")</f>
        <v/>
      </c>
      <c r="DB280" s="31" t="str">
        <f>IF(ISNUMBER(SnapshotTable[[#This Row],[SP Option  Stop Contract]]),(SnapshotTable[[#This Row],[SP Option  Stop Contract]] *(SnapshotTable[[#This Row],[SP Qty]] * 100) - SnapshotTable[[#This Row],[SP Premium]]),"")</f>
        <v/>
      </c>
      <c r="DC280" s="4"/>
      <c r="DD280" s="4"/>
      <c r="DE280" s="4" t="str">
        <f>IF(AND(SnapshotTable[[#This Row],[SP Qty]]&gt;0, SnapshotTable[[#This Row],[SP Stop To Use]]&gt;0),SnapshotTable[[#This Row],[SP Premium]] - ( SnapshotTable[[#This Row],[SP Qty]] * SnapshotTable[[#This Row],[SP Stop To Use]] * 100), "")</f>
        <v/>
      </c>
      <c r="DF280" s="31" t="str">
        <f>IF(AND(SnapshotTable[[#This Row],[SP Qty]]&gt;0,SnapshotTable[[#This Row],[SP Current Ask]]&gt;0), SnapshotTable[[#This Row],[SP Qty]] * SnapshotTable[[#This Row],[SP Current Ask]] * -100, "")</f>
        <v/>
      </c>
      <c r="DG280" s="31" t="str">
        <f>IF(ISNUMBER((SnapshotTable[[#This Row],[SP Total Value]])), SnapshotTable[[#This Row],[SP Premium]] + SnapshotTable[[#This Row],[SP Total Value]], "")</f>
        <v/>
      </c>
      <c r="DH280" s="294" t="str">
        <f>IF(ISNUMBER((SnapshotTable[[#This Row],[SP Total Value]])), SnapshotTable[[#This Row],[SP Gain Loss]] / SnapshotTable[[#This Row],[SP Premium]], "")</f>
        <v/>
      </c>
      <c r="DI280" s="406"/>
      <c r="DJ280" s="138"/>
      <c r="DK280" s="148"/>
      <c r="DL280" s="147"/>
      <c r="DM280" s="147"/>
      <c r="DO280" s="31">
        <f>IF(SnapshotTable[[#This Row],[LC Symbol Count]]=1, SnapshotTable[[#This Row],[LC Qty]] * SnapshotTable[[#This Row],[LC Book Price]] * 100, 0)</f>
        <v>0</v>
      </c>
      <c r="DP280" s="163" t="str">
        <f>IF(AND(SnapshotTable[[#This Row],[LC Exp Date]]&gt;0, SnapshotTable[[#This Row],[LC Strike Price]]&gt;0,SnapshotTable[[#This Row],[LC Qty]]&gt;0,SnapshotTable[[#This Row],[LC Book Date]]&gt;0,SnapshotTable[[#This Row],[LC Book Price]]&gt;0,SnapshotTable[[#This Row],[LC Fill Date]]=0),"Y","")</f>
        <v/>
      </c>
      <c r="DQ280" s="386" t="str">
        <f>IF(SnapshotTable[[#This Row],[LC Premium]] &gt; 0,SnapshotTable[[#This Row],[LC Exp Date]]-MAX(SnapshotTable[[#This Row],[LC Book Date]], SnapshotTable[[#This Row],[LC Fill Date]]),"")</f>
        <v/>
      </c>
      <c r="DR280" s="386" t="str">
        <f>IF(ISNUMBER(SnapshotTable[[#This Row],[LC Term]]), SnapshotTable[[#This Row],[LC Exp Date]] - MockToday, "")</f>
        <v/>
      </c>
      <c r="DS280" s="234" t="str">
        <f>IF(SnapshotTable[[#This Row],[LC Premium]]&gt;0,SnapshotTable[[#This Row],[LC Strike Price]] + SnapshotTable[[#This Row],[LC Book Price]],"")</f>
        <v/>
      </c>
      <c r="DU280" s="9" t="str">
        <f>IF(AND(SnapshotTable[[#This Row],[LC Symbol Count]]&gt;0, SnapshotTable[[#This Row],[LC Contract Value]]&gt;0), SnapshotTable[[#This Row],[LC Contract Value]] * SnapshotTable[[#This Row],[LC Qty]] * 100, "")</f>
        <v/>
      </c>
      <c r="DV280" s="9" t="str">
        <f>IF(AND(ISNUMBER(SnapshotTable[[#This Row],[LC Total Value]]), SnapshotTable[[#This Row],[LC Not Filled]]&lt;&gt;"Y"), SnapshotTable[[#This Row],[LC Total Value]]-SnapshotTable[[#This Row],[LC Premium]],"")</f>
        <v/>
      </c>
      <c r="DW280" s="240" t="str">
        <f>IF(ISNUMBER(SnapshotTable[[#This Row],[LC Actual Gain Loss]]), SnapshotTable[[#This Row],[LC Actual Gain Loss]] / SnapshotTable[[#This Row],[LC Premium]],"")</f>
        <v/>
      </c>
      <c r="DX280" s="284" t="str">
        <f>IF(ISNUMBER(SnapshotTable[[#This Row],[LC Book Price]]),SnapshotTable[[#This Row],[LC Book Price]] * 1.5,"")</f>
        <v/>
      </c>
      <c r="DY280" s="265" t="str">
        <f>IF(SnapshotTable[[#This Row],[LC Premium]]&gt;0, SnapshotTable[[#This Row],[LC Next Target]] * SnapshotTable[[#This Row],[LC Qty]] * 100,"")</f>
        <v/>
      </c>
      <c r="DZ280" s="265" t="str">
        <f>IF(ISNUMBER(SnapshotTable[[#This Row],[LC Target Gross]]), SnapshotTable[[#This Row],[LC Target Gross]] - SnapshotTable[[#This Row],[LC Premium]], "")</f>
        <v/>
      </c>
      <c r="EA280" s="305" t="str">
        <f>IF(ISNUMBER(SnapshotTable[[#This Row],[LC Target Gain Loss]]), SnapshotTable[[#This Row],[LC Target Gain Loss]]/SnapshotTable[[#This Row],[LC Premium]], "")</f>
        <v/>
      </c>
      <c r="EB280" s="262"/>
      <c r="EC280" s="283" t="str">
        <f>IF(SnapshotTable[[#This Row],[LC Premium]]&gt;0, SnapshotTable[[#This Row],[LC Book Price]] * (1 - LC_StopLoss_Pct),"")</f>
        <v/>
      </c>
      <c r="ED280" s="284"/>
      <c r="EE280" s="283" t="str">
        <f>IF(ISNUMBER(SnapshotTable[[#This Row],[LC Contract Value]]),IF(ISNUMBER(SnapshotTable[[#This Row],[LC Stop Loss Override]]), SnapshotTable[[#This Row],[LC Stop Loss Override]],SnapshotTable[[#This Row],[LC Stop Loss Calc Target]]),"")</f>
        <v/>
      </c>
      <c r="EF280" s="31" t="str">
        <f>IF(ISNUMBER(SnapshotTable[[#This Row],[LC Stop  To Use]]), (SnapshotTable[[#This Row],[LC Stop  To Use]] * SnapshotTable[[#This Row],[LC Qty]] * 100),"")</f>
        <v/>
      </c>
      <c r="EG280" s="9" t="str">
        <f>IF(ISNUMBER(SnapshotTable[[#This Row],[LC Total Value]]),SnapshotTable[[#This Row],[LC Stop Loss Amount]] - SnapshotTable[[#This Row],[LC Premium]],"")</f>
        <v/>
      </c>
      <c r="EH280" s="9">
        <f>IF(ISNUMBER(SnapshotTable[[#This Row],[LC Premium]]), SnapshotTable[[#This Row],[LC Qty]] * 100 * SnapshotTable[[#This Row],[LC Strike Price]], "")</f>
        <v>0</v>
      </c>
      <c r="EI280" s="240" t="str">
        <f>IF(AND(ISNUMBER(SnapshotTable[[#This Row],[LC Total Value]]),SnapshotTable[[#This Row],[LC Total Value]]&gt;0),SnapshotTable[[#This Row],[LC Stop Gain Loss]]  / SnapshotTable[[#This Row],[LC Premium]],"")</f>
        <v/>
      </c>
      <c r="EJ280" s="35">
        <f>IF(ISNUMBER(SnapshotTable[[#This Row],[Equity Shares]]),TRUNC(SnapshotTable[[#This Row],[Equity Shares]] / 100),0) + SnapshotTable[[#This Row],[LC Qty]]</f>
        <v>0</v>
      </c>
      <c r="EK280" s="147"/>
      <c r="EL280" s="138" t="str">
        <f>IF(SnapshotTable[[#This Row],[SC Exp Date]]&lt;&gt;"",TRUNC(SnapshotTable[[#This Row],[Last Price]]),"")</f>
        <v/>
      </c>
      <c r="EM280" s="148"/>
      <c r="EN280" s="147"/>
      <c r="EO280" s="147"/>
      <c r="EP280" s="138"/>
      <c r="EQ280" s="419" t="b">
        <f>AND(ISNUMBER(SnapshotTable[[#This Row],[SC Exp Date]]), ISNUMBER(SnapshotTable[[#This Row],[SC Strike Price]]), ISNUMBER(SnapshotTable[[#This Row],[SC Qty]]), ISNUMBER(SnapshotTable[[#This Row],[SC Book Date]]), ISNUMBER(SnapshotTable[[#This Row],[SC Book Price]]))</f>
        <v>0</v>
      </c>
      <c r="ER280" s="419" t="b">
        <f>AND(SnapshotTable[[#This Row],[SC Is Booked]], NOT(ISBLANK(SnapshotTable[[#This Row],[SC Fill Date]])))</f>
        <v>0</v>
      </c>
      <c r="ES280" s="370"/>
      <c r="ET280" s="34" t="str">
        <f>IF(AND(ISNUMBER(SnapshotTable[[#This Row],[SC Exp Date]]), ISNUMBER(SnapshotTable[[#This Row],[SC Book Date]])), SnapshotTable[[#This Row],[SC Exp Date]] - MAX(SnapshotTable[[#This Row],[SC Book Date]], SnapshotTable[[#This Row],[SC Fill Date]]) + 1, "")</f>
        <v/>
      </c>
      <c r="EU280" s="34" t="str">
        <f>IF(ISNUMBER(SnapshotTable[[#This Row],[SC Term]]), SnapshotTable[[#This Row],[SC Exp Date]]- MockToday, "")</f>
        <v/>
      </c>
      <c r="EV280" s="31">
        <f>IF(SnapshotTable[[#This Row],[SC Is Booked]], SnapshotTable[[#This Row],[SC Qty]] * SnapshotTable[[#This Row],[SC Book Price]] * 100, 0)</f>
        <v>0</v>
      </c>
      <c r="EW280" s="4" t="str">
        <f>IF(AND(ISNUMBER(SnapshotTable[[#This Row],[Last Price]]), ISNUMBER( SnapshotTable[[#This Row],[SC Book Price]])), SnapshotTable[[#This Row],[Last Price]] - SnapshotTable[[#This Row],[SC Book Price]],"")</f>
        <v/>
      </c>
      <c r="EX280" s="234" t="str">
        <f>IF(SnapshotTable[[#This Row],[SC Is Booked]],IF(SnapshotTable[[#This Row],[SC Intrinsic Value]] &gt; 0, SnapshotTable[[#This Row],[SC Strike Price]], SnapshotTable[[#This Row],[Last Price]]), "")</f>
        <v/>
      </c>
      <c r="EY280" s="4">
        <f>IF(SnapshotTable[[#This Row],[SC Is Booked]], (MinimumPremiumRequired * SnapshotTable[[#This Row],[SC Basis]] * SnapshotTable[[#This Row],[SC Term]]), 0)</f>
        <v>0</v>
      </c>
      <c r="EZ280" s="283"/>
      <c r="FA280" s="218"/>
      <c r="FB280" s="370"/>
      <c r="FC280" s="4">
        <f>IF(SnapshotTable[[#This Row],[SC Is Filled]], btc_max_buyback_amount(SnapshotTable[[#This Row],[SC Fill Date]],SnapshotTable[[#This Row],[SC Exp Date]], SnapshotTable[[#This Row],[SC Book Price]]),0)</f>
        <v>0</v>
      </c>
      <c r="FD280" s="5"/>
      <c r="FE280" s="144" t="str">
        <f>IF(SnapshotTable[[#This Row],[SC Is Filled]], btc_next_cutoff_date(SnapshotTable[[#This Row],[SC Fill Date]],SnapshotTable[[#This Row],[SC Exp Date]]),"")</f>
        <v/>
      </c>
      <c r="FF280" s="4" t="str" cm="1">
        <f t="array" ref="FF280">IF(SnapshotTable[[#This Row],[SC Is Filled]], btc_should_buy_back(SnapshotTable[[#This Row],[SC Fill Date]], SnapshotTable[[#This Row],[SC Exp Date]], SnapshotTable[[#This Row],[SC Book Price]], SnapshotTable[[#This Row],[SC Current Ask]], MockToday, SnapshotTable[[#This Row],[SC Buyback Override]]),"")</f>
        <v/>
      </c>
      <c r="FG280" s="4">
        <f>IF(SnapshotTable[[#This Row],[SC Is Filled]], MAX(0,SnapshotTable[[#This Row],[Last Price]]  - SnapshotTable[[#This Row],[SC Strike Price]]), 0)</f>
        <v>0</v>
      </c>
      <c r="FH280" s="382">
        <f>IF(SnapshotTable[[#This Row],[SC Is Filled]], IF(ISNUMBER(SnapshotTable[[#This Row],[SC Current Ask]]), SnapshotTable[[#This Row],[SC Current Ask]], SnapshotTable[[#This Row],[SC Book Price]]) - SnapshotTable[[#This Row],[SC Intrinsic Value]], 0)</f>
        <v>0</v>
      </c>
      <c r="FI280" s="143"/>
      <c r="FJ280" s="32" t="str">
        <f>IF(SnapshotTable[[#This Row],[SC Is Filled]],100 * SnapshotTable[[#This Row],[SC Qty]] * IF(ISNUMBER(SnapshotTable[[#This Row],[SC Buyback Override]]), SnapshotTable[[#This Row],[SC Buyback Override]], SnapshotTable[[#This Row],[SC Current Ask]]), "")</f>
        <v/>
      </c>
      <c r="FK280" s="250" t="str">
        <f>IF(SnapshotTable[[#This Row],[SC Time Val]]&gt;0, SnapshotTable[[#This Row],[SC Time Val]] / SnapshotTable[[#This Row],[Last Price]],"")</f>
        <v/>
      </c>
      <c r="FL280" s="302" t="str">
        <f>IF(SnapshotTable[[#This Row],[SC Is Booked]], ((SnapshotTable[[#This Row],[Last Price]] -SnapshotTable[[#This Row],[SC Strike Price]]) / SnapshotTable[[#This Row],[Last Price]]) * -1, "")</f>
        <v/>
      </c>
      <c r="FM280" s="157" t="str">
        <f>IF(SnapshotTable[[#This Row],[SC Is Booked]],  (SnapshotTable[[#This Row],[SC Qty]] * 100 * SnapshotTable[[#This Row],[SC Strike Price]]) - SnapshotTable[[#This Row],[SC Current Ask]], "")</f>
        <v/>
      </c>
      <c r="FN280"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0" s="157" t="str">
        <f>IF(AND(ISNUMBER(SnapshotTable[[#This Row],[SC Exercise Gross]]), ISNUMBER(SnapshotTable[[#This Row],[Equity Basis Per Share]] )), SnapshotTable[[#This Row],[SC Exercise Gross]] - SnapshotTable[[#This Row],[Equity Basis Total]] +  SnapshotTable[[#This Row],[SC Premium]], "")</f>
        <v/>
      </c>
      <c r="FP280" s="5" t="str">
        <f>IF(ISNUMBER(SnapshotTable[[#This Row],[SC Exercise Gross]]), (SnapshotTable[[#This Row],[SC Exercise Gross]]) / (SnapshotTable[[#This Row],[SC Qty]] * 100), "")</f>
        <v/>
      </c>
      <c r="FQ280" s="27" t="str">
        <f>IF(SnapshotTable[[#This Row],[SC Is Booked]],SnapshotTable[[#This Row],[SC Time Val]] /SnapshotTable[[#This Row],[SC Basis]], "")</f>
        <v/>
      </c>
      <c r="FR280" s="27" t="str" cm="1">
        <f t="array" ref="FR280">IF(AND(ISNUMBER(SnapshotTable[[#This Row],[SC Term]]),ISNUMBER(SnapshotTable[[#This Row],[SC Simple ROO]])), EllmanAnnualize(SnapshotTable[[#This Row],[SC DTE]], SnapshotTable[[#This Row],[SC Simple ROO]] ),"")</f>
        <v/>
      </c>
      <c r="FS280" s="4" t="e">
        <f>IF(SnapshotTable[[#This Row],[SC Strike Price]] &gt; SnapshotTable[[#This Row],[Last Price]], SnapshotTable[[#This Row],[SC Strike Price]] - SnapshotTable[[#This Row],[Last Price]],0)</f>
        <v>#VALUE!</v>
      </c>
      <c r="FT280" s="27" t="e">
        <f>IF(AND(ISNUMBER(SnapshotTable[[#This Row],[SC Upside Potential]]), SnapshotTable[[#This Row],[SC Upside Potential]] &gt; 0),(SnapshotTable[[#This Row],[SC Upside Potential]]/ SnapshotTable[[#This Row],[ACB]]),"")</f>
        <v>#VALUE!</v>
      </c>
      <c r="FU280" s="333" t="str">
        <f>IF(SnapshotTable[[#This Row],[SC Intrinsic Value]] &gt; 0,SnapshotTable[[#This Row],[SC Intrinsic Value]],"")</f>
        <v/>
      </c>
      <c r="FV280" s="27" t="str">
        <f>IF(AND( ISNUMBER( SnapshotTable[[#This Row],[ACB]]),ISNUMBER(SnapshotTable[[#This Row],[SC Downside Protect]])),SnapshotTable[[#This Row],[SC Downside Protect]] / SnapshotTable[[#This Row],[ACB]],"")</f>
        <v/>
      </c>
      <c r="FW280" s="236" t="str">
        <f>IF(AND(ISNUMBER(SnapshotTable[[#This Row],[SC Simple ROO]]),SnapshotTable[[#This Row],[SC Simple ROO]] &gt; 0), SnapshotTable[[#This Row],[SC Premium]] + (SnapshotTable[[#This Row],[SC Qty]] * SnapshotTable[[#This Row],[SC Upside Potential]]), "")</f>
        <v/>
      </c>
      <c r="FX280" s="302" t="str" cm="1">
        <f t="array" ref="FX280">IF(ISNUMBER(SnapshotTable[[#This Row],[SC Max Dollars]]), annualize(SnapshotTable[[#This Row],[SC Term]],(SnapshotTable[[#This Row],[SC Max Dollars]]/SnapshotTable[[#This Row],[SC Basis]])),"")</f>
        <v/>
      </c>
      <c r="FY280" s="236" t="str">
        <f>IF(AND(SnapshotTable[[#This Row],[SC Qty]]&gt;0,SnapshotTable[[#This Row],[SC Current Ask]]&gt;0), SnapshotTable[[#This Row],[SC Qty]] * SnapshotTable[[#This Row],[SC Current Ask]] * -100, "")</f>
        <v/>
      </c>
      <c r="FZ280" s="31" t="str">
        <f>IF(ISNUMBER((SnapshotTable[[#This Row],[SC Current Value]])), SnapshotTable[[#This Row],[SC Premium]] + SnapshotTable[[#This Row],[SC Current Value]], "")</f>
        <v/>
      </c>
      <c r="GA280" s="294" t="str">
        <f>IFERROR( IF(ISNUMBER((SnapshotTable[[#This Row],[SC Current Value]])), SnapshotTable[[#This Row],[SC Gain Loss]] / SnapshotTable[[#This Row],[SC Premium]], ""), "")</f>
        <v/>
      </c>
      <c r="GB280" s="213">
        <f>SnapshotTable[[#This Row],[Equity Shares]] * SaleSharesToConsiderPercentage</f>
        <v>0</v>
      </c>
      <c r="GC280" s="214">
        <f>SnapshotTable[[#This Row],[Long Term Target]] * SellingPriceToConsiderBasedOnTargetPercentage</f>
        <v>32.936500000000002</v>
      </c>
      <c r="GD280" s="214">
        <f>SnapshotTable[[#This Row],[Last Price]] * (1+ SellingPriceToConsiderBasedOnTargetPercentage)</f>
        <v>22.151999999999997</v>
      </c>
      <c r="GE280" s="215"/>
      <c r="GF280" s="214"/>
      <c r="GG280" s="31">
        <f>SnapshotTable[[#This Row],[Booked Sale Shares]] * SnapshotTable[[#This Row],[Booked Sale Price]]</f>
        <v>0</v>
      </c>
      <c r="GH280" s="31" t="str">
        <f>IF(SnapshotTable[[#This Row],[Equity Basis Total]] &gt; 0, SnapshotTable[[#This Row],[Equity Basis Per Share]] * SnapshotTable[[#This Row],[Booked Sale Shares]], "")</f>
        <v/>
      </c>
      <c r="GI280" s="31">
        <f>IF(SnapshotTable[[#This Row],[Sale Proceeds]]&gt;0, SnapshotTable[[#This Row],[Sale Proceeds]] - SnapshotTable[[#This Row],[Sale Basis]], 0)</f>
        <v>0</v>
      </c>
      <c r="GJ280" s="158" t="str">
        <f>IF(SnapshotTable[[#This Row],[Sale G/L]]&gt;0, SnapshotTable[[#This Row],[Sale G/L]] / SnapshotTable[[#This Row],[Sale Basis]], IF(ISNUMBER(SnapshotTable[[#This Row],[SC Exercise P&amp;L (TAX)]]), SnapshotTable[[#This Row],[SC Exercise P&amp;L (TAX)]] / SnapshotTable[[#This Row],[SC Basis]], ""))</f>
        <v/>
      </c>
      <c r="GK280" s="158" t="s">
        <v>772</v>
      </c>
      <c r="GL280" s="159" t="str">
        <f>IF(AND(SnapshotTable[[#This Row],[LP Exp Date]]&gt;0,SnapshotTable[[#This Row],[LP Strike Price]]&gt;0), [1]!ToOptionSymbol(SnapshotTable[[#This Row],[Symbol]], SnapshotTable[[#This Row],[LP Strike Price]],SnapshotTable[[#This Row],[LP Exp Date]],1), "")</f>
        <v/>
      </c>
      <c r="GM280" s="30" t="str">
        <f>IF(LEN(SnapshotTable[[#This Row],[LP Symbol]])&gt;0, 1, "")</f>
        <v/>
      </c>
      <c r="GN280" s="43" t="str">
        <f>IF(AND(SnapshotTable[[#This Row],[SP Exp Date]]&gt;0,SnapshotTable[[#This Row],[SP Strike Price]]&gt;0), [1]!ToOptionSymbol(SnapshotTable[[#This Row],[Symbol]], SnapshotTable[[#This Row],[SP Strike Price]],SnapshotTable[[#This Row],[SP Exp Date]],1), "")</f>
        <v/>
      </c>
      <c r="GO280" s="30" t="str">
        <f>IF(LEN(SnapshotTable[[#This Row],[SP Symbol]])&gt;0, 1, "")</f>
        <v/>
      </c>
      <c r="GP280" s="159" t="str">
        <f>IF(AND(SnapshotTable[[#This Row],[LC Exp Date]]&gt;0,SnapshotTable[[#This Row],[LC Strike Price]]&gt;0), [1]!ToOptionSymbol(SnapshotTable[[#This Row],[Symbol]], SnapshotTable[[#This Row],[LC Strike Price]],SnapshotTable[[#This Row],[LC Exp Date]],0), "")</f>
        <v/>
      </c>
      <c r="GQ280" s="160" t="str">
        <f>IF(LEN(SnapshotTable[[#This Row],[LC Symbol]])&gt;0, 1, "")</f>
        <v/>
      </c>
      <c r="GR280" s="159" t="str">
        <f>IF(AND(SnapshotTable[[#This Row],[SC Exp Date]]&gt;0,SnapshotTable[[#This Row],[SC Strike Price]]&gt;0), [1]!ToOptionSymbol(SnapshotTable[[#This Row],[Symbol]], SnapshotTable[[#This Row],[SC Strike Price]],SnapshotTable[[#This Row],[SC Exp Date]],0), "")</f>
        <v/>
      </c>
      <c r="GS280" s="160" t="str">
        <f>IF(LEN(SnapshotTable[[#This Row],[SC Symbol]])&gt;0, 1, "")</f>
        <v/>
      </c>
      <c r="GT280" s="161" t="str">
        <f>IF(COUNT(SnapshotTable[[#This Row],[LP Symbol Count]],SnapshotTable[[#This Row],[SP Symbol Count]],SnapshotTable[[#This Row],[LC Symbol Count]],SnapshotTable[[#This Row],[SC Symbol Count]])&gt;0, "Y", "")</f>
        <v/>
      </c>
      <c r="GU28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80" s="231" t="e">
        <f>MAX(SnapshotTable[[#This Row],[Equity Basis Total]],SnapshotTable[[#This Row],[Equity Value]]) + (SnapshotTable[[#This Row],[SP Potential Spend]]- SnapshotTable[[#This Row],[SP Premium]] + SnapshotTable[[#This Row],[LP Premium]])+ (SnapshotTable[[#This Row],[LC Premium]] - SnapshotTable[[#This Row],[SC Premium]])</f>
        <v>#VALUE!</v>
      </c>
      <c r="GW280" s="139" t="e">
        <f>IF(AND(SnapshotTable[[#This Row],[Exposure]] &lt;&gt; 0),SnapshotTable[[#This Row],[Exposure]] / SnapshotTable[[#Totals],[Exposure]], "")</f>
        <v>#VALUE!</v>
      </c>
      <c r="GX280" s="13"/>
      <c r="HK280" s="1"/>
      <c r="HL280" s="1"/>
      <c r="HM280" s="1"/>
      <c r="HN280" s="1"/>
      <c r="HO280" s="1"/>
      <c r="HP280" s="1"/>
    </row>
    <row r="281" spans="2:224" ht="12.75" hidden="1" customHeight="1" x14ac:dyDescent="0.25">
      <c r="B281" s="12" t="s">
        <v>128</v>
      </c>
      <c r="C281" s="422">
        <v>132.08000000000001</v>
      </c>
      <c r="D281" s="208"/>
      <c r="E281" s="39">
        <f>SnapshotTable[[#This Row],[Last Price]]*(1 -CrashDiscount)</f>
        <v>112.268</v>
      </c>
      <c r="F281" s="26" t="s">
        <v>127</v>
      </c>
      <c r="G281" s="26" t="s">
        <v>17</v>
      </c>
      <c r="H281" s="149"/>
      <c r="I281" s="194">
        <v>44742.3125</v>
      </c>
      <c r="J281" s="195">
        <v>44742.3125</v>
      </c>
      <c r="K281" s="196" t="s">
        <v>3</v>
      </c>
      <c r="L281" s="326"/>
      <c r="M281" s="140"/>
      <c r="N281" s="140"/>
      <c r="O281" s="140"/>
      <c r="P281" s="22"/>
      <c r="Q281" s="25"/>
      <c r="R281" s="4" t="str">
        <f>IF(SnapshotTable[[#This Row],[Equity Basis Total]] &gt; 0, SnapshotTable[[#This Row],[Equity Basis Total]] / SnapshotTable[[#This Row],[Equity Shares]], "")</f>
        <v/>
      </c>
      <c r="S281" s="269">
        <f>SnapshotTable[[#This Row],[Last Price]] * SnapshotTable[[#This Row],[Equity Shares]]</f>
        <v>0</v>
      </c>
      <c r="T281" s="269">
        <f>SnapshotTable[[#This Row],[Equity Value]] - SnapshotTable[[#This Row],[Equity Basis Total]]</f>
        <v>0</v>
      </c>
      <c r="U281" s="270" t="str">
        <f>IF(SnapshotTable[[#This Row],[Equity Basis Total]] &gt; 0, SnapshotTable[[#This Row],[Equity G/L]] / SnapshotTable[[#This Row],[Equity Basis Total]], "")</f>
        <v/>
      </c>
      <c r="V281" s="268"/>
      <c r="W281" s="268"/>
      <c r="X281" s="4" t="str">
        <f>IF(AND(ISNUMBER(SnapshotTable[[#This Row],[Equity Basis Per Share]]),ISNUMBER(SnapshotTable[[#This Row],[Equity Target]])),SnapshotTable[[#This Row],[Equity Target]]-SnapshotTable[[#This Row],[Equity Basis Per Share]],"")</f>
        <v/>
      </c>
      <c r="Y281" s="4" t="str">
        <f>IF(AND(ISNUMBER(SnapshotTable[[#This Row],[Equity Basis Per Share]]),ISNUMBER(SnapshotTable[[#This Row],[Equity Stop Loss]])),SnapshotTable[[#This Row],[Equity Stop Loss]]-SnapshotTable[[#This Row],[Equity Basis Per Share]],"")</f>
        <v/>
      </c>
      <c r="Z281" s="275" t="str">
        <f>IFERROR( TEXT(SnapshotTable[[#This Row],[Equity Max Gain Per Share]] /ABS( SnapshotTable[[#This Row],[Equity Max Loss Per Share]]),"0.0 " ) &amp; " : 1", "")</f>
        <v/>
      </c>
      <c r="AA281" s="31" t="str">
        <f>IF(ISNUMBER(SnapshotTable[[#This Row],[Equity Max Gain Per Share]]),SnapshotTable[[#This Row],[Equity Max Gain Per Share]] * SnapshotTable[[#This Row],[Equity Shares]],"")</f>
        <v/>
      </c>
      <c r="AB281" s="31" t="str">
        <f>IF(ISNUMBER(SnapshotTable[[#This Row],[Equity Max Loss Per Share]]),SnapshotTable[[#This Row],[Equity Max Loss Per Share]] * SnapshotTable[[#This Row],[Equity Shares]],"")</f>
        <v/>
      </c>
      <c r="AC281" s="150"/>
      <c r="AD281" s="151"/>
      <c r="AE281" s="31">
        <f>(SnapshotTable[[#This Row],[Annual Dividend Per Share]] / 4) * SnapshotTable[[#This Row],[Equity Shares]]</f>
        <v>0</v>
      </c>
      <c r="AF281" s="31">
        <f>SnapshotTable[[#This Row],[Quarterly Div $]] * 4</f>
        <v>0</v>
      </c>
      <c r="AG281" s="7">
        <f>IF(SnapshotTable[[#This Row],[Annual Dividend Per Share]]&gt;0, SnapshotTable[[#This Row],[Annual Dividend Per Share]]  / SnapshotTable[[#This Row],[Last Price]], 0)</f>
        <v>0</v>
      </c>
      <c r="AH281" s="151">
        <v>43594</v>
      </c>
      <c r="AI281" s="5">
        <v>247</v>
      </c>
      <c r="AJ281" s="138">
        <v>178.06</v>
      </c>
      <c r="AK281" s="152">
        <f>IF(ISNUMBER( SnapshotTable[[#This Row],[EBF Target]]),(SnapshotTable[[#This Row],[EBF Target]] - SnapshotTable[[#This Row],[Last Price]]) / SnapshotTable[[#This Row],[Last Price]], "")</f>
        <v>0.8700787401574801</v>
      </c>
      <c r="AL281" s="152" t="str">
        <f>IF(AND(SnapshotTable[[#This Row],[Equity Basis Total]] &gt; 0,ISNUMBER( SnapshotTable[[#This Row],[Long Term Target]])), SnapshotTable[[#This Row],[From Basis $]] / SnapshotTable[[#This Row],[Equity Basis Total]], "")</f>
        <v/>
      </c>
      <c r="AM281" s="9">
        <f>IF( AND(SnapshotTable[[#This Row],[Equity Shares]] &gt;0,ISNUMBER( SnapshotTable[[#This Row],[Long Term Target]])),(SnapshotTable[[#This Row],[Equity Shares]] * SnapshotTable[[#This Row],[Long Term Target]]) - SnapshotTable[[#This Row],[Equity Basis Total]],0)</f>
        <v>0</v>
      </c>
      <c r="AN281" s="9">
        <f>IF( AND(SnapshotTable[[#This Row],[Equity Shares]] &gt;0,ISNUMBER( SnapshotTable[[#This Row],[Long Term Target]])),(SnapshotTable[[#This Row],[Equity Shares]]*SnapshotTable[[#This Row],[Long Term Target]]) - SnapshotTable[[#This Row],[Equity Value]],0)</f>
        <v>0</v>
      </c>
      <c r="AO281" s="152">
        <f>IF(AND(ISNUMBER( SnapshotTable[[#This Row],[Long Term Target]]), ISNUMBER(SnapshotTable[[#This Row],[Last Price]])),(SnapshotTable[[#This Row],[Long Term Target]] - SnapshotTable[[#This Row],[Last Price]]) / SnapshotTable[[#This Row],[Last Price]], "")</f>
        <v>0.3481223500908539</v>
      </c>
      <c r="AP281" s="5"/>
      <c r="AQ281" s="38"/>
      <c r="AR281" s="5"/>
      <c r="AS281" s="38"/>
      <c r="AT281" s="146"/>
      <c r="AU281" s="187" t="str">
        <f>IF(OR(SnapshotTable[[#This Row],[LP No Fill]]="Y",SnapshotTable[[#This Row],[SP Is Filled]],SnapshotTable[[#This Row],[LC Not Filled]]="Y",SnapshotTable[[#This Row],[SC Is Filled]]),"Y","")</f>
        <v/>
      </c>
      <c r="AV281" s="219"/>
      <c r="AW281" s="225"/>
      <c r="AX281" s="220"/>
      <c r="AY281" s="219" t="str">
        <f>IF(SnapshotTable[[#This Row],[Implied Move]]&gt;0, SnapshotTable[[#This Row],[Last Price]]-SnapshotTable[[#This Row],[Implied Move]],"")</f>
        <v/>
      </c>
      <c r="AZ281" s="219" t="str">
        <f>IF(SnapshotTable[[#This Row],[Implied Move]]&gt;0, SnapshotTable[[#This Row],[Last Price]] + SnapshotTable[[#This Row],[Implied Move]],"")</f>
        <v/>
      </c>
      <c r="BA281" s="331"/>
      <c r="BB281" s="347"/>
      <c r="BC28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1" s="351"/>
      <c r="BE281" s="5"/>
      <c r="BF281" s="14"/>
      <c r="BG281" s="13"/>
      <c r="BH281" s="13"/>
      <c r="BI281" s="5"/>
      <c r="BJ281" s="136">
        <f>IF(SnapshotTable[[#This Row],[LP Qty]] &gt; 0, SnapshotTable[[#This Row],[LP Qty]] * SnapshotTable[[#This Row],[LP Book Price]] * 100,0)</f>
        <v>0</v>
      </c>
      <c r="BK281" s="136">
        <f>IF(SnapshotTable[[#This Row],[LP Premium]] &gt; 0, SnapshotTable[[#This Row],[LP Qty]] * SnapshotTable[[#This Row],[LP Strike Price]] * 100,0)</f>
        <v>0</v>
      </c>
      <c r="BL281" s="154"/>
      <c r="BM281" s="385" t="str">
        <f>IF(SnapshotTable[[#This Row],[LP Premium]] &gt; 0,SnapshotTable[[#This Row],[LP Exp Date]]-MAX(SnapshotTable[[#This Row],[LP Book Date]], SnapshotTable[[#This Row],[LP Fill Date]]),"")</f>
        <v/>
      </c>
      <c r="BN281" s="385" t="str">
        <f>IF(ISNUMBER( SnapshotTable[[#This Row],[LP Term]]), SnapshotTable[[#This Row],[LP Exp Date]] - MockToday,"")</f>
        <v/>
      </c>
      <c r="BO281" s="163" t="str">
        <f>IF(AND(SnapshotTable[[#This Row],[LP Exp Date]]&gt;0, SnapshotTable[[#This Row],[LP Strike Price]]&gt;0,SnapshotTable[[#This Row],[LP Qty]]&gt;0,SnapshotTable[[#This Row],[LP Book Date]]&gt;0,SnapshotTable[[#This Row],[LP Book Price]]&gt;0,SnapshotTable[[#This Row],[LP Fill Date]]=0),"Y","")</f>
        <v/>
      </c>
      <c r="BP281" s="31" t="str">
        <f>IF(AND(SnapshotTable[[#This Row],[LP No Fill]]&lt;&gt;"Y",SnapshotTable[[#This Row],[LP Contract Value]]&gt;0, SnapshotTable[[#This Row],[LP Qty]]&gt;0), SnapshotTable[[#This Row],[LP Contract Value]]*SnapshotTable[[#This Row],[LP Qty]]*100,"")</f>
        <v/>
      </c>
      <c r="BQ281" s="13"/>
      <c r="BR281" s="5" t="str">
        <f>IF(SnapshotTable[[#This Row],[SP Exp Date]]&lt;&gt;"",TRUNC(SnapshotTable[[#This Row],[Last Price]]),"")</f>
        <v/>
      </c>
      <c r="BS281" s="36"/>
      <c r="BT281" s="147"/>
      <c r="BU281" s="13"/>
      <c r="BV281" s="5"/>
      <c r="BW281" s="419" t="b">
        <f>AND(ISNUMBER(SnapshotTable[[#This Row],[SP Exp Date]]), ISNUMBER(SnapshotTable[[#This Row],[SP Strike Price]]), ISNUMBER(SnapshotTable[[#This Row],[SP Qty]]), ISNUMBER(SnapshotTable[[#This Row],[SP Book Date]]), ISNUMBER(SnapshotTable[[#This Row],[SP Book Price]]))</f>
        <v>0</v>
      </c>
      <c r="BX281" s="419" t="b">
        <f>AND(SnapshotTable[[#This Row],[SP Is Booked]], NOT(ISBLANK(SnapshotTable[[#This Row],[SP Fill Date]])))</f>
        <v>0</v>
      </c>
      <c r="BY281" s="33">
        <f>IF(SnapshotTable[[#This Row],[SP Is Booked]], SnapshotTable[[#This Row],[SP Qty]] * SnapshotTable[[#This Row],[SP Book Price]] * 100, 0)</f>
        <v>0</v>
      </c>
      <c r="BZ281" s="369"/>
      <c r="CA281" s="368">
        <f>SnapshotTable[[#This Row],[LP Qty]]</f>
        <v>0</v>
      </c>
      <c r="CB281" s="4" t="str">
        <f>IF(SnapshotTable[[#This Row],[SP Is Booked]], SnapshotTable[[#This Row],[SP Strike Price]] - SnapshotTable[[#This Row],[SP Book Price]], "")</f>
        <v/>
      </c>
      <c r="CC281" s="19" t="str">
        <f>IF(SnapshotTable[[#This Row],[SP Is Booked]],SnapshotTable[[#This Row],[SP Exp Date]]-MAX(SnapshotTable[[#This Row],[SP Book Date]], SnapshotTable[[#This Row],[SP Fill Date]]),"")</f>
        <v/>
      </c>
      <c r="CD281" s="7" t="str">
        <f>IF(SnapshotTable[[#This Row],[SP Is Booked]], SnapshotTable[[#This Row],[SP Book Price]]/SnapshotTable[[#This Row],[SP Strike Price]], "")</f>
        <v/>
      </c>
      <c r="CE281" s="7" t="str">
        <f>IF(ISNUMBER(SnapshotTable[[#This Row],[SP ROO Term]]),SnapshotTable[[#This Row],[SP ROO Term]]*(365/SnapshotTable[[#This Row],[SP Term]]),"")</f>
        <v/>
      </c>
      <c r="CF281" s="236">
        <f>SnapshotTable[[#This Row],[LP Strike Price]] * SnapshotTable[[#This Row],[LP Qty]] * 100</f>
        <v>0</v>
      </c>
      <c r="CG281" s="31" t="e">
        <f>IF(ISNUMBER(SnapshotTable[[#This Row],[SP Premium]]), (SnapshotTable[[#This Row],[SP Qty]] * SnapshotTable[[#This Row],[SP Strike Price]]* 100) - SnapshotTable[[#This Row],[LP Protection]], 0)</f>
        <v>#VALUE!</v>
      </c>
      <c r="CH281" s="7" t="str">
        <f>IF(ISNUMBER(SnapshotTable[[#This Row],[SP Break Even]]),-1 * (SnapshotTable[[#This Row],[SP Break Even]] - SnapshotTable[[#This Row],[Last Price]]) / SnapshotTable[[#This Row],[Last Price]], "")</f>
        <v/>
      </c>
      <c r="CI281" s="31">
        <f>IF(AND(ISNUMBER((SnapshotTable[[#This Row],[SP Potential Spend]])), SnapshotTable[[#This Row],[SP Strike Price]] &gt; SnapshotTable[[#This Row],[Last Price]], SnapshotTable[[#This Row],[SP Is Filled]]), SnapshotTable[[#This Row],[SP Potential Spend]] -  SnapshotTable[[#This Row],[LP Max Value]], 0)</f>
        <v>0</v>
      </c>
      <c r="CJ281" s="244"/>
      <c r="CK281" s="31" t="str">
        <f>IF(ISNUMBER(SnapshotTable[[#This Row],[SP Potential Spend]]),IF(ISNUMBER(SnapshotTable[[#This Row],[SP POW]]), SnapshotTable[[#This Row],[SP POW]] * SnapshotTable[[#This Row],[SP Potential Spend]], SnapshotTable[[#This Row],[SP Potential Spend]]), "")</f>
        <v/>
      </c>
      <c r="CL281" s="164" t="e">
        <f>IF(NOT(SnapshotTable[[#This Row],[SP Is Filled]]),(SnapshotTable[[#This Row],[SP Qty]] * SnapshotTable[[#This Row],[SP Strike Price]] * 100) - SnapshotTable[[#This Row],[LP Max Value]],"")</f>
        <v>#VALUE!</v>
      </c>
      <c r="CM281" s="31" t="str">
        <f>IF(SnapshotTable[[#This Row],[SP Actual Spend]]&lt;&gt;0, ((SnapshotTable[[#This Row],[SP Strike Price]]-SnapshotTable[[#This Row],[Last Price]]) *(SnapshotTable[[#This Row],[SP Qty]]*100) - SnapshotTable[[#This Row],[SP Premium]]) * - 1, "")</f>
        <v/>
      </c>
      <c r="CN281" s="78">
        <v>0.25</v>
      </c>
      <c r="CO281" s="369"/>
      <c r="CP281" s="4" t="str">
        <f>IF(SnapshotTable[[#This Row],[SP Is Filled]], btc_max_buyback_amount(SnapshotTable[[#This Row],[SP Fill Date]],SnapshotTable[[#This Row],[SP Exp Date]], SnapshotTable[[#This Row],[SP Book Price]]),"")</f>
        <v/>
      </c>
      <c r="CQ281" s="78"/>
      <c r="CR28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1" s="155" t="str">
        <f>IF(SnapshotTable[[#This Row],[SP Is Filled]], btc_next_cutoff_date(SnapshotTable[[#This Row],[SP Fill Date]],SnapshotTable[[#This Row],[SP Exp Date]]),"")</f>
        <v/>
      </c>
      <c r="CT281" s="235" t="str" cm="1">
        <f t="array" ref="CT281">IF(SnapshotTable[[#This Row],[SP Is Filled]], btc_should_buy_back(SnapshotTable[[#This Row],[SP Fill Date]], SnapshotTable[[#This Row],[SP Exp Date]], SnapshotTable[[#This Row],[SP Book Price]], SnapshotTable[[#This Row],[SP Current Ask]], MockToday, SnapshotTable[[#This Row],[SP Buyback Override]]),"")</f>
        <v/>
      </c>
      <c r="CU281" s="143"/>
      <c r="CV281" s="235"/>
      <c r="CW281" s="378" t="str">
        <f>IF(ISNUMBER( SnapshotTable[[#This Row],[SP Term]]), SnapshotTable[[#This Row],[SP Exp Date]] - MockToday,"")</f>
        <v/>
      </c>
      <c r="CX281" s="31" t="str">
        <f>IF(SnapshotTable[[#This Row],[SP Is Filled]],SnapshotTable[[#This Row],[SP Buyback Price to Use]] * 100 * SnapshotTable[[#This Row],[SP Qty]], "")</f>
        <v/>
      </c>
      <c r="CY281" s="4" t="str">
        <f>IF(ISNUMBER(SnapshotTable[[#This Row],[SP Strike Price]]), SnapshotTable[[#This Row],[SP Strike Price]] * (1 - SP_MaxLoss_StrikePct), "")</f>
        <v/>
      </c>
      <c r="CZ281" s="31" t="str">
        <f>IF(ISNUMBER(SnapshotTable[[#This Row],[SP Strike  Stop Per Share]]),SnapshotTable[[#This Row],[SP Premium]] - ((SnapshotTable[[#This Row],[SP Strike Price]]-SnapshotTable[[#This Row],[SP Strike  Stop Per Share]]) *(SnapshotTable[[#This Row],[SP Qty]] * 100)),"")</f>
        <v/>
      </c>
      <c r="DA281" s="4" t="str">
        <f>IF(AND(ISNUMBER(SnapshotTable[[#This Row],[SP Premium]]),SnapshotTable[[#This Row],[SP Premium]]&gt;0), SnapshotTable[[#This Row],[SP Book Price]] * (1 + SP_MaxLoss_OptionPct), "")</f>
        <v/>
      </c>
      <c r="DB281" s="31" t="str">
        <f>IF(ISNUMBER(SnapshotTable[[#This Row],[SP Option  Stop Contract]]),(SnapshotTable[[#This Row],[SP Option  Stop Contract]] *(SnapshotTable[[#This Row],[SP Qty]] * 100) - SnapshotTable[[#This Row],[SP Premium]]),"")</f>
        <v/>
      </c>
      <c r="DC281" s="4"/>
      <c r="DD281" s="4"/>
      <c r="DE281" s="4" t="str">
        <f>IF(AND(SnapshotTable[[#This Row],[SP Qty]]&gt;0, SnapshotTable[[#This Row],[SP Stop To Use]]&gt;0),SnapshotTable[[#This Row],[SP Premium]] - ( SnapshotTable[[#This Row],[SP Qty]] * SnapshotTable[[#This Row],[SP Stop To Use]] * 100), "")</f>
        <v/>
      </c>
      <c r="DF281" s="31" t="str">
        <f>IF(AND(SnapshotTable[[#This Row],[SP Qty]]&gt;0,SnapshotTable[[#This Row],[SP Current Ask]]&gt;0), SnapshotTable[[#This Row],[SP Qty]] * SnapshotTable[[#This Row],[SP Current Ask]] * -100, "")</f>
        <v/>
      </c>
      <c r="DG281" s="31" t="str">
        <f>IF(ISNUMBER((SnapshotTable[[#This Row],[SP Total Value]])), SnapshotTable[[#This Row],[SP Premium]] + SnapshotTable[[#This Row],[SP Total Value]], "")</f>
        <v/>
      </c>
      <c r="DH281" s="294" t="str">
        <f>IF(ISNUMBER((SnapshotTable[[#This Row],[SP Total Value]])), SnapshotTable[[#This Row],[SP Gain Loss]] / SnapshotTable[[#This Row],[SP Premium]], "")</f>
        <v/>
      </c>
      <c r="DI281" s="406"/>
      <c r="DJ281" s="138"/>
      <c r="DK281" s="148"/>
      <c r="DL281" s="13"/>
      <c r="DM281" s="13"/>
      <c r="DO281" s="31">
        <f>IF(SnapshotTable[[#This Row],[LC Symbol Count]]=1, SnapshotTable[[#This Row],[LC Qty]] * SnapshotTable[[#This Row],[LC Book Price]] * 100, 0)</f>
        <v>0</v>
      </c>
      <c r="DP281" s="163" t="str">
        <f>IF(AND(SnapshotTable[[#This Row],[LC Exp Date]]&gt;0, SnapshotTable[[#This Row],[LC Strike Price]]&gt;0,SnapshotTable[[#This Row],[LC Qty]]&gt;0,SnapshotTable[[#This Row],[LC Book Date]]&gt;0,SnapshotTable[[#This Row],[LC Book Price]]&gt;0,SnapshotTable[[#This Row],[LC Fill Date]]=0),"Y","")</f>
        <v/>
      </c>
      <c r="DQ281" s="386" t="str">
        <f>IF(SnapshotTable[[#This Row],[LC Premium]] &gt; 0,SnapshotTable[[#This Row],[LC Exp Date]]-MAX(SnapshotTable[[#This Row],[LC Book Date]], SnapshotTable[[#This Row],[LC Fill Date]]),"")</f>
        <v/>
      </c>
      <c r="DR281" s="386" t="str">
        <f>IF(ISNUMBER(SnapshotTable[[#This Row],[LC Term]]), SnapshotTable[[#This Row],[LC Exp Date]] - MockToday, "")</f>
        <v/>
      </c>
      <c r="DS281" s="234" t="str">
        <f>IF(SnapshotTable[[#This Row],[LC Premium]]&gt;0,SnapshotTable[[#This Row],[LC Strike Price]] + SnapshotTable[[#This Row],[LC Book Price]],"")</f>
        <v/>
      </c>
      <c r="DU281" s="9" t="str">
        <f>IF(AND(SnapshotTable[[#This Row],[LC Symbol Count]]&gt;0, SnapshotTable[[#This Row],[LC Contract Value]]&gt;0), SnapshotTable[[#This Row],[LC Contract Value]] * SnapshotTable[[#This Row],[LC Qty]] * 100, "")</f>
        <v/>
      </c>
      <c r="DV281" s="9" t="str">
        <f>IF(AND(ISNUMBER(SnapshotTable[[#This Row],[LC Total Value]]), SnapshotTable[[#This Row],[LC Not Filled]]&lt;&gt;"Y"), SnapshotTable[[#This Row],[LC Total Value]]-SnapshotTable[[#This Row],[LC Premium]],"")</f>
        <v/>
      </c>
      <c r="DW281" s="240" t="str">
        <f>IF(ISNUMBER(SnapshotTable[[#This Row],[LC Actual Gain Loss]]), SnapshotTable[[#This Row],[LC Actual Gain Loss]] / SnapshotTable[[#This Row],[LC Premium]],"")</f>
        <v/>
      </c>
      <c r="DX281" s="284" t="str">
        <f>IF(ISNUMBER(SnapshotTable[[#This Row],[LC Book Price]]),SnapshotTable[[#This Row],[LC Book Price]] * 1.5,"")</f>
        <v/>
      </c>
      <c r="DY281" s="265" t="str">
        <f>IF(SnapshotTable[[#This Row],[LC Premium]]&gt;0, SnapshotTable[[#This Row],[LC Next Target]] * SnapshotTable[[#This Row],[LC Qty]] * 100,"")</f>
        <v/>
      </c>
      <c r="DZ281" s="265" t="str">
        <f>IF(ISNUMBER(SnapshotTable[[#This Row],[LC Target Gross]]), SnapshotTable[[#This Row],[LC Target Gross]] - SnapshotTable[[#This Row],[LC Premium]], "")</f>
        <v/>
      </c>
      <c r="EA281" s="305" t="str">
        <f>IF(ISNUMBER(SnapshotTable[[#This Row],[LC Target Gain Loss]]), SnapshotTable[[#This Row],[LC Target Gain Loss]]/SnapshotTable[[#This Row],[LC Premium]], "")</f>
        <v/>
      </c>
      <c r="EB281" s="262"/>
      <c r="EC281" s="283" t="str">
        <f>IF(SnapshotTable[[#This Row],[LC Premium]]&gt;0, SnapshotTable[[#This Row],[LC Book Price]] * (1 - LC_StopLoss_Pct),"")</f>
        <v/>
      </c>
      <c r="ED281" s="284"/>
      <c r="EE281" s="283" t="str">
        <f>IF(ISNUMBER(SnapshotTable[[#This Row],[LC Contract Value]]),IF(ISNUMBER(SnapshotTable[[#This Row],[LC Stop Loss Override]]), SnapshotTable[[#This Row],[LC Stop Loss Override]],SnapshotTable[[#This Row],[LC Stop Loss Calc Target]]),"")</f>
        <v/>
      </c>
      <c r="EF281" s="31" t="str">
        <f>IF(ISNUMBER(SnapshotTable[[#This Row],[LC Stop  To Use]]), (SnapshotTable[[#This Row],[LC Stop  To Use]] * SnapshotTable[[#This Row],[LC Qty]] * 100),"")</f>
        <v/>
      </c>
      <c r="EG281" s="9" t="str">
        <f>IF(ISNUMBER(SnapshotTable[[#This Row],[LC Total Value]]),SnapshotTable[[#This Row],[LC Stop Loss Amount]] - SnapshotTable[[#This Row],[LC Premium]],"")</f>
        <v/>
      </c>
      <c r="EH281" s="9">
        <f>IF(ISNUMBER(SnapshotTable[[#This Row],[LC Premium]]), SnapshotTable[[#This Row],[LC Qty]] * 100 * SnapshotTable[[#This Row],[LC Strike Price]], "")</f>
        <v>0</v>
      </c>
      <c r="EI281" s="240" t="str">
        <f>IF(AND(ISNUMBER(SnapshotTable[[#This Row],[LC Total Value]]),SnapshotTable[[#This Row],[LC Total Value]]&gt;0),SnapshotTable[[#This Row],[LC Stop Gain Loss]]  / SnapshotTable[[#This Row],[LC Premium]],"")</f>
        <v/>
      </c>
      <c r="EJ281" s="35">
        <f>IF(ISNUMBER(SnapshotTable[[#This Row],[Equity Shares]]),TRUNC(SnapshotTable[[#This Row],[Equity Shares]] / 100),0) + SnapshotTable[[#This Row],[LC Qty]]</f>
        <v>0</v>
      </c>
      <c r="EK281" s="147"/>
      <c r="EL281" s="138" t="str">
        <f>IF(SnapshotTable[[#This Row],[SC Exp Date]]&lt;&gt;"",TRUNC(SnapshotTable[[#This Row],[Last Price]]),"")</f>
        <v/>
      </c>
      <c r="EM281" s="148"/>
      <c r="EN281" s="147"/>
      <c r="EO281" s="147"/>
      <c r="EP281" s="138"/>
      <c r="EQ281" s="419" t="b">
        <f>AND(ISNUMBER(SnapshotTable[[#This Row],[SC Exp Date]]), ISNUMBER(SnapshotTable[[#This Row],[SC Strike Price]]), ISNUMBER(SnapshotTable[[#This Row],[SC Qty]]), ISNUMBER(SnapshotTable[[#This Row],[SC Book Date]]), ISNUMBER(SnapshotTable[[#This Row],[SC Book Price]]))</f>
        <v>0</v>
      </c>
      <c r="ER281" s="419" t="b">
        <f>AND(SnapshotTable[[#This Row],[SC Is Booked]], NOT(ISBLANK(SnapshotTable[[#This Row],[SC Fill Date]])))</f>
        <v>0</v>
      </c>
      <c r="ES281" s="370"/>
      <c r="ET281" s="34" t="str">
        <f>IF(AND(ISNUMBER(SnapshotTable[[#This Row],[SC Exp Date]]), ISNUMBER(SnapshotTable[[#This Row],[SC Book Date]])), SnapshotTable[[#This Row],[SC Exp Date]] - MAX(SnapshotTable[[#This Row],[SC Book Date]], SnapshotTable[[#This Row],[SC Fill Date]]) + 1, "")</f>
        <v/>
      </c>
      <c r="EU281" s="34" t="str">
        <f>IF(ISNUMBER(SnapshotTable[[#This Row],[SC Term]]), SnapshotTable[[#This Row],[SC Exp Date]]- MockToday, "")</f>
        <v/>
      </c>
      <c r="EV281" s="31">
        <f>IF(SnapshotTable[[#This Row],[SC Is Booked]], SnapshotTable[[#This Row],[SC Qty]] * SnapshotTable[[#This Row],[SC Book Price]] * 100, 0)</f>
        <v>0</v>
      </c>
      <c r="EW281" s="4" t="str">
        <f>IF(AND(ISNUMBER(SnapshotTable[[#This Row],[Last Price]]), ISNUMBER( SnapshotTable[[#This Row],[SC Book Price]])), SnapshotTable[[#This Row],[Last Price]] - SnapshotTable[[#This Row],[SC Book Price]],"")</f>
        <v/>
      </c>
      <c r="EX281" s="234" t="str">
        <f>IF(SnapshotTable[[#This Row],[SC Is Booked]],IF(SnapshotTable[[#This Row],[SC Intrinsic Value]] &gt; 0, SnapshotTable[[#This Row],[SC Strike Price]], SnapshotTable[[#This Row],[Last Price]]), "")</f>
        <v/>
      </c>
      <c r="EY281" s="4">
        <f>IF(SnapshotTable[[#This Row],[SC Is Booked]], (MinimumPremiumRequired * SnapshotTable[[#This Row],[SC Basis]] * SnapshotTable[[#This Row],[SC Term]]), 0)</f>
        <v>0</v>
      </c>
      <c r="EZ281" s="283"/>
      <c r="FA281" s="218"/>
      <c r="FB281" s="370"/>
      <c r="FC281" s="4">
        <f>IF(SnapshotTable[[#This Row],[SC Is Filled]], btc_max_buyback_amount(SnapshotTable[[#This Row],[SC Fill Date]],SnapshotTable[[#This Row],[SC Exp Date]], SnapshotTable[[#This Row],[SC Book Price]]),0)</f>
        <v>0</v>
      </c>
      <c r="FD281" s="5"/>
      <c r="FE281" s="144" t="str">
        <f>IF(SnapshotTable[[#This Row],[SC Is Filled]], btc_next_cutoff_date(SnapshotTable[[#This Row],[SC Fill Date]],SnapshotTable[[#This Row],[SC Exp Date]]),"")</f>
        <v/>
      </c>
      <c r="FF281" s="4" t="str" cm="1">
        <f t="array" ref="FF281">IF(SnapshotTable[[#This Row],[SC Is Filled]], btc_should_buy_back(SnapshotTable[[#This Row],[SC Fill Date]], SnapshotTable[[#This Row],[SC Exp Date]], SnapshotTable[[#This Row],[SC Book Price]], SnapshotTable[[#This Row],[SC Current Ask]], MockToday, SnapshotTable[[#This Row],[SC Buyback Override]]),"")</f>
        <v/>
      </c>
      <c r="FG281" s="4">
        <f>IF(SnapshotTable[[#This Row],[SC Is Filled]], MAX(0,SnapshotTable[[#This Row],[Last Price]]  - SnapshotTable[[#This Row],[SC Strike Price]]), 0)</f>
        <v>0</v>
      </c>
      <c r="FH281" s="382">
        <f>IF(SnapshotTable[[#This Row],[SC Is Filled]], IF(ISNUMBER(SnapshotTable[[#This Row],[SC Current Ask]]), SnapshotTable[[#This Row],[SC Current Ask]], SnapshotTable[[#This Row],[SC Book Price]]) - SnapshotTable[[#This Row],[SC Intrinsic Value]], 0)</f>
        <v>0</v>
      </c>
      <c r="FI281" s="143"/>
      <c r="FJ281" s="32" t="str">
        <f>IF(SnapshotTable[[#This Row],[SC Is Filled]],100 * SnapshotTable[[#This Row],[SC Qty]] * IF(ISNUMBER(SnapshotTable[[#This Row],[SC Buyback Override]]), SnapshotTable[[#This Row],[SC Buyback Override]], SnapshotTable[[#This Row],[SC Current Ask]]), "")</f>
        <v/>
      </c>
      <c r="FK281" s="250" t="str">
        <f>IF(SnapshotTable[[#This Row],[SC Time Val]]&gt;0, SnapshotTable[[#This Row],[SC Time Val]] / SnapshotTable[[#This Row],[Last Price]],"")</f>
        <v/>
      </c>
      <c r="FL281" s="302" t="str">
        <f>IF(SnapshotTable[[#This Row],[SC Is Booked]], ((SnapshotTable[[#This Row],[Last Price]] -SnapshotTable[[#This Row],[SC Strike Price]]) / SnapshotTable[[#This Row],[Last Price]]) * -1, "")</f>
        <v/>
      </c>
      <c r="FM281" s="157" t="str">
        <f>IF(SnapshotTable[[#This Row],[SC Is Booked]],  (SnapshotTable[[#This Row],[SC Qty]] * 100 * SnapshotTable[[#This Row],[SC Strike Price]]) - SnapshotTable[[#This Row],[SC Current Ask]], "")</f>
        <v/>
      </c>
      <c r="FN28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1" s="31" t="str">
        <f>IF(AND(ISNUMBER(SnapshotTable[[#This Row],[SC Exercise Gross]]), ISNUMBER(SnapshotTable[[#This Row],[Equity Basis Per Share]] )), SnapshotTable[[#This Row],[SC Exercise Gross]] - SnapshotTable[[#This Row],[Equity Basis Total]] +  SnapshotTable[[#This Row],[SC Premium]], "")</f>
        <v/>
      </c>
      <c r="FP281" s="5" t="str">
        <f>IF(ISNUMBER(SnapshotTable[[#This Row],[SC Exercise Gross]]), (SnapshotTable[[#This Row],[SC Exercise Gross]]) / (SnapshotTable[[#This Row],[SC Qty]] * 100), "")</f>
        <v/>
      </c>
      <c r="FQ281" s="27" t="str">
        <f>IF(SnapshotTable[[#This Row],[SC Is Booked]],SnapshotTable[[#This Row],[SC Time Val]] /SnapshotTable[[#This Row],[SC Basis]], "")</f>
        <v/>
      </c>
      <c r="FR281" s="27" t="str" cm="1">
        <f t="array" ref="FR281">IF(AND(ISNUMBER(SnapshotTable[[#This Row],[SC Term]]),ISNUMBER(SnapshotTable[[#This Row],[SC Simple ROO]])), EllmanAnnualize(SnapshotTable[[#This Row],[SC DTE]], SnapshotTable[[#This Row],[SC Simple ROO]] ),"")</f>
        <v/>
      </c>
      <c r="FS281" s="4" t="e">
        <f>IF(SnapshotTable[[#This Row],[SC Strike Price]] &gt; SnapshotTable[[#This Row],[Last Price]], SnapshotTable[[#This Row],[SC Strike Price]] - SnapshotTable[[#This Row],[Last Price]],0)</f>
        <v>#VALUE!</v>
      </c>
      <c r="FT281" s="27" t="e">
        <f>IF(AND(ISNUMBER(SnapshotTable[[#This Row],[SC Upside Potential]]), SnapshotTable[[#This Row],[SC Upside Potential]] &gt; 0),(SnapshotTable[[#This Row],[SC Upside Potential]]/ SnapshotTable[[#This Row],[ACB]]),"")</f>
        <v>#VALUE!</v>
      </c>
      <c r="FU281" s="333" t="str">
        <f>IF(SnapshotTable[[#This Row],[SC Intrinsic Value]] &gt; 0,SnapshotTable[[#This Row],[SC Intrinsic Value]],"")</f>
        <v/>
      </c>
      <c r="FV281" s="27" t="str">
        <f>IF(AND( ISNUMBER( SnapshotTable[[#This Row],[ACB]]),ISNUMBER(SnapshotTable[[#This Row],[SC Downside Protect]])),SnapshotTable[[#This Row],[SC Downside Protect]] / SnapshotTable[[#This Row],[ACB]],"")</f>
        <v/>
      </c>
      <c r="FW281" s="236" t="str">
        <f>IF(AND(ISNUMBER(SnapshotTable[[#This Row],[SC Simple ROO]]),SnapshotTable[[#This Row],[SC Simple ROO]] &gt; 0), SnapshotTable[[#This Row],[SC Premium]] + (SnapshotTable[[#This Row],[SC Qty]] * SnapshotTable[[#This Row],[SC Upside Potential]]), "")</f>
        <v/>
      </c>
      <c r="FX281" s="302" t="str" cm="1">
        <f t="array" ref="FX281">IF(ISNUMBER(SnapshotTable[[#This Row],[SC Max Dollars]]), annualize(SnapshotTable[[#This Row],[SC Term]],(SnapshotTable[[#This Row],[SC Max Dollars]]/SnapshotTable[[#This Row],[SC Basis]])),"")</f>
        <v/>
      </c>
      <c r="FY281" s="236" t="str">
        <f>IF(AND(SnapshotTable[[#This Row],[SC Qty]]&gt;0,SnapshotTable[[#This Row],[SC Current Ask]]&gt;0), SnapshotTable[[#This Row],[SC Qty]] * SnapshotTable[[#This Row],[SC Current Ask]] * -100, "")</f>
        <v/>
      </c>
      <c r="FZ281" s="31" t="str">
        <f>IF(ISNUMBER((SnapshotTable[[#This Row],[SC Current Value]])), SnapshotTable[[#This Row],[SC Premium]] + SnapshotTable[[#This Row],[SC Current Value]], "")</f>
        <v/>
      </c>
      <c r="GA281" s="294" t="str">
        <f>IFERROR( IF(ISNUMBER((SnapshotTable[[#This Row],[SC Current Value]])), SnapshotTable[[#This Row],[SC Gain Loss]] / SnapshotTable[[#This Row],[SC Premium]], ""), "")</f>
        <v/>
      </c>
      <c r="GB281" s="42">
        <f>SnapshotTable[[#This Row],[Equity Shares]] * SaleSharesToConsiderPercentage</f>
        <v>0</v>
      </c>
      <c r="GC281" s="40">
        <f>SnapshotTable[[#This Row],[Long Term Target]] * SellingPriceToConsiderBasedOnTargetPercentage</f>
        <v>169.15699999999998</v>
      </c>
      <c r="GD281" s="40">
        <f>SnapshotTable[[#This Row],[Last Price]] * (1+ SellingPriceToConsiderBasedOnTargetPercentage)</f>
        <v>257.55600000000004</v>
      </c>
      <c r="GE281" s="41"/>
      <c r="GF281" s="40"/>
      <c r="GG281" s="31">
        <f>SnapshotTable[[#This Row],[Booked Sale Shares]] * SnapshotTable[[#This Row],[Booked Sale Price]]</f>
        <v>0</v>
      </c>
      <c r="GH281" s="31" t="str">
        <f>IF(SnapshotTable[[#This Row],[Equity Basis Total]] &gt; 0, SnapshotTable[[#This Row],[Equity Basis Per Share]] * SnapshotTable[[#This Row],[Booked Sale Shares]], "")</f>
        <v/>
      </c>
      <c r="GI281" s="31">
        <f>IF(SnapshotTable[[#This Row],[Sale Proceeds]]&gt;0, SnapshotTable[[#This Row],[Sale Proceeds]] - SnapshotTable[[#This Row],[Sale Basis]], 0)</f>
        <v>0</v>
      </c>
      <c r="GJ281" s="27" t="str">
        <f>IF(SnapshotTable[[#This Row],[Sale G/L]]&gt;0, SnapshotTable[[#This Row],[Sale G/L]] / SnapshotTable[[#This Row],[Sale Basis]], IF(ISNUMBER(SnapshotTable[[#This Row],[SC Exercise P&amp;L (TAX)]]), SnapshotTable[[#This Row],[SC Exercise P&amp;L (TAX)]] / SnapshotTable[[#This Row],[SC Basis]], ""))</f>
        <v/>
      </c>
      <c r="GK281" s="27" t="s">
        <v>757</v>
      </c>
      <c r="GL281" s="43" t="str">
        <f>IF(AND(SnapshotTable[[#This Row],[LP Exp Date]]&gt;0,SnapshotTable[[#This Row],[LP Strike Price]]&gt;0), [1]!ToOptionSymbol(SnapshotTable[[#This Row],[Symbol]], SnapshotTable[[#This Row],[LP Strike Price]],SnapshotTable[[#This Row],[LP Exp Date]],1), "")</f>
        <v/>
      </c>
      <c r="GM281" s="30" t="str">
        <f>IF(LEN(SnapshotTable[[#This Row],[LP Symbol]])&gt;0, 1, "")</f>
        <v/>
      </c>
      <c r="GN281" s="43" t="str">
        <f>IF(AND(SnapshotTable[[#This Row],[SP Exp Date]]&gt;0,SnapshotTable[[#This Row],[SP Strike Price]]&gt;0), [1]!ToOptionSymbol(SnapshotTable[[#This Row],[Symbol]], SnapshotTable[[#This Row],[SP Strike Price]],SnapshotTable[[#This Row],[SP Exp Date]],1), "")</f>
        <v/>
      </c>
      <c r="GO281" s="30" t="str">
        <f>IF(LEN(SnapshotTable[[#This Row],[SP Symbol]])&gt;0, 1, "")</f>
        <v/>
      </c>
      <c r="GP281" s="43" t="str">
        <f>IF(AND(SnapshotTable[[#This Row],[LC Exp Date]]&gt;0,SnapshotTable[[#This Row],[LC Strike Price]]&gt;0), [1]!ToOptionSymbol(SnapshotTable[[#This Row],[Symbol]], SnapshotTable[[#This Row],[LC Strike Price]],SnapshotTable[[#This Row],[LC Exp Date]],0), "")</f>
        <v/>
      </c>
      <c r="GQ281" s="30" t="str">
        <f>IF(LEN(SnapshotTable[[#This Row],[LC Symbol]])&gt;0, 1, "")</f>
        <v/>
      </c>
      <c r="GR281" s="43" t="str">
        <f>IF(AND(SnapshotTable[[#This Row],[SC Exp Date]]&gt;0,SnapshotTable[[#This Row],[SC Strike Price]]&gt;0), [1]!ToOptionSymbol(SnapshotTable[[#This Row],[Symbol]], SnapshotTable[[#This Row],[SC Strike Price]],SnapshotTable[[#This Row],[SC Exp Date]],0), "")</f>
        <v/>
      </c>
      <c r="GS281" s="30" t="str">
        <f>IF(LEN(SnapshotTable[[#This Row],[SC Symbol]])&gt;0, 1, "")</f>
        <v/>
      </c>
      <c r="GT281" s="29" t="str">
        <f>IF(COUNT(SnapshotTable[[#This Row],[LP Symbol Count]],SnapshotTable[[#This Row],[SP Symbol Count]],SnapshotTable[[#This Row],[LC Symbol Count]],SnapshotTable[[#This Row],[SC Symbol Count]])&gt;0, "Y", "")</f>
        <v/>
      </c>
      <c r="GU28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81" s="231" t="e">
        <f>MAX(SnapshotTable[[#This Row],[Equity Basis Total]],SnapshotTable[[#This Row],[Equity Value]]) + (SnapshotTable[[#This Row],[SP Potential Spend]]- SnapshotTable[[#This Row],[SP Premium]] + SnapshotTable[[#This Row],[LP Premium]])+ (SnapshotTable[[#This Row],[LC Premium]] - SnapshotTable[[#This Row],[SC Premium]])</f>
        <v>#VALUE!</v>
      </c>
      <c r="GW281" s="139" t="e">
        <f>IF(AND(SnapshotTable[[#This Row],[Exposure]] &lt;&gt; 0),SnapshotTable[[#This Row],[Exposure]] / SnapshotTable[[#Totals],[Exposure]], "")</f>
        <v>#VALUE!</v>
      </c>
      <c r="GX281" s="5"/>
      <c r="HK281" s="1"/>
      <c r="HL281" s="1"/>
      <c r="HM281" s="1"/>
      <c r="HN281" s="1"/>
      <c r="HO281" s="1"/>
      <c r="HP281" s="1"/>
    </row>
    <row r="282" spans="2:224" ht="12.75" hidden="1" customHeight="1" x14ac:dyDescent="0.25">
      <c r="B282" s="12" t="s">
        <v>1179</v>
      </c>
      <c r="C282" s="422">
        <v>24.23</v>
      </c>
      <c r="D282" s="208" t="s">
        <v>578</v>
      </c>
      <c r="E282" s="39">
        <f>SnapshotTable[[#This Row],[Last Price]]*(1 -CrashDiscount)</f>
        <v>20.595500000000001</v>
      </c>
      <c r="F282" s="26" t="s">
        <v>5</v>
      </c>
      <c r="G282" s="26" t="s">
        <v>4</v>
      </c>
      <c r="H282" s="149"/>
      <c r="I282" s="194"/>
      <c r="J282" s="195"/>
      <c r="K282" s="196"/>
      <c r="L282" s="327"/>
      <c r="M282" s="140"/>
      <c r="N282" s="140"/>
      <c r="O282" s="140"/>
      <c r="P282" s="22"/>
      <c r="Q282" s="25"/>
      <c r="R282" s="4" t="str">
        <f>IF(SnapshotTable[[#This Row],[Equity Basis Total]] &gt; 0, SnapshotTable[[#This Row],[Equity Basis Total]] / SnapshotTable[[#This Row],[Equity Shares]], "")</f>
        <v/>
      </c>
      <c r="S282" s="329">
        <f>SnapshotTable[[#This Row],[Last Price]] * SnapshotTable[[#This Row],[Equity Shares]]</f>
        <v>0</v>
      </c>
      <c r="T282" s="269">
        <f>SnapshotTable[[#This Row],[Equity Value]] - SnapshotTable[[#This Row],[Equity Basis Total]]</f>
        <v>0</v>
      </c>
      <c r="U282" s="270" t="str">
        <f>IF(SnapshotTable[[#This Row],[Equity Basis Total]] &gt; 0, SnapshotTable[[#This Row],[Equity G/L]] / SnapshotTable[[#This Row],[Equity Basis Total]], "")</f>
        <v/>
      </c>
      <c r="V282" s="268"/>
      <c r="W282" s="268"/>
      <c r="X282" s="4" t="str">
        <f>IF(AND(ISNUMBER(SnapshotTable[[#This Row],[Equity Basis Per Share]]),ISNUMBER(SnapshotTable[[#This Row],[Equity Target]])),SnapshotTable[[#This Row],[Equity Target]]-SnapshotTable[[#This Row],[Equity Basis Per Share]],"")</f>
        <v/>
      </c>
      <c r="Y282" s="4" t="str">
        <f>IF(AND(ISNUMBER(SnapshotTable[[#This Row],[Equity Basis Per Share]]),ISNUMBER(SnapshotTable[[#This Row],[Equity Stop Loss]])),SnapshotTable[[#This Row],[Equity Stop Loss]]-SnapshotTable[[#This Row],[Equity Basis Per Share]],"")</f>
        <v/>
      </c>
      <c r="Z282" s="275" t="str">
        <f>IFERROR( TEXT(SnapshotTable[[#This Row],[Equity Max Gain Per Share]] /ABS( SnapshotTable[[#This Row],[Equity Max Loss Per Share]]),"0.0 " ) &amp; " : 1", "")</f>
        <v/>
      </c>
      <c r="AA282" s="31" t="str">
        <f>IF(ISNUMBER(SnapshotTable[[#This Row],[Equity Max Gain Per Share]]),SnapshotTable[[#This Row],[Equity Max Gain Per Share]] * SnapshotTable[[#This Row],[Equity Shares]],"")</f>
        <v/>
      </c>
      <c r="AB282" s="31" t="str">
        <f>IF(ISNUMBER(SnapshotTable[[#This Row],[Equity Max Loss Per Share]]),SnapshotTable[[#This Row],[Equity Max Loss Per Share]] * SnapshotTable[[#This Row],[Equity Shares]],"")</f>
        <v/>
      </c>
      <c r="AC282" s="150"/>
      <c r="AD282" s="151"/>
      <c r="AE282" s="31">
        <f>(SnapshotTable[[#This Row],[Annual Dividend Per Share]] / 4) * SnapshotTable[[#This Row],[Equity Shares]]</f>
        <v>0</v>
      </c>
      <c r="AF282" s="31">
        <f>SnapshotTable[[#This Row],[Quarterly Div $]] * 4</f>
        <v>0</v>
      </c>
      <c r="AG282" s="7">
        <f>IF(SnapshotTable[[#This Row],[Annual Dividend Per Share]]&gt;0, SnapshotTable[[#This Row],[Annual Dividend Per Share]]  / SnapshotTable[[#This Row],[Last Price]], 0)</f>
        <v>0</v>
      </c>
      <c r="AH282" s="151"/>
      <c r="AI282" s="330"/>
      <c r="AJ282" s="138"/>
      <c r="AK282" s="152" t="str">
        <f>IF(ISNUMBER( SnapshotTable[[#This Row],[EBF Target]]),(SnapshotTable[[#This Row],[EBF Target]] - SnapshotTable[[#This Row],[Last Price]]) / SnapshotTable[[#This Row],[Last Price]], "")</f>
        <v/>
      </c>
      <c r="AL282" s="152" t="str">
        <f>IF(AND(SnapshotTable[[#This Row],[Equity Basis Total]] &gt; 0,ISNUMBER( SnapshotTable[[#This Row],[Long Term Target]])), SnapshotTable[[#This Row],[From Basis $]] / SnapshotTable[[#This Row],[Equity Basis Total]], "")</f>
        <v/>
      </c>
      <c r="AM282" s="9">
        <f>IF( AND(SnapshotTable[[#This Row],[Equity Shares]] &gt;0,ISNUMBER( SnapshotTable[[#This Row],[Long Term Target]])),(SnapshotTable[[#This Row],[Equity Shares]] * SnapshotTable[[#This Row],[Long Term Target]]) - SnapshotTable[[#This Row],[Equity Basis Total]],0)</f>
        <v>0</v>
      </c>
      <c r="AN282" s="9">
        <f>IF( AND(SnapshotTable[[#This Row],[Equity Shares]] &gt;0,ISNUMBER( SnapshotTable[[#This Row],[Long Term Target]])),(SnapshotTable[[#This Row],[Equity Shares]]*SnapshotTable[[#This Row],[Long Term Target]]) - SnapshotTable[[#This Row],[Equity Value]],0)</f>
        <v>0</v>
      </c>
      <c r="AO282" s="152" t="str">
        <f>IF(AND(ISNUMBER( SnapshotTable[[#This Row],[Long Term Target]]), ISNUMBER(SnapshotTable[[#This Row],[Last Price]])),(SnapshotTable[[#This Row],[Long Term Target]] - SnapshotTable[[#This Row],[Last Price]]) / SnapshotTable[[#This Row],[Last Price]], "")</f>
        <v/>
      </c>
      <c r="AP282" s="5"/>
      <c r="AQ282" s="38"/>
      <c r="AR282" s="5"/>
      <c r="AS282" s="38"/>
      <c r="AT282" s="146"/>
      <c r="AU282" s="187" t="str">
        <f>IF(OR(SnapshotTable[[#This Row],[LP No Fill]]="Y",SnapshotTable[[#This Row],[SP Is Filled]],SnapshotTable[[#This Row],[LC Not Filled]]="Y",SnapshotTable[[#This Row],[SC Is Filled]]),"Y","")</f>
        <v/>
      </c>
      <c r="AV282" s="338"/>
      <c r="AW282" s="339"/>
      <c r="AX282" s="220"/>
      <c r="AY282" s="219" t="str">
        <f>IF(SnapshotTable[[#This Row],[Implied Move]]&gt;0, SnapshotTable[[#This Row],[Last Price]]-SnapshotTable[[#This Row],[Implied Move]],"")</f>
        <v/>
      </c>
      <c r="AZ282" s="219" t="str">
        <f>IF(SnapshotTable[[#This Row],[Implied Move]]&gt;0, SnapshotTable[[#This Row],[Last Price]] + SnapshotTable[[#This Row],[Implied Move]],"")</f>
        <v/>
      </c>
      <c r="BA282" s="331"/>
      <c r="BB282" s="347"/>
      <c r="BC28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2" s="351"/>
      <c r="BE282" s="138"/>
      <c r="BF282" s="166"/>
      <c r="BG282" s="167"/>
      <c r="BH282" s="167"/>
      <c r="BI282" s="221"/>
      <c r="BJ282" s="153">
        <f>IF(SnapshotTable[[#This Row],[LP Qty]] &gt; 0, SnapshotTable[[#This Row],[LP Qty]] * SnapshotTable[[#This Row],[LP Book Price]] * 100,0)</f>
        <v>0</v>
      </c>
      <c r="BK282" s="136">
        <f>IF(SnapshotTable[[#This Row],[LP Premium]] &gt; 0, SnapshotTable[[#This Row],[LP Qty]] * SnapshotTable[[#This Row],[LP Strike Price]] * 100,0)</f>
        <v>0</v>
      </c>
      <c r="BL282" s="154"/>
      <c r="BM282" s="385" t="str">
        <f>IF(SnapshotTable[[#This Row],[LP Premium]] &gt; 0,SnapshotTable[[#This Row],[LP Exp Date]]-MAX(SnapshotTable[[#This Row],[LP Book Date]], SnapshotTable[[#This Row],[LP Fill Date]]),"")</f>
        <v/>
      </c>
      <c r="BN282" s="385" t="str">
        <f>IF(ISNUMBER( SnapshotTable[[#This Row],[LP Term]]), SnapshotTable[[#This Row],[LP Exp Date]] - MockToday,"")</f>
        <v/>
      </c>
      <c r="BO282" s="163" t="str">
        <f>IF(AND(SnapshotTable[[#This Row],[LP Exp Date]]&gt;0, SnapshotTable[[#This Row],[LP Strike Price]]&gt;0,SnapshotTable[[#This Row],[LP Qty]]&gt;0,SnapshotTable[[#This Row],[LP Book Date]]&gt;0,SnapshotTable[[#This Row],[LP Book Price]]&gt;0,SnapshotTable[[#This Row],[LP Fill Date]]=0),"Y","")</f>
        <v/>
      </c>
      <c r="BP282" s="31" t="str">
        <f>IF(AND(SnapshotTable[[#This Row],[LP No Fill]]&lt;&gt;"Y",SnapshotTable[[#This Row],[LP Contract Value]]&gt;0, SnapshotTable[[#This Row],[LP Qty]]&gt;0), SnapshotTable[[#This Row],[LP Contract Value]]*SnapshotTable[[#This Row],[LP Qty]]*100,"")</f>
        <v/>
      </c>
      <c r="BQ282" s="13"/>
      <c r="BR282" s="5" t="str">
        <f>IF(SnapshotTable[[#This Row],[SP Exp Date]]&lt;&gt;"",TRUNC(SnapshotTable[[#This Row],[Last Price]]),"")</f>
        <v/>
      </c>
      <c r="BS282" s="36"/>
      <c r="BT282" s="147"/>
      <c r="BU282" s="13"/>
      <c r="BV282" s="5"/>
      <c r="BW282" s="419" t="b">
        <f>AND(ISNUMBER(SnapshotTable[[#This Row],[SP Exp Date]]), ISNUMBER(SnapshotTable[[#This Row],[SP Strike Price]]), ISNUMBER(SnapshotTable[[#This Row],[SP Qty]]), ISNUMBER(SnapshotTable[[#This Row],[SP Book Date]]), ISNUMBER(SnapshotTable[[#This Row],[SP Book Price]]))</f>
        <v>0</v>
      </c>
      <c r="BX282" s="419" t="b">
        <f>AND(SnapshotTable[[#This Row],[SP Is Booked]], NOT(ISBLANK(SnapshotTable[[#This Row],[SP Fill Date]])))</f>
        <v>0</v>
      </c>
      <c r="BY282" s="33">
        <f>IF(SnapshotTable[[#This Row],[SP Is Booked]], SnapshotTable[[#This Row],[SP Qty]] * SnapshotTable[[#This Row],[SP Book Price]] * 100, 0)</f>
        <v>0</v>
      </c>
      <c r="BZ282" s="369"/>
      <c r="CA282" s="368">
        <f>SnapshotTable[[#This Row],[LP Qty]]</f>
        <v>0</v>
      </c>
      <c r="CB282" s="4" t="str">
        <f>IF(SnapshotTable[[#This Row],[SP Is Booked]], SnapshotTable[[#This Row],[SP Strike Price]] - SnapshotTable[[#This Row],[SP Book Price]], "")</f>
        <v/>
      </c>
      <c r="CC282" s="19" t="str">
        <f>IF(SnapshotTable[[#This Row],[SP Is Booked]],SnapshotTable[[#This Row],[SP Exp Date]]-MAX(SnapshotTable[[#This Row],[SP Book Date]], SnapshotTable[[#This Row],[SP Fill Date]]),"")</f>
        <v/>
      </c>
      <c r="CD282" s="7" t="str">
        <f>IF(SnapshotTable[[#This Row],[SP Is Booked]], SnapshotTable[[#This Row],[SP Book Price]]/SnapshotTable[[#This Row],[SP Strike Price]], "")</f>
        <v/>
      </c>
      <c r="CE282" s="7" t="str">
        <f>IF(ISNUMBER(SnapshotTable[[#This Row],[SP ROO Term]]),SnapshotTable[[#This Row],[SP ROO Term]]*(365/SnapshotTable[[#This Row],[SP Term]]),"")</f>
        <v/>
      </c>
      <c r="CF282" s="236">
        <f>SnapshotTable[[#This Row],[LP Strike Price]] * SnapshotTable[[#This Row],[LP Qty]] * 100</f>
        <v>0</v>
      </c>
      <c r="CG282" s="31" t="e">
        <f>IF(ISNUMBER(SnapshotTable[[#This Row],[SP Premium]]), (SnapshotTable[[#This Row],[SP Qty]] * SnapshotTable[[#This Row],[SP Strike Price]]* 100) - SnapshotTable[[#This Row],[LP Protection]], 0)</f>
        <v>#VALUE!</v>
      </c>
      <c r="CH282" s="7" t="str">
        <f>IF(ISNUMBER(SnapshotTable[[#This Row],[SP Break Even]]),-1 * (SnapshotTable[[#This Row],[SP Break Even]] - SnapshotTable[[#This Row],[Last Price]]) / SnapshotTable[[#This Row],[Last Price]], "")</f>
        <v/>
      </c>
      <c r="CI282" s="31">
        <f>IF(AND(ISNUMBER((SnapshotTable[[#This Row],[SP Potential Spend]])), SnapshotTable[[#This Row],[SP Strike Price]] &gt; SnapshotTable[[#This Row],[Last Price]], SnapshotTable[[#This Row],[SP Is Filled]]), SnapshotTable[[#This Row],[SP Potential Spend]] -  SnapshotTable[[#This Row],[LP Max Value]], 0)</f>
        <v>0</v>
      </c>
      <c r="CJ282" s="244"/>
      <c r="CK282" s="31" t="str">
        <f>IF(ISNUMBER(SnapshotTable[[#This Row],[SP Potential Spend]]),IF(ISNUMBER(SnapshotTable[[#This Row],[SP POW]]), SnapshotTable[[#This Row],[SP POW]] * SnapshotTable[[#This Row],[SP Potential Spend]], SnapshotTable[[#This Row],[SP Potential Spend]]), "")</f>
        <v/>
      </c>
      <c r="CL282" s="164" t="e">
        <f>IF(NOT(SnapshotTable[[#This Row],[SP Is Filled]]),(SnapshotTable[[#This Row],[SP Qty]] * SnapshotTable[[#This Row],[SP Strike Price]] * 100) - SnapshotTable[[#This Row],[LP Max Value]],"")</f>
        <v>#VALUE!</v>
      </c>
      <c r="CM282" s="31" t="str">
        <f>IF(SnapshotTable[[#This Row],[SP Actual Spend]]&lt;&gt;0, ((SnapshotTable[[#This Row],[SP Strike Price]]-SnapshotTable[[#This Row],[Last Price]]) *(SnapshotTable[[#This Row],[SP Qty]]*100) - SnapshotTable[[#This Row],[SP Premium]]) * - 1, "")</f>
        <v/>
      </c>
      <c r="CN282" s="154"/>
      <c r="CO282" s="369"/>
      <c r="CP282" s="320" t="str">
        <f>IF(SnapshotTable[[#This Row],[SP Is Filled]], btc_max_buyback_amount(SnapshotTable[[#This Row],[SP Fill Date]],SnapshotTable[[#This Row],[SP Exp Date]], SnapshotTable[[#This Row],[SP Book Price]]),"")</f>
        <v/>
      </c>
      <c r="CQ282" s="78"/>
      <c r="CR282" s="76"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2" s="155" t="str">
        <f>IF(SnapshotTable[[#This Row],[SP Is Filled]], btc_next_cutoff_date(SnapshotTable[[#This Row],[SP Fill Date]],SnapshotTable[[#This Row],[SP Exp Date]]),"")</f>
        <v/>
      </c>
      <c r="CT282" s="235" t="str" cm="1">
        <f t="array" ref="CT282">IF(SnapshotTable[[#This Row],[SP Is Filled]], btc_should_buy_back(SnapshotTable[[#This Row],[SP Fill Date]], SnapshotTable[[#This Row],[SP Exp Date]], SnapshotTable[[#This Row],[SP Book Price]], SnapshotTable[[#This Row],[SP Current Ask]], MockToday, SnapshotTable[[#This Row],[SP Buyback Override]]),"")</f>
        <v/>
      </c>
      <c r="CU282" s="156"/>
      <c r="CV282" s="235"/>
      <c r="CW282" s="378" t="str">
        <f>IF(ISNUMBER( SnapshotTable[[#This Row],[SP Term]]), SnapshotTable[[#This Row],[SP Exp Date]] - MockToday,"")</f>
        <v/>
      </c>
      <c r="CX282" s="31" t="str">
        <f>IF(SnapshotTable[[#This Row],[SP Is Filled]],SnapshotTable[[#This Row],[SP Buyback Price to Use]] * 100 * SnapshotTable[[#This Row],[SP Qty]], "")</f>
        <v/>
      </c>
      <c r="CY282" s="4" t="str">
        <f>IF(ISNUMBER(SnapshotTable[[#This Row],[SP Strike Price]]), SnapshotTable[[#This Row],[SP Strike Price]] * (1 - SP_MaxLoss_StrikePct), "")</f>
        <v/>
      </c>
      <c r="CZ282" s="31" t="str">
        <f>IF(ISNUMBER(SnapshotTable[[#This Row],[SP Strike  Stop Per Share]]),SnapshotTable[[#This Row],[SP Premium]] - ((SnapshotTable[[#This Row],[SP Strike Price]]-SnapshotTable[[#This Row],[SP Strike  Stop Per Share]]) *(SnapshotTable[[#This Row],[SP Qty]] * 100)),"")</f>
        <v/>
      </c>
      <c r="DA282" s="4" t="str">
        <f>IF(AND(ISNUMBER(SnapshotTable[[#This Row],[SP Premium]]),SnapshotTable[[#This Row],[SP Premium]]&gt;0), SnapshotTable[[#This Row],[SP Book Price]] * (1 + SP_MaxLoss_OptionPct), "")</f>
        <v/>
      </c>
      <c r="DB282" s="31" t="str">
        <f>IF(ISNUMBER(SnapshotTable[[#This Row],[SP Option  Stop Contract]]),(SnapshotTable[[#This Row],[SP Option  Stop Contract]] *(SnapshotTable[[#This Row],[SP Qty]] * 100) - SnapshotTable[[#This Row],[SP Premium]]),"")</f>
        <v/>
      </c>
      <c r="DC282" s="4"/>
      <c r="DD282" s="4"/>
      <c r="DE282" s="4" t="str">
        <f>IF(AND(SnapshotTable[[#This Row],[SP Qty]]&gt;0, SnapshotTable[[#This Row],[SP Stop To Use]]&gt;0),SnapshotTable[[#This Row],[SP Premium]] - ( SnapshotTable[[#This Row],[SP Qty]] * SnapshotTable[[#This Row],[SP Stop To Use]] * 100), "")</f>
        <v/>
      </c>
      <c r="DF282" s="31" t="str">
        <f>IF(AND(SnapshotTable[[#This Row],[SP Qty]]&gt;0,SnapshotTable[[#This Row],[SP Current Ask]]&gt;0), SnapshotTable[[#This Row],[SP Qty]] * SnapshotTable[[#This Row],[SP Current Ask]] * -100, "")</f>
        <v/>
      </c>
      <c r="DG282" s="31" t="str">
        <f>IF(ISNUMBER((SnapshotTable[[#This Row],[SP Total Value]])), SnapshotTable[[#This Row],[SP Premium]] + SnapshotTable[[#This Row],[SP Total Value]], "")</f>
        <v/>
      </c>
      <c r="DH282" s="294" t="str">
        <f>IF(ISNUMBER((SnapshotTable[[#This Row],[SP Total Value]])), SnapshotTable[[#This Row],[SP Gain Loss]] / SnapshotTable[[#This Row],[SP Premium]], "")</f>
        <v/>
      </c>
      <c r="DI282" s="406"/>
      <c r="DJ282" s="138"/>
      <c r="DK282" s="148"/>
      <c r="DL282" s="147"/>
      <c r="DM282" s="147"/>
      <c r="DO282" s="31">
        <f>IF(SnapshotTable[[#This Row],[LC Symbol Count]]=1, SnapshotTable[[#This Row],[LC Qty]] * SnapshotTable[[#This Row],[LC Book Price]] * 100, 0)</f>
        <v>0</v>
      </c>
      <c r="DP282" s="289" t="str">
        <f>IF(AND(SnapshotTable[[#This Row],[LC Exp Date]]&gt;0, SnapshotTable[[#This Row],[LC Strike Price]]&gt;0,SnapshotTable[[#This Row],[LC Qty]]&gt;0,SnapshotTable[[#This Row],[LC Book Date]]&gt;0,SnapshotTable[[#This Row],[LC Book Price]]&gt;0,SnapshotTable[[#This Row],[LC Fill Date]]=0),"Y","")</f>
        <v/>
      </c>
      <c r="DQ282" s="386" t="str">
        <f>IF(SnapshotTable[[#This Row],[LC Premium]] &gt; 0,SnapshotTable[[#This Row],[LC Exp Date]]-MAX(SnapshotTable[[#This Row],[LC Book Date]], SnapshotTable[[#This Row],[LC Fill Date]]),"")</f>
        <v/>
      </c>
      <c r="DR282" s="386" t="str">
        <f>IF(ISNUMBER(SnapshotTable[[#This Row],[LC Term]]), SnapshotTable[[#This Row],[LC Exp Date]] - MockToday, "")</f>
        <v/>
      </c>
      <c r="DS282" s="234" t="str">
        <f>IF(SnapshotTable[[#This Row],[LC Premium]]&gt;0,SnapshotTable[[#This Row],[LC Strike Price]] + SnapshotTable[[#This Row],[LC Book Price]],"")</f>
        <v/>
      </c>
      <c r="DU282" s="9" t="str">
        <f>IF(AND(SnapshotTable[[#This Row],[LC Symbol Count]]&gt;0, SnapshotTable[[#This Row],[LC Contract Value]]&gt;0), SnapshotTable[[#This Row],[LC Contract Value]] * SnapshotTable[[#This Row],[LC Qty]] * 100, "")</f>
        <v/>
      </c>
      <c r="DV282" s="9" t="str">
        <f>IF(AND(ISNUMBER(SnapshotTable[[#This Row],[LC Total Value]]), SnapshotTable[[#This Row],[LC Not Filled]]&lt;&gt;"Y"), SnapshotTable[[#This Row],[LC Total Value]]-SnapshotTable[[#This Row],[LC Premium]],"")</f>
        <v/>
      </c>
      <c r="DW282" s="240" t="str">
        <f>IF(ISNUMBER(SnapshotTable[[#This Row],[LC Actual Gain Loss]]), SnapshotTable[[#This Row],[LC Actual Gain Loss]] / SnapshotTable[[#This Row],[LC Premium]],"")</f>
        <v/>
      </c>
      <c r="DX282" s="284" t="str">
        <f>IF(ISNUMBER(SnapshotTable[[#This Row],[LC Book Price]]),SnapshotTable[[#This Row],[LC Book Price]] * 1.5,"")</f>
        <v/>
      </c>
      <c r="DY282" s="265" t="str">
        <f>IF(SnapshotTable[[#This Row],[LC Premium]]&gt;0, SnapshotTable[[#This Row],[LC Next Target]] * SnapshotTable[[#This Row],[LC Qty]] * 100,"")</f>
        <v/>
      </c>
      <c r="DZ282" s="265" t="str">
        <f>IF(ISNUMBER(SnapshotTable[[#This Row],[LC Target Gross]]), SnapshotTable[[#This Row],[LC Target Gross]] - SnapshotTable[[#This Row],[LC Premium]], "")</f>
        <v/>
      </c>
      <c r="EA282" s="305" t="str">
        <f>IF(ISNUMBER(SnapshotTable[[#This Row],[LC Target Gain Loss]]), SnapshotTable[[#This Row],[LC Target Gain Loss]]/SnapshotTable[[#This Row],[LC Premium]], "")</f>
        <v/>
      </c>
      <c r="EB282" s="262"/>
      <c r="EC282" s="290" t="str">
        <f>IF(SnapshotTable[[#This Row],[LC Premium]]&gt;0, SnapshotTable[[#This Row],[LC Book Price]] * (1 - LC_StopLoss_Pct),"")</f>
        <v/>
      </c>
      <c r="ED282" s="284"/>
      <c r="EE282" s="290" t="str">
        <f>IF(ISNUMBER(SnapshotTable[[#This Row],[LC Contract Value]]),IF(ISNUMBER(SnapshotTable[[#This Row],[LC Stop Loss Override]]), SnapshotTable[[#This Row],[LC Stop Loss Override]],SnapshotTable[[#This Row],[LC Stop Loss Calc Target]]),"")</f>
        <v/>
      </c>
      <c r="EF282" s="321" t="str">
        <f>IF(ISNUMBER(SnapshotTable[[#This Row],[LC Stop  To Use]]), (SnapshotTable[[#This Row],[LC Stop  To Use]] * SnapshotTable[[#This Row],[LC Qty]] * 100),"")</f>
        <v/>
      </c>
      <c r="EG282" s="9" t="str">
        <f>IF(ISNUMBER(SnapshotTable[[#This Row],[LC Total Value]]),SnapshotTable[[#This Row],[LC Stop Loss Amount]] - SnapshotTable[[#This Row],[LC Premium]],"")</f>
        <v/>
      </c>
      <c r="EH282" s="9">
        <f>IF(ISNUMBER(SnapshotTable[[#This Row],[LC Premium]]), SnapshotTable[[#This Row],[LC Qty]] * 100 * SnapshotTable[[#This Row],[LC Strike Price]], "")</f>
        <v>0</v>
      </c>
      <c r="EI282" s="240" t="str">
        <f>IF(AND(ISNUMBER(SnapshotTable[[#This Row],[LC Total Value]]),SnapshotTable[[#This Row],[LC Total Value]]&gt;0),SnapshotTable[[#This Row],[LC Stop Gain Loss]]  / SnapshotTable[[#This Row],[LC Premium]],"")</f>
        <v/>
      </c>
      <c r="EJ282" s="35">
        <f>IF(ISNUMBER(SnapshotTable[[#This Row],[Equity Shares]]),TRUNC(SnapshotTable[[#This Row],[Equity Shares]] / 100),0) + SnapshotTable[[#This Row],[LC Qty]]</f>
        <v>0</v>
      </c>
      <c r="EK282" s="147"/>
      <c r="EL282" s="138" t="str">
        <f>IF(SnapshotTable[[#This Row],[SC Exp Date]]&lt;&gt;"",TRUNC(SnapshotTable[[#This Row],[Last Price]]),"")</f>
        <v/>
      </c>
      <c r="EM282" s="148"/>
      <c r="EN282" s="147"/>
      <c r="EO282" s="147"/>
      <c r="EP282" s="138"/>
      <c r="EQ282" s="419" t="b">
        <f>AND(ISNUMBER(SnapshotTable[[#This Row],[SC Exp Date]]), ISNUMBER(SnapshotTable[[#This Row],[SC Strike Price]]), ISNUMBER(SnapshotTable[[#This Row],[SC Qty]]), ISNUMBER(SnapshotTable[[#This Row],[SC Book Date]]), ISNUMBER(SnapshotTable[[#This Row],[SC Book Price]]))</f>
        <v>0</v>
      </c>
      <c r="ER282" s="419" t="b">
        <f>AND(SnapshotTable[[#This Row],[SC Is Booked]], NOT(ISBLANK(SnapshotTable[[#This Row],[SC Fill Date]])))</f>
        <v>0</v>
      </c>
      <c r="ES282" s="370"/>
      <c r="ET282" s="34" t="str">
        <f>IF(AND(ISNUMBER(SnapshotTable[[#This Row],[SC Exp Date]]), ISNUMBER(SnapshotTable[[#This Row],[SC Book Date]])), SnapshotTable[[#This Row],[SC Exp Date]] - MAX(SnapshotTable[[#This Row],[SC Book Date]], SnapshotTable[[#This Row],[SC Fill Date]]) + 1, "")</f>
        <v/>
      </c>
      <c r="EU282" s="34" t="str">
        <f>IF(ISNUMBER(SnapshotTable[[#This Row],[SC Term]]), SnapshotTable[[#This Row],[SC Exp Date]]- MockToday, "")</f>
        <v/>
      </c>
      <c r="EV282" s="31">
        <f>IF(SnapshotTable[[#This Row],[SC Is Booked]], SnapshotTable[[#This Row],[SC Qty]] * SnapshotTable[[#This Row],[SC Book Price]] * 100, 0)</f>
        <v>0</v>
      </c>
      <c r="EW282" s="4" t="str">
        <f>IF(AND(ISNUMBER(SnapshotTable[[#This Row],[Last Price]]), ISNUMBER( SnapshotTable[[#This Row],[SC Book Price]])), SnapshotTable[[#This Row],[Last Price]] - SnapshotTable[[#This Row],[SC Book Price]],"")</f>
        <v/>
      </c>
      <c r="EX282" s="234" t="str">
        <f>IF(SnapshotTable[[#This Row],[SC Is Booked]],IF(SnapshotTable[[#This Row],[SC Intrinsic Value]] &gt; 0, SnapshotTable[[#This Row],[SC Strike Price]], SnapshotTable[[#This Row],[Last Price]]), "")</f>
        <v/>
      </c>
      <c r="EY282" s="4">
        <f>IF(SnapshotTable[[#This Row],[SC Is Booked]], (MinimumPremiumRequired * SnapshotTable[[#This Row],[SC Basis]] * SnapshotTable[[#This Row],[SC Term]]), 0)</f>
        <v>0</v>
      </c>
      <c r="EZ282" s="283"/>
      <c r="FA282" s="218"/>
      <c r="FB282" s="370"/>
      <c r="FC282" s="4">
        <f>IF(SnapshotTable[[#This Row],[SC Is Filled]], btc_max_buyback_amount(SnapshotTable[[#This Row],[SC Fill Date]],SnapshotTable[[#This Row],[SC Exp Date]], SnapshotTable[[#This Row],[SC Book Price]]),0)</f>
        <v>0</v>
      </c>
      <c r="FD282" s="5"/>
      <c r="FE282" s="144" t="str">
        <f>IF(SnapshotTable[[#This Row],[SC Is Filled]], btc_next_cutoff_date(SnapshotTable[[#This Row],[SC Fill Date]],SnapshotTable[[#This Row],[SC Exp Date]]),"")</f>
        <v/>
      </c>
      <c r="FF282" s="4" t="str" cm="1">
        <f t="array" ref="FF282">IF(SnapshotTable[[#This Row],[SC Is Filled]], btc_should_buy_back(SnapshotTable[[#This Row],[SC Fill Date]], SnapshotTable[[#This Row],[SC Exp Date]], SnapshotTable[[#This Row],[SC Book Price]], SnapshotTable[[#This Row],[SC Current Ask]], MockToday, SnapshotTable[[#This Row],[SC Buyback Override]]),"")</f>
        <v/>
      </c>
      <c r="FG282" s="4">
        <f>IF(SnapshotTable[[#This Row],[SC Is Filled]], MAX(0,SnapshotTable[[#This Row],[Last Price]]  - SnapshotTable[[#This Row],[SC Strike Price]]), 0)</f>
        <v>0</v>
      </c>
      <c r="FH282" s="382">
        <f>IF(SnapshotTable[[#This Row],[SC Is Filled]], IF(ISNUMBER(SnapshotTable[[#This Row],[SC Current Ask]]), SnapshotTable[[#This Row],[SC Current Ask]], SnapshotTable[[#This Row],[SC Book Price]]) - SnapshotTable[[#This Row],[SC Intrinsic Value]], 0)</f>
        <v>0</v>
      </c>
      <c r="FI282" s="143"/>
      <c r="FJ282" s="32" t="str">
        <f>IF(SnapshotTable[[#This Row],[SC Is Filled]],100 * SnapshotTable[[#This Row],[SC Qty]] * IF(ISNUMBER(SnapshotTable[[#This Row],[SC Buyback Override]]), SnapshotTable[[#This Row],[SC Buyback Override]], SnapshotTable[[#This Row],[SC Current Ask]]), "")</f>
        <v/>
      </c>
      <c r="FK282" s="250" t="str">
        <f>IF(SnapshotTable[[#This Row],[SC Time Val]]&gt;0, SnapshotTable[[#This Row],[SC Time Val]] / SnapshotTable[[#This Row],[Last Price]],"")</f>
        <v/>
      </c>
      <c r="FL282" s="302" t="str">
        <f>IF(SnapshotTable[[#This Row],[SC Is Booked]], ((SnapshotTable[[#This Row],[Last Price]] -SnapshotTable[[#This Row],[SC Strike Price]]) / SnapshotTable[[#This Row],[Last Price]]) * -1, "")</f>
        <v/>
      </c>
      <c r="FM282" s="157" t="str">
        <f>IF(SnapshotTable[[#This Row],[SC Is Booked]],  (SnapshotTable[[#This Row],[SC Qty]] * 100 * SnapshotTable[[#This Row],[SC Strike Price]]) - SnapshotTable[[#This Row],[SC Current Ask]], "")</f>
        <v/>
      </c>
      <c r="FN282"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2" s="157" t="str">
        <f>IF(AND(ISNUMBER(SnapshotTable[[#This Row],[SC Exercise Gross]]), ISNUMBER(SnapshotTable[[#This Row],[Equity Basis Per Share]] )), SnapshotTable[[#This Row],[SC Exercise Gross]] - SnapshotTable[[#This Row],[Equity Basis Total]] +  SnapshotTable[[#This Row],[SC Premium]], "")</f>
        <v/>
      </c>
      <c r="FP282" s="5" t="str">
        <f>IF(ISNUMBER(SnapshotTable[[#This Row],[SC Exercise Gross]]), (SnapshotTable[[#This Row],[SC Exercise Gross]]) / (SnapshotTable[[#This Row],[SC Qty]] * 100), "")</f>
        <v/>
      </c>
      <c r="FQ282" s="27" t="str">
        <f>IF(SnapshotTable[[#This Row],[SC Is Booked]],SnapshotTable[[#This Row],[SC Time Val]] /SnapshotTable[[#This Row],[SC Basis]], "")</f>
        <v/>
      </c>
      <c r="FR282" s="27" t="str" cm="1">
        <f t="array" ref="FR282">IF(AND(ISNUMBER(SnapshotTable[[#This Row],[SC Term]]),ISNUMBER(SnapshotTable[[#This Row],[SC Simple ROO]])), EllmanAnnualize(SnapshotTable[[#This Row],[SC DTE]], SnapshotTable[[#This Row],[SC Simple ROO]] ),"")</f>
        <v/>
      </c>
      <c r="FS282" s="4" t="e">
        <f>IF(SnapshotTable[[#This Row],[SC Strike Price]] &gt; SnapshotTable[[#This Row],[Last Price]], SnapshotTable[[#This Row],[SC Strike Price]] - SnapshotTable[[#This Row],[Last Price]],0)</f>
        <v>#VALUE!</v>
      </c>
      <c r="FT282" s="27" t="e">
        <f>IF(AND(ISNUMBER(SnapshotTable[[#This Row],[SC Upside Potential]]), SnapshotTable[[#This Row],[SC Upside Potential]] &gt; 0),(SnapshotTable[[#This Row],[SC Upside Potential]]/ SnapshotTable[[#This Row],[ACB]]),"")</f>
        <v>#VALUE!</v>
      </c>
      <c r="FU282" s="333" t="str">
        <f>IF(SnapshotTable[[#This Row],[SC Intrinsic Value]] &gt; 0,SnapshotTable[[#This Row],[SC Intrinsic Value]],"")</f>
        <v/>
      </c>
      <c r="FV282" s="27" t="str">
        <f>IF(AND( ISNUMBER( SnapshotTable[[#This Row],[ACB]]),ISNUMBER(SnapshotTable[[#This Row],[SC Downside Protect]])),SnapshotTable[[#This Row],[SC Downside Protect]] / SnapshotTable[[#This Row],[ACB]],"")</f>
        <v/>
      </c>
      <c r="FW282" s="236" t="str">
        <f>IF(AND(ISNUMBER(SnapshotTable[[#This Row],[SC Simple ROO]]),SnapshotTable[[#This Row],[SC Simple ROO]] &gt; 0), SnapshotTable[[#This Row],[SC Premium]] + (SnapshotTable[[#This Row],[SC Qty]] * SnapshotTable[[#This Row],[SC Upside Potential]]), "")</f>
        <v/>
      </c>
      <c r="FX282" s="302" t="str" cm="1">
        <f t="array" ref="FX282">IF(ISNUMBER(SnapshotTable[[#This Row],[SC Max Dollars]]), annualize(SnapshotTable[[#This Row],[SC Term]],(SnapshotTable[[#This Row],[SC Max Dollars]]/SnapshotTable[[#This Row],[SC Basis]])),"")</f>
        <v/>
      </c>
      <c r="FY282" s="236" t="str">
        <f>IF(AND(SnapshotTable[[#This Row],[SC Qty]]&gt;0,SnapshotTable[[#This Row],[SC Current Ask]]&gt;0), SnapshotTable[[#This Row],[SC Qty]] * SnapshotTable[[#This Row],[SC Current Ask]] * -100, "")</f>
        <v/>
      </c>
      <c r="FZ282" s="235" t="str">
        <f>IF(ISNUMBER((SnapshotTable[[#This Row],[SC Current Value]])), SnapshotTable[[#This Row],[SC Premium]] + SnapshotTable[[#This Row],[SC Current Value]], "")</f>
        <v/>
      </c>
      <c r="GA282" s="294" t="str">
        <f>IFERROR( IF(ISNUMBER((SnapshotTable[[#This Row],[SC Current Value]])), SnapshotTable[[#This Row],[SC Gain Loss]] / SnapshotTable[[#This Row],[SC Premium]], ""), "")</f>
        <v/>
      </c>
      <c r="GB282" s="42">
        <f>SnapshotTable[[#This Row],[Equity Shares]] * SaleSharesToConsiderPercentage</f>
        <v>0</v>
      </c>
      <c r="GC282" s="40">
        <f>SnapshotTable[[#This Row],[Long Term Target]] * SellingPriceToConsiderBasedOnTargetPercentage</f>
        <v>0</v>
      </c>
      <c r="GD282" s="40">
        <f>SnapshotTable[[#This Row],[Last Price]] * (1+ SellingPriceToConsiderBasedOnTargetPercentage)</f>
        <v>47.2485</v>
      </c>
      <c r="GE282" s="41"/>
      <c r="GF282" s="40"/>
      <c r="GG282" s="31">
        <f>SnapshotTable[[#This Row],[Booked Sale Shares]] * SnapshotTable[[#This Row],[Booked Sale Price]]</f>
        <v>0</v>
      </c>
      <c r="GH282" s="31" t="str">
        <f>IF(SnapshotTable[[#This Row],[Equity Basis Total]] &gt; 0, SnapshotTable[[#This Row],[Equity Basis Per Share]] * SnapshotTable[[#This Row],[Booked Sale Shares]], "")</f>
        <v/>
      </c>
      <c r="GI282" s="31">
        <f>IF(SnapshotTable[[#This Row],[Sale Proceeds]]&gt;0, SnapshotTable[[#This Row],[Sale Proceeds]] - SnapshotTable[[#This Row],[Sale Basis]], 0)</f>
        <v>0</v>
      </c>
      <c r="GJ282" s="158" t="str">
        <f>IF(SnapshotTable[[#This Row],[Sale G/L]]&gt;0, SnapshotTable[[#This Row],[Sale G/L]] / SnapshotTable[[#This Row],[Sale Basis]], IF(ISNUMBER(SnapshotTable[[#This Row],[SC Exercise P&amp;L (TAX)]]), SnapshotTable[[#This Row],[SC Exercise P&amp;L (TAX)]] / SnapshotTable[[#This Row],[SC Basis]], ""))</f>
        <v/>
      </c>
      <c r="GK282" s="27"/>
      <c r="GL282" s="159" t="str">
        <f>IF(AND(SnapshotTable[[#This Row],[LP Exp Date]]&gt;0,SnapshotTable[[#This Row],[LP Strike Price]]&gt;0), [1]!ToOptionSymbol(SnapshotTable[[#This Row],[Symbol]], SnapshotTable[[#This Row],[LP Strike Price]],SnapshotTable[[#This Row],[LP Exp Date]],1), "")</f>
        <v/>
      </c>
      <c r="GM282" s="30" t="str">
        <f>IF(LEN(SnapshotTable[[#This Row],[LP Symbol]])&gt;0, 1, "")</f>
        <v/>
      </c>
      <c r="GN282" s="43" t="str">
        <f>IF(AND(SnapshotTable[[#This Row],[SP Exp Date]]&gt;0,SnapshotTable[[#This Row],[SP Strike Price]]&gt;0), [1]!ToOptionSymbol(SnapshotTable[[#This Row],[Symbol]], SnapshotTable[[#This Row],[SP Strike Price]],SnapshotTable[[#This Row],[SP Exp Date]],1), "")</f>
        <v/>
      </c>
      <c r="GO282" s="30" t="str">
        <f>IF(LEN(SnapshotTable[[#This Row],[SP Symbol]])&gt;0, 1, "")</f>
        <v/>
      </c>
      <c r="GP282" s="159" t="str">
        <f>IF(AND(SnapshotTable[[#This Row],[LC Exp Date]]&gt;0,SnapshotTable[[#This Row],[LC Strike Price]]&gt;0), [1]!ToOptionSymbol(SnapshotTable[[#This Row],[Symbol]], SnapshotTable[[#This Row],[LC Strike Price]],SnapshotTable[[#This Row],[LC Exp Date]],0), "")</f>
        <v/>
      </c>
      <c r="GQ282" s="160" t="str">
        <f>IF(LEN(SnapshotTable[[#This Row],[LC Symbol]])&gt;0, 1, "")</f>
        <v/>
      </c>
      <c r="GR282" s="159" t="str">
        <f>IF(AND(SnapshotTable[[#This Row],[SC Exp Date]]&gt;0,SnapshotTable[[#This Row],[SC Strike Price]]&gt;0), [1]!ToOptionSymbol(SnapshotTable[[#This Row],[Symbol]], SnapshotTable[[#This Row],[SC Strike Price]],SnapshotTable[[#This Row],[SC Exp Date]],0), "")</f>
        <v/>
      </c>
      <c r="GS282" s="160" t="str">
        <f>IF(LEN(SnapshotTable[[#This Row],[SC Symbol]])&gt;0, 1, "")</f>
        <v/>
      </c>
      <c r="GT282" s="161" t="str">
        <f>IF(COUNT(SnapshotTable[[#This Row],[LP Symbol Count]],SnapshotTable[[#This Row],[SP Symbol Count]],SnapshotTable[[#This Row],[LC Symbol Count]],SnapshotTable[[#This Row],[SC Symbol Count]])&gt;0, "Y", "")</f>
        <v/>
      </c>
      <c r="GU28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82" s="231" t="e">
        <f>MAX(SnapshotTable[[#This Row],[Equity Basis Total]],SnapshotTable[[#This Row],[Equity Value]]) + (SnapshotTable[[#This Row],[SP Potential Spend]]- SnapshotTable[[#This Row],[SP Premium]] + SnapshotTable[[#This Row],[LP Premium]])+ (SnapshotTable[[#This Row],[LC Premium]] - SnapshotTable[[#This Row],[SC Premium]])</f>
        <v>#VALUE!</v>
      </c>
      <c r="GW282" s="139" t="e">
        <f>IF(AND(SnapshotTable[[#This Row],[Exposure]] &lt;&gt; 0),SnapshotTable[[#This Row],[Exposure]] / SnapshotTable[[#Totals],[Exposure]], "")</f>
        <v>#VALUE!</v>
      </c>
      <c r="GX282" s="5"/>
      <c r="HK282" s="1"/>
      <c r="HL282" s="1"/>
      <c r="HM282" s="1"/>
      <c r="HN282" s="1"/>
      <c r="HO282" s="1"/>
      <c r="HP282" s="1"/>
    </row>
    <row r="283" spans="2:224" s="47" customFormat="1" ht="12.75" hidden="1" customHeight="1" x14ac:dyDescent="0.25">
      <c r="B283" s="12" t="s">
        <v>1092</v>
      </c>
      <c r="C283" s="422">
        <v>262.55</v>
      </c>
      <c r="D283" s="208" t="s">
        <v>1093</v>
      </c>
      <c r="E283" s="39">
        <f>SnapshotTable[[#This Row],[Last Price]]*(1 -CrashDiscount)</f>
        <v>223.16749999999999</v>
      </c>
      <c r="F283" s="26" t="s">
        <v>906</v>
      </c>
      <c r="G283" s="26" t="s">
        <v>49</v>
      </c>
      <c r="H283" s="149"/>
      <c r="I283" s="194">
        <v>45236</v>
      </c>
      <c r="J283" s="195">
        <v>45145.666666666664</v>
      </c>
      <c r="K283" s="196"/>
      <c r="L283" s="326"/>
      <c r="M283" s="140"/>
      <c r="N283" s="140"/>
      <c r="O283" s="140"/>
      <c r="P283" s="22"/>
      <c r="Q283" s="25"/>
      <c r="R283" s="4" t="str">
        <f>IF(SnapshotTable[[#This Row],[Equity Basis Total]] &gt; 0, SnapshotTable[[#This Row],[Equity Basis Total]] / SnapshotTable[[#This Row],[Equity Shares]], "")</f>
        <v/>
      </c>
      <c r="S283" s="269">
        <f>SnapshotTable[[#This Row],[Last Price]] * SnapshotTable[[#This Row],[Equity Shares]]</f>
        <v>0</v>
      </c>
      <c r="T283" s="269">
        <f>SnapshotTable[[#This Row],[Equity Value]] - SnapshotTable[[#This Row],[Equity Basis Total]]</f>
        <v>0</v>
      </c>
      <c r="U283" s="270" t="str">
        <f>IF(SnapshotTable[[#This Row],[Equity Basis Total]] &gt; 0, SnapshotTable[[#This Row],[Equity G/L]] / SnapshotTable[[#This Row],[Equity Basis Total]], "")</f>
        <v/>
      </c>
      <c r="V283" s="268">
        <v>340</v>
      </c>
      <c r="W283" s="268">
        <v>265</v>
      </c>
      <c r="X283" s="4" t="str">
        <f>IF(AND(ISNUMBER(SnapshotTable[[#This Row],[Equity Basis Per Share]]),ISNUMBER(SnapshotTable[[#This Row],[Equity Target]])),SnapshotTable[[#This Row],[Equity Target]]-SnapshotTable[[#This Row],[Equity Basis Per Share]],"")</f>
        <v/>
      </c>
      <c r="Y283" s="4" t="str">
        <f>IF(AND(ISNUMBER(SnapshotTable[[#This Row],[Equity Basis Per Share]]),ISNUMBER(SnapshotTable[[#This Row],[Equity Stop Loss]])),SnapshotTable[[#This Row],[Equity Stop Loss]]-SnapshotTable[[#This Row],[Equity Basis Per Share]],"")</f>
        <v/>
      </c>
      <c r="Z283" s="275" t="str">
        <f>IFERROR( TEXT(SnapshotTable[[#This Row],[Equity Max Gain Per Share]] /ABS( SnapshotTable[[#This Row],[Equity Max Loss Per Share]]),"0.0 " ) &amp; " : 1", "")</f>
        <v/>
      </c>
      <c r="AA283" s="31" t="str">
        <f>IF(ISNUMBER(SnapshotTable[[#This Row],[Equity Max Gain Per Share]]),SnapshotTable[[#This Row],[Equity Max Gain Per Share]] * SnapshotTable[[#This Row],[Equity Shares]],"")</f>
        <v/>
      </c>
      <c r="AB283" s="31" t="str">
        <f>IF(ISNUMBER(SnapshotTable[[#This Row],[Equity Max Loss Per Share]]),SnapshotTable[[#This Row],[Equity Max Loss Per Share]] * SnapshotTable[[#This Row],[Equity Shares]],"")</f>
        <v/>
      </c>
      <c r="AC283" s="150"/>
      <c r="AD283" s="151"/>
      <c r="AE283" s="31">
        <f>(SnapshotTable[[#This Row],[Annual Dividend Per Share]] / 4) * SnapshotTable[[#This Row],[Equity Shares]]</f>
        <v>0</v>
      </c>
      <c r="AF283" s="31">
        <f>SnapshotTable[[#This Row],[Quarterly Div $]] * 4</f>
        <v>0</v>
      </c>
      <c r="AG283" s="7">
        <f>IF(SnapshotTable[[#This Row],[Annual Dividend Per Share]]&gt;0, SnapshotTable[[#This Row],[Annual Dividend Per Share]]  / SnapshotTable[[#This Row],[Last Price]], 0)</f>
        <v>0</v>
      </c>
      <c r="AH283" s="151"/>
      <c r="AI283" s="5"/>
      <c r="AJ283" s="138">
        <v>289.33</v>
      </c>
      <c r="AK283" s="152" t="str">
        <f>IF(ISNUMBER( SnapshotTable[[#This Row],[EBF Target]]),(SnapshotTable[[#This Row],[EBF Target]] - SnapshotTable[[#This Row],[Last Price]]) / SnapshotTable[[#This Row],[Last Price]], "")</f>
        <v/>
      </c>
      <c r="AL283" s="152" t="str">
        <f>IF(AND(SnapshotTable[[#This Row],[Equity Basis Total]] &gt; 0,ISNUMBER( SnapshotTable[[#This Row],[Long Term Target]])), SnapshotTable[[#This Row],[From Basis $]] / SnapshotTable[[#This Row],[Equity Basis Total]], "")</f>
        <v/>
      </c>
      <c r="AM283" s="9">
        <f>IF( AND(SnapshotTable[[#This Row],[Equity Shares]] &gt;0,ISNUMBER( SnapshotTable[[#This Row],[Long Term Target]])),(SnapshotTable[[#This Row],[Equity Shares]] * SnapshotTable[[#This Row],[Long Term Target]]) - SnapshotTable[[#This Row],[Equity Basis Total]],0)</f>
        <v>0</v>
      </c>
      <c r="AN283" s="9">
        <f>IF( AND(SnapshotTable[[#This Row],[Equity Shares]] &gt;0,ISNUMBER( SnapshotTable[[#This Row],[Long Term Target]])),(SnapshotTable[[#This Row],[Equity Shares]]*SnapshotTable[[#This Row],[Long Term Target]]) - SnapshotTable[[#This Row],[Equity Value]],0)</f>
        <v>0</v>
      </c>
      <c r="AO283" s="152">
        <f>IF(AND(ISNUMBER( SnapshotTable[[#This Row],[Long Term Target]]), ISNUMBER(SnapshotTable[[#This Row],[Last Price]])),(SnapshotTable[[#This Row],[Long Term Target]] - SnapshotTable[[#This Row],[Last Price]]) / SnapshotTable[[#This Row],[Last Price]], "")</f>
        <v>0.10199961912016747</v>
      </c>
      <c r="AP283" s="5">
        <v>265</v>
      </c>
      <c r="AQ283" s="38" t="s">
        <v>89</v>
      </c>
      <c r="AR283" s="5">
        <v>203.47</v>
      </c>
      <c r="AS283" s="38" t="s">
        <v>32</v>
      </c>
      <c r="AT283" s="146" t="s">
        <v>1133</v>
      </c>
      <c r="AU283" s="187" t="str">
        <f>IF(OR(SnapshotTable[[#This Row],[LP No Fill]]="Y",SnapshotTable[[#This Row],[SP Is Filled]],SnapshotTable[[#This Row],[LC Not Filled]]="Y",SnapshotTable[[#This Row],[SC Is Filled]]),"Y","")</f>
        <v/>
      </c>
      <c r="AV283" s="219"/>
      <c r="AW283" s="225"/>
      <c r="AX283" s="220"/>
      <c r="AY283" s="219" t="str">
        <f>IF(SnapshotTable[[#This Row],[Implied Move]]&gt;0, SnapshotTable[[#This Row],[Last Price]]-SnapshotTable[[#This Row],[Implied Move]],"")</f>
        <v/>
      </c>
      <c r="AZ283" s="219" t="str">
        <f>IF(SnapshotTable[[#This Row],[Implied Move]]&gt;0, SnapshotTable[[#This Row],[Last Price]] + SnapshotTable[[#This Row],[Implied Move]],"")</f>
        <v/>
      </c>
      <c r="BA283" s="331">
        <v>275.85000000000002</v>
      </c>
      <c r="BB283" s="347"/>
      <c r="BC28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3" s="351"/>
      <c r="BE283" s="5"/>
      <c r="BF283" s="14"/>
      <c r="BG283" s="13"/>
      <c r="BH283" s="13"/>
      <c r="BI283" s="5"/>
      <c r="BJ283" s="136">
        <f>IF(SnapshotTable[[#This Row],[LP Qty]] &gt; 0, SnapshotTable[[#This Row],[LP Qty]] * SnapshotTable[[#This Row],[LP Book Price]] * 100,0)</f>
        <v>0</v>
      </c>
      <c r="BK283" s="136">
        <f>IF(SnapshotTable[[#This Row],[LP Premium]] &gt; 0, SnapshotTable[[#This Row],[LP Qty]] * SnapshotTable[[#This Row],[LP Strike Price]] * 100,0)</f>
        <v>0</v>
      </c>
      <c r="BL283" s="154"/>
      <c r="BM283" s="385" t="str">
        <f>IF(SnapshotTable[[#This Row],[LP Premium]] &gt; 0,SnapshotTable[[#This Row],[LP Exp Date]]-MAX(SnapshotTable[[#This Row],[LP Book Date]], SnapshotTable[[#This Row],[LP Fill Date]]),"")</f>
        <v/>
      </c>
      <c r="BN283" s="385" t="str">
        <f>IF(ISNUMBER( SnapshotTable[[#This Row],[LP Term]]), SnapshotTable[[#This Row],[LP Exp Date]] - MockToday,"")</f>
        <v/>
      </c>
      <c r="BO283" s="163" t="str">
        <f>IF(AND(SnapshotTable[[#This Row],[LP Exp Date]]&gt;0, SnapshotTable[[#This Row],[LP Strike Price]]&gt;0,SnapshotTable[[#This Row],[LP Qty]]&gt;0,SnapshotTable[[#This Row],[LP Book Date]]&gt;0,SnapshotTable[[#This Row],[LP Book Price]]&gt;0,SnapshotTable[[#This Row],[LP Fill Date]]=0),"Y","")</f>
        <v/>
      </c>
      <c r="BP283" s="31" t="str">
        <f>IF(AND(SnapshotTable[[#This Row],[LP No Fill]]&lt;&gt;"Y",SnapshotTable[[#This Row],[LP Contract Value]]&gt;0, SnapshotTable[[#This Row],[LP Qty]]&gt;0), SnapshotTable[[#This Row],[LP Contract Value]]*SnapshotTable[[#This Row],[LP Qty]]*100,"")</f>
        <v/>
      </c>
      <c r="BQ283" s="13"/>
      <c r="BR283" s="5" t="str">
        <f>IF(SnapshotTable[[#This Row],[SP Exp Date]]&lt;&gt;"",TRUNC(SnapshotTable[[#This Row],[Last Price]]),"")</f>
        <v/>
      </c>
      <c r="BS283" s="36"/>
      <c r="BT283" s="147"/>
      <c r="BU283" s="13"/>
      <c r="BV283" s="5"/>
      <c r="BW283" s="419" t="b">
        <f>AND(ISNUMBER(SnapshotTable[[#This Row],[SP Exp Date]]), ISNUMBER(SnapshotTable[[#This Row],[SP Strike Price]]), ISNUMBER(SnapshotTable[[#This Row],[SP Qty]]), ISNUMBER(SnapshotTable[[#This Row],[SP Book Date]]), ISNUMBER(SnapshotTable[[#This Row],[SP Book Price]]))</f>
        <v>0</v>
      </c>
      <c r="BX283" s="419" t="b">
        <f>AND(SnapshotTable[[#This Row],[SP Is Booked]], NOT(ISBLANK(SnapshotTable[[#This Row],[SP Fill Date]])))</f>
        <v>0</v>
      </c>
      <c r="BY283" s="33">
        <f>IF(SnapshotTable[[#This Row],[SP Is Booked]], SnapshotTable[[#This Row],[SP Qty]] * SnapshotTable[[#This Row],[SP Book Price]] * 100, 0)</f>
        <v>0</v>
      </c>
      <c r="BZ283" s="369"/>
      <c r="CA283" s="368">
        <f>SnapshotTable[[#This Row],[LP Qty]]</f>
        <v>0</v>
      </c>
      <c r="CB283" s="4" t="str">
        <f>IF(SnapshotTable[[#This Row],[SP Is Booked]], SnapshotTable[[#This Row],[SP Strike Price]] - SnapshotTable[[#This Row],[SP Book Price]], "")</f>
        <v/>
      </c>
      <c r="CC283" s="19" t="str">
        <f>IF(SnapshotTable[[#This Row],[SP Is Booked]],SnapshotTable[[#This Row],[SP Exp Date]]-MAX(SnapshotTable[[#This Row],[SP Book Date]], SnapshotTable[[#This Row],[SP Fill Date]]),"")</f>
        <v/>
      </c>
      <c r="CD283" s="7" t="str">
        <f>IF(SnapshotTable[[#This Row],[SP Is Booked]], SnapshotTable[[#This Row],[SP Book Price]]/SnapshotTable[[#This Row],[SP Strike Price]], "")</f>
        <v/>
      </c>
      <c r="CE283" s="7" t="str">
        <f>IF(ISNUMBER(SnapshotTable[[#This Row],[SP ROO Term]]),SnapshotTable[[#This Row],[SP ROO Term]]*(365/SnapshotTable[[#This Row],[SP Term]]),"")</f>
        <v/>
      </c>
      <c r="CF283" s="236">
        <f>SnapshotTable[[#This Row],[LP Strike Price]] * SnapshotTable[[#This Row],[LP Qty]] * 100</f>
        <v>0</v>
      </c>
      <c r="CG283" s="31" t="e">
        <f>IF(ISNUMBER(SnapshotTable[[#This Row],[SP Premium]]), (SnapshotTable[[#This Row],[SP Qty]] * SnapshotTable[[#This Row],[SP Strike Price]]* 100) - SnapshotTable[[#This Row],[LP Protection]], 0)</f>
        <v>#VALUE!</v>
      </c>
      <c r="CH283" s="7" t="str">
        <f>IF(ISNUMBER(SnapshotTable[[#This Row],[SP Break Even]]),-1 * (SnapshotTable[[#This Row],[SP Break Even]] - SnapshotTable[[#This Row],[Last Price]]) / SnapshotTable[[#This Row],[Last Price]], "")</f>
        <v/>
      </c>
      <c r="CI283" s="31">
        <f>IF(AND(ISNUMBER((SnapshotTable[[#This Row],[SP Potential Spend]])), SnapshotTable[[#This Row],[SP Strike Price]] &gt; SnapshotTable[[#This Row],[Last Price]], SnapshotTable[[#This Row],[SP Is Filled]]), SnapshotTable[[#This Row],[SP Potential Spend]] -  SnapshotTable[[#This Row],[LP Max Value]], 0)</f>
        <v>0</v>
      </c>
      <c r="CJ283" s="244">
        <v>0.9</v>
      </c>
      <c r="CK283" s="31" t="str">
        <f>IF(ISNUMBER(SnapshotTable[[#This Row],[SP Potential Spend]]),IF(ISNUMBER(SnapshotTable[[#This Row],[SP POW]]), SnapshotTable[[#This Row],[SP POW]] * SnapshotTable[[#This Row],[SP Potential Spend]], SnapshotTable[[#This Row],[SP Potential Spend]]), "")</f>
        <v/>
      </c>
      <c r="CL283" s="164" t="e">
        <f>IF(NOT(SnapshotTable[[#This Row],[SP Is Filled]]),(SnapshotTable[[#This Row],[SP Qty]] * SnapshotTable[[#This Row],[SP Strike Price]] * 100) - SnapshotTable[[#This Row],[LP Max Value]],"")</f>
        <v>#VALUE!</v>
      </c>
      <c r="CM283" s="31" t="str">
        <f>IF(SnapshotTable[[#This Row],[SP Actual Spend]]&lt;&gt;0, ((SnapshotTable[[#This Row],[SP Strike Price]]-SnapshotTable[[#This Row],[Last Price]]) *(SnapshotTable[[#This Row],[SP Qty]]*100) - SnapshotTable[[#This Row],[SP Premium]]) * - 1, "")</f>
        <v/>
      </c>
      <c r="CN283" s="218"/>
      <c r="CO283" s="369"/>
      <c r="CP283" s="4" t="str">
        <f>IF(SnapshotTable[[#This Row],[SP Is Filled]], btc_max_buyback_amount(SnapshotTable[[#This Row],[SP Fill Date]],SnapshotTable[[#This Row],[SP Exp Date]], SnapshotTable[[#This Row],[SP Book Price]]),"")</f>
        <v/>
      </c>
      <c r="CQ283" s="78"/>
      <c r="CR28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3" s="155" t="str">
        <f>IF(SnapshotTable[[#This Row],[SP Is Filled]], btc_next_cutoff_date(SnapshotTable[[#This Row],[SP Fill Date]],SnapshotTable[[#This Row],[SP Exp Date]]),"")</f>
        <v/>
      </c>
      <c r="CT283" s="235" t="str" cm="1">
        <f t="array" ref="CT283">IF(SnapshotTable[[#This Row],[SP Is Filled]], btc_should_buy_back(SnapshotTable[[#This Row],[SP Fill Date]], SnapshotTable[[#This Row],[SP Exp Date]], SnapshotTable[[#This Row],[SP Book Price]], SnapshotTable[[#This Row],[SP Current Ask]], MockToday, SnapshotTable[[#This Row],[SP Buyback Override]]),"")</f>
        <v/>
      </c>
      <c r="CU283" s="143"/>
      <c r="CV283" s="235"/>
      <c r="CW283" s="378" t="str">
        <f>IF(ISNUMBER( SnapshotTable[[#This Row],[SP Term]]), SnapshotTable[[#This Row],[SP Exp Date]] - MockToday,"")</f>
        <v/>
      </c>
      <c r="CX283" s="31" t="str">
        <f>IF(SnapshotTable[[#This Row],[SP Is Filled]],SnapshotTable[[#This Row],[SP Buyback Price to Use]] * 100 * SnapshotTable[[#This Row],[SP Qty]], "")</f>
        <v/>
      </c>
      <c r="CY283" s="4" t="str">
        <f>IF(ISNUMBER(SnapshotTable[[#This Row],[SP Strike Price]]), SnapshotTable[[#This Row],[SP Strike Price]] * (1 - SP_MaxLoss_StrikePct), "")</f>
        <v/>
      </c>
      <c r="CZ283" s="31" t="str">
        <f>IF(ISNUMBER(SnapshotTable[[#This Row],[SP Strike  Stop Per Share]]),SnapshotTable[[#This Row],[SP Premium]] - ((SnapshotTable[[#This Row],[SP Strike Price]]-SnapshotTable[[#This Row],[SP Strike  Stop Per Share]]) *(SnapshotTable[[#This Row],[SP Qty]] * 100)),"")</f>
        <v/>
      </c>
      <c r="DA283" s="4" t="str">
        <f>IF(AND(ISNUMBER(SnapshotTable[[#This Row],[SP Premium]]),SnapshotTable[[#This Row],[SP Premium]]&gt;0), SnapshotTable[[#This Row],[SP Book Price]] * (1 + SP_MaxLoss_OptionPct), "")</f>
        <v/>
      </c>
      <c r="DB283" s="31" t="str">
        <f>IF(ISNUMBER(SnapshotTable[[#This Row],[SP Option  Stop Contract]]),(SnapshotTable[[#This Row],[SP Option  Stop Contract]] *(SnapshotTable[[#This Row],[SP Qty]] * 100) - SnapshotTable[[#This Row],[SP Premium]]),"")</f>
        <v/>
      </c>
      <c r="DC283" s="4"/>
      <c r="DD283" s="4"/>
      <c r="DE283" s="4" t="str">
        <f>IF(AND(SnapshotTable[[#This Row],[SP Qty]]&gt;0, SnapshotTable[[#This Row],[SP Stop To Use]]&gt;0),SnapshotTable[[#This Row],[SP Premium]] - ( SnapshotTable[[#This Row],[SP Qty]] * SnapshotTable[[#This Row],[SP Stop To Use]] * 100), "")</f>
        <v/>
      </c>
      <c r="DF283" s="31" t="str">
        <f>IF(AND(SnapshotTable[[#This Row],[SP Qty]]&gt;0,SnapshotTable[[#This Row],[SP Current Ask]]&gt;0), SnapshotTable[[#This Row],[SP Qty]] * SnapshotTable[[#This Row],[SP Current Ask]] * -100, "")</f>
        <v/>
      </c>
      <c r="DG283" s="31" t="str">
        <f>IF(ISNUMBER((SnapshotTable[[#This Row],[SP Total Value]])), SnapshotTable[[#This Row],[SP Premium]] + SnapshotTable[[#This Row],[SP Total Value]], "")</f>
        <v/>
      </c>
      <c r="DH283" s="294" t="str">
        <f>IF(ISNUMBER((SnapshotTable[[#This Row],[SP Total Value]])), SnapshotTable[[#This Row],[SP Gain Loss]] / SnapshotTable[[#This Row],[SP Premium]], "")</f>
        <v/>
      </c>
      <c r="DI283" s="406"/>
      <c r="DJ283" s="138"/>
      <c r="DK283" s="148"/>
      <c r="DL283" s="13"/>
      <c r="DM283" s="13"/>
      <c r="DN283" s="5"/>
      <c r="DO283" s="31">
        <f>IF(SnapshotTable[[#This Row],[LC Symbol Count]]=1, SnapshotTable[[#This Row],[LC Qty]] * SnapshotTable[[#This Row],[LC Book Price]] * 100, 0)</f>
        <v>0</v>
      </c>
      <c r="DP283" s="163" t="str">
        <f>IF(AND(SnapshotTable[[#This Row],[LC Exp Date]]&gt;0, SnapshotTable[[#This Row],[LC Strike Price]]&gt;0,SnapshotTable[[#This Row],[LC Qty]]&gt;0,SnapshotTable[[#This Row],[LC Book Date]]&gt;0,SnapshotTable[[#This Row],[LC Book Price]]&gt;0,SnapshotTable[[#This Row],[LC Fill Date]]=0),"Y","")</f>
        <v/>
      </c>
      <c r="DQ283" s="386" t="str">
        <f>IF(SnapshotTable[[#This Row],[LC Premium]] &gt; 0,SnapshotTable[[#This Row],[LC Exp Date]]-MAX(SnapshotTable[[#This Row],[LC Book Date]], SnapshotTable[[#This Row],[LC Fill Date]]),"")</f>
        <v/>
      </c>
      <c r="DR283" s="386" t="str">
        <f>IF(ISNUMBER(SnapshotTable[[#This Row],[LC Term]]), SnapshotTable[[#This Row],[LC Exp Date]] - MockToday, "")</f>
        <v/>
      </c>
      <c r="DS283" s="234" t="str">
        <f>IF(SnapshotTable[[#This Row],[LC Premium]]&gt;0,SnapshotTable[[#This Row],[LC Strike Price]] + SnapshotTable[[#This Row],[LC Book Price]],"")</f>
        <v/>
      </c>
      <c r="DT283" s="5"/>
      <c r="DU283" s="9" t="str">
        <f>IF(AND(SnapshotTable[[#This Row],[LC Symbol Count]]&gt;0, SnapshotTable[[#This Row],[LC Contract Value]]&gt;0), SnapshotTable[[#This Row],[LC Contract Value]] * SnapshotTable[[#This Row],[LC Qty]] * 100, "")</f>
        <v/>
      </c>
      <c r="DV283" s="9" t="str">
        <f>IF(AND(ISNUMBER(SnapshotTable[[#This Row],[LC Total Value]]), SnapshotTable[[#This Row],[LC Not Filled]]&lt;&gt;"Y"), SnapshotTable[[#This Row],[LC Total Value]]-SnapshotTable[[#This Row],[LC Premium]],"")</f>
        <v/>
      </c>
      <c r="DW283" s="240" t="str">
        <f>IF(ISNUMBER(SnapshotTable[[#This Row],[LC Actual Gain Loss]]), SnapshotTable[[#This Row],[LC Actual Gain Loss]] / SnapshotTable[[#This Row],[LC Premium]],"")</f>
        <v/>
      </c>
      <c r="DX283" s="284" t="str">
        <f>IF(ISNUMBER(SnapshotTable[[#This Row],[LC Book Price]]),SnapshotTable[[#This Row],[LC Book Price]] * 1.5,"")</f>
        <v/>
      </c>
      <c r="DY283" s="265" t="str">
        <f>IF(SnapshotTable[[#This Row],[LC Premium]]&gt;0, SnapshotTable[[#This Row],[LC Next Target]] * SnapshotTable[[#This Row],[LC Qty]] * 100,"")</f>
        <v/>
      </c>
      <c r="DZ283" s="265" t="str">
        <f>IF(ISNUMBER(SnapshotTable[[#This Row],[LC Target Gross]]), SnapshotTable[[#This Row],[LC Target Gross]] - SnapshotTable[[#This Row],[LC Premium]], "")</f>
        <v/>
      </c>
      <c r="EA283" s="305" t="str">
        <f>IF(ISNUMBER(SnapshotTable[[#This Row],[LC Target Gain Loss]]), SnapshotTable[[#This Row],[LC Target Gain Loss]]/SnapshotTable[[#This Row],[LC Premium]], "")</f>
        <v/>
      </c>
      <c r="EB283" s="262"/>
      <c r="EC283" s="283" t="str">
        <f>IF(SnapshotTable[[#This Row],[LC Premium]]&gt;0, SnapshotTable[[#This Row],[LC Book Price]] * (1 - LC_StopLoss_Pct),"")</f>
        <v/>
      </c>
      <c r="ED283" s="284"/>
      <c r="EE283" s="283" t="str">
        <f>IF(ISNUMBER(SnapshotTable[[#This Row],[LC Contract Value]]),IF(ISNUMBER(SnapshotTable[[#This Row],[LC Stop Loss Override]]), SnapshotTable[[#This Row],[LC Stop Loss Override]],SnapshotTable[[#This Row],[LC Stop Loss Calc Target]]),"")</f>
        <v/>
      </c>
      <c r="EF283" s="31" t="str">
        <f>IF(ISNUMBER(SnapshotTable[[#This Row],[LC Stop  To Use]]), (SnapshotTable[[#This Row],[LC Stop  To Use]] * SnapshotTable[[#This Row],[LC Qty]] * 100),"")</f>
        <v/>
      </c>
      <c r="EG283" s="9" t="str">
        <f>IF(ISNUMBER(SnapshotTable[[#This Row],[LC Total Value]]),SnapshotTable[[#This Row],[LC Stop Loss Amount]] - SnapshotTable[[#This Row],[LC Premium]],"")</f>
        <v/>
      </c>
      <c r="EH283" s="9">
        <f>IF(ISNUMBER(SnapshotTable[[#This Row],[LC Premium]]), SnapshotTable[[#This Row],[LC Qty]] * 100 * SnapshotTable[[#This Row],[LC Strike Price]], "")</f>
        <v>0</v>
      </c>
      <c r="EI283" s="240" t="str">
        <f>IF(AND(ISNUMBER(SnapshotTable[[#This Row],[LC Total Value]]),SnapshotTable[[#This Row],[LC Total Value]]&gt;0),SnapshotTable[[#This Row],[LC Stop Gain Loss]]  / SnapshotTable[[#This Row],[LC Premium]],"")</f>
        <v/>
      </c>
      <c r="EJ283" s="35">
        <f>IF(ISNUMBER(SnapshotTable[[#This Row],[Equity Shares]]),TRUNC(SnapshotTable[[#This Row],[Equity Shares]] / 100),0) + SnapshotTable[[#This Row],[LC Qty]]</f>
        <v>0</v>
      </c>
      <c r="EK283" s="147"/>
      <c r="EL283" s="138" t="str">
        <f>IF(SnapshotTable[[#This Row],[SC Exp Date]]&lt;&gt;"",TRUNC(SnapshotTable[[#This Row],[Last Price]]),"")</f>
        <v/>
      </c>
      <c r="EM283" s="148"/>
      <c r="EN283" s="147"/>
      <c r="EO283" s="147"/>
      <c r="EP283" s="138"/>
      <c r="EQ283" s="419" t="b">
        <f>AND(ISNUMBER(SnapshotTable[[#This Row],[SC Exp Date]]), ISNUMBER(SnapshotTable[[#This Row],[SC Strike Price]]), ISNUMBER(SnapshotTable[[#This Row],[SC Qty]]), ISNUMBER(SnapshotTable[[#This Row],[SC Book Date]]), ISNUMBER(SnapshotTable[[#This Row],[SC Book Price]]))</f>
        <v>0</v>
      </c>
      <c r="ER283" s="419" t="b">
        <f>AND(SnapshotTable[[#This Row],[SC Is Booked]], NOT(ISBLANK(SnapshotTable[[#This Row],[SC Fill Date]])))</f>
        <v>0</v>
      </c>
      <c r="ES283" s="370"/>
      <c r="ET283" s="34" t="str">
        <f>IF(AND(ISNUMBER(SnapshotTable[[#This Row],[SC Exp Date]]), ISNUMBER(SnapshotTable[[#This Row],[SC Book Date]])), SnapshotTable[[#This Row],[SC Exp Date]] - MAX(SnapshotTable[[#This Row],[SC Book Date]], SnapshotTable[[#This Row],[SC Fill Date]]) + 1, "")</f>
        <v/>
      </c>
      <c r="EU283" s="34" t="str">
        <f>IF(ISNUMBER(SnapshotTable[[#This Row],[SC Term]]), SnapshotTable[[#This Row],[SC Exp Date]]- MockToday, "")</f>
        <v/>
      </c>
      <c r="EV283" s="31">
        <f>IF(SnapshotTable[[#This Row],[SC Is Booked]], SnapshotTable[[#This Row],[SC Qty]] * SnapshotTable[[#This Row],[SC Book Price]] * 100, 0)</f>
        <v>0</v>
      </c>
      <c r="EW283" s="4" t="str">
        <f>IF(AND(ISNUMBER(SnapshotTable[[#This Row],[Last Price]]), ISNUMBER( SnapshotTable[[#This Row],[SC Book Price]])), SnapshotTable[[#This Row],[Last Price]] - SnapshotTable[[#This Row],[SC Book Price]],"")</f>
        <v/>
      </c>
      <c r="EX283" s="234" t="str">
        <f>IF(SnapshotTable[[#This Row],[SC Is Booked]],IF(SnapshotTable[[#This Row],[SC Intrinsic Value]] &gt; 0, SnapshotTable[[#This Row],[SC Strike Price]], SnapshotTable[[#This Row],[Last Price]]), "")</f>
        <v/>
      </c>
      <c r="EY283" s="4">
        <f>IF(SnapshotTable[[#This Row],[SC Is Booked]], (MinimumPremiumRequired * SnapshotTable[[#This Row],[SC Basis]] * SnapshotTable[[#This Row],[SC Term]]), 0)</f>
        <v>0</v>
      </c>
      <c r="EZ283" s="283"/>
      <c r="FA283" s="218"/>
      <c r="FB283" s="370"/>
      <c r="FC283" s="4">
        <f>IF(SnapshotTable[[#This Row],[SC Is Filled]], btc_max_buyback_amount(SnapshotTable[[#This Row],[SC Fill Date]],SnapshotTable[[#This Row],[SC Exp Date]], SnapshotTable[[#This Row],[SC Book Price]]),0)</f>
        <v>0</v>
      </c>
      <c r="FD283" s="5"/>
      <c r="FE283" s="144" t="str">
        <f>IF(SnapshotTable[[#This Row],[SC Is Filled]], btc_next_cutoff_date(SnapshotTable[[#This Row],[SC Fill Date]],SnapshotTable[[#This Row],[SC Exp Date]]),"")</f>
        <v/>
      </c>
      <c r="FF283" s="4" t="str" cm="1">
        <f t="array" ref="FF283">IF(SnapshotTable[[#This Row],[SC Is Filled]], btc_should_buy_back(SnapshotTable[[#This Row],[SC Fill Date]], SnapshotTable[[#This Row],[SC Exp Date]], SnapshotTable[[#This Row],[SC Book Price]], SnapshotTable[[#This Row],[SC Current Ask]], MockToday, SnapshotTable[[#This Row],[SC Buyback Override]]),"")</f>
        <v/>
      </c>
      <c r="FG283" s="4">
        <f>IF(SnapshotTable[[#This Row],[SC Is Filled]], MAX(0,SnapshotTable[[#This Row],[Last Price]]  - SnapshotTable[[#This Row],[SC Strike Price]]), 0)</f>
        <v>0</v>
      </c>
      <c r="FH283" s="382">
        <f>IF(SnapshotTable[[#This Row],[SC Is Filled]], IF(ISNUMBER(SnapshotTable[[#This Row],[SC Current Ask]]), SnapshotTable[[#This Row],[SC Current Ask]], SnapshotTable[[#This Row],[SC Book Price]]) - SnapshotTable[[#This Row],[SC Intrinsic Value]], 0)</f>
        <v>0</v>
      </c>
      <c r="FI283" s="143"/>
      <c r="FJ283" s="32" t="str">
        <f>IF(SnapshotTable[[#This Row],[SC Is Filled]],100 * SnapshotTable[[#This Row],[SC Qty]] * IF(ISNUMBER(SnapshotTable[[#This Row],[SC Buyback Override]]), SnapshotTable[[#This Row],[SC Buyback Override]], SnapshotTable[[#This Row],[SC Current Ask]]), "")</f>
        <v/>
      </c>
      <c r="FK283" s="250" t="str">
        <f>IF(SnapshotTable[[#This Row],[SC Time Val]]&gt;0, SnapshotTable[[#This Row],[SC Time Val]] / SnapshotTable[[#This Row],[Last Price]],"")</f>
        <v/>
      </c>
      <c r="FL283" s="302" t="str">
        <f>IF(SnapshotTable[[#This Row],[SC Is Booked]], ((SnapshotTable[[#This Row],[Last Price]] -SnapshotTable[[#This Row],[SC Strike Price]]) / SnapshotTable[[#This Row],[Last Price]]) * -1, "")</f>
        <v/>
      </c>
      <c r="FM283" s="157" t="str">
        <f>IF(SnapshotTable[[#This Row],[SC Is Booked]],  (SnapshotTable[[#This Row],[SC Qty]] * 100 * SnapshotTable[[#This Row],[SC Strike Price]]) - SnapshotTable[[#This Row],[SC Current Ask]], "")</f>
        <v/>
      </c>
      <c r="FN28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3" s="31" t="str">
        <f>IF(AND(ISNUMBER(SnapshotTable[[#This Row],[SC Exercise Gross]]), ISNUMBER(SnapshotTable[[#This Row],[Equity Basis Per Share]] )), SnapshotTable[[#This Row],[SC Exercise Gross]] - SnapshotTable[[#This Row],[Equity Basis Total]] +  SnapshotTable[[#This Row],[SC Premium]], "")</f>
        <v/>
      </c>
      <c r="FP283" s="5" t="str">
        <f>IF(ISNUMBER(SnapshotTable[[#This Row],[SC Exercise Gross]]), (SnapshotTable[[#This Row],[SC Exercise Gross]]) / (SnapshotTable[[#This Row],[SC Qty]] * 100), "")</f>
        <v/>
      </c>
      <c r="FQ283" s="27" t="str">
        <f>IF(SnapshotTable[[#This Row],[SC Is Booked]],SnapshotTable[[#This Row],[SC Time Val]] /SnapshotTable[[#This Row],[SC Basis]], "")</f>
        <v/>
      </c>
      <c r="FR283" s="27" t="str" cm="1">
        <f t="array" ref="FR283">IF(AND(ISNUMBER(SnapshotTable[[#This Row],[SC Term]]),ISNUMBER(SnapshotTable[[#This Row],[SC Simple ROO]])), EllmanAnnualize(SnapshotTable[[#This Row],[SC DTE]], SnapshotTable[[#This Row],[SC Simple ROO]] ),"")</f>
        <v/>
      </c>
      <c r="FS283" s="4" t="e">
        <f>IF(SnapshotTable[[#This Row],[SC Strike Price]] &gt; SnapshotTable[[#This Row],[Last Price]], SnapshotTable[[#This Row],[SC Strike Price]] - SnapshotTable[[#This Row],[Last Price]],0)</f>
        <v>#VALUE!</v>
      </c>
      <c r="FT283" s="27" t="e">
        <f>IF(AND(ISNUMBER(SnapshotTable[[#This Row],[SC Upside Potential]]), SnapshotTable[[#This Row],[SC Upside Potential]] &gt; 0),(SnapshotTable[[#This Row],[SC Upside Potential]]/ SnapshotTable[[#This Row],[ACB]]),"")</f>
        <v>#VALUE!</v>
      </c>
      <c r="FU283" s="333" t="str">
        <f>IF(SnapshotTable[[#This Row],[SC Intrinsic Value]] &gt; 0,SnapshotTable[[#This Row],[SC Intrinsic Value]],"")</f>
        <v/>
      </c>
      <c r="FV283" s="27" t="str">
        <f>IF(AND( ISNUMBER( SnapshotTable[[#This Row],[ACB]]),ISNUMBER(SnapshotTable[[#This Row],[SC Downside Protect]])),SnapshotTable[[#This Row],[SC Downside Protect]] / SnapshotTable[[#This Row],[ACB]],"")</f>
        <v/>
      </c>
      <c r="FW283" s="236" t="str">
        <f>IF(AND(ISNUMBER(SnapshotTable[[#This Row],[SC Simple ROO]]),SnapshotTable[[#This Row],[SC Simple ROO]] &gt; 0), SnapshotTable[[#This Row],[SC Premium]] + (SnapshotTable[[#This Row],[SC Qty]] * SnapshotTable[[#This Row],[SC Upside Potential]]), "")</f>
        <v/>
      </c>
      <c r="FX283" s="302" t="str" cm="1">
        <f t="array" ref="FX283">IF(ISNUMBER(SnapshotTable[[#This Row],[SC Max Dollars]]), annualize(SnapshotTable[[#This Row],[SC Term]],(SnapshotTable[[#This Row],[SC Max Dollars]]/SnapshotTable[[#This Row],[SC Basis]])),"")</f>
        <v/>
      </c>
      <c r="FY283" s="236" t="str">
        <f>IF(AND(SnapshotTable[[#This Row],[SC Qty]]&gt;0,SnapshotTable[[#This Row],[SC Current Ask]]&gt;0), SnapshotTable[[#This Row],[SC Qty]] * SnapshotTable[[#This Row],[SC Current Ask]] * -100, "")</f>
        <v/>
      </c>
      <c r="FZ283" s="31" t="str">
        <f>IF(ISNUMBER((SnapshotTable[[#This Row],[SC Current Value]])), SnapshotTable[[#This Row],[SC Premium]] + SnapshotTable[[#This Row],[SC Current Value]], "")</f>
        <v/>
      </c>
      <c r="GA283" s="294" t="str">
        <f>IFERROR( IF(ISNUMBER((SnapshotTable[[#This Row],[SC Current Value]])), SnapshotTable[[#This Row],[SC Gain Loss]] / SnapshotTable[[#This Row],[SC Premium]], ""), "")</f>
        <v/>
      </c>
      <c r="GB283" s="42">
        <f>SnapshotTable[[#This Row],[Equity Shares]] * SaleSharesToConsiderPercentage</f>
        <v>0</v>
      </c>
      <c r="GC283" s="40">
        <f>SnapshotTable[[#This Row],[Long Term Target]] * SellingPriceToConsiderBasedOnTargetPercentage</f>
        <v>274.86349999999999</v>
      </c>
      <c r="GD283" s="40">
        <f>SnapshotTable[[#This Row],[Last Price]] * (1+ SellingPriceToConsiderBasedOnTargetPercentage)</f>
        <v>511.97250000000003</v>
      </c>
      <c r="GE283" s="41"/>
      <c r="GF283" s="40"/>
      <c r="GG283" s="31">
        <f>SnapshotTable[[#This Row],[Booked Sale Shares]] * SnapshotTable[[#This Row],[Booked Sale Price]]</f>
        <v>0</v>
      </c>
      <c r="GH283" s="31" t="str">
        <f>IF(SnapshotTable[[#This Row],[Equity Basis Total]] &gt; 0, SnapshotTable[[#This Row],[Equity Basis Per Share]] * SnapshotTable[[#This Row],[Booked Sale Shares]], "")</f>
        <v/>
      </c>
      <c r="GI283" s="31">
        <f>IF(SnapshotTable[[#This Row],[Sale Proceeds]]&gt;0, SnapshotTable[[#This Row],[Sale Proceeds]] - SnapshotTable[[#This Row],[Sale Basis]], 0)</f>
        <v>0</v>
      </c>
      <c r="GJ283" s="27" t="str">
        <f>IF(SnapshotTable[[#This Row],[Sale G/L]]&gt;0, SnapshotTable[[#This Row],[Sale G/L]] / SnapshotTable[[#This Row],[Sale Basis]], IF(ISNUMBER(SnapshotTable[[#This Row],[SC Exercise P&amp;L (TAX)]]), SnapshotTable[[#This Row],[SC Exercise P&amp;L (TAX)]] / SnapshotTable[[#This Row],[SC Basis]], ""))</f>
        <v/>
      </c>
      <c r="GK283" s="27" t="s">
        <v>1120</v>
      </c>
      <c r="GL283" s="43" t="str">
        <f>IF(AND(SnapshotTable[[#This Row],[LP Exp Date]]&gt;0,SnapshotTable[[#This Row],[LP Strike Price]]&gt;0), [1]!ToOptionSymbol(SnapshotTable[[#This Row],[Symbol]], SnapshotTable[[#This Row],[LP Strike Price]],SnapshotTable[[#This Row],[LP Exp Date]],1), "")</f>
        <v/>
      </c>
      <c r="GM283" s="30" t="str">
        <f>IF(LEN(SnapshotTable[[#This Row],[LP Symbol]])&gt;0, 1, "")</f>
        <v/>
      </c>
      <c r="GN283" s="43" t="str">
        <f>IF(AND(SnapshotTable[[#This Row],[SP Exp Date]]&gt;0,SnapshotTable[[#This Row],[SP Strike Price]]&gt;0), [1]!ToOptionSymbol(SnapshotTable[[#This Row],[Symbol]], SnapshotTable[[#This Row],[SP Strike Price]],SnapshotTable[[#This Row],[SP Exp Date]],1), "")</f>
        <v/>
      </c>
      <c r="GO283" s="30" t="str">
        <f>IF(LEN(SnapshotTable[[#This Row],[SP Symbol]])&gt;0, 1, "")</f>
        <v/>
      </c>
      <c r="GP283" s="43" t="str">
        <f>IF(AND(SnapshotTable[[#This Row],[LC Exp Date]]&gt;0,SnapshotTable[[#This Row],[LC Strike Price]]&gt;0), [1]!ToOptionSymbol(SnapshotTable[[#This Row],[Symbol]], SnapshotTable[[#This Row],[LC Strike Price]],SnapshotTable[[#This Row],[LC Exp Date]],0), "")</f>
        <v/>
      </c>
      <c r="GQ283" s="30" t="str">
        <f>IF(LEN(SnapshotTable[[#This Row],[LC Symbol]])&gt;0, 1, "")</f>
        <v/>
      </c>
      <c r="GR283" s="43" t="str">
        <f>IF(AND(SnapshotTable[[#This Row],[SC Exp Date]]&gt;0,SnapshotTable[[#This Row],[SC Strike Price]]&gt;0), [1]!ToOptionSymbol(SnapshotTable[[#This Row],[Symbol]], SnapshotTable[[#This Row],[SC Strike Price]],SnapshotTable[[#This Row],[SC Exp Date]],0), "")</f>
        <v/>
      </c>
      <c r="GS283" s="30" t="str">
        <f>IF(LEN(SnapshotTable[[#This Row],[SC Symbol]])&gt;0, 1, "")</f>
        <v/>
      </c>
      <c r="GT283" s="29" t="str">
        <f>IF(COUNT(SnapshotTable[[#This Row],[LP Symbol Count]],SnapshotTable[[#This Row],[SP Symbol Count]],SnapshotTable[[#This Row],[LC Symbol Count]],SnapshotTable[[#This Row],[SC Symbol Count]])&gt;0, "Y", "")</f>
        <v/>
      </c>
      <c r="GU28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83" s="231" t="e">
        <f>MAX(SnapshotTable[[#This Row],[Equity Basis Total]],SnapshotTable[[#This Row],[Equity Value]]) + (SnapshotTable[[#This Row],[SP Potential Spend]]- SnapshotTable[[#This Row],[SP Premium]] + SnapshotTable[[#This Row],[LP Premium]])+ (SnapshotTable[[#This Row],[LC Premium]] - SnapshotTable[[#This Row],[SC Premium]])</f>
        <v>#VALUE!</v>
      </c>
      <c r="GW283" s="139" t="e">
        <f>IF(AND(SnapshotTable[[#This Row],[Exposure]] &lt;&gt; 0),SnapshotTable[[#This Row],[Exposure]] / SnapshotTable[[#Totals],[Exposure]], "")</f>
        <v>#VALUE!</v>
      </c>
      <c r="GY283" s="381"/>
      <c r="HE283" s="381"/>
      <c r="HF283" s="381"/>
      <c r="HG283" s="381"/>
      <c r="HH283" s="381"/>
      <c r="HI283" s="381"/>
      <c r="HJ283" s="381"/>
    </row>
    <row r="284" spans="2:224" s="47" customFormat="1" ht="12.75" hidden="1" customHeight="1" x14ac:dyDescent="0.25">
      <c r="B284" s="12" t="s">
        <v>1151</v>
      </c>
      <c r="C284" s="422">
        <v>14.62</v>
      </c>
      <c r="D284" s="208"/>
      <c r="E284" s="39">
        <f>SnapshotTable[[#This Row],[Last Price]]*(1 -CrashDiscount)</f>
        <v>12.427</v>
      </c>
      <c r="F284" s="26" t="s">
        <v>970</v>
      </c>
      <c r="G284" s="26" t="s">
        <v>872</v>
      </c>
      <c r="H284" s="149"/>
      <c r="I284" s="194"/>
      <c r="J284" s="195"/>
      <c r="K284" s="196"/>
      <c r="L284" s="326"/>
      <c r="M284" s="140"/>
      <c r="N284" s="140"/>
      <c r="O284" s="140"/>
      <c r="P284" s="22"/>
      <c r="Q284" s="25"/>
      <c r="R284" s="4" t="str">
        <f>IF(SnapshotTable[[#This Row],[Equity Basis Total]] &gt; 0, SnapshotTable[[#This Row],[Equity Basis Total]] / SnapshotTable[[#This Row],[Equity Shares]], "")</f>
        <v/>
      </c>
      <c r="S284" s="269">
        <f>SnapshotTable[[#This Row],[Last Price]] * SnapshotTable[[#This Row],[Equity Shares]]</f>
        <v>0</v>
      </c>
      <c r="T284" s="269">
        <f>SnapshotTable[[#This Row],[Equity Value]] - SnapshotTable[[#This Row],[Equity Basis Total]]</f>
        <v>0</v>
      </c>
      <c r="U284" s="270" t="str">
        <f>IF(SnapshotTable[[#This Row],[Equity Basis Total]] &gt; 0, SnapshotTable[[#This Row],[Equity G/L]] / SnapshotTable[[#This Row],[Equity Basis Total]], "")</f>
        <v/>
      </c>
      <c r="V284" s="268">
        <v>14.4</v>
      </c>
      <c r="W284" s="268">
        <v>11.85</v>
      </c>
      <c r="X284" s="4" t="str">
        <f>IF(AND(ISNUMBER(SnapshotTable[[#This Row],[Equity Basis Per Share]]),ISNUMBER(SnapshotTable[[#This Row],[Equity Target]])),SnapshotTable[[#This Row],[Equity Target]]-SnapshotTable[[#This Row],[Equity Basis Per Share]],"")</f>
        <v/>
      </c>
      <c r="Y284" s="4" t="str">
        <f>IF(AND(ISNUMBER(SnapshotTable[[#This Row],[Equity Basis Per Share]]),ISNUMBER(SnapshotTable[[#This Row],[Equity Stop Loss]])),SnapshotTable[[#This Row],[Equity Stop Loss]]-SnapshotTable[[#This Row],[Equity Basis Per Share]],"")</f>
        <v/>
      </c>
      <c r="Z284" s="275" t="str">
        <f>IFERROR( TEXT(SnapshotTable[[#This Row],[Equity Max Gain Per Share]] /ABS( SnapshotTable[[#This Row],[Equity Max Loss Per Share]]),"0.0 " ) &amp; " : 1", "")</f>
        <v/>
      </c>
      <c r="AA284" s="31" t="str">
        <f>IF(ISNUMBER(SnapshotTable[[#This Row],[Equity Max Gain Per Share]]),SnapshotTable[[#This Row],[Equity Max Gain Per Share]] * SnapshotTable[[#This Row],[Equity Shares]],"")</f>
        <v/>
      </c>
      <c r="AB284" s="31" t="str">
        <f>IF(ISNUMBER(SnapshotTable[[#This Row],[Equity Max Loss Per Share]]),SnapshotTable[[#This Row],[Equity Max Loss Per Share]] * SnapshotTable[[#This Row],[Equity Shares]],"")</f>
        <v/>
      </c>
      <c r="AC284" s="150"/>
      <c r="AD284" s="151"/>
      <c r="AE284" s="31">
        <f>(SnapshotTable[[#This Row],[Annual Dividend Per Share]] / 4) * SnapshotTable[[#This Row],[Equity Shares]]</f>
        <v>0</v>
      </c>
      <c r="AF284" s="31">
        <f>SnapshotTable[[#This Row],[Quarterly Div $]] * 4</f>
        <v>0</v>
      </c>
      <c r="AG284" s="7">
        <f>IF(SnapshotTable[[#This Row],[Annual Dividend Per Share]]&gt;0, SnapshotTable[[#This Row],[Annual Dividend Per Share]]  / SnapshotTable[[#This Row],[Last Price]], 0)</f>
        <v>0</v>
      </c>
      <c r="AH284" s="151"/>
      <c r="AI284" s="5"/>
      <c r="AJ284" s="138"/>
      <c r="AK284" s="152" t="str">
        <f>IF(ISNUMBER( SnapshotTable[[#This Row],[EBF Target]]),(SnapshotTable[[#This Row],[EBF Target]] - SnapshotTable[[#This Row],[Last Price]]) / SnapshotTable[[#This Row],[Last Price]], "")</f>
        <v/>
      </c>
      <c r="AL284" s="152" t="str">
        <f>IF(AND(SnapshotTable[[#This Row],[Equity Basis Total]] &gt; 0,ISNUMBER( SnapshotTable[[#This Row],[Long Term Target]])), SnapshotTable[[#This Row],[From Basis $]] / SnapshotTable[[#This Row],[Equity Basis Total]], "")</f>
        <v/>
      </c>
      <c r="AM284" s="9">
        <f>IF( AND(SnapshotTable[[#This Row],[Equity Shares]] &gt;0,ISNUMBER( SnapshotTable[[#This Row],[Long Term Target]])),(SnapshotTable[[#This Row],[Equity Shares]] * SnapshotTable[[#This Row],[Long Term Target]]) - SnapshotTable[[#This Row],[Equity Basis Total]],0)</f>
        <v>0</v>
      </c>
      <c r="AN284" s="9">
        <f>IF( AND(SnapshotTable[[#This Row],[Equity Shares]] &gt;0,ISNUMBER( SnapshotTable[[#This Row],[Long Term Target]])),(SnapshotTable[[#This Row],[Equity Shares]]*SnapshotTable[[#This Row],[Long Term Target]]) - SnapshotTable[[#This Row],[Equity Value]],0)</f>
        <v>0</v>
      </c>
      <c r="AO284" s="152" t="str">
        <f>IF(AND(ISNUMBER( SnapshotTable[[#This Row],[Long Term Target]]), ISNUMBER(SnapshotTable[[#This Row],[Last Price]])),(SnapshotTable[[#This Row],[Long Term Target]] - SnapshotTable[[#This Row],[Last Price]]) / SnapshotTable[[#This Row],[Last Price]], "")</f>
        <v/>
      </c>
      <c r="AP284" s="5">
        <v>14</v>
      </c>
      <c r="AQ284" s="38" t="s">
        <v>27</v>
      </c>
      <c r="AR284" s="5">
        <v>14</v>
      </c>
      <c r="AS284" s="38" t="s">
        <v>26</v>
      </c>
      <c r="AT284" s="146" t="s">
        <v>542</v>
      </c>
      <c r="AU284" s="187" t="str">
        <f>IF(OR(SnapshotTable[[#This Row],[LP No Fill]]="Y",SnapshotTable[[#This Row],[SP Is Filled]],SnapshotTable[[#This Row],[LC Not Filled]]="Y",SnapshotTable[[#This Row],[SC Is Filled]]),"Y","")</f>
        <v/>
      </c>
      <c r="AV284" s="219"/>
      <c r="AW284" s="225"/>
      <c r="AX284" s="220"/>
      <c r="AY284" s="219" t="str">
        <f>IF(SnapshotTable[[#This Row],[Implied Move]]&gt;0, SnapshotTable[[#This Row],[Last Price]]-SnapshotTable[[#This Row],[Implied Move]],"")</f>
        <v/>
      </c>
      <c r="AZ284" s="219" t="str">
        <f>IF(SnapshotTable[[#This Row],[Implied Move]]&gt;0, SnapshotTable[[#This Row],[Last Price]] + SnapshotTable[[#This Row],[Implied Move]],"")</f>
        <v/>
      </c>
      <c r="BA284" s="331">
        <v>11.11</v>
      </c>
      <c r="BB284" s="347"/>
      <c r="BC28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4" s="351"/>
      <c r="BE284" s="5"/>
      <c r="BF284" s="14"/>
      <c r="BG284" s="13"/>
      <c r="BH284" s="13"/>
      <c r="BI284" s="5"/>
      <c r="BJ284" s="136">
        <f>IF(SnapshotTable[[#This Row],[LP Qty]] &gt; 0, SnapshotTable[[#This Row],[LP Qty]] * SnapshotTable[[#This Row],[LP Book Price]] * 100,0)</f>
        <v>0</v>
      </c>
      <c r="BK284" s="136">
        <f>IF(SnapshotTable[[#This Row],[LP Premium]] &gt; 0, SnapshotTable[[#This Row],[LP Qty]] * SnapshotTable[[#This Row],[LP Strike Price]] * 100,0)</f>
        <v>0</v>
      </c>
      <c r="BL284" s="154"/>
      <c r="BM284" s="385" t="str">
        <f>IF(SnapshotTable[[#This Row],[LP Premium]] &gt; 0,SnapshotTable[[#This Row],[LP Exp Date]]-MAX(SnapshotTable[[#This Row],[LP Book Date]], SnapshotTable[[#This Row],[LP Fill Date]]),"")</f>
        <v/>
      </c>
      <c r="BN284" s="385" t="str">
        <f>IF(ISNUMBER( SnapshotTable[[#This Row],[LP Term]]), SnapshotTable[[#This Row],[LP Exp Date]] - MockToday,"")</f>
        <v/>
      </c>
      <c r="BO284" s="163" t="str">
        <f>IF(AND(SnapshotTable[[#This Row],[LP Exp Date]]&gt;0, SnapshotTable[[#This Row],[LP Strike Price]]&gt;0,SnapshotTable[[#This Row],[LP Qty]]&gt;0,SnapshotTable[[#This Row],[LP Book Date]]&gt;0,SnapshotTable[[#This Row],[LP Book Price]]&gt;0,SnapshotTable[[#This Row],[LP Fill Date]]=0),"Y","")</f>
        <v/>
      </c>
      <c r="BP284" s="31" t="str">
        <f>IF(AND(SnapshotTable[[#This Row],[LP No Fill]]&lt;&gt;"Y",SnapshotTable[[#This Row],[LP Contract Value]]&gt;0, SnapshotTable[[#This Row],[LP Qty]]&gt;0), SnapshotTable[[#This Row],[LP Contract Value]]*SnapshotTable[[#This Row],[LP Qty]]*100,"")</f>
        <v/>
      </c>
      <c r="BQ284" s="13"/>
      <c r="BR284" s="5" t="str">
        <f>IF(SnapshotTable[[#This Row],[SP Exp Date]]&lt;&gt;"",TRUNC(SnapshotTable[[#This Row],[Last Price]]),"")</f>
        <v/>
      </c>
      <c r="BS284" s="36"/>
      <c r="BT284" s="147"/>
      <c r="BU284" s="13"/>
      <c r="BV284" s="5"/>
      <c r="BW284" s="419" t="b">
        <f>AND(ISNUMBER(SnapshotTable[[#This Row],[SP Exp Date]]), ISNUMBER(SnapshotTable[[#This Row],[SP Strike Price]]), ISNUMBER(SnapshotTable[[#This Row],[SP Qty]]), ISNUMBER(SnapshotTable[[#This Row],[SP Book Date]]), ISNUMBER(SnapshotTable[[#This Row],[SP Book Price]]))</f>
        <v>0</v>
      </c>
      <c r="BX284" s="419" t="b">
        <f>AND(SnapshotTable[[#This Row],[SP Is Booked]], NOT(ISBLANK(SnapshotTable[[#This Row],[SP Fill Date]])))</f>
        <v>0</v>
      </c>
      <c r="BY284" s="33">
        <f>IF(SnapshotTable[[#This Row],[SP Is Booked]], SnapshotTable[[#This Row],[SP Qty]] * SnapshotTable[[#This Row],[SP Book Price]] * 100, 0)</f>
        <v>0</v>
      </c>
      <c r="BZ284" s="369"/>
      <c r="CA284" s="368">
        <f>SnapshotTable[[#This Row],[LP Qty]]</f>
        <v>0</v>
      </c>
      <c r="CB284" s="4" t="str">
        <f>IF(SnapshotTable[[#This Row],[SP Is Booked]], SnapshotTable[[#This Row],[SP Strike Price]] - SnapshotTable[[#This Row],[SP Book Price]], "")</f>
        <v/>
      </c>
      <c r="CC284" s="19" t="str">
        <f>IF(SnapshotTable[[#This Row],[SP Is Booked]],SnapshotTable[[#This Row],[SP Exp Date]]-MAX(SnapshotTable[[#This Row],[SP Book Date]], SnapshotTable[[#This Row],[SP Fill Date]]),"")</f>
        <v/>
      </c>
      <c r="CD284" s="7" t="str">
        <f>IF(SnapshotTable[[#This Row],[SP Is Booked]], SnapshotTable[[#This Row],[SP Book Price]]/SnapshotTable[[#This Row],[SP Strike Price]], "")</f>
        <v/>
      </c>
      <c r="CE284" s="7" t="str">
        <f>IF(ISNUMBER(SnapshotTable[[#This Row],[SP ROO Term]]),SnapshotTable[[#This Row],[SP ROO Term]]*(365/SnapshotTable[[#This Row],[SP Term]]),"")</f>
        <v/>
      </c>
      <c r="CF284" s="236">
        <f>SnapshotTable[[#This Row],[LP Strike Price]] * SnapshotTable[[#This Row],[LP Qty]] * 100</f>
        <v>0</v>
      </c>
      <c r="CG284" s="31" t="e">
        <f>IF(ISNUMBER(SnapshotTable[[#This Row],[SP Premium]]), (SnapshotTable[[#This Row],[SP Qty]] * SnapshotTable[[#This Row],[SP Strike Price]]* 100) - SnapshotTable[[#This Row],[LP Protection]], 0)</f>
        <v>#VALUE!</v>
      </c>
      <c r="CH284" s="7" t="str">
        <f>IF(ISNUMBER(SnapshotTable[[#This Row],[SP Break Even]]),-1 * (SnapshotTable[[#This Row],[SP Break Even]] - SnapshotTable[[#This Row],[Last Price]]) / SnapshotTable[[#This Row],[Last Price]], "")</f>
        <v/>
      </c>
      <c r="CI284" s="31">
        <f>IF(AND(ISNUMBER((SnapshotTable[[#This Row],[SP Potential Spend]])), SnapshotTable[[#This Row],[SP Strike Price]] &gt; SnapshotTable[[#This Row],[Last Price]], SnapshotTable[[#This Row],[SP Is Filled]]), SnapshotTable[[#This Row],[SP Potential Spend]] -  SnapshotTable[[#This Row],[LP Max Value]], 0)</f>
        <v>0</v>
      </c>
      <c r="CJ284" s="244">
        <v>0.01</v>
      </c>
      <c r="CK284" s="31" t="str">
        <f>IF(ISNUMBER(SnapshotTable[[#This Row],[SP Potential Spend]]),IF(ISNUMBER(SnapshotTable[[#This Row],[SP POW]]), SnapshotTable[[#This Row],[SP POW]] * SnapshotTable[[#This Row],[SP Potential Spend]], SnapshotTable[[#This Row],[SP Potential Spend]]), "")</f>
        <v/>
      </c>
      <c r="CL284" s="164" t="e">
        <f>IF(NOT(SnapshotTable[[#This Row],[SP Is Filled]]),(SnapshotTable[[#This Row],[SP Qty]] * SnapshotTable[[#This Row],[SP Strike Price]] * 100) - SnapshotTable[[#This Row],[LP Max Value]],"")</f>
        <v>#VALUE!</v>
      </c>
      <c r="CM284" s="31" t="str">
        <f>IF(SnapshotTable[[#This Row],[SP Actual Spend]]&lt;&gt;0, ((SnapshotTable[[#This Row],[SP Strike Price]]-SnapshotTable[[#This Row],[Last Price]]) *(SnapshotTable[[#This Row],[SP Qty]]*100) - SnapshotTable[[#This Row],[SP Premium]]) * - 1, "")</f>
        <v/>
      </c>
      <c r="CN284" s="78"/>
      <c r="CO284" s="369"/>
      <c r="CP284" s="4" t="str">
        <f>IF(SnapshotTable[[#This Row],[SP Is Filled]], btc_max_buyback_amount(SnapshotTable[[#This Row],[SP Fill Date]],SnapshotTable[[#This Row],[SP Exp Date]], SnapshotTable[[#This Row],[SP Book Price]]),"")</f>
        <v/>
      </c>
      <c r="CQ284" s="78"/>
      <c r="CR28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4" s="155" t="str">
        <f>IF(SnapshotTable[[#This Row],[SP Is Filled]], btc_next_cutoff_date(SnapshotTable[[#This Row],[SP Fill Date]],SnapshotTable[[#This Row],[SP Exp Date]]),"")</f>
        <v/>
      </c>
      <c r="CT284" s="235" t="str" cm="1">
        <f t="array" ref="CT284">IF(SnapshotTable[[#This Row],[SP Is Filled]], btc_should_buy_back(SnapshotTable[[#This Row],[SP Fill Date]], SnapshotTable[[#This Row],[SP Exp Date]], SnapshotTable[[#This Row],[SP Book Price]], SnapshotTable[[#This Row],[SP Current Ask]], MockToday, SnapshotTable[[#This Row],[SP Buyback Override]]),"")</f>
        <v/>
      </c>
      <c r="CU284" s="143"/>
      <c r="CV284" s="235"/>
      <c r="CW284" s="378" t="str">
        <f>IF(ISNUMBER( SnapshotTable[[#This Row],[SP Term]]), SnapshotTable[[#This Row],[SP Exp Date]] - MockToday,"")</f>
        <v/>
      </c>
      <c r="CX284" s="31" t="str">
        <f>IF(SnapshotTable[[#This Row],[SP Is Filled]],SnapshotTable[[#This Row],[SP Buyback Price to Use]] * 100 * SnapshotTable[[#This Row],[SP Qty]], "")</f>
        <v/>
      </c>
      <c r="CY284" s="4" t="str">
        <f>IF(ISNUMBER(SnapshotTable[[#This Row],[SP Strike Price]]), SnapshotTable[[#This Row],[SP Strike Price]] * (1 - SP_MaxLoss_StrikePct), "")</f>
        <v/>
      </c>
      <c r="CZ284" s="31" t="str">
        <f>IF(ISNUMBER(SnapshotTable[[#This Row],[SP Strike  Stop Per Share]]),SnapshotTable[[#This Row],[SP Premium]] - ((SnapshotTable[[#This Row],[SP Strike Price]]-SnapshotTable[[#This Row],[SP Strike  Stop Per Share]]) *(SnapshotTable[[#This Row],[SP Qty]] * 100)),"")</f>
        <v/>
      </c>
      <c r="DA284" s="4" t="str">
        <f>IF(AND(ISNUMBER(SnapshotTable[[#This Row],[SP Premium]]),SnapshotTable[[#This Row],[SP Premium]]&gt;0), SnapshotTable[[#This Row],[SP Book Price]] * (1 + SP_MaxLoss_OptionPct), "")</f>
        <v/>
      </c>
      <c r="DB284" s="31" t="str">
        <f>IF(ISNUMBER(SnapshotTable[[#This Row],[SP Option  Stop Contract]]),(SnapshotTable[[#This Row],[SP Option  Stop Contract]] *(SnapshotTable[[#This Row],[SP Qty]] * 100) - SnapshotTable[[#This Row],[SP Premium]]),"")</f>
        <v/>
      </c>
      <c r="DC284" s="4"/>
      <c r="DD284" s="4"/>
      <c r="DE284" s="4" t="str">
        <f>IF(AND(SnapshotTable[[#This Row],[SP Qty]]&gt;0, SnapshotTable[[#This Row],[SP Stop To Use]]&gt;0),SnapshotTable[[#This Row],[SP Premium]] - ( SnapshotTable[[#This Row],[SP Qty]] * SnapshotTable[[#This Row],[SP Stop To Use]] * 100), "")</f>
        <v/>
      </c>
      <c r="DF284" s="31" t="str">
        <f>IF(AND(SnapshotTable[[#This Row],[SP Qty]]&gt;0,SnapshotTable[[#This Row],[SP Current Ask]]&gt;0), SnapshotTable[[#This Row],[SP Qty]] * SnapshotTable[[#This Row],[SP Current Ask]] * -100, "")</f>
        <v/>
      </c>
      <c r="DG284" s="31" t="str">
        <f>IF(ISNUMBER((SnapshotTable[[#This Row],[SP Total Value]])), SnapshotTable[[#This Row],[SP Premium]] + SnapshotTable[[#This Row],[SP Total Value]], "")</f>
        <v/>
      </c>
      <c r="DH284" s="294" t="str">
        <f>IF(ISNUMBER((SnapshotTable[[#This Row],[SP Total Value]])), SnapshotTable[[#This Row],[SP Gain Loss]] / SnapshotTable[[#This Row],[SP Premium]], "")</f>
        <v/>
      </c>
      <c r="DI284" s="406"/>
      <c r="DJ284" s="138"/>
      <c r="DK284" s="148"/>
      <c r="DL284" s="13"/>
      <c r="DM284" s="13"/>
      <c r="DN284" s="5"/>
      <c r="DO284" s="31">
        <f>IF(SnapshotTable[[#This Row],[LC Symbol Count]]=1, SnapshotTable[[#This Row],[LC Qty]] * SnapshotTable[[#This Row],[LC Book Price]] * 100, 0)</f>
        <v>0</v>
      </c>
      <c r="DP284" s="163" t="str">
        <f>IF(AND(SnapshotTable[[#This Row],[LC Exp Date]]&gt;0, SnapshotTable[[#This Row],[LC Strike Price]]&gt;0,SnapshotTable[[#This Row],[LC Qty]]&gt;0,SnapshotTable[[#This Row],[LC Book Date]]&gt;0,SnapshotTable[[#This Row],[LC Book Price]]&gt;0,SnapshotTable[[#This Row],[LC Fill Date]]=0),"Y","")</f>
        <v/>
      </c>
      <c r="DQ284" s="386" t="str">
        <f>IF(SnapshotTable[[#This Row],[LC Premium]] &gt; 0,SnapshotTable[[#This Row],[LC Exp Date]]-MAX(SnapshotTable[[#This Row],[LC Book Date]], SnapshotTable[[#This Row],[LC Fill Date]]),"")</f>
        <v/>
      </c>
      <c r="DR284" s="386" t="str">
        <f>IF(ISNUMBER(SnapshotTable[[#This Row],[LC Term]]), SnapshotTable[[#This Row],[LC Exp Date]] - MockToday, "")</f>
        <v/>
      </c>
      <c r="DS284" s="234" t="str">
        <f>IF(SnapshotTable[[#This Row],[LC Premium]]&gt;0,SnapshotTable[[#This Row],[LC Strike Price]] + SnapshotTable[[#This Row],[LC Book Price]],"")</f>
        <v/>
      </c>
      <c r="DT284" s="5"/>
      <c r="DU284" s="9" t="str">
        <f>IF(AND(SnapshotTable[[#This Row],[LC Symbol Count]]&gt;0, SnapshotTable[[#This Row],[LC Contract Value]]&gt;0), SnapshotTable[[#This Row],[LC Contract Value]] * SnapshotTable[[#This Row],[LC Qty]] * 100, "")</f>
        <v/>
      </c>
      <c r="DV284" s="9" t="str">
        <f>IF(AND(ISNUMBER(SnapshotTable[[#This Row],[LC Total Value]]), SnapshotTable[[#This Row],[LC Not Filled]]&lt;&gt;"Y"), SnapshotTable[[#This Row],[LC Total Value]]-SnapshotTable[[#This Row],[LC Premium]],"")</f>
        <v/>
      </c>
      <c r="DW284" s="240" t="str">
        <f>IF(ISNUMBER(SnapshotTable[[#This Row],[LC Actual Gain Loss]]), SnapshotTable[[#This Row],[LC Actual Gain Loss]] / SnapshotTable[[#This Row],[LC Premium]],"")</f>
        <v/>
      </c>
      <c r="DX284" s="284" t="str">
        <f>IF(ISNUMBER(SnapshotTable[[#This Row],[LC Book Price]]),SnapshotTable[[#This Row],[LC Book Price]] * 1.5,"")</f>
        <v/>
      </c>
      <c r="DY284" s="265" t="str">
        <f>IF(SnapshotTable[[#This Row],[LC Premium]]&gt;0, SnapshotTable[[#This Row],[LC Next Target]] * SnapshotTable[[#This Row],[LC Qty]] * 100,"")</f>
        <v/>
      </c>
      <c r="DZ284" s="265" t="str">
        <f>IF(ISNUMBER(SnapshotTable[[#This Row],[LC Target Gross]]), SnapshotTable[[#This Row],[LC Target Gross]] - SnapshotTable[[#This Row],[LC Premium]], "")</f>
        <v/>
      </c>
      <c r="EA284" s="305" t="str">
        <f>IF(ISNUMBER(SnapshotTable[[#This Row],[LC Target Gain Loss]]), SnapshotTable[[#This Row],[LC Target Gain Loss]]/SnapshotTable[[#This Row],[LC Premium]], "")</f>
        <v/>
      </c>
      <c r="EB284" s="262"/>
      <c r="EC284" s="283" t="str">
        <f>IF(SnapshotTable[[#This Row],[LC Premium]]&gt;0, SnapshotTable[[#This Row],[LC Book Price]] * (1 - LC_StopLoss_Pct),"")</f>
        <v/>
      </c>
      <c r="ED284" s="284"/>
      <c r="EE284" s="283" t="str">
        <f>IF(ISNUMBER(SnapshotTable[[#This Row],[LC Contract Value]]),IF(ISNUMBER(SnapshotTable[[#This Row],[LC Stop Loss Override]]), SnapshotTable[[#This Row],[LC Stop Loss Override]],SnapshotTable[[#This Row],[LC Stop Loss Calc Target]]),"")</f>
        <v/>
      </c>
      <c r="EF284" s="31" t="str">
        <f>IF(ISNUMBER(SnapshotTable[[#This Row],[LC Stop  To Use]]), (SnapshotTable[[#This Row],[LC Stop  To Use]] * SnapshotTable[[#This Row],[LC Qty]] * 100),"")</f>
        <v/>
      </c>
      <c r="EG284" s="9" t="str">
        <f>IF(ISNUMBER(SnapshotTable[[#This Row],[LC Total Value]]),SnapshotTable[[#This Row],[LC Stop Loss Amount]] - SnapshotTable[[#This Row],[LC Premium]],"")</f>
        <v/>
      </c>
      <c r="EH284" s="9">
        <f>IF(ISNUMBER(SnapshotTable[[#This Row],[LC Premium]]), SnapshotTable[[#This Row],[LC Qty]] * 100 * SnapshotTable[[#This Row],[LC Strike Price]], "")</f>
        <v>0</v>
      </c>
      <c r="EI284" s="240" t="str">
        <f>IF(AND(ISNUMBER(SnapshotTable[[#This Row],[LC Total Value]]),SnapshotTable[[#This Row],[LC Total Value]]&gt;0),SnapshotTable[[#This Row],[LC Stop Gain Loss]]  / SnapshotTable[[#This Row],[LC Premium]],"")</f>
        <v/>
      </c>
      <c r="EJ284" s="35">
        <f>IF(ISNUMBER(SnapshotTable[[#This Row],[Equity Shares]]),TRUNC(SnapshotTable[[#This Row],[Equity Shares]] / 100),0) + SnapshotTable[[#This Row],[LC Qty]]</f>
        <v>0</v>
      </c>
      <c r="EK284" s="147"/>
      <c r="EL284" s="138" t="str">
        <f>IF(SnapshotTable[[#This Row],[SC Exp Date]]&lt;&gt;"",TRUNC(SnapshotTable[[#This Row],[Last Price]]),"")</f>
        <v/>
      </c>
      <c r="EM284" s="148"/>
      <c r="EN284" s="147"/>
      <c r="EO284" s="147"/>
      <c r="EP284" s="138"/>
      <c r="EQ284" s="419" t="b">
        <f>AND(ISNUMBER(SnapshotTable[[#This Row],[SC Exp Date]]), ISNUMBER(SnapshotTable[[#This Row],[SC Strike Price]]), ISNUMBER(SnapshotTable[[#This Row],[SC Qty]]), ISNUMBER(SnapshotTable[[#This Row],[SC Book Date]]), ISNUMBER(SnapshotTable[[#This Row],[SC Book Price]]))</f>
        <v>0</v>
      </c>
      <c r="ER284" s="419" t="b">
        <f>AND(SnapshotTable[[#This Row],[SC Is Booked]], NOT(ISBLANK(SnapshotTable[[#This Row],[SC Fill Date]])))</f>
        <v>0</v>
      </c>
      <c r="ES284" s="370">
        <v>0.59</v>
      </c>
      <c r="ET284" s="34" t="str">
        <f>IF(AND(ISNUMBER(SnapshotTable[[#This Row],[SC Exp Date]]), ISNUMBER(SnapshotTable[[#This Row],[SC Book Date]])), SnapshotTable[[#This Row],[SC Exp Date]] - MAX(SnapshotTable[[#This Row],[SC Book Date]], SnapshotTable[[#This Row],[SC Fill Date]]) + 1, "")</f>
        <v/>
      </c>
      <c r="EU284" s="34" t="str">
        <f>IF(ISNUMBER(SnapshotTable[[#This Row],[SC Term]]), SnapshotTable[[#This Row],[SC Exp Date]]- MockToday, "")</f>
        <v/>
      </c>
      <c r="EV284" s="31">
        <f>IF(SnapshotTable[[#This Row],[SC Is Booked]], SnapshotTable[[#This Row],[SC Qty]] * SnapshotTable[[#This Row],[SC Book Price]] * 100, 0)</f>
        <v>0</v>
      </c>
      <c r="EW284" s="4" t="str">
        <f>IF(AND(ISNUMBER(SnapshotTable[[#This Row],[Last Price]]), ISNUMBER( SnapshotTable[[#This Row],[SC Book Price]])), SnapshotTable[[#This Row],[Last Price]] - SnapshotTable[[#This Row],[SC Book Price]],"")</f>
        <v/>
      </c>
      <c r="EX284" s="234" t="str">
        <f>IF(SnapshotTable[[#This Row],[SC Is Booked]],IF(SnapshotTable[[#This Row],[SC Intrinsic Value]] &gt; 0, SnapshotTable[[#This Row],[SC Strike Price]], SnapshotTable[[#This Row],[Last Price]]), "")</f>
        <v/>
      </c>
      <c r="EY284" s="4">
        <f>IF(SnapshotTable[[#This Row],[SC Is Booked]], (MinimumPremiumRequired * SnapshotTable[[#This Row],[SC Basis]] * SnapshotTable[[#This Row],[SC Term]]), 0)</f>
        <v>0</v>
      </c>
      <c r="EZ284" s="283"/>
      <c r="FA284" s="218"/>
      <c r="FB284" s="370"/>
      <c r="FC284" s="4">
        <f>IF(SnapshotTable[[#This Row],[SC Is Filled]], btc_max_buyback_amount(SnapshotTable[[#This Row],[SC Fill Date]],SnapshotTable[[#This Row],[SC Exp Date]], SnapshotTable[[#This Row],[SC Book Price]]),0)</f>
        <v>0</v>
      </c>
      <c r="FD284" s="5"/>
      <c r="FE284" s="144" t="str">
        <f>IF(SnapshotTable[[#This Row],[SC Is Filled]], btc_next_cutoff_date(SnapshotTable[[#This Row],[SC Fill Date]],SnapshotTable[[#This Row],[SC Exp Date]]),"")</f>
        <v/>
      </c>
      <c r="FF284" s="4" t="str" cm="1">
        <f t="array" ref="FF284">IF(SnapshotTable[[#This Row],[SC Is Filled]], btc_should_buy_back(SnapshotTable[[#This Row],[SC Fill Date]], SnapshotTable[[#This Row],[SC Exp Date]], SnapshotTable[[#This Row],[SC Book Price]], SnapshotTable[[#This Row],[SC Current Ask]], MockToday, SnapshotTable[[#This Row],[SC Buyback Override]]),"")</f>
        <v/>
      </c>
      <c r="FG284" s="4">
        <f>IF(SnapshotTable[[#This Row],[SC Is Filled]], MAX(0,SnapshotTable[[#This Row],[Last Price]]  - SnapshotTable[[#This Row],[SC Strike Price]]), 0)</f>
        <v>0</v>
      </c>
      <c r="FH284" s="382">
        <f>IF(SnapshotTable[[#This Row],[SC Is Filled]], IF(ISNUMBER(SnapshotTable[[#This Row],[SC Current Ask]]), SnapshotTable[[#This Row],[SC Current Ask]], SnapshotTable[[#This Row],[SC Book Price]]) - SnapshotTable[[#This Row],[SC Intrinsic Value]], 0)</f>
        <v>0</v>
      </c>
      <c r="FI284" s="143"/>
      <c r="FJ284" s="32" t="str">
        <f>IF(SnapshotTable[[#This Row],[SC Is Filled]],100 * SnapshotTable[[#This Row],[SC Qty]] * IF(ISNUMBER(SnapshotTable[[#This Row],[SC Buyback Override]]), SnapshotTable[[#This Row],[SC Buyback Override]], SnapshotTable[[#This Row],[SC Current Ask]]), "")</f>
        <v/>
      </c>
      <c r="FK284" s="250" t="str">
        <f>IF(SnapshotTable[[#This Row],[SC Time Val]]&gt;0, SnapshotTable[[#This Row],[SC Time Val]] / SnapshotTable[[#This Row],[Last Price]],"")</f>
        <v/>
      </c>
      <c r="FL284" s="302" t="str">
        <f>IF(SnapshotTable[[#This Row],[SC Is Booked]], ((SnapshotTable[[#This Row],[Last Price]] -SnapshotTable[[#This Row],[SC Strike Price]]) / SnapshotTable[[#This Row],[Last Price]]) * -1, "")</f>
        <v/>
      </c>
      <c r="FM284" s="157" t="str">
        <f>IF(SnapshotTable[[#This Row],[SC Is Booked]],  (SnapshotTable[[#This Row],[SC Qty]] * 100 * SnapshotTable[[#This Row],[SC Strike Price]]) - SnapshotTable[[#This Row],[SC Current Ask]], "")</f>
        <v/>
      </c>
      <c r="FN28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4" s="31" t="str">
        <f>IF(AND(ISNUMBER(SnapshotTable[[#This Row],[SC Exercise Gross]]), ISNUMBER(SnapshotTable[[#This Row],[Equity Basis Per Share]] )), SnapshotTable[[#This Row],[SC Exercise Gross]] - SnapshotTable[[#This Row],[Equity Basis Total]] +  SnapshotTable[[#This Row],[SC Premium]], "")</f>
        <v/>
      </c>
      <c r="FP284" s="5" t="str">
        <f>IF(ISNUMBER(SnapshotTable[[#This Row],[SC Exercise Gross]]), (SnapshotTable[[#This Row],[SC Exercise Gross]]) / (SnapshotTable[[#This Row],[SC Qty]] * 100), "")</f>
        <v/>
      </c>
      <c r="FQ284" s="27" t="str">
        <f>IF(SnapshotTable[[#This Row],[SC Is Booked]],SnapshotTable[[#This Row],[SC Time Val]] /SnapshotTable[[#This Row],[SC Basis]], "")</f>
        <v/>
      </c>
      <c r="FR284" s="27" t="str" cm="1">
        <f t="array" ref="FR284">IF(AND(ISNUMBER(SnapshotTable[[#This Row],[SC Term]]),ISNUMBER(SnapshotTable[[#This Row],[SC Simple ROO]])), EllmanAnnualize(SnapshotTable[[#This Row],[SC DTE]], SnapshotTable[[#This Row],[SC Simple ROO]] ),"")</f>
        <v/>
      </c>
      <c r="FS284" s="4" t="e">
        <f>IF(SnapshotTable[[#This Row],[SC Strike Price]] &gt; SnapshotTable[[#This Row],[Last Price]], SnapshotTable[[#This Row],[SC Strike Price]] - SnapshotTable[[#This Row],[Last Price]],0)</f>
        <v>#VALUE!</v>
      </c>
      <c r="FT284" s="27" t="e">
        <f>IF(AND(ISNUMBER(SnapshotTable[[#This Row],[SC Upside Potential]]), SnapshotTable[[#This Row],[SC Upside Potential]] &gt; 0),(SnapshotTable[[#This Row],[SC Upside Potential]]/ SnapshotTable[[#This Row],[ACB]]),"")</f>
        <v>#VALUE!</v>
      </c>
      <c r="FU284" s="333" t="str">
        <f>IF(SnapshotTable[[#This Row],[SC Intrinsic Value]] &gt; 0,SnapshotTable[[#This Row],[SC Intrinsic Value]],"")</f>
        <v/>
      </c>
      <c r="FV284" s="27" t="str">
        <f>IF(AND( ISNUMBER( SnapshotTable[[#This Row],[ACB]]),ISNUMBER(SnapshotTable[[#This Row],[SC Downside Protect]])),SnapshotTable[[#This Row],[SC Downside Protect]] / SnapshotTable[[#This Row],[ACB]],"")</f>
        <v/>
      </c>
      <c r="FW284" s="236" t="str">
        <f>IF(AND(ISNUMBER(SnapshotTable[[#This Row],[SC Simple ROO]]),SnapshotTable[[#This Row],[SC Simple ROO]] &gt; 0), SnapshotTable[[#This Row],[SC Premium]] + (SnapshotTable[[#This Row],[SC Qty]] * SnapshotTable[[#This Row],[SC Upside Potential]]), "")</f>
        <v/>
      </c>
      <c r="FX284" s="302" t="str" cm="1">
        <f t="array" ref="FX284">IF(ISNUMBER(SnapshotTable[[#This Row],[SC Max Dollars]]), annualize(SnapshotTable[[#This Row],[SC Term]],(SnapshotTable[[#This Row],[SC Max Dollars]]/SnapshotTable[[#This Row],[SC Basis]])),"")</f>
        <v/>
      </c>
      <c r="FY284" s="236" t="str">
        <f>IF(AND(SnapshotTable[[#This Row],[SC Qty]]&gt;0,SnapshotTable[[#This Row],[SC Current Ask]]&gt;0), SnapshotTable[[#This Row],[SC Qty]] * SnapshotTable[[#This Row],[SC Current Ask]] * -100, "")</f>
        <v/>
      </c>
      <c r="FZ284" s="31" t="str">
        <f>IF(ISNUMBER((SnapshotTable[[#This Row],[SC Current Value]])), SnapshotTable[[#This Row],[SC Premium]] + SnapshotTable[[#This Row],[SC Current Value]], "")</f>
        <v/>
      </c>
      <c r="GA284" s="294" t="str">
        <f>IFERROR( IF(ISNUMBER((SnapshotTable[[#This Row],[SC Current Value]])), SnapshotTable[[#This Row],[SC Gain Loss]] / SnapshotTable[[#This Row],[SC Premium]], ""), "")</f>
        <v/>
      </c>
      <c r="GB284" s="42">
        <f>SnapshotTable[[#This Row],[Equity Shares]] * SaleSharesToConsiderPercentage</f>
        <v>0</v>
      </c>
      <c r="GC284" s="40">
        <f>SnapshotTable[[#This Row],[Long Term Target]] * SellingPriceToConsiderBasedOnTargetPercentage</f>
        <v>0</v>
      </c>
      <c r="GD284" s="40">
        <f>SnapshotTable[[#This Row],[Last Price]] * (1+ SellingPriceToConsiderBasedOnTargetPercentage)</f>
        <v>28.508999999999997</v>
      </c>
      <c r="GE284" s="41"/>
      <c r="GF284" s="40"/>
      <c r="GG284" s="31">
        <f>SnapshotTable[[#This Row],[Booked Sale Shares]] * SnapshotTable[[#This Row],[Booked Sale Price]]</f>
        <v>0</v>
      </c>
      <c r="GH284" s="31" t="str">
        <f>IF(SnapshotTable[[#This Row],[Equity Basis Total]] &gt; 0, SnapshotTable[[#This Row],[Equity Basis Per Share]] * SnapshotTable[[#This Row],[Booked Sale Shares]], "")</f>
        <v/>
      </c>
      <c r="GI284" s="31">
        <f>IF(SnapshotTable[[#This Row],[Sale Proceeds]]&gt;0, SnapshotTable[[#This Row],[Sale Proceeds]] - SnapshotTable[[#This Row],[Sale Basis]], 0)</f>
        <v>0</v>
      </c>
      <c r="GJ284" s="27" t="str">
        <f>IF(SnapshotTable[[#This Row],[Sale G/L]]&gt;0, SnapshotTable[[#This Row],[Sale G/L]] / SnapshotTable[[#This Row],[Sale Basis]], IF(ISNUMBER(SnapshotTable[[#This Row],[SC Exercise P&amp;L (TAX)]]), SnapshotTable[[#This Row],[SC Exercise P&amp;L (TAX)]] / SnapshotTable[[#This Row],[SC Basis]], ""))</f>
        <v/>
      </c>
      <c r="GK284" s="27"/>
      <c r="GL284" s="43" t="str">
        <f>IF(AND(SnapshotTable[[#This Row],[LP Exp Date]]&gt;0,SnapshotTable[[#This Row],[LP Strike Price]]&gt;0), [1]!ToOptionSymbol(SnapshotTable[[#This Row],[Symbol]], SnapshotTable[[#This Row],[LP Strike Price]],SnapshotTable[[#This Row],[LP Exp Date]],1), "")</f>
        <v/>
      </c>
      <c r="GM284" s="30" t="str">
        <f>IF(LEN(SnapshotTable[[#This Row],[LP Symbol]])&gt;0, 1, "")</f>
        <v/>
      </c>
      <c r="GN284" s="43" t="str">
        <f>IF(AND(SnapshotTable[[#This Row],[SP Exp Date]]&gt;0,SnapshotTable[[#This Row],[SP Strike Price]]&gt;0), [1]!ToOptionSymbol(SnapshotTable[[#This Row],[Symbol]], SnapshotTable[[#This Row],[SP Strike Price]],SnapshotTable[[#This Row],[SP Exp Date]],1), "")</f>
        <v/>
      </c>
      <c r="GO284" s="30" t="str">
        <f>IF(LEN(SnapshotTable[[#This Row],[SP Symbol]])&gt;0, 1, "")</f>
        <v/>
      </c>
      <c r="GP284" s="43" t="str">
        <f>IF(AND(SnapshotTable[[#This Row],[LC Exp Date]]&gt;0,SnapshotTable[[#This Row],[LC Strike Price]]&gt;0), [1]!ToOptionSymbol(SnapshotTable[[#This Row],[Symbol]], SnapshotTable[[#This Row],[LC Strike Price]],SnapshotTable[[#This Row],[LC Exp Date]],0), "")</f>
        <v/>
      </c>
      <c r="GQ284" s="30" t="str">
        <f>IF(LEN(SnapshotTable[[#This Row],[LC Symbol]])&gt;0, 1, "")</f>
        <v/>
      </c>
      <c r="GR284" s="43" t="str">
        <f>IF(AND(SnapshotTable[[#This Row],[SC Exp Date]]&gt;0,SnapshotTable[[#This Row],[SC Strike Price]]&gt;0), [1]!ToOptionSymbol(SnapshotTable[[#This Row],[Symbol]], SnapshotTable[[#This Row],[SC Strike Price]],SnapshotTable[[#This Row],[SC Exp Date]],0), "")</f>
        <v/>
      </c>
      <c r="GS284" s="30" t="str">
        <f>IF(LEN(SnapshotTable[[#This Row],[SC Symbol]])&gt;0, 1, "")</f>
        <v/>
      </c>
      <c r="GT284" s="29" t="str">
        <f>IF(COUNT(SnapshotTable[[#This Row],[LP Symbol Count]],SnapshotTable[[#This Row],[SP Symbol Count]],SnapshotTable[[#This Row],[LC Symbol Count]],SnapshotTable[[#This Row],[SC Symbol Count]])&gt;0, "Y", "")</f>
        <v/>
      </c>
      <c r="GU28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84" s="231" t="e">
        <f>MAX(SnapshotTable[[#This Row],[Equity Basis Total]],SnapshotTable[[#This Row],[Equity Value]]) + (SnapshotTable[[#This Row],[SP Potential Spend]]- SnapshotTable[[#This Row],[SP Premium]] + SnapshotTable[[#This Row],[LP Premium]])+ (SnapshotTable[[#This Row],[LC Premium]] - SnapshotTable[[#This Row],[SC Premium]])</f>
        <v>#VALUE!</v>
      </c>
      <c r="GW284" s="139" t="e">
        <f>IF(AND(SnapshotTable[[#This Row],[Exposure]] &lt;&gt; 0),SnapshotTable[[#This Row],[Exposure]] / SnapshotTable[[#Totals],[Exposure]], "")</f>
        <v>#VALUE!</v>
      </c>
      <c r="GY284" s="381"/>
      <c r="HE284" s="381"/>
      <c r="HF284" s="381"/>
      <c r="HG284" s="381"/>
      <c r="HH284" s="381"/>
      <c r="HI284" s="381"/>
      <c r="HJ284" s="381"/>
    </row>
    <row r="285" spans="2:224" s="47" customFormat="1" ht="12.75" hidden="1" customHeight="1" x14ac:dyDescent="0.25">
      <c r="B285" s="12" t="s">
        <v>119</v>
      </c>
      <c r="C285" s="422">
        <v>89.25</v>
      </c>
      <c r="D285" s="208"/>
      <c r="E285" s="39">
        <f>SnapshotTable[[#This Row],[Last Price]]*(1 -CrashDiscount)</f>
        <v>75.862499999999997</v>
      </c>
      <c r="F285" s="26" t="s">
        <v>21</v>
      </c>
      <c r="G285" s="26" t="s">
        <v>20</v>
      </c>
      <c r="H285" s="149"/>
      <c r="I285" s="194">
        <v>44770.25</v>
      </c>
      <c r="J285" s="195">
        <v>44770.25</v>
      </c>
      <c r="K285" s="196"/>
      <c r="L285" s="326"/>
      <c r="M285" s="140"/>
      <c r="N285" s="140"/>
      <c r="O285" s="140"/>
      <c r="P285" s="22"/>
      <c r="Q285" s="25"/>
      <c r="R285" s="4" t="str">
        <f>IF(SnapshotTable[[#This Row],[Equity Basis Total]] &gt; 0, SnapshotTable[[#This Row],[Equity Basis Total]] / SnapshotTable[[#This Row],[Equity Shares]], "")</f>
        <v/>
      </c>
      <c r="S285" s="269">
        <f>SnapshotTable[[#This Row],[Last Price]] * SnapshotTable[[#This Row],[Equity Shares]]</f>
        <v>0</v>
      </c>
      <c r="T285" s="269">
        <f>SnapshotTable[[#This Row],[Equity Value]] - SnapshotTable[[#This Row],[Equity Basis Total]]</f>
        <v>0</v>
      </c>
      <c r="U285" s="270" t="str">
        <f>IF(SnapshotTable[[#This Row],[Equity Basis Total]] &gt; 0, SnapshotTable[[#This Row],[Equity G/L]] / SnapshotTable[[#This Row],[Equity Basis Total]], "")</f>
        <v/>
      </c>
      <c r="V285" s="268"/>
      <c r="W285" s="268"/>
      <c r="X285" s="4" t="str">
        <f>IF(AND(ISNUMBER(SnapshotTable[[#This Row],[Equity Basis Per Share]]),ISNUMBER(SnapshotTable[[#This Row],[Equity Target]])),SnapshotTable[[#This Row],[Equity Target]]-SnapshotTable[[#This Row],[Equity Basis Per Share]],"")</f>
        <v/>
      </c>
      <c r="Y285" s="4" t="str">
        <f>IF(AND(ISNUMBER(SnapshotTable[[#This Row],[Equity Basis Per Share]]),ISNUMBER(SnapshotTable[[#This Row],[Equity Stop Loss]])),SnapshotTable[[#This Row],[Equity Stop Loss]]-SnapshotTable[[#This Row],[Equity Basis Per Share]],"")</f>
        <v/>
      </c>
      <c r="Z285" s="275" t="str">
        <f>IFERROR( TEXT(SnapshotTable[[#This Row],[Equity Max Gain Per Share]] /ABS( SnapshotTable[[#This Row],[Equity Max Loss Per Share]]),"0.0 " ) &amp; " : 1", "")</f>
        <v/>
      </c>
      <c r="AA285" s="31" t="str">
        <f>IF(ISNUMBER(SnapshotTable[[#This Row],[Equity Max Gain Per Share]]),SnapshotTable[[#This Row],[Equity Max Gain Per Share]] * SnapshotTable[[#This Row],[Equity Shares]],"")</f>
        <v/>
      </c>
      <c r="AB285" s="31" t="str">
        <f>IF(ISNUMBER(SnapshotTable[[#This Row],[Equity Max Loss Per Share]]),SnapshotTable[[#This Row],[Equity Max Loss Per Share]] * SnapshotTable[[#This Row],[Equity Shares]],"")</f>
        <v/>
      </c>
      <c r="AC285" s="150">
        <v>0</v>
      </c>
      <c r="AD285" s="151">
        <v>42634</v>
      </c>
      <c r="AE285" s="31">
        <f>(SnapshotTable[[#This Row],[Annual Dividend Per Share]] / 4) * SnapshotTable[[#This Row],[Equity Shares]]</f>
        <v>0</v>
      </c>
      <c r="AF285" s="31">
        <f>SnapshotTable[[#This Row],[Quarterly Div $]] * 4</f>
        <v>0</v>
      </c>
      <c r="AG285" s="7">
        <f>IF(SnapshotTable[[#This Row],[Annual Dividend Per Share]]&gt;0, SnapshotTable[[#This Row],[Annual Dividend Per Share]]  / SnapshotTable[[#This Row],[Last Price]], 0)</f>
        <v>0</v>
      </c>
      <c r="AH285" s="151">
        <v>42607</v>
      </c>
      <c r="AI285" s="5"/>
      <c r="AJ285" s="138">
        <v>141.5</v>
      </c>
      <c r="AK285" s="152" t="str">
        <f>IF(ISNUMBER( SnapshotTable[[#This Row],[EBF Target]]),(SnapshotTable[[#This Row],[EBF Target]] - SnapshotTable[[#This Row],[Last Price]]) / SnapshotTable[[#This Row],[Last Price]], "")</f>
        <v/>
      </c>
      <c r="AL285" s="152" t="str">
        <f>IF(AND(SnapshotTable[[#This Row],[Equity Basis Total]] &gt; 0,ISNUMBER( SnapshotTable[[#This Row],[Long Term Target]])), SnapshotTable[[#This Row],[From Basis $]] / SnapshotTable[[#This Row],[Equity Basis Total]], "")</f>
        <v/>
      </c>
      <c r="AM285" s="9">
        <f>IF( AND(SnapshotTable[[#This Row],[Equity Shares]] &gt;0,ISNUMBER( SnapshotTable[[#This Row],[Long Term Target]])),(SnapshotTable[[#This Row],[Equity Shares]] * SnapshotTable[[#This Row],[Long Term Target]]) - SnapshotTable[[#This Row],[Equity Basis Total]],0)</f>
        <v>0</v>
      </c>
      <c r="AN285" s="9">
        <f>IF( AND(SnapshotTable[[#This Row],[Equity Shares]] &gt;0,ISNUMBER( SnapshotTable[[#This Row],[Long Term Target]])),(SnapshotTable[[#This Row],[Equity Shares]]*SnapshotTable[[#This Row],[Long Term Target]]) - SnapshotTable[[#This Row],[Equity Value]],0)</f>
        <v>0</v>
      </c>
      <c r="AO285" s="152">
        <f>IF(AND(ISNUMBER( SnapshotTable[[#This Row],[Long Term Target]]), ISNUMBER(SnapshotTable[[#This Row],[Last Price]])),(SnapshotTable[[#This Row],[Long Term Target]] - SnapshotTable[[#This Row],[Last Price]]) / SnapshotTable[[#This Row],[Last Price]], "")</f>
        <v>0.58543417366946782</v>
      </c>
      <c r="AP285" s="5"/>
      <c r="AQ285" s="38"/>
      <c r="AR285" s="5"/>
      <c r="AS285" s="38"/>
      <c r="AT285" s="146"/>
      <c r="AU285" s="187" t="str">
        <f>IF(OR(SnapshotTable[[#This Row],[LP No Fill]]="Y",SnapshotTable[[#This Row],[SP Is Filled]],SnapshotTable[[#This Row],[LC Not Filled]]="Y",SnapshotTable[[#This Row],[SC Is Filled]]),"Y","")</f>
        <v/>
      </c>
      <c r="AV285" s="219"/>
      <c r="AW285" s="225"/>
      <c r="AX285" s="220"/>
      <c r="AY285" s="219" t="str">
        <f>IF(SnapshotTable[[#This Row],[Implied Move]]&gt;0, SnapshotTable[[#This Row],[Last Price]]-SnapshotTable[[#This Row],[Implied Move]],"")</f>
        <v/>
      </c>
      <c r="AZ285" s="219" t="str">
        <f>IF(SnapshotTable[[#This Row],[Implied Move]]&gt;0, SnapshotTable[[#This Row],[Last Price]] + SnapshotTable[[#This Row],[Implied Move]],"")</f>
        <v/>
      </c>
      <c r="BA285" s="331"/>
      <c r="BB285" s="347"/>
      <c r="BC28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5" s="351"/>
      <c r="BE285" s="5"/>
      <c r="BF285" s="14"/>
      <c r="BG285" s="13"/>
      <c r="BH285" s="13"/>
      <c r="BI285" s="5"/>
      <c r="BJ285" s="136">
        <f>IF(SnapshotTable[[#This Row],[LP Qty]] &gt; 0, SnapshotTable[[#This Row],[LP Qty]] * SnapshotTable[[#This Row],[LP Book Price]] * 100,0)</f>
        <v>0</v>
      </c>
      <c r="BK285" s="136">
        <f>IF(SnapshotTable[[#This Row],[LP Premium]] &gt; 0, SnapshotTable[[#This Row],[LP Qty]] * SnapshotTable[[#This Row],[LP Strike Price]] * 100,0)</f>
        <v>0</v>
      </c>
      <c r="BL285" s="154"/>
      <c r="BM285" s="385" t="str">
        <f>IF(SnapshotTable[[#This Row],[LP Premium]] &gt; 0,SnapshotTable[[#This Row],[LP Exp Date]]-MAX(SnapshotTable[[#This Row],[LP Book Date]], SnapshotTable[[#This Row],[LP Fill Date]]),"")</f>
        <v/>
      </c>
      <c r="BN285" s="385" t="str">
        <f>IF(ISNUMBER( SnapshotTable[[#This Row],[LP Term]]), SnapshotTable[[#This Row],[LP Exp Date]] - MockToday,"")</f>
        <v/>
      </c>
      <c r="BO285" s="163" t="str">
        <f>IF(AND(SnapshotTable[[#This Row],[LP Exp Date]]&gt;0, SnapshotTable[[#This Row],[LP Strike Price]]&gt;0,SnapshotTable[[#This Row],[LP Qty]]&gt;0,SnapshotTable[[#This Row],[LP Book Date]]&gt;0,SnapshotTable[[#This Row],[LP Book Price]]&gt;0,SnapshotTable[[#This Row],[LP Fill Date]]=0),"Y","")</f>
        <v/>
      </c>
      <c r="BP285" s="31" t="str">
        <f>IF(AND(SnapshotTable[[#This Row],[LP No Fill]]&lt;&gt;"Y",SnapshotTable[[#This Row],[LP Contract Value]]&gt;0, SnapshotTable[[#This Row],[LP Qty]]&gt;0), SnapshotTable[[#This Row],[LP Contract Value]]*SnapshotTable[[#This Row],[LP Qty]]*100,"")</f>
        <v/>
      </c>
      <c r="BQ285" s="13"/>
      <c r="BR285" s="5" t="str">
        <f>IF(SnapshotTable[[#This Row],[SP Exp Date]]&lt;&gt;"",TRUNC(SnapshotTable[[#This Row],[Last Price]]),"")</f>
        <v/>
      </c>
      <c r="BS285" s="36"/>
      <c r="BT285" s="147"/>
      <c r="BU285" s="13"/>
      <c r="BV285" s="5"/>
      <c r="BW285" s="419" t="b">
        <f>AND(ISNUMBER(SnapshotTable[[#This Row],[SP Exp Date]]), ISNUMBER(SnapshotTable[[#This Row],[SP Strike Price]]), ISNUMBER(SnapshotTable[[#This Row],[SP Qty]]), ISNUMBER(SnapshotTable[[#This Row],[SP Book Date]]), ISNUMBER(SnapshotTable[[#This Row],[SP Book Price]]))</f>
        <v>0</v>
      </c>
      <c r="BX285" s="419" t="b">
        <f>AND(SnapshotTable[[#This Row],[SP Is Booked]], NOT(ISBLANK(SnapshotTable[[#This Row],[SP Fill Date]])))</f>
        <v>0</v>
      </c>
      <c r="BY285" s="33">
        <f>IF(SnapshotTable[[#This Row],[SP Is Booked]], SnapshotTable[[#This Row],[SP Qty]] * SnapshotTable[[#This Row],[SP Book Price]] * 100, 0)</f>
        <v>0</v>
      </c>
      <c r="BZ285" s="369"/>
      <c r="CA285" s="368">
        <f>SnapshotTable[[#This Row],[LP Qty]]</f>
        <v>0</v>
      </c>
      <c r="CB285" s="4" t="str">
        <f>IF(SnapshotTable[[#This Row],[SP Is Booked]], SnapshotTable[[#This Row],[SP Strike Price]] - SnapshotTable[[#This Row],[SP Book Price]], "")</f>
        <v/>
      </c>
      <c r="CC285" s="19" t="str">
        <f>IF(SnapshotTable[[#This Row],[SP Is Booked]],SnapshotTable[[#This Row],[SP Exp Date]]-MAX(SnapshotTable[[#This Row],[SP Book Date]], SnapshotTable[[#This Row],[SP Fill Date]]),"")</f>
        <v/>
      </c>
      <c r="CD285" s="7" t="str">
        <f>IF(SnapshotTable[[#This Row],[SP Is Booked]], SnapshotTable[[#This Row],[SP Book Price]]/SnapshotTable[[#This Row],[SP Strike Price]], "")</f>
        <v/>
      </c>
      <c r="CE285" s="7" t="str">
        <f>IF(ISNUMBER(SnapshotTable[[#This Row],[SP ROO Term]]),SnapshotTable[[#This Row],[SP ROO Term]]*(365/SnapshotTable[[#This Row],[SP Term]]),"")</f>
        <v/>
      </c>
      <c r="CF285" s="236">
        <f>SnapshotTable[[#This Row],[LP Strike Price]] * SnapshotTable[[#This Row],[LP Qty]] * 100</f>
        <v>0</v>
      </c>
      <c r="CG285" s="31" t="e">
        <f>IF(ISNUMBER(SnapshotTable[[#This Row],[SP Premium]]), (SnapshotTable[[#This Row],[SP Qty]] * SnapshotTable[[#This Row],[SP Strike Price]]* 100) - SnapshotTable[[#This Row],[LP Protection]], 0)</f>
        <v>#VALUE!</v>
      </c>
      <c r="CH285" s="7" t="str">
        <f>IF(ISNUMBER(SnapshotTable[[#This Row],[SP Break Even]]),-1 * (SnapshotTable[[#This Row],[SP Break Even]] - SnapshotTable[[#This Row],[Last Price]]) / SnapshotTable[[#This Row],[Last Price]], "")</f>
        <v/>
      </c>
      <c r="CI285" s="31">
        <f>IF(AND(ISNUMBER((SnapshotTable[[#This Row],[SP Potential Spend]])), SnapshotTable[[#This Row],[SP Strike Price]] &gt; SnapshotTable[[#This Row],[Last Price]], SnapshotTable[[#This Row],[SP Is Filled]]), SnapshotTable[[#This Row],[SP Potential Spend]] -  SnapshotTable[[#This Row],[LP Max Value]], 0)</f>
        <v>0</v>
      </c>
      <c r="CJ285" s="244"/>
      <c r="CK285" s="31" t="str">
        <f>IF(ISNUMBER(SnapshotTable[[#This Row],[SP Potential Spend]]),IF(ISNUMBER(SnapshotTable[[#This Row],[SP POW]]), SnapshotTable[[#This Row],[SP POW]] * SnapshotTable[[#This Row],[SP Potential Spend]], SnapshotTable[[#This Row],[SP Potential Spend]]), "")</f>
        <v/>
      </c>
      <c r="CL285" s="164" t="e">
        <f>IF(NOT(SnapshotTable[[#This Row],[SP Is Filled]]),(SnapshotTable[[#This Row],[SP Qty]] * SnapshotTable[[#This Row],[SP Strike Price]] * 100) - SnapshotTable[[#This Row],[LP Max Value]],"")</f>
        <v>#VALUE!</v>
      </c>
      <c r="CM285" s="31" t="str">
        <f>IF(SnapshotTable[[#This Row],[SP Actual Spend]]&lt;&gt;0, ((SnapshotTable[[#This Row],[SP Strike Price]]-SnapshotTable[[#This Row],[Last Price]]) *(SnapshotTable[[#This Row],[SP Qty]]*100) - SnapshotTable[[#This Row],[SP Premium]]) * - 1, "")</f>
        <v/>
      </c>
      <c r="CN285" s="78"/>
      <c r="CO285" s="369"/>
      <c r="CP285" s="4" t="str">
        <f>IF(SnapshotTable[[#This Row],[SP Is Filled]], btc_max_buyback_amount(SnapshotTable[[#This Row],[SP Fill Date]],SnapshotTable[[#This Row],[SP Exp Date]], SnapshotTable[[#This Row],[SP Book Price]]),"")</f>
        <v/>
      </c>
      <c r="CQ285" s="78"/>
      <c r="CR28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5" s="155" t="str">
        <f>IF(SnapshotTable[[#This Row],[SP Is Filled]], btc_next_cutoff_date(SnapshotTable[[#This Row],[SP Fill Date]],SnapshotTable[[#This Row],[SP Exp Date]]),"")</f>
        <v/>
      </c>
      <c r="CT285" s="235" t="str" cm="1">
        <f t="array" ref="CT285">IF(SnapshotTable[[#This Row],[SP Is Filled]], btc_should_buy_back(SnapshotTable[[#This Row],[SP Fill Date]], SnapshotTable[[#This Row],[SP Exp Date]], SnapshotTable[[#This Row],[SP Book Price]], SnapshotTable[[#This Row],[SP Current Ask]], MockToday, SnapshotTable[[#This Row],[SP Buyback Override]]),"")</f>
        <v/>
      </c>
      <c r="CU285" s="143"/>
      <c r="CV285" s="235"/>
      <c r="CW285" s="378" t="str">
        <f>IF(ISNUMBER( SnapshotTable[[#This Row],[SP Term]]), SnapshotTable[[#This Row],[SP Exp Date]] - MockToday,"")</f>
        <v/>
      </c>
      <c r="CX285" s="31" t="str">
        <f>IF(SnapshotTable[[#This Row],[SP Is Filled]],SnapshotTable[[#This Row],[SP Buyback Price to Use]] * 100 * SnapshotTable[[#This Row],[SP Qty]], "")</f>
        <v/>
      </c>
      <c r="CY285" s="4" t="str">
        <f>IF(ISNUMBER(SnapshotTable[[#This Row],[SP Strike Price]]), SnapshotTable[[#This Row],[SP Strike Price]] * (1 - SP_MaxLoss_StrikePct), "")</f>
        <v/>
      </c>
      <c r="CZ285" s="31" t="str">
        <f>IF(ISNUMBER(SnapshotTable[[#This Row],[SP Strike  Stop Per Share]]),SnapshotTable[[#This Row],[SP Premium]] - ((SnapshotTable[[#This Row],[SP Strike Price]]-SnapshotTable[[#This Row],[SP Strike  Stop Per Share]]) *(SnapshotTable[[#This Row],[SP Qty]] * 100)),"")</f>
        <v/>
      </c>
      <c r="DA285" s="4" t="str">
        <f>IF(AND(ISNUMBER(SnapshotTable[[#This Row],[SP Premium]]),SnapshotTable[[#This Row],[SP Premium]]&gt;0), SnapshotTable[[#This Row],[SP Book Price]] * (1 + SP_MaxLoss_OptionPct), "")</f>
        <v/>
      </c>
      <c r="DB285" s="31" t="str">
        <f>IF(ISNUMBER(SnapshotTable[[#This Row],[SP Option  Stop Contract]]),(SnapshotTable[[#This Row],[SP Option  Stop Contract]] *(SnapshotTable[[#This Row],[SP Qty]] * 100) - SnapshotTable[[#This Row],[SP Premium]]),"")</f>
        <v/>
      </c>
      <c r="DC285" s="4"/>
      <c r="DD285" s="4"/>
      <c r="DE285" s="4" t="str">
        <f>IF(AND(SnapshotTable[[#This Row],[SP Qty]]&gt;0, SnapshotTable[[#This Row],[SP Stop To Use]]&gt;0),SnapshotTable[[#This Row],[SP Premium]] - ( SnapshotTable[[#This Row],[SP Qty]] * SnapshotTable[[#This Row],[SP Stop To Use]] * 100), "")</f>
        <v/>
      </c>
      <c r="DF285" s="31" t="str">
        <f>IF(AND(SnapshotTable[[#This Row],[SP Qty]]&gt;0,SnapshotTable[[#This Row],[SP Current Ask]]&gt;0), SnapshotTable[[#This Row],[SP Qty]] * SnapshotTable[[#This Row],[SP Current Ask]] * -100, "")</f>
        <v/>
      </c>
      <c r="DG285" s="31" t="str">
        <f>IF(ISNUMBER((SnapshotTable[[#This Row],[SP Total Value]])), SnapshotTable[[#This Row],[SP Premium]] + SnapshotTable[[#This Row],[SP Total Value]], "")</f>
        <v/>
      </c>
      <c r="DH285" s="294" t="str">
        <f>IF(ISNUMBER((SnapshotTable[[#This Row],[SP Total Value]])), SnapshotTable[[#This Row],[SP Gain Loss]] / SnapshotTable[[#This Row],[SP Premium]], "")</f>
        <v/>
      </c>
      <c r="DI285" s="406"/>
      <c r="DJ285" s="138"/>
      <c r="DK285" s="148"/>
      <c r="DL285" s="13"/>
      <c r="DM285" s="13"/>
      <c r="DN285" s="5"/>
      <c r="DO285" s="31">
        <f>IF(SnapshotTable[[#This Row],[LC Symbol Count]]=1, SnapshotTable[[#This Row],[LC Qty]] * SnapshotTable[[#This Row],[LC Book Price]] * 100, 0)</f>
        <v>0</v>
      </c>
      <c r="DP285" s="163" t="str">
        <f>IF(AND(SnapshotTable[[#This Row],[LC Exp Date]]&gt;0, SnapshotTable[[#This Row],[LC Strike Price]]&gt;0,SnapshotTable[[#This Row],[LC Qty]]&gt;0,SnapshotTable[[#This Row],[LC Book Date]]&gt;0,SnapshotTable[[#This Row],[LC Book Price]]&gt;0,SnapshotTable[[#This Row],[LC Fill Date]]=0),"Y","")</f>
        <v/>
      </c>
      <c r="DQ285" s="386" t="str">
        <f>IF(SnapshotTable[[#This Row],[LC Premium]] &gt; 0,SnapshotTable[[#This Row],[LC Exp Date]]-MAX(SnapshotTable[[#This Row],[LC Book Date]], SnapshotTable[[#This Row],[LC Fill Date]]),"")</f>
        <v/>
      </c>
      <c r="DR285" s="386" t="str">
        <f>IF(ISNUMBER(SnapshotTable[[#This Row],[LC Term]]), SnapshotTable[[#This Row],[LC Exp Date]] - MockToday, "")</f>
        <v/>
      </c>
      <c r="DS285" s="234" t="str">
        <f>IF(SnapshotTable[[#This Row],[LC Premium]]&gt;0,SnapshotTable[[#This Row],[LC Strike Price]] + SnapshotTable[[#This Row],[LC Book Price]],"")</f>
        <v/>
      </c>
      <c r="DT285" s="5"/>
      <c r="DU285" s="9" t="str">
        <f>IF(AND(SnapshotTable[[#This Row],[LC Symbol Count]]&gt;0, SnapshotTable[[#This Row],[LC Contract Value]]&gt;0), SnapshotTable[[#This Row],[LC Contract Value]] * SnapshotTable[[#This Row],[LC Qty]] * 100, "")</f>
        <v/>
      </c>
      <c r="DV285" s="9" t="str">
        <f>IF(AND(ISNUMBER(SnapshotTable[[#This Row],[LC Total Value]]), SnapshotTable[[#This Row],[LC Not Filled]]&lt;&gt;"Y"), SnapshotTable[[#This Row],[LC Total Value]]-SnapshotTable[[#This Row],[LC Premium]],"")</f>
        <v/>
      </c>
      <c r="DW285" s="240" t="str">
        <f>IF(ISNUMBER(SnapshotTable[[#This Row],[LC Actual Gain Loss]]), SnapshotTable[[#This Row],[LC Actual Gain Loss]] / SnapshotTable[[#This Row],[LC Premium]],"")</f>
        <v/>
      </c>
      <c r="DX285" s="284" t="str">
        <f>IF(ISNUMBER(SnapshotTable[[#This Row],[LC Book Price]]),SnapshotTable[[#This Row],[LC Book Price]] * 1.5,"")</f>
        <v/>
      </c>
      <c r="DY285" s="265" t="str">
        <f>IF(SnapshotTable[[#This Row],[LC Premium]]&gt;0, SnapshotTable[[#This Row],[LC Next Target]] * SnapshotTable[[#This Row],[LC Qty]] * 100,"")</f>
        <v/>
      </c>
      <c r="DZ285" s="265" t="str">
        <f>IF(ISNUMBER(SnapshotTable[[#This Row],[LC Target Gross]]), SnapshotTable[[#This Row],[LC Target Gross]] - SnapshotTable[[#This Row],[LC Premium]], "")</f>
        <v/>
      </c>
      <c r="EA285" s="305" t="str">
        <f>IF(ISNUMBER(SnapshotTable[[#This Row],[LC Target Gain Loss]]), SnapshotTable[[#This Row],[LC Target Gain Loss]]/SnapshotTable[[#This Row],[LC Premium]], "")</f>
        <v/>
      </c>
      <c r="EB285" s="262"/>
      <c r="EC285" s="283" t="str">
        <f>IF(SnapshotTable[[#This Row],[LC Premium]]&gt;0, SnapshotTable[[#This Row],[LC Book Price]] * (1 - LC_StopLoss_Pct),"")</f>
        <v/>
      </c>
      <c r="ED285" s="284"/>
      <c r="EE285" s="283" t="str">
        <f>IF(ISNUMBER(SnapshotTable[[#This Row],[LC Contract Value]]),IF(ISNUMBER(SnapshotTable[[#This Row],[LC Stop Loss Override]]), SnapshotTable[[#This Row],[LC Stop Loss Override]],SnapshotTable[[#This Row],[LC Stop Loss Calc Target]]),"")</f>
        <v/>
      </c>
      <c r="EF285" s="31" t="str">
        <f>IF(ISNUMBER(SnapshotTable[[#This Row],[LC Stop  To Use]]), (SnapshotTable[[#This Row],[LC Stop  To Use]] * SnapshotTable[[#This Row],[LC Qty]] * 100),"")</f>
        <v/>
      </c>
      <c r="EG285" s="9" t="str">
        <f>IF(ISNUMBER(SnapshotTable[[#This Row],[LC Total Value]]),SnapshotTable[[#This Row],[LC Stop Loss Amount]] - SnapshotTable[[#This Row],[LC Premium]],"")</f>
        <v/>
      </c>
      <c r="EH285" s="9">
        <f>IF(ISNUMBER(SnapshotTable[[#This Row],[LC Premium]]), SnapshotTable[[#This Row],[LC Qty]] * 100 * SnapshotTable[[#This Row],[LC Strike Price]], "")</f>
        <v>0</v>
      </c>
      <c r="EI285" s="240" t="str">
        <f>IF(AND(ISNUMBER(SnapshotTable[[#This Row],[LC Total Value]]),SnapshotTable[[#This Row],[LC Total Value]]&gt;0),SnapshotTable[[#This Row],[LC Stop Gain Loss]]  / SnapshotTable[[#This Row],[LC Premium]],"")</f>
        <v/>
      </c>
      <c r="EJ285" s="35">
        <f>IF(ISNUMBER(SnapshotTable[[#This Row],[Equity Shares]]),TRUNC(SnapshotTable[[#This Row],[Equity Shares]] / 100),0) + SnapshotTable[[#This Row],[LC Qty]]</f>
        <v>0</v>
      </c>
      <c r="EK285" s="147"/>
      <c r="EL285" s="138" t="str">
        <f>IF(SnapshotTable[[#This Row],[SC Exp Date]]&lt;&gt;"",TRUNC(SnapshotTable[[#This Row],[Last Price]]),"")</f>
        <v/>
      </c>
      <c r="EM285" s="148"/>
      <c r="EN285" s="147"/>
      <c r="EO285" s="147"/>
      <c r="EP285" s="138"/>
      <c r="EQ285" s="419" t="b">
        <f>AND(ISNUMBER(SnapshotTable[[#This Row],[SC Exp Date]]), ISNUMBER(SnapshotTable[[#This Row],[SC Strike Price]]), ISNUMBER(SnapshotTable[[#This Row],[SC Qty]]), ISNUMBER(SnapshotTable[[#This Row],[SC Book Date]]), ISNUMBER(SnapshotTable[[#This Row],[SC Book Price]]))</f>
        <v>0</v>
      </c>
      <c r="ER285" s="419" t="b">
        <f>AND(SnapshotTable[[#This Row],[SC Is Booked]], NOT(ISBLANK(SnapshotTable[[#This Row],[SC Fill Date]])))</f>
        <v>0</v>
      </c>
      <c r="ES285" s="370"/>
      <c r="ET285" s="34" t="str">
        <f>IF(AND(ISNUMBER(SnapshotTable[[#This Row],[SC Exp Date]]), ISNUMBER(SnapshotTable[[#This Row],[SC Book Date]])), SnapshotTable[[#This Row],[SC Exp Date]] - MAX(SnapshotTable[[#This Row],[SC Book Date]], SnapshotTable[[#This Row],[SC Fill Date]]) + 1, "")</f>
        <v/>
      </c>
      <c r="EU285" s="34" t="str">
        <f>IF(ISNUMBER(SnapshotTable[[#This Row],[SC Term]]), SnapshotTable[[#This Row],[SC Exp Date]]- MockToday, "")</f>
        <v/>
      </c>
      <c r="EV285" s="31">
        <f>IF(SnapshotTable[[#This Row],[SC Is Booked]], SnapshotTable[[#This Row],[SC Qty]] * SnapshotTable[[#This Row],[SC Book Price]] * 100, 0)</f>
        <v>0</v>
      </c>
      <c r="EW285" s="4" t="str">
        <f>IF(AND(ISNUMBER(SnapshotTable[[#This Row],[Last Price]]), ISNUMBER( SnapshotTable[[#This Row],[SC Book Price]])), SnapshotTable[[#This Row],[Last Price]] - SnapshotTable[[#This Row],[SC Book Price]],"")</f>
        <v/>
      </c>
      <c r="EX285" s="234" t="str">
        <f>IF(SnapshotTable[[#This Row],[SC Is Booked]],IF(SnapshotTable[[#This Row],[SC Intrinsic Value]] &gt; 0, SnapshotTable[[#This Row],[SC Strike Price]], SnapshotTable[[#This Row],[Last Price]]), "")</f>
        <v/>
      </c>
      <c r="EY285" s="4">
        <f>IF(SnapshotTable[[#This Row],[SC Is Booked]], (MinimumPremiumRequired * SnapshotTable[[#This Row],[SC Basis]] * SnapshotTable[[#This Row],[SC Term]]), 0)</f>
        <v>0</v>
      </c>
      <c r="EZ285" s="283"/>
      <c r="FA285" s="218"/>
      <c r="FB285" s="370"/>
      <c r="FC285" s="4">
        <f>IF(SnapshotTable[[#This Row],[SC Is Filled]], btc_max_buyback_amount(SnapshotTable[[#This Row],[SC Fill Date]],SnapshotTable[[#This Row],[SC Exp Date]], SnapshotTable[[#This Row],[SC Book Price]]),0)</f>
        <v>0</v>
      </c>
      <c r="FD285" s="5"/>
      <c r="FE285" s="144" t="str">
        <f>IF(SnapshotTable[[#This Row],[SC Is Filled]], btc_next_cutoff_date(SnapshotTable[[#This Row],[SC Fill Date]],SnapshotTable[[#This Row],[SC Exp Date]]),"")</f>
        <v/>
      </c>
      <c r="FF285" s="4" t="str" cm="1">
        <f t="array" ref="FF285">IF(SnapshotTable[[#This Row],[SC Is Filled]], btc_should_buy_back(SnapshotTable[[#This Row],[SC Fill Date]], SnapshotTable[[#This Row],[SC Exp Date]], SnapshotTable[[#This Row],[SC Book Price]], SnapshotTable[[#This Row],[SC Current Ask]], MockToday, SnapshotTable[[#This Row],[SC Buyback Override]]),"")</f>
        <v/>
      </c>
      <c r="FG285" s="4">
        <f>IF(SnapshotTable[[#This Row],[SC Is Filled]], MAX(0,SnapshotTable[[#This Row],[Last Price]]  - SnapshotTable[[#This Row],[SC Strike Price]]), 0)</f>
        <v>0</v>
      </c>
      <c r="FH285" s="382">
        <f>IF(SnapshotTable[[#This Row],[SC Is Filled]], IF(ISNUMBER(SnapshotTable[[#This Row],[SC Current Ask]]), SnapshotTable[[#This Row],[SC Current Ask]], SnapshotTable[[#This Row],[SC Book Price]]) - SnapshotTable[[#This Row],[SC Intrinsic Value]], 0)</f>
        <v>0</v>
      </c>
      <c r="FI285" s="143"/>
      <c r="FJ285" s="32" t="str">
        <f>IF(SnapshotTable[[#This Row],[SC Is Filled]],100 * SnapshotTable[[#This Row],[SC Qty]] * IF(ISNUMBER(SnapshotTable[[#This Row],[SC Buyback Override]]), SnapshotTable[[#This Row],[SC Buyback Override]], SnapshotTable[[#This Row],[SC Current Ask]]), "")</f>
        <v/>
      </c>
      <c r="FK285" s="250" t="str">
        <f>IF(SnapshotTable[[#This Row],[SC Time Val]]&gt;0, SnapshotTable[[#This Row],[SC Time Val]] / SnapshotTable[[#This Row],[Last Price]],"")</f>
        <v/>
      </c>
      <c r="FL285" s="302" t="str">
        <f>IF(SnapshotTable[[#This Row],[SC Is Booked]], ((SnapshotTable[[#This Row],[Last Price]] -SnapshotTable[[#This Row],[SC Strike Price]]) / SnapshotTable[[#This Row],[Last Price]]) * -1, "")</f>
        <v/>
      </c>
      <c r="FM285" s="157" t="str">
        <f>IF(SnapshotTable[[#This Row],[SC Is Booked]],  (SnapshotTable[[#This Row],[SC Qty]] * 100 * SnapshotTable[[#This Row],[SC Strike Price]]) - SnapshotTable[[#This Row],[SC Current Ask]], "")</f>
        <v/>
      </c>
      <c r="FN28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5" s="31" t="str">
        <f>IF(AND(ISNUMBER(SnapshotTable[[#This Row],[SC Exercise Gross]]), ISNUMBER(SnapshotTable[[#This Row],[Equity Basis Per Share]] )), SnapshotTable[[#This Row],[SC Exercise Gross]] - SnapshotTable[[#This Row],[Equity Basis Total]] +  SnapshotTable[[#This Row],[SC Premium]], "")</f>
        <v/>
      </c>
      <c r="FP285" s="5" t="str">
        <f>IF(ISNUMBER(SnapshotTable[[#This Row],[SC Exercise Gross]]), (SnapshotTable[[#This Row],[SC Exercise Gross]]) / (SnapshotTable[[#This Row],[SC Qty]] * 100), "")</f>
        <v/>
      </c>
      <c r="FQ285" s="27" t="str">
        <f>IF(SnapshotTable[[#This Row],[SC Is Booked]],SnapshotTable[[#This Row],[SC Time Val]] /SnapshotTable[[#This Row],[SC Basis]], "")</f>
        <v/>
      </c>
      <c r="FR285" s="27" t="str" cm="1">
        <f t="array" ref="FR285">IF(AND(ISNUMBER(SnapshotTable[[#This Row],[SC Term]]),ISNUMBER(SnapshotTable[[#This Row],[SC Simple ROO]])), EllmanAnnualize(SnapshotTable[[#This Row],[SC DTE]], SnapshotTable[[#This Row],[SC Simple ROO]] ),"")</f>
        <v/>
      </c>
      <c r="FS285" s="4" t="e">
        <f>IF(SnapshotTable[[#This Row],[SC Strike Price]] &gt; SnapshotTable[[#This Row],[Last Price]], SnapshotTable[[#This Row],[SC Strike Price]] - SnapshotTable[[#This Row],[Last Price]],0)</f>
        <v>#VALUE!</v>
      </c>
      <c r="FT285" s="27" t="e">
        <f>IF(AND(ISNUMBER(SnapshotTable[[#This Row],[SC Upside Potential]]), SnapshotTable[[#This Row],[SC Upside Potential]] &gt; 0),(SnapshotTable[[#This Row],[SC Upside Potential]]/ SnapshotTable[[#This Row],[ACB]]),"")</f>
        <v>#VALUE!</v>
      </c>
      <c r="FU285" s="333" t="str">
        <f>IF(SnapshotTable[[#This Row],[SC Intrinsic Value]] &gt; 0,SnapshotTable[[#This Row],[SC Intrinsic Value]],"")</f>
        <v/>
      </c>
      <c r="FV285" s="27" t="str">
        <f>IF(AND( ISNUMBER( SnapshotTable[[#This Row],[ACB]]),ISNUMBER(SnapshotTable[[#This Row],[SC Downside Protect]])),SnapshotTable[[#This Row],[SC Downside Protect]] / SnapshotTable[[#This Row],[ACB]],"")</f>
        <v/>
      </c>
      <c r="FW285" s="236" t="str">
        <f>IF(AND(ISNUMBER(SnapshotTable[[#This Row],[SC Simple ROO]]),SnapshotTable[[#This Row],[SC Simple ROO]] &gt; 0), SnapshotTable[[#This Row],[SC Premium]] + (SnapshotTable[[#This Row],[SC Qty]] * SnapshotTable[[#This Row],[SC Upside Potential]]), "")</f>
        <v/>
      </c>
      <c r="FX285" s="302" t="str" cm="1">
        <f t="array" ref="FX285">IF(ISNUMBER(SnapshotTable[[#This Row],[SC Max Dollars]]), annualize(SnapshotTable[[#This Row],[SC Term]],(SnapshotTable[[#This Row],[SC Max Dollars]]/SnapshotTable[[#This Row],[SC Basis]])),"")</f>
        <v/>
      </c>
      <c r="FY285" s="236" t="str">
        <f>IF(AND(SnapshotTable[[#This Row],[SC Qty]]&gt;0,SnapshotTable[[#This Row],[SC Current Ask]]&gt;0), SnapshotTable[[#This Row],[SC Qty]] * SnapshotTable[[#This Row],[SC Current Ask]] * -100, "")</f>
        <v/>
      </c>
      <c r="FZ285" s="31" t="str">
        <f>IF(ISNUMBER((SnapshotTable[[#This Row],[SC Current Value]])), SnapshotTable[[#This Row],[SC Premium]] + SnapshotTable[[#This Row],[SC Current Value]], "")</f>
        <v/>
      </c>
      <c r="GA285" s="294" t="str">
        <f>IFERROR( IF(ISNUMBER((SnapshotTable[[#This Row],[SC Current Value]])), SnapshotTable[[#This Row],[SC Gain Loss]] / SnapshotTable[[#This Row],[SC Premium]], ""), "")</f>
        <v/>
      </c>
      <c r="GB285" s="42">
        <f>SnapshotTable[[#This Row],[Equity Shares]] * SaleSharesToConsiderPercentage</f>
        <v>0</v>
      </c>
      <c r="GC285" s="40">
        <f>SnapshotTable[[#This Row],[Long Term Target]] * SellingPriceToConsiderBasedOnTargetPercentage</f>
        <v>134.42499999999998</v>
      </c>
      <c r="GD285" s="40">
        <f>SnapshotTable[[#This Row],[Last Price]] * (1+ SellingPriceToConsiderBasedOnTargetPercentage)</f>
        <v>174.03749999999999</v>
      </c>
      <c r="GE285" s="41"/>
      <c r="GF285" s="40"/>
      <c r="GG285" s="31">
        <f>SnapshotTable[[#This Row],[Booked Sale Shares]] * SnapshotTable[[#This Row],[Booked Sale Price]]</f>
        <v>0</v>
      </c>
      <c r="GH285" s="31" t="str">
        <f>IF(SnapshotTable[[#This Row],[Equity Basis Total]] &gt; 0, SnapshotTable[[#This Row],[Equity Basis Per Share]] * SnapshotTable[[#This Row],[Booked Sale Shares]], "")</f>
        <v/>
      </c>
      <c r="GI285" s="31">
        <f>IF(SnapshotTable[[#This Row],[Sale Proceeds]]&gt;0, SnapshotTable[[#This Row],[Sale Proceeds]] - SnapshotTable[[#This Row],[Sale Basis]], 0)</f>
        <v>0</v>
      </c>
      <c r="GJ285" s="27" t="str">
        <f>IF(SnapshotTable[[#This Row],[Sale G/L]]&gt;0, SnapshotTable[[#This Row],[Sale G/L]] / SnapshotTable[[#This Row],[Sale Basis]], IF(ISNUMBER(SnapshotTable[[#This Row],[SC Exercise P&amp;L (TAX)]]), SnapshotTable[[#This Row],[SC Exercise P&amp;L (TAX)]] / SnapshotTable[[#This Row],[SC Basis]], ""))</f>
        <v/>
      </c>
      <c r="GK285" s="27" t="s">
        <v>758</v>
      </c>
      <c r="GL285" s="43" t="str">
        <f>IF(AND(SnapshotTable[[#This Row],[LP Exp Date]]&gt;0,SnapshotTable[[#This Row],[LP Strike Price]]&gt;0), [1]!ToOptionSymbol(SnapshotTable[[#This Row],[Symbol]], SnapshotTable[[#This Row],[LP Strike Price]],SnapshotTable[[#This Row],[LP Exp Date]],1), "")</f>
        <v/>
      </c>
      <c r="GM285" s="30" t="str">
        <f>IF(LEN(SnapshotTable[[#This Row],[LP Symbol]])&gt;0, 1, "")</f>
        <v/>
      </c>
      <c r="GN285" s="43" t="str">
        <f>IF(AND(SnapshotTable[[#This Row],[SP Exp Date]]&gt;0,SnapshotTable[[#This Row],[SP Strike Price]]&gt;0), [1]!ToOptionSymbol(SnapshotTable[[#This Row],[Symbol]], SnapshotTable[[#This Row],[SP Strike Price]],SnapshotTable[[#This Row],[SP Exp Date]],1), "")</f>
        <v/>
      </c>
      <c r="GO285" s="30" t="str">
        <f>IF(LEN(SnapshotTable[[#This Row],[SP Symbol]])&gt;0, 1, "")</f>
        <v/>
      </c>
      <c r="GP285" s="43" t="str">
        <f>IF(AND(SnapshotTable[[#This Row],[LC Exp Date]]&gt;0,SnapshotTable[[#This Row],[LC Strike Price]]&gt;0), [1]!ToOptionSymbol(SnapshotTable[[#This Row],[Symbol]], SnapshotTable[[#This Row],[LC Strike Price]],SnapshotTable[[#This Row],[LC Exp Date]],0), "")</f>
        <v/>
      </c>
      <c r="GQ285" s="30" t="str">
        <f>IF(LEN(SnapshotTable[[#This Row],[LC Symbol]])&gt;0, 1, "")</f>
        <v/>
      </c>
      <c r="GR285" s="43" t="str">
        <f>IF(AND(SnapshotTable[[#This Row],[SC Exp Date]]&gt;0,SnapshotTable[[#This Row],[SC Strike Price]]&gt;0), [1]!ToOptionSymbol(SnapshotTable[[#This Row],[Symbol]], SnapshotTable[[#This Row],[SC Strike Price]],SnapshotTable[[#This Row],[SC Exp Date]],0), "")</f>
        <v/>
      </c>
      <c r="GS285" s="30" t="str">
        <f>IF(LEN(SnapshotTable[[#This Row],[SC Symbol]])&gt;0, 1, "")</f>
        <v/>
      </c>
      <c r="GT285" s="29" t="str">
        <f>IF(COUNT(SnapshotTable[[#This Row],[LP Symbol Count]],SnapshotTable[[#This Row],[SP Symbol Count]],SnapshotTable[[#This Row],[LC Symbol Count]],SnapshotTable[[#This Row],[SC Symbol Count]])&gt;0, "Y", "")</f>
        <v/>
      </c>
      <c r="GU28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85" s="231" t="e">
        <f>MAX(SnapshotTable[[#This Row],[Equity Basis Total]],SnapshotTable[[#This Row],[Equity Value]]) + (SnapshotTable[[#This Row],[SP Potential Spend]]- SnapshotTable[[#This Row],[SP Premium]] + SnapshotTable[[#This Row],[LP Premium]])+ (SnapshotTable[[#This Row],[LC Premium]] - SnapshotTable[[#This Row],[SC Premium]])</f>
        <v>#VALUE!</v>
      </c>
      <c r="GW285" s="139" t="e">
        <f>IF(AND(SnapshotTable[[#This Row],[Exposure]] &lt;&gt; 0),SnapshotTable[[#This Row],[Exposure]] / SnapshotTable[[#Totals],[Exposure]], "")</f>
        <v>#VALUE!</v>
      </c>
      <c r="GY285" s="381"/>
      <c r="HE285" s="381"/>
      <c r="HF285" s="381"/>
      <c r="HG285" s="381"/>
      <c r="HH285" s="381"/>
      <c r="HI285" s="381"/>
      <c r="HJ285" s="381"/>
    </row>
    <row r="286" spans="2:224" s="47" customFormat="1" ht="12.75" hidden="1" customHeight="1" x14ac:dyDescent="0.25">
      <c r="B286" s="12" t="s">
        <v>53</v>
      </c>
      <c r="C286" s="422">
        <v>23.04</v>
      </c>
      <c r="D286" s="208" t="s">
        <v>884</v>
      </c>
      <c r="E286" s="39">
        <f>SnapshotTable[[#This Row],[Last Price]]*(1 -CrashDiscount)</f>
        <v>19.584</v>
      </c>
      <c r="F286" s="26" t="s">
        <v>36</v>
      </c>
      <c r="G286" s="26" t="s">
        <v>9</v>
      </c>
      <c r="H286" s="149"/>
      <c r="I286" s="194">
        <v>44945</v>
      </c>
      <c r="J286" s="195">
        <v>44945</v>
      </c>
      <c r="K286" s="196"/>
      <c r="L286" s="326"/>
      <c r="M286" s="140"/>
      <c r="N286" s="140"/>
      <c r="O286" s="140"/>
      <c r="P286" s="22"/>
      <c r="Q286" s="25"/>
      <c r="R286" s="4" t="str">
        <f>IF(SnapshotTable[[#This Row],[Equity Basis Total]] &gt; 0, SnapshotTable[[#This Row],[Equity Basis Total]] / SnapshotTable[[#This Row],[Equity Shares]], "")</f>
        <v/>
      </c>
      <c r="S286" s="269">
        <f>SnapshotTable[[#This Row],[Last Price]] * SnapshotTable[[#This Row],[Equity Shares]]</f>
        <v>0</v>
      </c>
      <c r="T286" s="269">
        <f>SnapshotTable[[#This Row],[Equity Value]] - SnapshotTable[[#This Row],[Equity Basis Total]]</f>
        <v>0</v>
      </c>
      <c r="U286" s="270" t="str">
        <f>IF(SnapshotTable[[#This Row],[Equity Basis Total]] &gt; 0, SnapshotTable[[#This Row],[Equity G/L]] / SnapshotTable[[#This Row],[Equity Basis Total]], "")</f>
        <v/>
      </c>
      <c r="V286" s="268"/>
      <c r="W286" s="268"/>
      <c r="X286" s="4" t="str">
        <f>IF(AND(ISNUMBER(SnapshotTable[[#This Row],[Equity Basis Per Share]]),ISNUMBER(SnapshotTable[[#This Row],[Equity Target]])),SnapshotTable[[#This Row],[Equity Target]]-SnapshotTable[[#This Row],[Equity Basis Per Share]],"")</f>
        <v/>
      </c>
      <c r="Y286" s="4" t="str">
        <f>IF(AND(ISNUMBER(SnapshotTable[[#This Row],[Equity Basis Per Share]]),ISNUMBER(SnapshotTable[[#This Row],[Equity Stop Loss]])),SnapshotTable[[#This Row],[Equity Stop Loss]]-SnapshotTable[[#This Row],[Equity Basis Per Share]],"")</f>
        <v/>
      </c>
      <c r="Z286" s="275" t="str">
        <f>IFERROR( TEXT(SnapshotTable[[#This Row],[Equity Max Gain Per Share]] /ABS( SnapshotTable[[#This Row],[Equity Max Loss Per Share]]),"0.0 " ) &amp; " : 1", "")</f>
        <v/>
      </c>
      <c r="AA286" s="31" t="str">
        <f>IF(ISNUMBER(SnapshotTable[[#This Row],[Equity Max Gain Per Share]]),SnapshotTable[[#This Row],[Equity Max Gain Per Share]] * SnapshotTable[[#This Row],[Equity Shares]],"")</f>
        <v/>
      </c>
      <c r="AB286" s="31" t="str">
        <f>IF(ISNUMBER(SnapshotTable[[#This Row],[Equity Max Loss Per Share]]),SnapshotTable[[#This Row],[Equity Max Loss Per Share]] * SnapshotTable[[#This Row],[Equity Shares]],"")</f>
        <v/>
      </c>
      <c r="AC286" s="150">
        <v>2.08</v>
      </c>
      <c r="AD286" s="151">
        <v>44502</v>
      </c>
      <c r="AE286" s="31">
        <f>(SnapshotTable[[#This Row],[Annual Dividend Per Share]] / 4) * SnapshotTable[[#This Row],[Equity Shares]]</f>
        <v>0</v>
      </c>
      <c r="AF286" s="31">
        <f>SnapshotTable[[#This Row],[Quarterly Div $]] * 4</f>
        <v>0</v>
      </c>
      <c r="AG286" s="7">
        <f>IF(SnapshotTable[[#This Row],[Annual Dividend Per Share]]&gt;0, SnapshotTable[[#This Row],[Annual Dividend Per Share]]  / SnapshotTable[[#This Row],[Last Price]], 0)</f>
        <v>9.027777777777779E-2</v>
      </c>
      <c r="AH286" s="151">
        <v>44477</v>
      </c>
      <c r="AI286" s="5"/>
      <c r="AJ286" s="138">
        <v>26.71</v>
      </c>
      <c r="AK286" s="152" t="str">
        <f>IF(ISNUMBER( SnapshotTable[[#This Row],[EBF Target]]),(SnapshotTable[[#This Row],[EBF Target]] - SnapshotTable[[#This Row],[Last Price]]) / SnapshotTable[[#This Row],[Last Price]], "")</f>
        <v/>
      </c>
      <c r="AL286" s="152" t="str">
        <f>IF(AND(SnapshotTable[[#This Row],[Equity Basis Total]] &gt; 0,ISNUMBER( SnapshotTable[[#This Row],[Long Term Target]])), SnapshotTable[[#This Row],[From Basis $]] / SnapshotTable[[#This Row],[Equity Basis Total]], "")</f>
        <v/>
      </c>
      <c r="AM286" s="9">
        <f>IF( AND(SnapshotTable[[#This Row],[Equity Shares]] &gt;0,ISNUMBER( SnapshotTable[[#This Row],[Long Term Target]])),(SnapshotTable[[#This Row],[Equity Shares]] * SnapshotTable[[#This Row],[Long Term Target]]) - SnapshotTable[[#This Row],[Equity Basis Total]],0)</f>
        <v>0</v>
      </c>
      <c r="AN286" s="9">
        <f>IF( AND(SnapshotTable[[#This Row],[Equity Shares]] &gt;0,ISNUMBER( SnapshotTable[[#This Row],[Long Term Target]])),(SnapshotTable[[#This Row],[Equity Shares]]*SnapshotTable[[#This Row],[Long Term Target]]) - SnapshotTable[[#This Row],[Equity Value]],0)</f>
        <v>0</v>
      </c>
      <c r="AO286" s="152">
        <f>IF(AND(ISNUMBER( SnapshotTable[[#This Row],[Long Term Target]]), ISNUMBER(SnapshotTable[[#This Row],[Last Price]])),(SnapshotTable[[#This Row],[Long Term Target]] - SnapshotTable[[#This Row],[Last Price]]) / SnapshotTable[[#This Row],[Last Price]], "")</f>
        <v>0.15928819444444453</v>
      </c>
      <c r="AP286" s="5">
        <v>16.5</v>
      </c>
      <c r="AQ286" s="38" t="s">
        <v>27</v>
      </c>
      <c r="AR286" s="5">
        <v>16.5</v>
      </c>
      <c r="AS286" s="38" t="s">
        <v>38</v>
      </c>
      <c r="AT286" s="146" t="s">
        <v>542</v>
      </c>
      <c r="AU286" s="187" t="str">
        <f>IF(OR(SnapshotTable[[#This Row],[LP No Fill]]="Y",SnapshotTable[[#This Row],[SP Is Filled]],SnapshotTable[[#This Row],[LC Not Filled]]="Y",SnapshotTable[[#This Row],[SC Is Filled]]),"Y","")</f>
        <v/>
      </c>
      <c r="AV286" s="219"/>
      <c r="AW286" s="225">
        <v>0.52900000000000003</v>
      </c>
      <c r="AX286" s="220">
        <v>44379</v>
      </c>
      <c r="AY286" s="219">
        <f>IF(SnapshotTable[[#This Row],[Implied Move]]&gt;0, SnapshotTable[[#This Row],[Last Price]]-SnapshotTable[[#This Row],[Implied Move]],"")</f>
        <v>22.510999999999999</v>
      </c>
      <c r="AZ286" s="219">
        <f>IF(SnapshotTable[[#This Row],[Implied Move]]&gt;0, SnapshotTable[[#This Row],[Last Price]] + SnapshotTable[[#This Row],[Implied Move]],"")</f>
        <v>23.568999999999999</v>
      </c>
      <c r="BA286" s="331">
        <v>24.27</v>
      </c>
      <c r="BB286" s="347"/>
      <c r="BC28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6" s="351"/>
      <c r="BE286" s="5"/>
      <c r="BF286" s="14"/>
      <c r="BG286" s="13"/>
      <c r="BH286" s="13"/>
      <c r="BI286" s="5"/>
      <c r="BJ286" s="136">
        <f>IF(SnapshotTable[[#This Row],[LP Qty]] &gt; 0, SnapshotTable[[#This Row],[LP Qty]] * SnapshotTable[[#This Row],[LP Book Price]] * 100,0)</f>
        <v>0</v>
      </c>
      <c r="BK286" s="136">
        <f>IF(SnapshotTable[[#This Row],[LP Premium]] &gt; 0, SnapshotTable[[#This Row],[LP Qty]] * SnapshotTable[[#This Row],[LP Strike Price]] * 100,0)</f>
        <v>0</v>
      </c>
      <c r="BL286" s="154"/>
      <c r="BM286" s="385" t="str">
        <f>IF(SnapshotTable[[#This Row],[LP Premium]] &gt; 0,SnapshotTable[[#This Row],[LP Exp Date]]-MAX(SnapshotTable[[#This Row],[LP Book Date]], SnapshotTable[[#This Row],[LP Fill Date]]),"")</f>
        <v/>
      </c>
      <c r="BN286" s="385" t="str">
        <f>IF(ISNUMBER( SnapshotTable[[#This Row],[LP Term]]), SnapshotTable[[#This Row],[LP Exp Date]] - MockToday,"")</f>
        <v/>
      </c>
      <c r="BO286" s="163" t="str">
        <f>IF(AND(SnapshotTable[[#This Row],[LP Exp Date]]&gt;0, SnapshotTable[[#This Row],[LP Strike Price]]&gt;0,SnapshotTable[[#This Row],[LP Qty]]&gt;0,SnapshotTable[[#This Row],[LP Book Date]]&gt;0,SnapshotTable[[#This Row],[LP Book Price]]&gt;0,SnapshotTable[[#This Row],[LP Fill Date]]=0),"Y","")</f>
        <v/>
      </c>
      <c r="BP286" s="31" t="str">
        <f>IF(AND(SnapshotTable[[#This Row],[LP No Fill]]&lt;&gt;"Y",SnapshotTable[[#This Row],[LP Contract Value]]&gt;0, SnapshotTable[[#This Row],[LP Qty]]&gt;0), SnapshotTable[[#This Row],[LP Contract Value]]*SnapshotTable[[#This Row],[LP Qty]]*100,"")</f>
        <v/>
      </c>
      <c r="BQ286" s="13"/>
      <c r="BR286" s="5" t="str">
        <f>IF(SnapshotTable[[#This Row],[SP Exp Date]]&lt;&gt;"",TRUNC(SnapshotTable[[#This Row],[Last Price]]),"")</f>
        <v/>
      </c>
      <c r="BS286" s="36"/>
      <c r="BT286" s="147"/>
      <c r="BU286" s="13"/>
      <c r="BV286" s="5"/>
      <c r="BW286" s="419" t="b">
        <f>AND(ISNUMBER(SnapshotTable[[#This Row],[SP Exp Date]]), ISNUMBER(SnapshotTable[[#This Row],[SP Strike Price]]), ISNUMBER(SnapshotTable[[#This Row],[SP Qty]]), ISNUMBER(SnapshotTable[[#This Row],[SP Book Date]]), ISNUMBER(SnapshotTable[[#This Row],[SP Book Price]]))</f>
        <v>0</v>
      </c>
      <c r="BX286" s="419" t="b">
        <f>AND(SnapshotTable[[#This Row],[SP Is Booked]], NOT(ISBLANK(SnapshotTable[[#This Row],[SP Fill Date]])))</f>
        <v>0</v>
      </c>
      <c r="BY286" s="33">
        <f>IF(SnapshotTable[[#This Row],[SP Is Booked]], SnapshotTable[[#This Row],[SP Qty]] * SnapshotTable[[#This Row],[SP Book Price]] * 100, 0)</f>
        <v>0</v>
      </c>
      <c r="BZ286" s="369"/>
      <c r="CA286" s="368">
        <f>SnapshotTable[[#This Row],[LP Qty]]</f>
        <v>0</v>
      </c>
      <c r="CB286" s="4" t="str">
        <f>IF(SnapshotTable[[#This Row],[SP Is Booked]], SnapshotTable[[#This Row],[SP Strike Price]] - SnapshotTable[[#This Row],[SP Book Price]], "")</f>
        <v/>
      </c>
      <c r="CC286" s="19" t="str">
        <f>IF(SnapshotTable[[#This Row],[SP Is Booked]],SnapshotTable[[#This Row],[SP Exp Date]]-MAX(SnapshotTable[[#This Row],[SP Book Date]], SnapshotTable[[#This Row],[SP Fill Date]]),"")</f>
        <v/>
      </c>
      <c r="CD286" s="7" t="str">
        <f>IF(SnapshotTable[[#This Row],[SP Is Booked]], SnapshotTable[[#This Row],[SP Book Price]]/SnapshotTable[[#This Row],[SP Strike Price]], "")</f>
        <v/>
      </c>
      <c r="CE286" s="7" t="str">
        <f>IF(ISNUMBER(SnapshotTable[[#This Row],[SP ROO Term]]),SnapshotTable[[#This Row],[SP ROO Term]]*(365/SnapshotTable[[#This Row],[SP Term]]),"")</f>
        <v/>
      </c>
      <c r="CF286" s="236">
        <f>SnapshotTable[[#This Row],[LP Strike Price]] * SnapshotTable[[#This Row],[LP Qty]] * 100</f>
        <v>0</v>
      </c>
      <c r="CG286" s="31" t="e">
        <f>IF(ISNUMBER(SnapshotTable[[#This Row],[SP Premium]]), (SnapshotTable[[#This Row],[SP Qty]] * SnapshotTable[[#This Row],[SP Strike Price]]* 100) - SnapshotTable[[#This Row],[LP Protection]], 0)</f>
        <v>#VALUE!</v>
      </c>
      <c r="CH286" s="7" t="str">
        <f>IF(ISNUMBER(SnapshotTable[[#This Row],[SP Break Even]]),-1 * (SnapshotTable[[#This Row],[SP Break Even]] - SnapshotTable[[#This Row],[Last Price]]) / SnapshotTable[[#This Row],[Last Price]], "")</f>
        <v/>
      </c>
      <c r="CI286" s="31">
        <f>IF(AND(ISNUMBER((SnapshotTable[[#This Row],[SP Potential Spend]])), SnapshotTable[[#This Row],[SP Strike Price]] &gt; SnapshotTable[[#This Row],[Last Price]], SnapshotTable[[#This Row],[SP Is Filled]]), SnapshotTable[[#This Row],[SP Potential Spend]] -  SnapshotTable[[#This Row],[LP Max Value]], 0)</f>
        <v>0</v>
      </c>
      <c r="CJ286" s="244"/>
      <c r="CK286" s="31" t="str">
        <f>IF(ISNUMBER(SnapshotTable[[#This Row],[SP Potential Spend]]),IF(ISNUMBER(SnapshotTable[[#This Row],[SP POW]]), SnapshotTable[[#This Row],[SP POW]] * SnapshotTable[[#This Row],[SP Potential Spend]], SnapshotTable[[#This Row],[SP Potential Spend]]), "")</f>
        <v/>
      </c>
      <c r="CL286" s="164" t="e">
        <f>IF(NOT(SnapshotTable[[#This Row],[SP Is Filled]]),(SnapshotTable[[#This Row],[SP Qty]] * SnapshotTable[[#This Row],[SP Strike Price]] * 100) - SnapshotTable[[#This Row],[LP Max Value]],"")</f>
        <v>#VALUE!</v>
      </c>
      <c r="CM286" s="31" t="str">
        <f>IF(SnapshotTable[[#This Row],[SP Actual Spend]]&lt;&gt;0, ((SnapshotTable[[#This Row],[SP Strike Price]]-SnapshotTable[[#This Row],[Last Price]]) *(SnapshotTable[[#This Row],[SP Qty]]*100) - SnapshotTable[[#This Row],[SP Premium]]) * - 1, "")</f>
        <v/>
      </c>
      <c r="CN286" s="218"/>
      <c r="CO286" s="369"/>
      <c r="CP286" s="4" t="str">
        <f>IF(SnapshotTable[[#This Row],[SP Is Filled]], btc_max_buyback_amount(SnapshotTable[[#This Row],[SP Fill Date]],SnapshotTable[[#This Row],[SP Exp Date]], SnapshotTable[[#This Row],[SP Book Price]]),"")</f>
        <v/>
      </c>
      <c r="CQ286" s="78"/>
      <c r="CR28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6" s="155" t="str">
        <f>IF(SnapshotTable[[#This Row],[SP Is Filled]], btc_next_cutoff_date(SnapshotTable[[#This Row],[SP Fill Date]],SnapshotTable[[#This Row],[SP Exp Date]]),"")</f>
        <v/>
      </c>
      <c r="CT286" s="235" t="str" cm="1">
        <f t="array" ref="CT286">IF(SnapshotTable[[#This Row],[SP Is Filled]], btc_should_buy_back(SnapshotTable[[#This Row],[SP Fill Date]], SnapshotTable[[#This Row],[SP Exp Date]], SnapshotTable[[#This Row],[SP Book Price]], SnapshotTable[[#This Row],[SP Current Ask]], MockToday, SnapshotTable[[#This Row],[SP Buyback Override]]),"")</f>
        <v/>
      </c>
      <c r="CU286" s="143"/>
      <c r="CV286" s="235"/>
      <c r="CW286" s="378" t="str">
        <f>IF(ISNUMBER( SnapshotTable[[#This Row],[SP Term]]), SnapshotTable[[#This Row],[SP Exp Date]] - MockToday,"")</f>
        <v/>
      </c>
      <c r="CX286" s="31" t="str">
        <f>IF(SnapshotTable[[#This Row],[SP Is Filled]],SnapshotTable[[#This Row],[SP Buyback Price to Use]] * 100 * SnapshotTable[[#This Row],[SP Qty]], "")</f>
        <v/>
      </c>
      <c r="CY286" s="4" t="str">
        <f>IF(ISNUMBER(SnapshotTable[[#This Row],[SP Strike Price]]), SnapshotTable[[#This Row],[SP Strike Price]] * (1 - SP_MaxLoss_StrikePct), "")</f>
        <v/>
      </c>
      <c r="CZ286" s="31" t="str">
        <f>IF(ISNUMBER(SnapshotTable[[#This Row],[SP Strike  Stop Per Share]]),SnapshotTable[[#This Row],[SP Premium]] - ((SnapshotTable[[#This Row],[SP Strike Price]]-SnapshotTable[[#This Row],[SP Strike  Stop Per Share]]) *(SnapshotTable[[#This Row],[SP Qty]] * 100)),"")</f>
        <v/>
      </c>
      <c r="DA286" s="4" t="str">
        <f>IF(AND(ISNUMBER(SnapshotTable[[#This Row],[SP Premium]]),SnapshotTable[[#This Row],[SP Premium]]&gt;0), SnapshotTable[[#This Row],[SP Book Price]] * (1 + SP_MaxLoss_OptionPct), "")</f>
        <v/>
      </c>
      <c r="DB286" s="31" t="str">
        <f>IF(ISNUMBER(SnapshotTable[[#This Row],[SP Option  Stop Contract]]),(SnapshotTable[[#This Row],[SP Option  Stop Contract]] *(SnapshotTable[[#This Row],[SP Qty]] * 100) - SnapshotTable[[#This Row],[SP Premium]]),"")</f>
        <v/>
      </c>
      <c r="DC286" s="4"/>
      <c r="DD286" s="4"/>
      <c r="DE286" s="4" t="str">
        <f>IF(AND(SnapshotTable[[#This Row],[SP Qty]]&gt;0, SnapshotTable[[#This Row],[SP Stop To Use]]&gt;0),SnapshotTable[[#This Row],[SP Premium]] - ( SnapshotTable[[#This Row],[SP Qty]] * SnapshotTable[[#This Row],[SP Stop To Use]] * 100), "")</f>
        <v/>
      </c>
      <c r="DF286" s="31" t="str">
        <f>IF(AND(SnapshotTable[[#This Row],[SP Qty]]&gt;0,SnapshotTable[[#This Row],[SP Current Ask]]&gt;0), SnapshotTable[[#This Row],[SP Qty]] * SnapshotTable[[#This Row],[SP Current Ask]] * -100, "")</f>
        <v/>
      </c>
      <c r="DG286" s="31" t="str">
        <f>IF(ISNUMBER((SnapshotTable[[#This Row],[SP Total Value]])), SnapshotTable[[#This Row],[SP Premium]] + SnapshotTable[[#This Row],[SP Total Value]], "")</f>
        <v/>
      </c>
      <c r="DH286" s="294" t="str">
        <f>IF(ISNUMBER((SnapshotTable[[#This Row],[SP Total Value]])), SnapshotTable[[#This Row],[SP Gain Loss]] / SnapshotTable[[#This Row],[SP Premium]], "")</f>
        <v/>
      </c>
      <c r="DI286" s="406"/>
      <c r="DJ286" s="138"/>
      <c r="DK286" s="148"/>
      <c r="DL286" s="13"/>
      <c r="DM286" s="13"/>
      <c r="DN286" s="5"/>
      <c r="DO286" s="31">
        <f>IF(SnapshotTable[[#This Row],[LC Symbol Count]]=1, SnapshotTable[[#This Row],[LC Qty]] * SnapshotTable[[#This Row],[LC Book Price]] * 100, 0)</f>
        <v>0</v>
      </c>
      <c r="DP286" s="163" t="str">
        <f>IF(AND(SnapshotTable[[#This Row],[LC Exp Date]]&gt;0, SnapshotTable[[#This Row],[LC Strike Price]]&gt;0,SnapshotTable[[#This Row],[LC Qty]]&gt;0,SnapshotTable[[#This Row],[LC Book Date]]&gt;0,SnapshotTable[[#This Row],[LC Book Price]]&gt;0,SnapshotTable[[#This Row],[LC Fill Date]]=0),"Y","")</f>
        <v/>
      </c>
      <c r="DQ286" s="386" t="str">
        <f>IF(SnapshotTable[[#This Row],[LC Premium]] &gt; 0,SnapshotTable[[#This Row],[LC Exp Date]]-MAX(SnapshotTable[[#This Row],[LC Book Date]], SnapshotTable[[#This Row],[LC Fill Date]]),"")</f>
        <v/>
      </c>
      <c r="DR286" s="386" t="str">
        <f>IF(ISNUMBER(SnapshotTable[[#This Row],[LC Term]]), SnapshotTable[[#This Row],[LC Exp Date]] - MockToday, "")</f>
        <v/>
      </c>
      <c r="DS286" s="234" t="str">
        <f>IF(SnapshotTable[[#This Row],[LC Premium]]&gt;0,SnapshotTable[[#This Row],[LC Strike Price]] + SnapshotTable[[#This Row],[LC Book Price]],"")</f>
        <v/>
      </c>
      <c r="DT286" s="5"/>
      <c r="DU286" s="9" t="str">
        <f>IF(AND(SnapshotTable[[#This Row],[LC Symbol Count]]&gt;0, SnapshotTable[[#This Row],[LC Contract Value]]&gt;0), SnapshotTable[[#This Row],[LC Contract Value]] * SnapshotTable[[#This Row],[LC Qty]] * 100, "")</f>
        <v/>
      </c>
      <c r="DV286" s="9" t="str">
        <f>IF(AND(ISNUMBER(SnapshotTable[[#This Row],[LC Total Value]]), SnapshotTable[[#This Row],[LC Not Filled]]&lt;&gt;"Y"), SnapshotTable[[#This Row],[LC Total Value]]-SnapshotTable[[#This Row],[LC Premium]],"")</f>
        <v/>
      </c>
      <c r="DW286" s="240" t="str">
        <f>IF(ISNUMBER(SnapshotTable[[#This Row],[LC Actual Gain Loss]]), SnapshotTable[[#This Row],[LC Actual Gain Loss]] / SnapshotTable[[#This Row],[LC Premium]],"")</f>
        <v/>
      </c>
      <c r="DX286" s="284" t="str">
        <f>IF(ISNUMBER(SnapshotTable[[#This Row],[LC Book Price]]),SnapshotTable[[#This Row],[LC Book Price]] * 1.5,"")</f>
        <v/>
      </c>
      <c r="DY286" s="265" t="str">
        <f>IF(SnapshotTable[[#This Row],[LC Premium]]&gt;0, SnapshotTable[[#This Row],[LC Next Target]] * SnapshotTable[[#This Row],[LC Qty]] * 100,"")</f>
        <v/>
      </c>
      <c r="DZ286" s="265" t="str">
        <f>IF(ISNUMBER(SnapshotTable[[#This Row],[LC Target Gross]]), SnapshotTable[[#This Row],[LC Target Gross]] - SnapshotTable[[#This Row],[LC Premium]], "")</f>
        <v/>
      </c>
      <c r="EA286" s="305" t="str">
        <f>IF(ISNUMBER(SnapshotTable[[#This Row],[LC Target Gain Loss]]), SnapshotTable[[#This Row],[LC Target Gain Loss]]/SnapshotTable[[#This Row],[LC Premium]], "")</f>
        <v/>
      </c>
      <c r="EB286" s="262"/>
      <c r="EC286" s="283" t="str">
        <f>IF(SnapshotTable[[#This Row],[LC Premium]]&gt;0, SnapshotTable[[#This Row],[LC Book Price]] * (1 - LC_StopLoss_Pct),"")</f>
        <v/>
      </c>
      <c r="ED286" s="284"/>
      <c r="EE286" s="283" t="str">
        <f>IF(ISNUMBER(SnapshotTable[[#This Row],[LC Contract Value]]),IF(ISNUMBER(SnapshotTable[[#This Row],[LC Stop Loss Override]]), SnapshotTable[[#This Row],[LC Stop Loss Override]],SnapshotTable[[#This Row],[LC Stop Loss Calc Target]]),"")</f>
        <v/>
      </c>
      <c r="EF286" s="31" t="str">
        <f>IF(ISNUMBER(SnapshotTable[[#This Row],[LC Stop  To Use]]), (SnapshotTable[[#This Row],[LC Stop  To Use]] * SnapshotTable[[#This Row],[LC Qty]] * 100),"")</f>
        <v/>
      </c>
      <c r="EG286" s="9" t="str">
        <f>IF(ISNUMBER(SnapshotTable[[#This Row],[LC Total Value]]),SnapshotTable[[#This Row],[LC Stop Loss Amount]] - SnapshotTable[[#This Row],[LC Premium]],"")</f>
        <v/>
      </c>
      <c r="EH286" s="9">
        <f>IF(ISNUMBER(SnapshotTable[[#This Row],[LC Premium]]), SnapshotTable[[#This Row],[LC Qty]] * 100 * SnapshotTable[[#This Row],[LC Strike Price]], "")</f>
        <v>0</v>
      </c>
      <c r="EI286" s="240" t="str">
        <f>IF(AND(ISNUMBER(SnapshotTable[[#This Row],[LC Total Value]]),SnapshotTable[[#This Row],[LC Total Value]]&gt;0),SnapshotTable[[#This Row],[LC Stop Gain Loss]]  / SnapshotTable[[#This Row],[LC Premium]],"")</f>
        <v/>
      </c>
      <c r="EJ286" s="35">
        <f>IF(ISNUMBER(SnapshotTable[[#This Row],[Equity Shares]]),TRUNC(SnapshotTable[[#This Row],[Equity Shares]] / 100),0) + SnapshotTable[[#This Row],[LC Qty]]</f>
        <v>0</v>
      </c>
      <c r="EK286" s="147"/>
      <c r="EL286" s="138" t="str">
        <f>IF(SnapshotTable[[#This Row],[SC Exp Date]]&lt;&gt;"",TRUNC(SnapshotTable[[#This Row],[Last Price]]),"")</f>
        <v/>
      </c>
      <c r="EM286" s="148"/>
      <c r="EN286" s="147"/>
      <c r="EO286" s="147"/>
      <c r="EP286" s="138"/>
      <c r="EQ286" s="419" t="b">
        <f>AND(ISNUMBER(SnapshotTable[[#This Row],[SC Exp Date]]), ISNUMBER(SnapshotTable[[#This Row],[SC Strike Price]]), ISNUMBER(SnapshotTable[[#This Row],[SC Qty]]), ISNUMBER(SnapshotTable[[#This Row],[SC Book Date]]), ISNUMBER(SnapshotTable[[#This Row],[SC Book Price]]))</f>
        <v>0</v>
      </c>
      <c r="ER286" s="419" t="b">
        <f>AND(SnapshotTable[[#This Row],[SC Is Booked]], NOT(ISBLANK(SnapshotTable[[#This Row],[SC Fill Date]])))</f>
        <v>0</v>
      </c>
      <c r="ES286" s="370"/>
      <c r="ET286" s="34" t="str">
        <f>IF(AND(ISNUMBER(SnapshotTable[[#This Row],[SC Exp Date]]), ISNUMBER(SnapshotTable[[#This Row],[SC Book Date]])), SnapshotTable[[#This Row],[SC Exp Date]] - MAX(SnapshotTable[[#This Row],[SC Book Date]], SnapshotTable[[#This Row],[SC Fill Date]]) + 1, "")</f>
        <v/>
      </c>
      <c r="EU286" s="34" t="str">
        <f>IF(ISNUMBER(SnapshotTable[[#This Row],[SC Term]]), SnapshotTable[[#This Row],[SC Exp Date]]- MockToday, "")</f>
        <v/>
      </c>
      <c r="EV286" s="31">
        <f>IF(SnapshotTable[[#This Row],[SC Is Booked]], SnapshotTable[[#This Row],[SC Qty]] * SnapshotTable[[#This Row],[SC Book Price]] * 100, 0)</f>
        <v>0</v>
      </c>
      <c r="EW286" s="4" t="str">
        <f>IF(AND(ISNUMBER(SnapshotTable[[#This Row],[Last Price]]), ISNUMBER( SnapshotTable[[#This Row],[SC Book Price]])), SnapshotTable[[#This Row],[Last Price]] - SnapshotTable[[#This Row],[SC Book Price]],"")</f>
        <v/>
      </c>
      <c r="EX286" s="234" t="str">
        <f>IF(SnapshotTable[[#This Row],[SC Is Booked]],IF(SnapshotTable[[#This Row],[SC Intrinsic Value]] &gt; 0, SnapshotTable[[#This Row],[SC Strike Price]], SnapshotTable[[#This Row],[Last Price]]), "")</f>
        <v/>
      </c>
      <c r="EY286" s="4">
        <f>IF(SnapshotTable[[#This Row],[SC Is Booked]], (MinimumPremiumRequired * SnapshotTable[[#This Row],[SC Basis]] * SnapshotTable[[#This Row],[SC Term]]), 0)</f>
        <v>0</v>
      </c>
      <c r="EZ286" s="283"/>
      <c r="FA286" s="423"/>
      <c r="FB286" s="370"/>
      <c r="FC286" s="4">
        <f>IF(SnapshotTable[[#This Row],[SC Is Filled]], btc_max_buyback_amount(SnapshotTable[[#This Row],[SC Fill Date]],SnapshotTable[[#This Row],[SC Exp Date]], SnapshotTable[[#This Row],[SC Book Price]]),0)</f>
        <v>0</v>
      </c>
      <c r="FD286" s="5"/>
      <c r="FE286" s="144" t="str">
        <f>IF(SnapshotTable[[#This Row],[SC Is Filled]], btc_next_cutoff_date(SnapshotTable[[#This Row],[SC Fill Date]],SnapshotTable[[#This Row],[SC Exp Date]]),"")</f>
        <v/>
      </c>
      <c r="FF286" s="4" t="str" cm="1">
        <f t="array" ref="FF286">IF(SnapshotTable[[#This Row],[SC Is Filled]], btc_should_buy_back(SnapshotTable[[#This Row],[SC Fill Date]], SnapshotTable[[#This Row],[SC Exp Date]], SnapshotTable[[#This Row],[SC Book Price]], SnapshotTable[[#This Row],[SC Current Ask]], MockToday, SnapshotTable[[#This Row],[SC Buyback Override]]),"")</f>
        <v/>
      </c>
      <c r="FG286" s="4">
        <f>IF(SnapshotTable[[#This Row],[SC Is Filled]], MAX(0,SnapshotTable[[#This Row],[Last Price]]  - SnapshotTable[[#This Row],[SC Strike Price]]), 0)</f>
        <v>0</v>
      </c>
      <c r="FH286" s="382">
        <f>IF(SnapshotTable[[#This Row],[SC Is Filled]], IF(ISNUMBER(SnapshotTable[[#This Row],[SC Current Ask]]), SnapshotTable[[#This Row],[SC Current Ask]], SnapshotTable[[#This Row],[SC Book Price]]) - SnapshotTable[[#This Row],[SC Intrinsic Value]], 0)</f>
        <v>0</v>
      </c>
      <c r="FI286" s="143">
        <v>44862</v>
      </c>
      <c r="FJ286" s="32" t="str">
        <f>IF(SnapshotTable[[#This Row],[SC Is Filled]],100 * SnapshotTable[[#This Row],[SC Qty]] * IF(ISNUMBER(SnapshotTable[[#This Row],[SC Buyback Override]]), SnapshotTable[[#This Row],[SC Buyback Override]], SnapshotTable[[#This Row],[SC Current Ask]]), "")</f>
        <v/>
      </c>
      <c r="FK286" s="250" t="str">
        <f>IF(SnapshotTable[[#This Row],[SC Time Val]]&gt;0, SnapshotTable[[#This Row],[SC Time Val]] / SnapshotTable[[#This Row],[Last Price]],"")</f>
        <v/>
      </c>
      <c r="FL286" s="302" t="str">
        <f>IF(SnapshotTable[[#This Row],[SC Is Booked]], ((SnapshotTable[[#This Row],[Last Price]] -SnapshotTable[[#This Row],[SC Strike Price]]) / SnapshotTable[[#This Row],[Last Price]]) * -1, "")</f>
        <v/>
      </c>
      <c r="FM286" s="157" t="str">
        <f>IF(SnapshotTable[[#This Row],[SC Is Booked]],  (SnapshotTable[[#This Row],[SC Qty]] * 100 * SnapshotTable[[#This Row],[SC Strike Price]]) - SnapshotTable[[#This Row],[SC Current Ask]], "")</f>
        <v/>
      </c>
      <c r="FN28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6" s="31" t="str">
        <f>IF(AND(ISNUMBER(SnapshotTable[[#This Row],[SC Exercise Gross]]), ISNUMBER(SnapshotTable[[#This Row],[Equity Basis Per Share]] )), SnapshotTable[[#This Row],[SC Exercise Gross]] - SnapshotTable[[#This Row],[Equity Basis Total]] +  SnapshotTable[[#This Row],[SC Premium]], "")</f>
        <v/>
      </c>
      <c r="FP286" s="5" t="str">
        <f>IF(ISNUMBER(SnapshotTable[[#This Row],[SC Exercise Gross]]), (SnapshotTable[[#This Row],[SC Exercise Gross]]) / (SnapshotTable[[#This Row],[SC Qty]] * 100), "")</f>
        <v/>
      </c>
      <c r="FQ286" s="27" t="str">
        <f>IF(SnapshotTable[[#This Row],[SC Is Booked]],SnapshotTable[[#This Row],[SC Time Val]] /SnapshotTable[[#This Row],[SC Basis]], "")</f>
        <v/>
      </c>
      <c r="FR286" s="27" t="str" cm="1">
        <f t="array" ref="FR286">IF(AND(ISNUMBER(SnapshotTable[[#This Row],[SC Term]]),ISNUMBER(SnapshotTable[[#This Row],[SC Simple ROO]])), EllmanAnnualize(SnapshotTable[[#This Row],[SC DTE]], SnapshotTable[[#This Row],[SC Simple ROO]] ),"")</f>
        <v/>
      </c>
      <c r="FS286" s="4" t="e">
        <f>IF(SnapshotTable[[#This Row],[SC Strike Price]] &gt; SnapshotTable[[#This Row],[Last Price]], SnapshotTable[[#This Row],[SC Strike Price]] - SnapshotTable[[#This Row],[Last Price]],0)</f>
        <v>#VALUE!</v>
      </c>
      <c r="FT286" s="27" t="e">
        <f>IF(AND(ISNUMBER(SnapshotTable[[#This Row],[SC Upside Potential]]), SnapshotTable[[#This Row],[SC Upside Potential]] &gt; 0),(SnapshotTable[[#This Row],[SC Upside Potential]]/ SnapshotTable[[#This Row],[ACB]]),"")</f>
        <v>#VALUE!</v>
      </c>
      <c r="FU286" s="333" t="str">
        <f>IF(SnapshotTable[[#This Row],[SC Intrinsic Value]] &gt; 0,SnapshotTable[[#This Row],[SC Intrinsic Value]],"")</f>
        <v/>
      </c>
      <c r="FV286" s="27" t="str">
        <f>IF(AND( ISNUMBER( SnapshotTable[[#This Row],[ACB]]),ISNUMBER(SnapshotTable[[#This Row],[SC Downside Protect]])),SnapshotTable[[#This Row],[SC Downside Protect]] / SnapshotTable[[#This Row],[ACB]],"")</f>
        <v/>
      </c>
      <c r="FW286" s="236" t="str">
        <f>IF(AND(ISNUMBER(SnapshotTable[[#This Row],[SC Simple ROO]]),SnapshotTable[[#This Row],[SC Simple ROO]] &gt; 0), SnapshotTable[[#This Row],[SC Premium]] + (SnapshotTable[[#This Row],[SC Qty]] * SnapshotTable[[#This Row],[SC Upside Potential]]), "")</f>
        <v/>
      </c>
      <c r="FX286" s="302" t="str" cm="1">
        <f t="array" ref="FX286">IF(ISNUMBER(SnapshotTable[[#This Row],[SC Max Dollars]]), annualize(SnapshotTable[[#This Row],[SC Term]],(SnapshotTable[[#This Row],[SC Max Dollars]]/SnapshotTable[[#This Row],[SC Basis]])),"")</f>
        <v/>
      </c>
      <c r="FY286" s="236" t="str">
        <f>IF(AND(SnapshotTable[[#This Row],[SC Qty]]&gt;0,SnapshotTable[[#This Row],[SC Current Ask]]&gt;0), SnapshotTable[[#This Row],[SC Qty]] * SnapshotTable[[#This Row],[SC Current Ask]] * -100, "")</f>
        <v/>
      </c>
      <c r="FZ286" s="31" t="str">
        <f>IF(ISNUMBER((SnapshotTable[[#This Row],[SC Current Value]])), SnapshotTable[[#This Row],[SC Premium]] + SnapshotTable[[#This Row],[SC Current Value]], "")</f>
        <v/>
      </c>
      <c r="GA286" s="294" t="str">
        <f>IFERROR( IF(ISNUMBER((SnapshotTable[[#This Row],[SC Current Value]])), SnapshotTable[[#This Row],[SC Gain Loss]] / SnapshotTable[[#This Row],[SC Premium]], ""), "")</f>
        <v/>
      </c>
      <c r="GB286" s="42">
        <f>SnapshotTable[[#This Row],[Equity Shares]] * SaleSharesToConsiderPercentage</f>
        <v>0</v>
      </c>
      <c r="GC286" s="40">
        <f>SnapshotTable[[#This Row],[Long Term Target]] * SellingPriceToConsiderBasedOnTargetPercentage</f>
        <v>25.374500000000001</v>
      </c>
      <c r="GD286" s="40">
        <f>SnapshotTable[[#This Row],[Last Price]] * (1+ SellingPriceToConsiderBasedOnTargetPercentage)</f>
        <v>44.927999999999997</v>
      </c>
      <c r="GE286" s="41"/>
      <c r="GF286" s="40"/>
      <c r="GG286" s="31">
        <f>SnapshotTable[[#This Row],[Booked Sale Shares]] * SnapshotTable[[#This Row],[Booked Sale Price]]</f>
        <v>0</v>
      </c>
      <c r="GH286" s="31" t="str">
        <f>IF(SnapshotTable[[#This Row],[Equity Basis Total]] &gt; 0, SnapshotTable[[#This Row],[Equity Basis Per Share]] * SnapshotTable[[#This Row],[Booked Sale Shares]], "")</f>
        <v/>
      </c>
      <c r="GI286" s="31">
        <f>IF(SnapshotTable[[#This Row],[Sale Proceeds]]&gt;0, SnapshotTable[[#This Row],[Sale Proceeds]] - SnapshotTable[[#This Row],[Sale Basis]], 0)</f>
        <v>0</v>
      </c>
      <c r="GJ286" s="27" t="str">
        <f>IF(SnapshotTable[[#This Row],[Sale G/L]]&gt;0, SnapshotTable[[#This Row],[Sale G/L]] / SnapshotTable[[#This Row],[Sale Basis]], IF(ISNUMBER(SnapshotTable[[#This Row],[SC Exercise P&amp;L (TAX)]]), SnapshotTable[[#This Row],[SC Exercise P&amp;L (TAX)]] / SnapshotTable[[#This Row],[SC Basis]], ""))</f>
        <v/>
      </c>
      <c r="GK286" s="27" t="s">
        <v>718</v>
      </c>
      <c r="GL286" s="43" t="str">
        <f>IF(AND(SnapshotTable[[#This Row],[LP Exp Date]]&gt;0,SnapshotTable[[#This Row],[LP Strike Price]]&gt;0), [1]!ToOptionSymbol(SnapshotTable[[#This Row],[Symbol]], SnapshotTable[[#This Row],[LP Strike Price]],SnapshotTable[[#This Row],[LP Exp Date]],1), "")</f>
        <v/>
      </c>
      <c r="GM286" s="30" t="str">
        <f>IF(LEN(SnapshotTable[[#This Row],[LP Symbol]])&gt;0, 1, "")</f>
        <v/>
      </c>
      <c r="GN286" s="43" t="str">
        <f>IF(AND(SnapshotTable[[#This Row],[SP Exp Date]]&gt;0,SnapshotTable[[#This Row],[SP Strike Price]]&gt;0), [1]!ToOptionSymbol(SnapshotTable[[#This Row],[Symbol]], SnapshotTable[[#This Row],[SP Strike Price]],SnapshotTable[[#This Row],[SP Exp Date]],1), "")</f>
        <v/>
      </c>
      <c r="GO286" s="30" t="str">
        <f>IF(LEN(SnapshotTable[[#This Row],[SP Symbol]])&gt;0, 1, "")</f>
        <v/>
      </c>
      <c r="GP286" s="43" t="str">
        <f>IF(AND(SnapshotTable[[#This Row],[LC Exp Date]]&gt;0,SnapshotTable[[#This Row],[LC Strike Price]]&gt;0), [1]!ToOptionSymbol(SnapshotTable[[#This Row],[Symbol]], SnapshotTable[[#This Row],[LC Strike Price]],SnapshotTable[[#This Row],[LC Exp Date]],0), "")</f>
        <v/>
      </c>
      <c r="GQ286" s="30" t="str">
        <f>IF(LEN(SnapshotTable[[#This Row],[LC Symbol]])&gt;0, 1, "")</f>
        <v/>
      </c>
      <c r="GR286" s="43" t="str">
        <f>IF(AND(SnapshotTable[[#This Row],[SC Exp Date]]&gt;0,SnapshotTable[[#This Row],[SC Strike Price]]&gt;0), [1]!ToOptionSymbol(SnapshotTable[[#This Row],[Symbol]], SnapshotTable[[#This Row],[SC Strike Price]],SnapshotTable[[#This Row],[SC Exp Date]],0), "")</f>
        <v/>
      </c>
      <c r="GS286" s="30" t="str">
        <f>IF(LEN(SnapshotTable[[#This Row],[SC Symbol]])&gt;0, 1, "")</f>
        <v/>
      </c>
      <c r="GT286" s="29" t="str">
        <f>IF(COUNT(SnapshotTable[[#This Row],[LP Symbol Count]],SnapshotTable[[#This Row],[SP Symbol Count]],SnapshotTable[[#This Row],[LC Symbol Count]],SnapshotTable[[#This Row],[SC Symbol Count]])&gt;0, "Y", "")</f>
        <v/>
      </c>
      <c r="GU28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86" s="231" t="e">
        <f>MAX(SnapshotTable[[#This Row],[Equity Basis Total]],SnapshotTable[[#This Row],[Equity Value]]) + (SnapshotTable[[#This Row],[SP Potential Spend]]- SnapshotTable[[#This Row],[SP Premium]] + SnapshotTable[[#This Row],[LP Premium]])+ (SnapshotTable[[#This Row],[LC Premium]] - SnapshotTable[[#This Row],[SC Premium]])</f>
        <v>#VALUE!</v>
      </c>
      <c r="GW286" s="139" t="e">
        <f>IF(AND(SnapshotTable[[#This Row],[Exposure]] &lt;&gt; 0),SnapshotTable[[#This Row],[Exposure]] / SnapshotTable[[#Totals],[Exposure]], "")</f>
        <v>#VALUE!</v>
      </c>
      <c r="GY286" s="381"/>
      <c r="HE286" s="381"/>
      <c r="HF286" s="381"/>
      <c r="HG286" s="381"/>
      <c r="HH286" s="381"/>
      <c r="HI286" s="381"/>
      <c r="HJ286" s="381"/>
    </row>
    <row r="287" spans="2:224" s="47" customFormat="1" ht="12.75" hidden="1" customHeight="1" x14ac:dyDescent="0.25">
      <c r="B287" s="12" t="s">
        <v>897</v>
      </c>
      <c r="C287" s="422">
        <v>10.33</v>
      </c>
      <c r="D287" s="208"/>
      <c r="E287" s="39">
        <f>SnapshotTable[[#This Row],[Last Price]]*(1 -CrashDiscount)</f>
        <v>8.7805</v>
      </c>
      <c r="F287" s="26" t="s">
        <v>903</v>
      </c>
      <c r="G287" s="26" t="s">
        <v>821</v>
      </c>
      <c r="H287" s="149"/>
      <c r="I287" s="194">
        <v>44771.166666666664</v>
      </c>
      <c r="J287" s="195">
        <v>44771.166666666664</v>
      </c>
      <c r="K287" s="196"/>
      <c r="L287" s="326"/>
      <c r="M287" s="140"/>
      <c r="N287" s="140"/>
      <c r="O287" s="140"/>
      <c r="P287" s="22"/>
      <c r="Q287" s="25"/>
      <c r="R287" s="4" t="str">
        <f>IF(SnapshotTable[[#This Row],[Equity Basis Total]] &gt; 0, SnapshotTable[[#This Row],[Equity Basis Total]] / SnapshotTable[[#This Row],[Equity Shares]], "")</f>
        <v/>
      </c>
      <c r="S287" s="269">
        <f>SnapshotTable[[#This Row],[Last Price]] * SnapshotTable[[#This Row],[Equity Shares]]</f>
        <v>0</v>
      </c>
      <c r="T287" s="269">
        <f>SnapshotTable[[#This Row],[Equity Value]] - SnapshotTable[[#This Row],[Equity Basis Total]]</f>
        <v>0</v>
      </c>
      <c r="U287" s="270" t="str">
        <f>IF(SnapshotTable[[#This Row],[Equity Basis Total]] &gt; 0, SnapshotTable[[#This Row],[Equity G/L]] / SnapshotTable[[#This Row],[Equity Basis Total]], "")</f>
        <v/>
      </c>
      <c r="V287" s="268"/>
      <c r="W287" s="268"/>
      <c r="X287" s="4" t="str">
        <f>IF(AND(ISNUMBER(SnapshotTable[[#This Row],[Equity Basis Per Share]]),ISNUMBER(SnapshotTable[[#This Row],[Equity Target]])),SnapshotTable[[#This Row],[Equity Target]]-SnapshotTable[[#This Row],[Equity Basis Per Share]],"")</f>
        <v/>
      </c>
      <c r="Y287" s="4" t="str">
        <f>IF(AND(ISNUMBER(SnapshotTable[[#This Row],[Equity Basis Per Share]]),ISNUMBER(SnapshotTable[[#This Row],[Equity Stop Loss]])),SnapshotTable[[#This Row],[Equity Stop Loss]]-SnapshotTable[[#This Row],[Equity Basis Per Share]],"")</f>
        <v/>
      </c>
      <c r="Z287" s="275" t="str">
        <f>IFERROR( TEXT(SnapshotTable[[#This Row],[Equity Max Gain Per Share]] /ABS( SnapshotTable[[#This Row],[Equity Max Loss Per Share]]),"0.0 " ) &amp; " : 1", "")</f>
        <v/>
      </c>
      <c r="AA287" s="31" t="str">
        <f>IF(ISNUMBER(SnapshotTable[[#This Row],[Equity Max Gain Per Share]]),SnapshotTable[[#This Row],[Equity Max Gain Per Share]] * SnapshotTable[[#This Row],[Equity Shares]],"")</f>
        <v/>
      </c>
      <c r="AB287" s="31" t="str">
        <f>IF(ISNUMBER(SnapshotTable[[#This Row],[Equity Max Loss Per Share]]),SnapshotTable[[#This Row],[Equity Max Loss Per Share]] * SnapshotTable[[#This Row],[Equity Shares]],"")</f>
        <v/>
      </c>
      <c r="AC287" s="150"/>
      <c r="AD287" s="151"/>
      <c r="AE287" s="31">
        <f>(SnapshotTable[[#This Row],[Annual Dividend Per Share]] / 4) * SnapshotTable[[#This Row],[Equity Shares]]</f>
        <v>0</v>
      </c>
      <c r="AF287" s="31">
        <f>SnapshotTable[[#This Row],[Quarterly Div $]] * 4</f>
        <v>0</v>
      </c>
      <c r="AG287" s="7">
        <f>IF(SnapshotTable[[#This Row],[Annual Dividend Per Share]]&gt;0, SnapshotTable[[#This Row],[Annual Dividend Per Share]]  / SnapshotTable[[#This Row],[Last Price]], 0)</f>
        <v>0</v>
      </c>
      <c r="AH287" s="151"/>
      <c r="AI287" s="5"/>
      <c r="AJ287" s="138">
        <v>86.49</v>
      </c>
      <c r="AK287" s="152" t="str">
        <f>IF(ISNUMBER( SnapshotTable[[#This Row],[EBF Target]]),(SnapshotTable[[#This Row],[EBF Target]] - SnapshotTable[[#This Row],[Last Price]]) / SnapshotTable[[#This Row],[Last Price]], "")</f>
        <v/>
      </c>
      <c r="AL287" s="152" t="str">
        <f>IF(AND(SnapshotTable[[#This Row],[Equity Basis Total]] &gt; 0,ISNUMBER( SnapshotTable[[#This Row],[Long Term Target]])), SnapshotTable[[#This Row],[From Basis $]] / SnapshotTable[[#This Row],[Equity Basis Total]], "")</f>
        <v/>
      </c>
      <c r="AM287" s="9">
        <f>IF( AND(SnapshotTable[[#This Row],[Equity Shares]] &gt;0,ISNUMBER( SnapshotTable[[#This Row],[Long Term Target]])),(SnapshotTable[[#This Row],[Equity Shares]] * SnapshotTable[[#This Row],[Long Term Target]]) - SnapshotTable[[#This Row],[Equity Basis Total]],0)</f>
        <v>0</v>
      </c>
      <c r="AN287" s="9">
        <f>IF( AND(SnapshotTable[[#This Row],[Equity Shares]] &gt;0,ISNUMBER( SnapshotTable[[#This Row],[Long Term Target]])),(SnapshotTable[[#This Row],[Equity Shares]]*SnapshotTable[[#This Row],[Long Term Target]]) - SnapshotTable[[#This Row],[Equity Value]],0)</f>
        <v>0</v>
      </c>
      <c r="AO287" s="152">
        <f>IF(AND(ISNUMBER( SnapshotTable[[#This Row],[Long Term Target]]), ISNUMBER(SnapshotTable[[#This Row],[Last Price]])),(SnapshotTable[[#This Row],[Long Term Target]] - SnapshotTable[[#This Row],[Last Price]]) / SnapshotTable[[#This Row],[Last Price]], "")</f>
        <v>7.3727008712487896</v>
      </c>
      <c r="AP287" s="5"/>
      <c r="AQ287" s="38"/>
      <c r="AR287" s="5"/>
      <c r="AS287" s="38"/>
      <c r="AT287" s="146"/>
      <c r="AU287" s="187" t="str">
        <f>IF(OR(SnapshotTable[[#This Row],[LP No Fill]]="Y",SnapshotTable[[#This Row],[SP Is Filled]],SnapshotTable[[#This Row],[LC Not Filled]]="Y",SnapshotTable[[#This Row],[SC Is Filled]]),"Y","")</f>
        <v/>
      </c>
      <c r="AV287" s="219"/>
      <c r="AW287" s="225"/>
      <c r="AX287" s="220"/>
      <c r="AY287" s="219" t="str">
        <f>IF(SnapshotTable[[#This Row],[Implied Move]]&gt;0, SnapshotTable[[#This Row],[Last Price]]-SnapshotTable[[#This Row],[Implied Move]],"")</f>
        <v/>
      </c>
      <c r="AZ287" s="219" t="str">
        <f>IF(SnapshotTable[[#This Row],[Implied Move]]&gt;0, SnapshotTable[[#This Row],[Last Price]] + SnapshotTable[[#This Row],[Implied Move]],"")</f>
        <v/>
      </c>
      <c r="BA287" s="331"/>
      <c r="BB287" s="347"/>
      <c r="BC28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7" s="351"/>
      <c r="BE287" s="138"/>
      <c r="BF287" s="166"/>
      <c r="BG287" s="167"/>
      <c r="BH287" s="167"/>
      <c r="BI287" s="221"/>
      <c r="BJ287" s="153">
        <f>IF(SnapshotTable[[#This Row],[LP Qty]] &gt; 0, SnapshotTable[[#This Row],[LP Qty]] * SnapshotTable[[#This Row],[LP Book Price]] * 100,0)</f>
        <v>0</v>
      </c>
      <c r="BK287" s="136">
        <f>IF(SnapshotTable[[#This Row],[LP Premium]] &gt; 0, SnapshotTable[[#This Row],[LP Qty]] * SnapshotTable[[#This Row],[LP Strike Price]] * 100,0)</f>
        <v>0</v>
      </c>
      <c r="BL287" s="154"/>
      <c r="BM287" s="385" t="str">
        <f>IF(SnapshotTable[[#This Row],[LP Premium]] &gt; 0,SnapshotTable[[#This Row],[LP Exp Date]]-MAX(SnapshotTable[[#This Row],[LP Book Date]], SnapshotTable[[#This Row],[LP Fill Date]]),"")</f>
        <v/>
      </c>
      <c r="BN287" s="385" t="str">
        <f>IF(ISNUMBER( SnapshotTable[[#This Row],[LP Term]]), SnapshotTable[[#This Row],[LP Exp Date]] - MockToday,"")</f>
        <v/>
      </c>
      <c r="BO287" s="163" t="str">
        <f>IF(AND(SnapshotTable[[#This Row],[LP Exp Date]]&gt;0, SnapshotTable[[#This Row],[LP Strike Price]]&gt;0,SnapshotTable[[#This Row],[LP Qty]]&gt;0,SnapshotTable[[#This Row],[LP Book Date]]&gt;0,SnapshotTable[[#This Row],[LP Book Price]]&gt;0,SnapshotTable[[#This Row],[LP Fill Date]]=0),"Y","")</f>
        <v/>
      </c>
      <c r="BP287" s="31" t="str">
        <f>IF(AND(SnapshotTable[[#This Row],[LP No Fill]]&lt;&gt;"Y",SnapshotTable[[#This Row],[LP Contract Value]]&gt;0, SnapshotTable[[#This Row],[LP Qty]]&gt;0), SnapshotTable[[#This Row],[LP Contract Value]]*SnapshotTable[[#This Row],[LP Qty]]*100,"")</f>
        <v/>
      </c>
      <c r="BQ287" s="13"/>
      <c r="BR287" s="5" t="str">
        <f>IF(SnapshotTable[[#This Row],[SP Exp Date]]&lt;&gt;"",TRUNC(SnapshotTable[[#This Row],[Last Price]]),"")</f>
        <v/>
      </c>
      <c r="BS287" s="36"/>
      <c r="BT287" s="147"/>
      <c r="BU287" s="13"/>
      <c r="BV287" s="5"/>
      <c r="BW287" s="419" t="b">
        <f>AND(ISNUMBER(SnapshotTable[[#This Row],[SP Exp Date]]), ISNUMBER(SnapshotTable[[#This Row],[SP Strike Price]]), ISNUMBER(SnapshotTable[[#This Row],[SP Qty]]), ISNUMBER(SnapshotTable[[#This Row],[SP Book Date]]), ISNUMBER(SnapshotTable[[#This Row],[SP Book Price]]))</f>
        <v>0</v>
      </c>
      <c r="BX287" s="419" t="b">
        <f>AND(SnapshotTable[[#This Row],[SP Is Booked]], NOT(ISBLANK(SnapshotTable[[#This Row],[SP Fill Date]])))</f>
        <v>0</v>
      </c>
      <c r="BY287" s="33">
        <f>IF(SnapshotTable[[#This Row],[SP Is Booked]], SnapshotTable[[#This Row],[SP Qty]] * SnapshotTable[[#This Row],[SP Book Price]] * 100, 0)</f>
        <v>0</v>
      </c>
      <c r="BZ287" s="369"/>
      <c r="CA287" s="368">
        <f>SnapshotTable[[#This Row],[LP Qty]]</f>
        <v>0</v>
      </c>
      <c r="CB287" s="4" t="str">
        <f>IF(SnapshotTable[[#This Row],[SP Is Booked]], SnapshotTable[[#This Row],[SP Strike Price]] - SnapshotTable[[#This Row],[SP Book Price]], "")</f>
        <v/>
      </c>
      <c r="CC287" s="19" t="str">
        <f>IF(SnapshotTable[[#This Row],[SP Is Booked]],SnapshotTable[[#This Row],[SP Exp Date]]-MAX(SnapshotTable[[#This Row],[SP Book Date]], SnapshotTable[[#This Row],[SP Fill Date]]),"")</f>
        <v/>
      </c>
      <c r="CD287" s="7" t="str">
        <f>IF(SnapshotTable[[#This Row],[SP Is Booked]], SnapshotTable[[#This Row],[SP Book Price]]/SnapshotTable[[#This Row],[SP Strike Price]], "")</f>
        <v/>
      </c>
      <c r="CE287" s="7" t="str">
        <f>IF(ISNUMBER(SnapshotTable[[#This Row],[SP ROO Term]]),SnapshotTable[[#This Row],[SP ROO Term]]*(365/SnapshotTable[[#This Row],[SP Term]]),"")</f>
        <v/>
      </c>
      <c r="CF287" s="236">
        <f>SnapshotTable[[#This Row],[LP Strike Price]] * SnapshotTable[[#This Row],[LP Qty]] * 100</f>
        <v>0</v>
      </c>
      <c r="CG287" s="31" t="e">
        <f>IF(ISNUMBER(SnapshotTable[[#This Row],[SP Premium]]), (SnapshotTable[[#This Row],[SP Qty]] * SnapshotTable[[#This Row],[SP Strike Price]]* 100) - SnapshotTable[[#This Row],[LP Protection]], 0)</f>
        <v>#VALUE!</v>
      </c>
      <c r="CH287" s="7" t="str">
        <f>IF(ISNUMBER(SnapshotTable[[#This Row],[SP Break Even]]),-1 * (SnapshotTable[[#This Row],[SP Break Even]] - SnapshotTable[[#This Row],[Last Price]]) / SnapshotTable[[#This Row],[Last Price]], "")</f>
        <v/>
      </c>
      <c r="CI287" s="31">
        <f>IF(AND(ISNUMBER((SnapshotTable[[#This Row],[SP Potential Spend]])), SnapshotTable[[#This Row],[SP Strike Price]] &gt; SnapshotTable[[#This Row],[Last Price]], SnapshotTable[[#This Row],[SP Is Filled]]), SnapshotTable[[#This Row],[SP Potential Spend]] -  SnapshotTable[[#This Row],[LP Max Value]], 0)</f>
        <v>0</v>
      </c>
      <c r="CJ287" s="244"/>
      <c r="CK287" s="31" t="str">
        <f>IF(ISNUMBER(SnapshotTable[[#This Row],[SP Potential Spend]]),IF(ISNUMBER(SnapshotTable[[#This Row],[SP POW]]), SnapshotTable[[#This Row],[SP POW]] * SnapshotTable[[#This Row],[SP Potential Spend]], SnapshotTable[[#This Row],[SP Potential Spend]]), "")</f>
        <v/>
      </c>
      <c r="CL287" s="164" t="e">
        <f>IF(NOT(SnapshotTable[[#This Row],[SP Is Filled]]),(SnapshotTable[[#This Row],[SP Qty]] * SnapshotTable[[#This Row],[SP Strike Price]] * 100) - SnapshotTable[[#This Row],[LP Max Value]],"")</f>
        <v>#VALUE!</v>
      </c>
      <c r="CM287" s="31" t="str">
        <f>IF(SnapshotTable[[#This Row],[SP Actual Spend]]&lt;&gt;0, ((SnapshotTable[[#This Row],[SP Strike Price]]-SnapshotTable[[#This Row],[Last Price]]) *(SnapshotTable[[#This Row],[SP Qty]]*100) - SnapshotTable[[#This Row],[SP Premium]]) * - 1, "")</f>
        <v/>
      </c>
      <c r="CN287" s="154"/>
      <c r="CO287" s="369"/>
      <c r="CP287" s="4" t="str">
        <f>IF(SnapshotTable[[#This Row],[SP Is Filled]], btc_max_buyback_amount(SnapshotTable[[#This Row],[SP Fill Date]],SnapshotTable[[#This Row],[SP Exp Date]], SnapshotTable[[#This Row],[SP Book Price]]),"")</f>
        <v/>
      </c>
      <c r="CQ287" s="78"/>
      <c r="CR28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7" s="155" t="str">
        <f>IF(SnapshotTable[[#This Row],[SP Is Filled]], btc_next_cutoff_date(SnapshotTable[[#This Row],[SP Fill Date]],SnapshotTable[[#This Row],[SP Exp Date]]),"")</f>
        <v/>
      </c>
      <c r="CT287" s="235" t="str" cm="1">
        <f t="array" ref="CT287">IF(SnapshotTable[[#This Row],[SP Is Filled]], btc_should_buy_back(SnapshotTable[[#This Row],[SP Fill Date]], SnapshotTable[[#This Row],[SP Exp Date]], SnapshotTable[[#This Row],[SP Book Price]], SnapshotTable[[#This Row],[SP Current Ask]], MockToday, SnapshotTable[[#This Row],[SP Buyback Override]]),"")</f>
        <v/>
      </c>
      <c r="CU287" s="156"/>
      <c r="CV287" s="235"/>
      <c r="CW287" s="378" t="str">
        <f>IF(ISNUMBER( SnapshotTable[[#This Row],[SP Term]]), SnapshotTable[[#This Row],[SP Exp Date]] - MockToday,"")</f>
        <v/>
      </c>
      <c r="CX287" s="31" t="str">
        <f>IF(SnapshotTable[[#This Row],[SP Is Filled]],SnapshotTable[[#This Row],[SP Buyback Price to Use]] * 100 * SnapshotTable[[#This Row],[SP Qty]], "")</f>
        <v/>
      </c>
      <c r="CY287" s="4" t="str">
        <f>IF(ISNUMBER(SnapshotTable[[#This Row],[SP Strike Price]]), SnapshotTable[[#This Row],[SP Strike Price]] * (1 - SP_MaxLoss_StrikePct), "")</f>
        <v/>
      </c>
      <c r="CZ287" s="31" t="str">
        <f>IF(ISNUMBER(SnapshotTable[[#This Row],[SP Strike  Stop Per Share]]),SnapshotTable[[#This Row],[SP Premium]] - ((SnapshotTable[[#This Row],[SP Strike Price]]-SnapshotTable[[#This Row],[SP Strike  Stop Per Share]]) *(SnapshotTable[[#This Row],[SP Qty]] * 100)),"")</f>
        <v/>
      </c>
      <c r="DA287" s="4" t="str">
        <f>IF(AND(ISNUMBER(SnapshotTable[[#This Row],[SP Premium]]),SnapshotTable[[#This Row],[SP Premium]]&gt;0), SnapshotTable[[#This Row],[SP Book Price]] * (1 + SP_MaxLoss_OptionPct), "")</f>
        <v/>
      </c>
      <c r="DB287" s="31" t="str">
        <f>IF(ISNUMBER(SnapshotTable[[#This Row],[SP Option  Stop Contract]]),(SnapshotTable[[#This Row],[SP Option  Stop Contract]] *(SnapshotTable[[#This Row],[SP Qty]] * 100) - SnapshotTable[[#This Row],[SP Premium]]),"")</f>
        <v/>
      </c>
      <c r="DC287" s="4"/>
      <c r="DD287" s="4"/>
      <c r="DE287" s="4" t="str">
        <f>IF(AND(SnapshotTable[[#This Row],[SP Qty]]&gt;0, SnapshotTable[[#This Row],[SP Stop To Use]]&gt;0),SnapshotTable[[#This Row],[SP Premium]] - ( SnapshotTable[[#This Row],[SP Qty]] * SnapshotTable[[#This Row],[SP Stop To Use]] * 100), "")</f>
        <v/>
      </c>
      <c r="DF287" s="31" t="str">
        <f>IF(AND(SnapshotTable[[#This Row],[SP Qty]]&gt;0,SnapshotTable[[#This Row],[SP Current Ask]]&gt;0), SnapshotTable[[#This Row],[SP Qty]] * SnapshotTable[[#This Row],[SP Current Ask]] * -100, "")</f>
        <v/>
      </c>
      <c r="DG287" s="31" t="str">
        <f>IF(ISNUMBER((SnapshotTable[[#This Row],[SP Total Value]])), SnapshotTable[[#This Row],[SP Premium]] + SnapshotTable[[#This Row],[SP Total Value]], "")</f>
        <v/>
      </c>
      <c r="DH287" s="294" t="str">
        <f>IF(ISNUMBER((SnapshotTable[[#This Row],[SP Total Value]])), SnapshotTable[[#This Row],[SP Gain Loss]] / SnapshotTable[[#This Row],[SP Premium]], "")</f>
        <v/>
      </c>
      <c r="DI287" s="406"/>
      <c r="DJ287" s="138"/>
      <c r="DK287" s="148"/>
      <c r="DL287" s="147"/>
      <c r="DM287" s="147"/>
      <c r="DN287" s="5"/>
      <c r="DO287" s="31">
        <f>IF(SnapshotTable[[#This Row],[LC Symbol Count]]=1, SnapshotTable[[#This Row],[LC Qty]] * SnapshotTable[[#This Row],[LC Book Price]] * 100, 0)</f>
        <v>0</v>
      </c>
      <c r="DP287" s="289" t="str">
        <f>IF(AND(SnapshotTable[[#This Row],[LC Exp Date]]&gt;0, SnapshotTable[[#This Row],[LC Strike Price]]&gt;0,SnapshotTable[[#This Row],[LC Qty]]&gt;0,SnapshotTable[[#This Row],[LC Book Date]]&gt;0,SnapshotTable[[#This Row],[LC Book Price]]&gt;0,SnapshotTable[[#This Row],[LC Fill Date]]=0),"Y","")</f>
        <v/>
      </c>
      <c r="DQ287" s="386" t="str">
        <f>IF(SnapshotTable[[#This Row],[LC Premium]] &gt; 0,SnapshotTable[[#This Row],[LC Exp Date]]-MAX(SnapshotTable[[#This Row],[LC Book Date]], SnapshotTable[[#This Row],[LC Fill Date]]),"")</f>
        <v/>
      </c>
      <c r="DR287" s="386" t="str">
        <f>IF(ISNUMBER(SnapshotTable[[#This Row],[LC Term]]), SnapshotTable[[#This Row],[LC Exp Date]] - MockToday, "")</f>
        <v/>
      </c>
      <c r="DS287" s="234" t="str">
        <f>IF(SnapshotTable[[#This Row],[LC Premium]]&gt;0,SnapshotTable[[#This Row],[LC Strike Price]] + SnapshotTable[[#This Row],[LC Book Price]],"")</f>
        <v/>
      </c>
      <c r="DT287" s="5"/>
      <c r="DU287" s="9" t="str">
        <f>IF(AND(SnapshotTable[[#This Row],[LC Symbol Count]]&gt;0, SnapshotTable[[#This Row],[LC Contract Value]]&gt;0), SnapshotTable[[#This Row],[LC Contract Value]] * SnapshotTable[[#This Row],[LC Qty]] * 100, "")</f>
        <v/>
      </c>
      <c r="DV287" s="9" t="str">
        <f>IF(AND(ISNUMBER(SnapshotTable[[#This Row],[LC Total Value]]), SnapshotTable[[#This Row],[LC Not Filled]]&lt;&gt;"Y"), SnapshotTable[[#This Row],[LC Total Value]]-SnapshotTable[[#This Row],[LC Premium]],"")</f>
        <v/>
      </c>
      <c r="DW287" s="240" t="str">
        <f>IF(ISNUMBER(SnapshotTable[[#This Row],[LC Actual Gain Loss]]), SnapshotTable[[#This Row],[LC Actual Gain Loss]] / SnapshotTable[[#This Row],[LC Premium]],"")</f>
        <v/>
      </c>
      <c r="DX287" s="284" t="str">
        <f>IF(ISNUMBER(SnapshotTable[[#This Row],[LC Book Price]]),SnapshotTable[[#This Row],[LC Book Price]] * 1.5,"")</f>
        <v/>
      </c>
      <c r="DY287" s="265" t="str">
        <f>IF(SnapshotTable[[#This Row],[LC Premium]]&gt;0, SnapshotTable[[#This Row],[LC Next Target]] * SnapshotTable[[#This Row],[LC Qty]] * 100,"")</f>
        <v/>
      </c>
      <c r="DZ287" s="265" t="str">
        <f>IF(ISNUMBER(SnapshotTable[[#This Row],[LC Target Gross]]), SnapshotTable[[#This Row],[LC Target Gross]] - SnapshotTable[[#This Row],[LC Premium]], "")</f>
        <v/>
      </c>
      <c r="EA287" s="305" t="str">
        <f>IF(ISNUMBER(SnapshotTable[[#This Row],[LC Target Gain Loss]]), SnapshotTable[[#This Row],[LC Target Gain Loss]]/SnapshotTable[[#This Row],[LC Premium]], "")</f>
        <v/>
      </c>
      <c r="EB287" s="262"/>
      <c r="EC287" s="283" t="str">
        <f>IF(SnapshotTable[[#This Row],[LC Premium]]&gt;0, SnapshotTable[[#This Row],[LC Book Price]] * (1 - LC_StopLoss_Pct),"")</f>
        <v/>
      </c>
      <c r="ED287" s="284"/>
      <c r="EE287" s="283" t="str">
        <f>IF(ISNUMBER(SnapshotTable[[#This Row],[LC Contract Value]]),IF(ISNUMBER(SnapshotTable[[#This Row],[LC Stop Loss Override]]), SnapshotTable[[#This Row],[LC Stop Loss Override]],SnapshotTable[[#This Row],[LC Stop Loss Calc Target]]),"")</f>
        <v/>
      </c>
      <c r="EF287" s="31" t="str">
        <f>IF(ISNUMBER(SnapshotTable[[#This Row],[LC Stop  To Use]]), (SnapshotTable[[#This Row],[LC Stop  To Use]] * SnapshotTable[[#This Row],[LC Qty]] * 100),"")</f>
        <v/>
      </c>
      <c r="EG287" s="9" t="str">
        <f>IF(ISNUMBER(SnapshotTable[[#This Row],[LC Total Value]]),SnapshotTable[[#This Row],[LC Stop Loss Amount]] - SnapshotTable[[#This Row],[LC Premium]],"")</f>
        <v/>
      </c>
      <c r="EH287" s="9">
        <f>IF(ISNUMBER(SnapshotTable[[#This Row],[LC Premium]]), SnapshotTable[[#This Row],[LC Qty]] * 100 * SnapshotTable[[#This Row],[LC Strike Price]], "")</f>
        <v>0</v>
      </c>
      <c r="EI287" s="240" t="str">
        <f>IF(AND(ISNUMBER(SnapshotTable[[#This Row],[LC Total Value]]),SnapshotTable[[#This Row],[LC Total Value]]&gt;0),SnapshotTable[[#This Row],[LC Stop Gain Loss]]  / SnapshotTable[[#This Row],[LC Premium]],"")</f>
        <v/>
      </c>
      <c r="EJ287" s="35">
        <f>IF(ISNUMBER(SnapshotTable[[#This Row],[Equity Shares]]),TRUNC(SnapshotTable[[#This Row],[Equity Shares]] / 100),0) + SnapshotTable[[#This Row],[LC Qty]]</f>
        <v>0</v>
      </c>
      <c r="EK287" s="147"/>
      <c r="EL287" s="138" t="str">
        <f>IF(SnapshotTable[[#This Row],[SC Exp Date]]&lt;&gt;"",TRUNC(SnapshotTable[[#This Row],[Last Price]]),"")</f>
        <v/>
      </c>
      <c r="EM287" s="148"/>
      <c r="EN287" s="147"/>
      <c r="EO287" s="147"/>
      <c r="EP287" s="138"/>
      <c r="EQ287" s="419" t="b">
        <f>AND(ISNUMBER(SnapshotTable[[#This Row],[SC Exp Date]]), ISNUMBER(SnapshotTable[[#This Row],[SC Strike Price]]), ISNUMBER(SnapshotTable[[#This Row],[SC Qty]]), ISNUMBER(SnapshotTable[[#This Row],[SC Book Date]]), ISNUMBER(SnapshotTable[[#This Row],[SC Book Price]]))</f>
        <v>0</v>
      </c>
      <c r="ER287" s="419" t="b">
        <f>AND(SnapshotTable[[#This Row],[SC Is Booked]], NOT(ISBLANK(SnapshotTable[[#This Row],[SC Fill Date]])))</f>
        <v>0</v>
      </c>
      <c r="ES287" s="370"/>
      <c r="ET287" s="34" t="str">
        <f>IF(AND(ISNUMBER(SnapshotTable[[#This Row],[SC Exp Date]]), ISNUMBER(SnapshotTable[[#This Row],[SC Book Date]])), SnapshotTable[[#This Row],[SC Exp Date]] - MAX(SnapshotTable[[#This Row],[SC Book Date]], SnapshotTable[[#This Row],[SC Fill Date]]) + 1, "")</f>
        <v/>
      </c>
      <c r="EU287" s="34" t="str">
        <f>IF(ISNUMBER(SnapshotTable[[#This Row],[SC Term]]), SnapshotTable[[#This Row],[SC Exp Date]]- MockToday, "")</f>
        <v/>
      </c>
      <c r="EV287" s="31">
        <f>IF(SnapshotTable[[#This Row],[SC Is Booked]], SnapshotTable[[#This Row],[SC Qty]] * SnapshotTable[[#This Row],[SC Book Price]] * 100, 0)</f>
        <v>0</v>
      </c>
      <c r="EW287" s="4" t="str">
        <f>IF(AND(ISNUMBER(SnapshotTable[[#This Row],[Last Price]]), ISNUMBER( SnapshotTable[[#This Row],[SC Book Price]])), SnapshotTable[[#This Row],[Last Price]] - SnapshotTable[[#This Row],[SC Book Price]],"")</f>
        <v/>
      </c>
      <c r="EX287" s="234" t="str">
        <f>IF(SnapshotTable[[#This Row],[SC Is Booked]],IF(SnapshotTable[[#This Row],[SC Intrinsic Value]] &gt; 0, SnapshotTable[[#This Row],[SC Strike Price]], SnapshotTable[[#This Row],[Last Price]]), "")</f>
        <v/>
      </c>
      <c r="EY287" s="4">
        <f>IF(SnapshotTable[[#This Row],[SC Is Booked]], (MinimumPremiumRequired * SnapshotTable[[#This Row],[SC Basis]] * SnapshotTable[[#This Row],[SC Term]]), 0)</f>
        <v>0</v>
      </c>
      <c r="EZ287" s="283"/>
      <c r="FA287" s="218"/>
      <c r="FB287" s="370"/>
      <c r="FC287" s="4">
        <f>IF(SnapshotTable[[#This Row],[SC Is Filled]], btc_max_buyback_amount(SnapshotTable[[#This Row],[SC Fill Date]],SnapshotTable[[#This Row],[SC Exp Date]], SnapshotTable[[#This Row],[SC Book Price]]),0)</f>
        <v>0</v>
      </c>
      <c r="FD287" s="5"/>
      <c r="FE287" s="144" t="str">
        <f>IF(SnapshotTable[[#This Row],[SC Is Filled]], btc_next_cutoff_date(SnapshotTable[[#This Row],[SC Fill Date]],SnapshotTable[[#This Row],[SC Exp Date]]),"")</f>
        <v/>
      </c>
      <c r="FF287" s="4" t="str" cm="1">
        <f t="array" ref="FF287">IF(SnapshotTable[[#This Row],[SC Is Filled]], btc_should_buy_back(SnapshotTable[[#This Row],[SC Fill Date]], SnapshotTable[[#This Row],[SC Exp Date]], SnapshotTable[[#This Row],[SC Book Price]], SnapshotTable[[#This Row],[SC Current Ask]], MockToday, SnapshotTable[[#This Row],[SC Buyback Override]]),"")</f>
        <v/>
      </c>
      <c r="FG287" s="4">
        <f>IF(SnapshotTable[[#This Row],[SC Is Filled]], MAX(0,SnapshotTable[[#This Row],[Last Price]]  - SnapshotTable[[#This Row],[SC Strike Price]]), 0)</f>
        <v>0</v>
      </c>
      <c r="FH287" s="382">
        <f>IF(SnapshotTable[[#This Row],[SC Is Filled]], IF(ISNUMBER(SnapshotTable[[#This Row],[SC Current Ask]]), SnapshotTable[[#This Row],[SC Current Ask]], SnapshotTable[[#This Row],[SC Book Price]]) - SnapshotTable[[#This Row],[SC Intrinsic Value]], 0)</f>
        <v>0</v>
      </c>
      <c r="FI287" s="143"/>
      <c r="FJ287" s="32" t="str">
        <f>IF(SnapshotTable[[#This Row],[SC Is Filled]],100 * SnapshotTable[[#This Row],[SC Qty]] * IF(ISNUMBER(SnapshotTable[[#This Row],[SC Buyback Override]]), SnapshotTable[[#This Row],[SC Buyback Override]], SnapshotTable[[#This Row],[SC Current Ask]]), "")</f>
        <v/>
      </c>
      <c r="FK287" s="250" t="str">
        <f>IF(SnapshotTable[[#This Row],[SC Time Val]]&gt;0, SnapshotTable[[#This Row],[SC Time Val]] / SnapshotTable[[#This Row],[Last Price]],"")</f>
        <v/>
      </c>
      <c r="FL287" s="302" t="str">
        <f>IF(SnapshotTable[[#This Row],[SC Is Booked]], ((SnapshotTable[[#This Row],[Last Price]] -SnapshotTable[[#This Row],[SC Strike Price]]) / SnapshotTable[[#This Row],[Last Price]]) * -1, "")</f>
        <v/>
      </c>
      <c r="FM287" s="157" t="str">
        <f>IF(SnapshotTable[[#This Row],[SC Is Booked]],  (SnapshotTable[[#This Row],[SC Qty]] * 100 * SnapshotTable[[#This Row],[SC Strike Price]]) - SnapshotTable[[#This Row],[SC Current Ask]], "")</f>
        <v/>
      </c>
      <c r="FN287"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7" s="157" t="str">
        <f>IF(AND(ISNUMBER(SnapshotTable[[#This Row],[SC Exercise Gross]]), ISNUMBER(SnapshotTable[[#This Row],[Equity Basis Per Share]] )), SnapshotTable[[#This Row],[SC Exercise Gross]] - SnapshotTable[[#This Row],[Equity Basis Total]] +  SnapshotTable[[#This Row],[SC Premium]], "")</f>
        <v/>
      </c>
      <c r="FP287" s="5" t="str">
        <f>IF(ISNUMBER(SnapshotTable[[#This Row],[SC Exercise Gross]]), (SnapshotTable[[#This Row],[SC Exercise Gross]]) / (SnapshotTable[[#This Row],[SC Qty]] * 100), "")</f>
        <v/>
      </c>
      <c r="FQ287" s="27" t="str">
        <f>IF(SnapshotTable[[#This Row],[SC Is Booked]],SnapshotTable[[#This Row],[SC Time Val]] /SnapshotTable[[#This Row],[SC Basis]], "")</f>
        <v/>
      </c>
      <c r="FR287" s="27" t="str" cm="1">
        <f t="array" ref="FR287">IF(AND(ISNUMBER(SnapshotTable[[#This Row],[SC Term]]),ISNUMBER(SnapshotTable[[#This Row],[SC Simple ROO]])), EllmanAnnualize(SnapshotTable[[#This Row],[SC DTE]], SnapshotTable[[#This Row],[SC Simple ROO]] ),"")</f>
        <v/>
      </c>
      <c r="FS287" s="4" t="e">
        <f>IF(SnapshotTable[[#This Row],[SC Strike Price]] &gt; SnapshotTable[[#This Row],[Last Price]], SnapshotTable[[#This Row],[SC Strike Price]] - SnapshotTable[[#This Row],[Last Price]],0)</f>
        <v>#VALUE!</v>
      </c>
      <c r="FT287" s="27" t="e">
        <f>IF(AND(ISNUMBER(SnapshotTable[[#This Row],[SC Upside Potential]]), SnapshotTable[[#This Row],[SC Upside Potential]] &gt; 0),(SnapshotTable[[#This Row],[SC Upside Potential]]/ SnapshotTable[[#This Row],[ACB]]),"")</f>
        <v>#VALUE!</v>
      </c>
      <c r="FU287" s="333" t="str">
        <f>IF(SnapshotTable[[#This Row],[SC Intrinsic Value]] &gt; 0,SnapshotTable[[#This Row],[SC Intrinsic Value]],"")</f>
        <v/>
      </c>
      <c r="FV287" s="27" t="str">
        <f>IF(AND( ISNUMBER( SnapshotTable[[#This Row],[ACB]]),ISNUMBER(SnapshotTable[[#This Row],[SC Downside Protect]])),SnapshotTable[[#This Row],[SC Downside Protect]] / SnapshotTable[[#This Row],[ACB]],"")</f>
        <v/>
      </c>
      <c r="FW287" s="236" t="str">
        <f>IF(AND(ISNUMBER(SnapshotTable[[#This Row],[SC Simple ROO]]),SnapshotTable[[#This Row],[SC Simple ROO]] &gt; 0), SnapshotTable[[#This Row],[SC Premium]] + (SnapshotTable[[#This Row],[SC Qty]] * SnapshotTable[[#This Row],[SC Upside Potential]]), "")</f>
        <v/>
      </c>
      <c r="FX287" s="302" t="str" cm="1">
        <f t="array" ref="FX287">IF(ISNUMBER(SnapshotTable[[#This Row],[SC Max Dollars]]), annualize(SnapshotTable[[#This Row],[SC Term]],(SnapshotTable[[#This Row],[SC Max Dollars]]/SnapshotTable[[#This Row],[SC Basis]])),"")</f>
        <v/>
      </c>
      <c r="FY287" s="236" t="str">
        <f>IF(AND(SnapshotTable[[#This Row],[SC Qty]]&gt;0,SnapshotTable[[#This Row],[SC Current Ask]]&gt;0), SnapshotTable[[#This Row],[SC Qty]] * SnapshotTable[[#This Row],[SC Current Ask]] * -100, "")</f>
        <v/>
      </c>
      <c r="FZ287" s="235" t="str">
        <f>IF(ISNUMBER((SnapshotTable[[#This Row],[SC Current Value]])), SnapshotTable[[#This Row],[SC Premium]] + SnapshotTable[[#This Row],[SC Current Value]], "")</f>
        <v/>
      </c>
      <c r="GA287" s="294" t="str">
        <f>IFERROR( IF(ISNUMBER((SnapshotTable[[#This Row],[SC Current Value]])), SnapshotTable[[#This Row],[SC Gain Loss]] / SnapshotTable[[#This Row],[SC Premium]], ""), "")</f>
        <v/>
      </c>
      <c r="GB287" s="42">
        <f>SnapshotTable[[#This Row],[Equity Shares]] * SaleSharesToConsiderPercentage</f>
        <v>0</v>
      </c>
      <c r="GC287" s="40">
        <f>SnapshotTable[[#This Row],[Long Term Target]] * SellingPriceToConsiderBasedOnTargetPercentage</f>
        <v>82.165499999999994</v>
      </c>
      <c r="GD287" s="40">
        <f>SnapshotTable[[#This Row],[Last Price]] * (1+ SellingPriceToConsiderBasedOnTargetPercentage)</f>
        <v>20.1435</v>
      </c>
      <c r="GE287" s="41"/>
      <c r="GF287" s="40"/>
      <c r="GG287" s="31">
        <f>SnapshotTable[[#This Row],[Booked Sale Shares]] * SnapshotTable[[#This Row],[Booked Sale Price]]</f>
        <v>0</v>
      </c>
      <c r="GH287" s="31" t="str">
        <f>IF(SnapshotTable[[#This Row],[Equity Basis Total]] &gt; 0, SnapshotTable[[#This Row],[Equity Basis Per Share]] * SnapshotTable[[#This Row],[Booked Sale Shares]], "")</f>
        <v/>
      </c>
      <c r="GI287" s="31">
        <f>IF(SnapshotTable[[#This Row],[Sale Proceeds]]&gt;0, SnapshotTable[[#This Row],[Sale Proceeds]] - SnapshotTable[[#This Row],[Sale Basis]], 0)</f>
        <v>0</v>
      </c>
      <c r="GJ287" s="158" t="str">
        <f>IF(SnapshotTable[[#This Row],[Sale G/L]]&gt;0, SnapshotTable[[#This Row],[Sale G/L]] / SnapshotTable[[#This Row],[Sale Basis]], IF(ISNUMBER(SnapshotTable[[#This Row],[SC Exercise P&amp;L (TAX)]]), SnapshotTable[[#This Row],[SC Exercise P&amp;L (TAX)]] / SnapshotTable[[#This Row],[SC Basis]], ""))</f>
        <v/>
      </c>
      <c r="GK287" s="158"/>
      <c r="GL287" s="159" t="str">
        <f>IF(AND(SnapshotTable[[#This Row],[LP Exp Date]]&gt;0,SnapshotTable[[#This Row],[LP Strike Price]]&gt;0), [1]!ToOptionSymbol(SnapshotTable[[#This Row],[Symbol]], SnapshotTable[[#This Row],[LP Strike Price]],SnapshotTable[[#This Row],[LP Exp Date]],1), "")</f>
        <v/>
      </c>
      <c r="GM287" s="30" t="str">
        <f>IF(LEN(SnapshotTable[[#This Row],[LP Symbol]])&gt;0, 1, "")</f>
        <v/>
      </c>
      <c r="GN287" s="43" t="str">
        <f>IF(AND(SnapshotTable[[#This Row],[SP Exp Date]]&gt;0,SnapshotTable[[#This Row],[SP Strike Price]]&gt;0), [1]!ToOptionSymbol(SnapshotTable[[#This Row],[Symbol]], SnapshotTable[[#This Row],[SP Strike Price]],SnapshotTable[[#This Row],[SP Exp Date]],1), "")</f>
        <v/>
      </c>
      <c r="GO287" s="30" t="str">
        <f>IF(LEN(SnapshotTable[[#This Row],[SP Symbol]])&gt;0, 1, "")</f>
        <v/>
      </c>
      <c r="GP287" s="159" t="str">
        <f>IF(AND(SnapshotTable[[#This Row],[LC Exp Date]]&gt;0,SnapshotTable[[#This Row],[LC Strike Price]]&gt;0), [1]!ToOptionSymbol(SnapshotTable[[#This Row],[Symbol]], SnapshotTable[[#This Row],[LC Strike Price]],SnapshotTable[[#This Row],[LC Exp Date]],0), "")</f>
        <v/>
      </c>
      <c r="GQ287" s="160" t="str">
        <f>IF(LEN(SnapshotTable[[#This Row],[LC Symbol]])&gt;0, 1, "")</f>
        <v/>
      </c>
      <c r="GR287" s="159" t="str">
        <f>IF(AND(SnapshotTable[[#This Row],[SC Exp Date]]&gt;0,SnapshotTable[[#This Row],[SC Strike Price]]&gt;0), [1]!ToOptionSymbol(SnapshotTable[[#This Row],[Symbol]], SnapshotTable[[#This Row],[SC Strike Price]],SnapshotTable[[#This Row],[SC Exp Date]],0), "")</f>
        <v/>
      </c>
      <c r="GS287" s="160" t="str">
        <f>IF(LEN(SnapshotTable[[#This Row],[SC Symbol]])&gt;0, 1, "")</f>
        <v/>
      </c>
      <c r="GT287" s="161" t="str">
        <f>IF(COUNT(SnapshotTable[[#This Row],[LP Symbol Count]],SnapshotTable[[#This Row],[SP Symbol Count]],SnapshotTable[[#This Row],[LC Symbol Count]],SnapshotTable[[#This Row],[SC Symbol Count]])&gt;0, "Y", "")</f>
        <v/>
      </c>
      <c r="GU28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87" s="231" t="e">
        <f>MAX(SnapshotTable[[#This Row],[Equity Basis Total]],SnapshotTable[[#This Row],[Equity Value]]) + (SnapshotTable[[#This Row],[SP Potential Spend]]- SnapshotTable[[#This Row],[SP Premium]] + SnapshotTable[[#This Row],[LP Premium]])+ (SnapshotTable[[#This Row],[LC Premium]] - SnapshotTable[[#This Row],[SC Premium]])</f>
        <v>#VALUE!</v>
      </c>
      <c r="GW287" s="139" t="e">
        <f>IF(AND(SnapshotTable[[#This Row],[Exposure]] &lt;&gt; 0),SnapshotTable[[#This Row],[Exposure]] / SnapshotTable[[#Totals],[Exposure]], "")</f>
        <v>#VALUE!</v>
      </c>
      <c r="GY287" s="381"/>
      <c r="HE287" s="381"/>
      <c r="HF287" s="381"/>
      <c r="HG287" s="381"/>
      <c r="HH287" s="381"/>
      <c r="HI287" s="381"/>
      <c r="HJ287" s="381"/>
    </row>
    <row r="288" spans="2:224" s="47" customFormat="1" ht="12.75" hidden="1" customHeight="1" x14ac:dyDescent="0.25">
      <c r="B288" s="12" t="s">
        <v>1045</v>
      </c>
      <c r="C288" s="422">
        <v>53.72</v>
      </c>
      <c r="D288" s="208" t="s">
        <v>578</v>
      </c>
      <c r="E288" s="39">
        <f>SnapshotTable[[#This Row],[Last Price]]*(1 -CrashDiscount)</f>
        <v>45.661999999999999</v>
      </c>
      <c r="F288" s="26" t="s">
        <v>5</v>
      </c>
      <c r="G288" s="26" t="s">
        <v>4</v>
      </c>
      <c r="H288" s="149"/>
      <c r="I288" s="194"/>
      <c r="J288" s="195"/>
      <c r="K288" s="196"/>
      <c r="L288" s="326"/>
      <c r="M288" s="140"/>
      <c r="N288" s="140"/>
      <c r="O288" s="140"/>
      <c r="P288" s="22"/>
      <c r="Q288" s="25"/>
      <c r="R288" s="4" t="str">
        <f>IF(SnapshotTable[[#This Row],[Equity Basis Total]] &gt; 0, SnapshotTable[[#This Row],[Equity Basis Total]] / SnapshotTable[[#This Row],[Equity Shares]], "")</f>
        <v/>
      </c>
      <c r="S288" s="269">
        <f>SnapshotTable[[#This Row],[Last Price]] * SnapshotTable[[#This Row],[Equity Shares]]</f>
        <v>0</v>
      </c>
      <c r="T288" s="269">
        <f>SnapshotTable[[#This Row],[Equity Value]] - SnapshotTable[[#This Row],[Equity Basis Total]]</f>
        <v>0</v>
      </c>
      <c r="U288" s="270" t="str">
        <f>IF(SnapshotTable[[#This Row],[Equity Basis Total]] &gt; 0, SnapshotTable[[#This Row],[Equity G/L]] / SnapshotTable[[#This Row],[Equity Basis Total]], "")</f>
        <v/>
      </c>
      <c r="V288" s="268"/>
      <c r="W288" s="268"/>
      <c r="X288" s="4" t="str">
        <f>IF(AND(ISNUMBER(SnapshotTable[[#This Row],[Equity Basis Per Share]]),ISNUMBER(SnapshotTable[[#This Row],[Equity Target]])),SnapshotTable[[#This Row],[Equity Target]]-SnapshotTable[[#This Row],[Equity Basis Per Share]],"")</f>
        <v/>
      </c>
      <c r="Y288" s="4" t="str">
        <f>IF(AND(ISNUMBER(SnapshotTable[[#This Row],[Equity Basis Per Share]]),ISNUMBER(SnapshotTable[[#This Row],[Equity Stop Loss]])),SnapshotTable[[#This Row],[Equity Stop Loss]]-SnapshotTable[[#This Row],[Equity Basis Per Share]],"")</f>
        <v/>
      </c>
      <c r="Z288" s="275" t="str">
        <f>IFERROR( TEXT(SnapshotTable[[#This Row],[Equity Max Gain Per Share]] /ABS( SnapshotTable[[#This Row],[Equity Max Loss Per Share]]),"0.0 " ) &amp; " : 1", "")</f>
        <v/>
      </c>
      <c r="AA288" s="31" t="str">
        <f>IF(ISNUMBER(SnapshotTable[[#This Row],[Equity Max Gain Per Share]]),SnapshotTable[[#This Row],[Equity Max Gain Per Share]] * SnapshotTable[[#This Row],[Equity Shares]],"")</f>
        <v/>
      </c>
      <c r="AB288" s="31" t="str">
        <f>IF(ISNUMBER(SnapshotTable[[#This Row],[Equity Max Loss Per Share]]),SnapshotTable[[#This Row],[Equity Max Loss Per Share]] * SnapshotTable[[#This Row],[Equity Shares]],"")</f>
        <v/>
      </c>
      <c r="AC288" s="150"/>
      <c r="AD288" s="151"/>
      <c r="AE288" s="31">
        <f>(SnapshotTable[[#This Row],[Annual Dividend Per Share]] / 4) * SnapshotTable[[#This Row],[Equity Shares]]</f>
        <v>0</v>
      </c>
      <c r="AF288" s="31">
        <f>SnapshotTable[[#This Row],[Quarterly Div $]] * 4</f>
        <v>0</v>
      </c>
      <c r="AG288" s="7">
        <f>IF(SnapshotTable[[#This Row],[Annual Dividend Per Share]]&gt;0, SnapshotTable[[#This Row],[Annual Dividend Per Share]]  / SnapshotTable[[#This Row],[Last Price]], 0)</f>
        <v>0</v>
      </c>
      <c r="AH288" s="151"/>
      <c r="AI288" s="5"/>
      <c r="AJ288" s="138"/>
      <c r="AK288" s="152" t="str">
        <f>IF(ISNUMBER( SnapshotTable[[#This Row],[EBF Target]]),(SnapshotTable[[#This Row],[EBF Target]] - SnapshotTable[[#This Row],[Last Price]]) / SnapshotTable[[#This Row],[Last Price]], "")</f>
        <v/>
      </c>
      <c r="AL288" s="152" t="str">
        <f>IF(AND(SnapshotTable[[#This Row],[Equity Basis Total]] &gt; 0,ISNUMBER( SnapshotTable[[#This Row],[Long Term Target]])), SnapshotTable[[#This Row],[From Basis $]] / SnapshotTable[[#This Row],[Equity Basis Total]], "")</f>
        <v/>
      </c>
      <c r="AM288" s="9">
        <f>IF( AND(SnapshotTable[[#This Row],[Equity Shares]] &gt;0,ISNUMBER( SnapshotTable[[#This Row],[Long Term Target]])),(SnapshotTable[[#This Row],[Equity Shares]] * SnapshotTable[[#This Row],[Long Term Target]]) - SnapshotTable[[#This Row],[Equity Basis Total]],0)</f>
        <v>0</v>
      </c>
      <c r="AN288" s="9">
        <f>IF( AND(SnapshotTable[[#This Row],[Equity Shares]] &gt;0,ISNUMBER( SnapshotTable[[#This Row],[Long Term Target]])),(SnapshotTable[[#This Row],[Equity Shares]]*SnapshotTable[[#This Row],[Long Term Target]]) - SnapshotTable[[#This Row],[Equity Value]],0)</f>
        <v>0</v>
      </c>
      <c r="AO288" s="152" t="str">
        <f>IF(AND(ISNUMBER( SnapshotTable[[#This Row],[Long Term Target]]), ISNUMBER(SnapshotTable[[#This Row],[Last Price]])),(SnapshotTable[[#This Row],[Long Term Target]] - SnapshotTable[[#This Row],[Last Price]]) / SnapshotTable[[#This Row],[Last Price]], "")</f>
        <v/>
      </c>
      <c r="AP288" s="5"/>
      <c r="AQ288" s="38"/>
      <c r="AR288" s="5"/>
      <c r="AS288" s="38"/>
      <c r="AT288" s="146"/>
      <c r="AU288" s="187" t="str">
        <f>IF(OR(SnapshotTable[[#This Row],[LP No Fill]]="Y",SnapshotTable[[#This Row],[SP Is Filled]],SnapshotTable[[#This Row],[LC Not Filled]]="Y",SnapshotTable[[#This Row],[SC Is Filled]]),"Y","")</f>
        <v/>
      </c>
      <c r="AV288" s="219"/>
      <c r="AW288" s="225"/>
      <c r="AX288" s="220"/>
      <c r="AY288" s="219" t="str">
        <f>IF(SnapshotTable[[#This Row],[Implied Move]]&gt;0, SnapshotTable[[#This Row],[Last Price]]-SnapshotTable[[#This Row],[Implied Move]],"")</f>
        <v/>
      </c>
      <c r="AZ288" s="219" t="str">
        <f>IF(SnapshotTable[[#This Row],[Implied Move]]&gt;0, SnapshotTable[[#This Row],[Last Price]] + SnapshotTable[[#This Row],[Implied Move]],"")</f>
        <v/>
      </c>
      <c r="BA288" s="331">
        <v>75.3</v>
      </c>
      <c r="BB288" s="347"/>
      <c r="BC28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8" s="351"/>
      <c r="BE288" s="5"/>
      <c r="BF288" s="14"/>
      <c r="BG288" s="13"/>
      <c r="BH288" s="13"/>
      <c r="BI288" s="5"/>
      <c r="BJ288" s="136">
        <f>IF(SnapshotTable[[#This Row],[LP Qty]] &gt; 0, SnapshotTable[[#This Row],[LP Qty]] * SnapshotTable[[#This Row],[LP Book Price]] * 100,0)</f>
        <v>0</v>
      </c>
      <c r="BK288" s="136">
        <f>IF(SnapshotTable[[#This Row],[LP Premium]] &gt; 0, SnapshotTable[[#This Row],[LP Qty]] * SnapshotTable[[#This Row],[LP Strike Price]] * 100,0)</f>
        <v>0</v>
      </c>
      <c r="BL288" s="154"/>
      <c r="BM288" s="385" t="str">
        <f>IF(SnapshotTable[[#This Row],[LP Premium]] &gt; 0,SnapshotTable[[#This Row],[LP Exp Date]]-MAX(SnapshotTable[[#This Row],[LP Book Date]], SnapshotTable[[#This Row],[LP Fill Date]]),"")</f>
        <v/>
      </c>
      <c r="BN288" s="385" t="str">
        <f>IF(ISNUMBER( SnapshotTable[[#This Row],[LP Term]]), SnapshotTable[[#This Row],[LP Exp Date]] - MockToday,"")</f>
        <v/>
      </c>
      <c r="BO288" s="163" t="str">
        <f>IF(AND(SnapshotTable[[#This Row],[LP Exp Date]]&gt;0, SnapshotTable[[#This Row],[LP Strike Price]]&gt;0,SnapshotTable[[#This Row],[LP Qty]]&gt;0,SnapshotTable[[#This Row],[LP Book Date]]&gt;0,SnapshotTable[[#This Row],[LP Book Price]]&gt;0,SnapshotTable[[#This Row],[LP Fill Date]]=0),"Y","")</f>
        <v/>
      </c>
      <c r="BP288" s="31" t="str">
        <f>IF(AND(SnapshotTable[[#This Row],[LP No Fill]]&lt;&gt;"Y",SnapshotTable[[#This Row],[LP Contract Value]]&gt;0, SnapshotTable[[#This Row],[LP Qty]]&gt;0), SnapshotTable[[#This Row],[LP Contract Value]]*SnapshotTable[[#This Row],[LP Qty]]*100,"")</f>
        <v/>
      </c>
      <c r="BQ288" s="13"/>
      <c r="BR288" s="5" t="str">
        <f>IF(SnapshotTable[[#This Row],[SP Exp Date]]&lt;&gt;"",TRUNC(SnapshotTable[[#This Row],[Last Price]]),"")</f>
        <v/>
      </c>
      <c r="BS288" s="36"/>
      <c r="BT288" s="147"/>
      <c r="BU288" s="13"/>
      <c r="BV288" s="5"/>
      <c r="BW288" s="419" t="b">
        <f>AND(ISNUMBER(SnapshotTable[[#This Row],[SP Exp Date]]), ISNUMBER(SnapshotTable[[#This Row],[SP Strike Price]]), ISNUMBER(SnapshotTable[[#This Row],[SP Qty]]), ISNUMBER(SnapshotTable[[#This Row],[SP Book Date]]), ISNUMBER(SnapshotTable[[#This Row],[SP Book Price]]))</f>
        <v>0</v>
      </c>
      <c r="BX288" s="419" t="b">
        <f>AND(SnapshotTable[[#This Row],[SP Is Booked]], NOT(ISBLANK(SnapshotTable[[#This Row],[SP Fill Date]])))</f>
        <v>0</v>
      </c>
      <c r="BY288" s="33">
        <f>IF(SnapshotTable[[#This Row],[SP Is Booked]], SnapshotTable[[#This Row],[SP Qty]] * SnapshotTable[[#This Row],[SP Book Price]] * 100, 0)</f>
        <v>0</v>
      </c>
      <c r="BZ288" s="369"/>
      <c r="CA288" s="368">
        <f>SnapshotTable[[#This Row],[LP Qty]]</f>
        <v>0</v>
      </c>
      <c r="CB288" s="4" t="str">
        <f>IF(SnapshotTable[[#This Row],[SP Is Booked]], SnapshotTable[[#This Row],[SP Strike Price]] - SnapshotTable[[#This Row],[SP Book Price]], "")</f>
        <v/>
      </c>
      <c r="CC288" s="19" t="str">
        <f>IF(SnapshotTable[[#This Row],[SP Is Booked]],SnapshotTable[[#This Row],[SP Exp Date]]-MAX(SnapshotTable[[#This Row],[SP Book Date]], SnapshotTable[[#This Row],[SP Fill Date]]),"")</f>
        <v/>
      </c>
      <c r="CD288" s="7" t="str">
        <f>IF(SnapshotTable[[#This Row],[SP Is Booked]], SnapshotTable[[#This Row],[SP Book Price]]/SnapshotTable[[#This Row],[SP Strike Price]], "")</f>
        <v/>
      </c>
      <c r="CE288" s="7" t="str">
        <f>IF(ISNUMBER(SnapshotTable[[#This Row],[SP ROO Term]]),SnapshotTable[[#This Row],[SP ROO Term]]*(365/SnapshotTable[[#This Row],[SP Term]]),"")</f>
        <v/>
      </c>
      <c r="CF288" s="236">
        <f>SnapshotTable[[#This Row],[LP Strike Price]] * SnapshotTable[[#This Row],[LP Qty]] * 100</f>
        <v>0</v>
      </c>
      <c r="CG288" s="31" t="e">
        <f>IF(ISNUMBER(SnapshotTable[[#This Row],[SP Premium]]), (SnapshotTable[[#This Row],[SP Qty]] * SnapshotTable[[#This Row],[SP Strike Price]]* 100) - SnapshotTable[[#This Row],[LP Protection]], 0)</f>
        <v>#VALUE!</v>
      </c>
      <c r="CH288" s="7" t="str">
        <f>IF(ISNUMBER(SnapshotTable[[#This Row],[SP Break Even]]),-1 * (SnapshotTable[[#This Row],[SP Break Even]] - SnapshotTable[[#This Row],[Last Price]]) / SnapshotTable[[#This Row],[Last Price]], "")</f>
        <v/>
      </c>
      <c r="CI288" s="31">
        <f>IF(AND(ISNUMBER((SnapshotTable[[#This Row],[SP Potential Spend]])), SnapshotTable[[#This Row],[SP Strike Price]] &gt; SnapshotTable[[#This Row],[Last Price]], SnapshotTable[[#This Row],[SP Is Filled]]), SnapshotTable[[#This Row],[SP Potential Spend]] -  SnapshotTable[[#This Row],[LP Max Value]], 0)</f>
        <v>0</v>
      </c>
      <c r="CJ288" s="244"/>
      <c r="CK288" s="31" t="str">
        <f>IF(ISNUMBER(SnapshotTable[[#This Row],[SP Potential Spend]]),IF(ISNUMBER(SnapshotTable[[#This Row],[SP POW]]), SnapshotTable[[#This Row],[SP POW]] * SnapshotTable[[#This Row],[SP Potential Spend]], SnapshotTable[[#This Row],[SP Potential Spend]]), "")</f>
        <v/>
      </c>
      <c r="CL288" s="164" t="e">
        <f>IF(NOT(SnapshotTable[[#This Row],[SP Is Filled]]),(SnapshotTable[[#This Row],[SP Qty]] * SnapshotTable[[#This Row],[SP Strike Price]] * 100) - SnapshotTable[[#This Row],[LP Max Value]],"")</f>
        <v>#VALUE!</v>
      </c>
      <c r="CM288" s="31" t="str">
        <f>IF(SnapshotTable[[#This Row],[SP Actual Spend]]&lt;&gt;0, ((SnapshotTable[[#This Row],[SP Strike Price]]-SnapshotTable[[#This Row],[Last Price]]) *(SnapshotTable[[#This Row],[SP Qty]]*100) - SnapshotTable[[#This Row],[SP Premium]]) * - 1, "")</f>
        <v/>
      </c>
      <c r="CN288" s="218"/>
      <c r="CO288" s="369"/>
      <c r="CP288" s="4" t="str">
        <f>IF(SnapshotTable[[#This Row],[SP Is Filled]], btc_max_buyback_amount(SnapshotTable[[#This Row],[SP Fill Date]],SnapshotTable[[#This Row],[SP Exp Date]], SnapshotTable[[#This Row],[SP Book Price]]),"")</f>
        <v/>
      </c>
      <c r="CQ288" s="78"/>
      <c r="CR28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8" s="155" t="str">
        <f>IF(SnapshotTable[[#This Row],[SP Is Filled]], btc_next_cutoff_date(SnapshotTable[[#This Row],[SP Fill Date]],SnapshotTable[[#This Row],[SP Exp Date]]),"")</f>
        <v/>
      </c>
      <c r="CT288" s="235" t="str" cm="1">
        <f t="array" ref="CT288">IF(SnapshotTable[[#This Row],[SP Is Filled]], btc_should_buy_back(SnapshotTable[[#This Row],[SP Fill Date]], SnapshotTable[[#This Row],[SP Exp Date]], SnapshotTable[[#This Row],[SP Book Price]], SnapshotTable[[#This Row],[SP Current Ask]], MockToday, SnapshotTable[[#This Row],[SP Buyback Override]]),"")</f>
        <v/>
      </c>
      <c r="CU288" s="143"/>
      <c r="CV288" s="235"/>
      <c r="CW288" s="378" t="str">
        <f>IF(ISNUMBER( SnapshotTable[[#This Row],[SP Term]]), SnapshotTable[[#This Row],[SP Exp Date]] - MockToday,"")</f>
        <v/>
      </c>
      <c r="CX288" s="31" t="str">
        <f>IF(SnapshotTable[[#This Row],[SP Is Filled]],SnapshotTable[[#This Row],[SP Buyback Price to Use]] * 100 * SnapshotTable[[#This Row],[SP Qty]], "")</f>
        <v/>
      </c>
      <c r="CY288" s="4" t="str">
        <f>IF(ISNUMBER(SnapshotTable[[#This Row],[SP Strike Price]]), SnapshotTable[[#This Row],[SP Strike Price]] * (1 - SP_MaxLoss_StrikePct), "")</f>
        <v/>
      </c>
      <c r="CZ288" s="31" t="str">
        <f>IF(ISNUMBER(SnapshotTable[[#This Row],[SP Strike  Stop Per Share]]),SnapshotTable[[#This Row],[SP Premium]] - ((SnapshotTable[[#This Row],[SP Strike Price]]-SnapshotTable[[#This Row],[SP Strike  Stop Per Share]]) *(SnapshotTable[[#This Row],[SP Qty]] * 100)),"")</f>
        <v/>
      </c>
      <c r="DA288" s="4" t="str">
        <f>IF(AND(ISNUMBER(SnapshotTable[[#This Row],[SP Premium]]),SnapshotTable[[#This Row],[SP Premium]]&gt;0), SnapshotTable[[#This Row],[SP Book Price]] * (1 + SP_MaxLoss_OptionPct), "")</f>
        <v/>
      </c>
      <c r="DB288" s="31" t="str">
        <f>IF(ISNUMBER(SnapshotTable[[#This Row],[SP Option  Stop Contract]]),(SnapshotTable[[#This Row],[SP Option  Stop Contract]] *(SnapshotTable[[#This Row],[SP Qty]] * 100) - SnapshotTable[[#This Row],[SP Premium]]),"")</f>
        <v/>
      </c>
      <c r="DC288" s="4"/>
      <c r="DD288" s="4"/>
      <c r="DE288" s="4" t="str">
        <f>IF(AND(SnapshotTable[[#This Row],[SP Qty]]&gt;0, SnapshotTable[[#This Row],[SP Stop To Use]]&gt;0),SnapshotTable[[#This Row],[SP Premium]] - ( SnapshotTable[[#This Row],[SP Qty]] * SnapshotTable[[#This Row],[SP Stop To Use]] * 100), "")</f>
        <v/>
      </c>
      <c r="DF288" s="31" t="str">
        <f>IF(AND(SnapshotTable[[#This Row],[SP Qty]]&gt;0,SnapshotTable[[#This Row],[SP Current Ask]]&gt;0), SnapshotTable[[#This Row],[SP Qty]] * SnapshotTable[[#This Row],[SP Current Ask]] * -100, "")</f>
        <v/>
      </c>
      <c r="DG288" s="31" t="str">
        <f>IF(ISNUMBER((SnapshotTable[[#This Row],[SP Total Value]])), SnapshotTable[[#This Row],[SP Premium]] + SnapshotTable[[#This Row],[SP Total Value]], "")</f>
        <v/>
      </c>
      <c r="DH288" s="294" t="str">
        <f>IF(ISNUMBER((SnapshotTable[[#This Row],[SP Total Value]])), SnapshotTable[[#This Row],[SP Gain Loss]] / SnapshotTable[[#This Row],[SP Premium]], "")</f>
        <v/>
      </c>
      <c r="DI288" s="406"/>
      <c r="DJ288" s="138"/>
      <c r="DK288" s="148"/>
      <c r="DL288" s="13"/>
      <c r="DM288" s="13"/>
      <c r="DN288" s="5"/>
      <c r="DO288" s="31">
        <f>IF(SnapshotTable[[#This Row],[LC Symbol Count]]=1, SnapshotTable[[#This Row],[LC Qty]] * SnapshotTable[[#This Row],[LC Book Price]] * 100, 0)</f>
        <v>0</v>
      </c>
      <c r="DP288" s="163" t="str">
        <f>IF(AND(SnapshotTable[[#This Row],[LC Exp Date]]&gt;0, SnapshotTable[[#This Row],[LC Strike Price]]&gt;0,SnapshotTable[[#This Row],[LC Qty]]&gt;0,SnapshotTable[[#This Row],[LC Book Date]]&gt;0,SnapshotTable[[#This Row],[LC Book Price]]&gt;0,SnapshotTable[[#This Row],[LC Fill Date]]=0),"Y","")</f>
        <v/>
      </c>
      <c r="DQ288" s="386" t="str">
        <f>IF(SnapshotTable[[#This Row],[LC Premium]] &gt; 0,SnapshotTable[[#This Row],[LC Exp Date]]-MAX(SnapshotTable[[#This Row],[LC Book Date]], SnapshotTable[[#This Row],[LC Fill Date]]),"")</f>
        <v/>
      </c>
      <c r="DR288" s="386" t="str">
        <f>IF(ISNUMBER(SnapshotTable[[#This Row],[LC Term]]), SnapshotTable[[#This Row],[LC Exp Date]] - MockToday, "")</f>
        <v/>
      </c>
      <c r="DS288" s="234" t="str">
        <f>IF(SnapshotTable[[#This Row],[LC Premium]]&gt;0,SnapshotTable[[#This Row],[LC Strike Price]] + SnapshotTable[[#This Row],[LC Book Price]],"")</f>
        <v/>
      </c>
      <c r="DT288" s="5"/>
      <c r="DU288" s="9" t="str">
        <f>IF(AND(SnapshotTable[[#This Row],[LC Symbol Count]]&gt;0, SnapshotTable[[#This Row],[LC Contract Value]]&gt;0), SnapshotTable[[#This Row],[LC Contract Value]] * SnapshotTable[[#This Row],[LC Qty]] * 100, "")</f>
        <v/>
      </c>
      <c r="DV288" s="9" t="str">
        <f>IF(AND(ISNUMBER(SnapshotTable[[#This Row],[LC Total Value]]), SnapshotTable[[#This Row],[LC Not Filled]]&lt;&gt;"Y"), SnapshotTable[[#This Row],[LC Total Value]]-SnapshotTable[[#This Row],[LC Premium]],"")</f>
        <v/>
      </c>
      <c r="DW288" s="240" t="str">
        <f>IF(ISNUMBER(SnapshotTable[[#This Row],[LC Actual Gain Loss]]), SnapshotTable[[#This Row],[LC Actual Gain Loss]] / SnapshotTable[[#This Row],[LC Premium]],"")</f>
        <v/>
      </c>
      <c r="DX288" s="284" t="str">
        <f>IF(ISNUMBER(SnapshotTable[[#This Row],[LC Book Price]]),SnapshotTable[[#This Row],[LC Book Price]] * 1.5,"")</f>
        <v/>
      </c>
      <c r="DY288" s="265" t="str">
        <f>IF(SnapshotTable[[#This Row],[LC Premium]]&gt;0, SnapshotTable[[#This Row],[LC Next Target]] * SnapshotTable[[#This Row],[LC Qty]] * 100,"")</f>
        <v/>
      </c>
      <c r="DZ288" s="265" t="str">
        <f>IF(ISNUMBER(SnapshotTable[[#This Row],[LC Target Gross]]), SnapshotTable[[#This Row],[LC Target Gross]] - SnapshotTable[[#This Row],[LC Premium]], "")</f>
        <v/>
      </c>
      <c r="EA288" s="305" t="str">
        <f>IF(ISNUMBER(SnapshotTable[[#This Row],[LC Target Gain Loss]]), SnapshotTable[[#This Row],[LC Target Gain Loss]]/SnapshotTable[[#This Row],[LC Premium]], "")</f>
        <v/>
      </c>
      <c r="EB288" s="262"/>
      <c r="EC288" s="283" t="str">
        <f>IF(SnapshotTable[[#This Row],[LC Premium]]&gt;0, SnapshotTable[[#This Row],[LC Book Price]] * (1 - LC_StopLoss_Pct),"")</f>
        <v/>
      </c>
      <c r="ED288" s="284"/>
      <c r="EE288" s="283" t="str">
        <f>IF(ISNUMBER(SnapshotTable[[#This Row],[LC Contract Value]]),IF(ISNUMBER(SnapshotTable[[#This Row],[LC Stop Loss Override]]), SnapshotTable[[#This Row],[LC Stop Loss Override]],SnapshotTable[[#This Row],[LC Stop Loss Calc Target]]),"")</f>
        <v/>
      </c>
      <c r="EF288" s="31" t="str">
        <f>IF(ISNUMBER(SnapshotTable[[#This Row],[LC Stop  To Use]]), (SnapshotTable[[#This Row],[LC Stop  To Use]] * SnapshotTable[[#This Row],[LC Qty]] * 100),"")</f>
        <v/>
      </c>
      <c r="EG288" s="9" t="str">
        <f>IF(ISNUMBER(SnapshotTable[[#This Row],[LC Total Value]]),SnapshotTable[[#This Row],[LC Stop Loss Amount]] - SnapshotTable[[#This Row],[LC Premium]],"")</f>
        <v/>
      </c>
      <c r="EH288" s="9">
        <f>IF(ISNUMBER(SnapshotTable[[#This Row],[LC Premium]]), SnapshotTable[[#This Row],[LC Qty]] * 100 * SnapshotTable[[#This Row],[LC Strike Price]], "")</f>
        <v>0</v>
      </c>
      <c r="EI288" s="240" t="str">
        <f>IF(AND(ISNUMBER(SnapshotTable[[#This Row],[LC Total Value]]),SnapshotTable[[#This Row],[LC Total Value]]&gt;0),SnapshotTable[[#This Row],[LC Stop Gain Loss]]  / SnapshotTable[[#This Row],[LC Premium]],"")</f>
        <v/>
      </c>
      <c r="EJ288" s="35">
        <f>IF(ISNUMBER(SnapshotTable[[#This Row],[Equity Shares]]),TRUNC(SnapshotTable[[#This Row],[Equity Shares]] / 100),0) + SnapshotTable[[#This Row],[LC Qty]]</f>
        <v>0</v>
      </c>
      <c r="EK288" s="147"/>
      <c r="EL288" s="138" t="str">
        <f>IF(SnapshotTable[[#This Row],[SC Exp Date]]&lt;&gt;"",TRUNC(SnapshotTable[[#This Row],[Last Price]]),"")</f>
        <v/>
      </c>
      <c r="EM288" s="148"/>
      <c r="EN288" s="147"/>
      <c r="EO288" s="147"/>
      <c r="EP288" s="138"/>
      <c r="EQ288" s="419" t="b">
        <f>AND(ISNUMBER(SnapshotTable[[#This Row],[SC Exp Date]]), ISNUMBER(SnapshotTable[[#This Row],[SC Strike Price]]), ISNUMBER(SnapshotTable[[#This Row],[SC Qty]]), ISNUMBER(SnapshotTable[[#This Row],[SC Book Date]]), ISNUMBER(SnapshotTable[[#This Row],[SC Book Price]]))</f>
        <v>0</v>
      </c>
      <c r="ER288" s="419" t="b">
        <f>AND(SnapshotTable[[#This Row],[SC Is Booked]], NOT(ISBLANK(SnapshotTable[[#This Row],[SC Fill Date]])))</f>
        <v>0</v>
      </c>
      <c r="ES288" s="370"/>
      <c r="ET288" s="34" t="str">
        <f>IF(AND(ISNUMBER(SnapshotTable[[#This Row],[SC Exp Date]]), ISNUMBER(SnapshotTable[[#This Row],[SC Book Date]])), SnapshotTable[[#This Row],[SC Exp Date]] - MAX(SnapshotTable[[#This Row],[SC Book Date]], SnapshotTable[[#This Row],[SC Fill Date]]) + 1, "")</f>
        <v/>
      </c>
      <c r="EU288" s="34" t="str">
        <f>IF(ISNUMBER(SnapshotTable[[#This Row],[SC Term]]), SnapshotTable[[#This Row],[SC Exp Date]]- MockToday, "")</f>
        <v/>
      </c>
      <c r="EV288" s="31">
        <f>IF(SnapshotTable[[#This Row],[SC Is Booked]], SnapshotTable[[#This Row],[SC Qty]] * SnapshotTable[[#This Row],[SC Book Price]] * 100, 0)</f>
        <v>0</v>
      </c>
      <c r="EW288" s="4" t="str">
        <f>IF(AND(ISNUMBER(SnapshotTable[[#This Row],[Last Price]]), ISNUMBER( SnapshotTable[[#This Row],[SC Book Price]])), SnapshotTable[[#This Row],[Last Price]] - SnapshotTable[[#This Row],[SC Book Price]],"")</f>
        <v/>
      </c>
      <c r="EX288" s="234" t="str">
        <f>IF(SnapshotTable[[#This Row],[SC Is Booked]],IF(SnapshotTable[[#This Row],[SC Intrinsic Value]] &gt; 0, SnapshotTable[[#This Row],[SC Strike Price]], SnapshotTable[[#This Row],[Last Price]]), "")</f>
        <v/>
      </c>
      <c r="EY288" s="4">
        <f>IF(SnapshotTable[[#This Row],[SC Is Booked]], (MinimumPremiumRequired * SnapshotTable[[#This Row],[SC Basis]] * SnapshotTable[[#This Row],[SC Term]]), 0)</f>
        <v>0</v>
      </c>
      <c r="EZ288" s="283"/>
      <c r="FA288" s="218"/>
      <c r="FB288" s="370"/>
      <c r="FC288" s="4">
        <f>IF(SnapshotTable[[#This Row],[SC Is Filled]], btc_max_buyback_amount(SnapshotTable[[#This Row],[SC Fill Date]],SnapshotTable[[#This Row],[SC Exp Date]], SnapshotTable[[#This Row],[SC Book Price]]),0)</f>
        <v>0</v>
      </c>
      <c r="FD288" s="5"/>
      <c r="FE288" s="144" t="str">
        <f>IF(SnapshotTable[[#This Row],[SC Is Filled]], btc_next_cutoff_date(SnapshotTable[[#This Row],[SC Fill Date]],SnapshotTable[[#This Row],[SC Exp Date]]),"")</f>
        <v/>
      </c>
      <c r="FF288" s="4" t="str" cm="1">
        <f t="array" ref="FF288">IF(SnapshotTable[[#This Row],[SC Is Filled]], btc_should_buy_back(SnapshotTable[[#This Row],[SC Fill Date]], SnapshotTable[[#This Row],[SC Exp Date]], SnapshotTable[[#This Row],[SC Book Price]], SnapshotTable[[#This Row],[SC Current Ask]], MockToday, SnapshotTable[[#This Row],[SC Buyback Override]]),"")</f>
        <v/>
      </c>
      <c r="FG288" s="4">
        <f>IF(SnapshotTable[[#This Row],[SC Is Filled]], MAX(0,SnapshotTable[[#This Row],[Last Price]]  - SnapshotTable[[#This Row],[SC Strike Price]]), 0)</f>
        <v>0</v>
      </c>
      <c r="FH288" s="382">
        <f>IF(SnapshotTable[[#This Row],[SC Is Filled]], IF(ISNUMBER(SnapshotTable[[#This Row],[SC Current Ask]]), SnapshotTable[[#This Row],[SC Current Ask]], SnapshotTable[[#This Row],[SC Book Price]]) - SnapshotTable[[#This Row],[SC Intrinsic Value]], 0)</f>
        <v>0</v>
      </c>
      <c r="FI288" s="143"/>
      <c r="FJ288" s="32" t="str">
        <f>IF(SnapshotTable[[#This Row],[SC Is Filled]],100 * SnapshotTable[[#This Row],[SC Qty]] * IF(ISNUMBER(SnapshotTable[[#This Row],[SC Buyback Override]]), SnapshotTable[[#This Row],[SC Buyback Override]], SnapshotTable[[#This Row],[SC Current Ask]]), "")</f>
        <v/>
      </c>
      <c r="FK288" s="250" t="str">
        <f>IF(SnapshotTable[[#This Row],[SC Time Val]]&gt;0, SnapshotTable[[#This Row],[SC Time Val]] / SnapshotTable[[#This Row],[Last Price]],"")</f>
        <v/>
      </c>
      <c r="FL288" s="302" t="str">
        <f>IF(SnapshotTable[[#This Row],[SC Is Booked]], ((SnapshotTable[[#This Row],[Last Price]] -SnapshotTable[[#This Row],[SC Strike Price]]) / SnapshotTable[[#This Row],[Last Price]]) * -1, "")</f>
        <v/>
      </c>
      <c r="FM288" s="157" t="str">
        <f>IF(SnapshotTable[[#This Row],[SC Is Booked]],  (SnapshotTable[[#This Row],[SC Qty]] * 100 * SnapshotTable[[#This Row],[SC Strike Price]]) - SnapshotTable[[#This Row],[SC Current Ask]], "")</f>
        <v/>
      </c>
      <c r="FN28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8" s="31" t="str">
        <f>IF(AND(ISNUMBER(SnapshotTable[[#This Row],[SC Exercise Gross]]), ISNUMBER(SnapshotTable[[#This Row],[Equity Basis Per Share]] )), SnapshotTable[[#This Row],[SC Exercise Gross]] - SnapshotTable[[#This Row],[Equity Basis Total]] +  SnapshotTable[[#This Row],[SC Premium]], "")</f>
        <v/>
      </c>
      <c r="FP288" s="5" t="str">
        <f>IF(ISNUMBER(SnapshotTable[[#This Row],[SC Exercise Gross]]), (SnapshotTable[[#This Row],[SC Exercise Gross]]) / (SnapshotTable[[#This Row],[SC Qty]] * 100), "")</f>
        <v/>
      </c>
      <c r="FQ288" s="27" t="str">
        <f>IF(SnapshotTable[[#This Row],[SC Is Booked]],SnapshotTable[[#This Row],[SC Time Val]] /SnapshotTable[[#This Row],[SC Basis]], "")</f>
        <v/>
      </c>
      <c r="FR288" s="27" t="str" cm="1">
        <f t="array" ref="FR288">IF(AND(ISNUMBER(SnapshotTable[[#This Row],[SC Term]]),ISNUMBER(SnapshotTable[[#This Row],[SC Simple ROO]])), EllmanAnnualize(SnapshotTable[[#This Row],[SC DTE]], SnapshotTable[[#This Row],[SC Simple ROO]] ),"")</f>
        <v/>
      </c>
      <c r="FS288" s="4" t="e">
        <f>IF(SnapshotTable[[#This Row],[SC Strike Price]] &gt; SnapshotTable[[#This Row],[Last Price]], SnapshotTable[[#This Row],[SC Strike Price]] - SnapshotTable[[#This Row],[Last Price]],0)</f>
        <v>#VALUE!</v>
      </c>
      <c r="FT288" s="27" t="e">
        <f>IF(AND(ISNUMBER(SnapshotTable[[#This Row],[SC Upside Potential]]), SnapshotTable[[#This Row],[SC Upside Potential]] &gt; 0),(SnapshotTable[[#This Row],[SC Upside Potential]]/ SnapshotTable[[#This Row],[ACB]]),"")</f>
        <v>#VALUE!</v>
      </c>
      <c r="FU288" s="333" t="str">
        <f>IF(SnapshotTable[[#This Row],[SC Intrinsic Value]] &gt; 0,SnapshotTable[[#This Row],[SC Intrinsic Value]],"")</f>
        <v/>
      </c>
      <c r="FV288" s="27" t="str">
        <f>IF(AND( ISNUMBER( SnapshotTable[[#This Row],[ACB]]),ISNUMBER(SnapshotTable[[#This Row],[SC Downside Protect]])),SnapshotTable[[#This Row],[SC Downside Protect]] / SnapshotTable[[#This Row],[ACB]],"")</f>
        <v/>
      </c>
      <c r="FW288" s="236" t="str">
        <f>IF(AND(ISNUMBER(SnapshotTable[[#This Row],[SC Simple ROO]]),SnapshotTable[[#This Row],[SC Simple ROO]] &gt; 0), SnapshotTable[[#This Row],[SC Premium]] + (SnapshotTable[[#This Row],[SC Qty]] * SnapshotTable[[#This Row],[SC Upside Potential]]), "")</f>
        <v/>
      </c>
      <c r="FX288" s="302" t="str" cm="1">
        <f t="array" ref="FX288">IF(ISNUMBER(SnapshotTable[[#This Row],[SC Max Dollars]]), annualize(SnapshotTable[[#This Row],[SC Term]],(SnapshotTable[[#This Row],[SC Max Dollars]]/SnapshotTable[[#This Row],[SC Basis]])),"")</f>
        <v/>
      </c>
      <c r="FY288" s="236" t="str">
        <f>IF(AND(SnapshotTable[[#This Row],[SC Qty]]&gt;0,SnapshotTable[[#This Row],[SC Current Ask]]&gt;0), SnapshotTable[[#This Row],[SC Qty]] * SnapshotTable[[#This Row],[SC Current Ask]] * -100, "")</f>
        <v/>
      </c>
      <c r="FZ288" s="31" t="str">
        <f>IF(ISNUMBER((SnapshotTable[[#This Row],[SC Current Value]])), SnapshotTable[[#This Row],[SC Premium]] + SnapshotTable[[#This Row],[SC Current Value]], "")</f>
        <v/>
      </c>
      <c r="GA288" s="294" t="str">
        <f>IFERROR( IF(ISNUMBER((SnapshotTable[[#This Row],[SC Current Value]])), SnapshotTable[[#This Row],[SC Gain Loss]] / SnapshotTable[[#This Row],[SC Premium]], ""), "")</f>
        <v/>
      </c>
      <c r="GB288" s="42">
        <f>SnapshotTable[[#This Row],[Equity Shares]] * SaleSharesToConsiderPercentage</f>
        <v>0</v>
      </c>
      <c r="GC288" s="40">
        <f>SnapshotTable[[#This Row],[Long Term Target]] * SellingPriceToConsiderBasedOnTargetPercentage</f>
        <v>0</v>
      </c>
      <c r="GD288" s="40">
        <f>SnapshotTable[[#This Row],[Last Price]] * (1+ SellingPriceToConsiderBasedOnTargetPercentage)</f>
        <v>104.75399999999999</v>
      </c>
      <c r="GE288" s="41"/>
      <c r="GF288" s="40"/>
      <c r="GG288" s="31">
        <f>SnapshotTable[[#This Row],[Booked Sale Shares]] * SnapshotTable[[#This Row],[Booked Sale Price]]</f>
        <v>0</v>
      </c>
      <c r="GH288" s="31" t="str">
        <f>IF(SnapshotTable[[#This Row],[Equity Basis Total]] &gt; 0, SnapshotTable[[#This Row],[Equity Basis Per Share]] * SnapshotTable[[#This Row],[Booked Sale Shares]], "")</f>
        <v/>
      </c>
      <c r="GI288" s="31">
        <f>IF(SnapshotTable[[#This Row],[Sale Proceeds]]&gt;0, SnapshotTable[[#This Row],[Sale Proceeds]] - SnapshotTable[[#This Row],[Sale Basis]], 0)</f>
        <v>0</v>
      </c>
      <c r="GJ288" s="27" t="str">
        <f>IF(SnapshotTable[[#This Row],[Sale G/L]]&gt;0, SnapshotTable[[#This Row],[Sale G/L]] / SnapshotTable[[#This Row],[Sale Basis]], IF(ISNUMBER(SnapshotTable[[#This Row],[SC Exercise P&amp;L (TAX)]]), SnapshotTable[[#This Row],[SC Exercise P&amp;L (TAX)]] / SnapshotTable[[#This Row],[SC Basis]], ""))</f>
        <v/>
      </c>
      <c r="GK288" s="27"/>
      <c r="GL288" s="43" t="str">
        <f>IF(AND(SnapshotTable[[#This Row],[LP Exp Date]]&gt;0,SnapshotTable[[#This Row],[LP Strike Price]]&gt;0), [1]!ToOptionSymbol(SnapshotTable[[#This Row],[Symbol]], SnapshotTable[[#This Row],[LP Strike Price]],SnapshotTable[[#This Row],[LP Exp Date]],1), "")</f>
        <v/>
      </c>
      <c r="GM288" s="30" t="str">
        <f>IF(LEN(SnapshotTable[[#This Row],[LP Symbol]])&gt;0, 1, "")</f>
        <v/>
      </c>
      <c r="GN288" s="43" t="str">
        <f>IF(AND(SnapshotTable[[#This Row],[SP Exp Date]]&gt;0,SnapshotTable[[#This Row],[SP Strike Price]]&gt;0), [1]!ToOptionSymbol(SnapshotTable[[#This Row],[Symbol]], SnapshotTable[[#This Row],[SP Strike Price]],SnapshotTable[[#This Row],[SP Exp Date]],1), "")</f>
        <v/>
      </c>
      <c r="GO288" s="30" t="str">
        <f>IF(LEN(SnapshotTable[[#This Row],[SP Symbol]])&gt;0, 1, "")</f>
        <v/>
      </c>
      <c r="GP288" s="43" t="str">
        <f>IF(AND(SnapshotTable[[#This Row],[LC Exp Date]]&gt;0,SnapshotTable[[#This Row],[LC Strike Price]]&gt;0), [1]!ToOptionSymbol(SnapshotTable[[#This Row],[Symbol]], SnapshotTable[[#This Row],[LC Strike Price]],SnapshotTable[[#This Row],[LC Exp Date]],0), "")</f>
        <v/>
      </c>
      <c r="GQ288" s="30" t="str">
        <f>IF(LEN(SnapshotTable[[#This Row],[LC Symbol]])&gt;0, 1, "")</f>
        <v/>
      </c>
      <c r="GR288" s="43" t="str">
        <f>IF(AND(SnapshotTable[[#This Row],[SC Exp Date]]&gt;0,SnapshotTable[[#This Row],[SC Strike Price]]&gt;0), [1]!ToOptionSymbol(SnapshotTable[[#This Row],[Symbol]], SnapshotTable[[#This Row],[SC Strike Price]],SnapshotTable[[#This Row],[SC Exp Date]],0), "")</f>
        <v/>
      </c>
      <c r="GS288" s="30" t="str">
        <f>IF(LEN(SnapshotTable[[#This Row],[SC Symbol]])&gt;0, 1, "")</f>
        <v/>
      </c>
      <c r="GT288" s="29" t="str">
        <f>IF(COUNT(SnapshotTable[[#This Row],[LP Symbol Count]],SnapshotTable[[#This Row],[SP Symbol Count]],SnapshotTable[[#This Row],[LC Symbol Count]],SnapshotTable[[#This Row],[SC Symbol Count]])&gt;0, "Y", "")</f>
        <v/>
      </c>
      <c r="GU28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88" s="231" t="e">
        <f>MAX(SnapshotTable[[#This Row],[Equity Basis Total]],SnapshotTable[[#This Row],[Equity Value]]) + (SnapshotTable[[#This Row],[SP Potential Spend]]- SnapshotTable[[#This Row],[SP Premium]] + SnapshotTable[[#This Row],[LP Premium]])+ (SnapshotTable[[#This Row],[LC Premium]] - SnapshotTable[[#This Row],[SC Premium]])</f>
        <v>#VALUE!</v>
      </c>
      <c r="GW288" s="139" t="e">
        <f>IF(AND(SnapshotTable[[#This Row],[Exposure]] &lt;&gt; 0),SnapshotTable[[#This Row],[Exposure]] / SnapshotTable[[#Totals],[Exposure]], "")</f>
        <v>#VALUE!</v>
      </c>
      <c r="GY288" s="381"/>
      <c r="HE288" s="381"/>
      <c r="HF288" s="381"/>
      <c r="HG288" s="381"/>
      <c r="HH288" s="381"/>
      <c r="HI288" s="381"/>
      <c r="HJ288" s="381"/>
    </row>
    <row r="289" spans="2:224" s="47" customFormat="1" ht="12.75" hidden="1" customHeight="1" x14ac:dyDescent="0.25">
      <c r="B289" s="12" t="s">
        <v>591</v>
      </c>
      <c r="C289" s="422">
        <v>8.92</v>
      </c>
      <c r="D289" s="208" t="s">
        <v>587</v>
      </c>
      <c r="E289" s="39">
        <f>SnapshotTable[[#This Row],[Last Price]]*(1 -CrashDiscount)</f>
        <v>7.5819999999999999</v>
      </c>
      <c r="F289" s="26" t="s">
        <v>592</v>
      </c>
      <c r="G289" s="26" t="s">
        <v>9</v>
      </c>
      <c r="H289" s="149"/>
      <c r="I289" s="194">
        <v>44768.670138888891</v>
      </c>
      <c r="J289" s="195">
        <v>44768.670138888891</v>
      </c>
      <c r="K289" s="196"/>
      <c r="L289" s="326"/>
      <c r="M289" s="140"/>
      <c r="N289" s="140"/>
      <c r="O289" s="140"/>
      <c r="P289" s="22"/>
      <c r="Q289" s="25"/>
      <c r="R289" s="4" t="str">
        <f>IF(SnapshotTable[[#This Row],[Equity Basis Total]] &gt; 0, SnapshotTable[[#This Row],[Equity Basis Total]] / SnapshotTable[[#This Row],[Equity Shares]], "")</f>
        <v/>
      </c>
      <c r="S289" s="269">
        <f>SnapshotTable[[#This Row],[Last Price]] * SnapshotTable[[#This Row],[Equity Shares]]</f>
        <v>0</v>
      </c>
      <c r="T289" s="269">
        <f>SnapshotTable[[#This Row],[Equity Value]] - SnapshotTable[[#This Row],[Equity Basis Total]]</f>
        <v>0</v>
      </c>
      <c r="U289" s="270" t="str">
        <f>IF(SnapshotTable[[#This Row],[Equity Basis Total]] &gt; 0, SnapshotTable[[#This Row],[Equity G/L]] / SnapshotTable[[#This Row],[Equity Basis Total]], "")</f>
        <v/>
      </c>
      <c r="V289" s="268"/>
      <c r="W289" s="268"/>
      <c r="X289" s="4" t="str">
        <f>IF(AND(ISNUMBER(SnapshotTable[[#This Row],[Equity Basis Per Share]]),ISNUMBER(SnapshotTable[[#This Row],[Equity Target]])),SnapshotTable[[#This Row],[Equity Target]]-SnapshotTable[[#This Row],[Equity Basis Per Share]],"")</f>
        <v/>
      </c>
      <c r="Y289" s="4" t="str">
        <f>IF(AND(ISNUMBER(SnapshotTable[[#This Row],[Equity Basis Per Share]]),ISNUMBER(SnapshotTable[[#This Row],[Equity Stop Loss]])),SnapshotTable[[#This Row],[Equity Stop Loss]]-SnapshotTable[[#This Row],[Equity Basis Per Share]],"")</f>
        <v/>
      </c>
      <c r="Z289" s="275" t="str">
        <f>IFERROR( TEXT(SnapshotTable[[#This Row],[Equity Max Gain Per Share]] /ABS( SnapshotTable[[#This Row],[Equity Max Loss Per Share]]),"0.0 " ) &amp; " : 1", "")</f>
        <v/>
      </c>
      <c r="AA289" s="31" t="str">
        <f>IF(ISNUMBER(SnapshotTable[[#This Row],[Equity Max Gain Per Share]]),SnapshotTable[[#This Row],[Equity Max Gain Per Share]] * SnapshotTable[[#This Row],[Equity Shares]],"")</f>
        <v/>
      </c>
      <c r="AB289" s="31" t="str">
        <f>IF(ISNUMBER(SnapshotTable[[#This Row],[Equity Max Loss Per Share]]),SnapshotTable[[#This Row],[Equity Max Loss Per Share]] * SnapshotTable[[#This Row],[Equity Shares]],"")</f>
        <v/>
      </c>
      <c r="AC289" s="150"/>
      <c r="AD289" s="151"/>
      <c r="AE289" s="31">
        <f>(SnapshotTable[[#This Row],[Annual Dividend Per Share]] / 4) * SnapshotTable[[#This Row],[Equity Shares]]</f>
        <v>0</v>
      </c>
      <c r="AF289" s="31">
        <f>SnapshotTable[[#This Row],[Quarterly Div $]] * 4</f>
        <v>0</v>
      </c>
      <c r="AG289" s="7">
        <f>IF(SnapshotTable[[#This Row],[Annual Dividend Per Share]]&gt;0, SnapshotTable[[#This Row],[Annual Dividend Per Share]]  / SnapshotTable[[#This Row],[Last Price]], 0)</f>
        <v>0</v>
      </c>
      <c r="AH289" s="151"/>
      <c r="AI289" s="5"/>
      <c r="AJ289" s="138">
        <v>57.66</v>
      </c>
      <c r="AK289" s="152" t="str">
        <f>IF(ISNUMBER( SnapshotTable[[#This Row],[EBF Target]]),(SnapshotTable[[#This Row],[EBF Target]] - SnapshotTable[[#This Row],[Last Price]]) / SnapshotTable[[#This Row],[Last Price]], "")</f>
        <v/>
      </c>
      <c r="AL289" s="152" t="str">
        <f>IF(AND(SnapshotTable[[#This Row],[Equity Basis Total]] &gt; 0,ISNUMBER( SnapshotTable[[#This Row],[Long Term Target]])), SnapshotTable[[#This Row],[From Basis $]] / SnapshotTable[[#This Row],[Equity Basis Total]], "")</f>
        <v/>
      </c>
      <c r="AM289" s="9">
        <f>IF( AND(SnapshotTable[[#This Row],[Equity Shares]] &gt;0,ISNUMBER( SnapshotTable[[#This Row],[Long Term Target]])),(SnapshotTable[[#This Row],[Equity Shares]] * SnapshotTable[[#This Row],[Long Term Target]]) - SnapshotTable[[#This Row],[Equity Basis Total]],0)</f>
        <v>0</v>
      </c>
      <c r="AN289" s="9">
        <f>IF( AND(SnapshotTable[[#This Row],[Equity Shares]] &gt;0,ISNUMBER( SnapshotTable[[#This Row],[Long Term Target]])),(SnapshotTable[[#This Row],[Equity Shares]]*SnapshotTable[[#This Row],[Long Term Target]]) - SnapshotTable[[#This Row],[Equity Value]],0)</f>
        <v>0</v>
      </c>
      <c r="AO289" s="152">
        <f>IF(AND(ISNUMBER( SnapshotTable[[#This Row],[Long Term Target]]), ISNUMBER(SnapshotTable[[#This Row],[Last Price]])),(SnapshotTable[[#This Row],[Long Term Target]] - SnapshotTable[[#This Row],[Last Price]]) / SnapshotTable[[#This Row],[Last Price]], "")</f>
        <v>5.4641255605381165</v>
      </c>
      <c r="AP289" s="5">
        <v>43</v>
      </c>
      <c r="AQ289" s="38" t="s">
        <v>38</v>
      </c>
      <c r="AR289" s="5">
        <v>43</v>
      </c>
      <c r="AS289" s="38" t="s">
        <v>26</v>
      </c>
      <c r="AT289" s="146" t="s">
        <v>538</v>
      </c>
      <c r="AU289" s="187" t="str">
        <f>IF(OR(SnapshotTable[[#This Row],[LP No Fill]]="Y",SnapshotTable[[#This Row],[SP Is Filled]],SnapshotTable[[#This Row],[LC Not Filled]]="Y",SnapshotTable[[#This Row],[SC Is Filled]]),"Y","")</f>
        <v/>
      </c>
      <c r="AV289" s="219"/>
      <c r="AW289" s="225"/>
      <c r="AX289" s="220"/>
      <c r="AY289" s="219" t="str">
        <f>IF(SnapshotTable[[#This Row],[Implied Move]]&gt;0, SnapshotTable[[#This Row],[Last Price]]-SnapshotTable[[#This Row],[Implied Move]],"")</f>
        <v/>
      </c>
      <c r="AZ289" s="219" t="str">
        <f>IF(SnapshotTable[[#This Row],[Implied Move]]&gt;0, SnapshotTable[[#This Row],[Last Price]] + SnapshotTable[[#This Row],[Implied Move]],"")</f>
        <v/>
      </c>
      <c r="BA289" s="331">
        <v>41.71</v>
      </c>
      <c r="BB289" s="347"/>
      <c r="BC28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9" s="351"/>
      <c r="BE289" s="138"/>
      <c r="BF289" s="166"/>
      <c r="BG289" s="167"/>
      <c r="BH289" s="167"/>
      <c r="BI289" s="5"/>
      <c r="BJ289" s="153">
        <f>IF(SnapshotTable[[#This Row],[LP Qty]] &gt; 0, SnapshotTable[[#This Row],[LP Qty]] * SnapshotTable[[#This Row],[LP Book Price]] * 100,0)</f>
        <v>0</v>
      </c>
      <c r="BK289" s="136">
        <f>IF(SnapshotTable[[#This Row],[LP Premium]] &gt; 0, SnapshotTable[[#This Row],[LP Qty]] * SnapshotTable[[#This Row],[LP Strike Price]] * 100,0)</f>
        <v>0</v>
      </c>
      <c r="BL289" s="154"/>
      <c r="BM289" s="385" t="str">
        <f>IF(SnapshotTable[[#This Row],[LP Premium]] &gt; 0,SnapshotTable[[#This Row],[LP Exp Date]]-MAX(SnapshotTable[[#This Row],[LP Book Date]], SnapshotTable[[#This Row],[LP Fill Date]]),"")</f>
        <v/>
      </c>
      <c r="BN289" s="385" t="str">
        <f>IF(ISNUMBER( SnapshotTable[[#This Row],[LP Term]]), SnapshotTable[[#This Row],[LP Exp Date]] - MockToday,"")</f>
        <v/>
      </c>
      <c r="BO289" s="163" t="str">
        <f>IF(AND(SnapshotTable[[#This Row],[LP Exp Date]]&gt;0, SnapshotTable[[#This Row],[LP Strike Price]]&gt;0,SnapshotTable[[#This Row],[LP Qty]]&gt;0,SnapshotTable[[#This Row],[LP Book Date]]&gt;0,SnapshotTable[[#This Row],[LP Book Price]]&gt;0,SnapshotTable[[#This Row],[LP Fill Date]]=0),"Y","")</f>
        <v/>
      </c>
      <c r="BP289" s="31" t="str">
        <f>IF(AND(SnapshotTable[[#This Row],[LP No Fill]]&lt;&gt;"Y",SnapshotTable[[#This Row],[LP Contract Value]]&gt;0, SnapshotTable[[#This Row],[LP Qty]]&gt;0), SnapshotTable[[#This Row],[LP Contract Value]]*SnapshotTable[[#This Row],[LP Qty]]*100,"")</f>
        <v/>
      </c>
      <c r="BQ289" s="13"/>
      <c r="BR289" s="5" t="str">
        <f>IF(SnapshotTable[[#This Row],[SP Exp Date]]&lt;&gt;"",TRUNC(SnapshotTable[[#This Row],[Last Price]]),"")</f>
        <v/>
      </c>
      <c r="BS289" s="36"/>
      <c r="BT289" s="147"/>
      <c r="BU289" s="13"/>
      <c r="BV289" s="5"/>
      <c r="BW289" s="419" t="b">
        <f>AND(ISNUMBER(SnapshotTable[[#This Row],[SP Exp Date]]), ISNUMBER(SnapshotTable[[#This Row],[SP Strike Price]]), ISNUMBER(SnapshotTable[[#This Row],[SP Qty]]), ISNUMBER(SnapshotTable[[#This Row],[SP Book Date]]), ISNUMBER(SnapshotTable[[#This Row],[SP Book Price]]))</f>
        <v>0</v>
      </c>
      <c r="BX289" s="419" t="b">
        <f>AND(SnapshotTable[[#This Row],[SP Is Booked]], NOT(ISBLANK(SnapshotTable[[#This Row],[SP Fill Date]])))</f>
        <v>0</v>
      </c>
      <c r="BY289" s="33">
        <f>IF(SnapshotTable[[#This Row],[SP Is Booked]], SnapshotTable[[#This Row],[SP Qty]] * SnapshotTable[[#This Row],[SP Book Price]] * 100, 0)</f>
        <v>0</v>
      </c>
      <c r="BZ289" s="369"/>
      <c r="CA289" s="368">
        <f>SnapshotTable[[#This Row],[LP Qty]]</f>
        <v>0</v>
      </c>
      <c r="CB289" s="4" t="str">
        <f>IF(SnapshotTable[[#This Row],[SP Is Booked]], SnapshotTable[[#This Row],[SP Strike Price]] - SnapshotTable[[#This Row],[SP Book Price]], "")</f>
        <v/>
      </c>
      <c r="CC289" s="19" t="str">
        <f>IF(SnapshotTable[[#This Row],[SP Is Booked]],SnapshotTable[[#This Row],[SP Exp Date]]-MAX(SnapshotTable[[#This Row],[SP Book Date]], SnapshotTable[[#This Row],[SP Fill Date]]),"")</f>
        <v/>
      </c>
      <c r="CD289" s="7" t="str">
        <f>IF(SnapshotTable[[#This Row],[SP Is Booked]], SnapshotTable[[#This Row],[SP Book Price]]/SnapshotTable[[#This Row],[SP Strike Price]], "")</f>
        <v/>
      </c>
      <c r="CE289" s="7" t="str">
        <f>IF(ISNUMBER(SnapshotTable[[#This Row],[SP ROO Term]]),SnapshotTable[[#This Row],[SP ROO Term]]*(365/SnapshotTable[[#This Row],[SP Term]]),"")</f>
        <v/>
      </c>
      <c r="CF289" s="236">
        <f>SnapshotTable[[#This Row],[LP Strike Price]] * SnapshotTable[[#This Row],[LP Qty]] * 100</f>
        <v>0</v>
      </c>
      <c r="CG289" s="31" t="e">
        <f>IF(ISNUMBER(SnapshotTable[[#This Row],[SP Premium]]), (SnapshotTable[[#This Row],[SP Qty]] * SnapshotTable[[#This Row],[SP Strike Price]]* 100) - SnapshotTable[[#This Row],[LP Protection]], 0)</f>
        <v>#VALUE!</v>
      </c>
      <c r="CH289" s="7" t="str">
        <f>IF(ISNUMBER(SnapshotTable[[#This Row],[SP Break Even]]),-1 * (SnapshotTable[[#This Row],[SP Break Even]] - SnapshotTable[[#This Row],[Last Price]]) / SnapshotTable[[#This Row],[Last Price]], "")</f>
        <v/>
      </c>
      <c r="CI289" s="31">
        <f>IF(AND(ISNUMBER((SnapshotTable[[#This Row],[SP Potential Spend]])), SnapshotTable[[#This Row],[SP Strike Price]] &gt; SnapshotTable[[#This Row],[Last Price]], SnapshotTable[[#This Row],[SP Is Filled]]), SnapshotTable[[#This Row],[SP Potential Spend]] -  SnapshotTable[[#This Row],[LP Max Value]], 0)</f>
        <v>0</v>
      </c>
      <c r="CJ289" s="244"/>
      <c r="CK289" s="31" t="str">
        <f>IF(ISNUMBER(SnapshotTable[[#This Row],[SP Potential Spend]]),IF(ISNUMBER(SnapshotTable[[#This Row],[SP POW]]), SnapshotTable[[#This Row],[SP POW]] * SnapshotTable[[#This Row],[SP Potential Spend]], SnapshotTable[[#This Row],[SP Potential Spend]]), "")</f>
        <v/>
      </c>
      <c r="CL289" s="164" t="e">
        <f>IF(NOT(SnapshotTable[[#This Row],[SP Is Filled]]),(SnapshotTable[[#This Row],[SP Qty]] * SnapshotTable[[#This Row],[SP Strike Price]] * 100) - SnapshotTable[[#This Row],[LP Max Value]],"")</f>
        <v>#VALUE!</v>
      </c>
      <c r="CM289" s="31" t="str">
        <f>IF(SnapshotTable[[#This Row],[SP Actual Spend]]&lt;&gt;0, ((SnapshotTable[[#This Row],[SP Strike Price]]-SnapshotTable[[#This Row],[Last Price]]) *(SnapshotTable[[#This Row],[SP Qty]]*100) - SnapshotTable[[#This Row],[SP Premium]]) * - 1, "")</f>
        <v/>
      </c>
      <c r="CN289" s="218"/>
      <c r="CO289" s="369"/>
      <c r="CP289" s="4" t="str">
        <f>IF(SnapshotTable[[#This Row],[SP Is Filled]], btc_max_buyback_amount(SnapshotTable[[#This Row],[SP Fill Date]],SnapshotTable[[#This Row],[SP Exp Date]], SnapshotTable[[#This Row],[SP Book Price]]),"")</f>
        <v/>
      </c>
      <c r="CQ289" s="78"/>
      <c r="CR28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9" s="155" t="str">
        <f>IF(SnapshotTable[[#This Row],[SP Is Filled]], btc_next_cutoff_date(SnapshotTable[[#This Row],[SP Fill Date]],SnapshotTable[[#This Row],[SP Exp Date]]),"")</f>
        <v/>
      </c>
      <c r="CT289" s="235" t="str" cm="1">
        <f t="array" ref="CT289">IF(SnapshotTable[[#This Row],[SP Is Filled]], btc_should_buy_back(SnapshotTable[[#This Row],[SP Fill Date]], SnapshotTable[[#This Row],[SP Exp Date]], SnapshotTable[[#This Row],[SP Book Price]], SnapshotTable[[#This Row],[SP Current Ask]], MockToday, SnapshotTable[[#This Row],[SP Buyback Override]]),"")</f>
        <v/>
      </c>
      <c r="CU289" s="156">
        <v>44750</v>
      </c>
      <c r="CV289" s="235"/>
      <c r="CW289" s="378" t="str">
        <f>IF(ISNUMBER( SnapshotTable[[#This Row],[SP Term]]), SnapshotTable[[#This Row],[SP Exp Date]] - MockToday,"")</f>
        <v/>
      </c>
      <c r="CX289" s="31" t="str">
        <f>IF(SnapshotTable[[#This Row],[SP Is Filled]],SnapshotTable[[#This Row],[SP Buyback Price to Use]] * 100 * SnapshotTable[[#This Row],[SP Qty]], "")</f>
        <v/>
      </c>
      <c r="CY289" s="4" t="str">
        <f>IF(ISNUMBER(SnapshotTable[[#This Row],[SP Strike Price]]), SnapshotTable[[#This Row],[SP Strike Price]] * (1 - SP_MaxLoss_StrikePct), "")</f>
        <v/>
      </c>
      <c r="CZ289" s="31" t="str">
        <f>IF(ISNUMBER(SnapshotTable[[#This Row],[SP Strike  Stop Per Share]]),SnapshotTable[[#This Row],[SP Premium]] - ((SnapshotTable[[#This Row],[SP Strike Price]]-SnapshotTable[[#This Row],[SP Strike  Stop Per Share]]) *(SnapshotTable[[#This Row],[SP Qty]] * 100)),"")</f>
        <v/>
      </c>
      <c r="DA289" s="4" t="str">
        <f>IF(AND(ISNUMBER(SnapshotTable[[#This Row],[SP Premium]]),SnapshotTable[[#This Row],[SP Premium]]&gt;0), SnapshotTable[[#This Row],[SP Book Price]] * (1 + SP_MaxLoss_OptionPct), "")</f>
        <v/>
      </c>
      <c r="DB289" s="31" t="str">
        <f>IF(ISNUMBER(SnapshotTable[[#This Row],[SP Option  Stop Contract]]),(SnapshotTable[[#This Row],[SP Option  Stop Contract]] *(SnapshotTable[[#This Row],[SP Qty]] * 100) - SnapshotTable[[#This Row],[SP Premium]]),"")</f>
        <v/>
      </c>
      <c r="DC289" s="4"/>
      <c r="DD289" s="4"/>
      <c r="DE289" s="4" t="str">
        <f>IF(AND(SnapshotTable[[#This Row],[SP Qty]]&gt;0, SnapshotTable[[#This Row],[SP Stop To Use]]&gt;0),SnapshotTable[[#This Row],[SP Premium]] - ( SnapshotTable[[#This Row],[SP Qty]] * SnapshotTable[[#This Row],[SP Stop To Use]] * 100), "")</f>
        <v/>
      </c>
      <c r="DF289" s="31" t="str">
        <f>IF(AND(SnapshotTable[[#This Row],[SP Qty]]&gt;0,SnapshotTable[[#This Row],[SP Current Ask]]&gt;0), SnapshotTable[[#This Row],[SP Qty]] * SnapshotTable[[#This Row],[SP Current Ask]] * -100, "")</f>
        <v/>
      </c>
      <c r="DG289" s="31" t="str">
        <f>IF(ISNUMBER((SnapshotTable[[#This Row],[SP Total Value]])), SnapshotTable[[#This Row],[SP Premium]] + SnapshotTable[[#This Row],[SP Total Value]], "")</f>
        <v/>
      </c>
      <c r="DH289" s="294" t="str">
        <f>IF(ISNUMBER((SnapshotTable[[#This Row],[SP Total Value]])), SnapshotTable[[#This Row],[SP Gain Loss]] / SnapshotTable[[#This Row],[SP Premium]], "")</f>
        <v/>
      </c>
      <c r="DI289" s="406"/>
      <c r="DJ289" s="138"/>
      <c r="DK289" s="148"/>
      <c r="DL289" s="147"/>
      <c r="DM289" s="147"/>
      <c r="DN289" s="5"/>
      <c r="DO289" s="31">
        <f>IF(SnapshotTable[[#This Row],[LC Symbol Count]]=1, SnapshotTable[[#This Row],[LC Qty]] * SnapshotTable[[#This Row],[LC Book Price]] * 100, 0)</f>
        <v>0</v>
      </c>
      <c r="DP289" s="163" t="str">
        <f>IF(AND(SnapshotTable[[#This Row],[LC Exp Date]]&gt;0, SnapshotTable[[#This Row],[LC Strike Price]]&gt;0,SnapshotTable[[#This Row],[LC Qty]]&gt;0,SnapshotTable[[#This Row],[LC Book Date]]&gt;0,SnapshotTable[[#This Row],[LC Book Price]]&gt;0,SnapshotTable[[#This Row],[LC Fill Date]]=0),"Y","")</f>
        <v/>
      </c>
      <c r="DQ289" s="386" t="str">
        <f>IF(SnapshotTable[[#This Row],[LC Premium]] &gt; 0,SnapshotTable[[#This Row],[LC Exp Date]]-MAX(SnapshotTable[[#This Row],[LC Book Date]], SnapshotTable[[#This Row],[LC Fill Date]]),"")</f>
        <v/>
      </c>
      <c r="DR289" s="386" t="str">
        <f>IF(ISNUMBER(SnapshotTable[[#This Row],[LC Term]]), SnapshotTable[[#This Row],[LC Exp Date]] - MockToday, "")</f>
        <v/>
      </c>
      <c r="DS289" s="234" t="str">
        <f>IF(SnapshotTable[[#This Row],[LC Premium]]&gt;0,SnapshotTable[[#This Row],[LC Strike Price]] + SnapshotTable[[#This Row],[LC Book Price]],"")</f>
        <v/>
      </c>
      <c r="DT289" s="5"/>
      <c r="DU289" s="9" t="str">
        <f>IF(AND(SnapshotTable[[#This Row],[LC Symbol Count]]&gt;0, SnapshotTable[[#This Row],[LC Contract Value]]&gt;0), SnapshotTable[[#This Row],[LC Contract Value]] * SnapshotTable[[#This Row],[LC Qty]] * 100, "")</f>
        <v/>
      </c>
      <c r="DV289" s="9" t="str">
        <f>IF(AND(ISNUMBER(SnapshotTable[[#This Row],[LC Total Value]]), SnapshotTable[[#This Row],[LC Not Filled]]&lt;&gt;"Y"), SnapshotTable[[#This Row],[LC Total Value]]-SnapshotTable[[#This Row],[LC Premium]],"")</f>
        <v/>
      </c>
      <c r="DW289" s="240" t="str">
        <f>IF(ISNUMBER(SnapshotTable[[#This Row],[LC Actual Gain Loss]]), SnapshotTable[[#This Row],[LC Actual Gain Loss]] / SnapshotTable[[#This Row],[LC Premium]],"")</f>
        <v/>
      </c>
      <c r="DX289" s="284" t="str">
        <f>IF(ISNUMBER(SnapshotTable[[#This Row],[LC Book Price]]),SnapshotTable[[#This Row],[LC Book Price]] * 1.5,"")</f>
        <v/>
      </c>
      <c r="DY289" s="265" t="str">
        <f>IF(SnapshotTable[[#This Row],[LC Premium]]&gt;0, SnapshotTable[[#This Row],[LC Next Target]] * SnapshotTable[[#This Row],[LC Qty]] * 100,"")</f>
        <v/>
      </c>
      <c r="DZ289" s="265" t="str">
        <f>IF(ISNUMBER(SnapshotTable[[#This Row],[LC Target Gross]]), SnapshotTable[[#This Row],[LC Target Gross]] - SnapshotTable[[#This Row],[LC Premium]], "")</f>
        <v/>
      </c>
      <c r="EA289" s="305" t="str">
        <f>IF(ISNUMBER(SnapshotTable[[#This Row],[LC Target Gain Loss]]), SnapshotTable[[#This Row],[LC Target Gain Loss]]/SnapshotTable[[#This Row],[LC Premium]], "")</f>
        <v/>
      </c>
      <c r="EB289" s="262"/>
      <c r="EC289" s="283" t="str">
        <f>IF(SnapshotTable[[#This Row],[LC Premium]]&gt;0, SnapshotTable[[#This Row],[LC Book Price]] * (1 - LC_StopLoss_Pct),"")</f>
        <v/>
      </c>
      <c r="ED289" s="284"/>
      <c r="EE289" s="283" t="str">
        <f>IF(ISNUMBER(SnapshotTable[[#This Row],[LC Contract Value]]),IF(ISNUMBER(SnapshotTable[[#This Row],[LC Stop Loss Override]]), SnapshotTable[[#This Row],[LC Stop Loss Override]],SnapshotTable[[#This Row],[LC Stop Loss Calc Target]]),"")</f>
        <v/>
      </c>
      <c r="EF289" s="31" t="str">
        <f>IF(ISNUMBER(SnapshotTable[[#This Row],[LC Stop  To Use]]), (SnapshotTable[[#This Row],[LC Stop  To Use]] * SnapshotTable[[#This Row],[LC Qty]] * 100),"")</f>
        <v/>
      </c>
      <c r="EG289" s="9" t="str">
        <f>IF(ISNUMBER(SnapshotTable[[#This Row],[LC Total Value]]),SnapshotTable[[#This Row],[LC Stop Loss Amount]] - SnapshotTable[[#This Row],[LC Premium]],"")</f>
        <v/>
      </c>
      <c r="EH289" s="9">
        <f>IF(ISNUMBER(SnapshotTable[[#This Row],[LC Premium]]), SnapshotTable[[#This Row],[LC Qty]] * 100 * SnapshotTable[[#This Row],[LC Strike Price]], "")</f>
        <v>0</v>
      </c>
      <c r="EI289" s="240" t="str">
        <f>IF(AND(ISNUMBER(SnapshotTable[[#This Row],[LC Total Value]]),SnapshotTable[[#This Row],[LC Total Value]]&gt;0),SnapshotTable[[#This Row],[LC Stop Gain Loss]]  / SnapshotTable[[#This Row],[LC Premium]],"")</f>
        <v/>
      </c>
      <c r="EJ289" s="35">
        <f>IF(ISNUMBER(SnapshotTable[[#This Row],[Equity Shares]]),TRUNC(SnapshotTable[[#This Row],[Equity Shares]] / 100),0) + SnapshotTable[[#This Row],[LC Qty]]</f>
        <v>0</v>
      </c>
      <c r="EK289" s="147"/>
      <c r="EL289" s="138" t="str">
        <f>IF(SnapshotTable[[#This Row],[SC Exp Date]]&lt;&gt;"",TRUNC(SnapshotTable[[#This Row],[Last Price]]),"")</f>
        <v/>
      </c>
      <c r="EM289" s="148"/>
      <c r="EN289" s="147"/>
      <c r="EO289" s="147"/>
      <c r="EP289" s="138"/>
      <c r="EQ289" s="419" t="b">
        <f>AND(ISNUMBER(SnapshotTable[[#This Row],[SC Exp Date]]), ISNUMBER(SnapshotTable[[#This Row],[SC Strike Price]]), ISNUMBER(SnapshotTable[[#This Row],[SC Qty]]), ISNUMBER(SnapshotTable[[#This Row],[SC Book Date]]), ISNUMBER(SnapshotTable[[#This Row],[SC Book Price]]))</f>
        <v>0</v>
      </c>
      <c r="ER289" s="419" t="b">
        <f>AND(SnapshotTable[[#This Row],[SC Is Booked]], NOT(ISBLANK(SnapshotTable[[#This Row],[SC Fill Date]])))</f>
        <v>0</v>
      </c>
      <c r="ES289" s="370"/>
      <c r="ET289" s="34" t="str">
        <f>IF(AND(ISNUMBER(SnapshotTable[[#This Row],[SC Exp Date]]), ISNUMBER(SnapshotTable[[#This Row],[SC Book Date]])), SnapshotTable[[#This Row],[SC Exp Date]] - MAX(SnapshotTable[[#This Row],[SC Book Date]], SnapshotTable[[#This Row],[SC Fill Date]]) + 1, "")</f>
        <v/>
      </c>
      <c r="EU289" s="34" t="str">
        <f>IF(ISNUMBER(SnapshotTable[[#This Row],[SC Term]]), SnapshotTable[[#This Row],[SC Exp Date]]- MockToday, "")</f>
        <v/>
      </c>
      <c r="EV289" s="31">
        <f>IF(SnapshotTable[[#This Row],[SC Is Booked]], SnapshotTable[[#This Row],[SC Qty]] * SnapshotTable[[#This Row],[SC Book Price]] * 100, 0)</f>
        <v>0</v>
      </c>
      <c r="EW289" s="4" t="str">
        <f>IF(AND(ISNUMBER(SnapshotTable[[#This Row],[Last Price]]), ISNUMBER( SnapshotTable[[#This Row],[SC Book Price]])), SnapshotTable[[#This Row],[Last Price]] - SnapshotTable[[#This Row],[SC Book Price]],"")</f>
        <v/>
      </c>
      <c r="EX289" s="234" t="str">
        <f>IF(SnapshotTable[[#This Row],[SC Is Booked]],IF(SnapshotTable[[#This Row],[SC Intrinsic Value]] &gt; 0, SnapshotTable[[#This Row],[SC Strike Price]], SnapshotTable[[#This Row],[Last Price]]), "")</f>
        <v/>
      </c>
      <c r="EY289" s="4">
        <f>IF(SnapshotTable[[#This Row],[SC Is Booked]], (MinimumPremiumRequired * SnapshotTable[[#This Row],[SC Basis]] * SnapshotTable[[#This Row],[SC Term]]), 0)</f>
        <v>0</v>
      </c>
      <c r="EZ289" s="283"/>
      <c r="FA289" s="218"/>
      <c r="FB289" s="370"/>
      <c r="FC289" s="4">
        <f>IF(SnapshotTable[[#This Row],[SC Is Filled]], btc_max_buyback_amount(SnapshotTable[[#This Row],[SC Fill Date]],SnapshotTable[[#This Row],[SC Exp Date]], SnapshotTable[[#This Row],[SC Book Price]]),0)</f>
        <v>0</v>
      </c>
      <c r="FD289" s="5"/>
      <c r="FE289" s="144" t="str">
        <f>IF(SnapshotTable[[#This Row],[SC Is Filled]], btc_next_cutoff_date(SnapshotTable[[#This Row],[SC Fill Date]],SnapshotTable[[#This Row],[SC Exp Date]]),"")</f>
        <v/>
      </c>
      <c r="FF289" s="4" t="str" cm="1">
        <f t="array" ref="FF289">IF(SnapshotTable[[#This Row],[SC Is Filled]], btc_should_buy_back(SnapshotTable[[#This Row],[SC Fill Date]], SnapshotTable[[#This Row],[SC Exp Date]], SnapshotTable[[#This Row],[SC Book Price]], SnapshotTable[[#This Row],[SC Current Ask]], MockToday, SnapshotTable[[#This Row],[SC Buyback Override]]),"")</f>
        <v/>
      </c>
      <c r="FG289" s="4">
        <f>IF(SnapshotTable[[#This Row],[SC Is Filled]], MAX(0,SnapshotTable[[#This Row],[Last Price]]  - SnapshotTable[[#This Row],[SC Strike Price]]), 0)</f>
        <v>0</v>
      </c>
      <c r="FH289" s="382">
        <f>IF(SnapshotTable[[#This Row],[SC Is Filled]], IF(ISNUMBER(SnapshotTable[[#This Row],[SC Current Ask]]), SnapshotTable[[#This Row],[SC Current Ask]], SnapshotTable[[#This Row],[SC Book Price]]) - SnapshotTable[[#This Row],[SC Intrinsic Value]], 0)</f>
        <v>0</v>
      </c>
      <c r="FI289" s="143"/>
      <c r="FJ289" s="32" t="str">
        <f>IF(SnapshotTable[[#This Row],[SC Is Filled]],100 * SnapshotTable[[#This Row],[SC Qty]] * IF(ISNUMBER(SnapshotTable[[#This Row],[SC Buyback Override]]), SnapshotTable[[#This Row],[SC Buyback Override]], SnapshotTable[[#This Row],[SC Current Ask]]), "")</f>
        <v/>
      </c>
      <c r="FK289" s="250" t="str">
        <f>IF(SnapshotTable[[#This Row],[SC Time Val]]&gt;0, SnapshotTable[[#This Row],[SC Time Val]] / SnapshotTable[[#This Row],[Last Price]],"")</f>
        <v/>
      </c>
      <c r="FL289" s="302" t="str">
        <f>IF(SnapshotTable[[#This Row],[SC Is Booked]], ((SnapshotTable[[#This Row],[Last Price]] -SnapshotTable[[#This Row],[SC Strike Price]]) / SnapshotTable[[#This Row],[Last Price]]) * -1, "")</f>
        <v/>
      </c>
      <c r="FM289" s="157" t="str">
        <f>IF(SnapshotTable[[#This Row],[SC Is Booked]],  (SnapshotTable[[#This Row],[SC Qty]] * 100 * SnapshotTable[[#This Row],[SC Strike Price]]) - SnapshotTable[[#This Row],[SC Current Ask]], "")</f>
        <v/>
      </c>
      <c r="FN289"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9" s="157" t="str">
        <f>IF(AND(ISNUMBER(SnapshotTable[[#This Row],[SC Exercise Gross]]), ISNUMBER(SnapshotTable[[#This Row],[Equity Basis Per Share]] )), SnapshotTable[[#This Row],[SC Exercise Gross]] - SnapshotTable[[#This Row],[Equity Basis Total]] +  SnapshotTable[[#This Row],[SC Premium]], "")</f>
        <v/>
      </c>
      <c r="FP289" s="5" t="str">
        <f>IF(ISNUMBER(SnapshotTable[[#This Row],[SC Exercise Gross]]), (SnapshotTable[[#This Row],[SC Exercise Gross]]) / (SnapshotTable[[#This Row],[SC Qty]] * 100), "")</f>
        <v/>
      </c>
      <c r="FQ289" s="27" t="str">
        <f>IF(SnapshotTable[[#This Row],[SC Is Booked]],SnapshotTable[[#This Row],[SC Time Val]] /SnapshotTable[[#This Row],[SC Basis]], "")</f>
        <v/>
      </c>
      <c r="FR289" s="27" t="str" cm="1">
        <f t="array" ref="FR289">IF(AND(ISNUMBER(SnapshotTable[[#This Row],[SC Term]]),ISNUMBER(SnapshotTable[[#This Row],[SC Simple ROO]])), EllmanAnnualize(SnapshotTable[[#This Row],[SC DTE]], SnapshotTable[[#This Row],[SC Simple ROO]] ),"")</f>
        <v/>
      </c>
      <c r="FS289" s="4" t="e">
        <f>IF(SnapshotTable[[#This Row],[SC Strike Price]] &gt; SnapshotTable[[#This Row],[Last Price]], SnapshotTable[[#This Row],[SC Strike Price]] - SnapshotTable[[#This Row],[Last Price]],0)</f>
        <v>#VALUE!</v>
      </c>
      <c r="FT289" s="27" t="e">
        <f>IF(AND(ISNUMBER(SnapshotTable[[#This Row],[SC Upside Potential]]), SnapshotTable[[#This Row],[SC Upside Potential]] &gt; 0),(SnapshotTable[[#This Row],[SC Upside Potential]]/ SnapshotTable[[#This Row],[ACB]]),"")</f>
        <v>#VALUE!</v>
      </c>
      <c r="FU289" s="333" t="str">
        <f>IF(SnapshotTable[[#This Row],[SC Intrinsic Value]] &gt; 0,SnapshotTable[[#This Row],[SC Intrinsic Value]],"")</f>
        <v/>
      </c>
      <c r="FV289" s="27" t="str">
        <f>IF(AND( ISNUMBER( SnapshotTable[[#This Row],[ACB]]),ISNUMBER(SnapshotTable[[#This Row],[SC Downside Protect]])),SnapshotTable[[#This Row],[SC Downside Protect]] / SnapshotTable[[#This Row],[ACB]],"")</f>
        <v/>
      </c>
      <c r="FW289" s="236" t="str">
        <f>IF(AND(ISNUMBER(SnapshotTable[[#This Row],[SC Simple ROO]]),SnapshotTable[[#This Row],[SC Simple ROO]] &gt; 0), SnapshotTable[[#This Row],[SC Premium]] + (SnapshotTable[[#This Row],[SC Qty]] * SnapshotTable[[#This Row],[SC Upside Potential]]), "")</f>
        <v/>
      </c>
      <c r="FX289" s="302" t="str" cm="1">
        <f t="array" ref="FX289">IF(ISNUMBER(SnapshotTable[[#This Row],[SC Max Dollars]]), annualize(SnapshotTable[[#This Row],[SC Term]],(SnapshotTable[[#This Row],[SC Max Dollars]]/SnapshotTable[[#This Row],[SC Basis]])),"")</f>
        <v/>
      </c>
      <c r="FY289" s="236" t="str">
        <f>IF(AND(SnapshotTable[[#This Row],[SC Qty]]&gt;0,SnapshotTable[[#This Row],[SC Current Ask]]&gt;0), SnapshotTable[[#This Row],[SC Qty]] * SnapshotTable[[#This Row],[SC Current Ask]] * -100, "")</f>
        <v/>
      </c>
      <c r="FZ289" s="31" t="str">
        <f>IF(ISNUMBER((SnapshotTable[[#This Row],[SC Current Value]])), SnapshotTable[[#This Row],[SC Premium]] + SnapshotTable[[#This Row],[SC Current Value]], "")</f>
        <v/>
      </c>
      <c r="GA289" s="294" t="str">
        <f>IFERROR( IF(ISNUMBER((SnapshotTable[[#This Row],[SC Current Value]])), SnapshotTable[[#This Row],[SC Gain Loss]] / SnapshotTable[[#This Row],[SC Premium]], ""), "")</f>
        <v/>
      </c>
      <c r="GB289" s="42">
        <f>SnapshotTable[[#This Row],[Equity Shares]] * SaleSharesToConsiderPercentage</f>
        <v>0</v>
      </c>
      <c r="GC289" s="40">
        <f>SnapshotTable[[#This Row],[Long Term Target]] * SellingPriceToConsiderBasedOnTargetPercentage</f>
        <v>54.776999999999994</v>
      </c>
      <c r="GD289" s="40">
        <f>SnapshotTable[[#This Row],[Last Price]] * (1+ SellingPriceToConsiderBasedOnTargetPercentage)</f>
        <v>17.393999999999998</v>
      </c>
      <c r="GE289" s="41"/>
      <c r="GF289" s="40"/>
      <c r="GG289" s="31">
        <f>SnapshotTable[[#This Row],[Booked Sale Shares]] * SnapshotTable[[#This Row],[Booked Sale Price]]</f>
        <v>0</v>
      </c>
      <c r="GH289" s="31" t="str">
        <f>IF(SnapshotTable[[#This Row],[Equity Basis Total]] &gt; 0, SnapshotTable[[#This Row],[Equity Basis Per Share]] * SnapshotTable[[#This Row],[Booked Sale Shares]], "")</f>
        <v/>
      </c>
      <c r="GI289" s="31">
        <f>IF(SnapshotTable[[#This Row],[Sale Proceeds]]&gt;0, SnapshotTable[[#This Row],[Sale Proceeds]] - SnapshotTable[[#This Row],[Sale Basis]], 0)</f>
        <v>0</v>
      </c>
      <c r="GJ289" s="158" t="str">
        <f>IF(SnapshotTable[[#This Row],[Sale G/L]]&gt;0, SnapshotTable[[#This Row],[Sale G/L]] / SnapshotTable[[#This Row],[Sale Basis]], IF(ISNUMBER(SnapshotTable[[#This Row],[SC Exercise P&amp;L (TAX)]]), SnapshotTable[[#This Row],[SC Exercise P&amp;L (TAX)]] / SnapshotTable[[#This Row],[SC Basis]], ""))</f>
        <v/>
      </c>
      <c r="GK289" s="158" t="s">
        <v>759</v>
      </c>
      <c r="GL289" s="159" t="str">
        <f>IF(AND(SnapshotTable[[#This Row],[LP Exp Date]]&gt;0,SnapshotTable[[#This Row],[LP Strike Price]]&gt;0), [1]!ToOptionSymbol(SnapshotTable[[#This Row],[Symbol]], SnapshotTable[[#This Row],[LP Strike Price]],SnapshotTable[[#This Row],[LP Exp Date]],1), "")</f>
        <v/>
      </c>
      <c r="GM289" s="30" t="str">
        <f>IF(LEN(SnapshotTable[[#This Row],[LP Symbol]])&gt;0, 1, "")</f>
        <v/>
      </c>
      <c r="GN289" s="43" t="str">
        <f>IF(AND(SnapshotTable[[#This Row],[SP Exp Date]]&gt;0,SnapshotTable[[#This Row],[SP Strike Price]]&gt;0), [1]!ToOptionSymbol(SnapshotTable[[#This Row],[Symbol]], SnapshotTable[[#This Row],[SP Strike Price]],SnapshotTable[[#This Row],[SP Exp Date]],1), "")</f>
        <v/>
      </c>
      <c r="GO289" s="30" t="str">
        <f>IF(LEN(SnapshotTable[[#This Row],[SP Symbol]])&gt;0, 1, "")</f>
        <v/>
      </c>
      <c r="GP289" s="159" t="str">
        <f>IF(AND(SnapshotTable[[#This Row],[LC Exp Date]]&gt;0,SnapshotTable[[#This Row],[LC Strike Price]]&gt;0), [1]!ToOptionSymbol(SnapshotTable[[#This Row],[Symbol]], SnapshotTable[[#This Row],[LC Strike Price]],SnapshotTable[[#This Row],[LC Exp Date]],0), "")</f>
        <v/>
      </c>
      <c r="GQ289" s="160" t="str">
        <f>IF(LEN(SnapshotTable[[#This Row],[LC Symbol]])&gt;0, 1, "")</f>
        <v/>
      </c>
      <c r="GR289" s="159" t="str">
        <f>IF(AND(SnapshotTable[[#This Row],[SC Exp Date]]&gt;0,SnapshotTable[[#This Row],[SC Strike Price]]&gt;0), [1]!ToOptionSymbol(SnapshotTable[[#This Row],[Symbol]], SnapshotTable[[#This Row],[SC Strike Price]],SnapshotTable[[#This Row],[SC Exp Date]],0), "")</f>
        <v/>
      </c>
      <c r="GS289" s="160" t="str">
        <f>IF(LEN(SnapshotTable[[#This Row],[SC Symbol]])&gt;0, 1, "")</f>
        <v/>
      </c>
      <c r="GT289" s="161" t="str">
        <f>IF(COUNT(SnapshotTable[[#This Row],[LP Symbol Count]],SnapshotTable[[#This Row],[SP Symbol Count]],SnapshotTable[[#This Row],[LC Symbol Count]],SnapshotTable[[#This Row],[SC Symbol Count]])&gt;0, "Y", "")</f>
        <v/>
      </c>
      <c r="GU28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89" s="231" t="e">
        <f>MAX(SnapshotTable[[#This Row],[Equity Basis Total]],SnapshotTable[[#This Row],[Equity Value]]) + (SnapshotTable[[#This Row],[SP Potential Spend]]- SnapshotTable[[#This Row],[SP Premium]] + SnapshotTable[[#This Row],[LP Premium]])+ (SnapshotTable[[#This Row],[LC Premium]] - SnapshotTable[[#This Row],[SC Premium]])</f>
        <v>#VALUE!</v>
      </c>
      <c r="GW289" s="139" t="e">
        <f>IF(AND(SnapshotTable[[#This Row],[Exposure]] &lt;&gt; 0),SnapshotTable[[#This Row],[Exposure]] / SnapshotTable[[#Totals],[Exposure]], "")</f>
        <v>#VALUE!</v>
      </c>
      <c r="GY289" s="381"/>
      <c r="HE289" s="381"/>
      <c r="HF289" s="381"/>
      <c r="HG289" s="381"/>
      <c r="HH289" s="381"/>
      <c r="HI289" s="381"/>
      <c r="HJ289" s="381"/>
    </row>
    <row r="290" spans="2:224" ht="12.75" hidden="1" customHeight="1" x14ac:dyDescent="0.25">
      <c r="B290" s="12" t="s">
        <v>609</v>
      </c>
      <c r="C290" s="422">
        <v>369.46</v>
      </c>
      <c r="D290" s="208"/>
      <c r="E290" s="39">
        <f>SnapshotTable[[#This Row],[Last Price]]*(1 -CrashDiscount)</f>
        <v>314.041</v>
      </c>
      <c r="F290" s="26" t="s">
        <v>243</v>
      </c>
      <c r="G290" s="26" t="s">
        <v>9</v>
      </c>
      <c r="H290" s="149"/>
      <c r="I290" s="194">
        <v>44785</v>
      </c>
      <c r="J290" s="195">
        <v>44785</v>
      </c>
      <c r="K290" s="196" t="s">
        <v>3</v>
      </c>
      <c r="L290" s="326"/>
      <c r="M290" s="140"/>
      <c r="N290" s="140"/>
      <c r="O290" s="140"/>
      <c r="P290" s="22"/>
      <c r="Q290" s="25"/>
      <c r="R290" s="4" t="str">
        <f>IF(SnapshotTable[[#This Row],[Equity Basis Total]] &gt; 0, SnapshotTable[[#This Row],[Equity Basis Total]] / SnapshotTable[[#This Row],[Equity Shares]], "")</f>
        <v/>
      </c>
      <c r="S290" s="269">
        <f>SnapshotTable[[#This Row],[Last Price]] * SnapshotTable[[#This Row],[Equity Shares]]</f>
        <v>0</v>
      </c>
      <c r="T290" s="269">
        <f>SnapshotTable[[#This Row],[Equity Value]] - SnapshotTable[[#This Row],[Equity Basis Total]]</f>
        <v>0</v>
      </c>
      <c r="U290" s="270" t="str">
        <f>IF(SnapshotTable[[#This Row],[Equity Basis Total]] &gt; 0, SnapshotTable[[#This Row],[Equity G/L]] / SnapshotTable[[#This Row],[Equity Basis Total]], "")</f>
        <v/>
      </c>
      <c r="V290" s="268"/>
      <c r="W290" s="268"/>
      <c r="X290" s="4" t="str">
        <f>IF(AND(ISNUMBER(SnapshotTable[[#This Row],[Equity Basis Per Share]]),ISNUMBER(SnapshotTable[[#This Row],[Equity Target]])),SnapshotTable[[#This Row],[Equity Target]]-SnapshotTable[[#This Row],[Equity Basis Per Share]],"")</f>
        <v/>
      </c>
      <c r="Y290" s="4" t="str">
        <f>IF(AND(ISNUMBER(SnapshotTable[[#This Row],[Equity Basis Per Share]]),ISNUMBER(SnapshotTable[[#This Row],[Equity Stop Loss]])),SnapshotTable[[#This Row],[Equity Stop Loss]]-SnapshotTable[[#This Row],[Equity Basis Per Share]],"")</f>
        <v/>
      </c>
      <c r="Z290" s="275" t="str">
        <f>IFERROR( TEXT(SnapshotTable[[#This Row],[Equity Max Gain Per Share]] /ABS( SnapshotTable[[#This Row],[Equity Max Loss Per Share]]),"0.0 " ) &amp; " : 1", "")</f>
        <v/>
      </c>
      <c r="AA290" s="31" t="str">
        <f>IF(ISNUMBER(SnapshotTable[[#This Row],[Equity Max Gain Per Share]]),SnapshotTable[[#This Row],[Equity Max Gain Per Share]] * SnapshotTable[[#This Row],[Equity Shares]],"")</f>
        <v/>
      </c>
      <c r="AB290" s="31" t="str">
        <f>IF(ISNUMBER(SnapshotTable[[#This Row],[Equity Max Loss Per Share]]),SnapshotTable[[#This Row],[Equity Max Loss Per Share]] * SnapshotTable[[#This Row],[Equity Shares]],"")</f>
        <v/>
      </c>
      <c r="AC290" s="150"/>
      <c r="AD290" s="151"/>
      <c r="AE290" s="31">
        <f>(SnapshotTable[[#This Row],[Annual Dividend Per Share]] / 4) * SnapshotTable[[#This Row],[Equity Shares]]</f>
        <v>0</v>
      </c>
      <c r="AF290" s="31">
        <f>SnapshotTable[[#This Row],[Quarterly Div $]] * 4</f>
        <v>0</v>
      </c>
      <c r="AG290" s="7">
        <f>IF(SnapshotTable[[#This Row],[Annual Dividend Per Share]]&gt;0, SnapshotTable[[#This Row],[Annual Dividend Per Share]]  / SnapshotTable[[#This Row],[Last Price]], 0)</f>
        <v>0</v>
      </c>
      <c r="AH290" s="151"/>
      <c r="AI290" s="5"/>
      <c r="AJ290" s="138">
        <v>68.75</v>
      </c>
      <c r="AK290" s="152" t="str">
        <f>IF(ISNUMBER( SnapshotTable[[#This Row],[EBF Target]]),(SnapshotTable[[#This Row],[EBF Target]] - SnapshotTable[[#This Row],[Last Price]]) / SnapshotTable[[#This Row],[Last Price]], "")</f>
        <v/>
      </c>
      <c r="AL290" s="152" t="str">
        <f>IF(AND(SnapshotTable[[#This Row],[Equity Basis Total]] &gt; 0,ISNUMBER( SnapshotTable[[#This Row],[Long Term Target]])), SnapshotTable[[#This Row],[From Basis $]] / SnapshotTable[[#This Row],[Equity Basis Total]], "")</f>
        <v/>
      </c>
      <c r="AM290" s="9">
        <f>IF( AND(SnapshotTable[[#This Row],[Equity Shares]] &gt;0,ISNUMBER( SnapshotTable[[#This Row],[Long Term Target]])),(SnapshotTable[[#This Row],[Equity Shares]] * SnapshotTable[[#This Row],[Long Term Target]]) - SnapshotTable[[#This Row],[Equity Basis Total]],0)</f>
        <v>0</v>
      </c>
      <c r="AN290" s="9">
        <f>IF( AND(SnapshotTable[[#This Row],[Equity Shares]] &gt;0,ISNUMBER( SnapshotTable[[#This Row],[Long Term Target]])),(SnapshotTable[[#This Row],[Equity Shares]]*SnapshotTable[[#This Row],[Long Term Target]]) - SnapshotTable[[#This Row],[Equity Value]],0)</f>
        <v>0</v>
      </c>
      <c r="AO290" s="152">
        <f>IF(AND(ISNUMBER( SnapshotTable[[#This Row],[Long Term Target]]), ISNUMBER(SnapshotTable[[#This Row],[Last Price]])),(SnapshotTable[[#This Row],[Long Term Target]] - SnapshotTable[[#This Row],[Last Price]]) / SnapshotTable[[#This Row],[Last Price]], "")</f>
        <v>-0.81391760948411196</v>
      </c>
      <c r="AP290" s="5"/>
      <c r="AQ290" s="38"/>
      <c r="AR290" s="5"/>
      <c r="AS290" s="38"/>
      <c r="AT290" s="146"/>
      <c r="AU290" s="187" t="str">
        <f>IF(OR(SnapshotTable[[#This Row],[LP No Fill]]="Y",SnapshotTable[[#This Row],[SP Is Filled]],SnapshotTable[[#This Row],[LC Not Filled]]="Y",SnapshotTable[[#This Row],[SC Is Filled]]),"Y","")</f>
        <v/>
      </c>
      <c r="AV290" s="219"/>
      <c r="AW290" s="225"/>
      <c r="AX290" s="220"/>
      <c r="AY290" s="219" t="str">
        <f>IF(SnapshotTable[[#This Row],[Implied Move]]&gt;0, SnapshotTable[[#This Row],[Last Price]]-SnapshotTable[[#This Row],[Implied Move]],"")</f>
        <v/>
      </c>
      <c r="AZ290" s="219" t="str">
        <f>IF(SnapshotTable[[#This Row],[Implied Move]]&gt;0, SnapshotTable[[#This Row],[Last Price]] + SnapshotTable[[#This Row],[Implied Move]],"")</f>
        <v/>
      </c>
      <c r="BA290" s="331">
        <v>63.1</v>
      </c>
      <c r="BB290" s="347"/>
      <c r="BC29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0" s="351"/>
      <c r="BE290" s="138"/>
      <c r="BF290" s="166"/>
      <c r="BG290" s="167"/>
      <c r="BH290" s="167"/>
      <c r="BI290" s="221"/>
      <c r="BJ290" s="153">
        <f>IF(SnapshotTable[[#This Row],[LP Qty]] &gt; 0, SnapshotTable[[#This Row],[LP Qty]] * SnapshotTable[[#This Row],[LP Book Price]] * 100,0)</f>
        <v>0</v>
      </c>
      <c r="BK290" s="136">
        <f>IF(SnapshotTable[[#This Row],[LP Premium]] &gt; 0, SnapshotTable[[#This Row],[LP Qty]] * SnapshotTable[[#This Row],[LP Strike Price]] * 100,0)</f>
        <v>0</v>
      </c>
      <c r="BL290" s="154"/>
      <c r="BM290" s="385" t="str">
        <f>IF(SnapshotTable[[#This Row],[LP Premium]] &gt; 0,SnapshotTable[[#This Row],[LP Exp Date]]-MAX(SnapshotTable[[#This Row],[LP Book Date]], SnapshotTable[[#This Row],[LP Fill Date]]),"")</f>
        <v/>
      </c>
      <c r="BN290" s="385" t="str">
        <f>IF(ISNUMBER( SnapshotTable[[#This Row],[LP Term]]), SnapshotTable[[#This Row],[LP Exp Date]] - MockToday,"")</f>
        <v/>
      </c>
      <c r="BO290" s="163" t="str">
        <f>IF(AND(SnapshotTable[[#This Row],[LP Exp Date]]&gt;0, SnapshotTable[[#This Row],[LP Strike Price]]&gt;0,SnapshotTable[[#This Row],[LP Qty]]&gt;0,SnapshotTable[[#This Row],[LP Book Date]]&gt;0,SnapshotTable[[#This Row],[LP Book Price]]&gt;0,SnapshotTable[[#This Row],[LP Fill Date]]=0),"Y","")</f>
        <v/>
      </c>
      <c r="BP290" s="31" t="str">
        <f>IF(AND(SnapshotTable[[#This Row],[LP No Fill]]&lt;&gt;"Y",SnapshotTable[[#This Row],[LP Contract Value]]&gt;0, SnapshotTable[[#This Row],[LP Qty]]&gt;0), SnapshotTable[[#This Row],[LP Contract Value]]*SnapshotTable[[#This Row],[LP Qty]]*100,"")</f>
        <v/>
      </c>
      <c r="BQ290" s="13"/>
      <c r="BR290" s="5" t="str">
        <f>IF(SnapshotTable[[#This Row],[SP Exp Date]]&lt;&gt;"",TRUNC(SnapshotTable[[#This Row],[Last Price]]),"")</f>
        <v/>
      </c>
      <c r="BS290" s="36"/>
      <c r="BT290" s="147"/>
      <c r="BU290" s="13"/>
      <c r="BV290" s="5"/>
      <c r="BW290" s="419" t="b">
        <f>AND(ISNUMBER(SnapshotTable[[#This Row],[SP Exp Date]]), ISNUMBER(SnapshotTable[[#This Row],[SP Strike Price]]), ISNUMBER(SnapshotTable[[#This Row],[SP Qty]]), ISNUMBER(SnapshotTable[[#This Row],[SP Book Date]]), ISNUMBER(SnapshotTable[[#This Row],[SP Book Price]]))</f>
        <v>0</v>
      </c>
      <c r="BX290" s="419" t="b">
        <f>AND(SnapshotTable[[#This Row],[SP Is Booked]], NOT(ISBLANK(SnapshotTable[[#This Row],[SP Fill Date]])))</f>
        <v>0</v>
      </c>
      <c r="BY290" s="33">
        <f>IF(SnapshotTable[[#This Row],[SP Is Booked]], SnapshotTable[[#This Row],[SP Qty]] * SnapshotTable[[#This Row],[SP Book Price]] * 100, 0)</f>
        <v>0</v>
      </c>
      <c r="BZ290" s="369"/>
      <c r="CA290" s="368">
        <f>SnapshotTable[[#This Row],[LP Qty]]</f>
        <v>0</v>
      </c>
      <c r="CB290" s="4" t="str">
        <f>IF(SnapshotTable[[#This Row],[SP Is Booked]], SnapshotTable[[#This Row],[SP Strike Price]] - SnapshotTable[[#This Row],[SP Book Price]], "")</f>
        <v/>
      </c>
      <c r="CC290" s="19" t="str">
        <f>IF(SnapshotTable[[#This Row],[SP Is Booked]],SnapshotTable[[#This Row],[SP Exp Date]]-MAX(SnapshotTable[[#This Row],[SP Book Date]], SnapshotTable[[#This Row],[SP Fill Date]]),"")</f>
        <v/>
      </c>
      <c r="CD290" s="7" t="str">
        <f>IF(SnapshotTable[[#This Row],[SP Is Booked]], SnapshotTable[[#This Row],[SP Book Price]]/SnapshotTable[[#This Row],[SP Strike Price]], "")</f>
        <v/>
      </c>
      <c r="CE290" s="7" t="str">
        <f>IF(ISNUMBER(SnapshotTable[[#This Row],[SP ROO Term]]),SnapshotTable[[#This Row],[SP ROO Term]]*(365/SnapshotTable[[#This Row],[SP Term]]),"")</f>
        <v/>
      </c>
      <c r="CF290" s="236">
        <f>SnapshotTable[[#This Row],[LP Strike Price]] * SnapshotTable[[#This Row],[LP Qty]] * 100</f>
        <v>0</v>
      </c>
      <c r="CG290" s="31" t="e">
        <f>IF(ISNUMBER(SnapshotTable[[#This Row],[SP Premium]]), (SnapshotTable[[#This Row],[SP Qty]] * SnapshotTable[[#This Row],[SP Strike Price]]* 100) - SnapshotTable[[#This Row],[LP Protection]], 0)</f>
        <v>#VALUE!</v>
      </c>
      <c r="CH290" s="7" t="str">
        <f>IF(ISNUMBER(SnapshotTable[[#This Row],[SP Break Even]]),-1 * (SnapshotTable[[#This Row],[SP Break Even]] - SnapshotTable[[#This Row],[Last Price]]) / SnapshotTable[[#This Row],[Last Price]], "")</f>
        <v/>
      </c>
      <c r="CI290" s="31">
        <f>IF(AND(ISNUMBER((SnapshotTable[[#This Row],[SP Potential Spend]])), SnapshotTable[[#This Row],[SP Strike Price]] &gt; SnapshotTable[[#This Row],[Last Price]], SnapshotTable[[#This Row],[SP Is Filled]]), SnapshotTable[[#This Row],[SP Potential Spend]] -  SnapshotTable[[#This Row],[LP Max Value]], 0)</f>
        <v>0</v>
      </c>
      <c r="CJ290" s="244"/>
      <c r="CK290" s="31" t="str">
        <f>IF(ISNUMBER(SnapshotTable[[#This Row],[SP Potential Spend]]),IF(ISNUMBER(SnapshotTable[[#This Row],[SP POW]]), SnapshotTable[[#This Row],[SP POW]] * SnapshotTable[[#This Row],[SP Potential Spend]], SnapshotTable[[#This Row],[SP Potential Spend]]), "")</f>
        <v/>
      </c>
      <c r="CL290" s="164" t="e">
        <f>IF(NOT(SnapshotTable[[#This Row],[SP Is Filled]]),(SnapshotTable[[#This Row],[SP Qty]] * SnapshotTable[[#This Row],[SP Strike Price]] * 100) - SnapshotTable[[#This Row],[LP Max Value]],"")</f>
        <v>#VALUE!</v>
      </c>
      <c r="CM290" s="31" t="str">
        <f>IF(SnapshotTable[[#This Row],[SP Actual Spend]]&lt;&gt;0, ((SnapshotTable[[#This Row],[SP Strike Price]]-SnapshotTable[[#This Row],[Last Price]]) *(SnapshotTable[[#This Row],[SP Qty]]*100) - SnapshotTable[[#This Row],[SP Premium]]) * - 1, "")</f>
        <v/>
      </c>
      <c r="CN290" s="154"/>
      <c r="CO290" s="369"/>
      <c r="CP290" s="4" t="str">
        <f>IF(SnapshotTable[[#This Row],[SP Is Filled]], btc_max_buyback_amount(SnapshotTable[[#This Row],[SP Fill Date]],SnapshotTable[[#This Row],[SP Exp Date]], SnapshotTable[[#This Row],[SP Book Price]]),"")</f>
        <v/>
      </c>
      <c r="CQ290" s="78"/>
      <c r="CR29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0" s="155" t="str">
        <f>IF(SnapshotTable[[#This Row],[SP Is Filled]], btc_next_cutoff_date(SnapshotTable[[#This Row],[SP Fill Date]],SnapshotTable[[#This Row],[SP Exp Date]]),"")</f>
        <v/>
      </c>
      <c r="CT290" s="235" t="str" cm="1">
        <f t="array" ref="CT290">IF(SnapshotTable[[#This Row],[SP Is Filled]], btc_should_buy_back(SnapshotTable[[#This Row],[SP Fill Date]], SnapshotTable[[#This Row],[SP Exp Date]], SnapshotTable[[#This Row],[SP Book Price]], SnapshotTable[[#This Row],[SP Current Ask]], MockToday, SnapshotTable[[#This Row],[SP Buyback Override]]),"")</f>
        <v/>
      </c>
      <c r="CU290" s="156"/>
      <c r="CV290" s="235"/>
      <c r="CW290" s="378" t="str">
        <f>IF(ISNUMBER( SnapshotTable[[#This Row],[SP Term]]), SnapshotTable[[#This Row],[SP Exp Date]] - MockToday,"")</f>
        <v/>
      </c>
      <c r="CX290" s="31" t="str">
        <f>IF(SnapshotTable[[#This Row],[SP Is Filled]],SnapshotTable[[#This Row],[SP Buyback Price to Use]] * 100 * SnapshotTable[[#This Row],[SP Qty]], "")</f>
        <v/>
      </c>
      <c r="CY290" s="4" t="str">
        <f>IF(ISNUMBER(SnapshotTable[[#This Row],[SP Strike Price]]), SnapshotTable[[#This Row],[SP Strike Price]] * (1 - SP_MaxLoss_StrikePct), "")</f>
        <v/>
      </c>
      <c r="CZ290" s="31" t="str">
        <f>IF(ISNUMBER(SnapshotTable[[#This Row],[SP Strike  Stop Per Share]]),SnapshotTable[[#This Row],[SP Premium]] - ((SnapshotTable[[#This Row],[SP Strike Price]]-SnapshotTable[[#This Row],[SP Strike  Stop Per Share]]) *(SnapshotTable[[#This Row],[SP Qty]] * 100)),"")</f>
        <v/>
      </c>
      <c r="DA290" s="4" t="str">
        <f>IF(AND(ISNUMBER(SnapshotTable[[#This Row],[SP Premium]]),SnapshotTable[[#This Row],[SP Premium]]&gt;0), SnapshotTable[[#This Row],[SP Book Price]] * (1 + SP_MaxLoss_OptionPct), "")</f>
        <v/>
      </c>
      <c r="DB290" s="31" t="str">
        <f>IF(ISNUMBER(SnapshotTable[[#This Row],[SP Option  Stop Contract]]),(SnapshotTable[[#This Row],[SP Option  Stop Contract]] *(SnapshotTable[[#This Row],[SP Qty]] * 100) - SnapshotTable[[#This Row],[SP Premium]]),"")</f>
        <v/>
      </c>
      <c r="DC290" s="4"/>
      <c r="DD290" s="4"/>
      <c r="DE290" s="4" t="str">
        <f>IF(AND(SnapshotTable[[#This Row],[SP Qty]]&gt;0, SnapshotTable[[#This Row],[SP Stop To Use]]&gt;0),SnapshotTable[[#This Row],[SP Premium]] - ( SnapshotTable[[#This Row],[SP Qty]] * SnapshotTable[[#This Row],[SP Stop To Use]] * 100), "")</f>
        <v/>
      </c>
      <c r="DF290" s="31" t="str">
        <f>IF(AND(SnapshotTable[[#This Row],[SP Qty]]&gt;0,SnapshotTable[[#This Row],[SP Current Ask]]&gt;0), SnapshotTable[[#This Row],[SP Qty]] * SnapshotTable[[#This Row],[SP Current Ask]] * -100, "")</f>
        <v/>
      </c>
      <c r="DG290" s="31" t="str">
        <f>IF(ISNUMBER((SnapshotTable[[#This Row],[SP Total Value]])), SnapshotTable[[#This Row],[SP Premium]] + SnapshotTable[[#This Row],[SP Total Value]], "")</f>
        <v/>
      </c>
      <c r="DH290" s="294" t="str">
        <f>IF(ISNUMBER((SnapshotTable[[#This Row],[SP Total Value]])), SnapshotTable[[#This Row],[SP Gain Loss]] / SnapshotTable[[#This Row],[SP Premium]], "")</f>
        <v/>
      </c>
      <c r="DI290" s="406"/>
      <c r="DJ290" s="138"/>
      <c r="DK290" s="148"/>
      <c r="DL290" s="147"/>
      <c r="DM290" s="147"/>
      <c r="DO290" s="31">
        <f>IF(SnapshotTable[[#This Row],[LC Symbol Count]]=1, SnapshotTable[[#This Row],[LC Qty]] * SnapshotTable[[#This Row],[LC Book Price]] * 100, 0)</f>
        <v>0</v>
      </c>
      <c r="DP290" s="163" t="str">
        <f>IF(AND(SnapshotTable[[#This Row],[LC Exp Date]]&gt;0, SnapshotTable[[#This Row],[LC Strike Price]]&gt;0,SnapshotTable[[#This Row],[LC Qty]]&gt;0,SnapshotTable[[#This Row],[LC Book Date]]&gt;0,SnapshotTable[[#This Row],[LC Book Price]]&gt;0,SnapshotTable[[#This Row],[LC Fill Date]]=0),"Y","")</f>
        <v/>
      </c>
      <c r="DQ290" s="386" t="str">
        <f>IF(SnapshotTable[[#This Row],[LC Premium]] &gt; 0,SnapshotTable[[#This Row],[LC Exp Date]]-MAX(SnapshotTable[[#This Row],[LC Book Date]], SnapshotTable[[#This Row],[LC Fill Date]]),"")</f>
        <v/>
      </c>
      <c r="DR290" s="386" t="str">
        <f>IF(ISNUMBER(SnapshotTable[[#This Row],[LC Term]]), SnapshotTable[[#This Row],[LC Exp Date]] - MockToday, "")</f>
        <v/>
      </c>
      <c r="DS290" s="234" t="str">
        <f>IF(SnapshotTable[[#This Row],[LC Premium]]&gt;0,SnapshotTable[[#This Row],[LC Strike Price]] + SnapshotTable[[#This Row],[LC Book Price]],"")</f>
        <v/>
      </c>
      <c r="DU290" s="9" t="str">
        <f>IF(AND(SnapshotTable[[#This Row],[LC Symbol Count]]&gt;0, SnapshotTable[[#This Row],[LC Contract Value]]&gt;0), SnapshotTable[[#This Row],[LC Contract Value]] * SnapshotTable[[#This Row],[LC Qty]] * 100, "")</f>
        <v/>
      </c>
      <c r="DV290" s="9" t="str">
        <f>IF(AND(ISNUMBER(SnapshotTable[[#This Row],[LC Total Value]]), SnapshotTable[[#This Row],[LC Not Filled]]&lt;&gt;"Y"), SnapshotTable[[#This Row],[LC Total Value]]-SnapshotTable[[#This Row],[LC Premium]],"")</f>
        <v/>
      </c>
      <c r="DW290" s="240" t="str">
        <f>IF(ISNUMBER(SnapshotTable[[#This Row],[LC Actual Gain Loss]]), SnapshotTable[[#This Row],[LC Actual Gain Loss]] / SnapshotTable[[#This Row],[LC Premium]],"")</f>
        <v/>
      </c>
      <c r="DX290" s="284" t="str">
        <f>IF(ISNUMBER(SnapshotTable[[#This Row],[LC Book Price]]),SnapshotTable[[#This Row],[LC Book Price]] * 1.5,"")</f>
        <v/>
      </c>
      <c r="DY290" s="265" t="str">
        <f>IF(SnapshotTable[[#This Row],[LC Premium]]&gt;0, SnapshotTable[[#This Row],[LC Next Target]] * SnapshotTable[[#This Row],[LC Qty]] * 100,"")</f>
        <v/>
      </c>
      <c r="DZ290" s="265" t="str">
        <f>IF(ISNUMBER(SnapshotTable[[#This Row],[LC Target Gross]]), SnapshotTable[[#This Row],[LC Target Gross]] - SnapshotTable[[#This Row],[LC Premium]], "")</f>
        <v/>
      </c>
      <c r="EA290" s="305" t="str">
        <f>IF(ISNUMBER(SnapshotTable[[#This Row],[LC Target Gain Loss]]), SnapshotTable[[#This Row],[LC Target Gain Loss]]/SnapshotTable[[#This Row],[LC Premium]], "")</f>
        <v/>
      </c>
      <c r="EB290" s="262"/>
      <c r="EC290" s="283" t="str">
        <f>IF(SnapshotTable[[#This Row],[LC Premium]]&gt;0, SnapshotTable[[#This Row],[LC Book Price]] * (1 - LC_StopLoss_Pct),"")</f>
        <v/>
      </c>
      <c r="ED290" s="284"/>
      <c r="EE290" s="283" t="str">
        <f>IF(ISNUMBER(SnapshotTable[[#This Row],[LC Contract Value]]),IF(ISNUMBER(SnapshotTable[[#This Row],[LC Stop Loss Override]]), SnapshotTable[[#This Row],[LC Stop Loss Override]],SnapshotTable[[#This Row],[LC Stop Loss Calc Target]]),"")</f>
        <v/>
      </c>
      <c r="EF290" s="31" t="str">
        <f>IF(ISNUMBER(SnapshotTable[[#This Row],[LC Stop  To Use]]), (SnapshotTable[[#This Row],[LC Stop  To Use]] * SnapshotTable[[#This Row],[LC Qty]] * 100),"")</f>
        <v/>
      </c>
      <c r="EG290" s="9" t="str">
        <f>IF(ISNUMBER(SnapshotTable[[#This Row],[LC Total Value]]),SnapshotTable[[#This Row],[LC Stop Loss Amount]] - SnapshotTable[[#This Row],[LC Premium]],"")</f>
        <v/>
      </c>
      <c r="EH290" s="9">
        <f>IF(ISNUMBER(SnapshotTable[[#This Row],[LC Premium]]), SnapshotTable[[#This Row],[LC Qty]] * 100 * SnapshotTable[[#This Row],[LC Strike Price]], "")</f>
        <v>0</v>
      </c>
      <c r="EI290" s="240" t="str">
        <f>IF(AND(ISNUMBER(SnapshotTable[[#This Row],[LC Total Value]]),SnapshotTable[[#This Row],[LC Total Value]]&gt;0),SnapshotTable[[#This Row],[LC Stop Gain Loss]]  / SnapshotTable[[#This Row],[LC Premium]],"")</f>
        <v/>
      </c>
      <c r="EJ290" s="35">
        <f>IF(ISNUMBER(SnapshotTable[[#This Row],[Equity Shares]]),TRUNC(SnapshotTable[[#This Row],[Equity Shares]] / 100),0) + SnapshotTable[[#This Row],[LC Qty]]</f>
        <v>0</v>
      </c>
      <c r="EK290" s="147"/>
      <c r="EL290" s="138" t="str">
        <f>IF(SnapshotTable[[#This Row],[SC Exp Date]]&lt;&gt;"",TRUNC(SnapshotTable[[#This Row],[Last Price]]),"")</f>
        <v/>
      </c>
      <c r="EM290" s="148"/>
      <c r="EN290" s="147"/>
      <c r="EO290" s="147"/>
      <c r="EP290" s="138"/>
      <c r="EQ290" s="419" t="b">
        <f>AND(ISNUMBER(SnapshotTable[[#This Row],[SC Exp Date]]), ISNUMBER(SnapshotTable[[#This Row],[SC Strike Price]]), ISNUMBER(SnapshotTable[[#This Row],[SC Qty]]), ISNUMBER(SnapshotTable[[#This Row],[SC Book Date]]), ISNUMBER(SnapshotTable[[#This Row],[SC Book Price]]))</f>
        <v>0</v>
      </c>
      <c r="ER290" s="419" t="b">
        <f>AND(SnapshotTable[[#This Row],[SC Is Booked]], NOT(ISBLANK(SnapshotTable[[#This Row],[SC Fill Date]])))</f>
        <v>0</v>
      </c>
      <c r="ES290" s="370"/>
      <c r="ET290" s="34" t="str">
        <f>IF(AND(ISNUMBER(SnapshotTable[[#This Row],[SC Exp Date]]), ISNUMBER(SnapshotTable[[#This Row],[SC Book Date]])), SnapshotTable[[#This Row],[SC Exp Date]] - MAX(SnapshotTable[[#This Row],[SC Book Date]], SnapshotTable[[#This Row],[SC Fill Date]]) + 1, "")</f>
        <v/>
      </c>
      <c r="EU290" s="34" t="str">
        <f>IF(ISNUMBER(SnapshotTable[[#This Row],[SC Term]]), SnapshotTable[[#This Row],[SC Exp Date]]- MockToday, "")</f>
        <v/>
      </c>
      <c r="EV290" s="31">
        <f>IF(SnapshotTable[[#This Row],[SC Is Booked]], SnapshotTable[[#This Row],[SC Qty]] * SnapshotTable[[#This Row],[SC Book Price]] * 100, 0)</f>
        <v>0</v>
      </c>
      <c r="EW290" s="4" t="str">
        <f>IF(AND(ISNUMBER(SnapshotTable[[#This Row],[Last Price]]), ISNUMBER( SnapshotTable[[#This Row],[SC Book Price]])), SnapshotTable[[#This Row],[Last Price]] - SnapshotTable[[#This Row],[SC Book Price]],"")</f>
        <v/>
      </c>
      <c r="EX290" s="234" t="str">
        <f>IF(SnapshotTable[[#This Row],[SC Is Booked]],IF(SnapshotTable[[#This Row],[SC Intrinsic Value]] &gt; 0, SnapshotTable[[#This Row],[SC Strike Price]], SnapshotTable[[#This Row],[Last Price]]), "")</f>
        <v/>
      </c>
      <c r="EY290" s="4">
        <f>IF(SnapshotTable[[#This Row],[SC Is Booked]], (MinimumPremiumRequired * SnapshotTable[[#This Row],[SC Basis]] * SnapshotTable[[#This Row],[SC Term]]), 0)</f>
        <v>0</v>
      </c>
      <c r="EZ290" s="283"/>
      <c r="FA290" s="423"/>
      <c r="FB290" s="370"/>
      <c r="FC290" s="4">
        <f>IF(SnapshotTable[[#This Row],[SC Is Filled]], btc_max_buyback_amount(SnapshotTable[[#This Row],[SC Fill Date]],SnapshotTable[[#This Row],[SC Exp Date]], SnapshotTable[[#This Row],[SC Book Price]]),0)</f>
        <v>0</v>
      </c>
      <c r="FD290" s="5"/>
      <c r="FE290" s="144" t="str">
        <f>IF(SnapshotTable[[#This Row],[SC Is Filled]], btc_next_cutoff_date(SnapshotTable[[#This Row],[SC Fill Date]],SnapshotTable[[#This Row],[SC Exp Date]]),"")</f>
        <v/>
      </c>
      <c r="FF290" s="4" t="str" cm="1">
        <f t="array" ref="FF290">IF(SnapshotTable[[#This Row],[SC Is Filled]], btc_should_buy_back(SnapshotTable[[#This Row],[SC Fill Date]], SnapshotTable[[#This Row],[SC Exp Date]], SnapshotTable[[#This Row],[SC Book Price]], SnapshotTable[[#This Row],[SC Current Ask]], MockToday, SnapshotTable[[#This Row],[SC Buyback Override]]),"")</f>
        <v/>
      </c>
      <c r="FG290" s="4">
        <f>IF(SnapshotTable[[#This Row],[SC Is Filled]], MAX(0,SnapshotTable[[#This Row],[Last Price]]  - SnapshotTable[[#This Row],[SC Strike Price]]), 0)</f>
        <v>0</v>
      </c>
      <c r="FH290" s="382">
        <f>IF(SnapshotTable[[#This Row],[SC Is Filled]], IF(ISNUMBER(SnapshotTable[[#This Row],[SC Current Ask]]), SnapshotTable[[#This Row],[SC Current Ask]], SnapshotTable[[#This Row],[SC Book Price]]) - SnapshotTable[[#This Row],[SC Intrinsic Value]], 0)</f>
        <v>0</v>
      </c>
      <c r="FI290" s="143"/>
      <c r="FJ290" s="32" t="str">
        <f>IF(SnapshotTable[[#This Row],[SC Is Filled]],100 * SnapshotTable[[#This Row],[SC Qty]] * IF(ISNUMBER(SnapshotTable[[#This Row],[SC Buyback Override]]), SnapshotTable[[#This Row],[SC Buyback Override]], SnapshotTable[[#This Row],[SC Current Ask]]), "")</f>
        <v/>
      </c>
      <c r="FK290" s="250" t="str">
        <f>IF(SnapshotTable[[#This Row],[SC Time Val]]&gt;0, SnapshotTable[[#This Row],[SC Time Val]] / SnapshotTable[[#This Row],[Last Price]],"")</f>
        <v/>
      </c>
      <c r="FL290" s="302" t="str">
        <f>IF(SnapshotTable[[#This Row],[SC Is Booked]], ((SnapshotTable[[#This Row],[Last Price]] -SnapshotTable[[#This Row],[SC Strike Price]]) / SnapshotTable[[#This Row],[Last Price]]) * -1, "")</f>
        <v/>
      </c>
      <c r="FM290" s="157" t="str">
        <f>IF(SnapshotTable[[#This Row],[SC Is Booked]],  (SnapshotTable[[#This Row],[SC Qty]] * 100 * SnapshotTable[[#This Row],[SC Strike Price]]) - SnapshotTable[[#This Row],[SC Current Ask]], "")</f>
        <v/>
      </c>
      <c r="FN290"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0" s="157" t="str">
        <f>IF(AND(ISNUMBER(SnapshotTable[[#This Row],[SC Exercise Gross]]), ISNUMBER(SnapshotTable[[#This Row],[Equity Basis Per Share]] )), SnapshotTable[[#This Row],[SC Exercise Gross]] - SnapshotTable[[#This Row],[Equity Basis Total]] +  SnapshotTable[[#This Row],[SC Premium]], "")</f>
        <v/>
      </c>
      <c r="FP290" s="5" t="str">
        <f>IF(ISNUMBER(SnapshotTable[[#This Row],[SC Exercise Gross]]), (SnapshotTable[[#This Row],[SC Exercise Gross]]) / (SnapshotTable[[#This Row],[SC Qty]] * 100), "")</f>
        <v/>
      </c>
      <c r="FQ290" s="27" t="str">
        <f>IF(SnapshotTable[[#This Row],[SC Is Booked]],SnapshotTable[[#This Row],[SC Time Val]] /SnapshotTable[[#This Row],[SC Basis]], "")</f>
        <v/>
      </c>
      <c r="FR290" s="27" t="str" cm="1">
        <f t="array" ref="FR290">IF(AND(ISNUMBER(SnapshotTable[[#This Row],[SC Term]]),ISNUMBER(SnapshotTable[[#This Row],[SC Simple ROO]])), EllmanAnnualize(SnapshotTable[[#This Row],[SC DTE]], SnapshotTable[[#This Row],[SC Simple ROO]] ),"")</f>
        <v/>
      </c>
      <c r="FS290" s="4" t="e">
        <f>IF(SnapshotTable[[#This Row],[SC Strike Price]] &gt; SnapshotTable[[#This Row],[Last Price]], SnapshotTable[[#This Row],[SC Strike Price]] - SnapshotTable[[#This Row],[Last Price]],0)</f>
        <v>#VALUE!</v>
      </c>
      <c r="FT290" s="27" t="e">
        <f>IF(AND(ISNUMBER(SnapshotTable[[#This Row],[SC Upside Potential]]), SnapshotTable[[#This Row],[SC Upside Potential]] &gt; 0),(SnapshotTable[[#This Row],[SC Upside Potential]]/ SnapshotTable[[#This Row],[ACB]]),"")</f>
        <v>#VALUE!</v>
      </c>
      <c r="FU290" s="333" t="str">
        <f>IF(SnapshotTable[[#This Row],[SC Intrinsic Value]] &gt; 0,SnapshotTable[[#This Row],[SC Intrinsic Value]],"")</f>
        <v/>
      </c>
      <c r="FV290" s="27" t="str">
        <f>IF(AND( ISNUMBER( SnapshotTable[[#This Row],[ACB]]),ISNUMBER(SnapshotTable[[#This Row],[SC Downside Protect]])),SnapshotTable[[#This Row],[SC Downside Protect]] / SnapshotTable[[#This Row],[ACB]],"")</f>
        <v/>
      </c>
      <c r="FW290" s="236" t="str">
        <f>IF(AND(ISNUMBER(SnapshotTable[[#This Row],[SC Simple ROO]]),SnapshotTable[[#This Row],[SC Simple ROO]] &gt; 0), SnapshotTable[[#This Row],[SC Premium]] + (SnapshotTable[[#This Row],[SC Qty]] * SnapshotTable[[#This Row],[SC Upside Potential]]), "")</f>
        <v/>
      </c>
      <c r="FX290" s="302" t="str" cm="1">
        <f t="array" ref="FX290">IF(ISNUMBER(SnapshotTable[[#This Row],[SC Max Dollars]]), annualize(SnapshotTable[[#This Row],[SC Term]],(SnapshotTable[[#This Row],[SC Max Dollars]]/SnapshotTable[[#This Row],[SC Basis]])),"")</f>
        <v/>
      </c>
      <c r="FY290" s="236" t="str">
        <f>IF(AND(SnapshotTable[[#This Row],[SC Qty]]&gt;0,SnapshotTable[[#This Row],[SC Current Ask]]&gt;0), SnapshotTable[[#This Row],[SC Qty]] * SnapshotTable[[#This Row],[SC Current Ask]] * -100, "")</f>
        <v/>
      </c>
      <c r="FZ290" s="31" t="str">
        <f>IF(ISNUMBER((SnapshotTable[[#This Row],[SC Current Value]])), SnapshotTable[[#This Row],[SC Premium]] + SnapshotTable[[#This Row],[SC Current Value]], "")</f>
        <v/>
      </c>
      <c r="GA290" s="294" t="str">
        <f>IFERROR( IF(ISNUMBER((SnapshotTable[[#This Row],[SC Current Value]])), SnapshotTable[[#This Row],[SC Gain Loss]] / SnapshotTable[[#This Row],[SC Premium]], ""), "")</f>
        <v/>
      </c>
      <c r="GB290" s="42">
        <f>SnapshotTable[[#This Row],[Equity Shares]] * SaleSharesToConsiderPercentage</f>
        <v>0</v>
      </c>
      <c r="GC290" s="40">
        <f>SnapshotTable[[#This Row],[Long Term Target]] * SellingPriceToConsiderBasedOnTargetPercentage</f>
        <v>65.3125</v>
      </c>
      <c r="GD290" s="40">
        <f>SnapshotTable[[#This Row],[Last Price]] * (1+ SellingPriceToConsiderBasedOnTargetPercentage)</f>
        <v>720.44699999999989</v>
      </c>
      <c r="GE290" s="41"/>
      <c r="GF290" s="40"/>
      <c r="GG290" s="31">
        <f>SnapshotTable[[#This Row],[Booked Sale Shares]] * SnapshotTable[[#This Row],[Booked Sale Price]]</f>
        <v>0</v>
      </c>
      <c r="GH290" s="31" t="str">
        <f>IF(SnapshotTable[[#This Row],[Equity Basis Total]] &gt; 0, SnapshotTable[[#This Row],[Equity Basis Per Share]] * SnapshotTable[[#This Row],[Booked Sale Shares]], "")</f>
        <v/>
      </c>
      <c r="GI290" s="31">
        <f>IF(SnapshotTable[[#This Row],[Sale Proceeds]]&gt;0, SnapshotTable[[#This Row],[Sale Proceeds]] - SnapshotTable[[#This Row],[Sale Basis]], 0)</f>
        <v>0</v>
      </c>
      <c r="GJ290" s="158" t="str">
        <f>IF(SnapshotTable[[#This Row],[Sale G/L]]&gt;0, SnapshotTable[[#This Row],[Sale G/L]] / SnapshotTable[[#This Row],[Sale Basis]], IF(ISNUMBER(SnapshotTable[[#This Row],[SC Exercise P&amp;L (TAX)]]), SnapshotTable[[#This Row],[SC Exercise P&amp;L (TAX)]] / SnapshotTable[[#This Row],[SC Basis]], ""))</f>
        <v/>
      </c>
      <c r="GK290" s="158" t="s">
        <v>760</v>
      </c>
      <c r="GL290" s="159" t="str">
        <f>IF(AND(SnapshotTable[[#This Row],[LP Exp Date]]&gt;0,SnapshotTable[[#This Row],[LP Strike Price]]&gt;0), [1]!ToOptionSymbol(SnapshotTable[[#This Row],[Symbol]], SnapshotTable[[#This Row],[LP Strike Price]],SnapshotTable[[#This Row],[LP Exp Date]],1), "")</f>
        <v/>
      </c>
      <c r="GM290" s="30" t="str">
        <f>IF(LEN(SnapshotTable[[#This Row],[LP Symbol]])&gt;0, 1, "")</f>
        <v/>
      </c>
      <c r="GN290" s="43" t="str">
        <f>IF(AND(SnapshotTable[[#This Row],[SP Exp Date]]&gt;0,SnapshotTable[[#This Row],[SP Strike Price]]&gt;0), [1]!ToOptionSymbol(SnapshotTable[[#This Row],[Symbol]], SnapshotTable[[#This Row],[SP Strike Price]],SnapshotTable[[#This Row],[SP Exp Date]],1), "")</f>
        <v/>
      </c>
      <c r="GO290" s="30" t="str">
        <f>IF(LEN(SnapshotTable[[#This Row],[SP Symbol]])&gt;0, 1, "")</f>
        <v/>
      </c>
      <c r="GP290" s="159" t="str">
        <f>IF(AND(SnapshotTable[[#This Row],[LC Exp Date]]&gt;0,SnapshotTable[[#This Row],[LC Strike Price]]&gt;0), [1]!ToOptionSymbol(SnapshotTable[[#This Row],[Symbol]], SnapshotTable[[#This Row],[LC Strike Price]],SnapshotTable[[#This Row],[LC Exp Date]],0), "")</f>
        <v/>
      </c>
      <c r="GQ290" s="160" t="str">
        <f>IF(LEN(SnapshotTable[[#This Row],[LC Symbol]])&gt;0, 1, "")</f>
        <v/>
      </c>
      <c r="GR290" s="159" t="str">
        <f>IF(AND(SnapshotTable[[#This Row],[SC Exp Date]]&gt;0,SnapshotTable[[#This Row],[SC Strike Price]]&gt;0), [1]!ToOptionSymbol(SnapshotTable[[#This Row],[Symbol]], SnapshotTable[[#This Row],[SC Strike Price]],SnapshotTable[[#This Row],[SC Exp Date]],0), "")</f>
        <v/>
      </c>
      <c r="GS290" s="160" t="str">
        <f>IF(LEN(SnapshotTable[[#This Row],[SC Symbol]])&gt;0, 1, "")</f>
        <v/>
      </c>
      <c r="GT290" s="161" t="str">
        <f>IF(COUNT(SnapshotTable[[#This Row],[LP Symbol Count]],SnapshotTable[[#This Row],[SP Symbol Count]],SnapshotTable[[#This Row],[LC Symbol Count]],SnapshotTable[[#This Row],[SC Symbol Count]])&gt;0, "Y", "")</f>
        <v/>
      </c>
      <c r="GU29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0" s="231" t="e">
        <f>MAX(SnapshotTable[[#This Row],[Equity Basis Total]],SnapshotTable[[#This Row],[Equity Value]]) + (SnapshotTable[[#This Row],[SP Potential Spend]]- SnapshotTable[[#This Row],[SP Premium]] + SnapshotTable[[#This Row],[LP Premium]])+ (SnapshotTable[[#This Row],[LC Premium]] - SnapshotTable[[#This Row],[SC Premium]])</f>
        <v>#VALUE!</v>
      </c>
      <c r="GW290" s="139" t="e">
        <f>IF(AND(SnapshotTable[[#This Row],[Exposure]] &lt;&gt; 0),SnapshotTable[[#This Row],[Exposure]] / SnapshotTable[[#Totals],[Exposure]], "")</f>
        <v>#VALUE!</v>
      </c>
      <c r="HE290" s="268"/>
      <c r="HF290" s="268"/>
      <c r="HK290" s="1"/>
      <c r="HL290" s="1"/>
      <c r="HM290" s="1"/>
      <c r="HN290" s="1"/>
      <c r="HO290" s="1"/>
      <c r="HP290" s="1"/>
    </row>
    <row r="291" spans="2:224" ht="12.75" hidden="1" customHeight="1" x14ac:dyDescent="0.25">
      <c r="B291" s="12" t="s">
        <v>956</v>
      </c>
      <c r="C291" s="422">
        <v>30.15</v>
      </c>
      <c r="D291" s="208" t="s">
        <v>885</v>
      </c>
      <c r="E291" s="39">
        <f>SnapshotTable[[#This Row],[Last Price]]*(1 -CrashDiscount)</f>
        <v>25.627499999999998</v>
      </c>
      <c r="F291" s="26" t="s">
        <v>935</v>
      </c>
      <c r="G291" s="325" t="s">
        <v>49</v>
      </c>
      <c r="H291" s="149"/>
      <c r="I291" s="194">
        <v>44775.291666666664</v>
      </c>
      <c r="J291" s="195">
        <v>44775.291666666664</v>
      </c>
      <c r="K291" s="196"/>
      <c r="L291" s="326"/>
      <c r="M291" s="140"/>
      <c r="N291" s="140"/>
      <c r="O291" s="140"/>
      <c r="P291" s="22"/>
      <c r="Q291" s="25"/>
      <c r="R291" s="4" t="str">
        <f>IF(SnapshotTable[[#This Row],[Equity Basis Total]] &gt; 0, SnapshotTable[[#This Row],[Equity Basis Total]] / SnapshotTable[[#This Row],[Equity Shares]], "")</f>
        <v/>
      </c>
      <c r="S291" s="269">
        <f>SnapshotTable[[#This Row],[Last Price]] * SnapshotTable[[#This Row],[Equity Shares]]</f>
        <v>0</v>
      </c>
      <c r="T291" s="269">
        <f>SnapshotTable[[#This Row],[Equity Value]] - SnapshotTable[[#This Row],[Equity Basis Total]]</f>
        <v>0</v>
      </c>
      <c r="U291" s="270" t="str">
        <f>IF(SnapshotTable[[#This Row],[Equity Basis Total]] &gt; 0, SnapshotTable[[#This Row],[Equity G/L]] / SnapshotTable[[#This Row],[Equity Basis Total]], "")</f>
        <v/>
      </c>
      <c r="V291" s="268"/>
      <c r="W291" s="268"/>
      <c r="X291" s="4" t="str">
        <f>IF(AND(ISNUMBER(SnapshotTable[[#This Row],[Equity Basis Per Share]]),ISNUMBER(SnapshotTable[[#This Row],[Equity Target]])),SnapshotTable[[#This Row],[Equity Target]]-SnapshotTable[[#This Row],[Equity Basis Per Share]],"")</f>
        <v/>
      </c>
      <c r="Y291" s="4" t="str">
        <f>IF(AND(ISNUMBER(SnapshotTable[[#This Row],[Equity Basis Per Share]]),ISNUMBER(SnapshotTable[[#This Row],[Equity Stop Loss]])),SnapshotTable[[#This Row],[Equity Stop Loss]]-SnapshotTable[[#This Row],[Equity Basis Per Share]],"")</f>
        <v/>
      </c>
      <c r="Z291" s="275" t="str">
        <f>IFERROR( TEXT(SnapshotTable[[#This Row],[Equity Max Gain Per Share]] /ABS( SnapshotTable[[#This Row],[Equity Max Loss Per Share]]),"0.0 " ) &amp; " : 1", "")</f>
        <v/>
      </c>
      <c r="AA291" s="31" t="str">
        <f>IF(ISNUMBER(SnapshotTable[[#This Row],[Equity Max Gain Per Share]]),SnapshotTable[[#This Row],[Equity Max Gain Per Share]] * SnapshotTable[[#This Row],[Equity Shares]],"")</f>
        <v/>
      </c>
      <c r="AB291" s="31" t="str">
        <f>IF(ISNUMBER(SnapshotTable[[#This Row],[Equity Max Loss Per Share]]),SnapshotTable[[#This Row],[Equity Max Loss Per Share]] * SnapshotTable[[#This Row],[Equity Shares]],"")</f>
        <v/>
      </c>
      <c r="AC291" s="150"/>
      <c r="AD291" s="151"/>
      <c r="AE291" s="31">
        <f>(SnapshotTable[[#This Row],[Annual Dividend Per Share]] / 4) * SnapshotTable[[#This Row],[Equity Shares]]</f>
        <v>0</v>
      </c>
      <c r="AF291" s="31">
        <f>SnapshotTable[[#This Row],[Quarterly Div $]] * 4</f>
        <v>0</v>
      </c>
      <c r="AG291" s="7">
        <f>IF(SnapshotTable[[#This Row],[Annual Dividend Per Share]]&gt;0, SnapshotTable[[#This Row],[Annual Dividend Per Share]]  / SnapshotTable[[#This Row],[Last Price]], 0)</f>
        <v>0</v>
      </c>
      <c r="AH291" s="151"/>
      <c r="AI291" s="5"/>
      <c r="AJ291" s="138">
        <v>11.92</v>
      </c>
      <c r="AK291" s="152" t="str">
        <f>IF(ISNUMBER( SnapshotTable[[#This Row],[EBF Target]]),(SnapshotTable[[#This Row],[EBF Target]] - SnapshotTable[[#This Row],[Last Price]]) / SnapshotTable[[#This Row],[Last Price]], "")</f>
        <v/>
      </c>
      <c r="AL291" s="152" t="str">
        <f>IF(AND(SnapshotTable[[#This Row],[Equity Basis Total]] &gt; 0,ISNUMBER( SnapshotTable[[#This Row],[Long Term Target]])), SnapshotTable[[#This Row],[From Basis $]] / SnapshotTable[[#This Row],[Equity Basis Total]], "")</f>
        <v/>
      </c>
      <c r="AM291" s="9">
        <f>IF( AND(SnapshotTable[[#This Row],[Equity Shares]] &gt;0,ISNUMBER( SnapshotTable[[#This Row],[Long Term Target]])),(SnapshotTable[[#This Row],[Equity Shares]] * SnapshotTable[[#This Row],[Long Term Target]]) - SnapshotTable[[#This Row],[Equity Basis Total]],0)</f>
        <v>0</v>
      </c>
      <c r="AN291" s="9">
        <f>IF( AND(SnapshotTable[[#This Row],[Equity Shares]] &gt;0,ISNUMBER( SnapshotTable[[#This Row],[Long Term Target]])),(SnapshotTable[[#This Row],[Equity Shares]]*SnapshotTable[[#This Row],[Long Term Target]]) - SnapshotTable[[#This Row],[Equity Value]],0)</f>
        <v>0</v>
      </c>
      <c r="AO291" s="152">
        <f>IF(AND(ISNUMBER( SnapshotTable[[#This Row],[Long Term Target]]), ISNUMBER(SnapshotTable[[#This Row],[Last Price]])),(SnapshotTable[[#This Row],[Long Term Target]] - SnapshotTable[[#This Row],[Last Price]]) / SnapshotTable[[#This Row],[Last Price]], "")</f>
        <v>-0.60464344941956871</v>
      </c>
      <c r="AP291" s="5">
        <v>11</v>
      </c>
      <c r="AQ291" s="38" t="s">
        <v>27</v>
      </c>
      <c r="AR291" s="5">
        <v>11</v>
      </c>
      <c r="AS291" s="38" t="s">
        <v>38</v>
      </c>
      <c r="AT291" s="146" t="s">
        <v>542</v>
      </c>
      <c r="AU291" s="187" t="str">
        <f>IF(OR(SnapshotTable[[#This Row],[LP No Fill]]="Y",SnapshotTable[[#This Row],[SP Is Filled]],SnapshotTable[[#This Row],[LC Not Filled]]="Y",SnapshotTable[[#This Row],[SC Is Filled]]),"Y","")</f>
        <v/>
      </c>
      <c r="AV291" s="219"/>
      <c r="AW291" s="225"/>
      <c r="AX291" s="220"/>
      <c r="AY291" s="219" t="str">
        <f>IF(SnapshotTable[[#This Row],[Implied Move]]&gt;0, SnapshotTable[[#This Row],[Last Price]]-SnapshotTable[[#This Row],[Implied Move]],"")</f>
        <v/>
      </c>
      <c r="AZ291" s="219" t="str">
        <f>IF(SnapshotTable[[#This Row],[Implied Move]]&gt;0, SnapshotTable[[#This Row],[Last Price]] + SnapshotTable[[#This Row],[Implied Move]],"")</f>
        <v/>
      </c>
      <c r="BA291" s="331">
        <v>10.71</v>
      </c>
      <c r="BB291" s="347"/>
      <c r="BC29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1" s="351"/>
      <c r="BE291" s="5"/>
      <c r="BF291" s="14"/>
      <c r="BG291" s="13"/>
      <c r="BH291" s="13"/>
      <c r="BI291" s="5"/>
      <c r="BJ291" s="136">
        <f>IF(SnapshotTable[[#This Row],[LP Qty]] &gt; 0, SnapshotTable[[#This Row],[LP Qty]] * SnapshotTable[[#This Row],[LP Book Price]] * 100,0)</f>
        <v>0</v>
      </c>
      <c r="BK291" s="136">
        <f>IF(SnapshotTable[[#This Row],[LP Premium]] &gt; 0, SnapshotTable[[#This Row],[LP Qty]] * SnapshotTable[[#This Row],[LP Strike Price]] * 100,0)</f>
        <v>0</v>
      </c>
      <c r="BL291" s="154"/>
      <c r="BM291" s="385" t="str">
        <f>IF(SnapshotTable[[#This Row],[LP Premium]] &gt; 0,SnapshotTable[[#This Row],[LP Exp Date]]-MAX(SnapshotTable[[#This Row],[LP Book Date]], SnapshotTable[[#This Row],[LP Fill Date]]),"")</f>
        <v/>
      </c>
      <c r="BN291" s="385" t="str">
        <f>IF(ISNUMBER( SnapshotTable[[#This Row],[LP Term]]), SnapshotTable[[#This Row],[LP Exp Date]] - MockToday,"")</f>
        <v/>
      </c>
      <c r="BO291" s="163" t="str">
        <f>IF(AND(SnapshotTable[[#This Row],[LP Exp Date]]&gt;0, SnapshotTable[[#This Row],[LP Strike Price]]&gt;0,SnapshotTable[[#This Row],[LP Qty]]&gt;0,SnapshotTable[[#This Row],[LP Book Date]]&gt;0,SnapshotTable[[#This Row],[LP Book Price]]&gt;0,SnapshotTable[[#This Row],[LP Fill Date]]=0),"Y","")</f>
        <v/>
      </c>
      <c r="BP291" s="31" t="str">
        <f>IF(AND(SnapshotTable[[#This Row],[LP No Fill]]&lt;&gt;"Y",SnapshotTable[[#This Row],[LP Contract Value]]&gt;0, SnapshotTable[[#This Row],[LP Qty]]&gt;0), SnapshotTable[[#This Row],[LP Contract Value]]*SnapshotTable[[#This Row],[LP Qty]]*100,"")</f>
        <v/>
      </c>
      <c r="BQ291" s="13"/>
      <c r="BR291" s="5" t="str">
        <f>IF(SnapshotTable[[#This Row],[SP Exp Date]]&lt;&gt;"",TRUNC(SnapshotTable[[#This Row],[Last Price]]),"")</f>
        <v/>
      </c>
      <c r="BS291" s="36"/>
      <c r="BT291" s="147"/>
      <c r="BU291" s="13"/>
      <c r="BV291" s="5"/>
      <c r="BW291" s="419" t="b">
        <f>AND(ISNUMBER(SnapshotTable[[#This Row],[SP Exp Date]]), ISNUMBER(SnapshotTable[[#This Row],[SP Strike Price]]), ISNUMBER(SnapshotTable[[#This Row],[SP Qty]]), ISNUMBER(SnapshotTable[[#This Row],[SP Book Date]]), ISNUMBER(SnapshotTable[[#This Row],[SP Book Price]]))</f>
        <v>0</v>
      </c>
      <c r="BX291" s="419" t="b">
        <f>AND(SnapshotTable[[#This Row],[SP Is Booked]], NOT(ISBLANK(SnapshotTable[[#This Row],[SP Fill Date]])))</f>
        <v>0</v>
      </c>
      <c r="BY291" s="33">
        <f>IF(SnapshotTable[[#This Row],[SP Is Booked]], SnapshotTable[[#This Row],[SP Qty]] * SnapshotTable[[#This Row],[SP Book Price]] * 100, 0)</f>
        <v>0</v>
      </c>
      <c r="BZ291" s="369"/>
      <c r="CA291" s="368">
        <f>SnapshotTable[[#This Row],[LP Qty]]</f>
        <v>0</v>
      </c>
      <c r="CB291" s="4" t="str">
        <f>IF(SnapshotTable[[#This Row],[SP Is Booked]], SnapshotTable[[#This Row],[SP Strike Price]] - SnapshotTable[[#This Row],[SP Book Price]], "")</f>
        <v/>
      </c>
      <c r="CC291" s="19" t="str">
        <f>IF(SnapshotTable[[#This Row],[SP Is Booked]],SnapshotTable[[#This Row],[SP Exp Date]]-MAX(SnapshotTable[[#This Row],[SP Book Date]], SnapshotTable[[#This Row],[SP Fill Date]]),"")</f>
        <v/>
      </c>
      <c r="CD291" s="7" t="str">
        <f>IF(SnapshotTable[[#This Row],[SP Is Booked]], SnapshotTable[[#This Row],[SP Book Price]]/SnapshotTable[[#This Row],[SP Strike Price]], "")</f>
        <v/>
      </c>
      <c r="CE291" s="7" t="str">
        <f>IF(ISNUMBER(SnapshotTable[[#This Row],[SP ROO Term]]),SnapshotTable[[#This Row],[SP ROO Term]]*(365/SnapshotTable[[#This Row],[SP Term]]),"")</f>
        <v/>
      </c>
      <c r="CF291" s="236">
        <f>SnapshotTable[[#This Row],[LP Strike Price]] * SnapshotTable[[#This Row],[LP Qty]] * 100</f>
        <v>0</v>
      </c>
      <c r="CG291" s="31" t="e">
        <f>IF(ISNUMBER(SnapshotTable[[#This Row],[SP Premium]]), (SnapshotTable[[#This Row],[SP Qty]] * SnapshotTable[[#This Row],[SP Strike Price]]* 100) - SnapshotTable[[#This Row],[LP Protection]], 0)</f>
        <v>#VALUE!</v>
      </c>
      <c r="CH291" s="7" t="str">
        <f>IF(ISNUMBER(SnapshotTable[[#This Row],[SP Break Even]]),-1 * (SnapshotTable[[#This Row],[SP Break Even]] - SnapshotTable[[#This Row],[Last Price]]) / SnapshotTable[[#This Row],[Last Price]], "")</f>
        <v/>
      </c>
      <c r="CI291" s="31">
        <f>IF(AND(ISNUMBER((SnapshotTable[[#This Row],[SP Potential Spend]])), SnapshotTable[[#This Row],[SP Strike Price]] &gt; SnapshotTable[[#This Row],[Last Price]], SnapshotTable[[#This Row],[SP Is Filled]]), SnapshotTable[[#This Row],[SP Potential Spend]] -  SnapshotTable[[#This Row],[LP Max Value]], 0)</f>
        <v>0</v>
      </c>
      <c r="CJ291" s="244"/>
      <c r="CK291" s="31" t="str">
        <f>IF(ISNUMBER(SnapshotTable[[#This Row],[SP Potential Spend]]),IF(ISNUMBER(SnapshotTable[[#This Row],[SP POW]]), SnapshotTable[[#This Row],[SP POW]] * SnapshotTable[[#This Row],[SP Potential Spend]], SnapshotTable[[#This Row],[SP Potential Spend]]), "")</f>
        <v/>
      </c>
      <c r="CL291" s="164" t="e">
        <f>IF(NOT(SnapshotTable[[#This Row],[SP Is Filled]]),(SnapshotTable[[#This Row],[SP Qty]] * SnapshotTable[[#This Row],[SP Strike Price]] * 100) - SnapshotTable[[#This Row],[LP Max Value]],"")</f>
        <v>#VALUE!</v>
      </c>
      <c r="CM291" s="31" t="str">
        <f>IF(SnapshotTable[[#This Row],[SP Actual Spend]]&lt;&gt;0, ((SnapshotTable[[#This Row],[SP Strike Price]]-SnapshotTable[[#This Row],[Last Price]]) *(SnapshotTable[[#This Row],[SP Qty]]*100) - SnapshotTable[[#This Row],[SP Premium]]) * - 1, "")</f>
        <v/>
      </c>
      <c r="CN291" s="218"/>
      <c r="CO291" s="369"/>
      <c r="CP291" s="4" t="str">
        <f>IF(SnapshotTable[[#This Row],[SP Is Filled]], btc_max_buyback_amount(SnapshotTable[[#This Row],[SP Fill Date]],SnapshotTable[[#This Row],[SP Exp Date]], SnapshotTable[[#This Row],[SP Book Price]]),"")</f>
        <v/>
      </c>
      <c r="CQ291" s="78"/>
      <c r="CR29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1" s="155" t="str">
        <f>IF(SnapshotTable[[#This Row],[SP Is Filled]], btc_next_cutoff_date(SnapshotTable[[#This Row],[SP Fill Date]],SnapshotTable[[#This Row],[SP Exp Date]]),"")</f>
        <v/>
      </c>
      <c r="CT291" s="235" t="str" cm="1">
        <f t="array" ref="CT291">IF(SnapshotTable[[#This Row],[SP Is Filled]], btc_should_buy_back(SnapshotTable[[#This Row],[SP Fill Date]], SnapshotTable[[#This Row],[SP Exp Date]], SnapshotTable[[#This Row],[SP Book Price]], SnapshotTable[[#This Row],[SP Current Ask]], MockToday, SnapshotTable[[#This Row],[SP Buyback Override]]),"")</f>
        <v/>
      </c>
      <c r="CU291" s="143"/>
      <c r="CV291" s="235"/>
      <c r="CW291" s="378" t="str">
        <f>IF(ISNUMBER( SnapshotTable[[#This Row],[SP Term]]), SnapshotTable[[#This Row],[SP Exp Date]] - MockToday,"")</f>
        <v/>
      </c>
      <c r="CX291" s="31" t="str">
        <f>IF(SnapshotTable[[#This Row],[SP Is Filled]],SnapshotTable[[#This Row],[SP Buyback Price to Use]] * 100 * SnapshotTable[[#This Row],[SP Qty]], "")</f>
        <v/>
      </c>
      <c r="CY291" s="4" t="str">
        <f>IF(ISNUMBER(SnapshotTable[[#This Row],[SP Strike Price]]), SnapshotTable[[#This Row],[SP Strike Price]] * (1 - SP_MaxLoss_StrikePct), "")</f>
        <v/>
      </c>
      <c r="CZ291" s="31" t="str">
        <f>IF(ISNUMBER(SnapshotTable[[#This Row],[SP Strike  Stop Per Share]]),SnapshotTable[[#This Row],[SP Premium]] - ((SnapshotTable[[#This Row],[SP Strike Price]]-SnapshotTable[[#This Row],[SP Strike  Stop Per Share]]) *(SnapshotTable[[#This Row],[SP Qty]] * 100)),"")</f>
        <v/>
      </c>
      <c r="DA291" s="4" t="str">
        <f>IF(AND(ISNUMBER(SnapshotTable[[#This Row],[SP Premium]]),SnapshotTable[[#This Row],[SP Premium]]&gt;0), SnapshotTable[[#This Row],[SP Book Price]] * (1 + SP_MaxLoss_OptionPct), "")</f>
        <v/>
      </c>
      <c r="DB291" s="31" t="str">
        <f>IF(ISNUMBER(SnapshotTable[[#This Row],[SP Option  Stop Contract]]),(SnapshotTable[[#This Row],[SP Option  Stop Contract]] *(SnapshotTable[[#This Row],[SP Qty]] * 100) - SnapshotTable[[#This Row],[SP Premium]]),"")</f>
        <v/>
      </c>
      <c r="DC291" s="4"/>
      <c r="DD291" s="4"/>
      <c r="DE291" s="4" t="str">
        <f>IF(AND(SnapshotTable[[#This Row],[SP Qty]]&gt;0, SnapshotTable[[#This Row],[SP Stop To Use]]&gt;0),SnapshotTable[[#This Row],[SP Premium]] - ( SnapshotTable[[#This Row],[SP Qty]] * SnapshotTable[[#This Row],[SP Stop To Use]] * 100), "")</f>
        <v/>
      </c>
      <c r="DF291" s="31" t="str">
        <f>IF(AND(SnapshotTable[[#This Row],[SP Qty]]&gt;0,SnapshotTable[[#This Row],[SP Current Ask]]&gt;0), SnapshotTable[[#This Row],[SP Qty]] * SnapshotTable[[#This Row],[SP Current Ask]] * -100, "")</f>
        <v/>
      </c>
      <c r="DG291" s="31" t="str">
        <f>IF(ISNUMBER((SnapshotTable[[#This Row],[SP Total Value]])), SnapshotTable[[#This Row],[SP Premium]] + SnapshotTable[[#This Row],[SP Total Value]], "")</f>
        <v/>
      </c>
      <c r="DH291" s="294" t="str">
        <f>IF(ISNUMBER((SnapshotTable[[#This Row],[SP Total Value]])), SnapshotTable[[#This Row],[SP Gain Loss]] / SnapshotTable[[#This Row],[SP Premium]], "")</f>
        <v/>
      </c>
      <c r="DI291" s="406"/>
      <c r="DJ291" s="138"/>
      <c r="DK291" s="148"/>
      <c r="DL291" s="13"/>
      <c r="DM291" s="13"/>
      <c r="DO291" s="31">
        <f>IF(SnapshotTable[[#This Row],[LC Symbol Count]]=1, SnapshotTable[[#This Row],[LC Qty]] * SnapshotTable[[#This Row],[LC Book Price]] * 100, 0)</f>
        <v>0</v>
      </c>
      <c r="DP291" s="163" t="str">
        <f>IF(AND(SnapshotTable[[#This Row],[LC Exp Date]]&gt;0, SnapshotTable[[#This Row],[LC Strike Price]]&gt;0,SnapshotTable[[#This Row],[LC Qty]]&gt;0,SnapshotTable[[#This Row],[LC Book Date]]&gt;0,SnapshotTable[[#This Row],[LC Book Price]]&gt;0,SnapshotTable[[#This Row],[LC Fill Date]]=0),"Y","")</f>
        <v/>
      </c>
      <c r="DQ291" s="386" t="str">
        <f>IF(SnapshotTable[[#This Row],[LC Premium]] &gt; 0,SnapshotTable[[#This Row],[LC Exp Date]]-MAX(SnapshotTable[[#This Row],[LC Book Date]], SnapshotTable[[#This Row],[LC Fill Date]]),"")</f>
        <v/>
      </c>
      <c r="DR291" s="386" t="str">
        <f>IF(ISNUMBER(SnapshotTable[[#This Row],[LC Term]]), SnapshotTable[[#This Row],[LC Exp Date]] - MockToday, "")</f>
        <v/>
      </c>
      <c r="DS291" s="234" t="str">
        <f>IF(SnapshotTable[[#This Row],[LC Premium]]&gt;0,SnapshotTable[[#This Row],[LC Strike Price]] + SnapshotTable[[#This Row],[LC Book Price]],"")</f>
        <v/>
      </c>
      <c r="DU291" s="9" t="str">
        <f>IF(AND(SnapshotTable[[#This Row],[LC Symbol Count]]&gt;0, SnapshotTable[[#This Row],[LC Contract Value]]&gt;0), SnapshotTable[[#This Row],[LC Contract Value]] * SnapshotTable[[#This Row],[LC Qty]] * 100, "")</f>
        <v/>
      </c>
      <c r="DV291" s="9" t="str">
        <f>IF(AND(ISNUMBER(SnapshotTable[[#This Row],[LC Total Value]]), SnapshotTable[[#This Row],[LC Not Filled]]&lt;&gt;"Y"), SnapshotTable[[#This Row],[LC Total Value]]-SnapshotTable[[#This Row],[LC Premium]],"")</f>
        <v/>
      </c>
      <c r="DW291" s="240" t="str">
        <f>IF(ISNUMBER(SnapshotTable[[#This Row],[LC Actual Gain Loss]]), SnapshotTable[[#This Row],[LC Actual Gain Loss]] / SnapshotTable[[#This Row],[LC Premium]],"")</f>
        <v/>
      </c>
      <c r="DX291" s="284" t="str">
        <f>IF(ISNUMBER(SnapshotTable[[#This Row],[LC Book Price]]),SnapshotTable[[#This Row],[LC Book Price]] * 1.5,"")</f>
        <v/>
      </c>
      <c r="DY291" s="265" t="str">
        <f>IF(SnapshotTable[[#This Row],[LC Premium]]&gt;0, SnapshotTable[[#This Row],[LC Next Target]] * SnapshotTable[[#This Row],[LC Qty]] * 100,"")</f>
        <v/>
      </c>
      <c r="DZ291" s="265" t="str">
        <f>IF(ISNUMBER(SnapshotTable[[#This Row],[LC Target Gross]]), SnapshotTable[[#This Row],[LC Target Gross]] - SnapshotTable[[#This Row],[LC Premium]], "")</f>
        <v/>
      </c>
      <c r="EA291" s="305" t="str">
        <f>IF(ISNUMBER(SnapshotTable[[#This Row],[LC Target Gain Loss]]), SnapshotTable[[#This Row],[LC Target Gain Loss]]/SnapshotTable[[#This Row],[LC Premium]], "")</f>
        <v/>
      </c>
      <c r="EB291" s="262"/>
      <c r="EC291" s="283" t="str">
        <f>IF(SnapshotTable[[#This Row],[LC Premium]]&gt;0, SnapshotTable[[#This Row],[LC Book Price]] * (1 - LC_StopLoss_Pct),"")</f>
        <v/>
      </c>
      <c r="ED291" s="284"/>
      <c r="EE291" s="283" t="str">
        <f>IF(ISNUMBER(SnapshotTable[[#This Row],[LC Contract Value]]),IF(ISNUMBER(SnapshotTable[[#This Row],[LC Stop Loss Override]]), SnapshotTable[[#This Row],[LC Stop Loss Override]],SnapshotTable[[#This Row],[LC Stop Loss Calc Target]]),"")</f>
        <v/>
      </c>
      <c r="EF291" s="31" t="str">
        <f>IF(ISNUMBER(SnapshotTable[[#This Row],[LC Stop  To Use]]), (SnapshotTable[[#This Row],[LC Stop  To Use]] * SnapshotTable[[#This Row],[LC Qty]] * 100),"")</f>
        <v/>
      </c>
      <c r="EG291" s="9" t="str">
        <f>IF(ISNUMBER(SnapshotTable[[#This Row],[LC Total Value]]),SnapshotTable[[#This Row],[LC Stop Loss Amount]] - SnapshotTable[[#This Row],[LC Premium]],"")</f>
        <v/>
      </c>
      <c r="EH291" s="9">
        <f>IF(ISNUMBER(SnapshotTable[[#This Row],[LC Premium]]), SnapshotTable[[#This Row],[LC Qty]] * 100 * SnapshotTable[[#This Row],[LC Strike Price]], "")</f>
        <v>0</v>
      </c>
      <c r="EI291" s="240" t="str">
        <f>IF(AND(ISNUMBER(SnapshotTable[[#This Row],[LC Total Value]]),SnapshotTable[[#This Row],[LC Total Value]]&gt;0),SnapshotTable[[#This Row],[LC Stop Gain Loss]]  / SnapshotTable[[#This Row],[LC Premium]],"")</f>
        <v/>
      </c>
      <c r="EJ291" s="35">
        <f>IF(ISNUMBER(SnapshotTable[[#This Row],[Equity Shares]]),TRUNC(SnapshotTable[[#This Row],[Equity Shares]] / 100),0) + SnapshotTable[[#This Row],[LC Qty]]</f>
        <v>0</v>
      </c>
      <c r="EK291" s="147"/>
      <c r="EL291" s="138" t="str">
        <f>IF(SnapshotTable[[#This Row],[SC Exp Date]]&lt;&gt;"",TRUNC(SnapshotTable[[#This Row],[Last Price]]),"")</f>
        <v/>
      </c>
      <c r="EM291" s="148"/>
      <c r="EN291" s="147"/>
      <c r="EO291" s="147"/>
      <c r="EP291" s="138"/>
      <c r="EQ291" s="419" t="b">
        <f>AND(ISNUMBER(SnapshotTable[[#This Row],[SC Exp Date]]), ISNUMBER(SnapshotTable[[#This Row],[SC Strike Price]]), ISNUMBER(SnapshotTable[[#This Row],[SC Qty]]), ISNUMBER(SnapshotTable[[#This Row],[SC Book Date]]), ISNUMBER(SnapshotTable[[#This Row],[SC Book Price]]))</f>
        <v>0</v>
      </c>
      <c r="ER291" s="419" t="b">
        <f>AND(SnapshotTable[[#This Row],[SC Is Booked]], NOT(ISBLANK(SnapshotTable[[#This Row],[SC Fill Date]])))</f>
        <v>0</v>
      </c>
      <c r="ES291" s="370"/>
      <c r="ET291" s="34" t="str">
        <f>IF(AND(ISNUMBER(SnapshotTable[[#This Row],[SC Exp Date]]), ISNUMBER(SnapshotTable[[#This Row],[SC Book Date]])), SnapshotTable[[#This Row],[SC Exp Date]] - MAX(SnapshotTable[[#This Row],[SC Book Date]], SnapshotTable[[#This Row],[SC Fill Date]]) + 1, "")</f>
        <v/>
      </c>
      <c r="EU291" s="34" t="str">
        <f>IF(ISNUMBER(SnapshotTable[[#This Row],[SC Term]]), SnapshotTable[[#This Row],[SC Exp Date]]- MockToday, "")</f>
        <v/>
      </c>
      <c r="EV291" s="31">
        <f>IF(SnapshotTable[[#This Row],[SC Is Booked]], SnapshotTable[[#This Row],[SC Qty]] * SnapshotTable[[#This Row],[SC Book Price]] * 100, 0)</f>
        <v>0</v>
      </c>
      <c r="EW291" s="4" t="str">
        <f>IF(AND(ISNUMBER(SnapshotTable[[#This Row],[Last Price]]), ISNUMBER( SnapshotTable[[#This Row],[SC Book Price]])), SnapshotTable[[#This Row],[Last Price]] - SnapshotTable[[#This Row],[SC Book Price]],"")</f>
        <v/>
      </c>
      <c r="EX291" s="234" t="str">
        <f>IF(SnapshotTable[[#This Row],[SC Is Booked]],IF(SnapshotTable[[#This Row],[SC Intrinsic Value]] &gt; 0, SnapshotTable[[#This Row],[SC Strike Price]], SnapshotTable[[#This Row],[Last Price]]), "")</f>
        <v/>
      </c>
      <c r="EY291" s="4">
        <f>IF(SnapshotTable[[#This Row],[SC Is Booked]], (MinimumPremiumRequired * SnapshotTable[[#This Row],[SC Basis]] * SnapshotTable[[#This Row],[SC Term]]), 0)</f>
        <v>0</v>
      </c>
      <c r="EZ291" s="283"/>
      <c r="FA291" s="218"/>
      <c r="FB291" s="370"/>
      <c r="FC291" s="4">
        <f>IF(SnapshotTable[[#This Row],[SC Is Filled]], btc_max_buyback_amount(SnapshotTable[[#This Row],[SC Fill Date]],SnapshotTable[[#This Row],[SC Exp Date]], SnapshotTable[[#This Row],[SC Book Price]]),0)</f>
        <v>0</v>
      </c>
      <c r="FD291" s="5"/>
      <c r="FE291" s="144" t="str">
        <f>IF(SnapshotTable[[#This Row],[SC Is Filled]], btc_next_cutoff_date(SnapshotTable[[#This Row],[SC Fill Date]],SnapshotTable[[#This Row],[SC Exp Date]]),"")</f>
        <v/>
      </c>
      <c r="FF291" s="4" t="str" cm="1">
        <f t="array" ref="FF291">IF(SnapshotTable[[#This Row],[SC Is Filled]], btc_should_buy_back(SnapshotTable[[#This Row],[SC Fill Date]], SnapshotTable[[#This Row],[SC Exp Date]], SnapshotTable[[#This Row],[SC Book Price]], SnapshotTable[[#This Row],[SC Current Ask]], MockToday, SnapshotTable[[#This Row],[SC Buyback Override]]),"")</f>
        <v/>
      </c>
      <c r="FG291" s="4">
        <f>IF(SnapshotTable[[#This Row],[SC Is Filled]], MAX(0,SnapshotTable[[#This Row],[Last Price]]  - SnapshotTable[[#This Row],[SC Strike Price]]), 0)</f>
        <v>0</v>
      </c>
      <c r="FH291" s="382">
        <f>IF(SnapshotTable[[#This Row],[SC Is Filled]], IF(ISNUMBER(SnapshotTable[[#This Row],[SC Current Ask]]), SnapshotTable[[#This Row],[SC Current Ask]], SnapshotTable[[#This Row],[SC Book Price]]) - SnapshotTable[[#This Row],[SC Intrinsic Value]], 0)</f>
        <v>0</v>
      </c>
      <c r="FI291" s="143"/>
      <c r="FJ291" s="32" t="str">
        <f>IF(SnapshotTable[[#This Row],[SC Is Filled]],100 * SnapshotTable[[#This Row],[SC Qty]] * IF(ISNUMBER(SnapshotTable[[#This Row],[SC Buyback Override]]), SnapshotTable[[#This Row],[SC Buyback Override]], SnapshotTable[[#This Row],[SC Current Ask]]), "")</f>
        <v/>
      </c>
      <c r="FK291" s="250" t="str">
        <f>IF(SnapshotTable[[#This Row],[SC Time Val]]&gt;0, SnapshotTable[[#This Row],[SC Time Val]] / SnapshotTable[[#This Row],[Last Price]],"")</f>
        <v/>
      </c>
      <c r="FL291" s="302" t="str">
        <f>IF(SnapshotTable[[#This Row],[SC Is Booked]], ((SnapshotTable[[#This Row],[Last Price]] -SnapshotTable[[#This Row],[SC Strike Price]]) / SnapshotTable[[#This Row],[Last Price]]) * -1, "")</f>
        <v/>
      </c>
      <c r="FM291" s="157" t="str">
        <f>IF(SnapshotTable[[#This Row],[SC Is Booked]],  (SnapshotTable[[#This Row],[SC Qty]] * 100 * SnapshotTable[[#This Row],[SC Strike Price]]) - SnapshotTable[[#This Row],[SC Current Ask]], "")</f>
        <v/>
      </c>
      <c r="FN29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1" s="31" t="str">
        <f>IF(AND(ISNUMBER(SnapshotTable[[#This Row],[SC Exercise Gross]]), ISNUMBER(SnapshotTable[[#This Row],[Equity Basis Per Share]] )), SnapshotTable[[#This Row],[SC Exercise Gross]] - SnapshotTable[[#This Row],[Equity Basis Total]] +  SnapshotTable[[#This Row],[SC Premium]], "")</f>
        <v/>
      </c>
      <c r="FP291" s="5" t="str">
        <f>IF(ISNUMBER(SnapshotTable[[#This Row],[SC Exercise Gross]]), (SnapshotTable[[#This Row],[SC Exercise Gross]]) / (SnapshotTable[[#This Row],[SC Qty]] * 100), "")</f>
        <v/>
      </c>
      <c r="FQ291" s="27" t="str">
        <f>IF(SnapshotTable[[#This Row],[SC Is Booked]],SnapshotTable[[#This Row],[SC Time Val]] /SnapshotTable[[#This Row],[SC Basis]], "")</f>
        <v/>
      </c>
      <c r="FR291" s="27" t="str" cm="1">
        <f t="array" ref="FR291">IF(AND(ISNUMBER(SnapshotTable[[#This Row],[SC Term]]),ISNUMBER(SnapshotTable[[#This Row],[SC Simple ROO]])), EllmanAnnualize(SnapshotTable[[#This Row],[SC DTE]], SnapshotTable[[#This Row],[SC Simple ROO]] ),"")</f>
        <v/>
      </c>
      <c r="FS291" s="4" t="e">
        <f>IF(SnapshotTable[[#This Row],[SC Strike Price]] &gt; SnapshotTable[[#This Row],[Last Price]], SnapshotTable[[#This Row],[SC Strike Price]] - SnapshotTable[[#This Row],[Last Price]],0)</f>
        <v>#VALUE!</v>
      </c>
      <c r="FT291" s="27" t="e">
        <f>IF(AND(ISNUMBER(SnapshotTable[[#This Row],[SC Upside Potential]]), SnapshotTable[[#This Row],[SC Upside Potential]] &gt; 0),(SnapshotTable[[#This Row],[SC Upside Potential]]/ SnapshotTable[[#This Row],[ACB]]),"")</f>
        <v>#VALUE!</v>
      </c>
      <c r="FU291" s="333" t="str">
        <f>IF(SnapshotTable[[#This Row],[SC Intrinsic Value]] &gt; 0,SnapshotTable[[#This Row],[SC Intrinsic Value]],"")</f>
        <v/>
      </c>
      <c r="FV291" s="27" t="str">
        <f>IF(AND( ISNUMBER( SnapshotTable[[#This Row],[ACB]]),ISNUMBER(SnapshotTable[[#This Row],[SC Downside Protect]])),SnapshotTable[[#This Row],[SC Downside Protect]] / SnapshotTable[[#This Row],[ACB]],"")</f>
        <v/>
      </c>
      <c r="FW291" s="236" t="str">
        <f>IF(AND(ISNUMBER(SnapshotTable[[#This Row],[SC Simple ROO]]),SnapshotTable[[#This Row],[SC Simple ROO]] &gt; 0), SnapshotTable[[#This Row],[SC Premium]] + (SnapshotTable[[#This Row],[SC Qty]] * SnapshotTable[[#This Row],[SC Upside Potential]]), "")</f>
        <v/>
      </c>
      <c r="FX291" s="302" t="str" cm="1">
        <f t="array" ref="FX291">IF(ISNUMBER(SnapshotTable[[#This Row],[SC Max Dollars]]), annualize(SnapshotTable[[#This Row],[SC Term]],(SnapshotTable[[#This Row],[SC Max Dollars]]/SnapshotTable[[#This Row],[SC Basis]])),"")</f>
        <v/>
      </c>
      <c r="FY291" s="236" t="str">
        <f>IF(AND(SnapshotTable[[#This Row],[SC Qty]]&gt;0,SnapshotTable[[#This Row],[SC Current Ask]]&gt;0), SnapshotTable[[#This Row],[SC Qty]] * SnapshotTable[[#This Row],[SC Current Ask]] * -100, "")</f>
        <v/>
      </c>
      <c r="FZ291" s="31" t="str">
        <f>IF(ISNUMBER((SnapshotTable[[#This Row],[SC Current Value]])), SnapshotTable[[#This Row],[SC Premium]] + SnapshotTable[[#This Row],[SC Current Value]], "")</f>
        <v/>
      </c>
      <c r="GA291" s="294" t="str">
        <f>IFERROR( IF(ISNUMBER((SnapshotTable[[#This Row],[SC Current Value]])), SnapshotTable[[#This Row],[SC Gain Loss]] / SnapshotTable[[#This Row],[SC Premium]], ""), "")</f>
        <v/>
      </c>
      <c r="GB291" s="42">
        <f>SnapshotTable[[#This Row],[Equity Shares]] * SaleSharesToConsiderPercentage</f>
        <v>0</v>
      </c>
      <c r="GC291" s="40">
        <f>SnapshotTable[[#This Row],[Long Term Target]] * SellingPriceToConsiderBasedOnTargetPercentage</f>
        <v>11.324</v>
      </c>
      <c r="GD291" s="40">
        <f>SnapshotTable[[#This Row],[Last Price]] * (1+ SellingPriceToConsiderBasedOnTargetPercentage)</f>
        <v>58.792499999999997</v>
      </c>
      <c r="GE291" s="41"/>
      <c r="GF291" s="40"/>
      <c r="GG291" s="31">
        <f>SnapshotTable[[#This Row],[Booked Sale Shares]] * SnapshotTable[[#This Row],[Booked Sale Price]]</f>
        <v>0</v>
      </c>
      <c r="GH291" s="31" t="str">
        <f>IF(SnapshotTable[[#This Row],[Equity Basis Total]] &gt; 0, SnapshotTable[[#This Row],[Equity Basis Per Share]] * SnapshotTable[[#This Row],[Booked Sale Shares]], "")</f>
        <v/>
      </c>
      <c r="GI291" s="31">
        <f>IF(SnapshotTable[[#This Row],[Sale Proceeds]]&gt;0, SnapshotTable[[#This Row],[Sale Proceeds]] - SnapshotTable[[#This Row],[Sale Basis]], 0)</f>
        <v>0</v>
      </c>
      <c r="GJ291" s="27" t="str">
        <f>IF(SnapshotTable[[#This Row],[Sale G/L]]&gt;0, SnapshotTable[[#This Row],[Sale G/L]] / SnapshotTable[[#This Row],[Sale Basis]], IF(ISNUMBER(SnapshotTable[[#This Row],[SC Exercise P&amp;L (TAX)]]), SnapshotTable[[#This Row],[SC Exercise P&amp;L (TAX)]] / SnapshotTable[[#This Row],[SC Basis]], ""))</f>
        <v/>
      </c>
      <c r="GK291" s="27"/>
      <c r="GL291" s="43" t="str">
        <f>IF(AND(SnapshotTable[[#This Row],[LP Exp Date]]&gt;0,SnapshotTable[[#This Row],[LP Strike Price]]&gt;0), [1]!ToOptionSymbol(SnapshotTable[[#This Row],[Symbol]], SnapshotTable[[#This Row],[LP Strike Price]],SnapshotTable[[#This Row],[LP Exp Date]],1), "")</f>
        <v/>
      </c>
      <c r="GM291" s="30" t="str">
        <f>IF(LEN(SnapshotTable[[#This Row],[LP Symbol]])&gt;0, 1, "")</f>
        <v/>
      </c>
      <c r="GN291" s="43" t="str">
        <f>IF(AND(SnapshotTable[[#This Row],[SP Exp Date]]&gt;0,SnapshotTable[[#This Row],[SP Strike Price]]&gt;0), [1]!ToOptionSymbol(SnapshotTable[[#This Row],[Symbol]], SnapshotTable[[#This Row],[SP Strike Price]],SnapshotTable[[#This Row],[SP Exp Date]],1), "")</f>
        <v/>
      </c>
      <c r="GO291" s="30" t="str">
        <f>IF(LEN(SnapshotTable[[#This Row],[SP Symbol]])&gt;0, 1, "")</f>
        <v/>
      </c>
      <c r="GP291" s="43" t="str">
        <f>IF(AND(SnapshotTable[[#This Row],[LC Exp Date]]&gt;0,SnapshotTable[[#This Row],[LC Strike Price]]&gt;0), [1]!ToOptionSymbol(SnapshotTable[[#This Row],[Symbol]], SnapshotTable[[#This Row],[LC Strike Price]],SnapshotTable[[#This Row],[LC Exp Date]],0), "")</f>
        <v/>
      </c>
      <c r="GQ291" s="30" t="str">
        <f>IF(LEN(SnapshotTable[[#This Row],[LC Symbol]])&gt;0, 1, "")</f>
        <v/>
      </c>
      <c r="GR291" s="43" t="str">
        <f>IF(AND(SnapshotTable[[#This Row],[SC Exp Date]]&gt;0,SnapshotTable[[#This Row],[SC Strike Price]]&gt;0), [1]!ToOptionSymbol(SnapshotTable[[#This Row],[Symbol]], SnapshotTable[[#This Row],[SC Strike Price]],SnapshotTable[[#This Row],[SC Exp Date]],0), "")</f>
        <v/>
      </c>
      <c r="GS291" s="30" t="str">
        <f>IF(LEN(SnapshotTable[[#This Row],[SC Symbol]])&gt;0, 1, "")</f>
        <v/>
      </c>
      <c r="GT291" s="29" t="str">
        <f>IF(COUNT(SnapshotTable[[#This Row],[LP Symbol Count]],SnapshotTable[[#This Row],[SP Symbol Count]],SnapshotTable[[#This Row],[LC Symbol Count]],SnapshotTable[[#This Row],[SC Symbol Count]])&gt;0, "Y", "")</f>
        <v/>
      </c>
      <c r="GU29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1" s="231" t="e">
        <f>MAX(SnapshotTable[[#This Row],[Equity Basis Total]],SnapshotTable[[#This Row],[Equity Value]]) + (SnapshotTable[[#This Row],[SP Potential Spend]]- SnapshotTable[[#This Row],[SP Premium]] + SnapshotTable[[#This Row],[LP Premium]])+ (SnapshotTable[[#This Row],[LC Premium]] - SnapshotTable[[#This Row],[SC Premium]])</f>
        <v>#VALUE!</v>
      </c>
      <c r="GW291" s="139" t="e">
        <f>IF(AND(SnapshotTable[[#This Row],[Exposure]] &lt;&gt; 0),SnapshotTable[[#This Row],[Exposure]] / SnapshotTable[[#Totals],[Exposure]], "")</f>
        <v>#VALUE!</v>
      </c>
      <c r="GX291" s="5"/>
      <c r="HK291" s="1"/>
      <c r="HL291" s="1"/>
      <c r="HM291" s="1"/>
      <c r="HN291" s="1"/>
      <c r="HO291" s="1"/>
      <c r="HP291" s="1"/>
    </row>
    <row r="292" spans="2:224" ht="12.75" hidden="1" customHeight="1" x14ac:dyDescent="0.25">
      <c r="B292" s="12" t="s">
        <v>1153</v>
      </c>
      <c r="C292" s="422">
        <v>3.87</v>
      </c>
      <c r="D292" s="208" t="s">
        <v>258</v>
      </c>
      <c r="E292" s="39">
        <f>SnapshotTable[[#This Row],[Last Price]]*(1 -CrashDiscount)</f>
        <v>3.2894999999999999</v>
      </c>
      <c r="F292" s="26" t="s">
        <v>550</v>
      </c>
      <c r="G292" s="26" t="s">
        <v>41</v>
      </c>
      <c r="H292" s="149"/>
      <c r="I292" s="194"/>
      <c r="J292" s="195"/>
      <c r="K292" s="196"/>
      <c r="L292" s="326"/>
      <c r="M292" s="140"/>
      <c r="N292" s="140"/>
      <c r="O292" s="140"/>
      <c r="P292" s="22">
        <v>7000</v>
      </c>
      <c r="Q292" s="25">
        <v>26060</v>
      </c>
      <c r="R292" s="4">
        <f>IF(SnapshotTable[[#This Row],[Equity Basis Total]] &gt; 0, SnapshotTable[[#This Row],[Equity Basis Total]] / SnapshotTable[[#This Row],[Equity Shares]], "")</f>
        <v>3.7228571428571429</v>
      </c>
      <c r="S292" s="269">
        <f>SnapshotTable[[#This Row],[Last Price]] * SnapshotTable[[#This Row],[Equity Shares]]</f>
        <v>27090</v>
      </c>
      <c r="T292" s="269">
        <f>SnapshotTable[[#This Row],[Equity Value]] - SnapshotTable[[#This Row],[Equity Basis Total]]</f>
        <v>1030</v>
      </c>
      <c r="U292" s="270">
        <f>IF(SnapshotTable[[#This Row],[Equity Basis Total]] &gt; 0, SnapshotTable[[#This Row],[Equity G/L]] / SnapshotTable[[#This Row],[Equity Basis Total]], "")</f>
        <v>3.9524174980813509E-2</v>
      </c>
      <c r="V292" s="268"/>
      <c r="W292" s="268"/>
      <c r="X292" s="4" t="str">
        <f>IF(AND(ISNUMBER(SnapshotTable[[#This Row],[Equity Basis Per Share]]),ISNUMBER(SnapshotTable[[#This Row],[Equity Target]])),SnapshotTable[[#This Row],[Equity Target]]-SnapshotTable[[#This Row],[Equity Basis Per Share]],"")</f>
        <v/>
      </c>
      <c r="Y292" s="4" t="str">
        <f>IF(AND(ISNUMBER(SnapshotTable[[#This Row],[Equity Basis Per Share]]),ISNUMBER(SnapshotTable[[#This Row],[Equity Stop Loss]])),SnapshotTable[[#This Row],[Equity Stop Loss]]-SnapshotTable[[#This Row],[Equity Basis Per Share]],"")</f>
        <v/>
      </c>
      <c r="Z292" s="275" t="str">
        <f>IFERROR( TEXT(SnapshotTable[[#This Row],[Equity Max Gain Per Share]] /ABS( SnapshotTable[[#This Row],[Equity Max Loss Per Share]]),"0.0 " ) &amp; " : 1", "")</f>
        <v/>
      </c>
      <c r="AA292" s="31" t="str">
        <f>IF(ISNUMBER(SnapshotTable[[#This Row],[Equity Max Gain Per Share]]),SnapshotTable[[#This Row],[Equity Max Gain Per Share]] * SnapshotTable[[#This Row],[Equity Shares]],"")</f>
        <v/>
      </c>
      <c r="AB292" s="31" t="str">
        <f>IF(ISNUMBER(SnapshotTable[[#This Row],[Equity Max Loss Per Share]]),SnapshotTable[[#This Row],[Equity Max Loss Per Share]] * SnapshotTable[[#This Row],[Equity Shares]],"")</f>
        <v/>
      </c>
      <c r="AC292" s="150"/>
      <c r="AD292" s="151"/>
      <c r="AE292" s="31">
        <f>(SnapshotTable[[#This Row],[Annual Dividend Per Share]] / 4) * SnapshotTable[[#This Row],[Equity Shares]]</f>
        <v>0</v>
      </c>
      <c r="AF292" s="31">
        <f>SnapshotTable[[#This Row],[Quarterly Div $]] * 4</f>
        <v>0</v>
      </c>
      <c r="AG292" s="7">
        <f>IF(SnapshotTable[[#This Row],[Annual Dividend Per Share]]&gt;0, SnapshotTable[[#This Row],[Annual Dividend Per Share]]  / SnapshotTable[[#This Row],[Last Price]], 0)</f>
        <v>0</v>
      </c>
      <c r="AH292" s="151"/>
      <c r="AI292" s="5"/>
      <c r="AJ292" s="138"/>
      <c r="AK292" s="152" t="str">
        <f>IF(ISNUMBER( SnapshotTable[[#This Row],[EBF Target]]),(SnapshotTable[[#This Row],[EBF Target]] - SnapshotTable[[#This Row],[Last Price]]) / SnapshotTable[[#This Row],[Last Price]], "")</f>
        <v/>
      </c>
      <c r="AL292" s="152" t="str">
        <f>IF(AND(SnapshotTable[[#This Row],[Equity Basis Total]] &gt; 0,ISNUMBER( SnapshotTable[[#This Row],[Long Term Target]])), SnapshotTable[[#This Row],[From Basis $]] / SnapshotTable[[#This Row],[Equity Basis Total]], "")</f>
        <v/>
      </c>
      <c r="AM292" s="9">
        <f>IF( AND(SnapshotTable[[#This Row],[Equity Shares]] &gt;0,ISNUMBER( SnapshotTable[[#This Row],[Long Term Target]])),(SnapshotTable[[#This Row],[Equity Shares]] * SnapshotTable[[#This Row],[Long Term Target]]) - SnapshotTable[[#This Row],[Equity Basis Total]],0)</f>
        <v>0</v>
      </c>
      <c r="AN292" s="9">
        <f>IF( AND(SnapshotTable[[#This Row],[Equity Shares]] &gt;0,ISNUMBER( SnapshotTable[[#This Row],[Long Term Target]])),(SnapshotTable[[#This Row],[Equity Shares]]*SnapshotTable[[#This Row],[Long Term Target]]) - SnapshotTable[[#This Row],[Equity Value]],0)</f>
        <v>0</v>
      </c>
      <c r="AO292" s="152" t="str">
        <f>IF(AND(ISNUMBER( SnapshotTable[[#This Row],[Long Term Target]]), ISNUMBER(SnapshotTable[[#This Row],[Last Price]])),(SnapshotTable[[#This Row],[Long Term Target]] - SnapshotTable[[#This Row],[Last Price]]) / SnapshotTable[[#This Row],[Last Price]], "")</f>
        <v/>
      </c>
      <c r="AP292" s="5">
        <v>5</v>
      </c>
      <c r="AQ292" s="38" t="s">
        <v>27</v>
      </c>
      <c r="AR292" s="5">
        <v>2</v>
      </c>
      <c r="AS292" s="38" t="s">
        <v>1083</v>
      </c>
      <c r="AT292" s="146" t="s">
        <v>533</v>
      </c>
      <c r="AU292" s="187" t="str">
        <f ca="1">IF(OR(SnapshotTable[[#This Row],[LP No Fill]]="Y",SnapshotTable[[#This Row],[SP Is Filled]],SnapshotTable[[#This Row],[LC Not Filled]]="Y",SnapshotTable[[#This Row],[SC Is Filled]]),"Y","")</f>
        <v>Y</v>
      </c>
      <c r="AV292" s="219"/>
      <c r="AW292" s="225"/>
      <c r="AX292" s="220"/>
      <c r="AY292" s="219" t="str">
        <f>IF(SnapshotTable[[#This Row],[Implied Move]]&gt;0, SnapshotTable[[#This Row],[Last Price]]-SnapshotTable[[#This Row],[Implied Move]],"")</f>
        <v/>
      </c>
      <c r="AZ292" s="219" t="str">
        <f>IF(SnapshotTable[[#This Row],[Implied Move]]&gt;0, SnapshotTable[[#This Row],[Last Price]] + SnapshotTable[[#This Row],[Implied Move]],"")</f>
        <v/>
      </c>
      <c r="BA292" s="331">
        <v>3.12</v>
      </c>
      <c r="BB292" s="347"/>
      <c r="BC292"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46283</v>
      </c>
      <c r="BD292" s="351"/>
      <c r="BE292" s="5"/>
      <c r="BF292" s="14"/>
      <c r="BG292" s="13"/>
      <c r="BH292" s="13"/>
      <c r="BI292" s="5"/>
      <c r="BJ292" s="136">
        <f>IF(SnapshotTable[[#This Row],[LP Qty]] &gt; 0, SnapshotTable[[#This Row],[LP Qty]] * SnapshotTable[[#This Row],[LP Book Price]] * 100,0)</f>
        <v>0</v>
      </c>
      <c r="BK292" s="136">
        <f>IF(SnapshotTable[[#This Row],[LP Premium]] &gt; 0, SnapshotTable[[#This Row],[LP Qty]] * SnapshotTable[[#This Row],[LP Strike Price]] * 100,0)</f>
        <v>0</v>
      </c>
      <c r="BL292" s="154"/>
      <c r="BM292" s="385" t="str">
        <f>IF(SnapshotTable[[#This Row],[LP Premium]] &gt; 0,SnapshotTable[[#This Row],[LP Exp Date]]-MAX(SnapshotTable[[#This Row],[LP Book Date]], SnapshotTable[[#This Row],[LP Fill Date]]),"")</f>
        <v/>
      </c>
      <c r="BN292" s="385" t="str">
        <f>IF(ISNUMBER( SnapshotTable[[#This Row],[LP Term]]), SnapshotTable[[#This Row],[LP Exp Date]] - MockToday,"")</f>
        <v/>
      </c>
      <c r="BO292" s="163" t="str">
        <f>IF(AND(SnapshotTable[[#This Row],[LP Exp Date]]&gt;0, SnapshotTable[[#This Row],[LP Strike Price]]&gt;0,SnapshotTable[[#This Row],[LP Qty]]&gt;0,SnapshotTable[[#This Row],[LP Book Date]]&gt;0,SnapshotTable[[#This Row],[LP Book Price]]&gt;0,SnapshotTable[[#This Row],[LP Fill Date]]=0),"Y","")</f>
        <v/>
      </c>
      <c r="BP292" s="31" t="str">
        <f>IF(AND(SnapshotTable[[#This Row],[LP No Fill]]&lt;&gt;"Y",SnapshotTable[[#This Row],[LP Contract Value]]&gt;0, SnapshotTable[[#This Row],[LP Qty]]&gt;0), SnapshotTable[[#This Row],[LP Contract Value]]*SnapshotTable[[#This Row],[LP Qty]]*100,"")</f>
        <v/>
      </c>
      <c r="BQ292" s="13">
        <f ca="1">NextMonthlyOpex</f>
        <v>46283</v>
      </c>
      <c r="BR292" s="5">
        <f ca="1">IF(SnapshotTable[[#This Row],[SP Exp Date]]&lt;&gt;"",TRUNC(SnapshotTable[[#This Row],[Last Price]]),"")</f>
        <v>3</v>
      </c>
      <c r="BS292" s="36">
        <v>30</v>
      </c>
      <c r="BT292" s="147">
        <f ca="1">WORKDAY(MockToday, 0)</f>
        <v>46235</v>
      </c>
      <c r="BU292" s="13">
        <f ca="1">WORKDAY(MockToday, 0)</f>
        <v>46235</v>
      </c>
      <c r="BV292" s="5">
        <v>0.5</v>
      </c>
      <c r="BW292" s="419" t="b">
        <f ca="1">AND(ISNUMBER(SnapshotTable[[#This Row],[SP Exp Date]]), ISNUMBER(SnapshotTable[[#This Row],[SP Strike Price]]), ISNUMBER(SnapshotTable[[#This Row],[SP Qty]]), ISNUMBER(SnapshotTable[[#This Row],[SP Book Date]]), ISNUMBER(SnapshotTable[[#This Row],[SP Book Price]]))</f>
        <v>1</v>
      </c>
      <c r="BX292" s="419" t="b">
        <f ca="1">AND(SnapshotTable[[#This Row],[SP Is Booked]], NOT(ISBLANK(SnapshotTable[[#This Row],[SP Fill Date]])))</f>
        <v>1</v>
      </c>
      <c r="BY292" s="33">
        <f ca="1">IF(SnapshotTable[[#This Row],[SP Is Booked]], SnapshotTable[[#This Row],[SP Qty]] * SnapshotTable[[#This Row],[SP Book Price]] * 100, 0)</f>
        <v>1500</v>
      </c>
      <c r="BZ292" s="369">
        <v>0.37</v>
      </c>
      <c r="CA292" s="368">
        <f>SnapshotTable[[#This Row],[LP Qty]]</f>
        <v>0</v>
      </c>
      <c r="CB292" s="4">
        <f ca="1">IF(SnapshotTable[[#This Row],[SP Is Booked]], SnapshotTable[[#This Row],[SP Strike Price]] - SnapshotTable[[#This Row],[SP Book Price]], "")</f>
        <v>2.5</v>
      </c>
      <c r="CC292" s="19">
        <f ca="1">IF(SnapshotTable[[#This Row],[SP Is Booked]],SnapshotTable[[#This Row],[SP Exp Date]]-MAX(SnapshotTable[[#This Row],[SP Book Date]], SnapshotTable[[#This Row],[SP Fill Date]]),"")</f>
        <v>48</v>
      </c>
      <c r="CD292" s="7">
        <f ca="1">IF(SnapshotTable[[#This Row],[SP Is Booked]], SnapshotTable[[#This Row],[SP Book Price]]/SnapshotTable[[#This Row],[SP Strike Price]], "")</f>
        <v>0.16666666666666666</v>
      </c>
      <c r="CE292" s="7">
        <f ca="1">IF(ISNUMBER(SnapshotTable[[#This Row],[SP ROO Term]]),SnapshotTable[[#This Row],[SP ROO Term]]*(365/SnapshotTable[[#This Row],[SP Term]]),"")</f>
        <v>1.2673611111111112</v>
      </c>
      <c r="CF292" s="236">
        <f>SnapshotTable[[#This Row],[LP Strike Price]] * SnapshotTable[[#This Row],[LP Qty]] * 100</f>
        <v>0</v>
      </c>
      <c r="CG292" s="31">
        <f ca="1">IF(ISNUMBER(SnapshotTable[[#This Row],[SP Premium]]), (SnapshotTable[[#This Row],[SP Qty]] * SnapshotTable[[#This Row],[SP Strike Price]]* 100) - SnapshotTable[[#This Row],[LP Protection]], 0)</f>
        <v>9000</v>
      </c>
      <c r="CH292" s="7">
        <f ca="1">IF(ISNUMBER(SnapshotTable[[#This Row],[SP Break Even]]),-1 * (SnapshotTable[[#This Row],[SP Break Even]] - SnapshotTable[[#This Row],[Last Price]]) / SnapshotTable[[#This Row],[Last Price]], "")</f>
        <v>0.35400516795865633</v>
      </c>
      <c r="CI292" s="31">
        <f ca="1">IF(AND(ISNUMBER((SnapshotTable[[#This Row],[SP Potential Spend]])), SnapshotTable[[#This Row],[SP Strike Price]] &gt; SnapshotTable[[#This Row],[Last Price]], SnapshotTable[[#This Row],[SP Is Filled]]), SnapshotTable[[#This Row],[SP Potential Spend]] -  SnapshotTable[[#This Row],[LP Max Value]], 0)</f>
        <v>0</v>
      </c>
      <c r="CJ292" s="244"/>
      <c r="CK292" s="31">
        <f ca="1">IF(ISNUMBER(SnapshotTable[[#This Row],[SP Potential Spend]]),IF(ISNUMBER(SnapshotTable[[#This Row],[SP POW]]), SnapshotTable[[#This Row],[SP POW]] * SnapshotTable[[#This Row],[SP Potential Spend]], SnapshotTable[[#This Row],[SP Potential Spend]]), "")</f>
        <v>9000</v>
      </c>
      <c r="CL292" s="164" t="str">
        <f ca="1">IF(NOT(SnapshotTable[[#This Row],[SP Is Filled]]),(SnapshotTable[[#This Row],[SP Qty]] * SnapshotTable[[#This Row],[SP Strike Price]] * 100) - SnapshotTable[[#This Row],[LP Max Value]],"")</f>
        <v/>
      </c>
      <c r="CM292" s="31" t="str">
        <f ca="1">IF(SnapshotTable[[#This Row],[SP Actual Spend]]&lt;&gt;0, ((SnapshotTable[[#This Row],[SP Strike Price]]-SnapshotTable[[#This Row],[Last Price]]) *(SnapshotTable[[#This Row],[SP Qty]]*100) - SnapshotTable[[#This Row],[SP Premium]]) * - 1, "")</f>
        <v/>
      </c>
      <c r="CN292" s="78">
        <v>0.55000000000000004</v>
      </c>
      <c r="CO292" s="369">
        <v>0.37</v>
      </c>
      <c r="CP292" s="4" t="e">
        <f ca="1">IF(SnapshotTable[[#This Row],[SP Is Filled]], btc_max_buyback_amount(SnapshotTable[[#This Row],[SP Fill Date]],SnapshotTable[[#This Row],[SP Exp Date]], SnapshotTable[[#This Row],[SP Book Price]]),"")</f>
        <v>#NAME?</v>
      </c>
      <c r="CQ292" s="78"/>
      <c r="CR292"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92" s="155" t="e">
        <f ca="1">IF(SnapshotTable[[#This Row],[SP Is Filled]], btc_next_cutoff_date(SnapshotTable[[#This Row],[SP Fill Date]],SnapshotTable[[#This Row],[SP Exp Date]]),"")</f>
        <v>#NAME?</v>
      </c>
      <c r="CT292" s="235" t="e" cm="1">
        <f t="array" aca="1" ref="CT292" ca="1">IF(SnapshotTable[[#This Row],[SP Is Filled]], btc_should_buy_back(SnapshotTable[[#This Row],[SP Fill Date]], SnapshotTable[[#This Row],[SP Exp Date]], SnapshotTable[[#This Row],[SP Book Price]], SnapshotTable[[#This Row],[SP Current Ask]], MockToday, SnapshotTable[[#This Row],[SP Buyback Override]]),"")</f>
        <v>#NAME?</v>
      </c>
      <c r="CU292" s="156">
        <v>46265</v>
      </c>
      <c r="CV292" s="235"/>
      <c r="CW292" s="378">
        <f ca="1">IF(ISNUMBER( SnapshotTable[[#This Row],[SP Term]]), SnapshotTable[[#This Row],[SP Exp Date]] - MockToday,"")</f>
        <v>48</v>
      </c>
      <c r="CX292" s="31" t="e">
        <f ca="1">IF(SnapshotTable[[#This Row],[SP Is Filled]],SnapshotTable[[#This Row],[SP Buyback Price to Use]] * 100 * SnapshotTable[[#This Row],[SP Qty]], "")</f>
        <v>#NAME?</v>
      </c>
      <c r="CY292" s="4">
        <f ca="1">IF(ISNUMBER(SnapshotTable[[#This Row],[SP Strike Price]]), SnapshotTable[[#This Row],[SP Strike Price]] * (1 - SP_MaxLoss_StrikePct), "")</f>
        <v>2.91</v>
      </c>
      <c r="CZ292" s="31">
        <f ca="1">IF(ISNUMBER(SnapshotTable[[#This Row],[SP Strike  Stop Per Share]]),SnapshotTable[[#This Row],[SP Premium]] - ((SnapshotTable[[#This Row],[SP Strike Price]]-SnapshotTable[[#This Row],[SP Strike  Stop Per Share]]) *(SnapshotTable[[#This Row],[SP Qty]] * 100)),"")</f>
        <v>1230.0000000000005</v>
      </c>
      <c r="DA292" s="4">
        <f ca="1">IF(AND(ISNUMBER(SnapshotTable[[#This Row],[SP Premium]]),SnapshotTable[[#This Row],[SP Premium]]&gt;0), SnapshotTable[[#This Row],[SP Book Price]] * (1 + SP_MaxLoss_OptionPct), "")</f>
        <v>0.75</v>
      </c>
      <c r="DB292" s="31">
        <f ca="1">IF(ISNUMBER(SnapshotTable[[#This Row],[SP Option  Stop Contract]]),(SnapshotTable[[#This Row],[SP Option  Stop Contract]] *(SnapshotTable[[#This Row],[SP Qty]] * 100) - SnapshotTable[[#This Row],[SP Premium]]),"")</f>
        <v>750</v>
      </c>
      <c r="DC292" s="4"/>
      <c r="DD292" s="4"/>
      <c r="DE292" s="4" t="str">
        <f>IF(AND(SnapshotTable[[#This Row],[SP Qty]]&gt;0, SnapshotTable[[#This Row],[SP Stop To Use]]&gt;0),SnapshotTable[[#This Row],[SP Premium]] - ( SnapshotTable[[#This Row],[SP Qty]] * SnapshotTable[[#This Row],[SP Stop To Use]] * 100), "")</f>
        <v/>
      </c>
      <c r="DF292" s="31">
        <f>IF(AND(SnapshotTable[[#This Row],[SP Qty]]&gt;0,SnapshotTable[[#This Row],[SP Current Ask]]&gt;0), SnapshotTable[[#This Row],[SP Qty]] * SnapshotTable[[#This Row],[SP Current Ask]] * -100, "")</f>
        <v>-1650</v>
      </c>
      <c r="DG292" s="31">
        <f ca="1">IF(ISNUMBER((SnapshotTable[[#This Row],[SP Total Value]])), SnapshotTable[[#This Row],[SP Premium]] + SnapshotTable[[#This Row],[SP Total Value]], "")</f>
        <v>-150</v>
      </c>
      <c r="DH292" s="294">
        <f ca="1">IF(ISNUMBER((SnapshotTable[[#This Row],[SP Total Value]])), SnapshotTable[[#This Row],[SP Gain Loss]] / SnapshotTable[[#This Row],[SP Premium]], "")</f>
        <v>-0.1</v>
      </c>
      <c r="DI292" s="406"/>
      <c r="DJ292" s="138"/>
      <c r="DK292" s="148"/>
      <c r="DL292" s="13"/>
      <c r="DM292" s="13"/>
      <c r="DO292" s="31">
        <f>IF(SnapshotTable[[#This Row],[LC Symbol Count]]=1, SnapshotTable[[#This Row],[LC Qty]] * SnapshotTable[[#This Row],[LC Book Price]] * 100, 0)</f>
        <v>0</v>
      </c>
      <c r="DP292" s="163" t="str">
        <f>IF(AND(SnapshotTable[[#This Row],[LC Exp Date]]&gt;0, SnapshotTable[[#This Row],[LC Strike Price]]&gt;0,SnapshotTable[[#This Row],[LC Qty]]&gt;0,SnapshotTable[[#This Row],[LC Book Date]]&gt;0,SnapshotTable[[#This Row],[LC Book Price]]&gt;0,SnapshotTable[[#This Row],[LC Fill Date]]=0),"Y","")</f>
        <v/>
      </c>
      <c r="DQ292" s="386" t="str">
        <f>IF(SnapshotTable[[#This Row],[LC Premium]] &gt; 0,SnapshotTable[[#This Row],[LC Exp Date]]-MAX(SnapshotTable[[#This Row],[LC Book Date]], SnapshotTable[[#This Row],[LC Fill Date]]),"")</f>
        <v/>
      </c>
      <c r="DR292" s="386" t="str">
        <f>IF(ISNUMBER(SnapshotTable[[#This Row],[LC Term]]), SnapshotTable[[#This Row],[LC Exp Date]] - MockToday, "")</f>
        <v/>
      </c>
      <c r="DS292" s="234" t="str">
        <f>IF(SnapshotTable[[#This Row],[LC Premium]]&gt;0,SnapshotTable[[#This Row],[LC Strike Price]] + SnapshotTable[[#This Row],[LC Book Price]],"")</f>
        <v/>
      </c>
      <c r="DU292" s="9" t="str">
        <f>IF(AND(SnapshotTable[[#This Row],[LC Symbol Count]]&gt;0, SnapshotTable[[#This Row],[LC Contract Value]]&gt;0), SnapshotTable[[#This Row],[LC Contract Value]] * SnapshotTable[[#This Row],[LC Qty]] * 100, "")</f>
        <v/>
      </c>
      <c r="DV292" s="9" t="str">
        <f>IF(AND(ISNUMBER(SnapshotTable[[#This Row],[LC Total Value]]), SnapshotTable[[#This Row],[LC Not Filled]]&lt;&gt;"Y"), SnapshotTable[[#This Row],[LC Total Value]]-SnapshotTable[[#This Row],[LC Premium]],"")</f>
        <v/>
      </c>
      <c r="DW292" s="240" t="str">
        <f>IF(ISNUMBER(SnapshotTable[[#This Row],[LC Actual Gain Loss]]), SnapshotTable[[#This Row],[LC Actual Gain Loss]] / SnapshotTable[[#This Row],[LC Premium]],"")</f>
        <v/>
      </c>
      <c r="DX292" s="284" t="str">
        <f>IF(ISNUMBER(SnapshotTable[[#This Row],[LC Book Price]]),SnapshotTable[[#This Row],[LC Book Price]] * 1.5,"")</f>
        <v/>
      </c>
      <c r="DY292" s="265" t="str">
        <f>IF(SnapshotTable[[#This Row],[LC Premium]]&gt;0, SnapshotTable[[#This Row],[LC Next Target]] * SnapshotTable[[#This Row],[LC Qty]] * 100,"")</f>
        <v/>
      </c>
      <c r="DZ292" s="265" t="str">
        <f>IF(ISNUMBER(SnapshotTable[[#This Row],[LC Target Gross]]), SnapshotTable[[#This Row],[LC Target Gross]] - SnapshotTable[[#This Row],[LC Premium]], "")</f>
        <v/>
      </c>
      <c r="EA292" s="305" t="str">
        <f>IF(ISNUMBER(SnapshotTable[[#This Row],[LC Target Gain Loss]]), SnapshotTable[[#This Row],[LC Target Gain Loss]]/SnapshotTable[[#This Row],[LC Premium]], "")</f>
        <v/>
      </c>
      <c r="EB292" s="262"/>
      <c r="EC292" s="283" t="str">
        <f>IF(SnapshotTable[[#This Row],[LC Premium]]&gt;0, SnapshotTable[[#This Row],[LC Book Price]] * (1 - LC_StopLoss_Pct),"")</f>
        <v/>
      </c>
      <c r="ED292" s="284"/>
      <c r="EE292" s="283" t="str">
        <f>IF(ISNUMBER(SnapshotTable[[#This Row],[LC Contract Value]]),IF(ISNUMBER(SnapshotTable[[#This Row],[LC Stop Loss Override]]), SnapshotTable[[#This Row],[LC Stop Loss Override]],SnapshotTable[[#This Row],[LC Stop Loss Calc Target]]),"")</f>
        <v/>
      </c>
      <c r="EF292" s="31" t="str">
        <f>IF(ISNUMBER(SnapshotTable[[#This Row],[LC Stop  To Use]]), (SnapshotTable[[#This Row],[LC Stop  To Use]] * SnapshotTable[[#This Row],[LC Qty]] * 100),"")</f>
        <v/>
      </c>
      <c r="EG292" s="9" t="str">
        <f>IF(ISNUMBER(SnapshotTable[[#This Row],[LC Total Value]]),SnapshotTable[[#This Row],[LC Stop Loss Amount]] - SnapshotTable[[#This Row],[LC Premium]],"")</f>
        <v/>
      </c>
      <c r="EH292" s="9">
        <f>IF(ISNUMBER(SnapshotTable[[#This Row],[LC Premium]]), SnapshotTable[[#This Row],[LC Qty]] * 100 * SnapshotTable[[#This Row],[LC Strike Price]], "")</f>
        <v>0</v>
      </c>
      <c r="EI292" s="240" t="str">
        <f>IF(AND(ISNUMBER(SnapshotTable[[#This Row],[LC Total Value]]),SnapshotTable[[#This Row],[LC Total Value]]&gt;0),SnapshotTable[[#This Row],[LC Stop Gain Loss]]  / SnapshotTable[[#This Row],[LC Premium]],"")</f>
        <v/>
      </c>
      <c r="EJ292" s="35">
        <f>IF(ISNUMBER(SnapshotTable[[#This Row],[Equity Shares]]),TRUNC(SnapshotTable[[#This Row],[Equity Shares]] / 100),0) + SnapshotTable[[#This Row],[LC Qty]]</f>
        <v>70</v>
      </c>
      <c r="EK292" s="147"/>
      <c r="EL292" s="138" t="str">
        <f>IF(SnapshotTable[[#This Row],[SC Exp Date]]&lt;&gt;"",TRUNC(SnapshotTable[[#This Row],[Last Price]]),"")</f>
        <v/>
      </c>
      <c r="EM292" s="148"/>
      <c r="EN292" s="147"/>
      <c r="EO292" s="147"/>
      <c r="EP292" s="138"/>
      <c r="EQ292" s="419" t="b">
        <f>AND(ISNUMBER(SnapshotTable[[#This Row],[SC Exp Date]]), ISNUMBER(SnapshotTable[[#This Row],[SC Strike Price]]), ISNUMBER(SnapshotTable[[#This Row],[SC Qty]]), ISNUMBER(SnapshotTable[[#This Row],[SC Book Date]]), ISNUMBER(SnapshotTable[[#This Row],[SC Book Price]]))</f>
        <v>0</v>
      </c>
      <c r="ER292" s="419" t="b">
        <f>AND(SnapshotTable[[#This Row],[SC Is Booked]], NOT(ISBLANK(SnapshotTable[[#This Row],[SC Fill Date]])))</f>
        <v>0</v>
      </c>
      <c r="ES292" s="370"/>
      <c r="ET292" s="34" t="str">
        <f>IF(AND(ISNUMBER(SnapshotTable[[#This Row],[SC Exp Date]]), ISNUMBER(SnapshotTable[[#This Row],[SC Book Date]])), SnapshotTable[[#This Row],[SC Exp Date]] - MAX(SnapshotTable[[#This Row],[SC Book Date]], SnapshotTable[[#This Row],[SC Fill Date]]) + 1, "")</f>
        <v/>
      </c>
      <c r="EU292" s="34" t="str">
        <f>IF(ISNUMBER(SnapshotTable[[#This Row],[SC Term]]), SnapshotTable[[#This Row],[SC Exp Date]]- MockToday, "")</f>
        <v/>
      </c>
      <c r="EV292" s="31">
        <f>IF(SnapshotTable[[#This Row],[SC Is Booked]], SnapshotTable[[#This Row],[SC Qty]] * SnapshotTable[[#This Row],[SC Book Price]] * 100, 0)</f>
        <v>0</v>
      </c>
      <c r="EW292" s="4" t="str">
        <f>IF(AND(ISNUMBER(SnapshotTable[[#This Row],[Last Price]]), ISNUMBER( SnapshotTable[[#This Row],[SC Book Price]])), SnapshotTable[[#This Row],[Last Price]] - SnapshotTable[[#This Row],[SC Book Price]],"")</f>
        <v/>
      </c>
      <c r="EX292" s="234" t="str">
        <f>IF(SnapshotTable[[#This Row],[SC Is Booked]],IF(SnapshotTable[[#This Row],[SC Intrinsic Value]] &gt; 0, SnapshotTable[[#This Row],[SC Strike Price]], SnapshotTable[[#This Row],[Last Price]]), "")</f>
        <v/>
      </c>
      <c r="EY292" s="4">
        <f>IF(SnapshotTable[[#This Row],[SC Is Booked]], (MinimumPremiumRequired * SnapshotTable[[#This Row],[SC Basis]] * SnapshotTable[[#This Row],[SC Term]]), 0)</f>
        <v>0</v>
      </c>
      <c r="EZ292" s="283"/>
      <c r="FA292" s="218"/>
      <c r="FB292" s="370"/>
      <c r="FC292" s="4">
        <f>IF(SnapshotTable[[#This Row],[SC Is Filled]], btc_max_buyback_amount(SnapshotTable[[#This Row],[SC Fill Date]],SnapshotTable[[#This Row],[SC Exp Date]], SnapshotTable[[#This Row],[SC Book Price]]),0)</f>
        <v>0</v>
      </c>
      <c r="FD292" s="5"/>
      <c r="FE292" s="144" t="str">
        <f>IF(SnapshotTable[[#This Row],[SC Is Filled]], btc_next_cutoff_date(SnapshotTable[[#This Row],[SC Fill Date]],SnapshotTable[[#This Row],[SC Exp Date]]),"")</f>
        <v/>
      </c>
      <c r="FF292" s="4" t="str" cm="1">
        <f t="array" ref="FF292">IF(SnapshotTable[[#This Row],[SC Is Filled]], btc_should_buy_back(SnapshotTable[[#This Row],[SC Fill Date]], SnapshotTable[[#This Row],[SC Exp Date]], SnapshotTable[[#This Row],[SC Book Price]], SnapshotTable[[#This Row],[SC Current Ask]], MockToday, SnapshotTable[[#This Row],[SC Buyback Override]]),"")</f>
        <v/>
      </c>
      <c r="FG292" s="4">
        <f>IF(SnapshotTable[[#This Row],[SC Is Filled]], MAX(0,SnapshotTable[[#This Row],[Last Price]]  - SnapshotTable[[#This Row],[SC Strike Price]]), 0)</f>
        <v>0</v>
      </c>
      <c r="FH292" s="382">
        <f>IF(SnapshotTable[[#This Row],[SC Is Filled]], IF(ISNUMBER(SnapshotTable[[#This Row],[SC Current Ask]]), SnapshotTable[[#This Row],[SC Current Ask]], SnapshotTable[[#This Row],[SC Book Price]]) - SnapshotTable[[#This Row],[SC Intrinsic Value]], 0)</f>
        <v>0</v>
      </c>
      <c r="FI292" s="143"/>
      <c r="FJ292" s="32" t="str">
        <f>IF(SnapshotTable[[#This Row],[SC Is Filled]],100 * SnapshotTable[[#This Row],[SC Qty]] * IF(ISNUMBER(SnapshotTable[[#This Row],[SC Buyback Override]]), SnapshotTable[[#This Row],[SC Buyback Override]], SnapshotTable[[#This Row],[SC Current Ask]]), "")</f>
        <v/>
      </c>
      <c r="FK292" s="250" t="str">
        <f>IF(SnapshotTable[[#This Row],[SC Time Val]]&gt;0, SnapshotTable[[#This Row],[SC Time Val]] / SnapshotTable[[#This Row],[Last Price]],"")</f>
        <v/>
      </c>
      <c r="FL292" s="302" t="str">
        <f>IF(SnapshotTable[[#This Row],[SC Is Booked]], ((SnapshotTable[[#This Row],[Last Price]] -SnapshotTable[[#This Row],[SC Strike Price]]) / SnapshotTable[[#This Row],[Last Price]]) * -1, "")</f>
        <v/>
      </c>
      <c r="FM292" s="157" t="str">
        <f>IF(SnapshotTable[[#This Row],[SC Is Booked]],  (SnapshotTable[[#This Row],[SC Qty]] * 100 * SnapshotTable[[#This Row],[SC Strike Price]]) - SnapshotTable[[#This Row],[SC Current Ask]], "")</f>
        <v/>
      </c>
      <c r="FN29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2" s="31" t="str">
        <f>IF(AND(ISNUMBER(SnapshotTable[[#This Row],[SC Exercise Gross]]), ISNUMBER(SnapshotTable[[#This Row],[Equity Basis Per Share]] )), SnapshotTable[[#This Row],[SC Exercise Gross]] - SnapshotTable[[#This Row],[Equity Basis Total]] +  SnapshotTable[[#This Row],[SC Premium]], "")</f>
        <v/>
      </c>
      <c r="FP292" s="5" t="str">
        <f>IF(ISNUMBER(SnapshotTable[[#This Row],[SC Exercise Gross]]), (SnapshotTable[[#This Row],[SC Exercise Gross]]) / (SnapshotTable[[#This Row],[SC Qty]] * 100), "")</f>
        <v/>
      </c>
      <c r="FQ292" s="27" t="str">
        <f>IF(SnapshotTable[[#This Row],[SC Is Booked]],SnapshotTable[[#This Row],[SC Time Val]] /SnapshotTable[[#This Row],[SC Basis]], "")</f>
        <v/>
      </c>
      <c r="FR292" s="27" t="str" cm="1">
        <f t="array" ref="FR292">IF(AND(ISNUMBER(SnapshotTable[[#This Row],[SC Term]]),ISNUMBER(SnapshotTable[[#This Row],[SC Simple ROO]])), EllmanAnnualize(SnapshotTable[[#This Row],[SC DTE]], SnapshotTable[[#This Row],[SC Simple ROO]] ),"")</f>
        <v/>
      </c>
      <c r="FS292" s="4" t="e">
        <f>IF(SnapshotTable[[#This Row],[SC Strike Price]] &gt; SnapshotTable[[#This Row],[Last Price]], SnapshotTable[[#This Row],[SC Strike Price]] - SnapshotTable[[#This Row],[Last Price]],0)</f>
        <v>#VALUE!</v>
      </c>
      <c r="FT292" s="27" t="e">
        <f>IF(AND(ISNUMBER(SnapshotTable[[#This Row],[SC Upside Potential]]), SnapshotTable[[#This Row],[SC Upside Potential]] &gt; 0),(SnapshotTable[[#This Row],[SC Upside Potential]]/ SnapshotTable[[#This Row],[ACB]]),"")</f>
        <v>#VALUE!</v>
      </c>
      <c r="FU292" s="333" t="str">
        <f>IF(SnapshotTable[[#This Row],[SC Intrinsic Value]] &gt; 0,SnapshotTable[[#This Row],[SC Intrinsic Value]],"")</f>
        <v/>
      </c>
      <c r="FV292" s="27" t="str">
        <f>IF(AND( ISNUMBER( SnapshotTable[[#This Row],[ACB]]),ISNUMBER(SnapshotTable[[#This Row],[SC Downside Protect]])),SnapshotTable[[#This Row],[SC Downside Protect]] / SnapshotTable[[#This Row],[ACB]],"")</f>
        <v/>
      </c>
      <c r="FW292" s="236" t="str">
        <f>IF(AND(ISNUMBER(SnapshotTable[[#This Row],[SC Simple ROO]]),SnapshotTable[[#This Row],[SC Simple ROO]] &gt; 0), SnapshotTable[[#This Row],[SC Premium]] + (SnapshotTable[[#This Row],[SC Qty]] * SnapshotTable[[#This Row],[SC Upside Potential]]), "")</f>
        <v/>
      </c>
      <c r="FX292" s="302" t="str" cm="1">
        <f t="array" ref="FX292">IF(ISNUMBER(SnapshotTable[[#This Row],[SC Max Dollars]]), annualize(SnapshotTable[[#This Row],[SC Term]],(SnapshotTable[[#This Row],[SC Max Dollars]]/SnapshotTable[[#This Row],[SC Basis]])),"")</f>
        <v/>
      </c>
      <c r="FY292" s="236" t="str">
        <f>IF(AND(SnapshotTable[[#This Row],[SC Qty]]&gt;0,SnapshotTable[[#This Row],[SC Current Ask]]&gt;0), SnapshotTable[[#This Row],[SC Qty]] * SnapshotTable[[#This Row],[SC Current Ask]] * -100, "")</f>
        <v/>
      </c>
      <c r="FZ292" s="31" t="str">
        <f>IF(ISNUMBER((SnapshotTable[[#This Row],[SC Current Value]])), SnapshotTable[[#This Row],[SC Premium]] + SnapshotTable[[#This Row],[SC Current Value]], "")</f>
        <v/>
      </c>
      <c r="GA292" s="294" t="str">
        <f>IFERROR( IF(ISNUMBER((SnapshotTable[[#This Row],[SC Current Value]])), SnapshotTable[[#This Row],[SC Gain Loss]] / SnapshotTable[[#This Row],[SC Premium]], ""), "")</f>
        <v/>
      </c>
      <c r="GB292" s="42">
        <f>SnapshotTable[[#This Row],[Equity Shares]] * SaleSharesToConsiderPercentage</f>
        <v>1400</v>
      </c>
      <c r="GC292" s="40">
        <f>SnapshotTable[[#This Row],[Long Term Target]] * SellingPriceToConsiderBasedOnTargetPercentage</f>
        <v>0</v>
      </c>
      <c r="GD292" s="40">
        <f>SnapshotTable[[#This Row],[Last Price]] * (1+ SellingPriceToConsiderBasedOnTargetPercentage)</f>
        <v>7.5465</v>
      </c>
      <c r="GE292" s="41"/>
      <c r="GF292" s="40"/>
      <c r="GG292" s="31">
        <f>SnapshotTable[[#This Row],[Booked Sale Shares]] * SnapshotTable[[#This Row],[Booked Sale Price]]</f>
        <v>0</v>
      </c>
      <c r="GH292" s="31">
        <f>IF(SnapshotTable[[#This Row],[Equity Basis Total]] &gt; 0, SnapshotTable[[#This Row],[Equity Basis Per Share]] * SnapshotTable[[#This Row],[Booked Sale Shares]], "")</f>
        <v>0</v>
      </c>
      <c r="GI292" s="31">
        <f>IF(SnapshotTable[[#This Row],[Sale Proceeds]]&gt;0, SnapshotTable[[#This Row],[Sale Proceeds]] - SnapshotTable[[#This Row],[Sale Basis]], 0)</f>
        <v>0</v>
      </c>
      <c r="GJ292" s="27" t="str">
        <f>IF(SnapshotTable[[#This Row],[Sale G/L]]&gt;0, SnapshotTable[[#This Row],[Sale G/L]] / SnapshotTable[[#This Row],[Sale Basis]], IF(ISNUMBER(SnapshotTable[[#This Row],[SC Exercise P&amp;L (TAX)]]), SnapshotTable[[#This Row],[SC Exercise P&amp;L (TAX)]] / SnapshotTable[[#This Row],[SC Basis]], ""))</f>
        <v/>
      </c>
      <c r="GK292" s="27" t="s">
        <v>1245</v>
      </c>
      <c r="GL292" s="43" t="str">
        <f>IF(AND(SnapshotTable[[#This Row],[LP Exp Date]]&gt;0,SnapshotTable[[#This Row],[LP Strike Price]]&gt;0), [1]!ToOptionSymbol(SnapshotTable[[#This Row],[Symbol]], SnapshotTable[[#This Row],[LP Strike Price]],SnapshotTable[[#This Row],[LP Exp Date]],1), "")</f>
        <v/>
      </c>
      <c r="GM292" s="30" t="str">
        <f>IF(LEN(SnapshotTable[[#This Row],[LP Symbol]])&gt;0, 1, "")</f>
        <v/>
      </c>
      <c r="GN292" s="43" t="str">
        <f ca="1">IF(AND(SnapshotTable[[#This Row],[SP Exp Date]]&gt;0,SnapshotTable[[#This Row],[SP Strike Price]]&gt;0), [1]!ToOptionSymbol(SnapshotTable[[#This Row],[Symbol]], SnapshotTable[[#This Row],[SP Strike Price]],SnapshotTable[[#This Row],[SP Exp Date]],1), "")</f>
        <v>BTG260918P00003000</v>
      </c>
      <c r="GO292" s="30">
        <f ca="1">IF(LEN(SnapshotTable[[#This Row],[SP Symbol]])&gt;0, 1, "")</f>
        <v>1</v>
      </c>
      <c r="GP292" s="43" t="str">
        <f>IF(AND(SnapshotTable[[#This Row],[LC Exp Date]]&gt;0,SnapshotTable[[#This Row],[LC Strike Price]]&gt;0), [1]!ToOptionSymbol(SnapshotTable[[#This Row],[Symbol]], SnapshotTable[[#This Row],[LC Strike Price]],SnapshotTable[[#This Row],[LC Exp Date]],0), "")</f>
        <v/>
      </c>
      <c r="GQ292" s="30" t="str">
        <f>IF(LEN(SnapshotTable[[#This Row],[LC Symbol]])&gt;0, 1, "")</f>
        <v/>
      </c>
      <c r="GR292" s="43" t="str">
        <f>IF(AND(SnapshotTable[[#This Row],[SC Exp Date]]&gt;0,SnapshotTable[[#This Row],[SC Strike Price]]&gt;0), [1]!ToOptionSymbol(SnapshotTable[[#This Row],[Symbol]], SnapshotTable[[#This Row],[SC Strike Price]],SnapshotTable[[#This Row],[SC Exp Date]],0), "")</f>
        <v/>
      </c>
      <c r="GS292" s="30" t="str">
        <f>IF(LEN(SnapshotTable[[#This Row],[SC Symbol]])&gt;0, 1, "")</f>
        <v/>
      </c>
      <c r="GT292" s="29" t="str">
        <f ca="1">IF(COUNT(SnapshotTable[[#This Row],[LP Symbol Count]],SnapshotTable[[#This Row],[SP Symbol Count]],SnapshotTable[[#This Row],[LC Symbol Count]],SnapshotTable[[#This Row],[SC Symbol Count]])&gt;0, "Y", "")</f>
        <v>Y</v>
      </c>
      <c r="GU292"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v>
      </c>
      <c r="GV292" s="231">
        <f ca="1">MAX(SnapshotTable[[#This Row],[Equity Basis Total]],SnapshotTable[[#This Row],[Equity Value]]) + (SnapshotTable[[#This Row],[SP Potential Spend]]- SnapshotTable[[#This Row],[SP Premium]] + SnapshotTable[[#This Row],[LP Premium]])+ (SnapshotTable[[#This Row],[LC Premium]] - SnapshotTable[[#This Row],[SC Premium]])</f>
        <v>34590</v>
      </c>
      <c r="GW292" s="139" t="e">
        <f ca="1">IF(AND(SnapshotTable[[#This Row],[Exposure]] &lt;&gt; 0),SnapshotTable[[#This Row],[Exposure]] / SnapshotTable[[#Totals],[Exposure]], "")</f>
        <v>#VALUE!</v>
      </c>
      <c r="GX292" s="13"/>
      <c r="HK292" s="1"/>
      <c r="HL292" s="1"/>
      <c r="HM292" s="1"/>
      <c r="HN292" s="1"/>
      <c r="HO292" s="1"/>
      <c r="HP292" s="1"/>
    </row>
    <row r="293" spans="2:224" s="47" customFormat="1" ht="12.75" hidden="1" customHeight="1" x14ac:dyDescent="0.25">
      <c r="B293" s="12" t="s">
        <v>197</v>
      </c>
      <c r="C293" s="422">
        <v>137.91999999999999</v>
      </c>
      <c r="D293" s="208"/>
      <c r="E293" s="39">
        <f>SnapshotTable[[#This Row],[Last Price]]*(1 -CrashDiscount)</f>
        <v>117.23199999999999</v>
      </c>
      <c r="F293" s="26" t="s">
        <v>124</v>
      </c>
      <c r="G293" s="26" t="s">
        <v>14</v>
      </c>
      <c r="H293" s="149"/>
      <c r="I293" s="194">
        <v>44790.270833333336</v>
      </c>
      <c r="J293" s="195">
        <v>44790.270833333336</v>
      </c>
      <c r="K293" s="196"/>
      <c r="L293" s="326"/>
      <c r="M293" s="140"/>
      <c r="N293" s="140"/>
      <c r="O293" s="140"/>
      <c r="P293" s="22"/>
      <c r="Q293" s="25"/>
      <c r="R293" s="4" t="str">
        <f>IF(SnapshotTable[[#This Row],[Equity Basis Total]] &gt; 0, SnapshotTable[[#This Row],[Equity Basis Total]] / SnapshotTable[[#This Row],[Equity Shares]], "")</f>
        <v/>
      </c>
      <c r="S293" s="269">
        <f>SnapshotTable[[#This Row],[Last Price]] * SnapshotTable[[#This Row],[Equity Shares]]</f>
        <v>0</v>
      </c>
      <c r="T293" s="269">
        <f>SnapshotTable[[#This Row],[Equity Value]] - SnapshotTable[[#This Row],[Equity Basis Total]]</f>
        <v>0</v>
      </c>
      <c r="U293" s="270" t="str">
        <f>IF(SnapshotTable[[#This Row],[Equity Basis Total]] &gt; 0, SnapshotTable[[#This Row],[Equity G/L]] / SnapshotTable[[#This Row],[Equity Basis Total]], "")</f>
        <v/>
      </c>
      <c r="V293" s="268"/>
      <c r="W293" s="268"/>
      <c r="X293" s="4" t="str">
        <f>IF(AND(ISNUMBER(SnapshotTable[[#This Row],[Equity Basis Per Share]]),ISNUMBER(SnapshotTable[[#This Row],[Equity Target]])),SnapshotTable[[#This Row],[Equity Target]]-SnapshotTable[[#This Row],[Equity Basis Per Share]],"")</f>
        <v/>
      </c>
      <c r="Y293" s="4" t="str">
        <f>IF(AND(ISNUMBER(SnapshotTable[[#This Row],[Equity Basis Per Share]]),ISNUMBER(SnapshotTable[[#This Row],[Equity Stop Loss]])),SnapshotTable[[#This Row],[Equity Stop Loss]]-SnapshotTable[[#This Row],[Equity Basis Per Share]],"")</f>
        <v/>
      </c>
      <c r="Z293" s="275" t="str">
        <f>IFERROR( TEXT(SnapshotTable[[#This Row],[Equity Max Gain Per Share]] /ABS( SnapshotTable[[#This Row],[Equity Max Loss Per Share]]),"0.0 " ) &amp; " : 1", "")</f>
        <v/>
      </c>
      <c r="AA293" s="31" t="str">
        <f>IF(ISNUMBER(SnapshotTable[[#This Row],[Equity Max Gain Per Share]]),SnapshotTable[[#This Row],[Equity Max Gain Per Share]] * SnapshotTable[[#This Row],[Equity Shares]],"")</f>
        <v/>
      </c>
      <c r="AB293" s="31" t="str">
        <f>IF(ISNUMBER(SnapshotTable[[#This Row],[Equity Max Loss Per Share]]),SnapshotTable[[#This Row],[Equity Max Loss Per Share]] * SnapshotTable[[#This Row],[Equity Shares]],"")</f>
        <v/>
      </c>
      <c r="AC293" s="150">
        <v>1</v>
      </c>
      <c r="AD293" s="151">
        <v>42732</v>
      </c>
      <c r="AE293" s="31">
        <f>(SnapshotTable[[#This Row],[Annual Dividend Per Share]] / 4) * SnapshotTable[[#This Row],[Equity Shares]]</f>
        <v>0</v>
      </c>
      <c r="AF293" s="31">
        <f>SnapshotTable[[#This Row],[Quarterly Div $]] * 4</f>
        <v>0</v>
      </c>
      <c r="AG293" s="7">
        <f>IF(SnapshotTable[[#This Row],[Annual Dividend Per Share]]&gt;0, SnapshotTable[[#This Row],[Annual Dividend Per Share]]  / SnapshotTable[[#This Row],[Last Price]], 0)</f>
        <v>7.2505800464037129E-3</v>
      </c>
      <c r="AH293" s="151">
        <v>43789</v>
      </c>
      <c r="AI293" s="5"/>
      <c r="AJ293" s="138">
        <v>124.39</v>
      </c>
      <c r="AK293" s="152" t="str">
        <f>IF(ISNUMBER( SnapshotTable[[#This Row],[EBF Target]]),(SnapshotTable[[#This Row],[EBF Target]] - SnapshotTable[[#This Row],[Last Price]]) / SnapshotTable[[#This Row],[Last Price]], "")</f>
        <v/>
      </c>
      <c r="AL293" s="152" t="str">
        <f>IF(AND(SnapshotTable[[#This Row],[Equity Basis Total]] &gt; 0,ISNUMBER( SnapshotTable[[#This Row],[Long Term Target]])), SnapshotTable[[#This Row],[From Basis $]] / SnapshotTable[[#This Row],[Equity Basis Total]], "")</f>
        <v/>
      </c>
      <c r="AM293" s="9">
        <f>IF( AND(SnapshotTable[[#This Row],[Equity Shares]] &gt;0,ISNUMBER( SnapshotTable[[#This Row],[Long Term Target]])),(SnapshotTable[[#This Row],[Equity Shares]] * SnapshotTable[[#This Row],[Long Term Target]]) - SnapshotTable[[#This Row],[Equity Basis Total]],0)</f>
        <v>0</v>
      </c>
      <c r="AN293" s="9">
        <f>IF( AND(SnapshotTable[[#This Row],[Equity Shares]] &gt;0,ISNUMBER( SnapshotTable[[#This Row],[Long Term Target]])),(SnapshotTable[[#This Row],[Equity Shares]]*SnapshotTable[[#This Row],[Long Term Target]]) - SnapshotTable[[#This Row],[Equity Value]],0)</f>
        <v>0</v>
      </c>
      <c r="AO293" s="152">
        <f>IF(AND(ISNUMBER( SnapshotTable[[#This Row],[Long Term Target]]), ISNUMBER(SnapshotTable[[#This Row],[Last Price]])),(SnapshotTable[[#This Row],[Long Term Target]] - SnapshotTable[[#This Row],[Last Price]]) / SnapshotTable[[#This Row],[Last Price]], "")</f>
        <v>-9.8100348027842135E-2</v>
      </c>
      <c r="AP293" s="5">
        <v>165</v>
      </c>
      <c r="AQ293" s="38" t="s">
        <v>110</v>
      </c>
      <c r="AR293" s="5">
        <v>157.5</v>
      </c>
      <c r="AS293" s="38" t="s">
        <v>109</v>
      </c>
      <c r="AT293" s="146" t="s">
        <v>533</v>
      </c>
      <c r="AU293" s="187" t="str">
        <f>IF(OR(SnapshotTable[[#This Row],[LP No Fill]]="Y",SnapshotTable[[#This Row],[SP Is Filled]],SnapshotTable[[#This Row],[LC Not Filled]]="Y",SnapshotTable[[#This Row],[SC Is Filled]]),"Y","")</f>
        <v/>
      </c>
      <c r="AV293" s="219"/>
      <c r="AW293" s="225"/>
      <c r="AX293" s="220"/>
      <c r="AY293" s="219" t="str">
        <f>IF(SnapshotTable[[#This Row],[Implied Move]]&gt;0, SnapshotTable[[#This Row],[Last Price]]-SnapshotTable[[#This Row],[Implied Move]],"")</f>
        <v/>
      </c>
      <c r="AZ293" s="219" t="str">
        <f>IF(SnapshotTable[[#This Row],[Implied Move]]&gt;0, SnapshotTable[[#This Row],[Last Price]] + SnapshotTable[[#This Row],[Implied Move]],"")</f>
        <v/>
      </c>
      <c r="BA293" s="331">
        <v>1.1000000000000001</v>
      </c>
      <c r="BB293" s="347"/>
      <c r="BC29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3" s="351"/>
      <c r="BE293" s="5"/>
      <c r="BF293" s="14"/>
      <c r="BG293" s="13"/>
      <c r="BH293" s="13"/>
      <c r="BI293" s="5"/>
      <c r="BJ293" s="136">
        <f>IF(SnapshotTable[[#This Row],[LP Qty]] &gt; 0, SnapshotTable[[#This Row],[LP Qty]] * SnapshotTable[[#This Row],[LP Book Price]] * 100,0)</f>
        <v>0</v>
      </c>
      <c r="BK293" s="136">
        <f>IF(SnapshotTable[[#This Row],[LP Premium]] &gt; 0, SnapshotTable[[#This Row],[LP Qty]] * SnapshotTable[[#This Row],[LP Strike Price]] * 100,0)</f>
        <v>0</v>
      </c>
      <c r="BL293" s="154"/>
      <c r="BM293" s="385" t="str">
        <f>IF(SnapshotTable[[#This Row],[LP Premium]] &gt; 0,SnapshotTable[[#This Row],[LP Exp Date]]-MAX(SnapshotTable[[#This Row],[LP Book Date]], SnapshotTable[[#This Row],[LP Fill Date]]),"")</f>
        <v/>
      </c>
      <c r="BN293" s="385" t="str">
        <f>IF(ISNUMBER( SnapshotTable[[#This Row],[LP Term]]), SnapshotTable[[#This Row],[LP Exp Date]] - MockToday,"")</f>
        <v/>
      </c>
      <c r="BO293" s="163" t="str">
        <f>IF(AND(SnapshotTable[[#This Row],[LP Exp Date]]&gt;0, SnapshotTable[[#This Row],[LP Strike Price]]&gt;0,SnapshotTable[[#This Row],[LP Qty]]&gt;0,SnapshotTable[[#This Row],[LP Book Date]]&gt;0,SnapshotTable[[#This Row],[LP Book Price]]&gt;0,SnapshotTable[[#This Row],[LP Fill Date]]=0),"Y","")</f>
        <v/>
      </c>
      <c r="BP293" s="31" t="str">
        <f>IF(AND(SnapshotTable[[#This Row],[LP No Fill]]&lt;&gt;"Y",SnapshotTable[[#This Row],[LP Contract Value]]&gt;0, SnapshotTable[[#This Row],[LP Qty]]&gt;0), SnapshotTable[[#This Row],[LP Contract Value]]*SnapshotTable[[#This Row],[LP Qty]]*100,"")</f>
        <v/>
      </c>
      <c r="BQ293" s="13"/>
      <c r="BR293" s="5" t="str">
        <f>IF(SnapshotTable[[#This Row],[SP Exp Date]]&lt;&gt;"",TRUNC(SnapshotTable[[#This Row],[Last Price]]),"")</f>
        <v/>
      </c>
      <c r="BS293" s="36"/>
      <c r="BT293" s="147"/>
      <c r="BU293" s="13"/>
      <c r="BV293" s="5"/>
      <c r="BW293" s="419" t="b">
        <f>AND(ISNUMBER(SnapshotTable[[#This Row],[SP Exp Date]]), ISNUMBER(SnapshotTable[[#This Row],[SP Strike Price]]), ISNUMBER(SnapshotTable[[#This Row],[SP Qty]]), ISNUMBER(SnapshotTable[[#This Row],[SP Book Date]]), ISNUMBER(SnapshotTable[[#This Row],[SP Book Price]]))</f>
        <v>0</v>
      </c>
      <c r="BX293" s="419" t="b">
        <f>AND(SnapshotTable[[#This Row],[SP Is Booked]], NOT(ISBLANK(SnapshotTable[[#This Row],[SP Fill Date]])))</f>
        <v>0</v>
      </c>
      <c r="BY293" s="33">
        <f>IF(SnapshotTable[[#This Row],[SP Is Booked]], SnapshotTable[[#This Row],[SP Qty]] * SnapshotTable[[#This Row],[SP Book Price]] * 100, 0)</f>
        <v>0</v>
      </c>
      <c r="BZ293" s="369"/>
      <c r="CA293" s="368">
        <f>SnapshotTable[[#This Row],[LP Qty]]</f>
        <v>0</v>
      </c>
      <c r="CB293" s="4" t="str">
        <f>IF(SnapshotTable[[#This Row],[SP Is Booked]], SnapshotTable[[#This Row],[SP Strike Price]] - SnapshotTable[[#This Row],[SP Book Price]], "")</f>
        <v/>
      </c>
      <c r="CC293" s="19" t="str">
        <f>IF(SnapshotTable[[#This Row],[SP Is Booked]],SnapshotTable[[#This Row],[SP Exp Date]]-MAX(SnapshotTable[[#This Row],[SP Book Date]], SnapshotTable[[#This Row],[SP Fill Date]]),"")</f>
        <v/>
      </c>
      <c r="CD293" s="7" t="str">
        <f>IF(SnapshotTable[[#This Row],[SP Is Booked]], SnapshotTable[[#This Row],[SP Book Price]]/SnapshotTable[[#This Row],[SP Strike Price]], "")</f>
        <v/>
      </c>
      <c r="CE293" s="7" t="str">
        <f>IF(ISNUMBER(SnapshotTable[[#This Row],[SP ROO Term]]),SnapshotTable[[#This Row],[SP ROO Term]]*(365/SnapshotTable[[#This Row],[SP Term]]),"")</f>
        <v/>
      </c>
      <c r="CF293" s="236">
        <f>SnapshotTable[[#This Row],[LP Strike Price]] * SnapshotTable[[#This Row],[LP Qty]] * 100</f>
        <v>0</v>
      </c>
      <c r="CG293" s="31" t="e">
        <f>IF(ISNUMBER(SnapshotTable[[#This Row],[SP Premium]]), (SnapshotTable[[#This Row],[SP Qty]] * SnapshotTable[[#This Row],[SP Strike Price]]* 100) - SnapshotTable[[#This Row],[LP Protection]], 0)</f>
        <v>#VALUE!</v>
      </c>
      <c r="CH293" s="7" t="str">
        <f>IF(ISNUMBER(SnapshotTable[[#This Row],[SP Break Even]]),-1 * (SnapshotTable[[#This Row],[SP Break Even]] - SnapshotTable[[#This Row],[Last Price]]) / SnapshotTable[[#This Row],[Last Price]], "")</f>
        <v/>
      </c>
      <c r="CI293" s="31">
        <f>IF(AND(ISNUMBER((SnapshotTable[[#This Row],[SP Potential Spend]])), SnapshotTable[[#This Row],[SP Strike Price]] &gt; SnapshotTable[[#This Row],[Last Price]], SnapshotTable[[#This Row],[SP Is Filled]]), SnapshotTable[[#This Row],[SP Potential Spend]] -  SnapshotTable[[#This Row],[LP Max Value]], 0)</f>
        <v>0</v>
      </c>
      <c r="CJ293" s="244"/>
      <c r="CK293" s="31" t="str">
        <f>IF(ISNUMBER(SnapshotTable[[#This Row],[SP Potential Spend]]),IF(ISNUMBER(SnapshotTable[[#This Row],[SP POW]]), SnapshotTable[[#This Row],[SP POW]] * SnapshotTable[[#This Row],[SP Potential Spend]], SnapshotTable[[#This Row],[SP Potential Spend]]), "")</f>
        <v/>
      </c>
      <c r="CL293" s="164" t="e">
        <f>IF(NOT(SnapshotTable[[#This Row],[SP Is Filled]]),(SnapshotTable[[#This Row],[SP Qty]] * SnapshotTable[[#This Row],[SP Strike Price]] * 100) - SnapshotTable[[#This Row],[LP Max Value]],"")</f>
        <v>#VALUE!</v>
      </c>
      <c r="CM293" s="31" t="str">
        <f>IF(SnapshotTable[[#This Row],[SP Actual Spend]]&lt;&gt;0, ((SnapshotTable[[#This Row],[SP Strike Price]]-SnapshotTable[[#This Row],[Last Price]]) *(SnapshotTable[[#This Row],[SP Qty]]*100) - SnapshotTable[[#This Row],[SP Premium]]) * - 1, "")</f>
        <v/>
      </c>
      <c r="CN293" s="78"/>
      <c r="CO293" s="369"/>
      <c r="CP293" s="4" t="str">
        <f>IF(SnapshotTable[[#This Row],[SP Is Filled]], btc_max_buyback_amount(SnapshotTable[[#This Row],[SP Fill Date]],SnapshotTable[[#This Row],[SP Exp Date]], SnapshotTable[[#This Row],[SP Book Price]]),"")</f>
        <v/>
      </c>
      <c r="CQ293" s="78"/>
      <c r="CR29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3" s="155" t="str">
        <f>IF(SnapshotTable[[#This Row],[SP Is Filled]], btc_next_cutoff_date(SnapshotTable[[#This Row],[SP Fill Date]],SnapshotTable[[#This Row],[SP Exp Date]]),"")</f>
        <v/>
      </c>
      <c r="CT293" s="235" t="str" cm="1">
        <f t="array" ref="CT293">IF(SnapshotTable[[#This Row],[SP Is Filled]], btc_should_buy_back(SnapshotTable[[#This Row],[SP Fill Date]], SnapshotTable[[#This Row],[SP Exp Date]], SnapshotTable[[#This Row],[SP Book Price]], SnapshotTable[[#This Row],[SP Current Ask]], MockToday, SnapshotTable[[#This Row],[SP Buyback Override]]),"")</f>
        <v/>
      </c>
      <c r="CU293" s="143"/>
      <c r="CV293" s="235"/>
      <c r="CW293" s="378" t="str">
        <f>IF(ISNUMBER( SnapshotTable[[#This Row],[SP Term]]), SnapshotTable[[#This Row],[SP Exp Date]] - MockToday,"")</f>
        <v/>
      </c>
      <c r="CX293" s="31" t="str">
        <f>IF(SnapshotTable[[#This Row],[SP Is Filled]],SnapshotTable[[#This Row],[SP Buyback Price to Use]] * 100 * SnapshotTable[[#This Row],[SP Qty]], "")</f>
        <v/>
      </c>
      <c r="CY293" s="4" t="str">
        <f>IF(ISNUMBER(SnapshotTable[[#This Row],[SP Strike Price]]), SnapshotTable[[#This Row],[SP Strike Price]] * (1 - SP_MaxLoss_StrikePct), "")</f>
        <v/>
      </c>
      <c r="CZ293" s="31" t="str">
        <f>IF(ISNUMBER(SnapshotTable[[#This Row],[SP Strike  Stop Per Share]]),SnapshotTable[[#This Row],[SP Premium]] - ((SnapshotTable[[#This Row],[SP Strike Price]]-SnapshotTable[[#This Row],[SP Strike  Stop Per Share]]) *(SnapshotTable[[#This Row],[SP Qty]] * 100)),"")</f>
        <v/>
      </c>
      <c r="DA293" s="4" t="str">
        <f>IF(AND(ISNUMBER(SnapshotTable[[#This Row],[SP Premium]]),SnapshotTable[[#This Row],[SP Premium]]&gt;0), SnapshotTable[[#This Row],[SP Book Price]] * (1 + SP_MaxLoss_OptionPct), "")</f>
        <v/>
      </c>
      <c r="DB293" s="31" t="str">
        <f>IF(ISNUMBER(SnapshotTable[[#This Row],[SP Option  Stop Contract]]),(SnapshotTable[[#This Row],[SP Option  Stop Contract]] *(SnapshotTable[[#This Row],[SP Qty]] * 100) - SnapshotTable[[#This Row],[SP Premium]]),"")</f>
        <v/>
      </c>
      <c r="DC293" s="4"/>
      <c r="DD293" s="4"/>
      <c r="DE293" s="4" t="str">
        <f>IF(AND(SnapshotTable[[#This Row],[SP Qty]]&gt;0, SnapshotTable[[#This Row],[SP Stop To Use]]&gt;0),SnapshotTable[[#This Row],[SP Premium]] - ( SnapshotTable[[#This Row],[SP Qty]] * SnapshotTable[[#This Row],[SP Stop To Use]] * 100), "")</f>
        <v/>
      </c>
      <c r="DF293" s="31" t="str">
        <f>IF(AND(SnapshotTable[[#This Row],[SP Qty]]&gt;0,SnapshotTable[[#This Row],[SP Current Ask]]&gt;0), SnapshotTable[[#This Row],[SP Qty]] * SnapshotTable[[#This Row],[SP Current Ask]] * -100, "")</f>
        <v/>
      </c>
      <c r="DG293" s="31" t="str">
        <f>IF(ISNUMBER((SnapshotTable[[#This Row],[SP Total Value]])), SnapshotTable[[#This Row],[SP Premium]] + SnapshotTable[[#This Row],[SP Total Value]], "")</f>
        <v/>
      </c>
      <c r="DH293" s="294" t="str">
        <f>IF(ISNUMBER((SnapshotTable[[#This Row],[SP Total Value]])), SnapshotTable[[#This Row],[SP Gain Loss]] / SnapshotTable[[#This Row],[SP Premium]], "")</f>
        <v/>
      </c>
      <c r="DI293" s="406"/>
      <c r="DJ293" s="138"/>
      <c r="DK293" s="148"/>
      <c r="DL293" s="13"/>
      <c r="DM293" s="13"/>
      <c r="DN293" s="5"/>
      <c r="DO293" s="31">
        <f>IF(SnapshotTable[[#This Row],[LC Symbol Count]]=1, SnapshotTable[[#This Row],[LC Qty]] * SnapshotTable[[#This Row],[LC Book Price]] * 100, 0)</f>
        <v>0</v>
      </c>
      <c r="DP293" s="163" t="str">
        <f>IF(AND(SnapshotTable[[#This Row],[LC Exp Date]]&gt;0, SnapshotTable[[#This Row],[LC Strike Price]]&gt;0,SnapshotTable[[#This Row],[LC Qty]]&gt;0,SnapshotTable[[#This Row],[LC Book Date]]&gt;0,SnapshotTable[[#This Row],[LC Book Price]]&gt;0,SnapshotTable[[#This Row],[LC Fill Date]]=0),"Y","")</f>
        <v/>
      </c>
      <c r="DQ293" s="386" t="str">
        <f>IF(SnapshotTable[[#This Row],[LC Premium]] &gt; 0,SnapshotTable[[#This Row],[LC Exp Date]]-MAX(SnapshotTable[[#This Row],[LC Book Date]], SnapshotTable[[#This Row],[LC Fill Date]]),"")</f>
        <v/>
      </c>
      <c r="DR293" s="386" t="str">
        <f>IF(ISNUMBER(SnapshotTable[[#This Row],[LC Term]]), SnapshotTable[[#This Row],[LC Exp Date]] - MockToday, "")</f>
        <v/>
      </c>
      <c r="DS293" s="234" t="str">
        <f>IF(SnapshotTable[[#This Row],[LC Premium]]&gt;0,SnapshotTable[[#This Row],[LC Strike Price]] + SnapshotTable[[#This Row],[LC Book Price]],"")</f>
        <v/>
      </c>
      <c r="DT293" s="5"/>
      <c r="DU293" s="9" t="str">
        <f>IF(AND(SnapshotTable[[#This Row],[LC Symbol Count]]&gt;0, SnapshotTable[[#This Row],[LC Contract Value]]&gt;0), SnapshotTable[[#This Row],[LC Contract Value]] * SnapshotTable[[#This Row],[LC Qty]] * 100, "")</f>
        <v/>
      </c>
      <c r="DV293" s="9" t="str">
        <f>IF(AND(ISNUMBER(SnapshotTable[[#This Row],[LC Total Value]]), SnapshotTable[[#This Row],[LC Not Filled]]&lt;&gt;"Y"), SnapshotTable[[#This Row],[LC Total Value]]-SnapshotTable[[#This Row],[LC Premium]],"")</f>
        <v/>
      </c>
      <c r="DW293" s="240" t="str">
        <f>IF(ISNUMBER(SnapshotTable[[#This Row],[LC Actual Gain Loss]]), SnapshotTable[[#This Row],[LC Actual Gain Loss]] / SnapshotTable[[#This Row],[LC Premium]],"")</f>
        <v/>
      </c>
      <c r="DX293" s="284" t="str">
        <f>IF(ISNUMBER(SnapshotTable[[#This Row],[LC Book Price]]),SnapshotTable[[#This Row],[LC Book Price]] * 1.5,"")</f>
        <v/>
      </c>
      <c r="DY293" s="265" t="str">
        <f>IF(SnapshotTable[[#This Row],[LC Premium]]&gt;0, SnapshotTable[[#This Row],[LC Next Target]] * SnapshotTable[[#This Row],[LC Qty]] * 100,"")</f>
        <v/>
      </c>
      <c r="DZ293" s="265" t="str">
        <f>IF(ISNUMBER(SnapshotTable[[#This Row],[LC Target Gross]]), SnapshotTable[[#This Row],[LC Target Gross]] - SnapshotTable[[#This Row],[LC Premium]], "")</f>
        <v/>
      </c>
      <c r="EA293" s="305" t="str">
        <f>IF(ISNUMBER(SnapshotTable[[#This Row],[LC Target Gain Loss]]), SnapshotTable[[#This Row],[LC Target Gain Loss]]/SnapshotTable[[#This Row],[LC Premium]], "")</f>
        <v/>
      </c>
      <c r="EB293" s="262"/>
      <c r="EC293" s="283" t="str">
        <f>IF(SnapshotTable[[#This Row],[LC Premium]]&gt;0, SnapshotTable[[#This Row],[LC Book Price]] * (1 - LC_StopLoss_Pct),"")</f>
        <v/>
      </c>
      <c r="ED293" s="284"/>
      <c r="EE293" s="283" t="str">
        <f>IF(ISNUMBER(SnapshotTable[[#This Row],[LC Contract Value]]),IF(ISNUMBER(SnapshotTable[[#This Row],[LC Stop Loss Override]]), SnapshotTable[[#This Row],[LC Stop Loss Override]],SnapshotTable[[#This Row],[LC Stop Loss Calc Target]]),"")</f>
        <v/>
      </c>
      <c r="EF293" s="31" t="str">
        <f>IF(ISNUMBER(SnapshotTable[[#This Row],[LC Stop  To Use]]), (SnapshotTable[[#This Row],[LC Stop  To Use]] * SnapshotTable[[#This Row],[LC Qty]] * 100),"")</f>
        <v/>
      </c>
      <c r="EG293" s="9" t="str">
        <f>IF(ISNUMBER(SnapshotTable[[#This Row],[LC Total Value]]),SnapshotTable[[#This Row],[LC Stop Loss Amount]] - SnapshotTable[[#This Row],[LC Premium]],"")</f>
        <v/>
      </c>
      <c r="EH293" s="9">
        <f>IF(ISNUMBER(SnapshotTable[[#This Row],[LC Premium]]), SnapshotTable[[#This Row],[LC Qty]] * 100 * SnapshotTable[[#This Row],[LC Strike Price]], "")</f>
        <v>0</v>
      </c>
      <c r="EI293" s="240" t="str">
        <f>IF(AND(ISNUMBER(SnapshotTable[[#This Row],[LC Total Value]]),SnapshotTable[[#This Row],[LC Total Value]]&gt;0),SnapshotTable[[#This Row],[LC Stop Gain Loss]]  / SnapshotTable[[#This Row],[LC Premium]],"")</f>
        <v/>
      </c>
      <c r="EJ293" s="35">
        <f>IF(ISNUMBER(SnapshotTable[[#This Row],[Equity Shares]]),TRUNC(SnapshotTable[[#This Row],[Equity Shares]] / 100),0) + SnapshotTable[[#This Row],[LC Qty]]</f>
        <v>0</v>
      </c>
      <c r="EK293" s="147"/>
      <c r="EL293" s="138" t="str">
        <f>IF(SnapshotTable[[#This Row],[SC Exp Date]]&lt;&gt;"",TRUNC(SnapshotTable[[#This Row],[Last Price]]),"")</f>
        <v/>
      </c>
      <c r="EM293" s="148"/>
      <c r="EN293" s="147"/>
      <c r="EO293" s="147"/>
      <c r="EP293" s="138"/>
      <c r="EQ293" s="419" t="b">
        <f>AND(ISNUMBER(SnapshotTable[[#This Row],[SC Exp Date]]), ISNUMBER(SnapshotTable[[#This Row],[SC Strike Price]]), ISNUMBER(SnapshotTable[[#This Row],[SC Qty]]), ISNUMBER(SnapshotTable[[#This Row],[SC Book Date]]), ISNUMBER(SnapshotTable[[#This Row],[SC Book Price]]))</f>
        <v>0</v>
      </c>
      <c r="ER293" s="419" t="b">
        <f>AND(SnapshotTable[[#This Row],[SC Is Booked]], NOT(ISBLANK(SnapshotTable[[#This Row],[SC Fill Date]])))</f>
        <v>0</v>
      </c>
      <c r="ES293" s="370"/>
      <c r="ET293" s="34" t="str">
        <f>IF(AND(ISNUMBER(SnapshotTable[[#This Row],[SC Exp Date]]), ISNUMBER(SnapshotTable[[#This Row],[SC Book Date]])), SnapshotTable[[#This Row],[SC Exp Date]] - MAX(SnapshotTable[[#This Row],[SC Book Date]], SnapshotTable[[#This Row],[SC Fill Date]]) + 1, "")</f>
        <v/>
      </c>
      <c r="EU293" s="34" t="str">
        <f>IF(ISNUMBER(SnapshotTable[[#This Row],[SC Term]]), SnapshotTable[[#This Row],[SC Exp Date]]- MockToday, "")</f>
        <v/>
      </c>
      <c r="EV293" s="31">
        <f>IF(SnapshotTable[[#This Row],[SC Is Booked]], SnapshotTable[[#This Row],[SC Qty]] * SnapshotTable[[#This Row],[SC Book Price]] * 100, 0)</f>
        <v>0</v>
      </c>
      <c r="EW293" s="4" t="str">
        <f>IF(AND(ISNUMBER(SnapshotTable[[#This Row],[Last Price]]), ISNUMBER( SnapshotTable[[#This Row],[SC Book Price]])), SnapshotTable[[#This Row],[Last Price]] - SnapshotTable[[#This Row],[SC Book Price]],"")</f>
        <v/>
      </c>
      <c r="EX293" s="234" t="str">
        <f>IF(SnapshotTable[[#This Row],[SC Is Booked]],IF(SnapshotTable[[#This Row],[SC Intrinsic Value]] &gt; 0, SnapshotTable[[#This Row],[SC Strike Price]], SnapshotTable[[#This Row],[Last Price]]), "")</f>
        <v/>
      </c>
      <c r="EY293" s="4">
        <f>IF(SnapshotTable[[#This Row],[SC Is Booked]], (MinimumPremiumRequired * SnapshotTable[[#This Row],[SC Basis]] * SnapshotTable[[#This Row],[SC Term]]), 0)</f>
        <v>0</v>
      </c>
      <c r="EZ293" s="283"/>
      <c r="FA293" s="218"/>
      <c r="FB293" s="370"/>
      <c r="FC293" s="4">
        <f>IF(SnapshotTable[[#This Row],[SC Is Filled]], btc_max_buyback_amount(SnapshotTable[[#This Row],[SC Fill Date]],SnapshotTable[[#This Row],[SC Exp Date]], SnapshotTable[[#This Row],[SC Book Price]]),0)</f>
        <v>0</v>
      </c>
      <c r="FD293" s="5"/>
      <c r="FE293" s="144" t="str">
        <f>IF(SnapshotTable[[#This Row],[SC Is Filled]], btc_next_cutoff_date(SnapshotTable[[#This Row],[SC Fill Date]],SnapshotTable[[#This Row],[SC Exp Date]]),"")</f>
        <v/>
      </c>
      <c r="FF293" s="4" t="str" cm="1">
        <f t="array" ref="FF293">IF(SnapshotTable[[#This Row],[SC Is Filled]], btc_should_buy_back(SnapshotTable[[#This Row],[SC Fill Date]], SnapshotTable[[#This Row],[SC Exp Date]], SnapshotTable[[#This Row],[SC Book Price]], SnapshotTable[[#This Row],[SC Current Ask]], MockToday, SnapshotTable[[#This Row],[SC Buyback Override]]),"")</f>
        <v/>
      </c>
      <c r="FG293" s="4">
        <f>IF(SnapshotTable[[#This Row],[SC Is Filled]], MAX(0,SnapshotTable[[#This Row],[Last Price]]  - SnapshotTable[[#This Row],[SC Strike Price]]), 0)</f>
        <v>0</v>
      </c>
      <c r="FH293" s="382">
        <f>IF(SnapshotTable[[#This Row],[SC Is Filled]], IF(ISNUMBER(SnapshotTable[[#This Row],[SC Current Ask]]), SnapshotTable[[#This Row],[SC Current Ask]], SnapshotTable[[#This Row],[SC Book Price]]) - SnapshotTable[[#This Row],[SC Intrinsic Value]], 0)</f>
        <v>0</v>
      </c>
      <c r="FI293" s="143"/>
      <c r="FJ293" s="32" t="str">
        <f>IF(SnapshotTable[[#This Row],[SC Is Filled]],100 * SnapshotTable[[#This Row],[SC Qty]] * IF(ISNUMBER(SnapshotTable[[#This Row],[SC Buyback Override]]), SnapshotTable[[#This Row],[SC Buyback Override]], SnapshotTable[[#This Row],[SC Current Ask]]), "")</f>
        <v/>
      </c>
      <c r="FK293" s="250" t="str">
        <f>IF(SnapshotTable[[#This Row],[SC Time Val]]&gt;0, SnapshotTable[[#This Row],[SC Time Val]] / SnapshotTable[[#This Row],[Last Price]],"")</f>
        <v/>
      </c>
      <c r="FL293" s="302" t="str">
        <f>IF(SnapshotTable[[#This Row],[SC Is Booked]], ((SnapshotTable[[#This Row],[Last Price]] -SnapshotTable[[#This Row],[SC Strike Price]]) / SnapshotTable[[#This Row],[Last Price]]) * -1, "")</f>
        <v/>
      </c>
      <c r="FM293" s="157" t="str">
        <f>IF(SnapshotTable[[#This Row],[SC Is Booked]],  (SnapshotTable[[#This Row],[SC Qty]] * 100 * SnapshotTable[[#This Row],[SC Strike Price]]) - SnapshotTable[[#This Row],[SC Current Ask]], "")</f>
        <v/>
      </c>
      <c r="FN29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3" s="31" t="str">
        <f>IF(AND(ISNUMBER(SnapshotTable[[#This Row],[SC Exercise Gross]]), ISNUMBER(SnapshotTable[[#This Row],[Equity Basis Per Share]] )), SnapshotTable[[#This Row],[SC Exercise Gross]] - SnapshotTable[[#This Row],[Equity Basis Total]] +  SnapshotTable[[#This Row],[SC Premium]], "")</f>
        <v/>
      </c>
      <c r="FP293" s="5" t="str">
        <f>IF(ISNUMBER(SnapshotTable[[#This Row],[SC Exercise Gross]]), (SnapshotTable[[#This Row],[SC Exercise Gross]]) / (SnapshotTable[[#This Row],[SC Qty]] * 100), "")</f>
        <v/>
      </c>
      <c r="FQ293" s="27" t="str">
        <f>IF(SnapshotTable[[#This Row],[SC Is Booked]],SnapshotTable[[#This Row],[SC Time Val]] /SnapshotTable[[#This Row],[SC Basis]], "")</f>
        <v/>
      </c>
      <c r="FR293" s="27" t="str" cm="1">
        <f t="array" ref="FR293">IF(AND(ISNUMBER(SnapshotTable[[#This Row],[SC Term]]),ISNUMBER(SnapshotTable[[#This Row],[SC Simple ROO]])), EllmanAnnualize(SnapshotTable[[#This Row],[SC DTE]], SnapshotTable[[#This Row],[SC Simple ROO]] ),"")</f>
        <v/>
      </c>
      <c r="FS293" s="4" t="e">
        <f>IF(SnapshotTable[[#This Row],[SC Strike Price]] &gt; SnapshotTable[[#This Row],[Last Price]], SnapshotTable[[#This Row],[SC Strike Price]] - SnapshotTable[[#This Row],[Last Price]],0)</f>
        <v>#VALUE!</v>
      </c>
      <c r="FT293" s="27" t="e">
        <f>IF(AND(ISNUMBER(SnapshotTable[[#This Row],[SC Upside Potential]]), SnapshotTable[[#This Row],[SC Upside Potential]] &gt; 0),(SnapshotTable[[#This Row],[SC Upside Potential]]/ SnapshotTable[[#This Row],[ACB]]),"")</f>
        <v>#VALUE!</v>
      </c>
      <c r="FU293" s="333" t="str">
        <f>IF(SnapshotTable[[#This Row],[SC Intrinsic Value]] &gt; 0,SnapshotTable[[#This Row],[SC Intrinsic Value]],"")</f>
        <v/>
      </c>
      <c r="FV293" s="27" t="str">
        <f>IF(AND( ISNUMBER( SnapshotTable[[#This Row],[ACB]]),ISNUMBER(SnapshotTable[[#This Row],[SC Downside Protect]])),SnapshotTable[[#This Row],[SC Downside Protect]] / SnapshotTable[[#This Row],[ACB]],"")</f>
        <v/>
      </c>
      <c r="FW293" s="236" t="str">
        <f>IF(AND(ISNUMBER(SnapshotTable[[#This Row],[SC Simple ROO]]),SnapshotTable[[#This Row],[SC Simple ROO]] &gt; 0), SnapshotTable[[#This Row],[SC Premium]] + (SnapshotTable[[#This Row],[SC Qty]] * SnapshotTable[[#This Row],[SC Upside Potential]]), "")</f>
        <v/>
      </c>
      <c r="FX293" s="302" t="str" cm="1">
        <f t="array" ref="FX293">IF(ISNUMBER(SnapshotTable[[#This Row],[SC Max Dollars]]), annualize(SnapshotTable[[#This Row],[SC Term]],(SnapshotTable[[#This Row],[SC Max Dollars]]/SnapshotTable[[#This Row],[SC Basis]])),"")</f>
        <v/>
      </c>
      <c r="FY293" s="236" t="str">
        <f>IF(AND(SnapshotTable[[#This Row],[SC Qty]]&gt;0,SnapshotTable[[#This Row],[SC Current Ask]]&gt;0), SnapshotTable[[#This Row],[SC Qty]] * SnapshotTable[[#This Row],[SC Current Ask]] * -100, "")</f>
        <v/>
      </c>
      <c r="FZ293" s="31" t="str">
        <f>IF(ISNUMBER((SnapshotTable[[#This Row],[SC Current Value]])), SnapshotTable[[#This Row],[SC Premium]] + SnapshotTable[[#This Row],[SC Current Value]], "")</f>
        <v/>
      </c>
      <c r="GA293" s="294" t="str">
        <f>IFERROR( IF(ISNUMBER((SnapshotTable[[#This Row],[SC Current Value]])), SnapshotTable[[#This Row],[SC Gain Loss]] / SnapshotTable[[#This Row],[SC Premium]], ""), "")</f>
        <v/>
      </c>
      <c r="GB293" s="42">
        <f>SnapshotTable[[#This Row],[Equity Shares]] * SaleSharesToConsiderPercentage</f>
        <v>0</v>
      </c>
      <c r="GC293" s="40">
        <f>SnapshotTable[[#This Row],[Long Term Target]] * SellingPriceToConsiderBasedOnTargetPercentage</f>
        <v>118.17049999999999</v>
      </c>
      <c r="GD293" s="40">
        <f>SnapshotTable[[#This Row],[Last Price]] * (1+ SellingPriceToConsiderBasedOnTargetPercentage)</f>
        <v>268.94399999999996</v>
      </c>
      <c r="GE293" s="41"/>
      <c r="GF293" s="40"/>
      <c r="GG293" s="31">
        <f>SnapshotTable[[#This Row],[Booked Sale Shares]] * SnapshotTable[[#This Row],[Booked Sale Price]]</f>
        <v>0</v>
      </c>
      <c r="GH293" s="31" t="str">
        <f>IF(SnapshotTable[[#This Row],[Equity Basis Total]] &gt; 0, SnapshotTable[[#This Row],[Equity Basis Per Share]] * SnapshotTable[[#This Row],[Booked Sale Shares]], "")</f>
        <v/>
      </c>
      <c r="GI293" s="31">
        <f>IF(SnapshotTable[[#This Row],[Sale Proceeds]]&gt;0, SnapshotTable[[#This Row],[Sale Proceeds]] - SnapshotTable[[#This Row],[Sale Basis]], 0)</f>
        <v>0</v>
      </c>
      <c r="GJ293" s="27" t="str">
        <f>IF(SnapshotTable[[#This Row],[Sale G/L]]&gt;0, SnapshotTable[[#This Row],[Sale G/L]] / SnapshotTable[[#This Row],[Sale Basis]], IF(ISNUMBER(SnapshotTable[[#This Row],[SC Exercise P&amp;L (TAX)]]), SnapshotTable[[#This Row],[SC Exercise P&amp;L (TAX)]] / SnapshotTable[[#This Row],[SC Basis]], ""))</f>
        <v/>
      </c>
      <c r="GK293" s="27" t="s">
        <v>761</v>
      </c>
      <c r="GL293" s="43" t="str">
        <f>IF(AND(SnapshotTable[[#This Row],[LP Exp Date]]&gt;0,SnapshotTable[[#This Row],[LP Strike Price]]&gt;0), [1]!ToOptionSymbol(SnapshotTable[[#This Row],[Symbol]], SnapshotTable[[#This Row],[LP Strike Price]],SnapshotTable[[#This Row],[LP Exp Date]],1), "")</f>
        <v/>
      </c>
      <c r="GM293" s="30" t="str">
        <f>IF(LEN(SnapshotTable[[#This Row],[LP Symbol]])&gt;0, 1, "")</f>
        <v/>
      </c>
      <c r="GN293" s="43" t="str">
        <f>IF(AND(SnapshotTable[[#This Row],[SP Exp Date]]&gt;0,SnapshotTable[[#This Row],[SP Strike Price]]&gt;0), [1]!ToOptionSymbol(SnapshotTable[[#This Row],[Symbol]], SnapshotTable[[#This Row],[SP Strike Price]],SnapshotTable[[#This Row],[SP Exp Date]],1), "")</f>
        <v/>
      </c>
      <c r="GO293" s="30" t="str">
        <f>IF(LEN(SnapshotTable[[#This Row],[SP Symbol]])&gt;0, 1, "")</f>
        <v/>
      </c>
      <c r="GP293" s="43" t="str">
        <f>IF(AND(SnapshotTable[[#This Row],[LC Exp Date]]&gt;0,SnapshotTable[[#This Row],[LC Strike Price]]&gt;0), [1]!ToOptionSymbol(SnapshotTable[[#This Row],[Symbol]], SnapshotTable[[#This Row],[LC Strike Price]],SnapshotTable[[#This Row],[LC Exp Date]],0), "")</f>
        <v/>
      </c>
      <c r="GQ293" s="30" t="str">
        <f>IF(LEN(SnapshotTable[[#This Row],[LC Symbol]])&gt;0, 1, "")</f>
        <v/>
      </c>
      <c r="GR293" s="43" t="str">
        <f>IF(AND(SnapshotTable[[#This Row],[SC Exp Date]]&gt;0,SnapshotTable[[#This Row],[SC Strike Price]]&gt;0), [1]!ToOptionSymbol(SnapshotTable[[#This Row],[Symbol]], SnapshotTable[[#This Row],[SC Strike Price]],SnapshotTable[[#This Row],[SC Exp Date]],0), "")</f>
        <v/>
      </c>
      <c r="GS293" s="30" t="str">
        <f>IF(LEN(SnapshotTable[[#This Row],[SC Symbol]])&gt;0, 1, "")</f>
        <v/>
      </c>
      <c r="GT293" s="29" t="str">
        <f>IF(COUNT(SnapshotTable[[#This Row],[LP Symbol Count]],SnapshotTable[[#This Row],[SP Symbol Count]],SnapshotTable[[#This Row],[LC Symbol Count]],SnapshotTable[[#This Row],[SC Symbol Count]])&gt;0, "Y", "")</f>
        <v/>
      </c>
      <c r="GU29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3" s="231" t="e">
        <f>MAX(SnapshotTable[[#This Row],[Equity Basis Total]],SnapshotTable[[#This Row],[Equity Value]]) + (SnapshotTable[[#This Row],[SP Potential Spend]]- SnapshotTable[[#This Row],[SP Premium]] + SnapshotTable[[#This Row],[LP Premium]])+ (SnapshotTable[[#This Row],[LC Premium]] - SnapshotTable[[#This Row],[SC Premium]])</f>
        <v>#VALUE!</v>
      </c>
      <c r="GW293" s="139" t="e">
        <f>IF(AND(SnapshotTable[[#This Row],[Exposure]] &lt;&gt; 0),SnapshotTable[[#This Row],[Exposure]] / SnapshotTable[[#Totals],[Exposure]], "")</f>
        <v>#VALUE!</v>
      </c>
      <c r="GY293" s="381"/>
      <c r="HE293" s="381"/>
      <c r="HF293" s="381"/>
      <c r="HG293" s="381"/>
      <c r="HH293" s="381"/>
      <c r="HI293" s="381"/>
      <c r="HJ293" s="381"/>
    </row>
    <row r="294" spans="2:224" s="47" customFormat="1" ht="12.75" hidden="1" customHeight="1" x14ac:dyDescent="0.25">
      <c r="B294" s="12" t="s">
        <v>1178</v>
      </c>
      <c r="C294" s="422">
        <v>52.68</v>
      </c>
      <c r="D294" s="208" t="s">
        <v>578</v>
      </c>
      <c r="E294" s="39">
        <f>SnapshotTable[[#This Row],[Last Price]]*(1 -CrashDiscount)</f>
        <v>44.777999999999999</v>
      </c>
      <c r="F294" s="325" t="s">
        <v>223</v>
      </c>
      <c r="G294" s="325" t="s">
        <v>49</v>
      </c>
      <c r="H294" s="149"/>
      <c r="I294" s="194"/>
      <c r="J294" s="195"/>
      <c r="K294" s="196"/>
      <c r="L294" s="327"/>
      <c r="M294" s="140"/>
      <c r="N294" s="140"/>
      <c r="O294" s="140"/>
      <c r="P294" s="22"/>
      <c r="Q294" s="25"/>
      <c r="R294" s="4" t="str">
        <f>IF(SnapshotTable[[#This Row],[Equity Basis Total]] &gt; 0, SnapshotTable[[#This Row],[Equity Basis Total]] / SnapshotTable[[#This Row],[Equity Shares]], "")</f>
        <v/>
      </c>
      <c r="S294" s="329">
        <f>SnapshotTable[[#This Row],[Last Price]] * SnapshotTable[[#This Row],[Equity Shares]]</f>
        <v>0</v>
      </c>
      <c r="T294" s="269">
        <f>SnapshotTable[[#This Row],[Equity Value]] - SnapshotTable[[#This Row],[Equity Basis Total]]</f>
        <v>0</v>
      </c>
      <c r="U294" s="270" t="str">
        <f>IF(SnapshotTable[[#This Row],[Equity Basis Total]] &gt; 0, SnapshotTable[[#This Row],[Equity G/L]] / SnapshotTable[[#This Row],[Equity Basis Total]], "")</f>
        <v/>
      </c>
      <c r="V294" s="268"/>
      <c r="W294" s="268"/>
      <c r="X294" s="4" t="str">
        <f>IF(AND(ISNUMBER(SnapshotTable[[#This Row],[Equity Basis Per Share]]),ISNUMBER(SnapshotTable[[#This Row],[Equity Target]])),SnapshotTable[[#This Row],[Equity Target]]-SnapshotTable[[#This Row],[Equity Basis Per Share]],"")</f>
        <v/>
      </c>
      <c r="Y294" s="4" t="str">
        <f>IF(AND(ISNUMBER(SnapshotTable[[#This Row],[Equity Basis Per Share]]),ISNUMBER(SnapshotTable[[#This Row],[Equity Stop Loss]])),SnapshotTable[[#This Row],[Equity Stop Loss]]-SnapshotTable[[#This Row],[Equity Basis Per Share]],"")</f>
        <v/>
      </c>
      <c r="Z294" s="275" t="str">
        <f>IFERROR( TEXT(SnapshotTable[[#This Row],[Equity Max Gain Per Share]] /ABS( SnapshotTable[[#This Row],[Equity Max Loss Per Share]]),"0.0 " ) &amp; " : 1", "")</f>
        <v/>
      </c>
      <c r="AA294" s="31" t="str">
        <f>IF(ISNUMBER(SnapshotTable[[#This Row],[Equity Max Gain Per Share]]),SnapshotTable[[#This Row],[Equity Max Gain Per Share]] * SnapshotTable[[#This Row],[Equity Shares]],"")</f>
        <v/>
      </c>
      <c r="AB294" s="31" t="str">
        <f>IF(ISNUMBER(SnapshotTable[[#This Row],[Equity Max Loss Per Share]]),SnapshotTable[[#This Row],[Equity Max Loss Per Share]] * SnapshotTable[[#This Row],[Equity Shares]],"")</f>
        <v/>
      </c>
      <c r="AC294" s="150"/>
      <c r="AD294" s="151"/>
      <c r="AE294" s="31">
        <f>(SnapshotTable[[#This Row],[Annual Dividend Per Share]] / 4) * SnapshotTable[[#This Row],[Equity Shares]]</f>
        <v>0</v>
      </c>
      <c r="AF294" s="31">
        <f>SnapshotTable[[#This Row],[Quarterly Div $]] * 4</f>
        <v>0</v>
      </c>
      <c r="AG294" s="7">
        <f>IF(SnapshotTable[[#This Row],[Annual Dividend Per Share]]&gt;0, SnapshotTable[[#This Row],[Annual Dividend Per Share]]  / SnapshotTable[[#This Row],[Last Price]], 0)</f>
        <v>0</v>
      </c>
      <c r="AH294" s="151"/>
      <c r="AI294" s="330"/>
      <c r="AJ294" s="138">
        <v>33.75</v>
      </c>
      <c r="AK294" s="152" t="str">
        <f>IF(ISNUMBER( SnapshotTable[[#This Row],[EBF Target]]),(SnapshotTable[[#This Row],[EBF Target]] - SnapshotTable[[#This Row],[Last Price]]) / SnapshotTable[[#This Row],[Last Price]], "")</f>
        <v/>
      </c>
      <c r="AL294" s="152" t="str">
        <f>IF(AND(SnapshotTable[[#This Row],[Equity Basis Total]] &gt; 0,ISNUMBER( SnapshotTable[[#This Row],[Long Term Target]])), SnapshotTable[[#This Row],[From Basis $]] / SnapshotTable[[#This Row],[Equity Basis Total]], "")</f>
        <v/>
      </c>
      <c r="AM294" s="9">
        <f>IF( AND(SnapshotTable[[#This Row],[Equity Shares]] &gt;0,ISNUMBER( SnapshotTable[[#This Row],[Long Term Target]])),(SnapshotTable[[#This Row],[Equity Shares]] * SnapshotTable[[#This Row],[Long Term Target]]) - SnapshotTable[[#This Row],[Equity Basis Total]],0)</f>
        <v>0</v>
      </c>
      <c r="AN294" s="9">
        <f>IF( AND(SnapshotTable[[#This Row],[Equity Shares]] &gt;0,ISNUMBER( SnapshotTable[[#This Row],[Long Term Target]])),(SnapshotTable[[#This Row],[Equity Shares]]*SnapshotTable[[#This Row],[Long Term Target]]) - SnapshotTable[[#This Row],[Equity Value]],0)</f>
        <v>0</v>
      </c>
      <c r="AO294" s="152">
        <f>IF(AND(ISNUMBER( SnapshotTable[[#This Row],[Long Term Target]]), ISNUMBER(SnapshotTable[[#This Row],[Last Price]])),(SnapshotTable[[#This Row],[Long Term Target]] - SnapshotTable[[#This Row],[Last Price]]) / SnapshotTable[[#This Row],[Last Price]], "")</f>
        <v>-0.35933940774487472</v>
      </c>
      <c r="AP294" s="5"/>
      <c r="AQ294" s="38"/>
      <c r="AR294" s="5"/>
      <c r="AS294" s="38"/>
      <c r="AT294" s="146" t="s">
        <v>1132</v>
      </c>
      <c r="AU294" s="187" t="str">
        <f>IF(OR(SnapshotTable[[#This Row],[LP No Fill]]="Y",SnapshotTable[[#This Row],[SP Is Filled]],SnapshotTable[[#This Row],[LC Not Filled]]="Y",SnapshotTable[[#This Row],[SC Is Filled]]),"Y","")</f>
        <v/>
      </c>
      <c r="AV294" s="338"/>
      <c r="AW294" s="339"/>
      <c r="AX294" s="220"/>
      <c r="AY294" s="219" t="str">
        <f>IF(SnapshotTable[[#This Row],[Implied Move]]&gt;0, SnapshotTable[[#This Row],[Last Price]]-SnapshotTable[[#This Row],[Implied Move]],"")</f>
        <v/>
      </c>
      <c r="AZ294" s="219" t="str">
        <f>IF(SnapshotTable[[#This Row],[Implied Move]]&gt;0, SnapshotTable[[#This Row],[Last Price]] + SnapshotTable[[#This Row],[Implied Move]],"")</f>
        <v/>
      </c>
      <c r="BA294" s="331">
        <v>24.61</v>
      </c>
      <c r="BB294" s="347"/>
      <c r="BC29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4" s="351"/>
      <c r="BE294" s="138"/>
      <c r="BF294" s="166"/>
      <c r="BG294" s="167"/>
      <c r="BH294" s="167"/>
      <c r="BI294" s="221"/>
      <c r="BJ294" s="153">
        <f>IF(SnapshotTable[[#This Row],[LP Qty]] &gt; 0, SnapshotTable[[#This Row],[LP Qty]] * SnapshotTable[[#This Row],[LP Book Price]] * 100,0)</f>
        <v>0</v>
      </c>
      <c r="BK294" s="136">
        <f>IF(SnapshotTable[[#This Row],[LP Premium]] &gt; 0, SnapshotTable[[#This Row],[LP Qty]] * SnapshotTable[[#This Row],[LP Strike Price]] * 100,0)</f>
        <v>0</v>
      </c>
      <c r="BL294" s="154"/>
      <c r="BM294" s="385" t="str">
        <f>IF(SnapshotTable[[#This Row],[LP Premium]] &gt; 0,SnapshotTable[[#This Row],[LP Exp Date]]-MAX(SnapshotTable[[#This Row],[LP Book Date]], SnapshotTable[[#This Row],[LP Fill Date]]),"")</f>
        <v/>
      </c>
      <c r="BN294" s="385" t="str">
        <f>IF(ISNUMBER( SnapshotTable[[#This Row],[LP Term]]), SnapshotTable[[#This Row],[LP Exp Date]] - MockToday,"")</f>
        <v/>
      </c>
      <c r="BO294" s="163" t="str">
        <f>IF(AND(SnapshotTable[[#This Row],[LP Exp Date]]&gt;0, SnapshotTable[[#This Row],[LP Strike Price]]&gt;0,SnapshotTable[[#This Row],[LP Qty]]&gt;0,SnapshotTable[[#This Row],[LP Book Date]]&gt;0,SnapshotTable[[#This Row],[LP Book Price]]&gt;0,SnapshotTable[[#This Row],[LP Fill Date]]=0),"Y","")</f>
        <v/>
      </c>
      <c r="BP294" s="31" t="str">
        <f>IF(AND(SnapshotTable[[#This Row],[LP No Fill]]&lt;&gt;"Y",SnapshotTable[[#This Row],[LP Contract Value]]&gt;0, SnapshotTable[[#This Row],[LP Qty]]&gt;0), SnapshotTable[[#This Row],[LP Contract Value]]*SnapshotTable[[#This Row],[LP Qty]]*100,"")</f>
        <v/>
      </c>
      <c r="BQ294" s="13"/>
      <c r="BR294" s="5" t="str">
        <f>IF(SnapshotTable[[#This Row],[SP Exp Date]]&lt;&gt;"",TRUNC(SnapshotTable[[#This Row],[Last Price]]),"")</f>
        <v/>
      </c>
      <c r="BS294" s="36"/>
      <c r="BT294" s="147"/>
      <c r="BU294" s="13"/>
      <c r="BV294" s="5"/>
      <c r="BW294" s="419" t="b">
        <f>AND(ISNUMBER(SnapshotTable[[#This Row],[SP Exp Date]]), ISNUMBER(SnapshotTable[[#This Row],[SP Strike Price]]), ISNUMBER(SnapshotTable[[#This Row],[SP Qty]]), ISNUMBER(SnapshotTable[[#This Row],[SP Book Date]]), ISNUMBER(SnapshotTable[[#This Row],[SP Book Price]]))</f>
        <v>0</v>
      </c>
      <c r="BX294" s="419" t="b">
        <f>AND(SnapshotTable[[#This Row],[SP Is Booked]], NOT(ISBLANK(SnapshotTable[[#This Row],[SP Fill Date]])))</f>
        <v>0</v>
      </c>
      <c r="BY294" s="33">
        <f>IF(SnapshotTable[[#This Row],[SP Is Booked]], SnapshotTable[[#This Row],[SP Qty]] * SnapshotTable[[#This Row],[SP Book Price]] * 100, 0)</f>
        <v>0</v>
      </c>
      <c r="BZ294" s="369"/>
      <c r="CA294" s="368">
        <f>SnapshotTable[[#This Row],[LP Qty]]</f>
        <v>0</v>
      </c>
      <c r="CB294" s="4" t="str">
        <f>IF(SnapshotTable[[#This Row],[SP Is Booked]], SnapshotTable[[#This Row],[SP Strike Price]] - SnapshotTable[[#This Row],[SP Book Price]], "")</f>
        <v/>
      </c>
      <c r="CC294" s="19" t="str">
        <f>IF(SnapshotTable[[#This Row],[SP Is Booked]],SnapshotTable[[#This Row],[SP Exp Date]]-MAX(SnapshotTable[[#This Row],[SP Book Date]], SnapshotTable[[#This Row],[SP Fill Date]]),"")</f>
        <v/>
      </c>
      <c r="CD294" s="7" t="str">
        <f>IF(SnapshotTable[[#This Row],[SP Is Booked]], SnapshotTable[[#This Row],[SP Book Price]]/SnapshotTable[[#This Row],[SP Strike Price]], "")</f>
        <v/>
      </c>
      <c r="CE294" s="7" t="str">
        <f>IF(ISNUMBER(SnapshotTable[[#This Row],[SP ROO Term]]),SnapshotTable[[#This Row],[SP ROO Term]]*(365/SnapshotTable[[#This Row],[SP Term]]),"")</f>
        <v/>
      </c>
      <c r="CF294" s="236">
        <f>SnapshotTable[[#This Row],[LP Strike Price]] * SnapshotTable[[#This Row],[LP Qty]] * 100</f>
        <v>0</v>
      </c>
      <c r="CG294" s="31" t="e">
        <f>IF(ISNUMBER(SnapshotTable[[#This Row],[SP Premium]]), (SnapshotTable[[#This Row],[SP Qty]] * SnapshotTable[[#This Row],[SP Strike Price]]* 100) - SnapshotTable[[#This Row],[LP Protection]], 0)</f>
        <v>#VALUE!</v>
      </c>
      <c r="CH294" s="7" t="str">
        <f>IF(ISNUMBER(SnapshotTable[[#This Row],[SP Break Even]]),-1 * (SnapshotTable[[#This Row],[SP Break Even]] - SnapshotTable[[#This Row],[Last Price]]) / SnapshotTable[[#This Row],[Last Price]], "")</f>
        <v/>
      </c>
      <c r="CI294" s="31">
        <f>IF(AND(ISNUMBER((SnapshotTable[[#This Row],[SP Potential Spend]])), SnapshotTable[[#This Row],[SP Strike Price]] &gt; SnapshotTable[[#This Row],[Last Price]], SnapshotTable[[#This Row],[SP Is Filled]]), SnapshotTable[[#This Row],[SP Potential Spend]] -  SnapshotTable[[#This Row],[LP Max Value]], 0)</f>
        <v>0</v>
      </c>
      <c r="CJ294" s="244"/>
      <c r="CK294" s="31" t="str">
        <f>IF(ISNUMBER(SnapshotTable[[#This Row],[SP Potential Spend]]),IF(ISNUMBER(SnapshotTable[[#This Row],[SP POW]]), SnapshotTable[[#This Row],[SP POW]] * SnapshotTable[[#This Row],[SP Potential Spend]], SnapshotTable[[#This Row],[SP Potential Spend]]), "")</f>
        <v/>
      </c>
      <c r="CL294" s="164" t="e">
        <f>IF(NOT(SnapshotTable[[#This Row],[SP Is Filled]]),(SnapshotTable[[#This Row],[SP Qty]] * SnapshotTable[[#This Row],[SP Strike Price]] * 100) - SnapshotTable[[#This Row],[LP Max Value]],"")</f>
        <v>#VALUE!</v>
      </c>
      <c r="CM294" s="31" t="str">
        <f>IF(SnapshotTable[[#This Row],[SP Actual Spend]]&lt;&gt;0, ((SnapshotTable[[#This Row],[SP Strike Price]]-SnapshotTable[[#This Row],[Last Price]]) *(SnapshotTable[[#This Row],[SP Qty]]*100) - SnapshotTable[[#This Row],[SP Premium]]) * - 1, "")</f>
        <v/>
      </c>
      <c r="CN294" s="154"/>
      <c r="CO294" s="369"/>
      <c r="CP294" s="320" t="str">
        <f>IF(SnapshotTable[[#This Row],[SP Is Filled]], btc_max_buyback_amount(SnapshotTable[[#This Row],[SP Fill Date]],SnapshotTable[[#This Row],[SP Exp Date]], SnapshotTable[[#This Row],[SP Book Price]]),"")</f>
        <v/>
      </c>
      <c r="CQ294" s="78"/>
      <c r="CR294" s="76"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4" s="155" t="str">
        <f>IF(SnapshotTable[[#This Row],[SP Is Filled]], btc_next_cutoff_date(SnapshotTable[[#This Row],[SP Fill Date]],SnapshotTable[[#This Row],[SP Exp Date]]),"")</f>
        <v/>
      </c>
      <c r="CT294" s="235" t="str" cm="1">
        <f t="array" ref="CT294">IF(SnapshotTable[[#This Row],[SP Is Filled]], btc_should_buy_back(SnapshotTable[[#This Row],[SP Fill Date]], SnapshotTable[[#This Row],[SP Exp Date]], SnapshotTable[[#This Row],[SP Book Price]], SnapshotTable[[#This Row],[SP Current Ask]], MockToday, SnapshotTable[[#This Row],[SP Buyback Override]]),"")</f>
        <v/>
      </c>
      <c r="CU294" s="143"/>
      <c r="CV294" s="235"/>
      <c r="CW294" s="378" t="str">
        <f>IF(ISNUMBER( SnapshotTable[[#This Row],[SP Term]]), SnapshotTable[[#This Row],[SP Exp Date]] - MockToday,"")</f>
        <v/>
      </c>
      <c r="CX294" s="31" t="str">
        <f>IF(SnapshotTable[[#This Row],[SP Is Filled]],SnapshotTable[[#This Row],[SP Buyback Price to Use]] * 100 * SnapshotTable[[#This Row],[SP Qty]], "")</f>
        <v/>
      </c>
      <c r="CY294" s="4" t="str">
        <f>IF(ISNUMBER(SnapshotTable[[#This Row],[SP Strike Price]]), SnapshotTable[[#This Row],[SP Strike Price]] * (1 - SP_MaxLoss_StrikePct), "")</f>
        <v/>
      </c>
      <c r="CZ294" s="31" t="str">
        <f>IF(ISNUMBER(SnapshotTable[[#This Row],[SP Strike  Stop Per Share]]),SnapshotTable[[#This Row],[SP Premium]] - ((SnapshotTable[[#This Row],[SP Strike Price]]-SnapshotTable[[#This Row],[SP Strike  Stop Per Share]]) *(SnapshotTable[[#This Row],[SP Qty]] * 100)),"")</f>
        <v/>
      </c>
      <c r="DA294" s="4" t="str">
        <f>IF(AND(ISNUMBER(SnapshotTable[[#This Row],[SP Premium]]),SnapshotTable[[#This Row],[SP Premium]]&gt;0), SnapshotTable[[#This Row],[SP Book Price]] * (1 + SP_MaxLoss_OptionPct), "")</f>
        <v/>
      </c>
      <c r="DB294" s="31" t="str">
        <f>IF(ISNUMBER(SnapshotTable[[#This Row],[SP Option  Stop Contract]]),(SnapshotTable[[#This Row],[SP Option  Stop Contract]] *(SnapshotTable[[#This Row],[SP Qty]] * 100) - SnapshotTable[[#This Row],[SP Premium]]),"")</f>
        <v/>
      </c>
      <c r="DC294" s="4"/>
      <c r="DD294" s="4"/>
      <c r="DE294" s="4" t="str">
        <f>IF(AND(SnapshotTable[[#This Row],[SP Qty]]&gt;0, SnapshotTable[[#This Row],[SP Stop To Use]]&gt;0),SnapshotTable[[#This Row],[SP Premium]] - ( SnapshotTable[[#This Row],[SP Qty]] * SnapshotTable[[#This Row],[SP Stop To Use]] * 100), "")</f>
        <v/>
      </c>
      <c r="DF294" s="31" t="str">
        <f>IF(AND(SnapshotTable[[#This Row],[SP Qty]]&gt;0,SnapshotTable[[#This Row],[SP Current Ask]]&gt;0), SnapshotTable[[#This Row],[SP Qty]] * SnapshotTable[[#This Row],[SP Current Ask]] * -100, "")</f>
        <v/>
      </c>
      <c r="DG294" s="31" t="str">
        <f>IF(ISNUMBER((SnapshotTable[[#This Row],[SP Total Value]])), SnapshotTable[[#This Row],[SP Premium]] + SnapshotTable[[#This Row],[SP Total Value]], "")</f>
        <v/>
      </c>
      <c r="DH294" s="294" t="str">
        <f>IF(ISNUMBER((SnapshotTable[[#This Row],[SP Total Value]])), SnapshotTable[[#This Row],[SP Gain Loss]] / SnapshotTable[[#This Row],[SP Premium]], "")</f>
        <v/>
      </c>
      <c r="DI294" s="406"/>
      <c r="DJ294" s="138"/>
      <c r="DK294" s="166"/>
      <c r="DL294" s="167"/>
      <c r="DM294" s="167"/>
      <c r="DN294" s="5"/>
      <c r="DO294" s="31">
        <f>IF(SnapshotTable[[#This Row],[LC Symbol Count]]=1, SnapshotTable[[#This Row],[LC Qty]] * SnapshotTable[[#This Row],[LC Book Price]] * 100, 0)</f>
        <v>0</v>
      </c>
      <c r="DP294" s="289" t="str">
        <f>IF(AND(SnapshotTable[[#This Row],[LC Exp Date]]&gt;0, SnapshotTable[[#This Row],[LC Strike Price]]&gt;0,SnapshotTable[[#This Row],[LC Qty]]&gt;0,SnapshotTable[[#This Row],[LC Book Date]]&gt;0,SnapshotTable[[#This Row],[LC Book Price]]&gt;0,SnapshotTable[[#This Row],[LC Fill Date]]=0),"Y","")</f>
        <v/>
      </c>
      <c r="DQ294" s="386" t="str">
        <f>IF(SnapshotTable[[#This Row],[LC Premium]] &gt; 0,SnapshotTable[[#This Row],[LC Exp Date]]-MAX(SnapshotTable[[#This Row],[LC Book Date]], SnapshotTable[[#This Row],[LC Fill Date]]),"")</f>
        <v/>
      </c>
      <c r="DR294" s="386" t="str">
        <f>IF(ISNUMBER(SnapshotTable[[#This Row],[LC Term]]), SnapshotTable[[#This Row],[LC Exp Date]] - MockToday, "")</f>
        <v/>
      </c>
      <c r="DS294" s="234" t="str">
        <f>IF(SnapshotTable[[#This Row],[LC Premium]]&gt;0,SnapshotTable[[#This Row],[LC Strike Price]] + SnapshotTable[[#This Row],[LC Book Price]],"")</f>
        <v/>
      </c>
      <c r="DT294" s="5"/>
      <c r="DU294" s="9" t="str">
        <f>IF(AND(SnapshotTable[[#This Row],[LC Symbol Count]]&gt;0, SnapshotTable[[#This Row],[LC Contract Value]]&gt;0), SnapshotTable[[#This Row],[LC Contract Value]] * SnapshotTable[[#This Row],[LC Qty]] * 100, "")</f>
        <v/>
      </c>
      <c r="DV294" s="9" t="str">
        <f>IF(AND(ISNUMBER(SnapshotTable[[#This Row],[LC Total Value]]), SnapshotTable[[#This Row],[LC Not Filled]]&lt;&gt;"Y"), SnapshotTable[[#This Row],[LC Total Value]]-SnapshotTable[[#This Row],[LC Premium]],"")</f>
        <v/>
      </c>
      <c r="DW294" s="240" t="str">
        <f>IF(ISNUMBER(SnapshotTable[[#This Row],[LC Actual Gain Loss]]), SnapshotTable[[#This Row],[LC Actual Gain Loss]] / SnapshotTable[[#This Row],[LC Premium]],"")</f>
        <v/>
      </c>
      <c r="DX294" s="284" t="str">
        <f>IF(ISNUMBER(SnapshotTable[[#This Row],[LC Book Price]]),SnapshotTable[[#This Row],[LC Book Price]] * 1.5,"")</f>
        <v/>
      </c>
      <c r="DY294" s="265" t="str">
        <f>IF(SnapshotTable[[#This Row],[LC Premium]]&gt;0, SnapshotTable[[#This Row],[LC Next Target]] * SnapshotTable[[#This Row],[LC Qty]] * 100,"")</f>
        <v/>
      </c>
      <c r="DZ294" s="265" t="str">
        <f>IF(ISNUMBER(SnapshotTable[[#This Row],[LC Target Gross]]), SnapshotTable[[#This Row],[LC Target Gross]] - SnapshotTable[[#This Row],[LC Premium]], "")</f>
        <v/>
      </c>
      <c r="EA294" s="305" t="str">
        <f>IF(ISNUMBER(SnapshotTable[[#This Row],[LC Target Gain Loss]]), SnapshotTable[[#This Row],[LC Target Gain Loss]]/SnapshotTable[[#This Row],[LC Premium]], "")</f>
        <v/>
      </c>
      <c r="EB294" s="262"/>
      <c r="EC294" s="290" t="str">
        <f>IF(SnapshotTable[[#This Row],[LC Premium]]&gt;0, SnapshotTable[[#This Row],[LC Book Price]] * (1 - LC_StopLoss_Pct),"")</f>
        <v/>
      </c>
      <c r="ED294" s="284"/>
      <c r="EE294" s="290" t="str">
        <f>IF(ISNUMBER(SnapshotTable[[#This Row],[LC Contract Value]]),IF(ISNUMBER(SnapshotTable[[#This Row],[LC Stop Loss Override]]), SnapshotTable[[#This Row],[LC Stop Loss Override]],SnapshotTable[[#This Row],[LC Stop Loss Calc Target]]),"")</f>
        <v/>
      </c>
      <c r="EF294" s="321" t="str">
        <f>IF(ISNUMBER(SnapshotTable[[#This Row],[LC Stop  To Use]]), (SnapshotTable[[#This Row],[LC Stop  To Use]] * SnapshotTable[[#This Row],[LC Qty]] * 100),"")</f>
        <v/>
      </c>
      <c r="EG294" s="9" t="str">
        <f>IF(ISNUMBER(SnapshotTable[[#This Row],[LC Total Value]]),SnapshotTable[[#This Row],[LC Stop Loss Amount]] - SnapshotTable[[#This Row],[LC Premium]],"")</f>
        <v/>
      </c>
      <c r="EH294" s="9">
        <f>IF(ISNUMBER(SnapshotTable[[#This Row],[LC Premium]]), SnapshotTable[[#This Row],[LC Qty]] * 100 * SnapshotTable[[#This Row],[LC Strike Price]], "")</f>
        <v>0</v>
      </c>
      <c r="EI294" s="240" t="str">
        <f>IF(AND(ISNUMBER(SnapshotTable[[#This Row],[LC Total Value]]),SnapshotTable[[#This Row],[LC Total Value]]&gt;0),SnapshotTable[[#This Row],[LC Stop Gain Loss]]  / SnapshotTable[[#This Row],[LC Premium]],"")</f>
        <v/>
      </c>
      <c r="EJ294" s="35">
        <f>IF(ISNUMBER(SnapshotTable[[#This Row],[Equity Shares]]),TRUNC(SnapshotTable[[#This Row],[Equity Shares]] / 100),0) + SnapshotTable[[#This Row],[LC Qty]]</f>
        <v>0</v>
      </c>
      <c r="EK294" s="147"/>
      <c r="EL294" s="138" t="str">
        <f>IF(SnapshotTable[[#This Row],[SC Exp Date]]&lt;&gt;"",TRUNC(SnapshotTable[[#This Row],[Last Price]]),"")</f>
        <v/>
      </c>
      <c r="EM294" s="148"/>
      <c r="EN294" s="147"/>
      <c r="EO294" s="147"/>
      <c r="EP294" s="138"/>
      <c r="EQ294" s="419" t="b">
        <f>AND(ISNUMBER(SnapshotTable[[#This Row],[SC Exp Date]]), ISNUMBER(SnapshotTable[[#This Row],[SC Strike Price]]), ISNUMBER(SnapshotTable[[#This Row],[SC Qty]]), ISNUMBER(SnapshotTable[[#This Row],[SC Book Date]]), ISNUMBER(SnapshotTable[[#This Row],[SC Book Price]]))</f>
        <v>0</v>
      </c>
      <c r="ER294" s="419" t="b">
        <f>AND(SnapshotTable[[#This Row],[SC Is Booked]], NOT(ISBLANK(SnapshotTable[[#This Row],[SC Fill Date]])))</f>
        <v>0</v>
      </c>
      <c r="ES294" s="370"/>
      <c r="ET294" s="34" t="str">
        <f>IF(AND(ISNUMBER(SnapshotTable[[#This Row],[SC Exp Date]]), ISNUMBER(SnapshotTable[[#This Row],[SC Book Date]])), SnapshotTable[[#This Row],[SC Exp Date]] - MAX(SnapshotTable[[#This Row],[SC Book Date]], SnapshotTable[[#This Row],[SC Fill Date]]) + 1, "")</f>
        <v/>
      </c>
      <c r="EU294" s="34" t="str">
        <f>IF(ISNUMBER(SnapshotTable[[#This Row],[SC Term]]), SnapshotTable[[#This Row],[SC Exp Date]]- MockToday, "")</f>
        <v/>
      </c>
      <c r="EV294" s="31">
        <f>IF(SnapshotTable[[#This Row],[SC Is Booked]], SnapshotTable[[#This Row],[SC Qty]] * SnapshotTable[[#This Row],[SC Book Price]] * 100, 0)</f>
        <v>0</v>
      </c>
      <c r="EW294" s="4" t="str">
        <f>IF(AND(ISNUMBER(SnapshotTable[[#This Row],[Last Price]]), ISNUMBER( SnapshotTable[[#This Row],[SC Book Price]])), SnapshotTable[[#This Row],[Last Price]] - SnapshotTable[[#This Row],[SC Book Price]],"")</f>
        <v/>
      </c>
      <c r="EX294" s="234" t="str">
        <f>IF(SnapshotTable[[#This Row],[SC Is Booked]],IF(SnapshotTable[[#This Row],[SC Intrinsic Value]] &gt; 0, SnapshotTable[[#This Row],[SC Strike Price]], SnapshotTable[[#This Row],[Last Price]]), "")</f>
        <v/>
      </c>
      <c r="EY294" s="4">
        <f>IF(SnapshotTable[[#This Row],[SC Is Booked]], (MinimumPremiumRequired * SnapshotTable[[#This Row],[SC Basis]] * SnapshotTable[[#This Row],[SC Term]]), 0)</f>
        <v>0</v>
      </c>
      <c r="EZ294" s="283"/>
      <c r="FA294" s="218"/>
      <c r="FB294" s="370"/>
      <c r="FC294" s="4">
        <f>IF(SnapshotTable[[#This Row],[SC Is Filled]], btc_max_buyback_amount(SnapshotTable[[#This Row],[SC Fill Date]],SnapshotTable[[#This Row],[SC Exp Date]], SnapshotTable[[#This Row],[SC Book Price]]),0)</f>
        <v>0</v>
      </c>
      <c r="FD294" s="5"/>
      <c r="FE294" s="144" t="str">
        <f>IF(SnapshotTable[[#This Row],[SC Is Filled]], btc_next_cutoff_date(SnapshotTable[[#This Row],[SC Fill Date]],SnapshotTable[[#This Row],[SC Exp Date]]),"")</f>
        <v/>
      </c>
      <c r="FF294" s="4" t="str" cm="1">
        <f t="array" ref="FF294">IF(SnapshotTable[[#This Row],[SC Is Filled]], btc_should_buy_back(SnapshotTable[[#This Row],[SC Fill Date]], SnapshotTable[[#This Row],[SC Exp Date]], SnapshotTable[[#This Row],[SC Book Price]], SnapshotTable[[#This Row],[SC Current Ask]], MockToday, SnapshotTable[[#This Row],[SC Buyback Override]]),"")</f>
        <v/>
      </c>
      <c r="FG294" s="4">
        <f>IF(SnapshotTable[[#This Row],[SC Is Filled]], MAX(0,SnapshotTable[[#This Row],[Last Price]]  - SnapshotTable[[#This Row],[SC Strike Price]]), 0)</f>
        <v>0</v>
      </c>
      <c r="FH294" s="382">
        <f>IF(SnapshotTable[[#This Row],[SC Is Filled]], IF(ISNUMBER(SnapshotTable[[#This Row],[SC Current Ask]]), SnapshotTable[[#This Row],[SC Current Ask]], SnapshotTable[[#This Row],[SC Book Price]]) - SnapshotTable[[#This Row],[SC Intrinsic Value]], 0)</f>
        <v>0</v>
      </c>
      <c r="FI294" s="143"/>
      <c r="FJ294" s="32" t="str">
        <f>IF(SnapshotTable[[#This Row],[SC Is Filled]],100 * SnapshotTable[[#This Row],[SC Qty]] * IF(ISNUMBER(SnapshotTable[[#This Row],[SC Buyback Override]]), SnapshotTable[[#This Row],[SC Buyback Override]], SnapshotTable[[#This Row],[SC Current Ask]]), "")</f>
        <v/>
      </c>
      <c r="FK294" s="250" t="str">
        <f>IF(SnapshotTable[[#This Row],[SC Time Val]]&gt;0, SnapshotTable[[#This Row],[SC Time Val]] / SnapshotTable[[#This Row],[Last Price]],"")</f>
        <v/>
      </c>
      <c r="FL294" s="302" t="str">
        <f>IF(SnapshotTable[[#This Row],[SC Is Booked]], ((SnapshotTable[[#This Row],[Last Price]] -SnapshotTable[[#This Row],[SC Strike Price]]) / SnapshotTable[[#This Row],[Last Price]]) * -1, "")</f>
        <v/>
      </c>
      <c r="FM294" s="157" t="str">
        <f>IF(SnapshotTable[[#This Row],[SC Is Booked]],  (SnapshotTable[[#This Row],[SC Qty]] * 100 * SnapshotTable[[#This Row],[SC Strike Price]]) - SnapshotTable[[#This Row],[SC Current Ask]], "")</f>
        <v/>
      </c>
      <c r="FN294"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4" s="157" t="str">
        <f>IF(AND(ISNUMBER(SnapshotTable[[#This Row],[SC Exercise Gross]]), ISNUMBER(SnapshotTable[[#This Row],[Equity Basis Per Share]] )), SnapshotTable[[#This Row],[SC Exercise Gross]] - SnapshotTable[[#This Row],[Equity Basis Total]] +  SnapshotTable[[#This Row],[SC Premium]], "")</f>
        <v/>
      </c>
      <c r="FP294" s="5" t="str">
        <f>IF(ISNUMBER(SnapshotTable[[#This Row],[SC Exercise Gross]]), (SnapshotTable[[#This Row],[SC Exercise Gross]]) / (SnapshotTable[[#This Row],[SC Qty]] * 100), "")</f>
        <v/>
      </c>
      <c r="FQ294" s="27" t="str">
        <f>IF(SnapshotTable[[#This Row],[SC Is Booked]],SnapshotTable[[#This Row],[SC Time Val]] /SnapshotTable[[#This Row],[SC Basis]], "")</f>
        <v/>
      </c>
      <c r="FR294" s="27" t="str" cm="1">
        <f t="array" ref="FR294">IF(AND(ISNUMBER(SnapshotTable[[#This Row],[SC Term]]),ISNUMBER(SnapshotTable[[#This Row],[SC Simple ROO]])), EllmanAnnualize(SnapshotTable[[#This Row],[SC DTE]], SnapshotTable[[#This Row],[SC Simple ROO]] ),"")</f>
        <v/>
      </c>
      <c r="FS294" s="4" t="e">
        <f>IF(SnapshotTable[[#This Row],[SC Strike Price]] &gt; SnapshotTable[[#This Row],[Last Price]], SnapshotTable[[#This Row],[SC Strike Price]] - SnapshotTable[[#This Row],[Last Price]],0)</f>
        <v>#VALUE!</v>
      </c>
      <c r="FT294" s="27" t="e">
        <f>IF(AND(ISNUMBER(SnapshotTable[[#This Row],[SC Upside Potential]]), SnapshotTable[[#This Row],[SC Upside Potential]] &gt; 0),(SnapshotTable[[#This Row],[SC Upside Potential]]/ SnapshotTable[[#This Row],[ACB]]),"")</f>
        <v>#VALUE!</v>
      </c>
      <c r="FU294" s="333" t="str">
        <f>IF(SnapshotTable[[#This Row],[SC Intrinsic Value]] &gt; 0,SnapshotTable[[#This Row],[SC Intrinsic Value]],"")</f>
        <v/>
      </c>
      <c r="FV294" s="27" t="str">
        <f>IF(AND( ISNUMBER( SnapshotTable[[#This Row],[ACB]]),ISNUMBER(SnapshotTable[[#This Row],[SC Downside Protect]])),SnapshotTable[[#This Row],[SC Downside Protect]] / SnapshotTable[[#This Row],[ACB]],"")</f>
        <v/>
      </c>
      <c r="FW294" s="236" t="str">
        <f>IF(AND(ISNUMBER(SnapshotTable[[#This Row],[SC Simple ROO]]),SnapshotTable[[#This Row],[SC Simple ROO]] &gt; 0), SnapshotTable[[#This Row],[SC Premium]] + (SnapshotTable[[#This Row],[SC Qty]] * SnapshotTable[[#This Row],[SC Upside Potential]]), "")</f>
        <v/>
      </c>
      <c r="FX294" s="302" t="str" cm="1">
        <f t="array" ref="FX294">IF(ISNUMBER(SnapshotTable[[#This Row],[SC Max Dollars]]), annualize(SnapshotTable[[#This Row],[SC Term]],(SnapshotTable[[#This Row],[SC Max Dollars]]/SnapshotTable[[#This Row],[SC Basis]])),"")</f>
        <v/>
      </c>
      <c r="FY294" s="236" t="str">
        <f>IF(AND(SnapshotTable[[#This Row],[SC Qty]]&gt;0,SnapshotTable[[#This Row],[SC Current Ask]]&gt;0), SnapshotTable[[#This Row],[SC Qty]] * SnapshotTable[[#This Row],[SC Current Ask]] * -100, "")</f>
        <v/>
      </c>
      <c r="FZ294" s="235" t="str">
        <f>IF(ISNUMBER((SnapshotTable[[#This Row],[SC Current Value]])), SnapshotTable[[#This Row],[SC Premium]] + SnapshotTable[[#This Row],[SC Current Value]], "")</f>
        <v/>
      </c>
      <c r="GA294" s="294" t="str">
        <f>IFERROR( IF(ISNUMBER((SnapshotTable[[#This Row],[SC Current Value]])), SnapshotTable[[#This Row],[SC Gain Loss]] / SnapshotTable[[#This Row],[SC Premium]], ""), "")</f>
        <v/>
      </c>
      <c r="GB294" s="42">
        <f>SnapshotTable[[#This Row],[Equity Shares]] * SaleSharesToConsiderPercentage</f>
        <v>0</v>
      </c>
      <c r="GC294" s="40">
        <f>SnapshotTable[[#This Row],[Long Term Target]] * SellingPriceToConsiderBasedOnTargetPercentage</f>
        <v>32.0625</v>
      </c>
      <c r="GD294" s="40">
        <f>SnapshotTable[[#This Row],[Last Price]] * (1+ SellingPriceToConsiderBasedOnTargetPercentage)</f>
        <v>102.726</v>
      </c>
      <c r="GE294" s="41"/>
      <c r="GF294" s="40"/>
      <c r="GG294" s="31">
        <f>SnapshotTable[[#This Row],[Booked Sale Shares]] * SnapshotTable[[#This Row],[Booked Sale Price]]</f>
        <v>0</v>
      </c>
      <c r="GH294" s="31" t="str">
        <f>IF(SnapshotTable[[#This Row],[Equity Basis Total]] &gt; 0, SnapshotTable[[#This Row],[Equity Basis Per Share]] * SnapshotTable[[#This Row],[Booked Sale Shares]], "")</f>
        <v/>
      </c>
      <c r="GI294" s="31">
        <f>IF(SnapshotTable[[#This Row],[Sale Proceeds]]&gt;0, SnapshotTable[[#This Row],[Sale Proceeds]] - SnapshotTable[[#This Row],[Sale Basis]], 0)</f>
        <v>0</v>
      </c>
      <c r="GJ294" s="158" t="str">
        <f>IF(SnapshotTable[[#This Row],[Sale G/L]]&gt;0, SnapshotTable[[#This Row],[Sale G/L]] / SnapshotTable[[#This Row],[Sale Basis]], IF(ISNUMBER(SnapshotTable[[#This Row],[SC Exercise P&amp;L (TAX)]]), SnapshotTable[[#This Row],[SC Exercise P&amp;L (TAX)]] / SnapshotTable[[#This Row],[SC Basis]], ""))</f>
        <v/>
      </c>
      <c r="GK294" s="27"/>
      <c r="GL294" s="159" t="str">
        <f>IF(AND(SnapshotTable[[#This Row],[LP Exp Date]]&gt;0,SnapshotTable[[#This Row],[LP Strike Price]]&gt;0), [1]!ToOptionSymbol(SnapshotTable[[#This Row],[Symbol]], SnapshotTable[[#This Row],[LP Strike Price]],SnapshotTable[[#This Row],[LP Exp Date]],1), "")</f>
        <v/>
      </c>
      <c r="GM294" s="30" t="str">
        <f>IF(LEN(SnapshotTable[[#This Row],[LP Symbol]])&gt;0, 1, "")</f>
        <v/>
      </c>
      <c r="GN294" s="43" t="str">
        <f>IF(AND(SnapshotTable[[#This Row],[SP Exp Date]]&gt;0,SnapshotTable[[#This Row],[SP Strike Price]]&gt;0), [1]!ToOptionSymbol(SnapshotTable[[#This Row],[Symbol]], SnapshotTable[[#This Row],[SP Strike Price]],SnapshotTable[[#This Row],[SP Exp Date]],1), "")</f>
        <v/>
      </c>
      <c r="GO294" s="30" t="str">
        <f>IF(LEN(SnapshotTable[[#This Row],[SP Symbol]])&gt;0, 1, "")</f>
        <v/>
      </c>
      <c r="GP294" s="159" t="str">
        <f>IF(AND(SnapshotTable[[#This Row],[LC Exp Date]]&gt;0,SnapshotTable[[#This Row],[LC Strike Price]]&gt;0), [1]!ToOptionSymbol(SnapshotTable[[#This Row],[Symbol]], SnapshotTable[[#This Row],[LC Strike Price]],SnapshotTable[[#This Row],[LC Exp Date]],0), "")</f>
        <v/>
      </c>
      <c r="GQ294" s="160" t="str">
        <f>IF(LEN(SnapshotTable[[#This Row],[LC Symbol]])&gt;0, 1, "")</f>
        <v/>
      </c>
      <c r="GR294" s="159" t="str">
        <f>IF(AND(SnapshotTable[[#This Row],[SC Exp Date]]&gt;0,SnapshotTable[[#This Row],[SC Strike Price]]&gt;0), [1]!ToOptionSymbol(SnapshotTable[[#This Row],[Symbol]], SnapshotTable[[#This Row],[SC Strike Price]],SnapshotTable[[#This Row],[SC Exp Date]],0), "")</f>
        <v/>
      </c>
      <c r="GS294" s="160" t="str">
        <f>IF(LEN(SnapshotTable[[#This Row],[SC Symbol]])&gt;0, 1, "")</f>
        <v/>
      </c>
      <c r="GT294" s="161" t="str">
        <f>IF(COUNT(SnapshotTable[[#This Row],[LP Symbol Count]],SnapshotTable[[#This Row],[SP Symbol Count]],SnapshotTable[[#This Row],[LC Symbol Count]],SnapshotTable[[#This Row],[SC Symbol Count]])&gt;0, "Y", "")</f>
        <v/>
      </c>
      <c r="GU29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4" s="231" t="e">
        <f>MAX(SnapshotTable[[#This Row],[Equity Basis Total]],SnapshotTable[[#This Row],[Equity Value]]) + (SnapshotTable[[#This Row],[SP Potential Spend]]- SnapshotTable[[#This Row],[SP Premium]] + SnapshotTable[[#This Row],[LP Premium]])+ (SnapshotTable[[#This Row],[LC Premium]] - SnapshotTable[[#This Row],[SC Premium]])</f>
        <v>#VALUE!</v>
      </c>
      <c r="GW294" s="139" t="e">
        <f>IF(AND(SnapshotTable[[#This Row],[Exposure]] &lt;&gt; 0),SnapshotTable[[#This Row],[Exposure]] / SnapshotTable[[#Totals],[Exposure]], "")</f>
        <v>#VALUE!</v>
      </c>
      <c r="GY294" s="381"/>
      <c r="HE294" s="381"/>
      <c r="HF294" s="381"/>
      <c r="HG294" s="381"/>
      <c r="HH294" s="381"/>
      <c r="HI294" s="381"/>
      <c r="HJ294" s="381"/>
    </row>
    <row r="295" spans="2:224" s="47" customFormat="1" ht="12.75" hidden="1" customHeight="1" x14ac:dyDescent="0.25">
      <c r="B295" s="12" t="s">
        <v>186</v>
      </c>
      <c r="C295" s="422">
        <v>348.21</v>
      </c>
      <c r="D295" s="208"/>
      <c r="E295" s="39">
        <f>SnapshotTable[[#This Row],[Last Price]]*(1 -CrashDiscount)</f>
        <v>295.9785</v>
      </c>
      <c r="F295" s="26" t="s">
        <v>24</v>
      </c>
      <c r="G295" s="26" t="s">
        <v>4</v>
      </c>
      <c r="H295" s="149"/>
      <c r="I295" s="194">
        <v>44755.291666666664</v>
      </c>
      <c r="J295" s="195">
        <v>44755.291666666664</v>
      </c>
      <c r="K295" s="196"/>
      <c r="L295" s="326"/>
      <c r="M295" s="140">
        <v>1</v>
      </c>
      <c r="N295" s="140" t="b">
        <v>1</v>
      </c>
      <c r="O295" s="140"/>
      <c r="P295" s="22"/>
      <c r="Q295" s="25"/>
      <c r="R295" s="4" t="str">
        <f>IF(SnapshotTable[[#This Row],[Equity Basis Total]] &gt; 0, SnapshotTable[[#This Row],[Equity Basis Total]] / SnapshotTable[[#This Row],[Equity Shares]], "")</f>
        <v/>
      </c>
      <c r="S295" s="269">
        <f>SnapshotTable[[#This Row],[Last Price]] * SnapshotTable[[#This Row],[Equity Shares]]</f>
        <v>0</v>
      </c>
      <c r="T295" s="269">
        <f>SnapshotTable[[#This Row],[Equity Value]] - SnapshotTable[[#This Row],[Equity Basis Total]]</f>
        <v>0</v>
      </c>
      <c r="U295" s="270" t="str">
        <f>IF(SnapshotTable[[#This Row],[Equity Basis Total]] &gt; 0, SnapshotTable[[#This Row],[Equity G/L]] / SnapshotTable[[#This Row],[Equity Basis Total]], "")</f>
        <v/>
      </c>
      <c r="V295" s="268"/>
      <c r="W295" s="268"/>
      <c r="X295" s="4" t="str">
        <f>IF(AND(ISNUMBER(SnapshotTable[[#This Row],[Equity Basis Per Share]]),ISNUMBER(SnapshotTable[[#This Row],[Equity Target]])),SnapshotTable[[#This Row],[Equity Target]]-SnapshotTable[[#This Row],[Equity Basis Per Share]],"")</f>
        <v/>
      </c>
      <c r="Y295" s="4" t="str">
        <f>IF(AND(ISNUMBER(SnapshotTable[[#This Row],[Equity Basis Per Share]]),ISNUMBER(SnapshotTable[[#This Row],[Equity Stop Loss]])),SnapshotTable[[#This Row],[Equity Stop Loss]]-SnapshotTable[[#This Row],[Equity Basis Per Share]],"")</f>
        <v/>
      </c>
      <c r="Z295" s="275" t="str">
        <f>IFERROR( TEXT(SnapshotTable[[#This Row],[Equity Max Gain Per Share]] /ABS( SnapshotTable[[#This Row],[Equity Max Loss Per Share]]),"0.0 " ) &amp; " : 1", "")</f>
        <v/>
      </c>
      <c r="AA295" s="31" t="str">
        <f>IF(ISNUMBER(SnapshotTable[[#This Row],[Equity Max Gain Per Share]]),SnapshotTable[[#This Row],[Equity Max Gain Per Share]] * SnapshotTable[[#This Row],[Equity Shares]],"")</f>
        <v/>
      </c>
      <c r="AB295" s="31" t="str">
        <f>IF(ISNUMBER(SnapshotTable[[#This Row],[Equity Max Loss Per Share]]),SnapshotTable[[#This Row],[Equity Max Loss Per Share]] * SnapshotTable[[#This Row],[Equity Shares]],"")</f>
        <v/>
      </c>
      <c r="AC295" s="150">
        <v>3.6</v>
      </c>
      <c r="AD295" s="151">
        <v>43769</v>
      </c>
      <c r="AE295" s="31">
        <f>(SnapshotTable[[#This Row],[Annual Dividend Per Share]] / 4) * SnapshotTable[[#This Row],[Equity Shares]]</f>
        <v>0</v>
      </c>
      <c r="AF295" s="31">
        <f>SnapshotTable[[#This Row],[Quarterly Div $]] * 4</f>
        <v>0</v>
      </c>
      <c r="AG295" s="7">
        <f>IF(SnapshotTable[[#This Row],[Annual Dividend Per Share]]&gt;0, SnapshotTable[[#This Row],[Annual Dividend Per Share]]  / SnapshotTable[[#This Row],[Last Price]], 0)</f>
        <v>1.0338588782631171E-2</v>
      </c>
      <c r="AH295" s="151"/>
      <c r="AI295" s="5">
        <v>120</v>
      </c>
      <c r="AJ295" s="138">
        <v>113.88</v>
      </c>
      <c r="AK295" s="152">
        <f>IF(ISNUMBER( SnapshotTable[[#This Row],[EBF Target]]),(SnapshotTable[[#This Row],[EBF Target]] - SnapshotTable[[#This Row],[Last Price]]) / SnapshotTable[[#This Row],[Last Price]], "")</f>
        <v>-0.65538037391229431</v>
      </c>
      <c r="AL295" s="152" t="str">
        <f>IF(AND(SnapshotTable[[#This Row],[Equity Basis Total]] &gt; 0,ISNUMBER( SnapshotTable[[#This Row],[Long Term Target]])), SnapshotTable[[#This Row],[From Basis $]] / SnapshotTable[[#This Row],[Equity Basis Total]], "")</f>
        <v/>
      </c>
      <c r="AM295" s="9">
        <f>IF( AND(SnapshotTable[[#This Row],[Equity Shares]] &gt;0,ISNUMBER( SnapshotTable[[#This Row],[Long Term Target]])),(SnapshotTable[[#This Row],[Equity Shares]] * SnapshotTable[[#This Row],[Long Term Target]]) - SnapshotTable[[#This Row],[Equity Basis Total]],0)</f>
        <v>0</v>
      </c>
      <c r="AN295" s="9">
        <f>IF( AND(SnapshotTable[[#This Row],[Equity Shares]] &gt;0,ISNUMBER( SnapshotTable[[#This Row],[Long Term Target]])),(SnapshotTable[[#This Row],[Equity Shares]]*SnapshotTable[[#This Row],[Long Term Target]]) - SnapshotTable[[#This Row],[Equity Value]],0)</f>
        <v>0</v>
      </c>
      <c r="AO295" s="152">
        <f>IF(AND(ISNUMBER( SnapshotTable[[#This Row],[Long Term Target]]), ISNUMBER(SnapshotTable[[#This Row],[Last Price]])),(SnapshotTable[[#This Row],[Long Term Target]] - SnapshotTable[[#This Row],[Last Price]]) / SnapshotTable[[#This Row],[Last Price]], "")</f>
        <v>-0.67295597484276726</v>
      </c>
      <c r="AP295" s="5"/>
      <c r="AQ295" s="38"/>
      <c r="AR295" s="5"/>
      <c r="AS295" s="38"/>
      <c r="AT295" s="146"/>
      <c r="AU295" s="187" t="str">
        <f>IF(OR(SnapshotTable[[#This Row],[LP No Fill]]="Y",SnapshotTable[[#This Row],[SP Is Filled]],SnapshotTable[[#This Row],[LC Not Filled]]="Y",SnapshotTable[[#This Row],[SC Is Filled]]),"Y","")</f>
        <v/>
      </c>
      <c r="AV295" s="219"/>
      <c r="AW295" s="225"/>
      <c r="AX295" s="220"/>
      <c r="AY295" s="219" t="str">
        <f>IF(SnapshotTable[[#This Row],[Implied Move]]&gt;0, SnapshotTable[[#This Row],[Last Price]]-SnapshotTable[[#This Row],[Implied Move]],"")</f>
        <v/>
      </c>
      <c r="AZ295" s="219" t="str">
        <f>IF(SnapshotTable[[#This Row],[Implied Move]]&gt;0, SnapshotTable[[#This Row],[Last Price]] + SnapshotTable[[#This Row],[Implied Move]],"")</f>
        <v/>
      </c>
      <c r="BA295" s="331">
        <v>308.08999999999997</v>
      </c>
      <c r="BB295" s="347"/>
      <c r="BC29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5" s="351"/>
      <c r="BE295" s="5"/>
      <c r="BF295" s="14"/>
      <c r="BG295" s="13"/>
      <c r="BH295" s="13"/>
      <c r="BI295" s="5"/>
      <c r="BJ295" s="136">
        <f>IF(SnapshotTable[[#This Row],[LP Qty]] &gt; 0, SnapshotTable[[#This Row],[LP Qty]] * SnapshotTable[[#This Row],[LP Book Price]] * 100,0)</f>
        <v>0</v>
      </c>
      <c r="BK295" s="136">
        <f>IF(SnapshotTable[[#This Row],[LP Premium]] &gt; 0, SnapshotTable[[#This Row],[LP Qty]] * SnapshotTable[[#This Row],[LP Strike Price]] * 100,0)</f>
        <v>0</v>
      </c>
      <c r="BL295" s="154"/>
      <c r="BM295" s="385" t="str">
        <f>IF(SnapshotTable[[#This Row],[LP Premium]] &gt; 0,SnapshotTable[[#This Row],[LP Exp Date]]-MAX(SnapshotTable[[#This Row],[LP Book Date]], SnapshotTable[[#This Row],[LP Fill Date]]),"")</f>
        <v/>
      </c>
      <c r="BN295" s="385" t="str">
        <f>IF(ISNUMBER( SnapshotTable[[#This Row],[LP Term]]), SnapshotTable[[#This Row],[LP Exp Date]] - MockToday,"")</f>
        <v/>
      </c>
      <c r="BO295" s="163" t="str">
        <f>IF(AND(SnapshotTable[[#This Row],[LP Exp Date]]&gt;0, SnapshotTable[[#This Row],[LP Strike Price]]&gt;0,SnapshotTable[[#This Row],[LP Qty]]&gt;0,SnapshotTable[[#This Row],[LP Book Date]]&gt;0,SnapshotTable[[#This Row],[LP Book Price]]&gt;0,SnapshotTable[[#This Row],[LP Fill Date]]=0),"Y","")</f>
        <v/>
      </c>
      <c r="BP295" s="31" t="str">
        <f>IF(AND(SnapshotTable[[#This Row],[LP No Fill]]&lt;&gt;"Y",SnapshotTable[[#This Row],[LP Contract Value]]&gt;0, SnapshotTable[[#This Row],[LP Qty]]&gt;0), SnapshotTable[[#This Row],[LP Contract Value]]*SnapshotTable[[#This Row],[LP Qty]]*100,"")</f>
        <v/>
      </c>
      <c r="BQ295" s="13"/>
      <c r="BR295" s="5" t="str">
        <f>IF(SnapshotTable[[#This Row],[SP Exp Date]]&lt;&gt;"",TRUNC(SnapshotTable[[#This Row],[Last Price]]),"")</f>
        <v/>
      </c>
      <c r="BS295" s="36"/>
      <c r="BT295" s="147"/>
      <c r="BU295" s="13"/>
      <c r="BV295" s="5"/>
      <c r="BW295" s="419" t="b">
        <f>AND(ISNUMBER(SnapshotTable[[#This Row],[SP Exp Date]]), ISNUMBER(SnapshotTable[[#This Row],[SP Strike Price]]), ISNUMBER(SnapshotTable[[#This Row],[SP Qty]]), ISNUMBER(SnapshotTable[[#This Row],[SP Book Date]]), ISNUMBER(SnapshotTable[[#This Row],[SP Book Price]]))</f>
        <v>0</v>
      </c>
      <c r="BX295" s="419" t="b">
        <f>AND(SnapshotTable[[#This Row],[SP Is Booked]], NOT(ISBLANK(SnapshotTable[[#This Row],[SP Fill Date]])))</f>
        <v>0</v>
      </c>
      <c r="BY295" s="33">
        <f>IF(SnapshotTable[[#This Row],[SP Is Booked]], SnapshotTable[[#This Row],[SP Qty]] * SnapshotTable[[#This Row],[SP Book Price]] * 100, 0)</f>
        <v>0</v>
      </c>
      <c r="BZ295" s="369"/>
      <c r="CA295" s="368">
        <f>SnapshotTable[[#This Row],[LP Qty]]</f>
        <v>0</v>
      </c>
      <c r="CB295" s="4" t="str">
        <f>IF(SnapshotTable[[#This Row],[SP Is Booked]], SnapshotTable[[#This Row],[SP Strike Price]] - SnapshotTable[[#This Row],[SP Book Price]], "")</f>
        <v/>
      </c>
      <c r="CC295" s="19" t="str">
        <f>IF(SnapshotTable[[#This Row],[SP Is Booked]],SnapshotTable[[#This Row],[SP Exp Date]]-MAX(SnapshotTable[[#This Row],[SP Book Date]], SnapshotTable[[#This Row],[SP Fill Date]]),"")</f>
        <v/>
      </c>
      <c r="CD295" s="7" t="str">
        <f>IF(SnapshotTable[[#This Row],[SP Is Booked]], SnapshotTable[[#This Row],[SP Book Price]]/SnapshotTable[[#This Row],[SP Strike Price]], "")</f>
        <v/>
      </c>
      <c r="CE295" s="7" t="str">
        <f>IF(ISNUMBER(SnapshotTable[[#This Row],[SP ROO Term]]),SnapshotTable[[#This Row],[SP ROO Term]]*(365/SnapshotTable[[#This Row],[SP Term]]),"")</f>
        <v/>
      </c>
      <c r="CF295" s="236">
        <f>SnapshotTable[[#This Row],[LP Strike Price]] * SnapshotTable[[#This Row],[LP Qty]] * 100</f>
        <v>0</v>
      </c>
      <c r="CG295" s="31" t="e">
        <f>IF(ISNUMBER(SnapshotTable[[#This Row],[SP Premium]]), (SnapshotTable[[#This Row],[SP Qty]] * SnapshotTable[[#This Row],[SP Strike Price]]* 100) - SnapshotTable[[#This Row],[LP Protection]], 0)</f>
        <v>#VALUE!</v>
      </c>
      <c r="CH295" s="7" t="str">
        <f>IF(ISNUMBER(SnapshotTable[[#This Row],[SP Break Even]]),-1 * (SnapshotTable[[#This Row],[SP Break Even]] - SnapshotTable[[#This Row],[Last Price]]) / SnapshotTable[[#This Row],[Last Price]], "")</f>
        <v/>
      </c>
      <c r="CI295" s="31">
        <f>IF(AND(ISNUMBER((SnapshotTable[[#This Row],[SP Potential Spend]])), SnapshotTable[[#This Row],[SP Strike Price]] &gt; SnapshotTable[[#This Row],[Last Price]], SnapshotTable[[#This Row],[SP Is Filled]]), SnapshotTable[[#This Row],[SP Potential Spend]] -  SnapshotTable[[#This Row],[LP Max Value]], 0)</f>
        <v>0</v>
      </c>
      <c r="CJ295" s="244"/>
      <c r="CK295" s="31" t="str">
        <f>IF(ISNUMBER(SnapshotTable[[#This Row],[SP Potential Spend]]),IF(ISNUMBER(SnapshotTable[[#This Row],[SP POW]]), SnapshotTable[[#This Row],[SP POW]] * SnapshotTable[[#This Row],[SP Potential Spend]], SnapshotTable[[#This Row],[SP Potential Spend]]), "")</f>
        <v/>
      </c>
      <c r="CL295" s="164" t="e">
        <f>IF(NOT(SnapshotTable[[#This Row],[SP Is Filled]]),(SnapshotTable[[#This Row],[SP Qty]] * SnapshotTable[[#This Row],[SP Strike Price]] * 100) - SnapshotTable[[#This Row],[LP Max Value]],"")</f>
        <v>#VALUE!</v>
      </c>
      <c r="CM295" s="31" t="str">
        <f>IF(SnapshotTable[[#This Row],[SP Actual Spend]]&lt;&gt;0, ((SnapshotTable[[#This Row],[SP Strike Price]]-SnapshotTable[[#This Row],[Last Price]]) *(SnapshotTable[[#This Row],[SP Qty]]*100) - SnapshotTable[[#This Row],[SP Premium]]) * - 1, "")</f>
        <v/>
      </c>
      <c r="CN295" s="78"/>
      <c r="CO295" s="369"/>
      <c r="CP295" s="4" t="str">
        <f>IF(SnapshotTable[[#This Row],[SP Is Filled]], btc_max_buyback_amount(SnapshotTable[[#This Row],[SP Fill Date]],SnapshotTable[[#This Row],[SP Exp Date]], SnapshotTable[[#This Row],[SP Book Price]]),"")</f>
        <v/>
      </c>
      <c r="CQ295" s="78"/>
      <c r="CR29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5" s="155" t="str">
        <f>IF(SnapshotTable[[#This Row],[SP Is Filled]], btc_next_cutoff_date(SnapshotTable[[#This Row],[SP Fill Date]],SnapshotTable[[#This Row],[SP Exp Date]]),"")</f>
        <v/>
      </c>
      <c r="CT295" s="235" t="str" cm="1">
        <f t="array" ref="CT295">IF(SnapshotTable[[#This Row],[SP Is Filled]], btc_should_buy_back(SnapshotTable[[#This Row],[SP Fill Date]], SnapshotTable[[#This Row],[SP Exp Date]], SnapshotTable[[#This Row],[SP Book Price]], SnapshotTable[[#This Row],[SP Current Ask]], MockToday, SnapshotTable[[#This Row],[SP Buyback Override]]),"")</f>
        <v/>
      </c>
      <c r="CU295" s="143"/>
      <c r="CV295" s="235"/>
      <c r="CW295" s="378" t="str">
        <f>IF(ISNUMBER( SnapshotTable[[#This Row],[SP Term]]), SnapshotTable[[#This Row],[SP Exp Date]] - MockToday,"")</f>
        <v/>
      </c>
      <c r="CX295" s="31" t="str">
        <f>IF(SnapshotTable[[#This Row],[SP Is Filled]],SnapshotTable[[#This Row],[SP Buyback Price to Use]] * 100 * SnapshotTable[[#This Row],[SP Qty]], "")</f>
        <v/>
      </c>
      <c r="CY295" s="4" t="str">
        <f>IF(ISNUMBER(SnapshotTable[[#This Row],[SP Strike Price]]), SnapshotTable[[#This Row],[SP Strike Price]] * (1 - SP_MaxLoss_StrikePct), "")</f>
        <v/>
      </c>
      <c r="CZ295" s="31" t="str">
        <f>IF(ISNUMBER(SnapshotTable[[#This Row],[SP Strike  Stop Per Share]]),SnapshotTable[[#This Row],[SP Premium]] - ((SnapshotTable[[#This Row],[SP Strike Price]]-SnapshotTable[[#This Row],[SP Strike  Stop Per Share]]) *(SnapshotTable[[#This Row],[SP Qty]] * 100)),"")</f>
        <v/>
      </c>
      <c r="DA295" s="4" t="str">
        <f>IF(AND(ISNUMBER(SnapshotTable[[#This Row],[SP Premium]]),SnapshotTable[[#This Row],[SP Premium]]&gt;0), SnapshotTable[[#This Row],[SP Book Price]] * (1 + SP_MaxLoss_OptionPct), "")</f>
        <v/>
      </c>
      <c r="DB295" s="31" t="str">
        <f>IF(ISNUMBER(SnapshotTable[[#This Row],[SP Option  Stop Contract]]),(SnapshotTable[[#This Row],[SP Option  Stop Contract]] *(SnapshotTable[[#This Row],[SP Qty]] * 100) - SnapshotTable[[#This Row],[SP Premium]]),"")</f>
        <v/>
      </c>
      <c r="DC295" s="4"/>
      <c r="DD295" s="4"/>
      <c r="DE295" s="4" t="str">
        <f>IF(AND(SnapshotTable[[#This Row],[SP Qty]]&gt;0, SnapshotTable[[#This Row],[SP Stop To Use]]&gt;0),SnapshotTable[[#This Row],[SP Premium]] - ( SnapshotTable[[#This Row],[SP Qty]] * SnapshotTable[[#This Row],[SP Stop To Use]] * 100), "")</f>
        <v/>
      </c>
      <c r="DF295" s="31" t="str">
        <f>IF(AND(SnapshotTable[[#This Row],[SP Qty]]&gt;0,SnapshotTable[[#This Row],[SP Current Ask]]&gt;0), SnapshotTable[[#This Row],[SP Qty]] * SnapshotTable[[#This Row],[SP Current Ask]] * -100, "")</f>
        <v/>
      </c>
      <c r="DG295" s="31" t="str">
        <f>IF(ISNUMBER((SnapshotTable[[#This Row],[SP Total Value]])), SnapshotTable[[#This Row],[SP Premium]] + SnapshotTable[[#This Row],[SP Total Value]], "")</f>
        <v/>
      </c>
      <c r="DH295" s="294" t="str">
        <f>IF(ISNUMBER((SnapshotTable[[#This Row],[SP Total Value]])), SnapshotTable[[#This Row],[SP Gain Loss]] / SnapshotTable[[#This Row],[SP Premium]], "")</f>
        <v/>
      </c>
      <c r="DI295" s="406"/>
      <c r="DJ295" s="138"/>
      <c r="DK295" s="148"/>
      <c r="DL295" s="13"/>
      <c r="DM295" s="13"/>
      <c r="DN295" s="5"/>
      <c r="DO295" s="31">
        <f>IF(SnapshotTable[[#This Row],[LC Symbol Count]]=1, SnapshotTable[[#This Row],[LC Qty]] * SnapshotTable[[#This Row],[LC Book Price]] * 100, 0)</f>
        <v>0</v>
      </c>
      <c r="DP295" s="163" t="str">
        <f>IF(AND(SnapshotTable[[#This Row],[LC Exp Date]]&gt;0, SnapshotTable[[#This Row],[LC Strike Price]]&gt;0,SnapshotTable[[#This Row],[LC Qty]]&gt;0,SnapshotTable[[#This Row],[LC Book Date]]&gt;0,SnapshotTable[[#This Row],[LC Book Price]]&gt;0,SnapshotTable[[#This Row],[LC Fill Date]]=0),"Y","")</f>
        <v/>
      </c>
      <c r="DQ295" s="386" t="str">
        <f>IF(SnapshotTable[[#This Row],[LC Premium]] &gt; 0,SnapshotTable[[#This Row],[LC Exp Date]]-MAX(SnapshotTable[[#This Row],[LC Book Date]], SnapshotTable[[#This Row],[LC Fill Date]]),"")</f>
        <v/>
      </c>
      <c r="DR295" s="386" t="str">
        <f>IF(ISNUMBER(SnapshotTable[[#This Row],[LC Term]]), SnapshotTable[[#This Row],[LC Exp Date]] - MockToday, "")</f>
        <v/>
      </c>
      <c r="DS295" s="234" t="str">
        <f>IF(SnapshotTable[[#This Row],[LC Premium]]&gt;0,SnapshotTable[[#This Row],[LC Strike Price]] + SnapshotTable[[#This Row],[LC Book Price]],"")</f>
        <v/>
      </c>
      <c r="DT295" s="5"/>
      <c r="DU295" s="9" t="str">
        <f>IF(AND(SnapshotTable[[#This Row],[LC Symbol Count]]&gt;0, SnapshotTable[[#This Row],[LC Contract Value]]&gt;0), SnapshotTable[[#This Row],[LC Contract Value]] * SnapshotTable[[#This Row],[LC Qty]] * 100, "")</f>
        <v/>
      </c>
      <c r="DV295" s="9" t="str">
        <f>IF(AND(ISNUMBER(SnapshotTable[[#This Row],[LC Total Value]]), SnapshotTable[[#This Row],[LC Not Filled]]&lt;&gt;"Y"), SnapshotTable[[#This Row],[LC Total Value]]-SnapshotTable[[#This Row],[LC Premium]],"")</f>
        <v/>
      </c>
      <c r="DW295" s="240" t="str">
        <f>IF(ISNUMBER(SnapshotTable[[#This Row],[LC Actual Gain Loss]]), SnapshotTable[[#This Row],[LC Actual Gain Loss]] / SnapshotTable[[#This Row],[LC Premium]],"")</f>
        <v/>
      </c>
      <c r="DX295" s="284" t="str">
        <f>IF(ISNUMBER(SnapshotTable[[#This Row],[LC Book Price]]),SnapshotTable[[#This Row],[LC Book Price]] * 1.5,"")</f>
        <v/>
      </c>
      <c r="DY295" s="265" t="str">
        <f>IF(SnapshotTable[[#This Row],[LC Premium]]&gt;0, SnapshotTable[[#This Row],[LC Next Target]] * SnapshotTable[[#This Row],[LC Qty]] * 100,"")</f>
        <v/>
      </c>
      <c r="DZ295" s="265" t="str">
        <f>IF(ISNUMBER(SnapshotTable[[#This Row],[LC Target Gross]]), SnapshotTable[[#This Row],[LC Target Gross]] - SnapshotTable[[#This Row],[LC Premium]], "")</f>
        <v/>
      </c>
      <c r="EA295" s="305" t="str">
        <f>IF(ISNUMBER(SnapshotTable[[#This Row],[LC Target Gain Loss]]), SnapshotTable[[#This Row],[LC Target Gain Loss]]/SnapshotTable[[#This Row],[LC Premium]], "")</f>
        <v/>
      </c>
      <c r="EB295" s="262"/>
      <c r="EC295" s="283" t="str">
        <f>IF(SnapshotTable[[#This Row],[LC Premium]]&gt;0, SnapshotTable[[#This Row],[LC Book Price]] * (1 - LC_StopLoss_Pct),"")</f>
        <v/>
      </c>
      <c r="ED295" s="284"/>
      <c r="EE295" s="283" t="str">
        <f>IF(ISNUMBER(SnapshotTable[[#This Row],[LC Contract Value]]),IF(ISNUMBER(SnapshotTable[[#This Row],[LC Stop Loss Override]]), SnapshotTable[[#This Row],[LC Stop Loss Override]],SnapshotTable[[#This Row],[LC Stop Loss Calc Target]]),"")</f>
        <v/>
      </c>
      <c r="EF295" s="31" t="str">
        <f>IF(ISNUMBER(SnapshotTable[[#This Row],[LC Stop  To Use]]), (SnapshotTable[[#This Row],[LC Stop  To Use]] * SnapshotTable[[#This Row],[LC Qty]] * 100),"")</f>
        <v/>
      </c>
      <c r="EG295" s="9" t="str">
        <f>IF(ISNUMBER(SnapshotTable[[#This Row],[LC Total Value]]),SnapshotTable[[#This Row],[LC Stop Loss Amount]] - SnapshotTable[[#This Row],[LC Premium]],"")</f>
        <v/>
      </c>
      <c r="EH295" s="9">
        <f>IF(ISNUMBER(SnapshotTable[[#This Row],[LC Premium]]), SnapshotTable[[#This Row],[LC Qty]] * 100 * SnapshotTable[[#This Row],[LC Strike Price]], "")</f>
        <v>0</v>
      </c>
      <c r="EI295" s="240" t="str">
        <f>IF(AND(ISNUMBER(SnapshotTable[[#This Row],[LC Total Value]]),SnapshotTable[[#This Row],[LC Total Value]]&gt;0),SnapshotTable[[#This Row],[LC Stop Gain Loss]]  / SnapshotTable[[#This Row],[LC Premium]],"")</f>
        <v/>
      </c>
      <c r="EJ295" s="35">
        <f>IF(ISNUMBER(SnapshotTable[[#This Row],[Equity Shares]]),TRUNC(SnapshotTable[[#This Row],[Equity Shares]] / 100),0) + SnapshotTable[[#This Row],[LC Qty]]</f>
        <v>0</v>
      </c>
      <c r="EK295" s="147"/>
      <c r="EL295" s="138" t="str">
        <f>IF(SnapshotTable[[#This Row],[SC Exp Date]]&lt;&gt;"",TRUNC(SnapshotTable[[#This Row],[Last Price]]),"")</f>
        <v/>
      </c>
      <c r="EM295" s="148"/>
      <c r="EN295" s="147"/>
      <c r="EO295" s="147"/>
      <c r="EP295" s="138"/>
      <c r="EQ295" s="419" t="b">
        <f>AND(ISNUMBER(SnapshotTable[[#This Row],[SC Exp Date]]), ISNUMBER(SnapshotTable[[#This Row],[SC Strike Price]]), ISNUMBER(SnapshotTable[[#This Row],[SC Qty]]), ISNUMBER(SnapshotTable[[#This Row],[SC Book Date]]), ISNUMBER(SnapshotTable[[#This Row],[SC Book Price]]))</f>
        <v>0</v>
      </c>
      <c r="ER295" s="419" t="b">
        <f>AND(SnapshotTable[[#This Row],[SC Is Booked]], NOT(ISBLANK(SnapshotTable[[#This Row],[SC Fill Date]])))</f>
        <v>0</v>
      </c>
      <c r="ES295" s="370"/>
      <c r="ET295" s="34" t="str">
        <f>IF(AND(ISNUMBER(SnapshotTable[[#This Row],[SC Exp Date]]), ISNUMBER(SnapshotTable[[#This Row],[SC Book Date]])), SnapshotTable[[#This Row],[SC Exp Date]] - MAX(SnapshotTable[[#This Row],[SC Book Date]], SnapshotTable[[#This Row],[SC Fill Date]]) + 1, "")</f>
        <v/>
      </c>
      <c r="EU295" s="34" t="str">
        <f>IF(ISNUMBER(SnapshotTable[[#This Row],[SC Term]]), SnapshotTable[[#This Row],[SC Exp Date]]- MockToday, "")</f>
        <v/>
      </c>
      <c r="EV295" s="31">
        <f>IF(SnapshotTable[[#This Row],[SC Is Booked]], SnapshotTable[[#This Row],[SC Qty]] * SnapshotTable[[#This Row],[SC Book Price]] * 100, 0)</f>
        <v>0</v>
      </c>
      <c r="EW295" s="4" t="str">
        <f>IF(AND(ISNUMBER(SnapshotTable[[#This Row],[Last Price]]), ISNUMBER( SnapshotTable[[#This Row],[SC Book Price]])), SnapshotTable[[#This Row],[Last Price]] - SnapshotTable[[#This Row],[SC Book Price]],"")</f>
        <v/>
      </c>
      <c r="EX295" s="234" t="str">
        <f>IF(SnapshotTable[[#This Row],[SC Is Booked]],IF(SnapshotTable[[#This Row],[SC Intrinsic Value]] &gt; 0, SnapshotTable[[#This Row],[SC Strike Price]], SnapshotTable[[#This Row],[Last Price]]), "")</f>
        <v/>
      </c>
      <c r="EY295" s="4">
        <f>IF(SnapshotTable[[#This Row],[SC Is Booked]], (MinimumPremiumRequired * SnapshotTable[[#This Row],[SC Basis]] * SnapshotTable[[#This Row],[SC Term]]), 0)</f>
        <v>0</v>
      </c>
      <c r="EZ295" s="283"/>
      <c r="FA295" s="218"/>
      <c r="FB295" s="370"/>
      <c r="FC295" s="4">
        <f>IF(SnapshotTable[[#This Row],[SC Is Filled]], btc_max_buyback_amount(SnapshotTable[[#This Row],[SC Fill Date]],SnapshotTable[[#This Row],[SC Exp Date]], SnapshotTable[[#This Row],[SC Book Price]]),0)</f>
        <v>0</v>
      </c>
      <c r="FD295" s="5"/>
      <c r="FE295" s="144" t="str">
        <f>IF(SnapshotTable[[#This Row],[SC Is Filled]], btc_next_cutoff_date(SnapshotTable[[#This Row],[SC Fill Date]],SnapshotTable[[#This Row],[SC Exp Date]]),"")</f>
        <v/>
      </c>
      <c r="FF295" s="4" t="str" cm="1">
        <f t="array" ref="FF295">IF(SnapshotTable[[#This Row],[SC Is Filled]], btc_should_buy_back(SnapshotTable[[#This Row],[SC Fill Date]], SnapshotTable[[#This Row],[SC Exp Date]], SnapshotTable[[#This Row],[SC Book Price]], SnapshotTable[[#This Row],[SC Current Ask]], MockToday, SnapshotTable[[#This Row],[SC Buyback Override]]),"")</f>
        <v/>
      </c>
      <c r="FG295" s="4">
        <f>IF(SnapshotTable[[#This Row],[SC Is Filled]], MAX(0,SnapshotTable[[#This Row],[Last Price]]  - SnapshotTable[[#This Row],[SC Strike Price]]), 0)</f>
        <v>0</v>
      </c>
      <c r="FH295" s="382">
        <f>IF(SnapshotTable[[#This Row],[SC Is Filled]], IF(ISNUMBER(SnapshotTable[[#This Row],[SC Current Ask]]), SnapshotTable[[#This Row],[SC Current Ask]], SnapshotTable[[#This Row],[SC Book Price]]) - SnapshotTable[[#This Row],[SC Intrinsic Value]], 0)</f>
        <v>0</v>
      </c>
      <c r="FI295" s="143"/>
      <c r="FJ295" s="32" t="str">
        <f>IF(SnapshotTable[[#This Row],[SC Is Filled]],100 * SnapshotTable[[#This Row],[SC Qty]] * IF(ISNUMBER(SnapshotTable[[#This Row],[SC Buyback Override]]), SnapshotTable[[#This Row],[SC Buyback Override]], SnapshotTable[[#This Row],[SC Current Ask]]), "")</f>
        <v/>
      </c>
      <c r="FK295" s="250" t="str">
        <f>IF(SnapshotTable[[#This Row],[SC Time Val]]&gt;0, SnapshotTable[[#This Row],[SC Time Val]] / SnapshotTable[[#This Row],[Last Price]],"")</f>
        <v/>
      </c>
      <c r="FL295" s="302" t="str">
        <f>IF(SnapshotTable[[#This Row],[SC Is Booked]], ((SnapshotTable[[#This Row],[Last Price]] -SnapshotTable[[#This Row],[SC Strike Price]]) / SnapshotTable[[#This Row],[Last Price]]) * -1, "")</f>
        <v/>
      </c>
      <c r="FM295" s="157" t="str">
        <f>IF(SnapshotTable[[#This Row],[SC Is Booked]],  (SnapshotTable[[#This Row],[SC Qty]] * 100 * SnapshotTable[[#This Row],[SC Strike Price]]) - SnapshotTable[[#This Row],[SC Current Ask]], "")</f>
        <v/>
      </c>
      <c r="FN29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5" s="31" t="str">
        <f>IF(AND(ISNUMBER(SnapshotTable[[#This Row],[SC Exercise Gross]]), ISNUMBER(SnapshotTable[[#This Row],[Equity Basis Per Share]] )), SnapshotTable[[#This Row],[SC Exercise Gross]] - SnapshotTable[[#This Row],[Equity Basis Total]] +  SnapshotTable[[#This Row],[SC Premium]], "")</f>
        <v/>
      </c>
      <c r="FP295" s="5" t="str">
        <f>IF(ISNUMBER(SnapshotTable[[#This Row],[SC Exercise Gross]]), (SnapshotTable[[#This Row],[SC Exercise Gross]]) / (SnapshotTable[[#This Row],[SC Qty]] * 100), "")</f>
        <v/>
      </c>
      <c r="FQ295" s="27" t="str">
        <f>IF(SnapshotTable[[#This Row],[SC Is Booked]],SnapshotTable[[#This Row],[SC Time Val]] /SnapshotTable[[#This Row],[SC Basis]], "")</f>
        <v/>
      </c>
      <c r="FR295" s="27" t="str" cm="1">
        <f t="array" ref="FR295">IF(AND(ISNUMBER(SnapshotTable[[#This Row],[SC Term]]),ISNUMBER(SnapshotTable[[#This Row],[SC Simple ROO]])), EllmanAnnualize(SnapshotTable[[#This Row],[SC DTE]], SnapshotTable[[#This Row],[SC Simple ROO]] ),"")</f>
        <v/>
      </c>
      <c r="FS295" s="4" t="e">
        <f>IF(SnapshotTable[[#This Row],[SC Strike Price]] &gt; SnapshotTable[[#This Row],[Last Price]], SnapshotTable[[#This Row],[SC Strike Price]] - SnapshotTable[[#This Row],[Last Price]],0)</f>
        <v>#VALUE!</v>
      </c>
      <c r="FT295" s="27" t="e">
        <f>IF(AND(ISNUMBER(SnapshotTable[[#This Row],[SC Upside Potential]]), SnapshotTable[[#This Row],[SC Upside Potential]] &gt; 0),(SnapshotTable[[#This Row],[SC Upside Potential]]/ SnapshotTable[[#This Row],[ACB]]),"")</f>
        <v>#VALUE!</v>
      </c>
      <c r="FU295" s="333" t="str">
        <f>IF(SnapshotTable[[#This Row],[SC Intrinsic Value]] &gt; 0,SnapshotTable[[#This Row],[SC Intrinsic Value]],"")</f>
        <v/>
      </c>
      <c r="FV295" s="27" t="str">
        <f>IF(AND( ISNUMBER( SnapshotTable[[#This Row],[ACB]]),ISNUMBER(SnapshotTable[[#This Row],[SC Downside Protect]])),SnapshotTable[[#This Row],[SC Downside Protect]] / SnapshotTable[[#This Row],[ACB]],"")</f>
        <v/>
      </c>
      <c r="FW295" s="236" t="str">
        <f>IF(AND(ISNUMBER(SnapshotTable[[#This Row],[SC Simple ROO]]),SnapshotTable[[#This Row],[SC Simple ROO]] &gt; 0), SnapshotTable[[#This Row],[SC Premium]] + (SnapshotTable[[#This Row],[SC Qty]] * SnapshotTable[[#This Row],[SC Upside Potential]]), "")</f>
        <v/>
      </c>
      <c r="FX295" s="302" t="str" cm="1">
        <f t="array" ref="FX295">IF(ISNUMBER(SnapshotTable[[#This Row],[SC Max Dollars]]), annualize(SnapshotTable[[#This Row],[SC Term]],(SnapshotTable[[#This Row],[SC Max Dollars]]/SnapshotTable[[#This Row],[SC Basis]])),"")</f>
        <v/>
      </c>
      <c r="FY295" s="236" t="str">
        <f>IF(AND(SnapshotTable[[#This Row],[SC Qty]]&gt;0,SnapshotTable[[#This Row],[SC Current Ask]]&gt;0), SnapshotTable[[#This Row],[SC Qty]] * SnapshotTable[[#This Row],[SC Current Ask]] * -100, "")</f>
        <v/>
      </c>
      <c r="FZ295" s="31" t="str">
        <f>IF(ISNUMBER((SnapshotTable[[#This Row],[SC Current Value]])), SnapshotTable[[#This Row],[SC Premium]] + SnapshotTable[[#This Row],[SC Current Value]], "")</f>
        <v/>
      </c>
      <c r="GA295" s="294" t="str">
        <f>IFERROR( IF(ISNUMBER((SnapshotTable[[#This Row],[SC Current Value]])), SnapshotTable[[#This Row],[SC Gain Loss]] / SnapshotTable[[#This Row],[SC Premium]], ""), "")</f>
        <v/>
      </c>
      <c r="GB295" s="42">
        <f>SnapshotTable[[#This Row],[Equity Shares]] * SaleSharesToConsiderPercentage</f>
        <v>0</v>
      </c>
      <c r="GC295" s="40">
        <f>SnapshotTable[[#This Row],[Long Term Target]] * SellingPriceToConsiderBasedOnTargetPercentage</f>
        <v>108.18599999999999</v>
      </c>
      <c r="GD295" s="40">
        <f>SnapshotTable[[#This Row],[Last Price]] * (1+ SellingPriceToConsiderBasedOnTargetPercentage)</f>
        <v>679.00949999999989</v>
      </c>
      <c r="GE295" s="41"/>
      <c r="GF295" s="40"/>
      <c r="GG295" s="31">
        <f>SnapshotTable[[#This Row],[Booked Sale Shares]] * SnapshotTable[[#This Row],[Booked Sale Price]]</f>
        <v>0</v>
      </c>
      <c r="GH295" s="31" t="str">
        <f>IF(SnapshotTable[[#This Row],[Equity Basis Total]] &gt; 0, SnapshotTable[[#This Row],[Equity Basis Per Share]] * SnapshotTable[[#This Row],[Booked Sale Shares]], "")</f>
        <v/>
      </c>
      <c r="GI295" s="31">
        <f>IF(SnapshotTable[[#This Row],[Sale Proceeds]]&gt;0, SnapshotTable[[#This Row],[Sale Proceeds]] - SnapshotTable[[#This Row],[Sale Basis]], 0)</f>
        <v>0</v>
      </c>
      <c r="GJ295" s="27" t="str">
        <f>IF(SnapshotTable[[#This Row],[Sale G/L]]&gt;0, SnapshotTable[[#This Row],[Sale G/L]] / SnapshotTable[[#This Row],[Sale Basis]], IF(ISNUMBER(SnapshotTable[[#This Row],[SC Exercise P&amp;L (TAX)]]), SnapshotTable[[#This Row],[SC Exercise P&amp;L (TAX)]] / SnapshotTable[[#This Row],[SC Basis]], ""))</f>
        <v/>
      </c>
      <c r="GK295" s="27" t="s">
        <v>727</v>
      </c>
      <c r="GL295" s="43" t="str">
        <f>IF(AND(SnapshotTable[[#This Row],[LP Exp Date]]&gt;0,SnapshotTable[[#This Row],[LP Strike Price]]&gt;0), [1]!ToOptionSymbol(SnapshotTable[[#This Row],[Symbol]], SnapshotTable[[#This Row],[LP Strike Price]],SnapshotTable[[#This Row],[LP Exp Date]],1), "")</f>
        <v/>
      </c>
      <c r="GM295" s="30" t="str">
        <f>IF(LEN(SnapshotTable[[#This Row],[LP Symbol]])&gt;0, 1, "")</f>
        <v/>
      </c>
      <c r="GN295" s="43" t="str">
        <f>IF(AND(SnapshotTable[[#This Row],[SP Exp Date]]&gt;0,SnapshotTable[[#This Row],[SP Strike Price]]&gt;0), [1]!ToOptionSymbol(SnapshotTable[[#This Row],[Symbol]], SnapshotTable[[#This Row],[SP Strike Price]],SnapshotTable[[#This Row],[SP Exp Date]],1), "")</f>
        <v/>
      </c>
      <c r="GO295" s="30" t="str">
        <f>IF(LEN(SnapshotTable[[#This Row],[SP Symbol]])&gt;0, 1, "")</f>
        <v/>
      </c>
      <c r="GP295" s="43" t="str">
        <f>IF(AND(SnapshotTable[[#This Row],[LC Exp Date]]&gt;0,SnapshotTable[[#This Row],[LC Strike Price]]&gt;0), [1]!ToOptionSymbol(SnapshotTable[[#This Row],[Symbol]], SnapshotTable[[#This Row],[LC Strike Price]],SnapshotTable[[#This Row],[LC Exp Date]],0), "")</f>
        <v/>
      </c>
      <c r="GQ295" s="30" t="str">
        <f>IF(LEN(SnapshotTable[[#This Row],[LC Symbol]])&gt;0, 1, "")</f>
        <v/>
      </c>
      <c r="GR295" s="43" t="str">
        <f>IF(AND(SnapshotTable[[#This Row],[SC Exp Date]]&gt;0,SnapshotTable[[#This Row],[SC Strike Price]]&gt;0), [1]!ToOptionSymbol(SnapshotTable[[#This Row],[Symbol]], SnapshotTable[[#This Row],[SC Strike Price]],SnapshotTable[[#This Row],[SC Exp Date]],0), "")</f>
        <v/>
      </c>
      <c r="GS295" s="30" t="str">
        <f>IF(LEN(SnapshotTable[[#This Row],[SC Symbol]])&gt;0, 1, "")</f>
        <v/>
      </c>
      <c r="GT295" s="29" t="str">
        <f>IF(COUNT(SnapshotTable[[#This Row],[LP Symbol Count]],SnapshotTable[[#This Row],[SP Symbol Count]],SnapshotTable[[#This Row],[LC Symbol Count]],SnapshotTable[[#This Row],[SC Symbol Count]])&gt;0, "Y", "")</f>
        <v/>
      </c>
      <c r="GU29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5" s="231" t="e">
        <f>MAX(SnapshotTable[[#This Row],[Equity Basis Total]],SnapshotTable[[#This Row],[Equity Value]]) + (SnapshotTable[[#This Row],[SP Potential Spend]]- SnapshotTable[[#This Row],[SP Premium]] + SnapshotTable[[#This Row],[LP Premium]])+ (SnapshotTable[[#This Row],[LC Premium]] - SnapshotTable[[#This Row],[SC Premium]])</f>
        <v>#VALUE!</v>
      </c>
      <c r="GW295" s="139" t="e">
        <f>IF(AND(SnapshotTable[[#This Row],[Exposure]] &lt;&gt; 0),SnapshotTable[[#This Row],[Exposure]] / SnapshotTable[[#Totals],[Exposure]], "")</f>
        <v>#VALUE!</v>
      </c>
      <c r="GY295" s="381"/>
      <c r="HE295" s="381"/>
      <c r="HF295" s="381"/>
      <c r="HG295" s="381"/>
      <c r="HH295" s="381"/>
      <c r="HI295" s="381"/>
      <c r="HJ295" s="381"/>
    </row>
    <row r="296" spans="2:224" ht="12.75" hidden="1" customHeight="1" x14ac:dyDescent="0.25">
      <c r="B296" s="12" t="s">
        <v>22</v>
      </c>
      <c r="C296" s="422">
        <v>141.63999999999999</v>
      </c>
      <c r="D296" s="208"/>
      <c r="E296" s="39">
        <f>SnapshotTable[[#This Row],[Last Price]]*(1 -CrashDiscount)</f>
        <v>120.39399999999999</v>
      </c>
      <c r="F296" s="26" t="s">
        <v>21</v>
      </c>
      <c r="G296" s="26" t="s">
        <v>20</v>
      </c>
      <c r="H296" s="149"/>
      <c r="I296" s="194">
        <v>44774.284722222219</v>
      </c>
      <c r="J296" s="195">
        <v>44774.284722222219</v>
      </c>
      <c r="K296" s="196"/>
      <c r="L296" s="326"/>
      <c r="M296" s="140"/>
      <c r="N296" s="140"/>
      <c r="O296" s="140"/>
      <c r="P296" s="22"/>
      <c r="Q296" s="25"/>
      <c r="R296" s="4" t="str">
        <f>IF(SnapshotTable[[#This Row],[Equity Basis Total]] &gt; 0, SnapshotTable[[#This Row],[Equity Basis Total]] / SnapshotTable[[#This Row],[Equity Shares]], "")</f>
        <v/>
      </c>
      <c r="S296" s="269">
        <f>SnapshotTable[[#This Row],[Last Price]] * SnapshotTable[[#This Row],[Equity Shares]]</f>
        <v>0</v>
      </c>
      <c r="T296" s="269">
        <f>SnapshotTable[[#This Row],[Equity Value]] - SnapshotTable[[#This Row],[Equity Basis Total]]</f>
        <v>0</v>
      </c>
      <c r="U296" s="270" t="str">
        <f>IF(SnapshotTable[[#This Row],[Equity Basis Total]] &gt; 0, SnapshotTable[[#This Row],[Equity G/L]] / SnapshotTable[[#This Row],[Equity Basis Total]], "")</f>
        <v/>
      </c>
      <c r="V296" s="268"/>
      <c r="W296" s="268"/>
      <c r="X296" s="4" t="str">
        <f>IF(AND(ISNUMBER(SnapshotTable[[#This Row],[Equity Basis Per Share]]),ISNUMBER(SnapshotTable[[#This Row],[Equity Target]])),SnapshotTable[[#This Row],[Equity Target]]-SnapshotTable[[#This Row],[Equity Basis Per Share]],"")</f>
        <v/>
      </c>
      <c r="Y296" s="4" t="str">
        <f>IF(AND(ISNUMBER(SnapshotTable[[#This Row],[Equity Basis Per Share]]),ISNUMBER(SnapshotTable[[#This Row],[Equity Stop Loss]])),SnapshotTable[[#This Row],[Equity Stop Loss]]-SnapshotTable[[#This Row],[Equity Basis Per Share]],"")</f>
        <v/>
      </c>
      <c r="Z296" s="275" t="str">
        <f>IFERROR( TEXT(SnapshotTable[[#This Row],[Equity Max Gain Per Share]] /ABS( SnapshotTable[[#This Row],[Equity Max Loss Per Share]]),"0.0 " ) &amp; " : 1", "")</f>
        <v/>
      </c>
      <c r="AA296" s="31" t="str">
        <f>IF(ISNUMBER(SnapshotTable[[#This Row],[Equity Max Gain Per Share]]),SnapshotTable[[#This Row],[Equity Max Gain Per Share]] * SnapshotTable[[#This Row],[Equity Shares]],"")</f>
        <v/>
      </c>
      <c r="AB296" s="31" t="str">
        <f>IF(ISNUMBER(SnapshotTable[[#This Row],[Equity Max Loss Per Share]]),SnapshotTable[[#This Row],[Equity Max Loss Per Share]] * SnapshotTable[[#This Row],[Equity Shares]],"")</f>
        <v/>
      </c>
      <c r="AC296" s="150">
        <v>1</v>
      </c>
      <c r="AD296" s="151">
        <v>42732</v>
      </c>
      <c r="AE296" s="31">
        <f>(SnapshotTable[[#This Row],[Annual Dividend Per Share]] / 4) * SnapshotTable[[#This Row],[Equity Shares]]</f>
        <v>0</v>
      </c>
      <c r="AF296" s="31">
        <f>SnapshotTable[[#This Row],[Quarterly Div $]] * 4</f>
        <v>0</v>
      </c>
      <c r="AG296" s="7">
        <f>IF(SnapshotTable[[#This Row],[Annual Dividend Per Share]]&gt;0, SnapshotTable[[#This Row],[Annual Dividend Per Share]]  / SnapshotTable[[#This Row],[Last Price]], 0)</f>
        <v>7.0601524992939856E-3</v>
      </c>
      <c r="AH296" s="151">
        <v>42712</v>
      </c>
      <c r="AI296" s="5"/>
      <c r="AJ296" s="138">
        <v>51.89</v>
      </c>
      <c r="AK296" s="152" t="str">
        <f>IF(ISNUMBER( SnapshotTable[[#This Row],[EBF Target]]),(SnapshotTable[[#This Row],[EBF Target]] - SnapshotTable[[#This Row],[Last Price]]) / SnapshotTable[[#This Row],[Last Price]], "")</f>
        <v/>
      </c>
      <c r="AL296" s="152" t="str">
        <f>IF(AND(SnapshotTable[[#This Row],[Equity Basis Total]] &gt; 0,ISNUMBER( SnapshotTable[[#This Row],[Long Term Target]])), SnapshotTable[[#This Row],[From Basis $]] / SnapshotTable[[#This Row],[Equity Basis Total]], "")</f>
        <v/>
      </c>
      <c r="AM296" s="9">
        <f>IF( AND(SnapshotTable[[#This Row],[Equity Shares]] &gt;0,ISNUMBER( SnapshotTable[[#This Row],[Long Term Target]])),(SnapshotTable[[#This Row],[Equity Shares]] * SnapshotTable[[#This Row],[Long Term Target]]) - SnapshotTable[[#This Row],[Equity Basis Total]],0)</f>
        <v>0</v>
      </c>
      <c r="AN296" s="9">
        <f>IF( AND(SnapshotTable[[#This Row],[Equity Shares]] &gt;0,ISNUMBER( SnapshotTable[[#This Row],[Long Term Target]])),(SnapshotTable[[#This Row],[Equity Shares]]*SnapshotTable[[#This Row],[Long Term Target]]) - SnapshotTable[[#This Row],[Equity Value]],0)</f>
        <v>0</v>
      </c>
      <c r="AO296" s="152">
        <f>IF(AND(ISNUMBER( SnapshotTable[[#This Row],[Long Term Target]]), ISNUMBER(SnapshotTable[[#This Row],[Last Price]])),(SnapshotTable[[#This Row],[Long Term Target]] - SnapshotTable[[#This Row],[Last Price]]) / SnapshotTable[[#This Row],[Last Price]], "")</f>
        <v>-0.63364868681163511</v>
      </c>
      <c r="AP296" s="5"/>
      <c r="AQ296" s="38"/>
      <c r="AR296" s="5"/>
      <c r="AS296" s="38"/>
      <c r="AT296" s="146"/>
      <c r="AU296" s="187" t="str">
        <f>IF(OR(SnapshotTable[[#This Row],[LP No Fill]]="Y",SnapshotTable[[#This Row],[SP Is Filled]],SnapshotTable[[#This Row],[LC Not Filled]]="Y",SnapshotTable[[#This Row],[SC Is Filled]]),"Y","")</f>
        <v/>
      </c>
      <c r="AV296" s="219"/>
      <c r="AW296" s="225"/>
      <c r="AX296" s="220"/>
      <c r="AY296" s="219" t="str">
        <f>IF(SnapshotTable[[#This Row],[Implied Move]]&gt;0, SnapshotTable[[#This Row],[Last Price]]-SnapshotTable[[#This Row],[Implied Move]],"")</f>
        <v/>
      </c>
      <c r="AZ296" s="219" t="str">
        <f>IF(SnapshotTable[[#This Row],[Implied Move]]&gt;0, SnapshotTable[[#This Row],[Last Price]] + SnapshotTable[[#This Row],[Implied Move]],"")</f>
        <v/>
      </c>
      <c r="BA296" s="331"/>
      <c r="BB296" s="347"/>
      <c r="BC29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6" s="351"/>
      <c r="BE296" s="5"/>
      <c r="BF296" s="14"/>
      <c r="BG296" s="13"/>
      <c r="BH296" s="13"/>
      <c r="BI296" s="5"/>
      <c r="BJ296" s="136">
        <f>IF(SnapshotTable[[#This Row],[LP Qty]] &gt; 0, SnapshotTable[[#This Row],[LP Qty]] * SnapshotTable[[#This Row],[LP Book Price]] * 100,0)</f>
        <v>0</v>
      </c>
      <c r="BK296" s="136">
        <f>IF(SnapshotTable[[#This Row],[LP Premium]] &gt; 0, SnapshotTable[[#This Row],[LP Qty]] * SnapshotTable[[#This Row],[LP Strike Price]] * 100,0)</f>
        <v>0</v>
      </c>
      <c r="BL296" s="154"/>
      <c r="BM296" s="385" t="str">
        <f>IF(SnapshotTable[[#This Row],[LP Premium]] &gt; 0,SnapshotTable[[#This Row],[LP Exp Date]]-MAX(SnapshotTable[[#This Row],[LP Book Date]], SnapshotTable[[#This Row],[LP Fill Date]]),"")</f>
        <v/>
      </c>
      <c r="BN296" s="385" t="str">
        <f>IF(ISNUMBER( SnapshotTable[[#This Row],[LP Term]]), SnapshotTable[[#This Row],[LP Exp Date]] - MockToday,"")</f>
        <v/>
      </c>
      <c r="BO296" s="163" t="str">
        <f>IF(AND(SnapshotTable[[#This Row],[LP Exp Date]]&gt;0, SnapshotTable[[#This Row],[LP Strike Price]]&gt;0,SnapshotTable[[#This Row],[LP Qty]]&gt;0,SnapshotTable[[#This Row],[LP Book Date]]&gt;0,SnapshotTable[[#This Row],[LP Book Price]]&gt;0,SnapshotTable[[#This Row],[LP Fill Date]]=0),"Y","")</f>
        <v/>
      </c>
      <c r="BP296" s="31" t="str">
        <f>IF(AND(SnapshotTable[[#This Row],[LP No Fill]]&lt;&gt;"Y",SnapshotTable[[#This Row],[LP Contract Value]]&gt;0, SnapshotTable[[#This Row],[LP Qty]]&gt;0), SnapshotTable[[#This Row],[LP Contract Value]]*SnapshotTable[[#This Row],[LP Qty]]*100,"")</f>
        <v/>
      </c>
      <c r="BQ296" s="13"/>
      <c r="BR296" s="5" t="str">
        <f>IF(SnapshotTable[[#This Row],[SP Exp Date]]&lt;&gt;"",TRUNC(SnapshotTable[[#This Row],[Last Price]]),"")</f>
        <v/>
      </c>
      <c r="BS296" s="36"/>
      <c r="BT296" s="147"/>
      <c r="BU296" s="13"/>
      <c r="BV296" s="5"/>
      <c r="BW296" s="419" t="b">
        <f>AND(ISNUMBER(SnapshotTable[[#This Row],[SP Exp Date]]), ISNUMBER(SnapshotTable[[#This Row],[SP Strike Price]]), ISNUMBER(SnapshotTable[[#This Row],[SP Qty]]), ISNUMBER(SnapshotTable[[#This Row],[SP Book Date]]), ISNUMBER(SnapshotTable[[#This Row],[SP Book Price]]))</f>
        <v>0</v>
      </c>
      <c r="BX296" s="419" t="b">
        <f>AND(SnapshotTable[[#This Row],[SP Is Booked]], NOT(ISBLANK(SnapshotTable[[#This Row],[SP Fill Date]])))</f>
        <v>0</v>
      </c>
      <c r="BY296" s="33">
        <f>IF(SnapshotTable[[#This Row],[SP Is Booked]], SnapshotTable[[#This Row],[SP Qty]] * SnapshotTable[[#This Row],[SP Book Price]] * 100, 0)</f>
        <v>0</v>
      </c>
      <c r="BZ296" s="369"/>
      <c r="CA296" s="368">
        <f>SnapshotTable[[#This Row],[LP Qty]]</f>
        <v>0</v>
      </c>
      <c r="CB296" s="4" t="str">
        <f>IF(SnapshotTable[[#This Row],[SP Is Booked]], SnapshotTable[[#This Row],[SP Strike Price]] - SnapshotTable[[#This Row],[SP Book Price]], "")</f>
        <v/>
      </c>
      <c r="CC296" s="19" t="str">
        <f>IF(SnapshotTable[[#This Row],[SP Is Booked]],SnapshotTable[[#This Row],[SP Exp Date]]-MAX(SnapshotTable[[#This Row],[SP Book Date]], SnapshotTable[[#This Row],[SP Fill Date]]),"")</f>
        <v/>
      </c>
      <c r="CD296" s="7" t="str">
        <f>IF(SnapshotTable[[#This Row],[SP Is Booked]], SnapshotTable[[#This Row],[SP Book Price]]/SnapshotTable[[#This Row],[SP Strike Price]], "")</f>
        <v/>
      </c>
      <c r="CE296" s="7" t="str">
        <f>IF(ISNUMBER(SnapshotTable[[#This Row],[SP ROO Term]]),SnapshotTable[[#This Row],[SP ROO Term]]*(365/SnapshotTable[[#This Row],[SP Term]]),"")</f>
        <v/>
      </c>
      <c r="CF296" s="236">
        <f>SnapshotTable[[#This Row],[LP Strike Price]] * SnapshotTable[[#This Row],[LP Qty]] * 100</f>
        <v>0</v>
      </c>
      <c r="CG296" s="31" t="e">
        <f>IF(ISNUMBER(SnapshotTable[[#This Row],[SP Premium]]), (SnapshotTable[[#This Row],[SP Qty]] * SnapshotTable[[#This Row],[SP Strike Price]]* 100) - SnapshotTable[[#This Row],[LP Protection]], 0)</f>
        <v>#VALUE!</v>
      </c>
      <c r="CH296" s="7" t="str">
        <f>IF(ISNUMBER(SnapshotTable[[#This Row],[SP Break Even]]),-1 * (SnapshotTable[[#This Row],[SP Break Even]] - SnapshotTable[[#This Row],[Last Price]]) / SnapshotTable[[#This Row],[Last Price]], "")</f>
        <v/>
      </c>
      <c r="CI296" s="31">
        <f>IF(AND(ISNUMBER((SnapshotTable[[#This Row],[SP Potential Spend]])), SnapshotTable[[#This Row],[SP Strike Price]] &gt; SnapshotTable[[#This Row],[Last Price]], SnapshotTable[[#This Row],[SP Is Filled]]), SnapshotTable[[#This Row],[SP Potential Spend]] -  SnapshotTable[[#This Row],[LP Max Value]], 0)</f>
        <v>0</v>
      </c>
      <c r="CJ296" s="244"/>
      <c r="CK296" s="31" t="str">
        <f>IF(ISNUMBER(SnapshotTable[[#This Row],[SP Potential Spend]]),IF(ISNUMBER(SnapshotTable[[#This Row],[SP POW]]), SnapshotTable[[#This Row],[SP POW]] * SnapshotTable[[#This Row],[SP Potential Spend]], SnapshotTable[[#This Row],[SP Potential Spend]]), "")</f>
        <v/>
      </c>
      <c r="CL296" s="164" t="e">
        <f>IF(NOT(SnapshotTable[[#This Row],[SP Is Filled]]),(SnapshotTable[[#This Row],[SP Qty]] * SnapshotTable[[#This Row],[SP Strike Price]] * 100) - SnapshotTable[[#This Row],[LP Max Value]],"")</f>
        <v>#VALUE!</v>
      </c>
      <c r="CM296" s="31" t="str">
        <f>IF(SnapshotTable[[#This Row],[SP Actual Spend]]&lt;&gt;0, ((SnapshotTable[[#This Row],[SP Strike Price]]-SnapshotTable[[#This Row],[Last Price]]) *(SnapshotTable[[#This Row],[SP Qty]]*100) - SnapshotTable[[#This Row],[SP Premium]]) * - 1, "")</f>
        <v/>
      </c>
      <c r="CN296" s="78"/>
      <c r="CO296" s="369"/>
      <c r="CP296" s="4" t="str">
        <f>IF(SnapshotTable[[#This Row],[SP Is Filled]], btc_max_buyback_amount(SnapshotTable[[#This Row],[SP Fill Date]],SnapshotTable[[#This Row],[SP Exp Date]], SnapshotTable[[#This Row],[SP Book Price]]),"")</f>
        <v/>
      </c>
      <c r="CQ296" s="78"/>
      <c r="CR29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6" s="155" t="str">
        <f>IF(SnapshotTable[[#This Row],[SP Is Filled]], btc_next_cutoff_date(SnapshotTable[[#This Row],[SP Fill Date]],SnapshotTable[[#This Row],[SP Exp Date]]),"")</f>
        <v/>
      </c>
      <c r="CT296" s="235" t="str" cm="1">
        <f t="array" ref="CT296">IF(SnapshotTable[[#This Row],[SP Is Filled]], btc_should_buy_back(SnapshotTable[[#This Row],[SP Fill Date]], SnapshotTable[[#This Row],[SP Exp Date]], SnapshotTable[[#This Row],[SP Book Price]], SnapshotTable[[#This Row],[SP Current Ask]], MockToday, SnapshotTable[[#This Row],[SP Buyback Override]]),"")</f>
        <v/>
      </c>
      <c r="CU296" s="143"/>
      <c r="CV296" s="235"/>
      <c r="CW296" s="378" t="str">
        <f>IF(ISNUMBER( SnapshotTable[[#This Row],[SP Term]]), SnapshotTable[[#This Row],[SP Exp Date]] - MockToday,"")</f>
        <v/>
      </c>
      <c r="CX296" s="31" t="str">
        <f>IF(SnapshotTable[[#This Row],[SP Is Filled]],SnapshotTable[[#This Row],[SP Buyback Price to Use]] * 100 * SnapshotTable[[#This Row],[SP Qty]], "")</f>
        <v/>
      </c>
      <c r="CY296" s="4" t="str">
        <f>IF(ISNUMBER(SnapshotTable[[#This Row],[SP Strike Price]]), SnapshotTable[[#This Row],[SP Strike Price]] * (1 - SP_MaxLoss_StrikePct), "")</f>
        <v/>
      </c>
      <c r="CZ296" s="31" t="str">
        <f>IF(ISNUMBER(SnapshotTable[[#This Row],[SP Strike  Stop Per Share]]),SnapshotTable[[#This Row],[SP Premium]] - ((SnapshotTable[[#This Row],[SP Strike Price]]-SnapshotTable[[#This Row],[SP Strike  Stop Per Share]]) *(SnapshotTable[[#This Row],[SP Qty]] * 100)),"")</f>
        <v/>
      </c>
      <c r="DA296" s="4" t="str">
        <f>IF(AND(ISNUMBER(SnapshotTable[[#This Row],[SP Premium]]),SnapshotTable[[#This Row],[SP Premium]]&gt;0), SnapshotTable[[#This Row],[SP Book Price]] * (1 + SP_MaxLoss_OptionPct), "")</f>
        <v/>
      </c>
      <c r="DB296" s="31" t="str">
        <f>IF(ISNUMBER(SnapshotTable[[#This Row],[SP Option  Stop Contract]]),(SnapshotTable[[#This Row],[SP Option  Stop Contract]] *(SnapshotTable[[#This Row],[SP Qty]] * 100) - SnapshotTable[[#This Row],[SP Premium]]),"")</f>
        <v/>
      </c>
      <c r="DC296" s="4"/>
      <c r="DD296" s="4"/>
      <c r="DE296" s="4" t="str">
        <f>IF(AND(SnapshotTable[[#This Row],[SP Qty]]&gt;0, SnapshotTable[[#This Row],[SP Stop To Use]]&gt;0),SnapshotTable[[#This Row],[SP Premium]] - ( SnapshotTable[[#This Row],[SP Qty]] * SnapshotTable[[#This Row],[SP Stop To Use]] * 100), "")</f>
        <v/>
      </c>
      <c r="DF296" s="31" t="str">
        <f>IF(AND(SnapshotTable[[#This Row],[SP Qty]]&gt;0,SnapshotTable[[#This Row],[SP Current Ask]]&gt;0), SnapshotTable[[#This Row],[SP Qty]] * SnapshotTable[[#This Row],[SP Current Ask]] * -100, "")</f>
        <v/>
      </c>
      <c r="DG296" s="31" t="str">
        <f>IF(ISNUMBER((SnapshotTable[[#This Row],[SP Total Value]])), SnapshotTable[[#This Row],[SP Premium]] + SnapshotTable[[#This Row],[SP Total Value]], "")</f>
        <v/>
      </c>
      <c r="DH296" s="294" t="str">
        <f>IF(ISNUMBER((SnapshotTable[[#This Row],[SP Total Value]])), SnapshotTable[[#This Row],[SP Gain Loss]] / SnapshotTable[[#This Row],[SP Premium]], "")</f>
        <v/>
      </c>
      <c r="DI296" s="406"/>
      <c r="DJ296" s="138"/>
      <c r="DK296" s="148"/>
      <c r="DL296" s="13"/>
      <c r="DM296" s="13"/>
      <c r="DO296" s="31">
        <f>IF(SnapshotTable[[#This Row],[LC Symbol Count]]=1, SnapshotTable[[#This Row],[LC Qty]] * SnapshotTable[[#This Row],[LC Book Price]] * 100, 0)</f>
        <v>0</v>
      </c>
      <c r="DP296" s="163" t="str">
        <f>IF(AND(SnapshotTable[[#This Row],[LC Exp Date]]&gt;0, SnapshotTable[[#This Row],[LC Strike Price]]&gt;0,SnapshotTable[[#This Row],[LC Qty]]&gt;0,SnapshotTable[[#This Row],[LC Book Date]]&gt;0,SnapshotTable[[#This Row],[LC Book Price]]&gt;0,SnapshotTable[[#This Row],[LC Fill Date]]=0),"Y","")</f>
        <v/>
      </c>
      <c r="DQ296" s="386" t="str">
        <f>IF(SnapshotTable[[#This Row],[LC Premium]] &gt; 0,SnapshotTable[[#This Row],[LC Exp Date]]-MAX(SnapshotTable[[#This Row],[LC Book Date]], SnapshotTable[[#This Row],[LC Fill Date]]),"")</f>
        <v/>
      </c>
      <c r="DR296" s="386" t="str">
        <f>IF(ISNUMBER(SnapshotTable[[#This Row],[LC Term]]), SnapshotTable[[#This Row],[LC Exp Date]] - MockToday, "")</f>
        <v/>
      </c>
      <c r="DS296" s="234" t="str">
        <f>IF(SnapshotTable[[#This Row],[LC Premium]]&gt;0,SnapshotTable[[#This Row],[LC Strike Price]] + SnapshotTable[[#This Row],[LC Book Price]],"")</f>
        <v/>
      </c>
      <c r="DU296" s="9" t="str">
        <f>IF(AND(SnapshotTable[[#This Row],[LC Symbol Count]]&gt;0, SnapshotTable[[#This Row],[LC Contract Value]]&gt;0), SnapshotTable[[#This Row],[LC Contract Value]] * SnapshotTable[[#This Row],[LC Qty]] * 100, "")</f>
        <v/>
      </c>
      <c r="DV296" s="9" t="str">
        <f>IF(AND(ISNUMBER(SnapshotTable[[#This Row],[LC Total Value]]), SnapshotTable[[#This Row],[LC Not Filled]]&lt;&gt;"Y"), SnapshotTable[[#This Row],[LC Total Value]]-SnapshotTable[[#This Row],[LC Premium]],"")</f>
        <v/>
      </c>
      <c r="DW296" s="240" t="str">
        <f>IF(ISNUMBER(SnapshotTable[[#This Row],[LC Actual Gain Loss]]), SnapshotTable[[#This Row],[LC Actual Gain Loss]] / SnapshotTable[[#This Row],[LC Premium]],"")</f>
        <v/>
      </c>
      <c r="DX296" s="284" t="str">
        <f>IF(ISNUMBER(SnapshotTable[[#This Row],[LC Book Price]]),SnapshotTable[[#This Row],[LC Book Price]] * 1.5,"")</f>
        <v/>
      </c>
      <c r="DY296" s="265" t="str">
        <f>IF(SnapshotTable[[#This Row],[LC Premium]]&gt;0, SnapshotTable[[#This Row],[LC Next Target]] * SnapshotTable[[#This Row],[LC Qty]] * 100,"")</f>
        <v/>
      </c>
      <c r="DZ296" s="265" t="str">
        <f>IF(ISNUMBER(SnapshotTable[[#This Row],[LC Target Gross]]), SnapshotTable[[#This Row],[LC Target Gross]] - SnapshotTable[[#This Row],[LC Premium]], "")</f>
        <v/>
      </c>
      <c r="EA296" s="305" t="str">
        <f>IF(ISNUMBER(SnapshotTable[[#This Row],[LC Target Gain Loss]]), SnapshotTable[[#This Row],[LC Target Gain Loss]]/SnapshotTable[[#This Row],[LC Premium]], "")</f>
        <v/>
      </c>
      <c r="EB296" s="262"/>
      <c r="EC296" s="283" t="str">
        <f>IF(SnapshotTable[[#This Row],[LC Premium]]&gt;0, SnapshotTable[[#This Row],[LC Book Price]] * (1 - LC_StopLoss_Pct),"")</f>
        <v/>
      </c>
      <c r="ED296" s="284"/>
      <c r="EE296" s="283" t="str">
        <f>IF(ISNUMBER(SnapshotTable[[#This Row],[LC Contract Value]]),IF(ISNUMBER(SnapshotTable[[#This Row],[LC Stop Loss Override]]), SnapshotTable[[#This Row],[LC Stop Loss Override]],SnapshotTable[[#This Row],[LC Stop Loss Calc Target]]),"")</f>
        <v/>
      </c>
      <c r="EF296" s="31" t="str">
        <f>IF(ISNUMBER(SnapshotTable[[#This Row],[LC Stop  To Use]]), (SnapshotTable[[#This Row],[LC Stop  To Use]] * SnapshotTable[[#This Row],[LC Qty]] * 100),"")</f>
        <v/>
      </c>
      <c r="EG296" s="9" t="str">
        <f>IF(ISNUMBER(SnapshotTable[[#This Row],[LC Total Value]]),SnapshotTable[[#This Row],[LC Stop Loss Amount]] - SnapshotTable[[#This Row],[LC Premium]],"")</f>
        <v/>
      </c>
      <c r="EH296" s="9">
        <f>IF(ISNUMBER(SnapshotTable[[#This Row],[LC Premium]]), SnapshotTable[[#This Row],[LC Qty]] * 100 * SnapshotTable[[#This Row],[LC Strike Price]], "")</f>
        <v>0</v>
      </c>
      <c r="EI296" s="240" t="str">
        <f>IF(AND(ISNUMBER(SnapshotTable[[#This Row],[LC Total Value]]),SnapshotTable[[#This Row],[LC Total Value]]&gt;0),SnapshotTable[[#This Row],[LC Stop Gain Loss]]  / SnapshotTable[[#This Row],[LC Premium]],"")</f>
        <v/>
      </c>
      <c r="EJ296" s="35">
        <f>IF(ISNUMBER(SnapshotTable[[#This Row],[Equity Shares]]),TRUNC(SnapshotTable[[#This Row],[Equity Shares]] / 100),0) + SnapshotTable[[#This Row],[LC Qty]]</f>
        <v>0</v>
      </c>
      <c r="EK296" s="147"/>
      <c r="EL296" s="138" t="str">
        <f>IF(SnapshotTable[[#This Row],[SC Exp Date]]&lt;&gt;"",TRUNC(SnapshotTable[[#This Row],[Last Price]]),"")</f>
        <v/>
      </c>
      <c r="EM296" s="148"/>
      <c r="EN296" s="147"/>
      <c r="EO296" s="147"/>
      <c r="EP296" s="138"/>
      <c r="EQ296" s="419" t="b">
        <f>AND(ISNUMBER(SnapshotTable[[#This Row],[SC Exp Date]]), ISNUMBER(SnapshotTable[[#This Row],[SC Strike Price]]), ISNUMBER(SnapshotTable[[#This Row],[SC Qty]]), ISNUMBER(SnapshotTable[[#This Row],[SC Book Date]]), ISNUMBER(SnapshotTable[[#This Row],[SC Book Price]]))</f>
        <v>0</v>
      </c>
      <c r="ER296" s="419" t="b">
        <f>AND(SnapshotTable[[#This Row],[SC Is Booked]], NOT(ISBLANK(SnapshotTable[[#This Row],[SC Fill Date]])))</f>
        <v>0</v>
      </c>
      <c r="ES296" s="370"/>
      <c r="ET296" s="34" t="str">
        <f>IF(AND(ISNUMBER(SnapshotTable[[#This Row],[SC Exp Date]]), ISNUMBER(SnapshotTable[[#This Row],[SC Book Date]])), SnapshotTable[[#This Row],[SC Exp Date]] - MAX(SnapshotTable[[#This Row],[SC Book Date]], SnapshotTable[[#This Row],[SC Fill Date]]) + 1, "")</f>
        <v/>
      </c>
      <c r="EU296" s="34" t="str">
        <f>IF(ISNUMBER(SnapshotTable[[#This Row],[SC Term]]), SnapshotTable[[#This Row],[SC Exp Date]]- MockToday, "")</f>
        <v/>
      </c>
      <c r="EV296" s="31">
        <f>IF(SnapshotTable[[#This Row],[SC Is Booked]], SnapshotTable[[#This Row],[SC Qty]] * SnapshotTable[[#This Row],[SC Book Price]] * 100, 0)</f>
        <v>0</v>
      </c>
      <c r="EW296" s="4" t="str">
        <f>IF(AND(ISNUMBER(SnapshotTable[[#This Row],[Last Price]]), ISNUMBER( SnapshotTable[[#This Row],[SC Book Price]])), SnapshotTable[[#This Row],[Last Price]] - SnapshotTable[[#This Row],[SC Book Price]],"")</f>
        <v/>
      </c>
      <c r="EX296" s="234" t="str">
        <f>IF(SnapshotTable[[#This Row],[SC Is Booked]],IF(SnapshotTable[[#This Row],[SC Intrinsic Value]] &gt; 0, SnapshotTable[[#This Row],[SC Strike Price]], SnapshotTable[[#This Row],[Last Price]]), "")</f>
        <v/>
      </c>
      <c r="EY296" s="4">
        <f>IF(SnapshotTable[[#This Row],[SC Is Booked]], (MinimumPremiumRequired * SnapshotTable[[#This Row],[SC Basis]] * SnapshotTable[[#This Row],[SC Term]]), 0)</f>
        <v>0</v>
      </c>
      <c r="EZ296" s="283"/>
      <c r="FA296" s="218"/>
      <c r="FB296" s="370"/>
      <c r="FC296" s="4">
        <f>IF(SnapshotTable[[#This Row],[SC Is Filled]], btc_max_buyback_amount(SnapshotTable[[#This Row],[SC Fill Date]],SnapshotTable[[#This Row],[SC Exp Date]], SnapshotTable[[#This Row],[SC Book Price]]),0)</f>
        <v>0</v>
      </c>
      <c r="FD296" s="5"/>
      <c r="FE296" s="144" t="str">
        <f>IF(SnapshotTable[[#This Row],[SC Is Filled]], btc_next_cutoff_date(SnapshotTable[[#This Row],[SC Fill Date]],SnapshotTable[[#This Row],[SC Exp Date]]),"")</f>
        <v/>
      </c>
      <c r="FF296" s="4" t="str" cm="1">
        <f t="array" ref="FF296">IF(SnapshotTable[[#This Row],[SC Is Filled]], btc_should_buy_back(SnapshotTable[[#This Row],[SC Fill Date]], SnapshotTable[[#This Row],[SC Exp Date]], SnapshotTable[[#This Row],[SC Book Price]], SnapshotTable[[#This Row],[SC Current Ask]], MockToday, SnapshotTable[[#This Row],[SC Buyback Override]]),"")</f>
        <v/>
      </c>
      <c r="FG296" s="4">
        <f>IF(SnapshotTable[[#This Row],[SC Is Filled]], MAX(0,SnapshotTable[[#This Row],[Last Price]]  - SnapshotTable[[#This Row],[SC Strike Price]]), 0)</f>
        <v>0</v>
      </c>
      <c r="FH296" s="382">
        <f>IF(SnapshotTable[[#This Row],[SC Is Filled]], IF(ISNUMBER(SnapshotTable[[#This Row],[SC Current Ask]]), SnapshotTable[[#This Row],[SC Current Ask]], SnapshotTable[[#This Row],[SC Book Price]]) - SnapshotTable[[#This Row],[SC Intrinsic Value]], 0)</f>
        <v>0</v>
      </c>
      <c r="FI296" s="143"/>
      <c r="FJ296" s="32" t="str">
        <f>IF(SnapshotTable[[#This Row],[SC Is Filled]],100 * SnapshotTable[[#This Row],[SC Qty]] * IF(ISNUMBER(SnapshotTable[[#This Row],[SC Buyback Override]]), SnapshotTable[[#This Row],[SC Buyback Override]], SnapshotTable[[#This Row],[SC Current Ask]]), "")</f>
        <v/>
      </c>
      <c r="FK296" s="250" t="str">
        <f>IF(SnapshotTable[[#This Row],[SC Time Val]]&gt;0, SnapshotTable[[#This Row],[SC Time Val]] / SnapshotTable[[#This Row],[Last Price]],"")</f>
        <v/>
      </c>
      <c r="FL296" s="302" t="str">
        <f>IF(SnapshotTable[[#This Row],[SC Is Booked]], ((SnapshotTable[[#This Row],[Last Price]] -SnapshotTable[[#This Row],[SC Strike Price]]) / SnapshotTable[[#This Row],[Last Price]]) * -1, "")</f>
        <v/>
      </c>
      <c r="FM296" s="157" t="str">
        <f>IF(SnapshotTable[[#This Row],[SC Is Booked]],  (SnapshotTable[[#This Row],[SC Qty]] * 100 * SnapshotTable[[#This Row],[SC Strike Price]]) - SnapshotTable[[#This Row],[SC Current Ask]], "")</f>
        <v/>
      </c>
      <c r="FN29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6" s="31" t="str">
        <f>IF(AND(ISNUMBER(SnapshotTable[[#This Row],[SC Exercise Gross]]), ISNUMBER(SnapshotTable[[#This Row],[Equity Basis Per Share]] )), SnapshotTable[[#This Row],[SC Exercise Gross]] - SnapshotTable[[#This Row],[Equity Basis Total]] +  SnapshotTable[[#This Row],[SC Premium]], "")</f>
        <v/>
      </c>
      <c r="FP296" s="5" t="str">
        <f>IF(ISNUMBER(SnapshotTable[[#This Row],[SC Exercise Gross]]), (SnapshotTable[[#This Row],[SC Exercise Gross]]) / (SnapshotTable[[#This Row],[SC Qty]] * 100), "")</f>
        <v/>
      </c>
      <c r="FQ296" s="27" t="str">
        <f>IF(SnapshotTable[[#This Row],[SC Is Booked]],SnapshotTable[[#This Row],[SC Time Val]] /SnapshotTable[[#This Row],[SC Basis]], "")</f>
        <v/>
      </c>
      <c r="FR296" s="27" t="str" cm="1">
        <f t="array" ref="FR296">IF(AND(ISNUMBER(SnapshotTable[[#This Row],[SC Term]]),ISNUMBER(SnapshotTable[[#This Row],[SC Simple ROO]])), EllmanAnnualize(SnapshotTable[[#This Row],[SC DTE]], SnapshotTable[[#This Row],[SC Simple ROO]] ),"")</f>
        <v/>
      </c>
      <c r="FS296" s="4" t="e">
        <f>IF(SnapshotTable[[#This Row],[SC Strike Price]] &gt; SnapshotTable[[#This Row],[Last Price]], SnapshotTable[[#This Row],[SC Strike Price]] - SnapshotTable[[#This Row],[Last Price]],0)</f>
        <v>#VALUE!</v>
      </c>
      <c r="FT296" s="27" t="e">
        <f>IF(AND(ISNUMBER(SnapshotTable[[#This Row],[SC Upside Potential]]), SnapshotTable[[#This Row],[SC Upside Potential]] &gt; 0),(SnapshotTable[[#This Row],[SC Upside Potential]]/ SnapshotTable[[#This Row],[ACB]]),"")</f>
        <v>#VALUE!</v>
      </c>
      <c r="FU296" s="333" t="str">
        <f>IF(SnapshotTable[[#This Row],[SC Intrinsic Value]] &gt; 0,SnapshotTable[[#This Row],[SC Intrinsic Value]],"")</f>
        <v/>
      </c>
      <c r="FV296" s="27" t="str">
        <f>IF(AND( ISNUMBER( SnapshotTable[[#This Row],[ACB]]),ISNUMBER(SnapshotTable[[#This Row],[SC Downside Protect]])),SnapshotTable[[#This Row],[SC Downside Protect]] / SnapshotTable[[#This Row],[ACB]],"")</f>
        <v/>
      </c>
      <c r="FW296" s="236" t="str">
        <f>IF(AND(ISNUMBER(SnapshotTable[[#This Row],[SC Simple ROO]]),SnapshotTable[[#This Row],[SC Simple ROO]] &gt; 0), SnapshotTable[[#This Row],[SC Premium]] + (SnapshotTable[[#This Row],[SC Qty]] * SnapshotTable[[#This Row],[SC Upside Potential]]), "")</f>
        <v/>
      </c>
      <c r="FX296" s="302" t="str" cm="1">
        <f t="array" ref="FX296">IF(ISNUMBER(SnapshotTable[[#This Row],[SC Max Dollars]]), annualize(SnapshotTable[[#This Row],[SC Term]],(SnapshotTable[[#This Row],[SC Max Dollars]]/SnapshotTable[[#This Row],[SC Basis]])),"")</f>
        <v/>
      </c>
      <c r="FY296" s="236" t="str">
        <f>IF(AND(SnapshotTable[[#This Row],[SC Qty]]&gt;0,SnapshotTable[[#This Row],[SC Current Ask]]&gt;0), SnapshotTable[[#This Row],[SC Qty]] * SnapshotTable[[#This Row],[SC Current Ask]] * -100, "")</f>
        <v/>
      </c>
      <c r="FZ296" s="31" t="str">
        <f>IF(ISNUMBER((SnapshotTable[[#This Row],[SC Current Value]])), SnapshotTable[[#This Row],[SC Premium]] + SnapshotTable[[#This Row],[SC Current Value]], "")</f>
        <v/>
      </c>
      <c r="GA296" s="294" t="str">
        <f>IFERROR( IF(ISNUMBER((SnapshotTable[[#This Row],[SC Current Value]])), SnapshotTable[[#This Row],[SC Gain Loss]] / SnapshotTable[[#This Row],[SC Premium]], ""), "")</f>
        <v/>
      </c>
      <c r="GB296" s="42">
        <f>SnapshotTable[[#This Row],[Equity Shares]] * SaleSharesToConsiderPercentage</f>
        <v>0</v>
      </c>
      <c r="GC296" s="40">
        <f>SnapshotTable[[#This Row],[Long Term Target]] * SellingPriceToConsiderBasedOnTargetPercentage</f>
        <v>49.295499999999997</v>
      </c>
      <c r="GD296" s="40">
        <f>SnapshotTable[[#This Row],[Last Price]] * (1+ SellingPriceToConsiderBasedOnTargetPercentage)</f>
        <v>276.19799999999998</v>
      </c>
      <c r="GE296" s="41"/>
      <c r="GF296" s="40"/>
      <c r="GG296" s="31">
        <f>SnapshotTable[[#This Row],[Booked Sale Shares]] * SnapshotTable[[#This Row],[Booked Sale Price]]</f>
        <v>0</v>
      </c>
      <c r="GH296" s="31" t="str">
        <f>IF(SnapshotTable[[#This Row],[Equity Basis Total]] &gt; 0, SnapshotTable[[#This Row],[Equity Basis Per Share]] * SnapshotTable[[#This Row],[Booked Sale Shares]], "")</f>
        <v/>
      </c>
      <c r="GI296" s="31">
        <f>IF(SnapshotTable[[#This Row],[Sale Proceeds]]&gt;0, SnapshotTable[[#This Row],[Sale Proceeds]] - SnapshotTable[[#This Row],[Sale Basis]], 0)</f>
        <v>0</v>
      </c>
      <c r="GJ296" s="27" t="str">
        <f>IF(SnapshotTable[[#This Row],[Sale G/L]]&gt;0, SnapshotTable[[#This Row],[Sale G/L]] / SnapshotTable[[#This Row],[Sale Basis]], IF(ISNUMBER(SnapshotTable[[#This Row],[SC Exercise P&amp;L (TAX)]]), SnapshotTable[[#This Row],[SC Exercise P&amp;L (TAX)]] / SnapshotTable[[#This Row],[SC Basis]], ""))</f>
        <v/>
      </c>
      <c r="GK296" s="27" t="s">
        <v>762</v>
      </c>
      <c r="GL296" s="43" t="str">
        <f>IF(AND(SnapshotTable[[#This Row],[LP Exp Date]]&gt;0,SnapshotTable[[#This Row],[LP Strike Price]]&gt;0), [1]!ToOptionSymbol(SnapshotTable[[#This Row],[Symbol]], SnapshotTable[[#This Row],[LP Strike Price]],SnapshotTable[[#This Row],[LP Exp Date]],1), "")</f>
        <v/>
      </c>
      <c r="GM296" s="30" t="str">
        <f>IF(LEN(SnapshotTable[[#This Row],[LP Symbol]])&gt;0, 1, "")</f>
        <v/>
      </c>
      <c r="GN296" s="43" t="str">
        <f>IF(AND(SnapshotTable[[#This Row],[SP Exp Date]]&gt;0,SnapshotTable[[#This Row],[SP Strike Price]]&gt;0), [1]!ToOptionSymbol(SnapshotTable[[#This Row],[Symbol]], SnapshotTable[[#This Row],[SP Strike Price]],SnapshotTable[[#This Row],[SP Exp Date]],1), "")</f>
        <v/>
      </c>
      <c r="GO296" s="30" t="str">
        <f>IF(LEN(SnapshotTable[[#This Row],[SP Symbol]])&gt;0, 1, "")</f>
        <v/>
      </c>
      <c r="GP296" s="43" t="str">
        <f>IF(AND(SnapshotTable[[#This Row],[LC Exp Date]]&gt;0,SnapshotTable[[#This Row],[LC Strike Price]]&gt;0), [1]!ToOptionSymbol(SnapshotTable[[#This Row],[Symbol]], SnapshotTable[[#This Row],[LC Strike Price]],SnapshotTable[[#This Row],[LC Exp Date]],0), "")</f>
        <v/>
      </c>
      <c r="GQ296" s="30" t="str">
        <f>IF(LEN(SnapshotTable[[#This Row],[LC Symbol]])&gt;0, 1, "")</f>
        <v/>
      </c>
      <c r="GR296" s="43" t="str">
        <f>IF(AND(SnapshotTable[[#This Row],[SC Exp Date]]&gt;0,SnapshotTable[[#This Row],[SC Strike Price]]&gt;0), [1]!ToOptionSymbol(SnapshotTable[[#This Row],[Symbol]], SnapshotTable[[#This Row],[SC Strike Price]],SnapshotTable[[#This Row],[SC Exp Date]],0), "")</f>
        <v/>
      </c>
      <c r="GS296" s="30" t="str">
        <f>IF(LEN(SnapshotTable[[#This Row],[SC Symbol]])&gt;0, 1, "")</f>
        <v/>
      </c>
      <c r="GT296" s="29" t="str">
        <f>IF(COUNT(SnapshotTable[[#This Row],[LP Symbol Count]],SnapshotTable[[#This Row],[SP Symbol Count]],SnapshotTable[[#This Row],[LC Symbol Count]],SnapshotTable[[#This Row],[SC Symbol Count]])&gt;0, "Y", "")</f>
        <v/>
      </c>
      <c r="GU29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6" s="231" t="e">
        <f>MAX(SnapshotTable[[#This Row],[Equity Basis Total]],SnapshotTable[[#This Row],[Equity Value]]) + (SnapshotTable[[#This Row],[SP Potential Spend]]- SnapshotTable[[#This Row],[SP Premium]] + SnapshotTable[[#This Row],[LP Premium]])+ (SnapshotTable[[#This Row],[LC Premium]] - SnapshotTable[[#This Row],[SC Premium]])</f>
        <v>#VALUE!</v>
      </c>
      <c r="GW296" s="139" t="e">
        <f>IF(AND(SnapshotTable[[#This Row],[Exposure]] &lt;&gt; 0),SnapshotTable[[#This Row],[Exposure]] / SnapshotTable[[#Totals],[Exposure]], "")</f>
        <v>#VALUE!</v>
      </c>
      <c r="HK296" s="1"/>
      <c r="HL296" s="1"/>
      <c r="HM296" s="1"/>
      <c r="HN296" s="1"/>
      <c r="HO296" s="1"/>
      <c r="HP296" s="1"/>
    </row>
    <row r="297" spans="2:224" ht="12.75" hidden="1" customHeight="1" x14ac:dyDescent="0.25">
      <c r="B297" s="12" t="s">
        <v>955</v>
      </c>
      <c r="C297" s="422">
        <v>4.16</v>
      </c>
      <c r="D297" s="208" t="s">
        <v>1025</v>
      </c>
      <c r="E297" s="39">
        <f>SnapshotTable[[#This Row],[Last Price]]*(1 -CrashDiscount)</f>
        <v>3.536</v>
      </c>
      <c r="F297" s="26" t="s">
        <v>935</v>
      </c>
      <c r="G297" s="26" t="s">
        <v>49</v>
      </c>
      <c r="H297" s="149"/>
      <c r="I297" s="194">
        <v>45204</v>
      </c>
      <c r="J297" s="195">
        <v>44748.291666666664</v>
      </c>
      <c r="K297" s="196"/>
      <c r="L297" s="326"/>
      <c r="M297" s="140"/>
      <c r="N297" s="140"/>
      <c r="O297" s="140"/>
      <c r="P297" s="22"/>
      <c r="Q297" s="25"/>
      <c r="R297" s="4" t="str">
        <f>IF(SnapshotTable[[#This Row],[Equity Basis Total]] &gt; 0, SnapshotTable[[#This Row],[Equity Basis Total]] / SnapshotTable[[#This Row],[Equity Shares]], "")</f>
        <v/>
      </c>
      <c r="S297" s="269">
        <f>SnapshotTable[[#This Row],[Last Price]] * SnapshotTable[[#This Row],[Equity Shares]]</f>
        <v>0</v>
      </c>
      <c r="T297" s="269">
        <f>SnapshotTable[[#This Row],[Equity Value]] - SnapshotTable[[#This Row],[Equity Basis Total]]</f>
        <v>0</v>
      </c>
      <c r="U297" s="270" t="str">
        <f>IF(SnapshotTable[[#This Row],[Equity Basis Total]] &gt; 0, SnapshotTable[[#This Row],[Equity G/L]] / SnapshotTable[[#This Row],[Equity Basis Total]], "")</f>
        <v/>
      </c>
      <c r="V297" s="268">
        <v>3.5</v>
      </c>
      <c r="W297" s="268">
        <v>2.75</v>
      </c>
      <c r="X297" s="4" t="str">
        <f>IF(AND(ISNUMBER(SnapshotTable[[#This Row],[Equity Basis Per Share]]),ISNUMBER(SnapshotTable[[#This Row],[Equity Target]])),SnapshotTable[[#This Row],[Equity Target]]-SnapshotTable[[#This Row],[Equity Basis Per Share]],"")</f>
        <v/>
      </c>
      <c r="Y297" s="4" t="str">
        <f>IF(AND(ISNUMBER(SnapshotTable[[#This Row],[Equity Basis Per Share]]),ISNUMBER(SnapshotTable[[#This Row],[Equity Stop Loss]])),SnapshotTable[[#This Row],[Equity Stop Loss]]-SnapshotTable[[#This Row],[Equity Basis Per Share]],"")</f>
        <v/>
      </c>
      <c r="Z297" s="275" t="str">
        <f>IFERROR( TEXT(SnapshotTable[[#This Row],[Equity Max Gain Per Share]] /ABS( SnapshotTable[[#This Row],[Equity Max Loss Per Share]]),"0.0 " ) &amp; " : 1", "")</f>
        <v/>
      </c>
      <c r="AA297" s="31" t="str">
        <f>IF(ISNUMBER(SnapshotTable[[#This Row],[Equity Max Gain Per Share]]),SnapshotTable[[#This Row],[Equity Max Gain Per Share]] * SnapshotTable[[#This Row],[Equity Shares]],"")</f>
        <v/>
      </c>
      <c r="AB297" s="31" t="str">
        <f>IF(ISNUMBER(SnapshotTable[[#This Row],[Equity Max Loss Per Share]]),SnapshotTable[[#This Row],[Equity Max Loss Per Share]] * SnapshotTable[[#This Row],[Equity Shares]],"")</f>
        <v/>
      </c>
      <c r="AC297" s="150"/>
      <c r="AD297" s="151"/>
      <c r="AE297" s="31">
        <f>(SnapshotTable[[#This Row],[Annual Dividend Per Share]] / 4) * SnapshotTable[[#This Row],[Equity Shares]]</f>
        <v>0</v>
      </c>
      <c r="AF297" s="31">
        <f>SnapshotTable[[#This Row],[Quarterly Div $]] * 4</f>
        <v>0</v>
      </c>
      <c r="AG297" s="7">
        <f>IF(SnapshotTable[[#This Row],[Annual Dividend Per Share]]&gt;0, SnapshotTable[[#This Row],[Annual Dividend Per Share]]  / SnapshotTable[[#This Row],[Last Price]], 0)</f>
        <v>0</v>
      </c>
      <c r="AH297" s="151"/>
      <c r="AI297" s="5"/>
      <c r="AJ297" s="138">
        <v>8.6999999999999993</v>
      </c>
      <c r="AK297" s="152" t="str">
        <f>IF(ISNUMBER( SnapshotTable[[#This Row],[EBF Target]]),(SnapshotTable[[#This Row],[EBF Target]] - SnapshotTable[[#This Row],[Last Price]]) / SnapshotTable[[#This Row],[Last Price]], "")</f>
        <v/>
      </c>
      <c r="AL297" s="152" t="str">
        <f>IF(AND(SnapshotTable[[#This Row],[Equity Basis Total]] &gt; 0,ISNUMBER( SnapshotTable[[#This Row],[Long Term Target]])), SnapshotTable[[#This Row],[From Basis $]] / SnapshotTable[[#This Row],[Equity Basis Total]], "")</f>
        <v/>
      </c>
      <c r="AM297" s="9">
        <f>IF( AND(SnapshotTable[[#This Row],[Equity Shares]] &gt;0,ISNUMBER( SnapshotTable[[#This Row],[Long Term Target]])),(SnapshotTable[[#This Row],[Equity Shares]] * SnapshotTable[[#This Row],[Long Term Target]]) - SnapshotTable[[#This Row],[Equity Basis Total]],0)</f>
        <v>0</v>
      </c>
      <c r="AN297" s="9">
        <f>IF( AND(SnapshotTable[[#This Row],[Equity Shares]] &gt;0,ISNUMBER( SnapshotTable[[#This Row],[Long Term Target]])),(SnapshotTable[[#This Row],[Equity Shares]]*SnapshotTable[[#This Row],[Long Term Target]]) - SnapshotTable[[#This Row],[Equity Value]],0)</f>
        <v>0</v>
      </c>
      <c r="AO297" s="152">
        <f>IF(AND(ISNUMBER( SnapshotTable[[#This Row],[Long Term Target]]), ISNUMBER(SnapshotTable[[#This Row],[Last Price]])),(SnapshotTable[[#This Row],[Long Term Target]] - SnapshotTable[[#This Row],[Last Price]]) / SnapshotTable[[#This Row],[Last Price]], "")</f>
        <v>1.0913461538461535</v>
      </c>
      <c r="AP297" s="5">
        <v>2.5</v>
      </c>
      <c r="AQ297" s="38" t="s">
        <v>27</v>
      </c>
      <c r="AR297" s="5">
        <v>2.5</v>
      </c>
      <c r="AS297" s="38" t="s">
        <v>26</v>
      </c>
      <c r="AT297" s="146" t="s">
        <v>542</v>
      </c>
      <c r="AU297" s="187" t="str">
        <f>IF(OR(SnapshotTable[[#This Row],[LP No Fill]]="Y",SnapshotTable[[#This Row],[SP Is Filled]],SnapshotTable[[#This Row],[LC Not Filled]]="Y",SnapshotTable[[#This Row],[SC Is Filled]]),"Y","")</f>
        <v/>
      </c>
      <c r="AV297" s="219"/>
      <c r="AW297" s="225"/>
      <c r="AX297" s="220"/>
      <c r="AY297" s="219" t="str">
        <f>IF(SnapshotTable[[#This Row],[Implied Move]]&gt;0, SnapshotTable[[#This Row],[Last Price]]-SnapshotTable[[#This Row],[Implied Move]],"")</f>
        <v/>
      </c>
      <c r="AZ297" s="219" t="str">
        <f>IF(SnapshotTable[[#This Row],[Implied Move]]&gt;0, SnapshotTable[[#This Row],[Last Price]] + SnapshotTable[[#This Row],[Implied Move]],"")</f>
        <v/>
      </c>
      <c r="BA297" s="331">
        <v>2.4</v>
      </c>
      <c r="BB297" s="347"/>
      <c r="BC29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7" s="351"/>
      <c r="BE297" s="5"/>
      <c r="BF297" s="14"/>
      <c r="BG297" s="13"/>
      <c r="BH297" s="13"/>
      <c r="BI297" s="5"/>
      <c r="BJ297" s="136">
        <f>IF(SnapshotTable[[#This Row],[LP Qty]] &gt; 0, SnapshotTable[[#This Row],[LP Qty]] * SnapshotTable[[#This Row],[LP Book Price]] * 100,0)</f>
        <v>0</v>
      </c>
      <c r="BK297" s="136">
        <f>IF(SnapshotTable[[#This Row],[LP Premium]] &gt; 0, SnapshotTable[[#This Row],[LP Qty]] * SnapshotTable[[#This Row],[LP Strike Price]] * 100,0)</f>
        <v>0</v>
      </c>
      <c r="BL297" s="154"/>
      <c r="BM297" s="385" t="str">
        <f>IF(SnapshotTable[[#This Row],[LP Premium]] &gt; 0,SnapshotTable[[#This Row],[LP Exp Date]]-MAX(SnapshotTable[[#This Row],[LP Book Date]], SnapshotTable[[#This Row],[LP Fill Date]]),"")</f>
        <v/>
      </c>
      <c r="BN297" s="385" t="str">
        <f>IF(ISNUMBER( SnapshotTable[[#This Row],[LP Term]]), SnapshotTable[[#This Row],[LP Exp Date]] - MockToday,"")</f>
        <v/>
      </c>
      <c r="BO297" s="163" t="str">
        <f>IF(AND(SnapshotTable[[#This Row],[LP Exp Date]]&gt;0, SnapshotTable[[#This Row],[LP Strike Price]]&gt;0,SnapshotTable[[#This Row],[LP Qty]]&gt;0,SnapshotTable[[#This Row],[LP Book Date]]&gt;0,SnapshotTable[[#This Row],[LP Book Price]]&gt;0,SnapshotTable[[#This Row],[LP Fill Date]]=0),"Y","")</f>
        <v/>
      </c>
      <c r="BP297" s="31" t="str">
        <f>IF(AND(SnapshotTable[[#This Row],[LP No Fill]]&lt;&gt;"Y",SnapshotTable[[#This Row],[LP Contract Value]]&gt;0, SnapshotTable[[#This Row],[LP Qty]]&gt;0), SnapshotTable[[#This Row],[LP Contract Value]]*SnapshotTable[[#This Row],[LP Qty]]*100,"")</f>
        <v/>
      </c>
      <c r="BQ297" s="13"/>
      <c r="BR297" s="5" t="str">
        <f>IF(SnapshotTable[[#This Row],[SP Exp Date]]&lt;&gt;"",TRUNC(SnapshotTable[[#This Row],[Last Price]]),"")</f>
        <v/>
      </c>
      <c r="BS297" s="36"/>
      <c r="BT297" s="147"/>
      <c r="BU297" s="13"/>
      <c r="BV297" s="5"/>
      <c r="BW297" s="419" t="b">
        <f>AND(ISNUMBER(SnapshotTable[[#This Row],[SP Exp Date]]), ISNUMBER(SnapshotTable[[#This Row],[SP Strike Price]]), ISNUMBER(SnapshotTable[[#This Row],[SP Qty]]), ISNUMBER(SnapshotTable[[#This Row],[SP Book Date]]), ISNUMBER(SnapshotTable[[#This Row],[SP Book Price]]))</f>
        <v>0</v>
      </c>
      <c r="BX297" s="419" t="b">
        <f>AND(SnapshotTable[[#This Row],[SP Is Booked]], NOT(ISBLANK(SnapshotTable[[#This Row],[SP Fill Date]])))</f>
        <v>0</v>
      </c>
      <c r="BY297" s="33">
        <f>IF(SnapshotTable[[#This Row],[SP Is Booked]], SnapshotTable[[#This Row],[SP Qty]] * SnapshotTable[[#This Row],[SP Book Price]] * 100, 0)</f>
        <v>0</v>
      </c>
      <c r="BZ297" s="369"/>
      <c r="CA297" s="368">
        <f>SnapshotTable[[#This Row],[LP Qty]]</f>
        <v>0</v>
      </c>
      <c r="CB297" s="4" t="str">
        <f>IF(SnapshotTable[[#This Row],[SP Is Booked]], SnapshotTable[[#This Row],[SP Strike Price]] - SnapshotTable[[#This Row],[SP Book Price]], "")</f>
        <v/>
      </c>
      <c r="CC297" s="19" t="str">
        <f>IF(SnapshotTable[[#This Row],[SP Is Booked]],SnapshotTable[[#This Row],[SP Exp Date]]-MAX(SnapshotTable[[#This Row],[SP Book Date]], SnapshotTable[[#This Row],[SP Fill Date]]),"")</f>
        <v/>
      </c>
      <c r="CD297" s="7" t="str">
        <f>IF(SnapshotTable[[#This Row],[SP Is Booked]], SnapshotTable[[#This Row],[SP Book Price]]/SnapshotTable[[#This Row],[SP Strike Price]], "")</f>
        <v/>
      </c>
      <c r="CE297" s="7" t="str">
        <f>IF(ISNUMBER(SnapshotTable[[#This Row],[SP ROO Term]]),SnapshotTable[[#This Row],[SP ROO Term]]*(365/SnapshotTable[[#This Row],[SP Term]]),"")</f>
        <v/>
      </c>
      <c r="CF297" s="236">
        <f>SnapshotTable[[#This Row],[LP Strike Price]] * SnapshotTable[[#This Row],[LP Qty]] * 100</f>
        <v>0</v>
      </c>
      <c r="CG297" s="31" t="e">
        <f>IF(ISNUMBER(SnapshotTable[[#This Row],[SP Premium]]), (SnapshotTable[[#This Row],[SP Qty]] * SnapshotTable[[#This Row],[SP Strike Price]]* 100) - SnapshotTable[[#This Row],[LP Protection]], 0)</f>
        <v>#VALUE!</v>
      </c>
      <c r="CH297" s="7" t="str">
        <f>IF(ISNUMBER(SnapshotTable[[#This Row],[SP Break Even]]),-1 * (SnapshotTable[[#This Row],[SP Break Even]] - SnapshotTable[[#This Row],[Last Price]]) / SnapshotTable[[#This Row],[Last Price]], "")</f>
        <v/>
      </c>
      <c r="CI297" s="31">
        <f>IF(AND(ISNUMBER((SnapshotTable[[#This Row],[SP Potential Spend]])), SnapshotTable[[#This Row],[SP Strike Price]] &gt; SnapshotTable[[#This Row],[Last Price]], SnapshotTable[[#This Row],[SP Is Filled]]), SnapshotTable[[#This Row],[SP Potential Spend]] -  SnapshotTable[[#This Row],[LP Max Value]], 0)</f>
        <v>0</v>
      </c>
      <c r="CJ297" s="244"/>
      <c r="CK297" s="31" t="str">
        <f>IF(ISNUMBER(SnapshotTable[[#This Row],[SP Potential Spend]]),IF(ISNUMBER(SnapshotTable[[#This Row],[SP POW]]), SnapshotTable[[#This Row],[SP POW]] * SnapshotTable[[#This Row],[SP Potential Spend]], SnapshotTable[[#This Row],[SP Potential Spend]]), "")</f>
        <v/>
      </c>
      <c r="CL297" s="164" t="e">
        <f>IF(NOT(SnapshotTable[[#This Row],[SP Is Filled]]),(SnapshotTable[[#This Row],[SP Qty]] * SnapshotTable[[#This Row],[SP Strike Price]] * 100) - SnapshotTable[[#This Row],[LP Max Value]],"")</f>
        <v>#VALUE!</v>
      </c>
      <c r="CM297" s="31" t="str">
        <f>IF(SnapshotTable[[#This Row],[SP Actual Spend]]&lt;&gt;0, ((SnapshotTable[[#This Row],[SP Strike Price]]-SnapshotTable[[#This Row],[Last Price]]) *(SnapshotTable[[#This Row],[SP Qty]]*100) - SnapshotTable[[#This Row],[SP Premium]]) * - 1, "")</f>
        <v/>
      </c>
      <c r="CN297" s="218"/>
      <c r="CO297" s="369"/>
      <c r="CP297" s="4" t="str">
        <f>IF(SnapshotTable[[#This Row],[SP Is Filled]], btc_max_buyback_amount(SnapshotTable[[#This Row],[SP Fill Date]],SnapshotTable[[#This Row],[SP Exp Date]], SnapshotTable[[#This Row],[SP Book Price]]),"")</f>
        <v/>
      </c>
      <c r="CQ297" s="78"/>
      <c r="CR29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7" s="155" t="str">
        <f>IF(SnapshotTable[[#This Row],[SP Is Filled]], btc_next_cutoff_date(SnapshotTable[[#This Row],[SP Fill Date]],SnapshotTable[[#This Row],[SP Exp Date]]),"")</f>
        <v/>
      </c>
      <c r="CT297" s="235" t="str" cm="1">
        <f t="array" ref="CT297">IF(SnapshotTable[[#This Row],[SP Is Filled]], btc_should_buy_back(SnapshotTable[[#This Row],[SP Fill Date]], SnapshotTable[[#This Row],[SP Exp Date]], SnapshotTable[[#This Row],[SP Book Price]], SnapshotTable[[#This Row],[SP Current Ask]], MockToday, SnapshotTable[[#This Row],[SP Buyback Override]]),"")</f>
        <v/>
      </c>
      <c r="CU297" s="143"/>
      <c r="CV297" s="235"/>
      <c r="CW297" s="378" t="str">
        <f>IF(ISNUMBER( SnapshotTable[[#This Row],[SP Term]]), SnapshotTable[[#This Row],[SP Exp Date]] - MockToday,"")</f>
        <v/>
      </c>
      <c r="CX297" s="31" t="str">
        <f>IF(SnapshotTable[[#This Row],[SP Is Filled]],SnapshotTable[[#This Row],[SP Buyback Price to Use]] * 100 * SnapshotTable[[#This Row],[SP Qty]], "")</f>
        <v/>
      </c>
      <c r="CY297" s="4" t="str">
        <f>IF(ISNUMBER(SnapshotTable[[#This Row],[SP Strike Price]]), SnapshotTable[[#This Row],[SP Strike Price]] * (1 - SP_MaxLoss_StrikePct), "")</f>
        <v/>
      </c>
      <c r="CZ297" s="31" t="str">
        <f>IF(ISNUMBER(SnapshotTable[[#This Row],[SP Strike  Stop Per Share]]),SnapshotTable[[#This Row],[SP Premium]] - ((SnapshotTable[[#This Row],[SP Strike Price]]-SnapshotTable[[#This Row],[SP Strike  Stop Per Share]]) *(SnapshotTable[[#This Row],[SP Qty]] * 100)),"")</f>
        <v/>
      </c>
      <c r="DA297" s="4" t="str">
        <f>IF(AND(ISNUMBER(SnapshotTable[[#This Row],[SP Premium]]),SnapshotTable[[#This Row],[SP Premium]]&gt;0), SnapshotTable[[#This Row],[SP Book Price]] * (1 + SP_MaxLoss_OptionPct), "")</f>
        <v/>
      </c>
      <c r="DB297" s="31" t="str">
        <f>IF(ISNUMBER(SnapshotTable[[#This Row],[SP Option  Stop Contract]]),(SnapshotTable[[#This Row],[SP Option  Stop Contract]] *(SnapshotTable[[#This Row],[SP Qty]] * 100) - SnapshotTable[[#This Row],[SP Premium]]),"")</f>
        <v/>
      </c>
      <c r="DC297" s="4"/>
      <c r="DD297" s="4"/>
      <c r="DE297" s="4" t="str">
        <f>IF(AND(SnapshotTable[[#This Row],[SP Qty]]&gt;0, SnapshotTable[[#This Row],[SP Stop To Use]]&gt;0),SnapshotTable[[#This Row],[SP Premium]] - ( SnapshotTable[[#This Row],[SP Qty]] * SnapshotTable[[#This Row],[SP Stop To Use]] * 100), "")</f>
        <v/>
      </c>
      <c r="DF297" s="31" t="str">
        <f>IF(AND(SnapshotTable[[#This Row],[SP Qty]]&gt;0,SnapshotTable[[#This Row],[SP Current Ask]]&gt;0), SnapshotTable[[#This Row],[SP Qty]] * SnapshotTable[[#This Row],[SP Current Ask]] * -100, "")</f>
        <v/>
      </c>
      <c r="DG297" s="31" t="str">
        <f>IF(ISNUMBER((SnapshotTable[[#This Row],[SP Total Value]])), SnapshotTable[[#This Row],[SP Premium]] + SnapshotTable[[#This Row],[SP Total Value]], "")</f>
        <v/>
      </c>
      <c r="DH297" s="294" t="str">
        <f>IF(ISNUMBER((SnapshotTable[[#This Row],[SP Total Value]])), SnapshotTable[[#This Row],[SP Gain Loss]] / SnapshotTable[[#This Row],[SP Premium]], "")</f>
        <v/>
      </c>
      <c r="DI297" s="406"/>
      <c r="DJ297" s="138"/>
      <c r="DK297" s="148"/>
      <c r="DL297" s="13"/>
      <c r="DM297" s="13"/>
      <c r="DO297" s="31">
        <f>IF(SnapshotTable[[#This Row],[LC Symbol Count]]=1, SnapshotTable[[#This Row],[LC Qty]] * SnapshotTable[[#This Row],[LC Book Price]] * 100, 0)</f>
        <v>0</v>
      </c>
      <c r="DP297" s="163" t="str">
        <f>IF(AND(SnapshotTable[[#This Row],[LC Exp Date]]&gt;0, SnapshotTable[[#This Row],[LC Strike Price]]&gt;0,SnapshotTable[[#This Row],[LC Qty]]&gt;0,SnapshotTable[[#This Row],[LC Book Date]]&gt;0,SnapshotTable[[#This Row],[LC Book Price]]&gt;0,SnapshotTable[[#This Row],[LC Fill Date]]=0),"Y","")</f>
        <v/>
      </c>
      <c r="DQ297" s="386" t="str">
        <f>IF(SnapshotTable[[#This Row],[LC Premium]] &gt; 0,SnapshotTable[[#This Row],[LC Exp Date]]-MAX(SnapshotTable[[#This Row],[LC Book Date]], SnapshotTable[[#This Row],[LC Fill Date]]),"")</f>
        <v/>
      </c>
      <c r="DR297" s="386" t="str">
        <f>IF(ISNUMBER(SnapshotTable[[#This Row],[LC Term]]), SnapshotTable[[#This Row],[LC Exp Date]] - MockToday, "")</f>
        <v/>
      </c>
      <c r="DS297" s="234" t="str">
        <f>IF(SnapshotTable[[#This Row],[LC Premium]]&gt;0,SnapshotTable[[#This Row],[LC Strike Price]] + SnapshotTable[[#This Row],[LC Book Price]],"")</f>
        <v/>
      </c>
      <c r="DU297" s="9" t="str">
        <f>IF(AND(SnapshotTable[[#This Row],[LC Symbol Count]]&gt;0, SnapshotTable[[#This Row],[LC Contract Value]]&gt;0), SnapshotTable[[#This Row],[LC Contract Value]] * SnapshotTable[[#This Row],[LC Qty]] * 100, "")</f>
        <v/>
      </c>
      <c r="DV297" s="9" t="str">
        <f>IF(AND(ISNUMBER(SnapshotTable[[#This Row],[LC Total Value]]), SnapshotTable[[#This Row],[LC Not Filled]]&lt;&gt;"Y"), SnapshotTable[[#This Row],[LC Total Value]]-SnapshotTable[[#This Row],[LC Premium]],"")</f>
        <v/>
      </c>
      <c r="DW297" s="240" t="str">
        <f>IF(ISNUMBER(SnapshotTable[[#This Row],[LC Actual Gain Loss]]), SnapshotTable[[#This Row],[LC Actual Gain Loss]] / SnapshotTable[[#This Row],[LC Premium]],"")</f>
        <v/>
      </c>
      <c r="DX297" s="284" t="str">
        <f>IF(ISNUMBER(SnapshotTable[[#This Row],[LC Book Price]]),SnapshotTable[[#This Row],[LC Book Price]] * 1.5,"")</f>
        <v/>
      </c>
      <c r="DY297" s="265" t="str">
        <f>IF(SnapshotTable[[#This Row],[LC Premium]]&gt;0, SnapshotTable[[#This Row],[LC Next Target]] * SnapshotTable[[#This Row],[LC Qty]] * 100,"")</f>
        <v/>
      </c>
      <c r="DZ297" s="265" t="str">
        <f>IF(ISNUMBER(SnapshotTable[[#This Row],[LC Target Gross]]), SnapshotTable[[#This Row],[LC Target Gross]] - SnapshotTable[[#This Row],[LC Premium]], "")</f>
        <v/>
      </c>
      <c r="EA297" s="305" t="str">
        <f>IF(ISNUMBER(SnapshotTable[[#This Row],[LC Target Gain Loss]]), SnapshotTable[[#This Row],[LC Target Gain Loss]]/SnapshotTable[[#This Row],[LC Premium]], "")</f>
        <v/>
      </c>
      <c r="EB297" s="262"/>
      <c r="EC297" s="283" t="str">
        <f>IF(SnapshotTable[[#This Row],[LC Premium]]&gt;0, SnapshotTable[[#This Row],[LC Book Price]] * (1 - LC_StopLoss_Pct),"")</f>
        <v/>
      </c>
      <c r="ED297" s="284"/>
      <c r="EE297" s="283" t="str">
        <f>IF(ISNUMBER(SnapshotTable[[#This Row],[LC Contract Value]]),IF(ISNUMBER(SnapshotTable[[#This Row],[LC Stop Loss Override]]), SnapshotTable[[#This Row],[LC Stop Loss Override]],SnapshotTable[[#This Row],[LC Stop Loss Calc Target]]),"")</f>
        <v/>
      </c>
      <c r="EF297" s="31" t="str">
        <f>IF(ISNUMBER(SnapshotTable[[#This Row],[LC Stop  To Use]]), (SnapshotTable[[#This Row],[LC Stop  To Use]] * SnapshotTable[[#This Row],[LC Qty]] * 100),"")</f>
        <v/>
      </c>
      <c r="EG297" s="9" t="str">
        <f>IF(ISNUMBER(SnapshotTable[[#This Row],[LC Total Value]]),SnapshotTable[[#This Row],[LC Stop Loss Amount]] - SnapshotTable[[#This Row],[LC Premium]],"")</f>
        <v/>
      </c>
      <c r="EH297" s="9">
        <f>IF(ISNUMBER(SnapshotTable[[#This Row],[LC Premium]]), SnapshotTable[[#This Row],[LC Qty]] * 100 * SnapshotTable[[#This Row],[LC Strike Price]], "")</f>
        <v>0</v>
      </c>
      <c r="EI297" s="240" t="str">
        <f>IF(AND(ISNUMBER(SnapshotTable[[#This Row],[LC Total Value]]),SnapshotTable[[#This Row],[LC Total Value]]&gt;0),SnapshotTable[[#This Row],[LC Stop Gain Loss]]  / SnapshotTable[[#This Row],[LC Premium]],"")</f>
        <v/>
      </c>
      <c r="EJ297" s="35">
        <f>IF(ISNUMBER(SnapshotTable[[#This Row],[Equity Shares]]),TRUNC(SnapshotTable[[#This Row],[Equity Shares]] / 100),0) + SnapshotTable[[#This Row],[LC Qty]]</f>
        <v>0</v>
      </c>
      <c r="EK297" s="147"/>
      <c r="EL297" s="138" t="str">
        <f>IF(SnapshotTable[[#This Row],[SC Exp Date]]&lt;&gt;"",TRUNC(SnapshotTable[[#This Row],[Last Price]]),"")</f>
        <v/>
      </c>
      <c r="EM297" s="148"/>
      <c r="EN297" s="147"/>
      <c r="EO297" s="147"/>
      <c r="EP297" s="138"/>
      <c r="EQ297" s="419" t="b">
        <f>AND(ISNUMBER(SnapshotTable[[#This Row],[SC Exp Date]]), ISNUMBER(SnapshotTable[[#This Row],[SC Strike Price]]), ISNUMBER(SnapshotTable[[#This Row],[SC Qty]]), ISNUMBER(SnapshotTable[[#This Row],[SC Book Date]]), ISNUMBER(SnapshotTable[[#This Row],[SC Book Price]]))</f>
        <v>0</v>
      </c>
      <c r="ER297" s="419" t="b">
        <f>AND(SnapshotTable[[#This Row],[SC Is Booked]], NOT(ISBLANK(SnapshotTable[[#This Row],[SC Fill Date]])))</f>
        <v>0</v>
      </c>
      <c r="ES297" s="370"/>
      <c r="ET297" s="34" t="str">
        <f>IF(AND(ISNUMBER(SnapshotTable[[#This Row],[SC Exp Date]]), ISNUMBER(SnapshotTable[[#This Row],[SC Book Date]])), SnapshotTable[[#This Row],[SC Exp Date]] - MAX(SnapshotTable[[#This Row],[SC Book Date]], SnapshotTable[[#This Row],[SC Fill Date]]) + 1, "")</f>
        <v/>
      </c>
      <c r="EU297" s="34" t="str">
        <f>IF(ISNUMBER(SnapshotTable[[#This Row],[SC Term]]), SnapshotTable[[#This Row],[SC Exp Date]]- MockToday, "")</f>
        <v/>
      </c>
      <c r="EV297" s="31">
        <f>IF(SnapshotTable[[#This Row],[SC Is Booked]], SnapshotTable[[#This Row],[SC Qty]] * SnapshotTable[[#This Row],[SC Book Price]] * 100, 0)</f>
        <v>0</v>
      </c>
      <c r="EW297" s="4" t="str">
        <f>IF(AND(ISNUMBER(SnapshotTable[[#This Row],[Last Price]]), ISNUMBER( SnapshotTable[[#This Row],[SC Book Price]])), SnapshotTable[[#This Row],[Last Price]] - SnapshotTable[[#This Row],[SC Book Price]],"")</f>
        <v/>
      </c>
      <c r="EX297" s="234" t="str">
        <f>IF(SnapshotTable[[#This Row],[SC Is Booked]],IF(SnapshotTable[[#This Row],[SC Intrinsic Value]] &gt; 0, SnapshotTable[[#This Row],[SC Strike Price]], SnapshotTable[[#This Row],[Last Price]]), "")</f>
        <v/>
      </c>
      <c r="EY297" s="4">
        <f>IF(SnapshotTable[[#This Row],[SC Is Booked]], (MinimumPremiumRequired * SnapshotTable[[#This Row],[SC Basis]] * SnapshotTable[[#This Row],[SC Term]]), 0)</f>
        <v>0</v>
      </c>
      <c r="EZ297" s="283"/>
      <c r="FA297" s="218"/>
      <c r="FB297" s="370">
        <v>0.1</v>
      </c>
      <c r="FC297" s="4">
        <f>IF(SnapshotTable[[#This Row],[SC Is Filled]], btc_max_buyback_amount(SnapshotTable[[#This Row],[SC Fill Date]],SnapshotTable[[#This Row],[SC Exp Date]], SnapshotTable[[#This Row],[SC Book Price]]),0)</f>
        <v>0</v>
      </c>
      <c r="FD297" s="5"/>
      <c r="FE297" s="144" t="str">
        <f>IF(SnapshotTable[[#This Row],[SC Is Filled]], btc_next_cutoff_date(SnapshotTable[[#This Row],[SC Fill Date]],SnapshotTable[[#This Row],[SC Exp Date]]),"")</f>
        <v/>
      </c>
      <c r="FF297" s="4" t="str" cm="1">
        <f t="array" ref="FF297">IF(SnapshotTable[[#This Row],[SC Is Filled]], btc_should_buy_back(SnapshotTable[[#This Row],[SC Fill Date]], SnapshotTable[[#This Row],[SC Exp Date]], SnapshotTable[[#This Row],[SC Book Price]], SnapshotTable[[#This Row],[SC Current Ask]], MockToday, SnapshotTable[[#This Row],[SC Buyback Override]]),"")</f>
        <v/>
      </c>
      <c r="FG297" s="4">
        <f>IF(SnapshotTable[[#This Row],[SC Is Filled]], MAX(0,SnapshotTable[[#This Row],[Last Price]]  - SnapshotTable[[#This Row],[SC Strike Price]]), 0)</f>
        <v>0</v>
      </c>
      <c r="FH297" s="382">
        <f>IF(SnapshotTable[[#This Row],[SC Is Filled]], IF(ISNUMBER(SnapshotTable[[#This Row],[SC Current Ask]]), SnapshotTable[[#This Row],[SC Current Ask]], SnapshotTable[[#This Row],[SC Book Price]]) - SnapshotTable[[#This Row],[SC Intrinsic Value]], 0)</f>
        <v>0</v>
      </c>
      <c r="FI297" s="143"/>
      <c r="FJ297" s="32" t="str">
        <f>IF(SnapshotTable[[#This Row],[SC Is Filled]],100 * SnapshotTable[[#This Row],[SC Qty]] * IF(ISNUMBER(SnapshotTable[[#This Row],[SC Buyback Override]]), SnapshotTable[[#This Row],[SC Buyback Override]], SnapshotTable[[#This Row],[SC Current Ask]]), "")</f>
        <v/>
      </c>
      <c r="FK297" s="250" t="str">
        <f>IF(SnapshotTable[[#This Row],[SC Time Val]]&gt;0, SnapshotTable[[#This Row],[SC Time Val]] / SnapshotTable[[#This Row],[Last Price]],"")</f>
        <v/>
      </c>
      <c r="FL297" s="302" t="str">
        <f>IF(SnapshotTable[[#This Row],[SC Is Booked]], ((SnapshotTable[[#This Row],[Last Price]] -SnapshotTable[[#This Row],[SC Strike Price]]) / SnapshotTable[[#This Row],[Last Price]]) * -1, "")</f>
        <v/>
      </c>
      <c r="FM297" s="157" t="str">
        <f>IF(SnapshotTable[[#This Row],[SC Is Booked]],  (SnapshotTable[[#This Row],[SC Qty]] * 100 * SnapshotTable[[#This Row],[SC Strike Price]]) - SnapshotTable[[#This Row],[SC Current Ask]], "")</f>
        <v/>
      </c>
      <c r="FN29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7" s="31" t="str">
        <f>IF(AND(ISNUMBER(SnapshotTable[[#This Row],[SC Exercise Gross]]), ISNUMBER(SnapshotTable[[#This Row],[Equity Basis Per Share]] )), SnapshotTable[[#This Row],[SC Exercise Gross]] - SnapshotTable[[#This Row],[Equity Basis Total]] +  SnapshotTable[[#This Row],[SC Premium]], "")</f>
        <v/>
      </c>
      <c r="FP297" s="5" t="str">
        <f>IF(ISNUMBER(SnapshotTable[[#This Row],[SC Exercise Gross]]), (SnapshotTable[[#This Row],[SC Exercise Gross]]) / (SnapshotTable[[#This Row],[SC Qty]] * 100), "")</f>
        <v/>
      </c>
      <c r="FQ297" s="27" t="str">
        <f>IF(SnapshotTable[[#This Row],[SC Is Booked]],SnapshotTable[[#This Row],[SC Time Val]] /SnapshotTable[[#This Row],[SC Basis]], "")</f>
        <v/>
      </c>
      <c r="FR297" s="27" t="str" cm="1">
        <f t="array" ref="FR297">IF(AND(ISNUMBER(SnapshotTable[[#This Row],[SC Term]]),ISNUMBER(SnapshotTable[[#This Row],[SC Simple ROO]])), EllmanAnnualize(SnapshotTable[[#This Row],[SC DTE]], SnapshotTable[[#This Row],[SC Simple ROO]] ),"")</f>
        <v/>
      </c>
      <c r="FS297" s="4" t="e">
        <f>IF(SnapshotTable[[#This Row],[SC Strike Price]] &gt; SnapshotTable[[#This Row],[Last Price]], SnapshotTable[[#This Row],[SC Strike Price]] - SnapshotTable[[#This Row],[Last Price]],0)</f>
        <v>#VALUE!</v>
      </c>
      <c r="FT297" s="27" t="e">
        <f>IF(AND(ISNUMBER(SnapshotTable[[#This Row],[SC Upside Potential]]), SnapshotTable[[#This Row],[SC Upside Potential]] &gt; 0),(SnapshotTable[[#This Row],[SC Upside Potential]]/ SnapshotTable[[#This Row],[ACB]]),"")</f>
        <v>#VALUE!</v>
      </c>
      <c r="FU297" s="333" t="str">
        <f>IF(SnapshotTable[[#This Row],[SC Intrinsic Value]] &gt; 0,SnapshotTable[[#This Row],[SC Intrinsic Value]],"")</f>
        <v/>
      </c>
      <c r="FV297" s="27" t="str">
        <f>IF(AND( ISNUMBER( SnapshotTable[[#This Row],[ACB]]),ISNUMBER(SnapshotTable[[#This Row],[SC Downside Protect]])),SnapshotTable[[#This Row],[SC Downside Protect]] / SnapshotTable[[#This Row],[ACB]],"")</f>
        <v/>
      </c>
      <c r="FW297" s="236" t="str">
        <f>IF(AND(ISNUMBER(SnapshotTable[[#This Row],[SC Simple ROO]]),SnapshotTable[[#This Row],[SC Simple ROO]] &gt; 0), SnapshotTable[[#This Row],[SC Premium]] + (SnapshotTable[[#This Row],[SC Qty]] * SnapshotTable[[#This Row],[SC Upside Potential]]), "")</f>
        <v/>
      </c>
      <c r="FX297" s="302" t="str" cm="1">
        <f t="array" ref="FX297">IF(ISNUMBER(SnapshotTable[[#This Row],[SC Max Dollars]]), annualize(SnapshotTable[[#This Row],[SC Term]],(SnapshotTable[[#This Row],[SC Max Dollars]]/SnapshotTable[[#This Row],[SC Basis]])),"")</f>
        <v/>
      </c>
      <c r="FY297" s="236" t="str">
        <f>IF(AND(SnapshotTable[[#This Row],[SC Qty]]&gt;0,SnapshotTable[[#This Row],[SC Current Ask]]&gt;0), SnapshotTable[[#This Row],[SC Qty]] * SnapshotTable[[#This Row],[SC Current Ask]] * -100, "")</f>
        <v/>
      </c>
      <c r="FZ297" s="31" t="str">
        <f>IF(ISNUMBER((SnapshotTable[[#This Row],[SC Current Value]])), SnapshotTable[[#This Row],[SC Premium]] + SnapshotTable[[#This Row],[SC Current Value]], "")</f>
        <v/>
      </c>
      <c r="GA297" s="294" t="str">
        <f>IFERROR( IF(ISNUMBER((SnapshotTable[[#This Row],[SC Current Value]])), SnapshotTable[[#This Row],[SC Gain Loss]] / SnapshotTable[[#This Row],[SC Premium]], ""), "")</f>
        <v/>
      </c>
      <c r="GB297" s="42">
        <f>SnapshotTable[[#This Row],[Equity Shares]] * SaleSharesToConsiderPercentage</f>
        <v>0</v>
      </c>
      <c r="GC297" s="40">
        <f>SnapshotTable[[#This Row],[Long Term Target]] * SellingPriceToConsiderBasedOnTargetPercentage</f>
        <v>8.2649999999999988</v>
      </c>
      <c r="GD297" s="40">
        <f>SnapshotTable[[#This Row],[Last Price]] * (1+ SellingPriceToConsiderBasedOnTargetPercentage)</f>
        <v>8.1120000000000001</v>
      </c>
      <c r="GE297" s="41"/>
      <c r="GF297" s="40"/>
      <c r="GG297" s="31">
        <f>SnapshotTable[[#This Row],[Booked Sale Shares]] * SnapshotTable[[#This Row],[Booked Sale Price]]</f>
        <v>0</v>
      </c>
      <c r="GH297" s="31" t="str">
        <f>IF(SnapshotTable[[#This Row],[Equity Basis Total]] &gt; 0, SnapshotTable[[#This Row],[Equity Basis Per Share]] * SnapshotTable[[#This Row],[Booked Sale Shares]], "")</f>
        <v/>
      </c>
      <c r="GI297" s="31">
        <f>IF(SnapshotTable[[#This Row],[Sale Proceeds]]&gt;0, SnapshotTable[[#This Row],[Sale Proceeds]] - SnapshotTable[[#This Row],[Sale Basis]], 0)</f>
        <v>0</v>
      </c>
      <c r="GJ297" s="27" t="str">
        <f>IF(SnapshotTable[[#This Row],[Sale G/L]]&gt;0, SnapshotTable[[#This Row],[Sale G/L]] / SnapshotTable[[#This Row],[Sale Basis]], IF(ISNUMBER(SnapshotTable[[#This Row],[SC Exercise P&amp;L (TAX)]]), SnapshotTable[[#This Row],[SC Exercise P&amp;L (TAX)]] / SnapshotTable[[#This Row],[SC Basis]], ""))</f>
        <v/>
      </c>
      <c r="GK297" s="27" t="s">
        <v>1021</v>
      </c>
      <c r="GL297" s="43" t="str">
        <f>IF(AND(SnapshotTable[[#This Row],[LP Exp Date]]&gt;0,SnapshotTable[[#This Row],[LP Strike Price]]&gt;0), [1]!ToOptionSymbol(SnapshotTable[[#This Row],[Symbol]], SnapshotTable[[#This Row],[LP Strike Price]],SnapshotTable[[#This Row],[LP Exp Date]],1), "")</f>
        <v/>
      </c>
      <c r="GM297" s="30" t="str">
        <f>IF(LEN(SnapshotTable[[#This Row],[LP Symbol]])&gt;0, 1, "")</f>
        <v/>
      </c>
      <c r="GN297" s="43" t="str">
        <f>IF(AND(SnapshotTable[[#This Row],[SP Exp Date]]&gt;0,SnapshotTable[[#This Row],[SP Strike Price]]&gt;0), [1]!ToOptionSymbol(SnapshotTable[[#This Row],[Symbol]], SnapshotTable[[#This Row],[SP Strike Price]],SnapshotTable[[#This Row],[SP Exp Date]],1), "")</f>
        <v/>
      </c>
      <c r="GO297" s="30" t="str">
        <f>IF(LEN(SnapshotTable[[#This Row],[SP Symbol]])&gt;0, 1, "")</f>
        <v/>
      </c>
      <c r="GP297" s="43" t="str">
        <f>IF(AND(SnapshotTable[[#This Row],[LC Exp Date]]&gt;0,SnapshotTable[[#This Row],[LC Strike Price]]&gt;0), [1]!ToOptionSymbol(SnapshotTable[[#This Row],[Symbol]], SnapshotTable[[#This Row],[LC Strike Price]],SnapshotTable[[#This Row],[LC Exp Date]],0), "")</f>
        <v/>
      </c>
      <c r="GQ297" s="30" t="str">
        <f>IF(LEN(SnapshotTable[[#This Row],[LC Symbol]])&gt;0, 1, "")</f>
        <v/>
      </c>
      <c r="GR297" s="43" t="str">
        <f>IF(AND(SnapshotTable[[#This Row],[SC Exp Date]]&gt;0,SnapshotTable[[#This Row],[SC Strike Price]]&gt;0), [1]!ToOptionSymbol(SnapshotTable[[#This Row],[Symbol]], SnapshotTable[[#This Row],[SC Strike Price]],SnapshotTable[[#This Row],[SC Exp Date]],0), "")</f>
        <v/>
      </c>
      <c r="GS297" s="30" t="str">
        <f>IF(LEN(SnapshotTable[[#This Row],[SC Symbol]])&gt;0, 1, "")</f>
        <v/>
      </c>
      <c r="GT297" s="29" t="str">
        <f>IF(COUNT(SnapshotTable[[#This Row],[LP Symbol Count]],SnapshotTable[[#This Row],[SP Symbol Count]],SnapshotTable[[#This Row],[LC Symbol Count]],SnapshotTable[[#This Row],[SC Symbol Count]])&gt;0, "Y", "")</f>
        <v/>
      </c>
      <c r="GU29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7" s="231" t="e">
        <f>MAX(SnapshotTable[[#This Row],[Equity Basis Total]],SnapshotTable[[#This Row],[Equity Value]]) + (SnapshotTable[[#This Row],[SP Potential Spend]]- SnapshotTable[[#This Row],[SP Premium]] + SnapshotTable[[#This Row],[LP Premium]])+ (SnapshotTable[[#This Row],[LC Premium]] - SnapshotTable[[#This Row],[SC Premium]])</f>
        <v>#VALUE!</v>
      </c>
      <c r="GW297" s="139" t="e">
        <f>IF(AND(SnapshotTable[[#This Row],[Exposure]] &lt;&gt; 0),SnapshotTable[[#This Row],[Exposure]] / SnapshotTable[[#Totals],[Exposure]], "")</f>
        <v>#VALUE!</v>
      </c>
      <c r="HK297" s="1"/>
      <c r="HL297" s="1"/>
      <c r="HM297" s="1"/>
      <c r="HN297" s="1"/>
      <c r="HO297" s="1"/>
      <c r="HP297" s="1"/>
    </row>
    <row r="298" spans="2:224" ht="12.75" hidden="1" customHeight="1" x14ac:dyDescent="0.25">
      <c r="B298" s="12" t="s">
        <v>167</v>
      </c>
      <c r="C298" s="422">
        <v>83.44</v>
      </c>
      <c r="D298" s="208"/>
      <c r="E298" s="39">
        <f>SnapshotTable[[#This Row],[Last Price]]*(1 -CrashDiscount)</f>
        <v>70.923999999999992</v>
      </c>
      <c r="F298" s="26" t="s">
        <v>5</v>
      </c>
      <c r="G298" s="26" t="s">
        <v>4</v>
      </c>
      <c r="H298" s="149"/>
      <c r="I298" s="194">
        <v>44748.291666666664</v>
      </c>
      <c r="J298" s="195">
        <v>44748.291666666664</v>
      </c>
      <c r="K298" s="196"/>
      <c r="L298" s="326"/>
      <c r="M298" s="140"/>
      <c r="N298" s="140"/>
      <c r="O298" s="140"/>
      <c r="P298" s="22"/>
      <c r="Q298" s="25"/>
      <c r="R298" s="4" t="str">
        <f>IF(SnapshotTable[[#This Row],[Equity Basis Total]] &gt; 0, SnapshotTable[[#This Row],[Equity Basis Total]] / SnapshotTable[[#This Row],[Equity Shares]], "")</f>
        <v/>
      </c>
      <c r="S298" s="269">
        <f>SnapshotTable[[#This Row],[Last Price]] * SnapshotTable[[#This Row],[Equity Shares]]</f>
        <v>0</v>
      </c>
      <c r="T298" s="269">
        <f>SnapshotTable[[#This Row],[Equity Value]] - SnapshotTable[[#This Row],[Equity Basis Total]]</f>
        <v>0</v>
      </c>
      <c r="U298" s="270" t="str">
        <f>IF(SnapshotTable[[#This Row],[Equity Basis Total]] &gt; 0, SnapshotTable[[#This Row],[Equity G/L]] / SnapshotTable[[#This Row],[Equity Basis Total]], "")</f>
        <v/>
      </c>
      <c r="V298" s="268"/>
      <c r="W298" s="268"/>
      <c r="X298" s="4" t="str">
        <f>IF(AND(ISNUMBER(SnapshotTable[[#This Row],[Equity Basis Per Share]]),ISNUMBER(SnapshotTable[[#This Row],[Equity Target]])),SnapshotTable[[#This Row],[Equity Target]]-SnapshotTable[[#This Row],[Equity Basis Per Share]],"")</f>
        <v/>
      </c>
      <c r="Y298" s="4" t="str">
        <f>IF(AND(ISNUMBER(SnapshotTable[[#This Row],[Equity Basis Per Share]]),ISNUMBER(SnapshotTable[[#This Row],[Equity Stop Loss]])),SnapshotTable[[#This Row],[Equity Stop Loss]]-SnapshotTable[[#This Row],[Equity Basis Per Share]],"")</f>
        <v/>
      </c>
      <c r="Z298" s="275" t="str">
        <f>IFERROR( TEXT(SnapshotTable[[#This Row],[Equity Max Gain Per Share]] /ABS( SnapshotTable[[#This Row],[Equity Max Loss Per Share]]),"0.0 " ) &amp; " : 1", "")</f>
        <v/>
      </c>
      <c r="AA298" s="31" t="str">
        <f>IF(ISNUMBER(SnapshotTable[[#This Row],[Equity Max Gain Per Share]]),SnapshotTable[[#This Row],[Equity Max Gain Per Share]] * SnapshotTable[[#This Row],[Equity Shares]],"")</f>
        <v/>
      </c>
      <c r="AB298" s="31" t="str">
        <f>IF(ISNUMBER(SnapshotTable[[#This Row],[Equity Max Loss Per Share]]),SnapshotTable[[#This Row],[Equity Max Loss Per Share]] * SnapshotTable[[#This Row],[Equity Shares]],"")</f>
        <v/>
      </c>
      <c r="AC298" s="150"/>
      <c r="AD298" s="151"/>
      <c r="AE298" s="31">
        <f>(SnapshotTable[[#This Row],[Annual Dividend Per Share]] / 4) * SnapshotTable[[#This Row],[Equity Shares]]</f>
        <v>0</v>
      </c>
      <c r="AF298" s="31">
        <f>SnapshotTable[[#This Row],[Quarterly Div $]] * 4</f>
        <v>0</v>
      </c>
      <c r="AG298" s="7">
        <f>IF(SnapshotTable[[#This Row],[Annual Dividend Per Share]]&gt;0, SnapshotTable[[#This Row],[Annual Dividend Per Share]]  / SnapshotTable[[#This Row],[Last Price]], 0)</f>
        <v>0</v>
      </c>
      <c r="AH298" s="151"/>
      <c r="AI298" s="5"/>
      <c r="AJ298" s="138" t="s">
        <v>164</v>
      </c>
      <c r="AK298" s="152" t="str">
        <f>IF(ISNUMBER( SnapshotTable[[#This Row],[EBF Target]]),(SnapshotTable[[#This Row],[EBF Target]] - SnapshotTable[[#This Row],[Last Price]]) / SnapshotTable[[#This Row],[Last Price]], "")</f>
        <v/>
      </c>
      <c r="AL298" s="152" t="str">
        <f>IF(AND(SnapshotTable[[#This Row],[Equity Basis Total]] &gt; 0,ISNUMBER( SnapshotTable[[#This Row],[Long Term Target]])), SnapshotTable[[#This Row],[From Basis $]] / SnapshotTable[[#This Row],[Equity Basis Total]], "")</f>
        <v/>
      </c>
      <c r="AM298" s="9">
        <f>IF( AND(SnapshotTable[[#This Row],[Equity Shares]] &gt;0,ISNUMBER( SnapshotTable[[#This Row],[Long Term Target]])),(SnapshotTable[[#This Row],[Equity Shares]] * SnapshotTable[[#This Row],[Long Term Target]]) - SnapshotTable[[#This Row],[Equity Basis Total]],0)</f>
        <v>0</v>
      </c>
      <c r="AN298" s="9">
        <f>IF( AND(SnapshotTable[[#This Row],[Equity Shares]] &gt;0,ISNUMBER( SnapshotTable[[#This Row],[Long Term Target]])),(SnapshotTable[[#This Row],[Equity Shares]]*SnapshotTable[[#This Row],[Long Term Target]]) - SnapshotTable[[#This Row],[Equity Value]],0)</f>
        <v>0</v>
      </c>
      <c r="AO298" s="152" t="str">
        <f>IF(AND(ISNUMBER( SnapshotTable[[#This Row],[Long Term Target]]), ISNUMBER(SnapshotTable[[#This Row],[Last Price]])),(SnapshotTable[[#This Row],[Long Term Target]] - SnapshotTable[[#This Row],[Last Price]]) / SnapshotTable[[#This Row],[Last Price]], "")</f>
        <v/>
      </c>
      <c r="AP298" s="5">
        <v>2.65</v>
      </c>
      <c r="AQ298" s="38" t="s">
        <v>89</v>
      </c>
      <c r="AR298" s="5">
        <v>1.4</v>
      </c>
      <c r="AS298" s="38" t="s">
        <v>32</v>
      </c>
      <c r="AT298" s="146" t="s">
        <v>575</v>
      </c>
      <c r="AU298" s="187" t="str">
        <f>IF(OR(SnapshotTable[[#This Row],[LP No Fill]]="Y",SnapshotTable[[#This Row],[SP Is Filled]],SnapshotTable[[#This Row],[LC Not Filled]]="Y",SnapshotTable[[#This Row],[SC Is Filled]]),"Y","")</f>
        <v/>
      </c>
      <c r="AV298" s="219"/>
      <c r="AW298" s="225"/>
      <c r="AX298" s="220"/>
      <c r="AY298" s="219" t="str">
        <f>IF(SnapshotTable[[#This Row],[Implied Move]]&gt;0, SnapshotTable[[#This Row],[Last Price]]-SnapshotTable[[#This Row],[Implied Move]],"")</f>
        <v/>
      </c>
      <c r="AZ298" s="219" t="str">
        <f>IF(SnapshotTable[[#This Row],[Implied Move]]&gt;0, SnapshotTable[[#This Row],[Last Price]] + SnapshotTable[[#This Row],[Implied Move]],"")</f>
        <v/>
      </c>
      <c r="BA298" s="331">
        <v>1.97</v>
      </c>
      <c r="BB298" s="347"/>
      <c r="BC29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8" s="351"/>
      <c r="BE298" s="5"/>
      <c r="BF298" s="14"/>
      <c r="BG298" s="13"/>
      <c r="BH298" s="13"/>
      <c r="BI298" s="5"/>
      <c r="BJ298" s="136">
        <f>IF(SnapshotTable[[#This Row],[LP Qty]] &gt; 0, SnapshotTable[[#This Row],[LP Qty]] * SnapshotTable[[#This Row],[LP Book Price]] * 100,0)</f>
        <v>0</v>
      </c>
      <c r="BK298" s="136">
        <f>IF(SnapshotTable[[#This Row],[LP Premium]] &gt; 0, SnapshotTable[[#This Row],[LP Qty]] * SnapshotTable[[#This Row],[LP Strike Price]] * 100,0)</f>
        <v>0</v>
      </c>
      <c r="BL298" s="154"/>
      <c r="BM298" s="385" t="str">
        <f>IF(SnapshotTable[[#This Row],[LP Premium]] &gt; 0,SnapshotTable[[#This Row],[LP Exp Date]]-MAX(SnapshotTable[[#This Row],[LP Book Date]], SnapshotTable[[#This Row],[LP Fill Date]]),"")</f>
        <v/>
      </c>
      <c r="BN298" s="385" t="str">
        <f>IF(ISNUMBER( SnapshotTable[[#This Row],[LP Term]]), SnapshotTable[[#This Row],[LP Exp Date]] - MockToday,"")</f>
        <v/>
      </c>
      <c r="BO298" s="163" t="str">
        <f>IF(AND(SnapshotTable[[#This Row],[LP Exp Date]]&gt;0, SnapshotTable[[#This Row],[LP Strike Price]]&gt;0,SnapshotTable[[#This Row],[LP Qty]]&gt;0,SnapshotTable[[#This Row],[LP Book Date]]&gt;0,SnapshotTable[[#This Row],[LP Book Price]]&gt;0,SnapshotTable[[#This Row],[LP Fill Date]]=0),"Y","")</f>
        <v/>
      </c>
      <c r="BP298" s="31" t="str">
        <f>IF(AND(SnapshotTable[[#This Row],[LP No Fill]]&lt;&gt;"Y",SnapshotTable[[#This Row],[LP Contract Value]]&gt;0, SnapshotTable[[#This Row],[LP Qty]]&gt;0), SnapshotTable[[#This Row],[LP Contract Value]]*SnapshotTable[[#This Row],[LP Qty]]*100,"")</f>
        <v/>
      </c>
      <c r="BQ298" s="13"/>
      <c r="BR298" s="5" t="str">
        <f>IF(SnapshotTable[[#This Row],[SP Exp Date]]&lt;&gt;"",TRUNC(SnapshotTable[[#This Row],[Last Price]]),"")</f>
        <v/>
      </c>
      <c r="BS298" s="36"/>
      <c r="BT298" s="147"/>
      <c r="BU298" s="13"/>
      <c r="BV298" s="5"/>
      <c r="BW298" s="419" t="b">
        <f>AND(ISNUMBER(SnapshotTable[[#This Row],[SP Exp Date]]), ISNUMBER(SnapshotTable[[#This Row],[SP Strike Price]]), ISNUMBER(SnapshotTable[[#This Row],[SP Qty]]), ISNUMBER(SnapshotTable[[#This Row],[SP Book Date]]), ISNUMBER(SnapshotTable[[#This Row],[SP Book Price]]))</f>
        <v>0</v>
      </c>
      <c r="BX298" s="419" t="b">
        <f>AND(SnapshotTable[[#This Row],[SP Is Booked]], NOT(ISBLANK(SnapshotTable[[#This Row],[SP Fill Date]])))</f>
        <v>0</v>
      </c>
      <c r="BY298" s="33">
        <f>IF(SnapshotTable[[#This Row],[SP Is Booked]], SnapshotTable[[#This Row],[SP Qty]] * SnapshotTable[[#This Row],[SP Book Price]] * 100, 0)</f>
        <v>0</v>
      </c>
      <c r="BZ298" s="369"/>
      <c r="CA298" s="368">
        <f>SnapshotTable[[#This Row],[LP Qty]]</f>
        <v>0</v>
      </c>
      <c r="CB298" s="4" t="str">
        <f>IF(SnapshotTable[[#This Row],[SP Is Booked]], SnapshotTable[[#This Row],[SP Strike Price]] - SnapshotTable[[#This Row],[SP Book Price]], "")</f>
        <v/>
      </c>
      <c r="CC298" s="19" t="str">
        <f>IF(SnapshotTable[[#This Row],[SP Is Booked]],SnapshotTable[[#This Row],[SP Exp Date]]-MAX(SnapshotTable[[#This Row],[SP Book Date]], SnapshotTable[[#This Row],[SP Fill Date]]),"")</f>
        <v/>
      </c>
      <c r="CD298" s="7" t="str">
        <f>IF(SnapshotTable[[#This Row],[SP Is Booked]], SnapshotTable[[#This Row],[SP Book Price]]/SnapshotTable[[#This Row],[SP Strike Price]], "")</f>
        <v/>
      </c>
      <c r="CE298" s="7" t="str">
        <f>IF(ISNUMBER(SnapshotTable[[#This Row],[SP ROO Term]]),SnapshotTable[[#This Row],[SP ROO Term]]*(365/SnapshotTable[[#This Row],[SP Term]]),"")</f>
        <v/>
      </c>
      <c r="CF298" s="236">
        <f>SnapshotTable[[#This Row],[LP Strike Price]] * SnapshotTable[[#This Row],[LP Qty]] * 100</f>
        <v>0</v>
      </c>
      <c r="CG298" s="31" t="e">
        <f>IF(ISNUMBER(SnapshotTable[[#This Row],[SP Premium]]), (SnapshotTable[[#This Row],[SP Qty]] * SnapshotTable[[#This Row],[SP Strike Price]]* 100) - SnapshotTable[[#This Row],[LP Protection]], 0)</f>
        <v>#VALUE!</v>
      </c>
      <c r="CH298" s="7" t="str">
        <f>IF(ISNUMBER(SnapshotTable[[#This Row],[SP Break Even]]),-1 * (SnapshotTable[[#This Row],[SP Break Even]] - SnapshotTable[[#This Row],[Last Price]]) / SnapshotTable[[#This Row],[Last Price]], "")</f>
        <v/>
      </c>
      <c r="CI298" s="31">
        <f>IF(AND(ISNUMBER((SnapshotTable[[#This Row],[SP Potential Spend]])), SnapshotTable[[#This Row],[SP Strike Price]] &gt; SnapshotTable[[#This Row],[Last Price]], SnapshotTable[[#This Row],[SP Is Filled]]), SnapshotTable[[#This Row],[SP Potential Spend]] -  SnapshotTable[[#This Row],[LP Max Value]], 0)</f>
        <v>0</v>
      </c>
      <c r="CJ298" s="244"/>
      <c r="CK298" s="31" t="str">
        <f>IF(ISNUMBER(SnapshotTable[[#This Row],[SP Potential Spend]]),IF(ISNUMBER(SnapshotTable[[#This Row],[SP POW]]), SnapshotTable[[#This Row],[SP POW]] * SnapshotTable[[#This Row],[SP Potential Spend]], SnapshotTable[[#This Row],[SP Potential Spend]]), "")</f>
        <v/>
      </c>
      <c r="CL298" s="164" t="e">
        <f>IF(NOT(SnapshotTable[[#This Row],[SP Is Filled]]),(SnapshotTable[[#This Row],[SP Qty]] * SnapshotTable[[#This Row],[SP Strike Price]] * 100) - SnapshotTable[[#This Row],[LP Max Value]],"")</f>
        <v>#VALUE!</v>
      </c>
      <c r="CM298" s="31" t="str">
        <f>IF(SnapshotTable[[#This Row],[SP Actual Spend]]&lt;&gt;0, ((SnapshotTable[[#This Row],[SP Strike Price]]-SnapshotTable[[#This Row],[Last Price]]) *(SnapshotTable[[#This Row],[SP Qty]]*100) - SnapshotTable[[#This Row],[SP Premium]]) * - 1, "")</f>
        <v/>
      </c>
      <c r="CN298" s="78"/>
      <c r="CO298" s="369"/>
      <c r="CP298" s="4" t="str">
        <f>IF(SnapshotTable[[#This Row],[SP Is Filled]], btc_max_buyback_amount(SnapshotTable[[#This Row],[SP Fill Date]],SnapshotTable[[#This Row],[SP Exp Date]], SnapshotTable[[#This Row],[SP Book Price]]),"")</f>
        <v/>
      </c>
      <c r="CQ298" s="78"/>
      <c r="CR29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8" s="155" t="str">
        <f>IF(SnapshotTable[[#This Row],[SP Is Filled]], btc_next_cutoff_date(SnapshotTable[[#This Row],[SP Fill Date]],SnapshotTable[[#This Row],[SP Exp Date]]),"")</f>
        <v/>
      </c>
      <c r="CT298" s="235" t="str" cm="1">
        <f t="array" ref="CT298">IF(SnapshotTable[[#This Row],[SP Is Filled]], btc_should_buy_back(SnapshotTable[[#This Row],[SP Fill Date]], SnapshotTable[[#This Row],[SP Exp Date]], SnapshotTable[[#This Row],[SP Book Price]], SnapshotTable[[#This Row],[SP Current Ask]], MockToday, SnapshotTable[[#This Row],[SP Buyback Override]]),"")</f>
        <v/>
      </c>
      <c r="CU298" s="143"/>
      <c r="CV298" s="235"/>
      <c r="CW298" s="378" t="str">
        <f>IF(ISNUMBER( SnapshotTable[[#This Row],[SP Term]]), SnapshotTable[[#This Row],[SP Exp Date]] - MockToday,"")</f>
        <v/>
      </c>
      <c r="CX298" s="31" t="str">
        <f>IF(SnapshotTable[[#This Row],[SP Is Filled]],SnapshotTable[[#This Row],[SP Buyback Price to Use]] * 100 * SnapshotTable[[#This Row],[SP Qty]], "")</f>
        <v/>
      </c>
      <c r="CY298" s="4" t="str">
        <f>IF(ISNUMBER(SnapshotTable[[#This Row],[SP Strike Price]]), SnapshotTable[[#This Row],[SP Strike Price]] * (1 - SP_MaxLoss_StrikePct), "")</f>
        <v/>
      </c>
      <c r="CZ298" s="31" t="str">
        <f>IF(ISNUMBER(SnapshotTable[[#This Row],[SP Strike  Stop Per Share]]),SnapshotTable[[#This Row],[SP Premium]] - ((SnapshotTable[[#This Row],[SP Strike Price]]-SnapshotTable[[#This Row],[SP Strike  Stop Per Share]]) *(SnapshotTable[[#This Row],[SP Qty]] * 100)),"")</f>
        <v/>
      </c>
      <c r="DA298" s="4" t="str">
        <f>IF(AND(ISNUMBER(SnapshotTable[[#This Row],[SP Premium]]),SnapshotTable[[#This Row],[SP Premium]]&gt;0), SnapshotTable[[#This Row],[SP Book Price]] * (1 + SP_MaxLoss_OptionPct), "")</f>
        <v/>
      </c>
      <c r="DB298" s="31" t="str">
        <f>IF(ISNUMBER(SnapshotTable[[#This Row],[SP Option  Stop Contract]]),(SnapshotTable[[#This Row],[SP Option  Stop Contract]] *(SnapshotTable[[#This Row],[SP Qty]] * 100) - SnapshotTable[[#This Row],[SP Premium]]),"")</f>
        <v/>
      </c>
      <c r="DC298" s="4"/>
      <c r="DD298" s="4"/>
      <c r="DE298" s="4" t="str">
        <f>IF(AND(SnapshotTable[[#This Row],[SP Qty]]&gt;0, SnapshotTable[[#This Row],[SP Stop To Use]]&gt;0),SnapshotTable[[#This Row],[SP Premium]] - ( SnapshotTable[[#This Row],[SP Qty]] * SnapshotTable[[#This Row],[SP Stop To Use]] * 100), "")</f>
        <v/>
      </c>
      <c r="DF298" s="31" t="str">
        <f>IF(AND(SnapshotTable[[#This Row],[SP Qty]]&gt;0,SnapshotTable[[#This Row],[SP Current Ask]]&gt;0), SnapshotTable[[#This Row],[SP Qty]] * SnapshotTable[[#This Row],[SP Current Ask]] * -100, "")</f>
        <v/>
      </c>
      <c r="DG298" s="31" t="str">
        <f>IF(ISNUMBER((SnapshotTable[[#This Row],[SP Total Value]])), SnapshotTable[[#This Row],[SP Premium]] + SnapshotTable[[#This Row],[SP Total Value]], "")</f>
        <v/>
      </c>
      <c r="DH298" s="294" t="str">
        <f>IF(ISNUMBER((SnapshotTable[[#This Row],[SP Total Value]])), SnapshotTable[[#This Row],[SP Gain Loss]] / SnapshotTable[[#This Row],[SP Premium]], "")</f>
        <v/>
      </c>
      <c r="DI298" s="406"/>
      <c r="DJ298" s="138"/>
      <c r="DK298" s="148"/>
      <c r="DL298" s="13"/>
      <c r="DM298" s="13"/>
      <c r="DO298" s="31">
        <f>IF(SnapshotTable[[#This Row],[LC Symbol Count]]=1, SnapshotTable[[#This Row],[LC Qty]] * SnapshotTable[[#This Row],[LC Book Price]] * 100, 0)</f>
        <v>0</v>
      </c>
      <c r="DP298" s="163" t="str">
        <f>IF(AND(SnapshotTable[[#This Row],[LC Exp Date]]&gt;0, SnapshotTable[[#This Row],[LC Strike Price]]&gt;0,SnapshotTable[[#This Row],[LC Qty]]&gt;0,SnapshotTable[[#This Row],[LC Book Date]]&gt;0,SnapshotTable[[#This Row],[LC Book Price]]&gt;0,SnapshotTable[[#This Row],[LC Fill Date]]=0),"Y","")</f>
        <v/>
      </c>
      <c r="DQ298" s="386" t="str">
        <f>IF(SnapshotTable[[#This Row],[LC Premium]] &gt; 0,SnapshotTable[[#This Row],[LC Exp Date]]-MAX(SnapshotTable[[#This Row],[LC Book Date]], SnapshotTable[[#This Row],[LC Fill Date]]),"")</f>
        <v/>
      </c>
      <c r="DR298" s="386" t="str">
        <f>IF(ISNUMBER(SnapshotTable[[#This Row],[LC Term]]), SnapshotTable[[#This Row],[LC Exp Date]] - MockToday, "")</f>
        <v/>
      </c>
      <c r="DS298" s="234" t="str">
        <f>IF(SnapshotTable[[#This Row],[LC Premium]]&gt;0,SnapshotTable[[#This Row],[LC Strike Price]] + SnapshotTable[[#This Row],[LC Book Price]],"")</f>
        <v/>
      </c>
      <c r="DU298" s="9" t="str">
        <f>IF(AND(SnapshotTable[[#This Row],[LC Symbol Count]]&gt;0, SnapshotTable[[#This Row],[LC Contract Value]]&gt;0), SnapshotTable[[#This Row],[LC Contract Value]] * SnapshotTable[[#This Row],[LC Qty]] * 100, "")</f>
        <v/>
      </c>
      <c r="DV298" s="9" t="str">
        <f>IF(AND(ISNUMBER(SnapshotTable[[#This Row],[LC Total Value]]), SnapshotTable[[#This Row],[LC Not Filled]]&lt;&gt;"Y"), SnapshotTable[[#This Row],[LC Total Value]]-SnapshotTable[[#This Row],[LC Premium]],"")</f>
        <v/>
      </c>
      <c r="DW298" s="240" t="str">
        <f>IF(ISNUMBER(SnapshotTable[[#This Row],[LC Actual Gain Loss]]), SnapshotTable[[#This Row],[LC Actual Gain Loss]] / SnapshotTable[[#This Row],[LC Premium]],"")</f>
        <v/>
      </c>
      <c r="DX298" s="284" t="str">
        <f>IF(ISNUMBER(SnapshotTable[[#This Row],[LC Book Price]]),SnapshotTable[[#This Row],[LC Book Price]] * 1.5,"")</f>
        <v/>
      </c>
      <c r="DY298" s="265" t="str">
        <f>IF(SnapshotTable[[#This Row],[LC Premium]]&gt;0, SnapshotTable[[#This Row],[LC Next Target]] * SnapshotTable[[#This Row],[LC Qty]] * 100,"")</f>
        <v/>
      </c>
      <c r="DZ298" s="265" t="str">
        <f>IF(ISNUMBER(SnapshotTable[[#This Row],[LC Target Gross]]), SnapshotTable[[#This Row],[LC Target Gross]] - SnapshotTable[[#This Row],[LC Premium]], "")</f>
        <v/>
      </c>
      <c r="EA298" s="305" t="str">
        <f>IF(ISNUMBER(SnapshotTable[[#This Row],[LC Target Gain Loss]]), SnapshotTable[[#This Row],[LC Target Gain Loss]]/SnapshotTable[[#This Row],[LC Premium]], "")</f>
        <v/>
      </c>
      <c r="EB298" s="262"/>
      <c r="EC298" s="283" t="str">
        <f>IF(SnapshotTable[[#This Row],[LC Premium]]&gt;0, SnapshotTable[[#This Row],[LC Book Price]] * (1 - LC_StopLoss_Pct),"")</f>
        <v/>
      </c>
      <c r="ED298" s="284"/>
      <c r="EE298" s="283" t="str">
        <f>IF(ISNUMBER(SnapshotTable[[#This Row],[LC Contract Value]]),IF(ISNUMBER(SnapshotTable[[#This Row],[LC Stop Loss Override]]), SnapshotTable[[#This Row],[LC Stop Loss Override]],SnapshotTable[[#This Row],[LC Stop Loss Calc Target]]),"")</f>
        <v/>
      </c>
      <c r="EF298" s="31" t="str">
        <f>IF(ISNUMBER(SnapshotTable[[#This Row],[LC Stop  To Use]]), (SnapshotTable[[#This Row],[LC Stop  To Use]] * SnapshotTable[[#This Row],[LC Qty]] * 100),"")</f>
        <v/>
      </c>
      <c r="EG298" s="9" t="str">
        <f>IF(ISNUMBER(SnapshotTable[[#This Row],[LC Total Value]]),SnapshotTable[[#This Row],[LC Stop Loss Amount]] - SnapshotTable[[#This Row],[LC Premium]],"")</f>
        <v/>
      </c>
      <c r="EH298" s="9">
        <f>IF(ISNUMBER(SnapshotTable[[#This Row],[LC Premium]]), SnapshotTable[[#This Row],[LC Qty]] * 100 * SnapshotTable[[#This Row],[LC Strike Price]], "")</f>
        <v>0</v>
      </c>
      <c r="EI298" s="240" t="str">
        <f>IF(AND(ISNUMBER(SnapshotTable[[#This Row],[LC Total Value]]),SnapshotTable[[#This Row],[LC Total Value]]&gt;0),SnapshotTable[[#This Row],[LC Stop Gain Loss]]  / SnapshotTable[[#This Row],[LC Premium]],"")</f>
        <v/>
      </c>
      <c r="EJ298" s="35">
        <f>IF(ISNUMBER(SnapshotTable[[#This Row],[Equity Shares]]),TRUNC(SnapshotTable[[#This Row],[Equity Shares]] / 100),0) + SnapshotTable[[#This Row],[LC Qty]]</f>
        <v>0</v>
      </c>
      <c r="EK298" s="147"/>
      <c r="EL298" s="138" t="str">
        <f>IF(SnapshotTable[[#This Row],[SC Exp Date]]&lt;&gt;"",TRUNC(SnapshotTable[[#This Row],[Last Price]]),"")</f>
        <v/>
      </c>
      <c r="EM298" s="148"/>
      <c r="EN298" s="147"/>
      <c r="EO298" s="147"/>
      <c r="EP298" s="138"/>
      <c r="EQ298" s="419" t="b">
        <f>AND(ISNUMBER(SnapshotTable[[#This Row],[SC Exp Date]]), ISNUMBER(SnapshotTable[[#This Row],[SC Strike Price]]), ISNUMBER(SnapshotTable[[#This Row],[SC Qty]]), ISNUMBER(SnapshotTable[[#This Row],[SC Book Date]]), ISNUMBER(SnapshotTable[[#This Row],[SC Book Price]]))</f>
        <v>0</v>
      </c>
      <c r="ER298" s="419" t="b">
        <f>AND(SnapshotTable[[#This Row],[SC Is Booked]], NOT(ISBLANK(SnapshotTable[[#This Row],[SC Fill Date]])))</f>
        <v>0</v>
      </c>
      <c r="ES298" s="370"/>
      <c r="ET298" s="34" t="str">
        <f>IF(AND(ISNUMBER(SnapshotTable[[#This Row],[SC Exp Date]]), ISNUMBER(SnapshotTable[[#This Row],[SC Book Date]])), SnapshotTable[[#This Row],[SC Exp Date]] - MAX(SnapshotTable[[#This Row],[SC Book Date]], SnapshotTable[[#This Row],[SC Fill Date]]) + 1, "")</f>
        <v/>
      </c>
      <c r="EU298" s="34" t="str">
        <f>IF(ISNUMBER(SnapshotTable[[#This Row],[SC Term]]), SnapshotTable[[#This Row],[SC Exp Date]]- MockToday, "")</f>
        <v/>
      </c>
      <c r="EV298" s="31">
        <f>IF(SnapshotTable[[#This Row],[SC Is Booked]], SnapshotTable[[#This Row],[SC Qty]] * SnapshotTable[[#This Row],[SC Book Price]] * 100, 0)</f>
        <v>0</v>
      </c>
      <c r="EW298" s="4" t="str">
        <f>IF(AND(ISNUMBER(SnapshotTable[[#This Row],[Last Price]]), ISNUMBER( SnapshotTable[[#This Row],[SC Book Price]])), SnapshotTable[[#This Row],[Last Price]] - SnapshotTable[[#This Row],[SC Book Price]],"")</f>
        <v/>
      </c>
      <c r="EX298" s="234" t="str">
        <f>IF(SnapshotTable[[#This Row],[SC Is Booked]],IF(SnapshotTable[[#This Row],[SC Intrinsic Value]] &gt; 0, SnapshotTable[[#This Row],[SC Strike Price]], SnapshotTable[[#This Row],[Last Price]]), "")</f>
        <v/>
      </c>
      <c r="EY298" s="4">
        <f>IF(SnapshotTable[[#This Row],[SC Is Booked]], (MinimumPremiumRequired * SnapshotTable[[#This Row],[SC Basis]] * SnapshotTable[[#This Row],[SC Term]]), 0)</f>
        <v>0</v>
      </c>
      <c r="EZ298" s="283"/>
      <c r="FA298" s="218"/>
      <c r="FB298" s="370"/>
      <c r="FC298" s="4">
        <f>IF(SnapshotTable[[#This Row],[SC Is Filled]], btc_max_buyback_amount(SnapshotTable[[#This Row],[SC Fill Date]],SnapshotTable[[#This Row],[SC Exp Date]], SnapshotTable[[#This Row],[SC Book Price]]),0)</f>
        <v>0</v>
      </c>
      <c r="FD298" s="5"/>
      <c r="FE298" s="144" t="str">
        <f>IF(SnapshotTable[[#This Row],[SC Is Filled]], btc_next_cutoff_date(SnapshotTable[[#This Row],[SC Fill Date]],SnapshotTable[[#This Row],[SC Exp Date]]),"")</f>
        <v/>
      </c>
      <c r="FF298" s="4" t="str" cm="1">
        <f t="array" ref="FF298">IF(SnapshotTable[[#This Row],[SC Is Filled]], btc_should_buy_back(SnapshotTable[[#This Row],[SC Fill Date]], SnapshotTable[[#This Row],[SC Exp Date]], SnapshotTable[[#This Row],[SC Book Price]], SnapshotTable[[#This Row],[SC Current Ask]], MockToday, SnapshotTable[[#This Row],[SC Buyback Override]]),"")</f>
        <v/>
      </c>
      <c r="FG298" s="4">
        <f>IF(SnapshotTable[[#This Row],[SC Is Filled]], MAX(0,SnapshotTable[[#This Row],[Last Price]]  - SnapshotTable[[#This Row],[SC Strike Price]]), 0)</f>
        <v>0</v>
      </c>
      <c r="FH298" s="382">
        <f>IF(SnapshotTable[[#This Row],[SC Is Filled]], IF(ISNUMBER(SnapshotTable[[#This Row],[SC Current Ask]]), SnapshotTable[[#This Row],[SC Current Ask]], SnapshotTable[[#This Row],[SC Book Price]]) - SnapshotTable[[#This Row],[SC Intrinsic Value]], 0)</f>
        <v>0</v>
      </c>
      <c r="FI298" s="143"/>
      <c r="FJ298" s="32" t="str">
        <f>IF(SnapshotTable[[#This Row],[SC Is Filled]],100 * SnapshotTable[[#This Row],[SC Qty]] * IF(ISNUMBER(SnapshotTable[[#This Row],[SC Buyback Override]]), SnapshotTable[[#This Row],[SC Buyback Override]], SnapshotTable[[#This Row],[SC Current Ask]]), "")</f>
        <v/>
      </c>
      <c r="FK298" s="250" t="str">
        <f>IF(SnapshotTable[[#This Row],[SC Time Val]]&gt;0, SnapshotTable[[#This Row],[SC Time Val]] / SnapshotTable[[#This Row],[Last Price]],"")</f>
        <v/>
      </c>
      <c r="FL298" s="302" t="str">
        <f>IF(SnapshotTable[[#This Row],[SC Is Booked]], ((SnapshotTable[[#This Row],[Last Price]] -SnapshotTable[[#This Row],[SC Strike Price]]) / SnapshotTable[[#This Row],[Last Price]]) * -1, "")</f>
        <v/>
      </c>
      <c r="FM298" s="157" t="str">
        <f>IF(SnapshotTable[[#This Row],[SC Is Booked]],  (SnapshotTable[[#This Row],[SC Qty]] * 100 * SnapshotTable[[#This Row],[SC Strike Price]]) - SnapshotTable[[#This Row],[SC Current Ask]], "")</f>
        <v/>
      </c>
      <c r="FN29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8" s="31" t="str">
        <f>IF(AND(ISNUMBER(SnapshotTable[[#This Row],[SC Exercise Gross]]), ISNUMBER(SnapshotTable[[#This Row],[Equity Basis Per Share]] )), SnapshotTable[[#This Row],[SC Exercise Gross]] - SnapshotTable[[#This Row],[Equity Basis Total]] +  SnapshotTable[[#This Row],[SC Premium]], "")</f>
        <v/>
      </c>
      <c r="FP298" s="5" t="str">
        <f>IF(ISNUMBER(SnapshotTable[[#This Row],[SC Exercise Gross]]), (SnapshotTable[[#This Row],[SC Exercise Gross]]) / (SnapshotTable[[#This Row],[SC Qty]] * 100), "")</f>
        <v/>
      </c>
      <c r="FQ298" s="27" t="str">
        <f>IF(SnapshotTable[[#This Row],[SC Is Booked]],SnapshotTable[[#This Row],[SC Time Val]] /SnapshotTable[[#This Row],[SC Basis]], "")</f>
        <v/>
      </c>
      <c r="FR298" s="27" t="str" cm="1">
        <f t="array" ref="FR298">IF(AND(ISNUMBER(SnapshotTable[[#This Row],[SC Term]]),ISNUMBER(SnapshotTable[[#This Row],[SC Simple ROO]])), EllmanAnnualize(SnapshotTable[[#This Row],[SC DTE]], SnapshotTable[[#This Row],[SC Simple ROO]] ),"")</f>
        <v/>
      </c>
      <c r="FS298" s="4" t="e">
        <f>IF(SnapshotTable[[#This Row],[SC Strike Price]] &gt; SnapshotTable[[#This Row],[Last Price]], SnapshotTable[[#This Row],[SC Strike Price]] - SnapshotTable[[#This Row],[Last Price]],0)</f>
        <v>#VALUE!</v>
      </c>
      <c r="FT298" s="27" t="e">
        <f>IF(AND(ISNUMBER(SnapshotTable[[#This Row],[SC Upside Potential]]), SnapshotTable[[#This Row],[SC Upside Potential]] &gt; 0),(SnapshotTable[[#This Row],[SC Upside Potential]]/ SnapshotTable[[#This Row],[ACB]]),"")</f>
        <v>#VALUE!</v>
      </c>
      <c r="FU298" s="333" t="str">
        <f>IF(SnapshotTable[[#This Row],[SC Intrinsic Value]] &gt; 0,SnapshotTable[[#This Row],[SC Intrinsic Value]],"")</f>
        <v/>
      </c>
      <c r="FV298" s="27" t="str">
        <f>IF(AND( ISNUMBER( SnapshotTable[[#This Row],[ACB]]),ISNUMBER(SnapshotTable[[#This Row],[SC Downside Protect]])),SnapshotTable[[#This Row],[SC Downside Protect]] / SnapshotTable[[#This Row],[ACB]],"")</f>
        <v/>
      </c>
      <c r="FW298" s="236" t="str">
        <f>IF(AND(ISNUMBER(SnapshotTable[[#This Row],[SC Simple ROO]]),SnapshotTable[[#This Row],[SC Simple ROO]] &gt; 0), SnapshotTable[[#This Row],[SC Premium]] + (SnapshotTable[[#This Row],[SC Qty]] * SnapshotTable[[#This Row],[SC Upside Potential]]), "")</f>
        <v/>
      </c>
      <c r="FX298" s="302" t="str" cm="1">
        <f t="array" ref="FX298">IF(ISNUMBER(SnapshotTable[[#This Row],[SC Max Dollars]]), annualize(SnapshotTable[[#This Row],[SC Term]],(SnapshotTable[[#This Row],[SC Max Dollars]]/SnapshotTable[[#This Row],[SC Basis]])),"")</f>
        <v/>
      </c>
      <c r="FY298" s="236" t="str">
        <f>IF(AND(SnapshotTable[[#This Row],[SC Qty]]&gt;0,SnapshotTable[[#This Row],[SC Current Ask]]&gt;0), SnapshotTable[[#This Row],[SC Qty]] * SnapshotTable[[#This Row],[SC Current Ask]] * -100, "")</f>
        <v/>
      </c>
      <c r="FZ298" s="31" t="str">
        <f>IF(ISNUMBER((SnapshotTable[[#This Row],[SC Current Value]])), SnapshotTable[[#This Row],[SC Premium]] + SnapshotTable[[#This Row],[SC Current Value]], "")</f>
        <v/>
      </c>
      <c r="GA298" s="294" t="str">
        <f>IFERROR( IF(ISNUMBER((SnapshotTable[[#This Row],[SC Current Value]])), SnapshotTable[[#This Row],[SC Gain Loss]] / SnapshotTable[[#This Row],[SC Premium]], ""), "")</f>
        <v/>
      </c>
      <c r="GB298" s="42">
        <f>SnapshotTable[[#This Row],[Equity Shares]] * SaleSharesToConsiderPercentage</f>
        <v>0</v>
      </c>
      <c r="GC298" s="40" t="e">
        <f>SnapshotTable[[#This Row],[Long Term Target]] * SellingPriceToConsiderBasedOnTargetPercentage</f>
        <v>#VALUE!</v>
      </c>
      <c r="GD298" s="40">
        <f>SnapshotTable[[#This Row],[Last Price]] * (1+ SellingPriceToConsiderBasedOnTargetPercentage)</f>
        <v>162.708</v>
      </c>
      <c r="GE298" s="41"/>
      <c r="GF298" s="40"/>
      <c r="GG298" s="31">
        <f>SnapshotTable[[#This Row],[Booked Sale Shares]] * SnapshotTable[[#This Row],[Booked Sale Price]]</f>
        <v>0</v>
      </c>
      <c r="GH298" s="31" t="str">
        <f>IF(SnapshotTable[[#This Row],[Equity Basis Total]] &gt; 0, SnapshotTable[[#This Row],[Equity Basis Per Share]] * SnapshotTable[[#This Row],[Booked Sale Shares]], "")</f>
        <v/>
      </c>
      <c r="GI298" s="31">
        <f>IF(SnapshotTable[[#This Row],[Sale Proceeds]]&gt;0, SnapshotTable[[#This Row],[Sale Proceeds]] - SnapshotTable[[#This Row],[Sale Basis]], 0)</f>
        <v>0</v>
      </c>
      <c r="GJ298" s="27" t="str">
        <f>IF(SnapshotTable[[#This Row],[Sale G/L]]&gt;0, SnapshotTable[[#This Row],[Sale G/L]] / SnapshotTable[[#This Row],[Sale Basis]], IF(ISNUMBER(SnapshotTable[[#This Row],[SC Exercise P&amp;L (TAX)]]), SnapshotTable[[#This Row],[SC Exercise P&amp;L (TAX)]] / SnapshotTable[[#This Row],[SC Basis]], ""))</f>
        <v/>
      </c>
      <c r="GK298" s="27" t="s">
        <v>763</v>
      </c>
      <c r="GL298" s="43" t="str">
        <f>IF(AND(SnapshotTable[[#This Row],[LP Exp Date]]&gt;0,SnapshotTable[[#This Row],[LP Strike Price]]&gt;0), [1]!ToOptionSymbol(SnapshotTable[[#This Row],[Symbol]], SnapshotTable[[#This Row],[LP Strike Price]],SnapshotTable[[#This Row],[LP Exp Date]],1), "")</f>
        <v/>
      </c>
      <c r="GM298" s="30" t="str">
        <f>IF(LEN(SnapshotTable[[#This Row],[LP Symbol]])&gt;0, 1, "")</f>
        <v/>
      </c>
      <c r="GN298" s="43" t="str">
        <f>IF(AND(SnapshotTable[[#This Row],[SP Exp Date]]&gt;0,SnapshotTable[[#This Row],[SP Strike Price]]&gt;0), [1]!ToOptionSymbol(SnapshotTable[[#This Row],[Symbol]], SnapshotTable[[#This Row],[SP Strike Price]],SnapshotTable[[#This Row],[SP Exp Date]],1), "")</f>
        <v/>
      </c>
      <c r="GO298" s="30" t="str">
        <f>IF(LEN(SnapshotTable[[#This Row],[SP Symbol]])&gt;0, 1, "")</f>
        <v/>
      </c>
      <c r="GP298" s="43" t="str">
        <f>IF(AND(SnapshotTable[[#This Row],[LC Exp Date]]&gt;0,SnapshotTable[[#This Row],[LC Strike Price]]&gt;0), [1]!ToOptionSymbol(SnapshotTable[[#This Row],[Symbol]], SnapshotTable[[#This Row],[LC Strike Price]],SnapshotTable[[#This Row],[LC Exp Date]],0), "")</f>
        <v/>
      </c>
      <c r="GQ298" s="30" t="str">
        <f>IF(LEN(SnapshotTable[[#This Row],[LC Symbol]])&gt;0, 1, "")</f>
        <v/>
      </c>
      <c r="GR298" s="43" t="str">
        <f>IF(AND(SnapshotTable[[#This Row],[SC Exp Date]]&gt;0,SnapshotTable[[#This Row],[SC Strike Price]]&gt;0), [1]!ToOptionSymbol(SnapshotTable[[#This Row],[Symbol]], SnapshotTable[[#This Row],[SC Strike Price]],SnapshotTable[[#This Row],[SC Exp Date]],0), "")</f>
        <v/>
      </c>
      <c r="GS298" s="30" t="str">
        <f>IF(LEN(SnapshotTable[[#This Row],[SC Symbol]])&gt;0, 1, "")</f>
        <v/>
      </c>
      <c r="GT298" s="29" t="str">
        <f>IF(COUNT(SnapshotTable[[#This Row],[LP Symbol Count]],SnapshotTable[[#This Row],[SP Symbol Count]],SnapshotTable[[#This Row],[LC Symbol Count]],SnapshotTable[[#This Row],[SC Symbol Count]])&gt;0, "Y", "")</f>
        <v/>
      </c>
      <c r="GU29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8" s="231" t="e">
        <f>MAX(SnapshotTable[[#This Row],[Equity Basis Total]],SnapshotTable[[#This Row],[Equity Value]]) + (SnapshotTable[[#This Row],[SP Potential Spend]]- SnapshotTable[[#This Row],[SP Premium]] + SnapshotTable[[#This Row],[LP Premium]])+ (SnapshotTable[[#This Row],[LC Premium]] - SnapshotTable[[#This Row],[SC Premium]])</f>
        <v>#VALUE!</v>
      </c>
      <c r="GW298" s="139" t="e">
        <f>IF(AND(SnapshotTable[[#This Row],[Exposure]] &lt;&gt; 0),SnapshotTable[[#This Row],[Exposure]] / SnapshotTable[[#Totals],[Exposure]], "")</f>
        <v>#VALUE!</v>
      </c>
      <c r="HK298" s="1"/>
      <c r="HL298" s="1"/>
      <c r="HM298" s="1"/>
      <c r="HN298" s="1"/>
      <c r="HO298" s="1"/>
      <c r="HP298" s="1"/>
    </row>
    <row r="299" spans="2:224" ht="12.75" hidden="1" customHeight="1" x14ac:dyDescent="0.25">
      <c r="B299" s="12" t="s">
        <v>500</v>
      </c>
      <c r="C299" s="422">
        <v>8.7799999999999994</v>
      </c>
      <c r="D299" s="208"/>
      <c r="E299" s="39">
        <f>SnapshotTable[[#This Row],[Last Price]]*(1 -CrashDiscount)</f>
        <v>7.4629999999999992</v>
      </c>
      <c r="F299" s="26" t="s">
        <v>94</v>
      </c>
      <c r="G299" s="26" t="s">
        <v>9</v>
      </c>
      <c r="H299" s="149"/>
      <c r="I299" s="194">
        <v>44788.670138888891</v>
      </c>
      <c r="J299" s="195">
        <v>44788.670138888891</v>
      </c>
      <c r="K299" s="196"/>
      <c r="L299" s="326"/>
      <c r="M299" s="140"/>
      <c r="N299" s="140"/>
      <c r="O299" s="140"/>
      <c r="P299" s="22"/>
      <c r="Q299" s="25"/>
      <c r="R299" s="4" t="str">
        <f>IF(SnapshotTable[[#This Row],[Equity Basis Total]] &gt; 0, SnapshotTable[[#This Row],[Equity Basis Total]] / SnapshotTable[[#This Row],[Equity Shares]], "")</f>
        <v/>
      </c>
      <c r="S299" s="269">
        <f>SnapshotTable[[#This Row],[Last Price]] * SnapshotTable[[#This Row],[Equity Shares]]</f>
        <v>0</v>
      </c>
      <c r="T299" s="269">
        <f>SnapshotTable[[#This Row],[Equity Value]] - SnapshotTable[[#This Row],[Equity Basis Total]]</f>
        <v>0</v>
      </c>
      <c r="U299" s="270" t="str">
        <f>IF(SnapshotTable[[#This Row],[Equity Basis Total]] &gt; 0, SnapshotTable[[#This Row],[Equity G/L]] / SnapshotTable[[#This Row],[Equity Basis Total]], "")</f>
        <v/>
      </c>
      <c r="V299" s="268"/>
      <c r="W299" s="268"/>
      <c r="X299" s="4" t="str">
        <f>IF(AND(ISNUMBER(SnapshotTable[[#This Row],[Equity Basis Per Share]]),ISNUMBER(SnapshotTable[[#This Row],[Equity Target]])),SnapshotTable[[#This Row],[Equity Target]]-SnapshotTable[[#This Row],[Equity Basis Per Share]],"")</f>
        <v/>
      </c>
      <c r="Y299" s="4" t="str">
        <f>IF(AND(ISNUMBER(SnapshotTable[[#This Row],[Equity Basis Per Share]]),ISNUMBER(SnapshotTable[[#This Row],[Equity Stop Loss]])),SnapshotTable[[#This Row],[Equity Stop Loss]]-SnapshotTable[[#This Row],[Equity Basis Per Share]],"")</f>
        <v/>
      </c>
      <c r="Z299" s="275" t="str">
        <f>IFERROR( TEXT(SnapshotTable[[#This Row],[Equity Max Gain Per Share]] /ABS( SnapshotTable[[#This Row],[Equity Max Loss Per Share]]),"0.0 " ) &amp; " : 1", "")</f>
        <v/>
      </c>
      <c r="AA299" s="31" t="str">
        <f>IF(ISNUMBER(SnapshotTable[[#This Row],[Equity Max Gain Per Share]]),SnapshotTable[[#This Row],[Equity Max Gain Per Share]] * SnapshotTable[[#This Row],[Equity Shares]],"")</f>
        <v/>
      </c>
      <c r="AB299" s="31" t="str">
        <f>IF(ISNUMBER(SnapshotTable[[#This Row],[Equity Max Loss Per Share]]),SnapshotTable[[#This Row],[Equity Max Loss Per Share]] * SnapshotTable[[#This Row],[Equity Shares]],"")</f>
        <v/>
      </c>
      <c r="AC299" s="150"/>
      <c r="AD299" s="151"/>
      <c r="AE299" s="31">
        <f>(SnapshotTable[[#This Row],[Annual Dividend Per Share]] / 4) * SnapshotTable[[#This Row],[Equity Shares]]</f>
        <v>0</v>
      </c>
      <c r="AF299" s="31">
        <f>SnapshotTable[[#This Row],[Quarterly Div $]] * 4</f>
        <v>0</v>
      </c>
      <c r="AG299" s="7">
        <f>IF(SnapshotTable[[#This Row],[Annual Dividend Per Share]]&gt;0, SnapshotTable[[#This Row],[Annual Dividend Per Share]]  / SnapshotTable[[#This Row],[Last Price]], 0)</f>
        <v>0</v>
      </c>
      <c r="AH299" s="151"/>
      <c r="AI299" s="5"/>
      <c r="AJ299" s="138">
        <v>99.79</v>
      </c>
      <c r="AK299" s="152" t="str">
        <f>IF(ISNUMBER( SnapshotTable[[#This Row],[EBF Target]]),(SnapshotTable[[#This Row],[EBF Target]] - SnapshotTable[[#This Row],[Last Price]]) / SnapshotTable[[#This Row],[Last Price]], "")</f>
        <v/>
      </c>
      <c r="AL299" s="152" t="str">
        <f>IF(AND(SnapshotTable[[#This Row],[Equity Basis Total]] &gt; 0,ISNUMBER( SnapshotTable[[#This Row],[Long Term Target]])), SnapshotTable[[#This Row],[From Basis $]] / SnapshotTable[[#This Row],[Equity Basis Total]], "")</f>
        <v/>
      </c>
      <c r="AM299" s="9">
        <f>IF( AND(SnapshotTable[[#This Row],[Equity Shares]] &gt;0,ISNUMBER( SnapshotTable[[#This Row],[Long Term Target]])),(SnapshotTable[[#This Row],[Equity Shares]] * SnapshotTable[[#This Row],[Long Term Target]]) - SnapshotTable[[#This Row],[Equity Basis Total]],0)</f>
        <v>0</v>
      </c>
      <c r="AN299" s="9">
        <f>IF( AND(SnapshotTable[[#This Row],[Equity Shares]] &gt;0,ISNUMBER( SnapshotTable[[#This Row],[Long Term Target]])),(SnapshotTable[[#This Row],[Equity Shares]]*SnapshotTable[[#This Row],[Long Term Target]]) - SnapshotTable[[#This Row],[Equity Value]],0)</f>
        <v>0</v>
      </c>
      <c r="AO299" s="152">
        <f>IF(AND(ISNUMBER( SnapshotTable[[#This Row],[Long Term Target]]), ISNUMBER(SnapshotTable[[#This Row],[Last Price]])),(SnapshotTable[[#This Row],[Long Term Target]] - SnapshotTable[[#This Row],[Last Price]]) / SnapshotTable[[#This Row],[Last Price]], "")</f>
        <v>10.365603644646926</v>
      </c>
      <c r="AP299" s="5"/>
      <c r="AQ299" s="38"/>
      <c r="AR299" s="5"/>
      <c r="AS299" s="38"/>
      <c r="AT299" s="146"/>
      <c r="AU299" s="187" t="str">
        <f>IF(OR(SnapshotTable[[#This Row],[LP No Fill]]="Y",SnapshotTable[[#This Row],[SP Is Filled]],SnapshotTable[[#This Row],[LC Not Filled]]="Y",SnapshotTable[[#This Row],[SC Is Filled]]),"Y","")</f>
        <v/>
      </c>
      <c r="AV299" s="219"/>
      <c r="AW299" s="225"/>
      <c r="AX299" s="220"/>
      <c r="AY299" s="219" t="str">
        <f>IF(SnapshotTable[[#This Row],[Implied Move]]&gt;0, SnapshotTable[[#This Row],[Last Price]]-SnapshotTable[[#This Row],[Implied Move]],"")</f>
        <v/>
      </c>
      <c r="AZ299" s="219" t="str">
        <f>IF(SnapshotTable[[#This Row],[Implied Move]]&gt;0, SnapshotTable[[#This Row],[Last Price]] + SnapshotTable[[#This Row],[Implied Move]],"")</f>
        <v/>
      </c>
      <c r="BA299" s="331"/>
      <c r="BB299" s="347"/>
      <c r="BC29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9" s="351"/>
      <c r="BE299" s="5"/>
      <c r="BF299" s="14"/>
      <c r="BG299" s="13"/>
      <c r="BH299" s="13"/>
      <c r="BI299" s="5"/>
      <c r="BJ299" s="136">
        <f>IF(SnapshotTable[[#This Row],[LP Qty]] &gt; 0, SnapshotTable[[#This Row],[LP Qty]] * SnapshotTable[[#This Row],[LP Book Price]] * 100,0)</f>
        <v>0</v>
      </c>
      <c r="BK299" s="136">
        <f>IF(SnapshotTable[[#This Row],[LP Premium]] &gt; 0, SnapshotTable[[#This Row],[LP Qty]] * SnapshotTable[[#This Row],[LP Strike Price]] * 100,0)</f>
        <v>0</v>
      </c>
      <c r="BL299" s="154"/>
      <c r="BM299" s="385" t="str">
        <f>IF(SnapshotTable[[#This Row],[LP Premium]] &gt; 0,SnapshotTable[[#This Row],[LP Exp Date]]-MAX(SnapshotTable[[#This Row],[LP Book Date]], SnapshotTable[[#This Row],[LP Fill Date]]),"")</f>
        <v/>
      </c>
      <c r="BN299" s="385" t="str">
        <f>IF(ISNUMBER( SnapshotTable[[#This Row],[LP Term]]), SnapshotTable[[#This Row],[LP Exp Date]] - MockToday,"")</f>
        <v/>
      </c>
      <c r="BO299" s="163" t="str">
        <f>IF(AND(SnapshotTable[[#This Row],[LP Exp Date]]&gt;0, SnapshotTable[[#This Row],[LP Strike Price]]&gt;0,SnapshotTable[[#This Row],[LP Qty]]&gt;0,SnapshotTable[[#This Row],[LP Book Date]]&gt;0,SnapshotTable[[#This Row],[LP Book Price]]&gt;0,SnapshotTable[[#This Row],[LP Fill Date]]=0),"Y","")</f>
        <v/>
      </c>
      <c r="BP299" s="31" t="str">
        <f>IF(AND(SnapshotTable[[#This Row],[LP No Fill]]&lt;&gt;"Y",SnapshotTable[[#This Row],[LP Contract Value]]&gt;0, SnapshotTable[[#This Row],[LP Qty]]&gt;0), SnapshotTable[[#This Row],[LP Contract Value]]*SnapshotTable[[#This Row],[LP Qty]]*100,"")</f>
        <v/>
      </c>
      <c r="BQ299" s="13"/>
      <c r="BR299" s="5" t="str">
        <f>IF(SnapshotTable[[#This Row],[SP Exp Date]]&lt;&gt;"",TRUNC(SnapshotTable[[#This Row],[Last Price]]),"")</f>
        <v/>
      </c>
      <c r="BS299" s="36"/>
      <c r="BT299" s="147"/>
      <c r="BU299" s="13"/>
      <c r="BV299" s="5"/>
      <c r="BW299" s="419" t="b">
        <f>AND(ISNUMBER(SnapshotTable[[#This Row],[SP Exp Date]]), ISNUMBER(SnapshotTable[[#This Row],[SP Strike Price]]), ISNUMBER(SnapshotTable[[#This Row],[SP Qty]]), ISNUMBER(SnapshotTable[[#This Row],[SP Book Date]]), ISNUMBER(SnapshotTable[[#This Row],[SP Book Price]]))</f>
        <v>0</v>
      </c>
      <c r="BX299" s="419" t="b">
        <f>AND(SnapshotTable[[#This Row],[SP Is Booked]], NOT(ISBLANK(SnapshotTable[[#This Row],[SP Fill Date]])))</f>
        <v>0</v>
      </c>
      <c r="BY299" s="33">
        <f>IF(SnapshotTable[[#This Row],[SP Is Booked]], SnapshotTable[[#This Row],[SP Qty]] * SnapshotTable[[#This Row],[SP Book Price]] * 100, 0)</f>
        <v>0</v>
      </c>
      <c r="BZ299" s="369"/>
      <c r="CA299" s="368">
        <f>SnapshotTable[[#This Row],[LP Qty]]</f>
        <v>0</v>
      </c>
      <c r="CB299" s="4" t="str">
        <f>IF(SnapshotTable[[#This Row],[SP Is Booked]], SnapshotTable[[#This Row],[SP Strike Price]] - SnapshotTable[[#This Row],[SP Book Price]], "")</f>
        <v/>
      </c>
      <c r="CC299" s="19" t="str">
        <f>IF(SnapshotTable[[#This Row],[SP Is Booked]],SnapshotTable[[#This Row],[SP Exp Date]]-MAX(SnapshotTable[[#This Row],[SP Book Date]], SnapshotTable[[#This Row],[SP Fill Date]]),"")</f>
        <v/>
      </c>
      <c r="CD299" s="7" t="str">
        <f>IF(SnapshotTable[[#This Row],[SP Is Booked]], SnapshotTable[[#This Row],[SP Book Price]]/SnapshotTable[[#This Row],[SP Strike Price]], "")</f>
        <v/>
      </c>
      <c r="CE299" s="7" t="str">
        <f>IF(ISNUMBER(SnapshotTable[[#This Row],[SP ROO Term]]),SnapshotTable[[#This Row],[SP ROO Term]]*(365/SnapshotTable[[#This Row],[SP Term]]),"")</f>
        <v/>
      </c>
      <c r="CF299" s="236">
        <f>SnapshotTable[[#This Row],[LP Strike Price]] * SnapshotTable[[#This Row],[LP Qty]] * 100</f>
        <v>0</v>
      </c>
      <c r="CG299" s="31" t="e">
        <f>IF(ISNUMBER(SnapshotTable[[#This Row],[SP Premium]]), (SnapshotTable[[#This Row],[SP Qty]] * SnapshotTable[[#This Row],[SP Strike Price]]* 100) - SnapshotTable[[#This Row],[LP Protection]], 0)</f>
        <v>#VALUE!</v>
      </c>
      <c r="CH299" s="7" t="str">
        <f>IF(ISNUMBER(SnapshotTable[[#This Row],[SP Break Even]]),-1 * (SnapshotTable[[#This Row],[SP Break Even]] - SnapshotTable[[#This Row],[Last Price]]) / SnapshotTable[[#This Row],[Last Price]], "")</f>
        <v/>
      </c>
      <c r="CI299" s="31">
        <f>IF(AND(ISNUMBER((SnapshotTable[[#This Row],[SP Potential Spend]])), SnapshotTable[[#This Row],[SP Strike Price]] &gt; SnapshotTable[[#This Row],[Last Price]], SnapshotTable[[#This Row],[SP Is Filled]]), SnapshotTable[[#This Row],[SP Potential Spend]] -  SnapshotTable[[#This Row],[LP Max Value]], 0)</f>
        <v>0</v>
      </c>
      <c r="CJ299" s="244"/>
      <c r="CK299" s="31" t="str">
        <f>IF(ISNUMBER(SnapshotTable[[#This Row],[SP Potential Spend]]),IF(ISNUMBER(SnapshotTable[[#This Row],[SP POW]]), SnapshotTable[[#This Row],[SP POW]] * SnapshotTable[[#This Row],[SP Potential Spend]], SnapshotTable[[#This Row],[SP Potential Spend]]), "")</f>
        <v/>
      </c>
      <c r="CL299" s="164" t="e">
        <f>IF(NOT(SnapshotTable[[#This Row],[SP Is Filled]]),(SnapshotTable[[#This Row],[SP Qty]] * SnapshotTable[[#This Row],[SP Strike Price]] * 100) - SnapshotTable[[#This Row],[LP Max Value]],"")</f>
        <v>#VALUE!</v>
      </c>
      <c r="CM299" s="31" t="str">
        <f>IF(SnapshotTable[[#This Row],[SP Actual Spend]]&lt;&gt;0, ((SnapshotTable[[#This Row],[SP Strike Price]]-SnapshotTable[[#This Row],[Last Price]]) *(SnapshotTable[[#This Row],[SP Qty]]*100) - SnapshotTable[[#This Row],[SP Premium]]) * - 1, "")</f>
        <v/>
      </c>
      <c r="CN299" s="78"/>
      <c r="CO299" s="369"/>
      <c r="CP299" s="4" t="str">
        <f>IF(SnapshotTable[[#This Row],[SP Is Filled]], btc_max_buyback_amount(SnapshotTable[[#This Row],[SP Fill Date]],SnapshotTable[[#This Row],[SP Exp Date]], SnapshotTable[[#This Row],[SP Book Price]]),"")</f>
        <v/>
      </c>
      <c r="CQ299" s="78"/>
      <c r="CR29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9" s="155" t="str">
        <f>IF(SnapshotTable[[#This Row],[SP Is Filled]], btc_next_cutoff_date(SnapshotTable[[#This Row],[SP Fill Date]],SnapshotTable[[#This Row],[SP Exp Date]]),"")</f>
        <v/>
      </c>
      <c r="CT299" s="235" t="str" cm="1">
        <f t="array" ref="CT299">IF(SnapshotTable[[#This Row],[SP Is Filled]], btc_should_buy_back(SnapshotTable[[#This Row],[SP Fill Date]], SnapshotTable[[#This Row],[SP Exp Date]], SnapshotTable[[#This Row],[SP Book Price]], SnapshotTable[[#This Row],[SP Current Ask]], MockToday, SnapshotTable[[#This Row],[SP Buyback Override]]),"")</f>
        <v/>
      </c>
      <c r="CU299" s="143"/>
      <c r="CV299" s="235"/>
      <c r="CW299" s="378" t="str">
        <f>IF(ISNUMBER( SnapshotTable[[#This Row],[SP Term]]), SnapshotTable[[#This Row],[SP Exp Date]] - MockToday,"")</f>
        <v/>
      </c>
      <c r="CX299" s="31" t="str">
        <f>IF(SnapshotTable[[#This Row],[SP Is Filled]],SnapshotTable[[#This Row],[SP Buyback Price to Use]] * 100 * SnapshotTable[[#This Row],[SP Qty]], "")</f>
        <v/>
      </c>
      <c r="CY299" s="4" t="str">
        <f>IF(ISNUMBER(SnapshotTable[[#This Row],[SP Strike Price]]), SnapshotTable[[#This Row],[SP Strike Price]] * (1 - SP_MaxLoss_StrikePct), "")</f>
        <v/>
      </c>
      <c r="CZ299" s="31" t="str">
        <f>IF(ISNUMBER(SnapshotTable[[#This Row],[SP Strike  Stop Per Share]]),SnapshotTable[[#This Row],[SP Premium]] - ((SnapshotTable[[#This Row],[SP Strike Price]]-SnapshotTable[[#This Row],[SP Strike  Stop Per Share]]) *(SnapshotTable[[#This Row],[SP Qty]] * 100)),"")</f>
        <v/>
      </c>
      <c r="DA299" s="4" t="str">
        <f>IF(AND(ISNUMBER(SnapshotTable[[#This Row],[SP Premium]]),SnapshotTable[[#This Row],[SP Premium]]&gt;0), SnapshotTable[[#This Row],[SP Book Price]] * (1 + SP_MaxLoss_OptionPct), "")</f>
        <v/>
      </c>
      <c r="DB299" s="31" t="str">
        <f>IF(ISNUMBER(SnapshotTable[[#This Row],[SP Option  Stop Contract]]),(SnapshotTable[[#This Row],[SP Option  Stop Contract]] *(SnapshotTable[[#This Row],[SP Qty]] * 100) - SnapshotTable[[#This Row],[SP Premium]]),"")</f>
        <v/>
      </c>
      <c r="DC299" s="4"/>
      <c r="DD299" s="4"/>
      <c r="DE299" s="4" t="str">
        <f>IF(AND(SnapshotTable[[#This Row],[SP Qty]]&gt;0, SnapshotTable[[#This Row],[SP Stop To Use]]&gt;0),SnapshotTable[[#This Row],[SP Premium]] - ( SnapshotTable[[#This Row],[SP Qty]] * SnapshotTable[[#This Row],[SP Stop To Use]] * 100), "")</f>
        <v/>
      </c>
      <c r="DF299" s="31" t="str">
        <f>IF(AND(SnapshotTable[[#This Row],[SP Qty]]&gt;0,SnapshotTable[[#This Row],[SP Current Ask]]&gt;0), SnapshotTable[[#This Row],[SP Qty]] * SnapshotTable[[#This Row],[SP Current Ask]] * -100, "")</f>
        <v/>
      </c>
      <c r="DG299" s="31" t="str">
        <f>IF(ISNUMBER((SnapshotTable[[#This Row],[SP Total Value]])), SnapshotTable[[#This Row],[SP Premium]] + SnapshotTable[[#This Row],[SP Total Value]], "")</f>
        <v/>
      </c>
      <c r="DH299" s="294" t="str">
        <f>IF(ISNUMBER((SnapshotTable[[#This Row],[SP Total Value]])), SnapshotTable[[#This Row],[SP Gain Loss]] / SnapshotTable[[#This Row],[SP Premium]], "")</f>
        <v/>
      </c>
      <c r="DI299" s="406"/>
      <c r="DJ299" s="138"/>
      <c r="DK299" s="148"/>
      <c r="DL299" s="13"/>
      <c r="DM299" s="13"/>
      <c r="DO299" s="31">
        <f>IF(SnapshotTable[[#This Row],[LC Symbol Count]]=1, SnapshotTable[[#This Row],[LC Qty]] * SnapshotTable[[#This Row],[LC Book Price]] * 100, 0)</f>
        <v>0</v>
      </c>
      <c r="DP299" s="163" t="str">
        <f>IF(AND(SnapshotTable[[#This Row],[LC Exp Date]]&gt;0, SnapshotTable[[#This Row],[LC Strike Price]]&gt;0,SnapshotTable[[#This Row],[LC Qty]]&gt;0,SnapshotTable[[#This Row],[LC Book Date]]&gt;0,SnapshotTable[[#This Row],[LC Book Price]]&gt;0,SnapshotTable[[#This Row],[LC Fill Date]]=0),"Y","")</f>
        <v/>
      </c>
      <c r="DQ299" s="386" t="str">
        <f>IF(SnapshotTable[[#This Row],[LC Premium]] &gt; 0,SnapshotTable[[#This Row],[LC Exp Date]]-MAX(SnapshotTable[[#This Row],[LC Book Date]], SnapshotTable[[#This Row],[LC Fill Date]]),"")</f>
        <v/>
      </c>
      <c r="DR299" s="386" t="str">
        <f>IF(ISNUMBER(SnapshotTable[[#This Row],[LC Term]]), SnapshotTable[[#This Row],[LC Exp Date]] - MockToday, "")</f>
        <v/>
      </c>
      <c r="DS299" s="234" t="str">
        <f>IF(SnapshotTable[[#This Row],[LC Premium]]&gt;0,SnapshotTable[[#This Row],[LC Strike Price]] + SnapshotTable[[#This Row],[LC Book Price]],"")</f>
        <v/>
      </c>
      <c r="DU299" s="9" t="str">
        <f>IF(AND(SnapshotTable[[#This Row],[LC Symbol Count]]&gt;0, SnapshotTable[[#This Row],[LC Contract Value]]&gt;0), SnapshotTable[[#This Row],[LC Contract Value]] * SnapshotTable[[#This Row],[LC Qty]] * 100, "")</f>
        <v/>
      </c>
      <c r="DV299" s="9" t="str">
        <f>IF(AND(ISNUMBER(SnapshotTable[[#This Row],[LC Total Value]]), SnapshotTable[[#This Row],[LC Not Filled]]&lt;&gt;"Y"), SnapshotTable[[#This Row],[LC Total Value]]-SnapshotTable[[#This Row],[LC Premium]],"")</f>
        <v/>
      </c>
      <c r="DW299" s="240" t="str">
        <f>IF(ISNUMBER(SnapshotTable[[#This Row],[LC Actual Gain Loss]]), SnapshotTable[[#This Row],[LC Actual Gain Loss]] / SnapshotTable[[#This Row],[LC Premium]],"")</f>
        <v/>
      </c>
      <c r="DX299" s="284" t="str">
        <f>IF(ISNUMBER(SnapshotTable[[#This Row],[LC Book Price]]),SnapshotTable[[#This Row],[LC Book Price]] * 1.5,"")</f>
        <v/>
      </c>
      <c r="DY299" s="265" t="str">
        <f>IF(SnapshotTable[[#This Row],[LC Premium]]&gt;0, SnapshotTable[[#This Row],[LC Next Target]] * SnapshotTable[[#This Row],[LC Qty]] * 100,"")</f>
        <v/>
      </c>
      <c r="DZ299" s="265" t="str">
        <f>IF(ISNUMBER(SnapshotTable[[#This Row],[LC Target Gross]]), SnapshotTable[[#This Row],[LC Target Gross]] - SnapshotTable[[#This Row],[LC Premium]], "")</f>
        <v/>
      </c>
      <c r="EA299" s="305" t="str">
        <f>IF(ISNUMBER(SnapshotTable[[#This Row],[LC Target Gain Loss]]), SnapshotTable[[#This Row],[LC Target Gain Loss]]/SnapshotTable[[#This Row],[LC Premium]], "")</f>
        <v/>
      </c>
      <c r="EB299" s="262"/>
      <c r="EC299" s="283" t="str">
        <f>IF(SnapshotTable[[#This Row],[LC Premium]]&gt;0, SnapshotTable[[#This Row],[LC Book Price]] * (1 - LC_StopLoss_Pct),"")</f>
        <v/>
      </c>
      <c r="ED299" s="284"/>
      <c r="EE299" s="283" t="str">
        <f>IF(ISNUMBER(SnapshotTable[[#This Row],[LC Contract Value]]),IF(ISNUMBER(SnapshotTable[[#This Row],[LC Stop Loss Override]]), SnapshotTable[[#This Row],[LC Stop Loss Override]],SnapshotTable[[#This Row],[LC Stop Loss Calc Target]]),"")</f>
        <v/>
      </c>
      <c r="EF299" s="31" t="str">
        <f>IF(ISNUMBER(SnapshotTable[[#This Row],[LC Stop  To Use]]), (SnapshotTable[[#This Row],[LC Stop  To Use]] * SnapshotTable[[#This Row],[LC Qty]] * 100),"")</f>
        <v/>
      </c>
      <c r="EG299" s="9" t="str">
        <f>IF(ISNUMBER(SnapshotTable[[#This Row],[LC Total Value]]),SnapshotTable[[#This Row],[LC Stop Loss Amount]] - SnapshotTable[[#This Row],[LC Premium]],"")</f>
        <v/>
      </c>
      <c r="EH299" s="9">
        <f>IF(ISNUMBER(SnapshotTable[[#This Row],[LC Premium]]), SnapshotTable[[#This Row],[LC Qty]] * 100 * SnapshotTable[[#This Row],[LC Strike Price]], "")</f>
        <v>0</v>
      </c>
      <c r="EI299" s="240" t="str">
        <f>IF(AND(ISNUMBER(SnapshotTable[[#This Row],[LC Total Value]]),SnapshotTable[[#This Row],[LC Total Value]]&gt;0),SnapshotTable[[#This Row],[LC Stop Gain Loss]]  / SnapshotTable[[#This Row],[LC Premium]],"")</f>
        <v/>
      </c>
      <c r="EJ299" s="35">
        <f>IF(ISNUMBER(SnapshotTable[[#This Row],[Equity Shares]]),TRUNC(SnapshotTable[[#This Row],[Equity Shares]] / 100),0) + SnapshotTable[[#This Row],[LC Qty]]</f>
        <v>0</v>
      </c>
      <c r="EK299" s="147"/>
      <c r="EL299" s="138" t="str">
        <f>IF(SnapshotTable[[#This Row],[SC Exp Date]]&lt;&gt;"",TRUNC(SnapshotTable[[#This Row],[Last Price]]),"")</f>
        <v/>
      </c>
      <c r="EM299" s="148"/>
      <c r="EN299" s="147"/>
      <c r="EO299" s="147"/>
      <c r="EP299" s="138"/>
      <c r="EQ299" s="419" t="b">
        <f>AND(ISNUMBER(SnapshotTable[[#This Row],[SC Exp Date]]), ISNUMBER(SnapshotTable[[#This Row],[SC Strike Price]]), ISNUMBER(SnapshotTable[[#This Row],[SC Qty]]), ISNUMBER(SnapshotTable[[#This Row],[SC Book Date]]), ISNUMBER(SnapshotTable[[#This Row],[SC Book Price]]))</f>
        <v>0</v>
      </c>
      <c r="ER299" s="419" t="b">
        <f>AND(SnapshotTable[[#This Row],[SC Is Booked]], NOT(ISBLANK(SnapshotTable[[#This Row],[SC Fill Date]])))</f>
        <v>0</v>
      </c>
      <c r="ES299" s="370"/>
      <c r="ET299" s="34" t="str">
        <f>IF(AND(ISNUMBER(SnapshotTable[[#This Row],[SC Exp Date]]), ISNUMBER(SnapshotTable[[#This Row],[SC Book Date]])), SnapshotTable[[#This Row],[SC Exp Date]] - MAX(SnapshotTable[[#This Row],[SC Book Date]], SnapshotTable[[#This Row],[SC Fill Date]]) + 1, "")</f>
        <v/>
      </c>
      <c r="EU299" s="34" t="str">
        <f>IF(ISNUMBER(SnapshotTable[[#This Row],[SC Term]]), SnapshotTable[[#This Row],[SC Exp Date]]- MockToday, "")</f>
        <v/>
      </c>
      <c r="EV299" s="31">
        <f>IF(SnapshotTable[[#This Row],[SC Is Booked]], SnapshotTable[[#This Row],[SC Qty]] * SnapshotTable[[#This Row],[SC Book Price]] * 100, 0)</f>
        <v>0</v>
      </c>
      <c r="EW299" s="4" t="str">
        <f>IF(AND(ISNUMBER(SnapshotTable[[#This Row],[Last Price]]), ISNUMBER( SnapshotTable[[#This Row],[SC Book Price]])), SnapshotTable[[#This Row],[Last Price]] - SnapshotTable[[#This Row],[SC Book Price]],"")</f>
        <v/>
      </c>
      <c r="EX299" s="234" t="str">
        <f>IF(SnapshotTable[[#This Row],[SC Is Booked]],IF(SnapshotTable[[#This Row],[SC Intrinsic Value]] &gt; 0, SnapshotTable[[#This Row],[SC Strike Price]], SnapshotTable[[#This Row],[Last Price]]), "")</f>
        <v/>
      </c>
      <c r="EY299" s="4">
        <f>IF(SnapshotTable[[#This Row],[SC Is Booked]], (MinimumPremiumRequired * SnapshotTable[[#This Row],[SC Basis]] * SnapshotTable[[#This Row],[SC Term]]), 0)</f>
        <v>0</v>
      </c>
      <c r="EZ299" s="283"/>
      <c r="FA299" s="218"/>
      <c r="FB299" s="370"/>
      <c r="FC299" s="4">
        <f>IF(SnapshotTable[[#This Row],[SC Is Filled]], btc_max_buyback_amount(SnapshotTable[[#This Row],[SC Fill Date]],SnapshotTable[[#This Row],[SC Exp Date]], SnapshotTable[[#This Row],[SC Book Price]]),0)</f>
        <v>0</v>
      </c>
      <c r="FD299" s="5"/>
      <c r="FE299" s="144" t="str">
        <f>IF(SnapshotTable[[#This Row],[SC Is Filled]], btc_next_cutoff_date(SnapshotTable[[#This Row],[SC Fill Date]],SnapshotTable[[#This Row],[SC Exp Date]]),"")</f>
        <v/>
      </c>
      <c r="FF299" s="4" t="str" cm="1">
        <f t="array" ref="FF299">IF(SnapshotTable[[#This Row],[SC Is Filled]], btc_should_buy_back(SnapshotTable[[#This Row],[SC Fill Date]], SnapshotTable[[#This Row],[SC Exp Date]], SnapshotTable[[#This Row],[SC Book Price]], SnapshotTable[[#This Row],[SC Current Ask]], MockToday, SnapshotTable[[#This Row],[SC Buyback Override]]),"")</f>
        <v/>
      </c>
      <c r="FG299" s="4">
        <f>IF(SnapshotTable[[#This Row],[SC Is Filled]], MAX(0,SnapshotTable[[#This Row],[Last Price]]  - SnapshotTable[[#This Row],[SC Strike Price]]), 0)</f>
        <v>0</v>
      </c>
      <c r="FH299" s="382">
        <f>IF(SnapshotTable[[#This Row],[SC Is Filled]], IF(ISNUMBER(SnapshotTable[[#This Row],[SC Current Ask]]), SnapshotTable[[#This Row],[SC Current Ask]], SnapshotTable[[#This Row],[SC Book Price]]) - SnapshotTable[[#This Row],[SC Intrinsic Value]], 0)</f>
        <v>0</v>
      </c>
      <c r="FI299" s="143"/>
      <c r="FJ299" s="32" t="str">
        <f>IF(SnapshotTable[[#This Row],[SC Is Filled]],100 * SnapshotTable[[#This Row],[SC Qty]] * IF(ISNUMBER(SnapshotTable[[#This Row],[SC Buyback Override]]), SnapshotTable[[#This Row],[SC Buyback Override]], SnapshotTable[[#This Row],[SC Current Ask]]), "")</f>
        <v/>
      </c>
      <c r="FK299" s="250" t="str">
        <f>IF(SnapshotTable[[#This Row],[SC Time Val]]&gt;0, SnapshotTable[[#This Row],[SC Time Val]] / SnapshotTable[[#This Row],[Last Price]],"")</f>
        <v/>
      </c>
      <c r="FL299" s="302" t="str">
        <f>IF(SnapshotTable[[#This Row],[SC Is Booked]], ((SnapshotTable[[#This Row],[Last Price]] -SnapshotTable[[#This Row],[SC Strike Price]]) / SnapshotTable[[#This Row],[Last Price]]) * -1, "")</f>
        <v/>
      </c>
      <c r="FM299" s="157" t="str">
        <f>IF(SnapshotTable[[#This Row],[SC Is Booked]],  (SnapshotTable[[#This Row],[SC Qty]] * 100 * SnapshotTable[[#This Row],[SC Strike Price]]) - SnapshotTable[[#This Row],[SC Current Ask]], "")</f>
        <v/>
      </c>
      <c r="FN29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9" s="31" t="str">
        <f>IF(AND(ISNUMBER(SnapshotTable[[#This Row],[SC Exercise Gross]]), ISNUMBER(SnapshotTable[[#This Row],[Equity Basis Per Share]] )), SnapshotTable[[#This Row],[SC Exercise Gross]] - SnapshotTable[[#This Row],[Equity Basis Total]] +  SnapshotTable[[#This Row],[SC Premium]], "")</f>
        <v/>
      </c>
      <c r="FP299" s="5" t="str">
        <f>IF(ISNUMBER(SnapshotTable[[#This Row],[SC Exercise Gross]]), (SnapshotTable[[#This Row],[SC Exercise Gross]]) / (SnapshotTable[[#This Row],[SC Qty]] * 100), "")</f>
        <v/>
      </c>
      <c r="FQ299" s="27" t="str">
        <f>IF(SnapshotTable[[#This Row],[SC Is Booked]],SnapshotTable[[#This Row],[SC Time Val]] /SnapshotTable[[#This Row],[SC Basis]], "")</f>
        <v/>
      </c>
      <c r="FR299" s="27" t="str" cm="1">
        <f t="array" ref="FR299">IF(AND(ISNUMBER(SnapshotTable[[#This Row],[SC Term]]),ISNUMBER(SnapshotTable[[#This Row],[SC Simple ROO]])), EllmanAnnualize(SnapshotTable[[#This Row],[SC DTE]], SnapshotTable[[#This Row],[SC Simple ROO]] ),"")</f>
        <v/>
      </c>
      <c r="FS299" s="4" t="e">
        <f>IF(SnapshotTable[[#This Row],[SC Strike Price]] &gt; SnapshotTable[[#This Row],[Last Price]], SnapshotTable[[#This Row],[SC Strike Price]] - SnapshotTable[[#This Row],[Last Price]],0)</f>
        <v>#VALUE!</v>
      </c>
      <c r="FT299" s="27" t="e">
        <f>IF(AND(ISNUMBER(SnapshotTable[[#This Row],[SC Upside Potential]]), SnapshotTable[[#This Row],[SC Upside Potential]] &gt; 0),(SnapshotTable[[#This Row],[SC Upside Potential]]/ SnapshotTable[[#This Row],[ACB]]),"")</f>
        <v>#VALUE!</v>
      </c>
      <c r="FU299" s="333" t="str">
        <f>IF(SnapshotTable[[#This Row],[SC Intrinsic Value]] &gt; 0,SnapshotTable[[#This Row],[SC Intrinsic Value]],"")</f>
        <v/>
      </c>
      <c r="FV299" s="27" t="str">
        <f>IF(AND( ISNUMBER( SnapshotTable[[#This Row],[ACB]]),ISNUMBER(SnapshotTable[[#This Row],[SC Downside Protect]])),SnapshotTable[[#This Row],[SC Downside Protect]] / SnapshotTable[[#This Row],[ACB]],"")</f>
        <v/>
      </c>
      <c r="FW299" s="236" t="str">
        <f>IF(AND(ISNUMBER(SnapshotTable[[#This Row],[SC Simple ROO]]),SnapshotTable[[#This Row],[SC Simple ROO]] &gt; 0), SnapshotTable[[#This Row],[SC Premium]] + (SnapshotTable[[#This Row],[SC Qty]] * SnapshotTable[[#This Row],[SC Upside Potential]]), "")</f>
        <v/>
      </c>
      <c r="FX299" s="302" t="str" cm="1">
        <f t="array" ref="FX299">IF(ISNUMBER(SnapshotTable[[#This Row],[SC Max Dollars]]), annualize(SnapshotTable[[#This Row],[SC Term]],(SnapshotTable[[#This Row],[SC Max Dollars]]/SnapshotTable[[#This Row],[SC Basis]])),"")</f>
        <v/>
      </c>
      <c r="FY299" s="236" t="str">
        <f>IF(AND(SnapshotTable[[#This Row],[SC Qty]]&gt;0,SnapshotTable[[#This Row],[SC Current Ask]]&gt;0), SnapshotTable[[#This Row],[SC Qty]] * SnapshotTable[[#This Row],[SC Current Ask]] * -100, "")</f>
        <v/>
      </c>
      <c r="FZ299" s="31" t="str">
        <f>IF(ISNUMBER((SnapshotTable[[#This Row],[SC Current Value]])), SnapshotTable[[#This Row],[SC Premium]] + SnapshotTable[[#This Row],[SC Current Value]], "")</f>
        <v/>
      </c>
      <c r="GA299" s="294" t="str">
        <f>IFERROR( IF(ISNUMBER((SnapshotTable[[#This Row],[SC Current Value]])), SnapshotTable[[#This Row],[SC Gain Loss]] / SnapshotTable[[#This Row],[SC Premium]], ""), "")</f>
        <v/>
      </c>
      <c r="GB299" s="42">
        <f>SnapshotTable[[#This Row],[Equity Shares]] * SaleSharesToConsiderPercentage</f>
        <v>0</v>
      </c>
      <c r="GC299" s="40">
        <f>SnapshotTable[[#This Row],[Long Term Target]] * SellingPriceToConsiderBasedOnTargetPercentage</f>
        <v>94.8005</v>
      </c>
      <c r="GD299" s="40">
        <f>SnapshotTable[[#This Row],[Last Price]] * (1+ SellingPriceToConsiderBasedOnTargetPercentage)</f>
        <v>17.120999999999999</v>
      </c>
      <c r="GE299" s="41"/>
      <c r="GF299" s="40"/>
      <c r="GG299" s="31">
        <f>SnapshotTable[[#This Row],[Booked Sale Shares]] * SnapshotTable[[#This Row],[Booked Sale Price]]</f>
        <v>0</v>
      </c>
      <c r="GH299" s="31" t="str">
        <f>IF(SnapshotTable[[#This Row],[Equity Basis Total]] &gt; 0, SnapshotTable[[#This Row],[Equity Basis Per Share]] * SnapshotTable[[#This Row],[Booked Sale Shares]], "")</f>
        <v/>
      </c>
      <c r="GI299" s="31">
        <f>IF(SnapshotTable[[#This Row],[Sale Proceeds]]&gt;0, SnapshotTable[[#This Row],[Sale Proceeds]] - SnapshotTable[[#This Row],[Sale Basis]], 0)</f>
        <v>0</v>
      </c>
      <c r="GJ299" s="27" t="str">
        <f>IF(SnapshotTable[[#This Row],[Sale G/L]]&gt;0, SnapshotTable[[#This Row],[Sale G/L]] / SnapshotTable[[#This Row],[Sale Basis]], IF(ISNUMBER(SnapshotTable[[#This Row],[SC Exercise P&amp;L (TAX)]]), SnapshotTable[[#This Row],[SC Exercise P&amp;L (TAX)]] / SnapshotTable[[#This Row],[SC Basis]], ""))</f>
        <v/>
      </c>
      <c r="GK299" s="27" t="s">
        <v>764</v>
      </c>
      <c r="GL299" s="43" t="str">
        <f>IF(AND(SnapshotTable[[#This Row],[LP Exp Date]]&gt;0,SnapshotTable[[#This Row],[LP Strike Price]]&gt;0), [1]!ToOptionSymbol(SnapshotTable[[#This Row],[Symbol]], SnapshotTable[[#This Row],[LP Strike Price]],SnapshotTable[[#This Row],[LP Exp Date]],1), "")</f>
        <v/>
      </c>
      <c r="GM299" s="30" t="str">
        <f>IF(LEN(SnapshotTable[[#This Row],[LP Symbol]])&gt;0, 1, "")</f>
        <v/>
      </c>
      <c r="GN299" s="43" t="str">
        <f>IF(AND(SnapshotTable[[#This Row],[SP Exp Date]]&gt;0,SnapshotTable[[#This Row],[SP Strike Price]]&gt;0), [1]!ToOptionSymbol(SnapshotTable[[#This Row],[Symbol]], SnapshotTable[[#This Row],[SP Strike Price]],SnapshotTable[[#This Row],[SP Exp Date]],1), "")</f>
        <v/>
      </c>
      <c r="GO299" s="30" t="str">
        <f>IF(LEN(SnapshotTable[[#This Row],[SP Symbol]])&gt;0, 1, "")</f>
        <v/>
      </c>
      <c r="GP299" s="43" t="str">
        <f>IF(AND(SnapshotTable[[#This Row],[LC Exp Date]]&gt;0,SnapshotTable[[#This Row],[LC Strike Price]]&gt;0), [1]!ToOptionSymbol(SnapshotTable[[#This Row],[Symbol]], SnapshotTable[[#This Row],[LC Strike Price]],SnapshotTable[[#This Row],[LC Exp Date]],0), "")</f>
        <v/>
      </c>
      <c r="GQ299" s="30" t="str">
        <f>IF(LEN(SnapshotTable[[#This Row],[LC Symbol]])&gt;0, 1, "")</f>
        <v/>
      </c>
      <c r="GR299" s="43" t="str">
        <f>IF(AND(SnapshotTable[[#This Row],[SC Exp Date]]&gt;0,SnapshotTable[[#This Row],[SC Strike Price]]&gt;0), [1]!ToOptionSymbol(SnapshotTable[[#This Row],[Symbol]], SnapshotTable[[#This Row],[SC Strike Price]],SnapshotTable[[#This Row],[SC Exp Date]],0), "")</f>
        <v/>
      </c>
      <c r="GS299" s="30" t="str">
        <f>IF(LEN(SnapshotTable[[#This Row],[SC Symbol]])&gt;0, 1, "")</f>
        <v/>
      </c>
      <c r="GT299" s="29" t="str">
        <f>IF(COUNT(SnapshotTable[[#This Row],[LP Symbol Count]],SnapshotTable[[#This Row],[SP Symbol Count]],SnapshotTable[[#This Row],[LC Symbol Count]],SnapshotTable[[#This Row],[SC Symbol Count]])&gt;0, "Y", "")</f>
        <v/>
      </c>
      <c r="GU29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9" s="231" t="e">
        <f>MAX(SnapshotTable[[#This Row],[Equity Basis Total]],SnapshotTable[[#This Row],[Equity Value]]) + (SnapshotTable[[#This Row],[SP Potential Spend]]- SnapshotTable[[#This Row],[SP Premium]] + SnapshotTable[[#This Row],[LP Premium]])+ (SnapshotTable[[#This Row],[LC Premium]] - SnapshotTable[[#This Row],[SC Premium]])</f>
        <v>#VALUE!</v>
      </c>
      <c r="GW299" s="139" t="e">
        <f>IF(AND(SnapshotTable[[#This Row],[Exposure]] &lt;&gt; 0),SnapshotTable[[#This Row],[Exposure]] / SnapshotTable[[#Totals],[Exposure]], "")</f>
        <v>#VALUE!</v>
      </c>
      <c r="HK299" s="1"/>
      <c r="HL299" s="1"/>
      <c r="HM299" s="1"/>
      <c r="HN299" s="1"/>
      <c r="HO299" s="1"/>
      <c r="HP299" s="1"/>
    </row>
    <row r="300" spans="2:224" ht="12.75" hidden="1" customHeight="1" x14ac:dyDescent="0.25">
      <c r="B300" s="12" t="s">
        <v>108</v>
      </c>
      <c r="C300" s="422">
        <v>526.46</v>
      </c>
      <c r="D300" s="208"/>
      <c r="E300" s="39">
        <f>SnapshotTable[[#This Row],[Last Price]]*(1 -CrashDiscount)</f>
        <v>447.49100000000004</v>
      </c>
      <c r="F300" s="26" t="s">
        <v>107</v>
      </c>
      <c r="G300" s="26" t="s">
        <v>49</v>
      </c>
      <c r="H300" s="149"/>
      <c r="I300" s="194">
        <v>44770.25</v>
      </c>
      <c r="J300" s="195">
        <v>44770.25</v>
      </c>
      <c r="K300" s="196"/>
      <c r="L300" s="326"/>
      <c r="M300" s="140"/>
      <c r="N300" s="140"/>
      <c r="O300" s="140"/>
      <c r="P300" s="22"/>
      <c r="Q300" s="25"/>
      <c r="R300" s="4" t="str">
        <f>IF(SnapshotTable[[#This Row],[Equity Basis Total]] &gt; 0, SnapshotTable[[#This Row],[Equity Basis Total]] / SnapshotTable[[#This Row],[Equity Shares]], "")</f>
        <v/>
      </c>
      <c r="S300" s="269">
        <f>SnapshotTable[[#This Row],[Last Price]] * SnapshotTable[[#This Row],[Equity Shares]]</f>
        <v>0</v>
      </c>
      <c r="T300" s="269">
        <f>SnapshotTable[[#This Row],[Equity Value]] - SnapshotTable[[#This Row],[Equity Basis Total]]</f>
        <v>0</v>
      </c>
      <c r="U300" s="270" t="str">
        <f>IF(SnapshotTable[[#This Row],[Equity Basis Total]] &gt; 0, SnapshotTable[[#This Row],[Equity G/L]] / SnapshotTable[[#This Row],[Equity Basis Total]], "")</f>
        <v/>
      </c>
      <c r="V300" s="268"/>
      <c r="W300" s="268"/>
      <c r="X300" s="4" t="str">
        <f>IF(AND(ISNUMBER(SnapshotTable[[#This Row],[Equity Basis Per Share]]),ISNUMBER(SnapshotTable[[#This Row],[Equity Target]])),SnapshotTable[[#This Row],[Equity Target]]-SnapshotTable[[#This Row],[Equity Basis Per Share]],"")</f>
        <v/>
      </c>
      <c r="Y300" s="4" t="str">
        <f>IF(AND(ISNUMBER(SnapshotTable[[#This Row],[Equity Basis Per Share]]),ISNUMBER(SnapshotTable[[#This Row],[Equity Stop Loss]])),SnapshotTable[[#This Row],[Equity Stop Loss]]-SnapshotTable[[#This Row],[Equity Basis Per Share]],"")</f>
        <v/>
      </c>
      <c r="Z300" s="275" t="str">
        <f>IFERROR( TEXT(SnapshotTable[[#This Row],[Equity Max Gain Per Share]] /ABS( SnapshotTable[[#This Row],[Equity Max Loss Per Share]]),"0.0 " ) &amp; " : 1", "")</f>
        <v/>
      </c>
      <c r="AA300" s="31" t="str">
        <f>IF(ISNUMBER(SnapshotTable[[#This Row],[Equity Max Gain Per Share]]),SnapshotTable[[#This Row],[Equity Max Gain Per Share]] * SnapshotTable[[#This Row],[Equity Shares]],"")</f>
        <v/>
      </c>
      <c r="AB300" s="31" t="str">
        <f>IF(ISNUMBER(SnapshotTable[[#This Row],[Equity Max Loss Per Share]]),SnapshotTable[[#This Row],[Equity Max Loss Per Share]] * SnapshotTable[[#This Row],[Equity Shares]],"")</f>
        <v/>
      </c>
      <c r="AC300" s="150">
        <v>0.3</v>
      </c>
      <c r="AD300" s="151">
        <v>42727</v>
      </c>
      <c r="AE300" s="31">
        <f>(SnapshotTable[[#This Row],[Annual Dividend Per Share]] / 4) * SnapshotTable[[#This Row],[Equity Shares]]</f>
        <v>0</v>
      </c>
      <c r="AF300" s="31">
        <f>SnapshotTable[[#This Row],[Quarterly Div $]] * 4</f>
        <v>0</v>
      </c>
      <c r="AG300" s="7">
        <f>IF(SnapshotTable[[#This Row],[Annual Dividend Per Share]]&gt;0, SnapshotTable[[#This Row],[Annual Dividend Per Share]]  / SnapshotTable[[#This Row],[Last Price]], 0)</f>
        <v>5.6984386278159779E-4</v>
      </c>
      <c r="AH300" s="151">
        <v>42703</v>
      </c>
      <c r="AI300" s="5"/>
      <c r="AJ300" s="138">
        <v>334.19</v>
      </c>
      <c r="AK300" s="152" t="str">
        <f>IF(ISNUMBER( SnapshotTable[[#This Row],[EBF Target]]),(SnapshotTable[[#This Row],[EBF Target]] - SnapshotTable[[#This Row],[Last Price]]) / SnapshotTable[[#This Row],[Last Price]], "")</f>
        <v/>
      </c>
      <c r="AL300" s="152" t="str">
        <f>IF(AND(SnapshotTable[[#This Row],[Equity Basis Total]] &gt; 0,ISNUMBER( SnapshotTable[[#This Row],[Long Term Target]])), SnapshotTable[[#This Row],[From Basis $]] / SnapshotTable[[#This Row],[Equity Basis Total]], "")</f>
        <v/>
      </c>
      <c r="AM300" s="9">
        <f>IF( AND(SnapshotTable[[#This Row],[Equity Shares]] &gt;0,ISNUMBER( SnapshotTable[[#This Row],[Long Term Target]])),(SnapshotTable[[#This Row],[Equity Shares]] * SnapshotTable[[#This Row],[Long Term Target]]) - SnapshotTable[[#This Row],[Equity Basis Total]],0)</f>
        <v>0</v>
      </c>
      <c r="AN300" s="9">
        <f>IF( AND(SnapshotTable[[#This Row],[Equity Shares]] &gt;0,ISNUMBER( SnapshotTable[[#This Row],[Long Term Target]])),(SnapshotTable[[#This Row],[Equity Shares]]*SnapshotTable[[#This Row],[Long Term Target]]) - SnapshotTable[[#This Row],[Equity Value]],0)</f>
        <v>0</v>
      </c>
      <c r="AO300" s="152">
        <f>IF(AND(ISNUMBER( SnapshotTable[[#This Row],[Long Term Target]]), ISNUMBER(SnapshotTable[[#This Row],[Last Price]])),(SnapshotTable[[#This Row],[Long Term Target]] - SnapshotTable[[#This Row],[Last Price]]) / SnapshotTable[[#This Row],[Last Price]], "")</f>
        <v>-0.36521293165672608</v>
      </c>
      <c r="AP300" s="5"/>
      <c r="AQ300" s="38"/>
      <c r="AR300" s="5"/>
      <c r="AS300" s="38"/>
      <c r="AT300" s="146"/>
      <c r="AU300" s="187" t="str">
        <f>IF(OR(SnapshotTable[[#This Row],[LP No Fill]]="Y",SnapshotTable[[#This Row],[SP Is Filled]],SnapshotTable[[#This Row],[LC Not Filled]]="Y",SnapshotTable[[#This Row],[SC Is Filled]]),"Y","")</f>
        <v/>
      </c>
      <c r="AV300" s="219"/>
      <c r="AW300" s="225"/>
      <c r="AX300" s="220"/>
      <c r="AY300" s="219" t="str">
        <f>IF(SnapshotTable[[#This Row],[Implied Move]]&gt;0, SnapshotTable[[#This Row],[Last Price]]-SnapshotTable[[#This Row],[Implied Move]],"")</f>
        <v/>
      </c>
      <c r="AZ300" s="219" t="str">
        <f>IF(SnapshotTable[[#This Row],[Implied Move]]&gt;0, SnapshotTable[[#This Row],[Last Price]] + SnapshotTable[[#This Row],[Implied Move]],"")</f>
        <v/>
      </c>
      <c r="BA300" s="331"/>
      <c r="BB300" s="347"/>
      <c r="BC30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0" s="351"/>
      <c r="BE300" s="5"/>
      <c r="BF300" s="14"/>
      <c r="BG300" s="13"/>
      <c r="BH300" s="13"/>
      <c r="BI300" s="5"/>
      <c r="BJ300" s="136">
        <f>IF(SnapshotTable[[#This Row],[LP Qty]] &gt; 0, SnapshotTable[[#This Row],[LP Qty]] * SnapshotTable[[#This Row],[LP Book Price]] * 100,0)</f>
        <v>0</v>
      </c>
      <c r="BK300" s="136">
        <f>IF(SnapshotTable[[#This Row],[LP Premium]] &gt; 0, SnapshotTable[[#This Row],[LP Qty]] * SnapshotTable[[#This Row],[LP Strike Price]] * 100,0)</f>
        <v>0</v>
      </c>
      <c r="BL300" s="154"/>
      <c r="BM300" s="385" t="str">
        <f>IF(SnapshotTable[[#This Row],[LP Premium]] &gt; 0,SnapshotTable[[#This Row],[LP Exp Date]]-MAX(SnapshotTable[[#This Row],[LP Book Date]], SnapshotTable[[#This Row],[LP Fill Date]]),"")</f>
        <v/>
      </c>
      <c r="BN300" s="385" t="str">
        <f>IF(ISNUMBER( SnapshotTable[[#This Row],[LP Term]]), SnapshotTable[[#This Row],[LP Exp Date]] - MockToday,"")</f>
        <v/>
      </c>
      <c r="BO300" s="163" t="str">
        <f>IF(AND(SnapshotTable[[#This Row],[LP Exp Date]]&gt;0, SnapshotTable[[#This Row],[LP Strike Price]]&gt;0,SnapshotTable[[#This Row],[LP Qty]]&gt;0,SnapshotTable[[#This Row],[LP Book Date]]&gt;0,SnapshotTable[[#This Row],[LP Book Price]]&gt;0,SnapshotTable[[#This Row],[LP Fill Date]]=0),"Y","")</f>
        <v/>
      </c>
      <c r="BP300" s="31" t="str">
        <f>IF(AND(SnapshotTable[[#This Row],[LP No Fill]]&lt;&gt;"Y",SnapshotTable[[#This Row],[LP Contract Value]]&gt;0, SnapshotTable[[#This Row],[LP Qty]]&gt;0), SnapshotTable[[#This Row],[LP Contract Value]]*SnapshotTable[[#This Row],[LP Qty]]*100,"")</f>
        <v/>
      </c>
      <c r="BQ300" s="13"/>
      <c r="BR300" s="5" t="str">
        <f>IF(SnapshotTable[[#This Row],[SP Exp Date]]&lt;&gt;"",TRUNC(SnapshotTable[[#This Row],[Last Price]]),"")</f>
        <v/>
      </c>
      <c r="BS300" s="36"/>
      <c r="BT300" s="147"/>
      <c r="BU300" s="13"/>
      <c r="BV300" s="5"/>
      <c r="BW300" s="419" t="b">
        <f>AND(ISNUMBER(SnapshotTable[[#This Row],[SP Exp Date]]), ISNUMBER(SnapshotTable[[#This Row],[SP Strike Price]]), ISNUMBER(SnapshotTable[[#This Row],[SP Qty]]), ISNUMBER(SnapshotTable[[#This Row],[SP Book Date]]), ISNUMBER(SnapshotTable[[#This Row],[SP Book Price]]))</f>
        <v>0</v>
      </c>
      <c r="BX300" s="419" t="b">
        <f>AND(SnapshotTable[[#This Row],[SP Is Booked]], NOT(ISBLANK(SnapshotTable[[#This Row],[SP Fill Date]])))</f>
        <v>0</v>
      </c>
      <c r="BY300" s="33">
        <f>IF(SnapshotTable[[#This Row],[SP Is Booked]], SnapshotTable[[#This Row],[SP Qty]] * SnapshotTable[[#This Row],[SP Book Price]] * 100, 0)</f>
        <v>0</v>
      </c>
      <c r="BZ300" s="369"/>
      <c r="CA300" s="368">
        <f>SnapshotTable[[#This Row],[LP Qty]]</f>
        <v>0</v>
      </c>
      <c r="CB300" s="4" t="str">
        <f>IF(SnapshotTable[[#This Row],[SP Is Booked]], SnapshotTable[[#This Row],[SP Strike Price]] - SnapshotTable[[#This Row],[SP Book Price]], "")</f>
        <v/>
      </c>
      <c r="CC300" s="19" t="str">
        <f>IF(SnapshotTable[[#This Row],[SP Is Booked]],SnapshotTable[[#This Row],[SP Exp Date]]-MAX(SnapshotTable[[#This Row],[SP Book Date]], SnapshotTable[[#This Row],[SP Fill Date]]),"")</f>
        <v/>
      </c>
      <c r="CD300" s="7" t="str">
        <f>IF(SnapshotTable[[#This Row],[SP Is Booked]], SnapshotTable[[#This Row],[SP Book Price]]/SnapshotTable[[#This Row],[SP Strike Price]], "")</f>
        <v/>
      </c>
      <c r="CE300" s="7" t="str">
        <f>IF(ISNUMBER(SnapshotTable[[#This Row],[SP ROO Term]]),SnapshotTable[[#This Row],[SP ROO Term]]*(365/SnapshotTable[[#This Row],[SP Term]]),"")</f>
        <v/>
      </c>
      <c r="CF300" s="236">
        <f>SnapshotTable[[#This Row],[LP Strike Price]] * SnapshotTable[[#This Row],[LP Qty]] * 100</f>
        <v>0</v>
      </c>
      <c r="CG300" s="31" t="e">
        <f>IF(ISNUMBER(SnapshotTable[[#This Row],[SP Premium]]), (SnapshotTable[[#This Row],[SP Qty]] * SnapshotTable[[#This Row],[SP Strike Price]]* 100) - SnapshotTable[[#This Row],[LP Protection]], 0)</f>
        <v>#VALUE!</v>
      </c>
      <c r="CH300" s="7" t="str">
        <f>IF(ISNUMBER(SnapshotTable[[#This Row],[SP Break Even]]),-1 * (SnapshotTable[[#This Row],[SP Break Even]] - SnapshotTable[[#This Row],[Last Price]]) / SnapshotTable[[#This Row],[Last Price]], "")</f>
        <v/>
      </c>
      <c r="CI300" s="31">
        <f>IF(AND(ISNUMBER((SnapshotTable[[#This Row],[SP Potential Spend]])), SnapshotTable[[#This Row],[SP Strike Price]] &gt; SnapshotTable[[#This Row],[Last Price]], SnapshotTable[[#This Row],[SP Is Filled]]), SnapshotTable[[#This Row],[SP Potential Spend]] -  SnapshotTable[[#This Row],[LP Max Value]], 0)</f>
        <v>0</v>
      </c>
      <c r="CJ300" s="244"/>
      <c r="CK300" s="31" t="str">
        <f>IF(ISNUMBER(SnapshotTable[[#This Row],[SP Potential Spend]]),IF(ISNUMBER(SnapshotTable[[#This Row],[SP POW]]), SnapshotTable[[#This Row],[SP POW]] * SnapshotTable[[#This Row],[SP Potential Spend]], SnapshotTable[[#This Row],[SP Potential Spend]]), "")</f>
        <v/>
      </c>
      <c r="CL300" s="164" t="e">
        <f>IF(NOT(SnapshotTable[[#This Row],[SP Is Filled]]),(SnapshotTable[[#This Row],[SP Qty]] * SnapshotTable[[#This Row],[SP Strike Price]] * 100) - SnapshotTable[[#This Row],[LP Max Value]],"")</f>
        <v>#VALUE!</v>
      </c>
      <c r="CM300" s="31" t="str">
        <f>IF(SnapshotTable[[#This Row],[SP Actual Spend]]&lt;&gt;0, ((SnapshotTable[[#This Row],[SP Strike Price]]-SnapshotTable[[#This Row],[Last Price]]) *(SnapshotTable[[#This Row],[SP Qty]]*100) - SnapshotTable[[#This Row],[SP Premium]]) * - 1, "")</f>
        <v/>
      </c>
      <c r="CN300" s="78"/>
      <c r="CO300" s="369"/>
      <c r="CP300" s="4" t="str">
        <f>IF(SnapshotTable[[#This Row],[SP Is Filled]], btc_max_buyback_amount(SnapshotTable[[#This Row],[SP Fill Date]],SnapshotTable[[#This Row],[SP Exp Date]], SnapshotTable[[#This Row],[SP Book Price]]),"")</f>
        <v/>
      </c>
      <c r="CQ300" s="78"/>
      <c r="CR30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0" s="155" t="str">
        <f>IF(SnapshotTable[[#This Row],[SP Is Filled]], btc_next_cutoff_date(SnapshotTable[[#This Row],[SP Fill Date]],SnapshotTable[[#This Row],[SP Exp Date]]),"")</f>
        <v/>
      </c>
      <c r="CT300" s="235" t="str" cm="1">
        <f t="array" ref="CT300">IF(SnapshotTable[[#This Row],[SP Is Filled]], btc_should_buy_back(SnapshotTable[[#This Row],[SP Fill Date]], SnapshotTable[[#This Row],[SP Exp Date]], SnapshotTable[[#This Row],[SP Book Price]], SnapshotTable[[#This Row],[SP Current Ask]], MockToday, SnapshotTable[[#This Row],[SP Buyback Override]]),"")</f>
        <v/>
      </c>
      <c r="CU300" s="143"/>
      <c r="CV300" s="235"/>
      <c r="CW300" s="378" t="str">
        <f>IF(ISNUMBER( SnapshotTable[[#This Row],[SP Term]]), SnapshotTable[[#This Row],[SP Exp Date]] - MockToday,"")</f>
        <v/>
      </c>
      <c r="CX300" s="31" t="str">
        <f>IF(SnapshotTable[[#This Row],[SP Is Filled]],SnapshotTable[[#This Row],[SP Buyback Price to Use]] * 100 * SnapshotTable[[#This Row],[SP Qty]], "")</f>
        <v/>
      </c>
      <c r="CY300" s="4" t="str">
        <f>IF(ISNUMBER(SnapshotTable[[#This Row],[SP Strike Price]]), SnapshotTable[[#This Row],[SP Strike Price]] * (1 - SP_MaxLoss_StrikePct), "")</f>
        <v/>
      </c>
      <c r="CZ300" s="31" t="str">
        <f>IF(ISNUMBER(SnapshotTable[[#This Row],[SP Strike  Stop Per Share]]),SnapshotTable[[#This Row],[SP Premium]] - ((SnapshotTable[[#This Row],[SP Strike Price]]-SnapshotTable[[#This Row],[SP Strike  Stop Per Share]]) *(SnapshotTable[[#This Row],[SP Qty]] * 100)),"")</f>
        <v/>
      </c>
      <c r="DA300" s="4" t="str">
        <f>IF(AND(ISNUMBER(SnapshotTable[[#This Row],[SP Premium]]),SnapshotTable[[#This Row],[SP Premium]]&gt;0), SnapshotTable[[#This Row],[SP Book Price]] * (1 + SP_MaxLoss_OptionPct), "")</f>
        <v/>
      </c>
      <c r="DB300" s="31" t="str">
        <f>IF(ISNUMBER(SnapshotTable[[#This Row],[SP Option  Stop Contract]]),(SnapshotTable[[#This Row],[SP Option  Stop Contract]] *(SnapshotTable[[#This Row],[SP Qty]] * 100) - SnapshotTable[[#This Row],[SP Premium]]),"")</f>
        <v/>
      </c>
      <c r="DC300" s="4"/>
      <c r="DD300" s="4"/>
      <c r="DE300" s="4" t="str">
        <f>IF(AND(SnapshotTable[[#This Row],[SP Qty]]&gt;0, SnapshotTable[[#This Row],[SP Stop To Use]]&gt;0),SnapshotTable[[#This Row],[SP Premium]] - ( SnapshotTable[[#This Row],[SP Qty]] * SnapshotTable[[#This Row],[SP Stop To Use]] * 100), "")</f>
        <v/>
      </c>
      <c r="DF300" s="31" t="str">
        <f>IF(AND(SnapshotTable[[#This Row],[SP Qty]]&gt;0,SnapshotTable[[#This Row],[SP Current Ask]]&gt;0), SnapshotTable[[#This Row],[SP Qty]] * SnapshotTable[[#This Row],[SP Current Ask]] * -100, "")</f>
        <v/>
      </c>
      <c r="DG300" s="31" t="str">
        <f>IF(ISNUMBER((SnapshotTable[[#This Row],[SP Total Value]])), SnapshotTable[[#This Row],[SP Premium]] + SnapshotTable[[#This Row],[SP Total Value]], "")</f>
        <v/>
      </c>
      <c r="DH300" s="294" t="str">
        <f>IF(ISNUMBER((SnapshotTable[[#This Row],[SP Total Value]])), SnapshotTable[[#This Row],[SP Gain Loss]] / SnapshotTable[[#This Row],[SP Premium]], "")</f>
        <v/>
      </c>
      <c r="DI300" s="406"/>
      <c r="DJ300" s="138"/>
      <c r="DK300" s="148"/>
      <c r="DL300" s="13"/>
      <c r="DM300" s="13"/>
      <c r="DO300" s="31">
        <f>IF(SnapshotTable[[#This Row],[LC Symbol Count]]=1, SnapshotTable[[#This Row],[LC Qty]] * SnapshotTable[[#This Row],[LC Book Price]] * 100, 0)</f>
        <v>0</v>
      </c>
      <c r="DP300" s="163" t="str">
        <f>IF(AND(SnapshotTable[[#This Row],[LC Exp Date]]&gt;0, SnapshotTable[[#This Row],[LC Strike Price]]&gt;0,SnapshotTable[[#This Row],[LC Qty]]&gt;0,SnapshotTable[[#This Row],[LC Book Date]]&gt;0,SnapshotTable[[#This Row],[LC Book Price]]&gt;0,SnapshotTable[[#This Row],[LC Fill Date]]=0),"Y","")</f>
        <v/>
      </c>
      <c r="DQ300" s="386" t="str">
        <f>IF(SnapshotTable[[#This Row],[LC Premium]] &gt; 0,SnapshotTable[[#This Row],[LC Exp Date]]-MAX(SnapshotTable[[#This Row],[LC Book Date]], SnapshotTable[[#This Row],[LC Fill Date]]),"")</f>
        <v/>
      </c>
      <c r="DR300" s="386" t="str">
        <f>IF(ISNUMBER(SnapshotTable[[#This Row],[LC Term]]), SnapshotTable[[#This Row],[LC Exp Date]] - MockToday, "")</f>
        <v/>
      </c>
      <c r="DS300" s="234" t="str">
        <f>IF(SnapshotTable[[#This Row],[LC Premium]]&gt;0,SnapshotTable[[#This Row],[LC Strike Price]] + SnapshotTable[[#This Row],[LC Book Price]],"")</f>
        <v/>
      </c>
      <c r="DU300" s="9" t="str">
        <f>IF(AND(SnapshotTable[[#This Row],[LC Symbol Count]]&gt;0, SnapshotTable[[#This Row],[LC Contract Value]]&gt;0), SnapshotTable[[#This Row],[LC Contract Value]] * SnapshotTable[[#This Row],[LC Qty]] * 100, "")</f>
        <v/>
      </c>
      <c r="DV300" s="9" t="str">
        <f>IF(AND(ISNUMBER(SnapshotTable[[#This Row],[LC Total Value]]), SnapshotTable[[#This Row],[LC Not Filled]]&lt;&gt;"Y"), SnapshotTable[[#This Row],[LC Total Value]]-SnapshotTable[[#This Row],[LC Premium]],"")</f>
        <v/>
      </c>
      <c r="DW300" s="240" t="str">
        <f>IF(ISNUMBER(SnapshotTable[[#This Row],[LC Actual Gain Loss]]), SnapshotTable[[#This Row],[LC Actual Gain Loss]] / SnapshotTable[[#This Row],[LC Premium]],"")</f>
        <v/>
      </c>
      <c r="DX300" s="284" t="str">
        <f>IF(ISNUMBER(SnapshotTable[[#This Row],[LC Book Price]]),SnapshotTable[[#This Row],[LC Book Price]] * 1.5,"")</f>
        <v/>
      </c>
      <c r="DY300" s="265" t="str">
        <f>IF(SnapshotTable[[#This Row],[LC Premium]]&gt;0, SnapshotTable[[#This Row],[LC Next Target]] * SnapshotTable[[#This Row],[LC Qty]] * 100,"")</f>
        <v/>
      </c>
      <c r="DZ300" s="265" t="str">
        <f>IF(ISNUMBER(SnapshotTable[[#This Row],[LC Target Gross]]), SnapshotTable[[#This Row],[LC Target Gross]] - SnapshotTable[[#This Row],[LC Premium]], "")</f>
        <v/>
      </c>
      <c r="EA300" s="305" t="str">
        <f>IF(ISNUMBER(SnapshotTable[[#This Row],[LC Target Gain Loss]]), SnapshotTable[[#This Row],[LC Target Gain Loss]]/SnapshotTable[[#This Row],[LC Premium]], "")</f>
        <v/>
      </c>
      <c r="EB300" s="262"/>
      <c r="EC300" s="283" t="str">
        <f>IF(SnapshotTable[[#This Row],[LC Premium]]&gt;0, SnapshotTable[[#This Row],[LC Book Price]] * (1 - LC_StopLoss_Pct),"")</f>
        <v/>
      </c>
      <c r="ED300" s="284"/>
      <c r="EE300" s="283" t="str">
        <f>IF(ISNUMBER(SnapshotTable[[#This Row],[LC Contract Value]]),IF(ISNUMBER(SnapshotTable[[#This Row],[LC Stop Loss Override]]), SnapshotTable[[#This Row],[LC Stop Loss Override]],SnapshotTable[[#This Row],[LC Stop Loss Calc Target]]),"")</f>
        <v/>
      </c>
      <c r="EF300" s="31" t="str">
        <f>IF(ISNUMBER(SnapshotTable[[#This Row],[LC Stop  To Use]]), (SnapshotTable[[#This Row],[LC Stop  To Use]] * SnapshotTable[[#This Row],[LC Qty]] * 100),"")</f>
        <v/>
      </c>
      <c r="EG300" s="9" t="str">
        <f>IF(ISNUMBER(SnapshotTable[[#This Row],[LC Total Value]]),SnapshotTable[[#This Row],[LC Stop Loss Amount]] - SnapshotTable[[#This Row],[LC Premium]],"")</f>
        <v/>
      </c>
      <c r="EH300" s="9">
        <f>IF(ISNUMBER(SnapshotTable[[#This Row],[LC Premium]]), SnapshotTable[[#This Row],[LC Qty]] * 100 * SnapshotTable[[#This Row],[LC Strike Price]], "")</f>
        <v>0</v>
      </c>
      <c r="EI300" s="240" t="str">
        <f>IF(AND(ISNUMBER(SnapshotTable[[#This Row],[LC Total Value]]),SnapshotTable[[#This Row],[LC Total Value]]&gt;0),SnapshotTable[[#This Row],[LC Stop Gain Loss]]  / SnapshotTable[[#This Row],[LC Premium]],"")</f>
        <v/>
      </c>
      <c r="EJ300" s="35">
        <f>IF(ISNUMBER(SnapshotTable[[#This Row],[Equity Shares]]),TRUNC(SnapshotTable[[#This Row],[Equity Shares]] / 100),0) + SnapshotTable[[#This Row],[LC Qty]]</f>
        <v>0</v>
      </c>
      <c r="EK300" s="147"/>
      <c r="EL300" s="138" t="str">
        <f>IF(SnapshotTable[[#This Row],[SC Exp Date]]&lt;&gt;"",TRUNC(SnapshotTable[[#This Row],[Last Price]]),"")</f>
        <v/>
      </c>
      <c r="EM300" s="148"/>
      <c r="EN300" s="147"/>
      <c r="EO300" s="147"/>
      <c r="EP300" s="138"/>
      <c r="EQ300" s="419" t="b">
        <f>AND(ISNUMBER(SnapshotTable[[#This Row],[SC Exp Date]]), ISNUMBER(SnapshotTable[[#This Row],[SC Strike Price]]), ISNUMBER(SnapshotTable[[#This Row],[SC Qty]]), ISNUMBER(SnapshotTable[[#This Row],[SC Book Date]]), ISNUMBER(SnapshotTable[[#This Row],[SC Book Price]]))</f>
        <v>0</v>
      </c>
      <c r="ER300" s="419" t="b">
        <f>AND(SnapshotTable[[#This Row],[SC Is Booked]], NOT(ISBLANK(SnapshotTable[[#This Row],[SC Fill Date]])))</f>
        <v>0</v>
      </c>
      <c r="ES300" s="370"/>
      <c r="ET300" s="34" t="str">
        <f>IF(AND(ISNUMBER(SnapshotTable[[#This Row],[SC Exp Date]]), ISNUMBER(SnapshotTable[[#This Row],[SC Book Date]])), SnapshotTable[[#This Row],[SC Exp Date]] - MAX(SnapshotTable[[#This Row],[SC Book Date]], SnapshotTable[[#This Row],[SC Fill Date]]) + 1, "")</f>
        <v/>
      </c>
      <c r="EU300" s="34" t="str">
        <f>IF(ISNUMBER(SnapshotTable[[#This Row],[SC Term]]), SnapshotTable[[#This Row],[SC Exp Date]]- MockToday, "")</f>
        <v/>
      </c>
      <c r="EV300" s="31">
        <f>IF(SnapshotTable[[#This Row],[SC Is Booked]], SnapshotTable[[#This Row],[SC Qty]] * SnapshotTable[[#This Row],[SC Book Price]] * 100, 0)</f>
        <v>0</v>
      </c>
      <c r="EW300" s="4" t="str">
        <f>IF(AND(ISNUMBER(SnapshotTable[[#This Row],[Last Price]]), ISNUMBER( SnapshotTable[[#This Row],[SC Book Price]])), SnapshotTable[[#This Row],[Last Price]] - SnapshotTable[[#This Row],[SC Book Price]],"")</f>
        <v/>
      </c>
      <c r="EX300" s="234" t="str">
        <f>IF(SnapshotTable[[#This Row],[SC Is Booked]],IF(SnapshotTable[[#This Row],[SC Intrinsic Value]] &gt; 0, SnapshotTable[[#This Row],[SC Strike Price]], SnapshotTable[[#This Row],[Last Price]]), "")</f>
        <v/>
      </c>
      <c r="EY300" s="4">
        <f>IF(SnapshotTable[[#This Row],[SC Is Booked]], (MinimumPremiumRequired * SnapshotTable[[#This Row],[SC Basis]] * SnapshotTable[[#This Row],[SC Term]]), 0)</f>
        <v>0</v>
      </c>
      <c r="EZ300" s="283"/>
      <c r="FA300" s="218"/>
      <c r="FB300" s="370"/>
      <c r="FC300" s="4">
        <f>IF(SnapshotTable[[#This Row],[SC Is Filled]], btc_max_buyback_amount(SnapshotTable[[#This Row],[SC Fill Date]],SnapshotTable[[#This Row],[SC Exp Date]], SnapshotTable[[#This Row],[SC Book Price]]),0)</f>
        <v>0</v>
      </c>
      <c r="FD300" s="5"/>
      <c r="FE300" s="144" t="str">
        <f>IF(SnapshotTable[[#This Row],[SC Is Filled]], btc_next_cutoff_date(SnapshotTable[[#This Row],[SC Fill Date]],SnapshotTable[[#This Row],[SC Exp Date]]),"")</f>
        <v/>
      </c>
      <c r="FF300" s="4" t="str" cm="1">
        <f t="array" ref="FF300">IF(SnapshotTable[[#This Row],[SC Is Filled]], btc_should_buy_back(SnapshotTable[[#This Row],[SC Fill Date]], SnapshotTable[[#This Row],[SC Exp Date]], SnapshotTable[[#This Row],[SC Book Price]], SnapshotTable[[#This Row],[SC Current Ask]], MockToday, SnapshotTable[[#This Row],[SC Buyback Override]]),"")</f>
        <v/>
      </c>
      <c r="FG300" s="4">
        <f>IF(SnapshotTable[[#This Row],[SC Is Filled]], MAX(0,SnapshotTable[[#This Row],[Last Price]]  - SnapshotTable[[#This Row],[SC Strike Price]]), 0)</f>
        <v>0</v>
      </c>
      <c r="FH300" s="382">
        <f>IF(SnapshotTable[[#This Row],[SC Is Filled]], IF(ISNUMBER(SnapshotTable[[#This Row],[SC Current Ask]]), SnapshotTable[[#This Row],[SC Current Ask]], SnapshotTable[[#This Row],[SC Book Price]]) - SnapshotTable[[#This Row],[SC Intrinsic Value]], 0)</f>
        <v>0</v>
      </c>
      <c r="FI300" s="143"/>
      <c r="FJ300" s="32" t="str">
        <f>IF(SnapshotTable[[#This Row],[SC Is Filled]],100 * SnapshotTable[[#This Row],[SC Qty]] * IF(ISNUMBER(SnapshotTable[[#This Row],[SC Buyback Override]]), SnapshotTable[[#This Row],[SC Buyback Override]], SnapshotTable[[#This Row],[SC Current Ask]]), "")</f>
        <v/>
      </c>
      <c r="FK300" s="250" t="str">
        <f>IF(SnapshotTable[[#This Row],[SC Time Val]]&gt;0, SnapshotTable[[#This Row],[SC Time Val]] / SnapshotTable[[#This Row],[Last Price]],"")</f>
        <v/>
      </c>
      <c r="FL300" s="302" t="str">
        <f>IF(SnapshotTable[[#This Row],[SC Is Booked]], ((SnapshotTable[[#This Row],[Last Price]] -SnapshotTable[[#This Row],[SC Strike Price]]) / SnapshotTable[[#This Row],[Last Price]]) * -1, "")</f>
        <v/>
      </c>
      <c r="FM300" s="157" t="str">
        <f>IF(SnapshotTable[[#This Row],[SC Is Booked]],  (SnapshotTable[[#This Row],[SC Qty]] * 100 * SnapshotTable[[#This Row],[SC Strike Price]]) - SnapshotTable[[#This Row],[SC Current Ask]], "")</f>
        <v/>
      </c>
      <c r="FN30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0" s="31" t="str">
        <f>IF(AND(ISNUMBER(SnapshotTable[[#This Row],[SC Exercise Gross]]), ISNUMBER(SnapshotTable[[#This Row],[Equity Basis Per Share]] )), SnapshotTable[[#This Row],[SC Exercise Gross]] - SnapshotTable[[#This Row],[Equity Basis Total]] +  SnapshotTable[[#This Row],[SC Premium]], "")</f>
        <v/>
      </c>
      <c r="FP300" s="5" t="str">
        <f>IF(ISNUMBER(SnapshotTable[[#This Row],[SC Exercise Gross]]), (SnapshotTable[[#This Row],[SC Exercise Gross]]) / (SnapshotTable[[#This Row],[SC Qty]] * 100), "")</f>
        <v/>
      </c>
      <c r="FQ300" s="27" t="str">
        <f>IF(SnapshotTable[[#This Row],[SC Is Booked]],SnapshotTable[[#This Row],[SC Time Val]] /SnapshotTable[[#This Row],[SC Basis]], "")</f>
        <v/>
      </c>
      <c r="FR300" s="27" t="str" cm="1">
        <f t="array" ref="FR300">IF(AND(ISNUMBER(SnapshotTable[[#This Row],[SC Term]]),ISNUMBER(SnapshotTable[[#This Row],[SC Simple ROO]])), EllmanAnnualize(SnapshotTable[[#This Row],[SC DTE]], SnapshotTable[[#This Row],[SC Simple ROO]] ),"")</f>
        <v/>
      </c>
      <c r="FS300" s="4" t="e">
        <f>IF(SnapshotTable[[#This Row],[SC Strike Price]] &gt; SnapshotTable[[#This Row],[Last Price]], SnapshotTable[[#This Row],[SC Strike Price]] - SnapshotTable[[#This Row],[Last Price]],0)</f>
        <v>#VALUE!</v>
      </c>
      <c r="FT300" s="27" t="e">
        <f>IF(AND(ISNUMBER(SnapshotTable[[#This Row],[SC Upside Potential]]), SnapshotTable[[#This Row],[SC Upside Potential]] &gt; 0),(SnapshotTable[[#This Row],[SC Upside Potential]]/ SnapshotTable[[#This Row],[ACB]]),"")</f>
        <v>#VALUE!</v>
      </c>
      <c r="FU300" s="333" t="str">
        <f>IF(SnapshotTable[[#This Row],[SC Intrinsic Value]] &gt; 0,SnapshotTable[[#This Row],[SC Intrinsic Value]],"")</f>
        <v/>
      </c>
      <c r="FV300" s="27" t="str">
        <f>IF(AND( ISNUMBER( SnapshotTable[[#This Row],[ACB]]),ISNUMBER(SnapshotTable[[#This Row],[SC Downside Protect]])),SnapshotTable[[#This Row],[SC Downside Protect]] / SnapshotTable[[#This Row],[ACB]],"")</f>
        <v/>
      </c>
      <c r="FW300" s="236" t="str">
        <f>IF(AND(ISNUMBER(SnapshotTable[[#This Row],[SC Simple ROO]]),SnapshotTable[[#This Row],[SC Simple ROO]] &gt; 0), SnapshotTable[[#This Row],[SC Premium]] + (SnapshotTable[[#This Row],[SC Qty]] * SnapshotTable[[#This Row],[SC Upside Potential]]), "")</f>
        <v/>
      </c>
      <c r="FX300" s="302" t="str" cm="1">
        <f t="array" ref="FX300">IF(ISNUMBER(SnapshotTable[[#This Row],[SC Max Dollars]]), annualize(SnapshotTable[[#This Row],[SC Term]],(SnapshotTable[[#This Row],[SC Max Dollars]]/SnapshotTable[[#This Row],[SC Basis]])),"")</f>
        <v/>
      </c>
      <c r="FY300" s="236" t="str">
        <f>IF(AND(SnapshotTable[[#This Row],[SC Qty]]&gt;0,SnapshotTable[[#This Row],[SC Current Ask]]&gt;0), SnapshotTable[[#This Row],[SC Qty]] * SnapshotTable[[#This Row],[SC Current Ask]] * -100, "")</f>
        <v/>
      </c>
      <c r="FZ300" s="31" t="str">
        <f>IF(ISNUMBER((SnapshotTable[[#This Row],[SC Current Value]])), SnapshotTable[[#This Row],[SC Premium]] + SnapshotTable[[#This Row],[SC Current Value]], "")</f>
        <v/>
      </c>
      <c r="GA300" s="294" t="str">
        <f>IFERROR( IF(ISNUMBER((SnapshotTable[[#This Row],[SC Current Value]])), SnapshotTable[[#This Row],[SC Gain Loss]] / SnapshotTable[[#This Row],[SC Premium]], ""), "")</f>
        <v/>
      </c>
      <c r="GB300" s="42">
        <f>SnapshotTable[[#This Row],[Equity Shares]] * SaleSharesToConsiderPercentage</f>
        <v>0</v>
      </c>
      <c r="GC300" s="40">
        <f>SnapshotTable[[#This Row],[Long Term Target]] * SellingPriceToConsiderBasedOnTargetPercentage</f>
        <v>317.48050000000001</v>
      </c>
      <c r="GD300" s="40">
        <f>SnapshotTable[[#This Row],[Last Price]] * (1+ SellingPriceToConsiderBasedOnTargetPercentage)</f>
        <v>1026.597</v>
      </c>
      <c r="GE300" s="41"/>
      <c r="GF300" s="40"/>
      <c r="GG300" s="31">
        <f>SnapshotTable[[#This Row],[Booked Sale Shares]] * SnapshotTable[[#This Row],[Booked Sale Price]]</f>
        <v>0</v>
      </c>
      <c r="GH300" s="31" t="str">
        <f>IF(SnapshotTable[[#This Row],[Equity Basis Total]] &gt; 0, SnapshotTable[[#This Row],[Equity Basis Per Share]] * SnapshotTable[[#This Row],[Booked Sale Shares]], "")</f>
        <v/>
      </c>
      <c r="GI300" s="31">
        <f>IF(SnapshotTable[[#This Row],[Sale Proceeds]]&gt;0, SnapshotTable[[#This Row],[Sale Proceeds]] - SnapshotTable[[#This Row],[Sale Basis]], 0)</f>
        <v>0</v>
      </c>
      <c r="GJ300" s="27" t="str">
        <f>IF(SnapshotTable[[#This Row],[Sale G/L]]&gt;0, SnapshotTable[[#This Row],[Sale G/L]] / SnapshotTable[[#This Row],[Sale Basis]], IF(ISNUMBER(SnapshotTable[[#This Row],[SC Exercise P&amp;L (TAX)]]), SnapshotTable[[#This Row],[SC Exercise P&amp;L (TAX)]] / SnapshotTable[[#This Row],[SC Basis]], ""))</f>
        <v/>
      </c>
      <c r="GK300" s="27" t="s">
        <v>765</v>
      </c>
      <c r="GL300" s="43" t="str">
        <f>IF(AND(SnapshotTable[[#This Row],[LP Exp Date]]&gt;0,SnapshotTable[[#This Row],[LP Strike Price]]&gt;0), [1]!ToOptionSymbol(SnapshotTable[[#This Row],[Symbol]], SnapshotTable[[#This Row],[LP Strike Price]],SnapshotTable[[#This Row],[LP Exp Date]],1), "")</f>
        <v/>
      </c>
      <c r="GM300" s="30" t="str">
        <f>IF(LEN(SnapshotTable[[#This Row],[LP Symbol]])&gt;0, 1, "")</f>
        <v/>
      </c>
      <c r="GN300" s="43" t="str">
        <f>IF(AND(SnapshotTable[[#This Row],[SP Exp Date]]&gt;0,SnapshotTable[[#This Row],[SP Strike Price]]&gt;0), [1]!ToOptionSymbol(SnapshotTable[[#This Row],[Symbol]], SnapshotTable[[#This Row],[SP Strike Price]],SnapshotTable[[#This Row],[SP Exp Date]],1), "")</f>
        <v/>
      </c>
      <c r="GO300" s="30" t="str">
        <f>IF(LEN(SnapshotTable[[#This Row],[SP Symbol]])&gt;0, 1, "")</f>
        <v/>
      </c>
      <c r="GP300" s="43" t="str">
        <f>IF(AND(SnapshotTable[[#This Row],[LC Exp Date]]&gt;0,SnapshotTable[[#This Row],[LC Strike Price]]&gt;0), [1]!ToOptionSymbol(SnapshotTable[[#This Row],[Symbol]], SnapshotTable[[#This Row],[LC Strike Price]],SnapshotTable[[#This Row],[LC Exp Date]],0), "")</f>
        <v/>
      </c>
      <c r="GQ300" s="30" t="str">
        <f>IF(LEN(SnapshotTable[[#This Row],[LC Symbol]])&gt;0, 1, "")</f>
        <v/>
      </c>
      <c r="GR300" s="43" t="str">
        <f>IF(AND(SnapshotTable[[#This Row],[SC Exp Date]]&gt;0,SnapshotTable[[#This Row],[SC Strike Price]]&gt;0), [1]!ToOptionSymbol(SnapshotTable[[#This Row],[Symbol]], SnapshotTable[[#This Row],[SC Strike Price]],SnapshotTable[[#This Row],[SC Exp Date]],0), "")</f>
        <v/>
      </c>
      <c r="GS300" s="30" t="str">
        <f>IF(LEN(SnapshotTable[[#This Row],[SC Symbol]])&gt;0, 1, "")</f>
        <v/>
      </c>
      <c r="GT300" s="29" t="str">
        <f>IF(COUNT(SnapshotTable[[#This Row],[LP Symbol Count]],SnapshotTable[[#This Row],[SP Symbol Count]],SnapshotTable[[#This Row],[LC Symbol Count]],SnapshotTable[[#This Row],[SC Symbol Count]])&gt;0, "Y", "")</f>
        <v/>
      </c>
      <c r="GU30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0" s="231" t="e">
        <f>MAX(SnapshotTable[[#This Row],[Equity Basis Total]],SnapshotTable[[#This Row],[Equity Value]]) + (SnapshotTable[[#This Row],[SP Potential Spend]]- SnapshotTable[[#This Row],[SP Premium]] + SnapshotTable[[#This Row],[LP Premium]])+ (SnapshotTable[[#This Row],[LC Premium]] - SnapshotTable[[#This Row],[SC Premium]])</f>
        <v>#VALUE!</v>
      </c>
      <c r="GW300" s="139" t="e">
        <f>IF(AND(SnapshotTable[[#This Row],[Exposure]] &lt;&gt; 0),SnapshotTable[[#This Row],[Exposure]] / SnapshotTable[[#Totals],[Exposure]], "")</f>
        <v>#VALUE!</v>
      </c>
      <c r="HK300" s="1"/>
      <c r="HL300" s="1"/>
      <c r="HM300" s="1"/>
      <c r="HN300" s="1"/>
      <c r="HO300" s="1"/>
      <c r="HP300" s="1"/>
    </row>
    <row r="301" spans="2:224" ht="12.75" hidden="1" customHeight="1" x14ac:dyDescent="0.25">
      <c r="B301" s="12" t="s">
        <v>521</v>
      </c>
      <c r="C301" s="422">
        <v>190.94</v>
      </c>
      <c r="D301" s="208"/>
      <c r="E301" s="39">
        <f>SnapshotTable[[#This Row],[Last Price]]*(1 -CrashDiscount)</f>
        <v>162.29900000000001</v>
      </c>
      <c r="F301" s="26" t="s">
        <v>522</v>
      </c>
      <c r="G301" s="26" t="s">
        <v>9</v>
      </c>
      <c r="H301" s="149"/>
      <c r="I301" s="194">
        <v>45041.288194444445</v>
      </c>
      <c r="J301" s="195">
        <v>45041.288194444445</v>
      </c>
      <c r="K301" s="196" t="s">
        <v>3</v>
      </c>
      <c r="L301" s="326" t="s">
        <v>523</v>
      </c>
      <c r="M301" s="140"/>
      <c r="N301" s="140"/>
      <c r="O301" s="140"/>
      <c r="P301" s="22"/>
      <c r="Q301" s="25"/>
      <c r="R301" s="4" t="str">
        <f>IF(SnapshotTable[[#This Row],[Equity Basis Total]] &gt; 0, SnapshotTable[[#This Row],[Equity Basis Total]] / SnapshotTable[[#This Row],[Equity Shares]], "")</f>
        <v/>
      </c>
      <c r="S301" s="269">
        <f>SnapshotTable[[#This Row],[Last Price]] * SnapshotTable[[#This Row],[Equity Shares]]</f>
        <v>0</v>
      </c>
      <c r="T301" s="269">
        <f>SnapshotTable[[#This Row],[Equity Value]] - SnapshotTable[[#This Row],[Equity Basis Total]]</f>
        <v>0</v>
      </c>
      <c r="U301" s="270" t="str">
        <f>IF(SnapshotTable[[#This Row],[Equity Basis Total]] &gt; 0, SnapshotTable[[#This Row],[Equity G/L]] / SnapshotTable[[#This Row],[Equity Basis Total]], "")</f>
        <v/>
      </c>
      <c r="V301" s="268"/>
      <c r="W301" s="268"/>
      <c r="X301" s="4" t="str">
        <f>IF(AND(ISNUMBER(SnapshotTable[[#This Row],[Equity Basis Per Share]]),ISNUMBER(SnapshotTable[[#This Row],[Equity Target]])),SnapshotTable[[#This Row],[Equity Target]]-SnapshotTable[[#This Row],[Equity Basis Per Share]],"")</f>
        <v/>
      </c>
      <c r="Y301" s="4" t="str">
        <f>IF(AND(ISNUMBER(SnapshotTable[[#This Row],[Equity Basis Per Share]]),ISNUMBER(SnapshotTable[[#This Row],[Equity Stop Loss]])),SnapshotTable[[#This Row],[Equity Stop Loss]]-SnapshotTable[[#This Row],[Equity Basis Per Share]],"")</f>
        <v/>
      </c>
      <c r="Z301" s="275" t="str">
        <f>IFERROR( TEXT(SnapshotTable[[#This Row],[Equity Max Gain Per Share]] /ABS( SnapshotTable[[#This Row],[Equity Max Loss Per Share]]),"0.0 " ) &amp; " : 1", "")</f>
        <v/>
      </c>
      <c r="AA301" s="31" t="str">
        <f>IF(ISNUMBER(SnapshotTable[[#This Row],[Equity Max Gain Per Share]]),SnapshotTable[[#This Row],[Equity Max Gain Per Share]] * SnapshotTable[[#This Row],[Equity Shares]],"")</f>
        <v/>
      </c>
      <c r="AB301" s="31" t="str">
        <f>IF(ISNUMBER(SnapshotTable[[#This Row],[Equity Max Loss Per Share]]),SnapshotTable[[#This Row],[Equity Max Loss Per Share]] * SnapshotTable[[#This Row],[Equity Shares]],"")</f>
        <v/>
      </c>
      <c r="AC301" s="150"/>
      <c r="AD301" s="151"/>
      <c r="AE301" s="31">
        <f>(SnapshotTable[[#This Row],[Annual Dividend Per Share]] / 4) * SnapshotTable[[#This Row],[Equity Shares]]</f>
        <v>0</v>
      </c>
      <c r="AF301" s="31">
        <f>SnapshotTable[[#This Row],[Quarterly Div $]] * 4</f>
        <v>0</v>
      </c>
      <c r="AG301" s="7">
        <f>IF(SnapshotTable[[#This Row],[Annual Dividend Per Share]]&gt;0, SnapshotTable[[#This Row],[Annual Dividend Per Share]]  / SnapshotTable[[#This Row],[Last Price]], 0)</f>
        <v>0</v>
      </c>
      <c r="AH301" s="151"/>
      <c r="AI301" s="5"/>
      <c r="AJ301" s="138">
        <v>177.95</v>
      </c>
      <c r="AK301" s="152" t="str">
        <f>IF(ISNUMBER( SnapshotTable[[#This Row],[EBF Target]]),(SnapshotTable[[#This Row],[EBF Target]] - SnapshotTable[[#This Row],[Last Price]]) / SnapshotTable[[#This Row],[Last Price]], "")</f>
        <v/>
      </c>
      <c r="AL301" s="152" t="str">
        <f>IF(AND(SnapshotTable[[#This Row],[Equity Basis Total]] &gt; 0,ISNUMBER( SnapshotTable[[#This Row],[Long Term Target]])), SnapshotTable[[#This Row],[From Basis $]] / SnapshotTable[[#This Row],[Equity Basis Total]], "")</f>
        <v/>
      </c>
      <c r="AM301" s="9">
        <f>IF( AND(SnapshotTable[[#This Row],[Equity Shares]] &gt;0,ISNUMBER( SnapshotTable[[#This Row],[Long Term Target]])),(SnapshotTable[[#This Row],[Equity Shares]] * SnapshotTable[[#This Row],[Long Term Target]]) - SnapshotTable[[#This Row],[Equity Basis Total]],0)</f>
        <v>0</v>
      </c>
      <c r="AN301" s="9">
        <f>IF( AND(SnapshotTable[[#This Row],[Equity Shares]] &gt;0,ISNUMBER( SnapshotTable[[#This Row],[Long Term Target]])),(SnapshotTable[[#This Row],[Equity Shares]]*SnapshotTable[[#This Row],[Long Term Target]]) - SnapshotTable[[#This Row],[Equity Value]],0)</f>
        <v>0</v>
      </c>
      <c r="AO301" s="152">
        <f>IF(AND(ISNUMBER( SnapshotTable[[#This Row],[Long Term Target]]), ISNUMBER(SnapshotTable[[#This Row],[Last Price]])),(SnapshotTable[[#This Row],[Long Term Target]] - SnapshotTable[[#This Row],[Last Price]]) / SnapshotTable[[#This Row],[Last Price]], "")</f>
        <v>-6.803184246360118E-2</v>
      </c>
      <c r="AP301" s="5">
        <v>145</v>
      </c>
      <c r="AQ301" s="38" t="s">
        <v>38</v>
      </c>
      <c r="AR301" s="5">
        <v>145</v>
      </c>
      <c r="AS301" s="38" t="s">
        <v>45</v>
      </c>
      <c r="AT301" s="146" t="s">
        <v>532</v>
      </c>
      <c r="AU301" s="187" t="str">
        <f>IF(OR(SnapshotTable[[#This Row],[LP No Fill]]="Y",SnapshotTable[[#This Row],[SP Is Filled]],SnapshotTable[[#This Row],[LC Not Filled]]="Y",SnapshotTable[[#This Row],[SC Is Filled]]),"Y","")</f>
        <v/>
      </c>
      <c r="AV301" s="219"/>
      <c r="AW301" s="225"/>
      <c r="AX301" s="220"/>
      <c r="AY301" s="219" t="str">
        <f>IF(SnapshotTable[[#This Row],[Implied Move]]&gt;0, SnapshotTable[[#This Row],[Last Price]]-SnapshotTable[[#This Row],[Implied Move]],"")</f>
        <v/>
      </c>
      <c r="AZ301" s="219" t="str">
        <f>IF(SnapshotTable[[#This Row],[Implied Move]]&gt;0, SnapshotTable[[#This Row],[Last Price]] + SnapshotTable[[#This Row],[Implied Move]],"")</f>
        <v/>
      </c>
      <c r="BA301" s="331">
        <v>-1.19</v>
      </c>
      <c r="BB301" s="347" t="s">
        <v>1079</v>
      </c>
      <c r="BC30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1" s="351"/>
      <c r="BE301" s="5"/>
      <c r="BF301" s="14"/>
      <c r="BG301" s="13"/>
      <c r="BH301" s="13"/>
      <c r="BI301" s="5"/>
      <c r="BJ301" s="136">
        <f>IF(SnapshotTable[[#This Row],[LP Qty]] &gt; 0, SnapshotTable[[#This Row],[LP Qty]] * SnapshotTable[[#This Row],[LP Book Price]] * 100,0)</f>
        <v>0</v>
      </c>
      <c r="BK301" s="136">
        <f>IF(SnapshotTable[[#This Row],[LP Premium]] &gt; 0, SnapshotTable[[#This Row],[LP Qty]] * SnapshotTable[[#This Row],[LP Strike Price]] * 100,0)</f>
        <v>0</v>
      </c>
      <c r="BL301" s="154"/>
      <c r="BM301" s="385" t="str">
        <f>IF(SnapshotTable[[#This Row],[LP Premium]] &gt; 0,SnapshotTable[[#This Row],[LP Exp Date]]-MAX(SnapshotTable[[#This Row],[LP Book Date]], SnapshotTable[[#This Row],[LP Fill Date]]),"")</f>
        <v/>
      </c>
      <c r="BN301" s="385" t="str">
        <f>IF(ISNUMBER( SnapshotTable[[#This Row],[LP Term]]), SnapshotTable[[#This Row],[LP Exp Date]] - MockToday,"")</f>
        <v/>
      </c>
      <c r="BO301" s="163" t="str">
        <f>IF(AND(SnapshotTable[[#This Row],[LP Exp Date]]&gt;0, SnapshotTable[[#This Row],[LP Strike Price]]&gt;0,SnapshotTable[[#This Row],[LP Qty]]&gt;0,SnapshotTable[[#This Row],[LP Book Date]]&gt;0,SnapshotTable[[#This Row],[LP Book Price]]&gt;0,SnapshotTable[[#This Row],[LP Fill Date]]=0),"Y","")</f>
        <v/>
      </c>
      <c r="BP301" s="31" t="str">
        <f>IF(AND(SnapshotTable[[#This Row],[LP No Fill]]&lt;&gt;"Y",SnapshotTable[[#This Row],[LP Contract Value]]&gt;0, SnapshotTable[[#This Row],[LP Qty]]&gt;0), SnapshotTable[[#This Row],[LP Contract Value]]*SnapshotTable[[#This Row],[LP Qty]]*100,"")</f>
        <v/>
      </c>
      <c r="BQ301" s="13"/>
      <c r="BR301" s="5" t="str">
        <f>IF(SnapshotTable[[#This Row],[SP Exp Date]]&lt;&gt;"",TRUNC(SnapshotTable[[#This Row],[Last Price]]),"")</f>
        <v/>
      </c>
      <c r="BS301" s="36"/>
      <c r="BT301" s="147"/>
      <c r="BU301" s="13"/>
      <c r="BV301" s="5"/>
      <c r="BW301" s="419" t="b">
        <f>AND(ISNUMBER(SnapshotTable[[#This Row],[SP Exp Date]]), ISNUMBER(SnapshotTable[[#This Row],[SP Strike Price]]), ISNUMBER(SnapshotTable[[#This Row],[SP Qty]]), ISNUMBER(SnapshotTable[[#This Row],[SP Book Date]]), ISNUMBER(SnapshotTable[[#This Row],[SP Book Price]]))</f>
        <v>0</v>
      </c>
      <c r="BX301" s="419" t="b">
        <f>AND(SnapshotTable[[#This Row],[SP Is Booked]], NOT(ISBLANK(SnapshotTable[[#This Row],[SP Fill Date]])))</f>
        <v>0</v>
      </c>
      <c r="BY301" s="33">
        <f>IF(SnapshotTable[[#This Row],[SP Is Booked]], SnapshotTable[[#This Row],[SP Qty]] * SnapshotTable[[#This Row],[SP Book Price]] * 100, 0)</f>
        <v>0</v>
      </c>
      <c r="BZ301" s="369"/>
      <c r="CA301" s="368">
        <f>SnapshotTable[[#This Row],[LP Qty]]</f>
        <v>0</v>
      </c>
      <c r="CB301" s="4" t="str">
        <f>IF(SnapshotTable[[#This Row],[SP Is Booked]], SnapshotTable[[#This Row],[SP Strike Price]] - SnapshotTable[[#This Row],[SP Book Price]], "")</f>
        <v/>
      </c>
      <c r="CC301" s="19" t="str">
        <f>IF(SnapshotTable[[#This Row],[SP Is Booked]],SnapshotTable[[#This Row],[SP Exp Date]]-MAX(SnapshotTable[[#This Row],[SP Book Date]], SnapshotTable[[#This Row],[SP Fill Date]]),"")</f>
        <v/>
      </c>
      <c r="CD301" s="7" t="str">
        <f>IF(SnapshotTable[[#This Row],[SP Is Booked]], SnapshotTable[[#This Row],[SP Book Price]]/SnapshotTable[[#This Row],[SP Strike Price]], "")</f>
        <v/>
      </c>
      <c r="CE301" s="7" t="str">
        <f>IF(ISNUMBER(SnapshotTable[[#This Row],[SP ROO Term]]),SnapshotTable[[#This Row],[SP ROO Term]]*(365/SnapshotTable[[#This Row],[SP Term]]),"")</f>
        <v/>
      </c>
      <c r="CF301" s="236">
        <f>SnapshotTable[[#This Row],[LP Strike Price]] * SnapshotTable[[#This Row],[LP Qty]] * 100</f>
        <v>0</v>
      </c>
      <c r="CG301" s="31" t="e">
        <f>IF(ISNUMBER(SnapshotTable[[#This Row],[SP Premium]]), (SnapshotTable[[#This Row],[SP Qty]] * SnapshotTable[[#This Row],[SP Strike Price]]* 100) - SnapshotTable[[#This Row],[LP Protection]], 0)</f>
        <v>#VALUE!</v>
      </c>
      <c r="CH301" s="7" t="str">
        <f>IF(ISNUMBER(SnapshotTable[[#This Row],[SP Break Even]]),-1 * (SnapshotTable[[#This Row],[SP Break Even]] - SnapshotTable[[#This Row],[Last Price]]) / SnapshotTable[[#This Row],[Last Price]], "")</f>
        <v/>
      </c>
      <c r="CI301" s="31">
        <f>IF(AND(ISNUMBER((SnapshotTable[[#This Row],[SP Potential Spend]])), SnapshotTable[[#This Row],[SP Strike Price]] &gt; SnapshotTable[[#This Row],[Last Price]], SnapshotTable[[#This Row],[SP Is Filled]]), SnapshotTable[[#This Row],[SP Potential Spend]] -  SnapshotTable[[#This Row],[LP Max Value]], 0)</f>
        <v>0</v>
      </c>
      <c r="CJ301" s="244"/>
      <c r="CK301" s="31" t="str">
        <f>IF(ISNUMBER(SnapshotTable[[#This Row],[SP Potential Spend]]),IF(ISNUMBER(SnapshotTable[[#This Row],[SP POW]]), SnapshotTable[[#This Row],[SP POW]] * SnapshotTable[[#This Row],[SP Potential Spend]], SnapshotTable[[#This Row],[SP Potential Spend]]), "")</f>
        <v/>
      </c>
      <c r="CL301" s="164" t="e">
        <f>IF(NOT(SnapshotTable[[#This Row],[SP Is Filled]]),(SnapshotTable[[#This Row],[SP Qty]] * SnapshotTable[[#This Row],[SP Strike Price]] * 100) - SnapshotTable[[#This Row],[LP Max Value]],"")</f>
        <v>#VALUE!</v>
      </c>
      <c r="CM301" s="31" t="str">
        <f>IF(SnapshotTable[[#This Row],[SP Actual Spend]]&lt;&gt;0, ((SnapshotTable[[#This Row],[SP Strike Price]]-SnapshotTable[[#This Row],[Last Price]]) *(SnapshotTable[[#This Row],[SP Qty]]*100) - SnapshotTable[[#This Row],[SP Premium]]) * - 1, "")</f>
        <v/>
      </c>
      <c r="CN301" s="78"/>
      <c r="CO301" s="369"/>
      <c r="CP301" s="4" t="str">
        <f>IF(SnapshotTable[[#This Row],[SP Is Filled]], btc_max_buyback_amount(SnapshotTable[[#This Row],[SP Fill Date]],SnapshotTable[[#This Row],[SP Exp Date]], SnapshotTable[[#This Row],[SP Book Price]]),"")</f>
        <v/>
      </c>
      <c r="CQ301" s="78"/>
      <c r="CR30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1" s="155" t="str">
        <f>IF(SnapshotTable[[#This Row],[SP Is Filled]], btc_next_cutoff_date(SnapshotTable[[#This Row],[SP Fill Date]],SnapshotTable[[#This Row],[SP Exp Date]]),"")</f>
        <v/>
      </c>
      <c r="CT301" s="235" t="str" cm="1">
        <f t="array" ref="CT301">IF(SnapshotTable[[#This Row],[SP Is Filled]], btc_should_buy_back(SnapshotTable[[#This Row],[SP Fill Date]], SnapshotTable[[#This Row],[SP Exp Date]], SnapshotTable[[#This Row],[SP Book Price]], SnapshotTable[[#This Row],[SP Current Ask]], MockToday, SnapshotTable[[#This Row],[SP Buyback Override]]),"")</f>
        <v/>
      </c>
      <c r="CU301" s="143"/>
      <c r="CV301" s="235"/>
      <c r="CW301" s="378" t="str">
        <f>IF(ISNUMBER( SnapshotTable[[#This Row],[SP Term]]), SnapshotTable[[#This Row],[SP Exp Date]] - MockToday,"")</f>
        <v/>
      </c>
      <c r="CX301" s="31" t="str">
        <f>IF(SnapshotTable[[#This Row],[SP Is Filled]],SnapshotTable[[#This Row],[SP Buyback Price to Use]] * 100 * SnapshotTable[[#This Row],[SP Qty]], "")</f>
        <v/>
      </c>
      <c r="CY301" s="4" t="str">
        <f>IF(ISNUMBER(SnapshotTable[[#This Row],[SP Strike Price]]), SnapshotTable[[#This Row],[SP Strike Price]] * (1 - SP_MaxLoss_StrikePct), "")</f>
        <v/>
      </c>
      <c r="CZ301" s="31" t="str">
        <f>IF(ISNUMBER(SnapshotTable[[#This Row],[SP Strike  Stop Per Share]]),SnapshotTable[[#This Row],[SP Premium]] - ((SnapshotTable[[#This Row],[SP Strike Price]]-SnapshotTable[[#This Row],[SP Strike  Stop Per Share]]) *(SnapshotTable[[#This Row],[SP Qty]] * 100)),"")</f>
        <v/>
      </c>
      <c r="DA301" s="4" t="str">
        <f>IF(AND(ISNUMBER(SnapshotTable[[#This Row],[SP Premium]]),SnapshotTable[[#This Row],[SP Premium]]&gt;0), SnapshotTable[[#This Row],[SP Book Price]] * (1 + SP_MaxLoss_OptionPct), "")</f>
        <v/>
      </c>
      <c r="DB301" s="31" t="str">
        <f>IF(ISNUMBER(SnapshotTable[[#This Row],[SP Option  Stop Contract]]),(SnapshotTable[[#This Row],[SP Option  Stop Contract]] *(SnapshotTable[[#This Row],[SP Qty]] * 100) - SnapshotTable[[#This Row],[SP Premium]]),"")</f>
        <v/>
      </c>
      <c r="DC301" s="4"/>
      <c r="DD301" s="4"/>
      <c r="DE301" s="4" t="str">
        <f>IF(AND(SnapshotTable[[#This Row],[SP Qty]]&gt;0, SnapshotTable[[#This Row],[SP Stop To Use]]&gt;0),SnapshotTable[[#This Row],[SP Premium]] - ( SnapshotTable[[#This Row],[SP Qty]] * SnapshotTable[[#This Row],[SP Stop To Use]] * 100), "")</f>
        <v/>
      </c>
      <c r="DF301" s="31" t="str">
        <f>IF(AND(SnapshotTable[[#This Row],[SP Qty]]&gt;0,SnapshotTable[[#This Row],[SP Current Ask]]&gt;0), SnapshotTable[[#This Row],[SP Qty]] * SnapshotTable[[#This Row],[SP Current Ask]] * -100, "")</f>
        <v/>
      </c>
      <c r="DG301" s="31" t="str">
        <f>IF(ISNUMBER((SnapshotTable[[#This Row],[SP Total Value]])), SnapshotTable[[#This Row],[SP Premium]] + SnapshotTable[[#This Row],[SP Total Value]], "")</f>
        <v/>
      </c>
      <c r="DH301" s="294" t="str">
        <f>IF(ISNUMBER((SnapshotTable[[#This Row],[SP Total Value]])), SnapshotTable[[#This Row],[SP Gain Loss]] / SnapshotTable[[#This Row],[SP Premium]], "")</f>
        <v/>
      </c>
      <c r="DI301" s="406"/>
      <c r="DJ301" s="138"/>
      <c r="DK301" s="148"/>
      <c r="DL301" s="13"/>
      <c r="DM301" s="13"/>
      <c r="DO301" s="31">
        <f>IF(SnapshotTable[[#This Row],[LC Symbol Count]]=1, SnapshotTable[[#This Row],[LC Qty]] * SnapshotTable[[#This Row],[LC Book Price]] * 100, 0)</f>
        <v>0</v>
      </c>
      <c r="DP301" s="163" t="str">
        <f>IF(AND(SnapshotTable[[#This Row],[LC Exp Date]]&gt;0, SnapshotTable[[#This Row],[LC Strike Price]]&gt;0,SnapshotTable[[#This Row],[LC Qty]]&gt;0,SnapshotTable[[#This Row],[LC Book Date]]&gt;0,SnapshotTable[[#This Row],[LC Book Price]]&gt;0,SnapshotTable[[#This Row],[LC Fill Date]]=0),"Y","")</f>
        <v/>
      </c>
      <c r="DQ301" s="386" t="str">
        <f>IF(SnapshotTable[[#This Row],[LC Premium]] &gt; 0,SnapshotTable[[#This Row],[LC Exp Date]]-MAX(SnapshotTable[[#This Row],[LC Book Date]], SnapshotTable[[#This Row],[LC Fill Date]]),"")</f>
        <v/>
      </c>
      <c r="DR301" s="386" t="str">
        <f>IF(ISNUMBER(SnapshotTable[[#This Row],[LC Term]]), SnapshotTable[[#This Row],[LC Exp Date]] - MockToday, "")</f>
        <v/>
      </c>
      <c r="DS301" s="234" t="str">
        <f>IF(SnapshotTable[[#This Row],[LC Premium]]&gt;0,SnapshotTable[[#This Row],[LC Strike Price]] + SnapshotTable[[#This Row],[LC Book Price]],"")</f>
        <v/>
      </c>
      <c r="DU301" s="9" t="str">
        <f>IF(AND(SnapshotTable[[#This Row],[LC Symbol Count]]&gt;0, SnapshotTable[[#This Row],[LC Contract Value]]&gt;0), SnapshotTable[[#This Row],[LC Contract Value]] * SnapshotTable[[#This Row],[LC Qty]] * 100, "")</f>
        <v/>
      </c>
      <c r="DV301" s="9" t="str">
        <f>IF(AND(ISNUMBER(SnapshotTable[[#This Row],[LC Total Value]]), SnapshotTable[[#This Row],[LC Not Filled]]&lt;&gt;"Y"), SnapshotTable[[#This Row],[LC Total Value]]-SnapshotTable[[#This Row],[LC Premium]],"")</f>
        <v/>
      </c>
      <c r="DW301" s="240" t="str">
        <f>IF(ISNUMBER(SnapshotTable[[#This Row],[LC Actual Gain Loss]]), SnapshotTable[[#This Row],[LC Actual Gain Loss]] / SnapshotTable[[#This Row],[LC Premium]],"")</f>
        <v/>
      </c>
      <c r="DX301" s="284" t="str">
        <f>IF(ISNUMBER(SnapshotTable[[#This Row],[LC Book Price]]),SnapshotTable[[#This Row],[LC Book Price]] * 1.5,"")</f>
        <v/>
      </c>
      <c r="DY301" s="265" t="str">
        <f>IF(SnapshotTable[[#This Row],[LC Premium]]&gt;0, SnapshotTable[[#This Row],[LC Next Target]] * SnapshotTable[[#This Row],[LC Qty]] * 100,"")</f>
        <v/>
      </c>
      <c r="DZ301" s="265" t="str">
        <f>IF(ISNUMBER(SnapshotTable[[#This Row],[LC Target Gross]]), SnapshotTable[[#This Row],[LC Target Gross]] - SnapshotTable[[#This Row],[LC Premium]], "")</f>
        <v/>
      </c>
      <c r="EA301" s="305" t="str">
        <f>IF(ISNUMBER(SnapshotTable[[#This Row],[LC Target Gain Loss]]), SnapshotTable[[#This Row],[LC Target Gain Loss]]/SnapshotTable[[#This Row],[LC Premium]], "")</f>
        <v/>
      </c>
      <c r="EB301" s="262"/>
      <c r="EC301" s="283" t="str">
        <f>IF(SnapshotTable[[#This Row],[LC Premium]]&gt;0, SnapshotTable[[#This Row],[LC Book Price]] * (1 - LC_StopLoss_Pct),"")</f>
        <v/>
      </c>
      <c r="ED301" s="284"/>
      <c r="EE301" s="283" t="str">
        <f>IF(ISNUMBER(SnapshotTable[[#This Row],[LC Contract Value]]),IF(ISNUMBER(SnapshotTable[[#This Row],[LC Stop Loss Override]]), SnapshotTable[[#This Row],[LC Stop Loss Override]],SnapshotTable[[#This Row],[LC Stop Loss Calc Target]]),"")</f>
        <v/>
      </c>
      <c r="EF301" s="31" t="str">
        <f>IF(ISNUMBER(SnapshotTable[[#This Row],[LC Stop  To Use]]), (SnapshotTable[[#This Row],[LC Stop  To Use]] * SnapshotTable[[#This Row],[LC Qty]] * 100),"")</f>
        <v/>
      </c>
      <c r="EG301" s="9" t="str">
        <f>IF(ISNUMBER(SnapshotTable[[#This Row],[LC Total Value]]),SnapshotTable[[#This Row],[LC Stop Loss Amount]] - SnapshotTable[[#This Row],[LC Premium]],"")</f>
        <v/>
      </c>
      <c r="EH301" s="9">
        <f>IF(ISNUMBER(SnapshotTable[[#This Row],[LC Premium]]), SnapshotTable[[#This Row],[LC Qty]] * 100 * SnapshotTable[[#This Row],[LC Strike Price]], "")</f>
        <v>0</v>
      </c>
      <c r="EI301" s="240" t="str">
        <f>IF(AND(ISNUMBER(SnapshotTable[[#This Row],[LC Total Value]]),SnapshotTable[[#This Row],[LC Total Value]]&gt;0),SnapshotTable[[#This Row],[LC Stop Gain Loss]]  / SnapshotTable[[#This Row],[LC Premium]],"")</f>
        <v/>
      </c>
      <c r="EJ301" s="35">
        <f>IF(ISNUMBER(SnapshotTable[[#This Row],[Equity Shares]]),TRUNC(SnapshotTable[[#This Row],[Equity Shares]] / 100),0) + SnapshotTable[[#This Row],[LC Qty]]</f>
        <v>0</v>
      </c>
      <c r="EK301" s="147"/>
      <c r="EL301" s="138" t="str">
        <f>IF(SnapshotTable[[#This Row],[SC Exp Date]]&lt;&gt;"",TRUNC(SnapshotTable[[#This Row],[Last Price]]),"")</f>
        <v/>
      </c>
      <c r="EM301" s="148"/>
      <c r="EN301" s="147"/>
      <c r="EO301" s="147"/>
      <c r="EP301" s="138"/>
      <c r="EQ301" s="419" t="b">
        <f>AND(ISNUMBER(SnapshotTable[[#This Row],[SC Exp Date]]), ISNUMBER(SnapshotTable[[#This Row],[SC Strike Price]]), ISNUMBER(SnapshotTable[[#This Row],[SC Qty]]), ISNUMBER(SnapshotTable[[#This Row],[SC Book Date]]), ISNUMBER(SnapshotTable[[#This Row],[SC Book Price]]))</f>
        <v>0</v>
      </c>
      <c r="ER301" s="419" t="b">
        <f>AND(SnapshotTable[[#This Row],[SC Is Booked]], NOT(ISBLANK(SnapshotTable[[#This Row],[SC Fill Date]])))</f>
        <v>0</v>
      </c>
      <c r="ES301" s="370"/>
      <c r="ET301" s="34" t="str">
        <f>IF(AND(ISNUMBER(SnapshotTable[[#This Row],[SC Exp Date]]), ISNUMBER(SnapshotTable[[#This Row],[SC Book Date]])), SnapshotTable[[#This Row],[SC Exp Date]] - MAX(SnapshotTable[[#This Row],[SC Book Date]], SnapshotTable[[#This Row],[SC Fill Date]]) + 1, "")</f>
        <v/>
      </c>
      <c r="EU301" s="34" t="str">
        <f>IF(ISNUMBER(SnapshotTable[[#This Row],[SC Term]]), SnapshotTable[[#This Row],[SC Exp Date]]- MockToday, "")</f>
        <v/>
      </c>
      <c r="EV301" s="31">
        <f>IF(SnapshotTable[[#This Row],[SC Is Booked]], SnapshotTable[[#This Row],[SC Qty]] * SnapshotTable[[#This Row],[SC Book Price]] * 100, 0)</f>
        <v>0</v>
      </c>
      <c r="EW301" s="4" t="str">
        <f>IF(AND(ISNUMBER(SnapshotTable[[#This Row],[Last Price]]), ISNUMBER( SnapshotTable[[#This Row],[SC Book Price]])), SnapshotTable[[#This Row],[Last Price]] - SnapshotTable[[#This Row],[SC Book Price]],"")</f>
        <v/>
      </c>
      <c r="EX301" s="234" t="str">
        <f>IF(SnapshotTable[[#This Row],[SC Is Booked]],IF(SnapshotTable[[#This Row],[SC Intrinsic Value]] &gt; 0, SnapshotTable[[#This Row],[SC Strike Price]], SnapshotTable[[#This Row],[Last Price]]), "")</f>
        <v/>
      </c>
      <c r="EY301" s="4">
        <f>IF(SnapshotTable[[#This Row],[SC Is Booked]], (MinimumPremiumRequired * SnapshotTable[[#This Row],[SC Basis]] * SnapshotTable[[#This Row],[SC Term]]), 0)</f>
        <v>0</v>
      </c>
      <c r="EZ301" s="283"/>
      <c r="FA301" s="218"/>
      <c r="FB301" s="370"/>
      <c r="FC301" s="4">
        <f>IF(SnapshotTable[[#This Row],[SC Is Filled]], btc_max_buyback_amount(SnapshotTable[[#This Row],[SC Fill Date]],SnapshotTable[[#This Row],[SC Exp Date]], SnapshotTable[[#This Row],[SC Book Price]]),0)</f>
        <v>0</v>
      </c>
      <c r="FD301" s="5"/>
      <c r="FE301" s="144" t="str">
        <f>IF(SnapshotTable[[#This Row],[SC Is Filled]], btc_next_cutoff_date(SnapshotTable[[#This Row],[SC Fill Date]],SnapshotTable[[#This Row],[SC Exp Date]]),"")</f>
        <v/>
      </c>
      <c r="FF301" s="4" t="str" cm="1">
        <f t="array" ref="FF301">IF(SnapshotTable[[#This Row],[SC Is Filled]], btc_should_buy_back(SnapshotTable[[#This Row],[SC Fill Date]], SnapshotTable[[#This Row],[SC Exp Date]], SnapshotTable[[#This Row],[SC Book Price]], SnapshotTable[[#This Row],[SC Current Ask]], MockToday, SnapshotTable[[#This Row],[SC Buyback Override]]),"")</f>
        <v/>
      </c>
      <c r="FG301" s="4">
        <f>IF(SnapshotTable[[#This Row],[SC Is Filled]], MAX(0,SnapshotTable[[#This Row],[Last Price]]  - SnapshotTable[[#This Row],[SC Strike Price]]), 0)</f>
        <v>0</v>
      </c>
      <c r="FH301" s="382">
        <f>IF(SnapshotTable[[#This Row],[SC Is Filled]], IF(ISNUMBER(SnapshotTable[[#This Row],[SC Current Ask]]), SnapshotTable[[#This Row],[SC Current Ask]], SnapshotTable[[#This Row],[SC Book Price]]) - SnapshotTable[[#This Row],[SC Intrinsic Value]], 0)</f>
        <v>0</v>
      </c>
      <c r="FI301" s="143"/>
      <c r="FJ301" s="32" t="str">
        <f>IF(SnapshotTable[[#This Row],[SC Is Filled]],100 * SnapshotTable[[#This Row],[SC Qty]] * IF(ISNUMBER(SnapshotTable[[#This Row],[SC Buyback Override]]), SnapshotTable[[#This Row],[SC Buyback Override]], SnapshotTable[[#This Row],[SC Current Ask]]), "")</f>
        <v/>
      </c>
      <c r="FK301" s="250" t="str">
        <f>IF(SnapshotTable[[#This Row],[SC Time Val]]&gt;0, SnapshotTable[[#This Row],[SC Time Val]] / SnapshotTable[[#This Row],[Last Price]],"")</f>
        <v/>
      </c>
      <c r="FL301" s="302" t="str">
        <f>IF(SnapshotTable[[#This Row],[SC Is Booked]], ((SnapshotTable[[#This Row],[Last Price]] -SnapshotTable[[#This Row],[SC Strike Price]]) / SnapshotTable[[#This Row],[Last Price]]) * -1, "")</f>
        <v/>
      </c>
      <c r="FM301" s="157" t="str">
        <f>IF(SnapshotTable[[#This Row],[SC Is Booked]],  (SnapshotTable[[#This Row],[SC Qty]] * 100 * SnapshotTable[[#This Row],[SC Strike Price]]) - SnapshotTable[[#This Row],[SC Current Ask]], "")</f>
        <v/>
      </c>
      <c r="FN30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1" s="31" t="str">
        <f>IF(AND(ISNUMBER(SnapshotTable[[#This Row],[SC Exercise Gross]]), ISNUMBER(SnapshotTable[[#This Row],[Equity Basis Per Share]] )), SnapshotTable[[#This Row],[SC Exercise Gross]] - SnapshotTable[[#This Row],[Equity Basis Total]] +  SnapshotTable[[#This Row],[SC Premium]], "")</f>
        <v/>
      </c>
      <c r="FP301" s="5" t="str">
        <f>IF(ISNUMBER(SnapshotTable[[#This Row],[SC Exercise Gross]]), (SnapshotTable[[#This Row],[SC Exercise Gross]]) / (SnapshotTable[[#This Row],[SC Qty]] * 100), "")</f>
        <v/>
      </c>
      <c r="FQ301" s="27" t="str">
        <f>IF(SnapshotTable[[#This Row],[SC Is Booked]],SnapshotTable[[#This Row],[SC Time Val]] /SnapshotTable[[#This Row],[SC Basis]], "")</f>
        <v/>
      </c>
      <c r="FR301" s="27" t="str" cm="1">
        <f t="array" ref="FR301">IF(AND(ISNUMBER(SnapshotTable[[#This Row],[SC Term]]),ISNUMBER(SnapshotTable[[#This Row],[SC Simple ROO]])), EllmanAnnualize(SnapshotTable[[#This Row],[SC DTE]], SnapshotTable[[#This Row],[SC Simple ROO]] ),"")</f>
        <v/>
      </c>
      <c r="FS301" s="4" t="e">
        <f>IF(SnapshotTable[[#This Row],[SC Strike Price]] &gt; SnapshotTable[[#This Row],[Last Price]], SnapshotTable[[#This Row],[SC Strike Price]] - SnapshotTable[[#This Row],[Last Price]],0)</f>
        <v>#VALUE!</v>
      </c>
      <c r="FT301" s="27" t="e">
        <f>IF(AND(ISNUMBER(SnapshotTable[[#This Row],[SC Upside Potential]]), SnapshotTable[[#This Row],[SC Upside Potential]] &gt; 0),(SnapshotTable[[#This Row],[SC Upside Potential]]/ SnapshotTable[[#This Row],[ACB]]),"")</f>
        <v>#VALUE!</v>
      </c>
      <c r="FU301" s="333" t="str">
        <f>IF(SnapshotTable[[#This Row],[SC Intrinsic Value]] &gt; 0,SnapshotTable[[#This Row],[SC Intrinsic Value]],"")</f>
        <v/>
      </c>
      <c r="FV301" s="27" t="str">
        <f>IF(AND( ISNUMBER( SnapshotTable[[#This Row],[ACB]]),ISNUMBER(SnapshotTable[[#This Row],[SC Downside Protect]])),SnapshotTable[[#This Row],[SC Downside Protect]] / SnapshotTable[[#This Row],[ACB]],"")</f>
        <v/>
      </c>
      <c r="FW301" s="236" t="str">
        <f>IF(AND(ISNUMBER(SnapshotTable[[#This Row],[SC Simple ROO]]),SnapshotTable[[#This Row],[SC Simple ROO]] &gt; 0), SnapshotTable[[#This Row],[SC Premium]] + (SnapshotTable[[#This Row],[SC Qty]] * SnapshotTable[[#This Row],[SC Upside Potential]]), "")</f>
        <v/>
      </c>
      <c r="FX301" s="302" t="str" cm="1">
        <f t="array" ref="FX301">IF(ISNUMBER(SnapshotTable[[#This Row],[SC Max Dollars]]), annualize(SnapshotTable[[#This Row],[SC Term]],(SnapshotTable[[#This Row],[SC Max Dollars]]/SnapshotTable[[#This Row],[SC Basis]])),"")</f>
        <v/>
      </c>
      <c r="FY301" s="236" t="str">
        <f>IF(AND(SnapshotTable[[#This Row],[SC Qty]]&gt;0,SnapshotTable[[#This Row],[SC Current Ask]]&gt;0), SnapshotTable[[#This Row],[SC Qty]] * SnapshotTable[[#This Row],[SC Current Ask]] * -100, "")</f>
        <v/>
      </c>
      <c r="FZ301" s="31" t="str">
        <f>IF(ISNUMBER((SnapshotTable[[#This Row],[SC Current Value]])), SnapshotTable[[#This Row],[SC Premium]] + SnapshotTable[[#This Row],[SC Current Value]], "")</f>
        <v/>
      </c>
      <c r="GA301" s="294" t="str">
        <f>IFERROR( IF(ISNUMBER((SnapshotTable[[#This Row],[SC Current Value]])), SnapshotTable[[#This Row],[SC Gain Loss]] / SnapshotTable[[#This Row],[SC Premium]], ""), "")</f>
        <v/>
      </c>
      <c r="GB301" s="42">
        <f>SnapshotTable[[#This Row],[Equity Shares]] * SaleSharesToConsiderPercentage</f>
        <v>0</v>
      </c>
      <c r="GC301" s="40">
        <f>SnapshotTable[[#This Row],[Long Term Target]] * SellingPriceToConsiderBasedOnTargetPercentage</f>
        <v>169.05249999999998</v>
      </c>
      <c r="GD301" s="40">
        <f>SnapshotTable[[#This Row],[Last Price]] * (1+ SellingPriceToConsiderBasedOnTargetPercentage)</f>
        <v>372.33299999999997</v>
      </c>
      <c r="GE301" s="41"/>
      <c r="GF301" s="40"/>
      <c r="GG301" s="31">
        <f>SnapshotTable[[#This Row],[Booked Sale Shares]] * SnapshotTable[[#This Row],[Booked Sale Price]]</f>
        <v>0</v>
      </c>
      <c r="GH301" s="31" t="str">
        <f>IF(SnapshotTable[[#This Row],[Equity Basis Total]] &gt; 0, SnapshotTable[[#This Row],[Equity Basis Per Share]] * SnapshotTable[[#This Row],[Booked Sale Shares]], "")</f>
        <v/>
      </c>
      <c r="GI301" s="31">
        <f>IF(SnapshotTable[[#This Row],[Sale Proceeds]]&gt;0, SnapshotTable[[#This Row],[Sale Proceeds]] - SnapshotTable[[#This Row],[Sale Basis]], 0)</f>
        <v>0</v>
      </c>
      <c r="GJ301" s="27" t="str">
        <f>IF(SnapshotTable[[#This Row],[Sale G/L]]&gt;0, SnapshotTable[[#This Row],[Sale G/L]] / SnapshotTable[[#This Row],[Sale Basis]], IF(ISNUMBER(SnapshotTable[[#This Row],[SC Exercise P&amp;L (TAX)]]), SnapshotTable[[#This Row],[SC Exercise P&amp;L (TAX)]] / SnapshotTable[[#This Row],[SC Basis]], ""))</f>
        <v/>
      </c>
      <c r="GK301" s="27" t="s">
        <v>766</v>
      </c>
      <c r="GL301" s="43" t="str">
        <f>IF(AND(SnapshotTable[[#This Row],[LP Exp Date]]&gt;0,SnapshotTable[[#This Row],[LP Strike Price]]&gt;0), [1]!ToOptionSymbol(SnapshotTable[[#This Row],[Symbol]], SnapshotTable[[#This Row],[LP Strike Price]],SnapshotTable[[#This Row],[LP Exp Date]],1), "")</f>
        <v/>
      </c>
      <c r="GM301" s="30" t="str">
        <f>IF(LEN(SnapshotTable[[#This Row],[LP Symbol]])&gt;0, 1, "")</f>
        <v/>
      </c>
      <c r="GN301" s="43" t="str">
        <f>IF(AND(SnapshotTable[[#This Row],[SP Exp Date]]&gt;0,SnapshotTable[[#This Row],[SP Strike Price]]&gt;0), [1]!ToOptionSymbol(SnapshotTable[[#This Row],[Symbol]], SnapshotTable[[#This Row],[SP Strike Price]],SnapshotTable[[#This Row],[SP Exp Date]],1), "")</f>
        <v/>
      </c>
      <c r="GO301" s="30" t="str">
        <f>IF(LEN(SnapshotTable[[#This Row],[SP Symbol]])&gt;0, 1, "")</f>
        <v/>
      </c>
      <c r="GP301" s="43" t="str">
        <f>IF(AND(SnapshotTable[[#This Row],[LC Exp Date]]&gt;0,SnapshotTable[[#This Row],[LC Strike Price]]&gt;0), [1]!ToOptionSymbol(SnapshotTable[[#This Row],[Symbol]], SnapshotTable[[#This Row],[LC Strike Price]],SnapshotTable[[#This Row],[LC Exp Date]],0), "")</f>
        <v/>
      </c>
      <c r="GQ301" s="30" t="str">
        <f>IF(LEN(SnapshotTable[[#This Row],[LC Symbol]])&gt;0, 1, "")</f>
        <v/>
      </c>
      <c r="GR301" s="43" t="str">
        <f>IF(AND(SnapshotTable[[#This Row],[SC Exp Date]]&gt;0,SnapshotTable[[#This Row],[SC Strike Price]]&gt;0), [1]!ToOptionSymbol(SnapshotTable[[#This Row],[Symbol]], SnapshotTable[[#This Row],[SC Strike Price]],SnapshotTable[[#This Row],[SC Exp Date]],0), "")</f>
        <v/>
      </c>
      <c r="GS301" s="30" t="str">
        <f>IF(LEN(SnapshotTable[[#This Row],[SC Symbol]])&gt;0, 1, "")</f>
        <v/>
      </c>
      <c r="GT301" s="29" t="str">
        <f>IF(COUNT(SnapshotTable[[#This Row],[LP Symbol Count]],SnapshotTable[[#This Row],[SP Symbol Count]],SnapshotTable[[#This Row],[LC Symbol Count]],SnapshotTable[[#This Row],[SC Symbol Count]])&gt;0, "Y", "")</f>
        <v/>
      </c>
      <c r="GU30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1" s="231" t="e">
        <f>MAX(SnapshotTable[[#This Row],[Equity Basis Total]],SnapshotTable[[#This Row],[Equity Value]]) + (SnapshotTable[[#This Row],[SP Potential Spend]]- SnapshotTable[[#This Row],[SP Premium]] + SnapshotTable[[#This Row],[LP Premium]])+ (SnapshotTable[[#This Row],[LC Premium]] - SnapshotTable[[#This Row],[SC Premium]])</f>
        <v>#VALUE!</v>
      </c>
      <c r="GW301" s="139" t="e">
        <f>IF(AND(SnapshotTable[[#This Row],[Exposure]] &lt;&gt; 0),SnapshotTable[[#This Row],[Exposure]] / SnapshotTable[[#Totals],[Exposure]], "")</f>
        <v>#VALUE!</v>
      </c>
      <c r="HK301" s="1"/>
      <c r="HL301" s="1"/>
      <c r="HM301" s="1"/>
      <c r="HN301" s="1"/>
      <c r="HO301" s="1"/>
      <c r="HP301" s="1"/>
    </row>
    <row r="302" spans="2:224" ht="12.75" hidden="1" customHeight="1" x14ac:dyDescent="0.25">
      <c r="B302" s="12" t="s">
        <v>466</v>
      </c>
      <c r="C302" s="422">
        <v>69.69</v>
      </c>
      <c r="D302" s="208"/>
      <c r="E302" s="39">
        <f>SnapshotTable[[#This Row],[Last Price]]*(1 -CrashDiscount)</f>
        <v>59.236499999999999</v>
      </c>
      <c r="F302" s="26" t="s">
        <v>5</v>
      </c>
      <c r="G302" s="26" t="s">
        <v>4</v>
      </c>
      <c r="H302" s="149"/>
      <c r="I302" s="194">
        <v>44769.288194444445</v>
      </c>
      <c r="J302" s="195">
        <v>44769.288194444445</v>
      </c>
      <c r="K302" s="196"/>
      <c r="L302" s="326"/>
      <c r="M302" s="140"/>
      <c r="N302" s="140"/>
      <c r="O302" s="140">
        <v>1</v>
      </c>
      <c r="P302" s="22"/>
      <c r="Q302" s="25"/>
      <c r="R302" s="4" t="str">
        <f>IF(SnapshotTable[[#This Row],[Equity Basis Total]] &gt; 0, SnapshotTable[[#This Row],[Equity Basis Total]] / SnapshotTable[[#This Row],[Equity Shares]], "")</f>
        <v/>
      </c>
      <c r="S302" s="269">
        <f>SnapshotTable[[#This Row],[Last Price]] * SnapshotTable[[#This Row],[Equity Shares]]</f>
        <v>0</v>
      </c>
      <c r="T302" s="269">
        <f>SnapshotTable[[#This Row],[Equity Value]] - SnapshotTable[[#This Row],[Equity Basis Total]]</f>
        <v>0</v>
      </c>
      <c r="U302" s="270" t="str">
        <f>IF(SnapshotTable[[#This Row],[Equity Basis Total]] &gt; 0, SnapshotTable[[#This Row],[Equity G/L]] / SnapshotTable[[#This Row],[Equity Basis Total]], "")</f>
        <v/>
      </c>
      <c r="V302" s="268"/>
      <c r="W302" s="268"/>
      <c r="X302" s="4" t="str">
        <f>IF(AND(ISNUMBER(SnapshotTable[[#This Row],[Equity Basis Per Share]]),ISNUMBER(SnapshotTable[[#This Row],[Equity Target]])),SnapshotTable[[#This Row],[Equity Target]]-SnapshotTable[[#This Row],[Equity Basis Per Share]],"")</f>
        <v/>
      </c>
      <c r="Y302" s="4" t="str">
        <f>IF(AND(ISNUMBER(SnapshotTable[[#This Row],[Equity Basis Per Share]]),ISNUMBER(SnapshotTable[[#This Row],[Equity Stop Loss]])),SnapshotTable[[#This Row],[Equity Stop Loss]]-SnapshotTable[[#This Row],[Equity Basis Per Share]],"")</f>
        <v/>
      </c>
      <c r="Z302" s="275" t="str">
        <f>IFERROR( TEXT(SnapshotTable[[#This Row],[Equity Max Gain Per Share]] /ABS( SnapshotTable[[#This Row],[Equity Max Loss Per Share]]),"0.0 " ) &amp; " : 1", "")</f>
        <v/>
      </c>
      <c r="AA302" s="31" t="str">
        <f>IF(ISNUMBER(SnapshotTable[[#This Row],[Equity Max Gain Per Share]]),SnapshotTable[[#This Row],[Equity Max Gain Per Share]] * SnapshotTable[[#This Row],[Equity Shares]],"")</f>
        <v/>
      </c>
      <c r="AB302" s="31" t="str">
        <f>IF(ISNUMBER(SnapshotTable[[#This Row],[Equity Max Loss Per Share]]),SnapshotTable[[#This Row],[Equity Max Loss Per Share]] * SnapshotTable[[#This Row],[Equity Shares]],"")</f>
        <v/>
      </c>
      <c r="AC302" s="150"/>
      <c r="AD302" s="151"/>
      <c r="AE302" s="31">
        <f>(SnapshotTable[[#This Row],[Annual Dividend Per Share]] / 4) * SnapshotTable[[#This Row],[Equity Shares]]</f>
        <v>0</v>
      </c>
      <c r="AF302" s="31">
        <f>SnapshotTable[[#This Row],[Quarterly Div $]] * 4</f>
        <v>0</v>
      </c>
      <c r="AG302" s="7">
        <f>IF(SnapshotTable[[#This Row],[Annual Dividend Per Share]]&gt;0, SnapshotTable[[#This Row],[Annual Dividend Per Share]]  / SnapshotTable[[#This Row],[Last Price]], 0)</f>
        <v>0</v>
      </c>
      <c r="AH302" s="151"/>
      <c r="AI302" s="5"/>
      <c r="AJ302" s="138" t="s">
        <v>164</v>
      </c>
      <c r="AK302" s="152" t="str">
        <f>IF(ISNUMBER( SnapshotTable[[#This Row],[EBF Target]]),(SnapshotTable[[#This Row],[EBF Target]] - SnapshotTable[[#This Row],[Last Price]]) / SnapshotTable[[#This Row],[Last Price]], "")</f>
        <v/>
      </c>
      <c r="AL302" s="152" t="str">
        <f>IF(AND(SnapshotTable[[#This Row],[Equity Basis Total]] &gt; 0,ISNUMBER( SnapshotTable[[#This Row],[Long Term Target]])), SnapshotTable[[#This Row],[From Basis $]] / SnapshotTable[[#This Row],[Equity Basis Total]], "")</f>
        <v/>
      </c>
      <c r="AM302" s="9">
        <f>IF( AND(SnapshotTable[[#This Row],[Equity Shares]] &gt;0,ISNUMBER( SnapshotTable[[#This Row],[Long Term Target]])),(SnapshotTable[[#This Row],[Equity Shares]] * SnapshotTable[[#This Row],[Long Term Target]]) - SnapshotTable[[#This Row],[Equity Basis Total]],0)</f>
        <v>0</v>
      </c>
      <c r="AN302" s="9">
        <f>IF( AND(SnapshotTable[[#This Row],[Equity Shares]] &gt;0,ISNUMBER( SnapshotTable[[#This Row],[Long Term Target]])),(SnapshotTable[[#This Row],[Equity Shares]]*SnapshotTable[[#This Row],[Long Term Target]]) - SnapshotTable[[#This Row],[Equity Value]],0)</f>
        <v>0</v>
      </c>
      <c r="AO302" s="152" t="str">
        <f>IF(AND(ISNUMBER( SnapshotTable[[#This Row],[Long Term Target]]), ISNUMBER(SnapshotTable[[#This Row],[Last Price]])),(SnapshotTable[[#This Row],[Long Term Target]] - SnapshotTable[[#This Row],[Last Price]]) / SnapshotTable[[#This Row],[Last Price]], "")</f>
        <v/>
      </c>
      <c r="AP302" s="5"/>
      <c r="AQ302" s="38"/>
      <c r="AR302" s="5"/>
      <c r="AS302" s="38"/>
      <c r="AT302" s="146"/>
      <c r="AU302" s="187" t="str">
        <f>IF(OR(SnapshotTable[[#This Row],[LP No Fill]]="Y",SnapshotTable[[#This Row],[SP Is Filled]],SnapshotTable[[#This Row],[LC Not Filled]]="Y",SnapshotTable[[#This Row],[SC Is Filled]]),"Y","")</f>
        <v/>
      </c>
      <c r="AV302" s="219"/>
      <c r="AW302" s="225"/>
      <c r="AX302" s="220"/>
      <c r="AY302" s="219" t="str">
        <f>IF(SnapshotTable[[#This Row],[Implied Move]]&gt;0, SnapshotTable[[#This Row],[Last Price]]-SnapshotTable[[#This Row],[Implied Move]],"")</f>
        <v/>
      </c>
      <c r="AZ302" s="219" t="str">
        <f>IF(SnapshotTable[[#This Row],[Implied Move]]&gt;0, SnapshotTable[[#This Row],[Last Price]] + SnapshotTable[[#This Row],[Implied Move]],"")</f>
        <v/>
      </c>
      <c r="BA302" s="331"/>
      <c r="BB302" s="347"/>
      <c r="BC30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2" s="351"/>
      <c r="BE302" s="5"/>
      <c r="BF302" s="14"/>
      <c r="BG302" s="13"/>
      <c r="BH302" s="13"/>
      <c r="BI302" s="5"/>
      <c r="BJ302" s="136">
        <f>IF(SnapshotTable[[#This Row],[LP Qty]] &gt; 0, SnapshotTable[[#This Row],[LP Qty]] * SnapshotTable[[#This Row],[LP Book Price]] * 100,0)</f>
        <v>0</v>
      </c>
      <c r="BK302" s="136">
        <f>IF(SnapshotTable[[#This Row],[LP Premium]] &gt; 0, SnapshotTable[[#This Row],[LP Qty]] * SnapshotTable[[#This Row],[LP Strike Price]] * 100,0)</f>
        <v>0</v>
      </c>
      <c r="BL302" s="154"/>
      <c r="BM302" s="385" t="str">
        <f>IF(SnapshotTable[[#This Row],[LP Premium]] &gt; 0,SnapshotTable[[#This Row],[LP Exp Date]]-MAX(SnapshotTable[[#This Row],[LP Book Date]], SnapshotTable[[#This Row],[LP Fill Date]]),"")</f>
        <v/>
      </c>
      <c r="BN302" s="385" t="str">
        <f>IF(ISNUMBER( SnapshotTable[[#This Row],[LP Term]]), SnapshotTable[[#This Row],[LP Exp Date]] - MockToday,"")</f>
        <v/>
      </c>
      <c r="BO302" s="163" t="str">
        <f>IF(AND(SnapshotTable[[#This Row],[LP Exp Date]]&gt;0, SnapshotTable[[#This Row],[LP Strike Price]]&gt;0,SnapshotTable[[#This Row],[LP Qty]]&gt;0,SnapshotTable[[#This Row],[LP Book Date]]&gt;0,SnapshotTable[[#This Row],[LP Book Price]]&gt;0,SnapshotTable[[#This Row],[LP Fill Date]]=0),"Y","")</f>
        <v/>
      </c>
      <c r="BP302" s="31" t="str">
        <f>IF(AND(SnapshotTable[[#This Row],[LP No Fill]]&lt;&gt;"Y",SnapshotTable[[#This Row],[LP Contract Value]]&gt;0, SnapshotTable[[#This Row],[LP Qty]]&gt;0), SnapshotTable[[#This Row],[LP Contract Value]]*SnapshotTable[[#This Row],[LP Qty]]*100,"")</f>
        <v/>
      </c>
      <c r="BQ302" s="13"/>
      <c r="BR302" s="5" t="str">
        <f>IF(SnapshotTable[[#This Row],[SP Exp Date]]&lt;&gt;"",TRUNC(SnapshotTable[[#This Row],[Last Price]]),"")</f>
        <v/>
      </c>
      <c r="BS302" s="36"/>
      <c r="BT302" s="147"/>
      <c r="BU302" s="13"/>
      <c r="BV302" s="5"/>
      <c r="BW302" s="419" t="b">
        <f>AND(ISNUMBER(SnapshotTable[[#This Row],[SP Exp Date]]), ISNUMBER(SnapshotTable[[#This Row],[SP Strike Price]]), ISNUMBER(SnapshotTable[[#This Row],[SP Qty]]), ISNUMBER(SnapshotTable[[#This Row],[SP Book Date]]), ISNUMBER(SnapshotTable[[#This Row],[SP Book Price]]))</f>
        <v>0</v>
      </c>
      <c r="BX302" s="419" t="b">
        <f>AND(SnapshotTable[[#This Row],[SP Is Booked]], NOT(ISBLANK(SnapshotTable[[#This Row],[SP Fill Date]])))</f>
        <v>0</v>
      </c>
      <c r="BY302" s="33">
        <f>IF(SnapshotTable[[#This Row],[SP Is Booked]], SnapshotTable[[#This Row],[SP Qty]] * SnapshotTable[[#This Row],[SP Book Price]] * 100, 0)</f>
        <v>0</v>
      </c>
      <c r="BZ302" s="369"/>
      <c r="CA302" s="368">
        <f>SnapshotTable[[#This Row],[LP Qty]]</f>
        <v>0</v>
      </c>
      <c r="CB302" s="4" t="str">
        <f>IF(SnapshotTable[[#This Row],[SP Is Booked]], SnapshotTable[[#This Row],[SP Strike Price]] - SnapshotTable[[#This Row],[SP Book Price]], "")</f>
        <v/>
      </c>
      <c r="CC302" s="19" t="str">
        <f>IF(SnapshotTable[[#This Row],[SP Is Booked]],SnapshotTable[[#This Row],[SP Exp Date]]-MAX(SnapshotTable[[#This Row],[SP Book Date]], SnapshotTable[[#This Row],[SP Fill Date]]),"")</f>
        <v/>
      </c>
      <c r="CD302" s="7" t="str">
        <f>IF(SnapshotTable[[#This Row],[SP Is Booked]], SnapshotTable[[#This Row],[SP Book Price]]/SnapshotTable[[#This Row],[SP Strike Price]], "")</f>
        <v/>
      </c>
      <c r="CE302" s="7" t="str">
        <f>IF(ISNUMBER(SnapshotTable[[#This Row],[SP ROO Term]]),SnapshotTable[[#This Row],[SP ROO Term]]*(365/SnapshotTable[[#This Row],[SP Term]]),"")</f>
        <v/>
      </c>
      <c r="CF302" s="236">
        <f>SnapshotTable[[#This Row],[LP Strike Price]] * SnapshotTable[[#This Row],[LP Qty]] * 100</f>
        <v>0</v>
      </c>
      <c r="CG302" s="31" t="e">
        <f>IF(ISNUMBER(SnapshotTable[[#This Row],[SP Premium]]), (SnapshotTable[[#This Row],[SP Qty]] * SnapshotTable[[#This Row],[SP Strike Price]]* 100) - SnapshotTable[[#This Row],[LP Protection]], 0)</f>
        <v>#VALUE!</v>
      </c>
      <c r="CH302" s="7" t="str">
        <f>IF(ISNUMBER(SnapshotTable[[#This Row],[SP Break Even]]),-1 * (SnapshotTable[[#This Row],[SP Break Even]] - SnapshotTable[[#This Row],[Last Price]]) / SnapshotTable[[#This Row],[Last Price]], "")</f>
        <v/>
      </c>
      <c r="CI302" s="31">
        <f>IF(AND(ISNUMBER((SnapshotTable[[#This Row],[SP Potential Spend]])), SnapshotTable[[#This Row],[SP Strike Price]] &gt; SnapshotTable[[#This Row],[Last Price]], SnapshotTable[[#This Row],[SP Is Filled]]), SnapshotTable[[#This Row],[SP Potential Spend]] -  SnapshotTable[[#This Row],[LP Max Value]], 0)</f>
        <v>0</v>
      </c>
      <c r="CJ302" s="244"/>
      <c r="CK302" s="31" t="str">
        <f>IF(ISNUMBER(SnapshotTable[[#This Row],[SP Potential Spend]]),IF(ISNUMBER(SnapshotTable[[#This Row],[SP POW]]), SnapshotTable[[#This Row],[SP POW]] * SnapshotTable[[#This Row],[SP Potential Spend]], SnapshotTable[[#This Row],[SP Potential Spend]]), "")</f>
        <v/>
      </c>
      <c r="CL302" s="164" t="e">
        <f>IF(NOT(SnapshotTable[[#This Row],[SP Is Filled]]),(SnapshotTable[[#This Row],[SP Qty]] * SnapshotTable[[#This Row],[SP Strike Price]] * 100) - SnapshotTable[[#This Row],[LP Max Value]],"")</f>
        <v>#VALUE!</v>
      </c>
      <c r="CM302" s="31" t="str">
        <f>IF(SnapshotTable[[#This Row],[SP Actual Spend]]&lt;&gt;0, ((SnapshotTable[[#This Row],[SP Strike Price]]-SnapshotTable[[#This Row],[Last Price]]) *(SnapshotTable[[#This Row],[SP Qty]]*100) - SnapshotTable[[#This Row],[SP Premium]]) * - 1, "")</f>
        <v/>
      </c>
      <c r="CN302" s="78"/>
      <c r="CO302" s="369"/>
      <c r="CP302" s="4" t="str">
        <f>IF(SnapshotTable[[#This Row],[SP Is Filled]], btc_max_buyback_amount(SnapshotTable[[#This Row],[SP Fill Date]],SnapshotTable[[#This Row],[SP Exp Date]], SnapshotTable[[#This Row],[SP Book Price]]),"")</f>
        <v/>
      </c>
      <c r="CQ302" s="78"/>
      <c r="CR30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2" s="155" t="str">
        <f>IF(SnapshotTable[[#This Row],[SP Is Filled]], btc_next_cutoff_date(SnapshotTable[[#This Row],[SP Fill Date]],SnapshotTable[[#This Row],[SP Exp Date]]),"")</f>
        <v/>
      </c>
      <c r="CT302" s="235" t="str" cm="1">
        <f t="array" ref="CT302">IF(SnapshotTable[[#This Row],[SP Is Filled]], btc_should_buy_back(SnapshotTable[[#This Row],[SP Fill Date]], SnapshotTable[[#This Row],[SP Exp Date]], SnapshotTable[[#This Row],[SP Book Price]], SnapshotTable[[#This Row],[SP Current Ask]], MockToday, SnapshotTable[[#This Row],[SP Buyback Override]]),"")</f>
        <v/>
      </c>
      <c r="CU302" s="143"/>
      <c r="CV302" s="235"/>
      <c r="CW302" s="378" t="str">
        <f>IF(ISNUMBER( SnapshotTable[[#This Row],[SP Term]]), SnapshotTable[[#This Row],[SP Exp Date]] - MockToday,"")</f>
        <v/>
      </c>
      <c r="CX302" s="31" t="str">
        <f>IF(SnapshotTable[[#This Row],[SP Is Filled]],SnapshotTable[[#This Row],[SP Buyback Price to Use]] * 100 * SnapshotTable[[#This Row],[SP Qty]], "")</f>
        <v/>
      </c>
      <c r="CY302" s="4" t="str">
        <f>IF(ISNUMBER(SnapshotTable[[#This Row],[SP Strike Price]]), SnapshotTable[[#This Row],[SP Strike Price]] * (1 - SP_MaxLoss_StrikePct), "")</f>
        <v/>
      </c>
      <c r="CZ302" s="31" t="str">
        <f>IF(ISNUMBER(SnapshotTable[[#This Row],[SP Strike  Stop Per Share]]),SnapshotTable[[#This Row],[SP Premium]] - ((SnapshotTable[[#This Row],[SP Strike Price]]-SnapshotTable[[#This Row],[SP Strike  Stop Per Share]]) *(SnapshotTable[[#This Row],[SP Qty]] * 100)),"")</f>
        <v/>
      </c>
      <c r="DA302" s="4" t="str">
        <f>IF(AND(ISNUMBER(SnapshotTable[[#This Row],[SP Premium]]),SnapshotTable[[#This Row],[SP Premium]]&gt;0), SnapshotTable[[#This Row],[SP Book Price]] * (1 + SP_MaxLoss_OptionPct), "")</f>
        <v/>
      </c>
      <c r="DB302" s="31" t="str">
        <f>IF(ISNUMBER(SnapshotTable[[#This Row],[SP Option  Stop Contract]]),(SnapshotTable[[#This Row],[SP Option  Stop Contract]] *(SnapshotTable[[#This Row],[SP Qty]] * 100) - SnapshotTable[[#This Row],[SP Premium]]),"")</f>
        <v/>
      </c>
      <c r="DC302" s="4"/>
      <c r="DD302" s="4"/>
      <c r="DE302" s="4" t="str">
        <f>IF(AND(SnapshotTable[[#This Row],[SP Qty]]&gt;0, SnapshotTable[[#This Row],[SP Stop To Use]]&gt;0),SnapshotTable[[#This Row],[SP Premium]] - ( SnapshotTable[[#This Row],[SP Qty]] * SnapshotTable[[#This Row],[SP Stop To Use]] * 100), "")</f>
        <v/>
      </c>
      <c r="DF302" s="31" t="str">
        <f>IF(AND(SnapshotTable[[#This Row],[SP Qty]]&gt;0,SnapshotTable[[#This Row],[SP Current Ask]]&gt;0), SnapshotTable[[#This Row],[SP Qty]] * SnapshotTable[[#This Row],[SP Current Ask]] * -100, "")</f>
        <v/>
      </c>
      <c r="DG302" s="31" t="str">
        <f>IF(ISNUMBER((SnapshotTable[[#This Row],[SP Total Value]])), SnapshotTable[[#This Row],[SP Premium]] + SnapshotTable[[#This Row],[SP Total Value]], "")</f>
        <v/>
      </c>
      <c r="DH302" s="294" t="str">
        <f>IF(ISNUMBER((SnapshotTable[[#This Row],[SP Total Value]])), SnapshotTable[[#This Row],[SP Gain Loss]] / SnapshotTable[[#This Row],[SP Premium]], "")</f>
        <v/>
      </c>
      <c r="DI302" s="406"/>
      <c r="DJ302" s="138"/>
      <c r="DK302" s="148"/>
      <c r="DL302" s="13"/>
      <c r="DM302" s="13"/>
      <c r="DO302" s="31">
        <f>IF(SnapshotTable[[#This Row],[LC Symbol Count]]=1, SnapshotTable[[#This Row],[LC Qty]] * SnapshotTable[[#This Row],[LC Book Price]] * 100, 0)</f>
        <v>0</v>
      </c>
      <c r="DP302" s="163" t="str">
        <f>IF(AND(SnapshotTable[[#This Row],[LC Exp Date]]&gt;0, SnapshotTable[[#This Row],[LC Strike Price]]&gt;0,SnapshotTable[[#This Row],[LC Qty]]&gt;0,SnapshotTable[[#This Row],[LC Book Date]]&gt;0,SnapshotTable[[#This Row],[LC Book Price]]&gt;0,SnapshotTable[[#This Row],[LC Fill Date]]=0),"Y","")</f>
        <v/>
      </c>
      <c r="DQ302" s="386" t="str">
        <f>IF(SnapshotTable[[#This Row],[LC Premium]] &gt; 0,SnapshotTable[[#This Row],[LC Exp Date]]-MAX(SnapshotTable[[#This Row],[LC Book Date]], SnapshotTable[[#This Row],[LC Fill Date]]),"")</f>
        <v/>
      </c>
      <c r="DR302" s="386" t="str">
        <f>IF(ISNUMBER(SnapshotTable[[#This Row],[LC Term]]), SnapshotTable[[#This Row],[LC Exp Date]] - MockToday, "")</f>
        <v/>
      </c>
      <c r="DS302" s="234" t="str">
        <f>IF(SnapshotTable[[#This Row],[LC Premium]]&gt;0,SnapshotTable[[#This Row],[LC Strike Price]] + SnapshotTable[[#This Row],[LC Book Price]],"")</f>
        <v/>
      </c>
      <c r="DU302" s="9" t="str">
        <f>IF(AND(SnapshotTable[[#This Row],[LC Symbol Count]]&gt;0, SnapshotTable[[#This Row],[LC Contract Value]]&gt;0), SnapshotTable[[#This Row],[LC Contract Value]] * SnapshotTable[[#This Row],[LC Qty]] * 100, "")</f>
        <v/>
      </c>
      <c r="DV302" s="9" t="str">
        <f>IF(AND(ISNUMBER(SnapshotTable[[#This Row],[LC Total Value]]), SnapshotTable[[#This Row],[LC Not Filled]]&lt;&gt;"Y"), SnapshotTable[[#This Row],[LC Total Value]]-SnapshotTable[[#This Row],[LC Premium]],"")</f>
        <v/>
      </c>
      <c r="DW302" s="240" t="str">
        <f>IF(ISNUMBER(SnapshotTable[[#This Row],[LC Actual Gain Loss]]), SnapshotTable[[#This Row],[LC Actual Gain Loss]] / SnapshotTable[[#This Row],[LC Premium]],"")</f>
        <v/>
      </c>
      <c r="DX302" s="284" t="str">
        <f>IF(ISNUMBER(SnapshotTable[[#This Row],[LC Book Price]]),SnapshotTable[[#This Row],[LC Book Price]] * 1.5,"")</f>
        <v/>
      </c>
      <c r="DY302" s="265" t="str">
        <f>IF(SnapshotTable[[#This Row],[LC Premium]]&gt;0, SnapshotTable[[#This Row],[LC Next Target]] * SnapshotTable[[#This Row],[LC Qty]] * 100,"")</f>
        <v/>
      </c>
      <c r="DZ302" s="265" t="str">
        <f>IF(ISNUMBER(SnapshotTable[[#This Row],[LC Target Gross]]), SnapshotTable[[#This Row],[LC Target Gross]] - SnapshotTable[[#This Row],[LC Premium]], "")</f>
        <v/>
      </c>
      <c r="EA302" s="305" t="str">
        <f>IF(ISNUMBER(SnapshotTable[[#This Row],[LC Target Gain Loss]]), SnapshotTable[[#This Row],[LC Target Gain Loss]]/SnapshotTable[[#This Row],[LC Premium]], "")</f>
        <v/>
      </c>
      <c r="EB302" s="262"/>
      <c r="EC302" s="283" t="str">
        <f>IF(SnapshotTable[[#This Row],[LC Premium]]&gt;0, SnapshotTable[[#This Row],[LC Book Price]] * (1 - LC_StopLoss_Pct),"")</f>
        <v/>
      </c>
      <c r="ED302" s="284"/>
      <c r="EE302" s="283" t="str">
        <f>IF(ISNUMBER(SnapshotTable[[#This Row],[LC Contract Value]]),IF(ISNUMBER(SnapshotTable[[#This Row],[LC Stop Loss Override]]), SnapshotTable[[#This Row],[LC Stop Loss Override]],SnapshotTable[[#This Row],[LC Stop Loss Calc Target]]),"")</f>
        <v/>
      </c>
      <c r="EF302" s="31" t="str">
        <f>IF(ISNUMBER(SnapshotTable[[#This Row],[LC Stop  To Use]]), (SnapshotTable[[#This Row],[LC Stop  To Use]] * SnapshotTable[[#This Row],[LC Qty]] * 100),"")</f>
        <v/>
      </c>
      <c r="EG302" s="9" t="str">
        <f>IF(ISNUMBER(SnapshotTable[[#This Row],[LC Total Value]]),SnapshotTable[[#This Row],[LC Stop Loss Amount]] - SnapshotTable[[#This Row],[LC Premium]],"")</f>
        <v/>
      </c>
      <c r="EH302" s="9">
        <f>IF(ISNUMBER(SnapshotTable[[#This Row],[LC Premium]]), SnapshotTable[[#This Row],[LC Qty]] * 100 * SnapshotTable[[#This Row],[LC Strike Price]], "")</f>
        <v>0</v>
      </c>
      <c r="EI302" s="240" t="str">
        <f>IF(AND(ISNUMBER(SnapshotTable[[#This Row],[LC Total Value]]),SnapshotTable[[#This Row],[LC Total Value]]&gt;0),SnapshotTable[[#This Row],[LC Stop Gain Loss]]  / SnapshotTable[[#This Row],[LC Premium]],"")</f>
        <v/>
      </c>
      <c r="EJ302" s="35">
        <f>IF(ISNUMBER(SnapshotTable[[#This Row],[Equity Shares]]),TRUNC(SnapshotTable[[#This Row],[Equity Shares]] / 100),0) + SnapshotTable[[#This Row],[LC Qty]]</f>
        <v>0</v>
      </c>
      <c r="EK302" s="147"/>
      <c r="EL302" s="138" t="str">
        <f>IF(SnapshotTable[[#This Row],[SC Exp Date]]&lt;&gt;"",TRUNC(SnapshotTable[[#This Row],[Last Price]]),"")</f>
        <v/>
      </c>
      <c r="EM302" s="148"/>
      <c r="EN302" s="147"/>
      <c r="EO302" s="147"/>
      <c r="EP302" s="138"/>
      <c r="EQ302" s="419" t="b">
        <f>AND(ISNUMBER(SnapshotTable[[#This Row],[SC Exp Date]]), ISNUMBER(SnapshotTable[[#This Row],[SC Strike Price]]), ISNUMBER(SnapshotTable[[#This Row],[SC Qty]]), ISNUMBER(SnapshotTable[[#This Row],[SC Book Date]]), ISNUMBER(SnapshotTable[[#This Row],[SC Book Price]]))</f>
        <v>0</v>
      </c>
      <c r="ER302" s="419" t="b">
        <f>AND(SnapshotTable[[#This Row],[SC Is Booked]], NOT(ISBLANK(SnapshotTable[[#This Row],[SC Fill Date]])))</f>
        <v>0</v>
      </c>
      <c r="ES302" s="370"/>
      <c r="ET302" s="34" t="str">
        <f>IF(AND(ISNUMBER(SnapshotTable[[#This Row],[SC Exp Date]]), ISNUMBER(SnapshotTable[[#This Row],[SC Book Date]])), SnapshotTable[[#This Row],[SC Exp Date]] - MAX(SnapshotTable[[#This Row],[SC Book Date]], SnapshotTable[[#This Row],[SC Fill Date]]) + 1, "")</f>
        <v/>
      </c>
      <c r="EU302" s="34" t="str">
        <f>IF(ISNUMBER(SnapshotTable[[#This Row],[SC Term]]), SnapshotTable[[#This Row],[SC Exp Date]]- MockToday, "")</f>
        <v/>
      </c>
      <c r="EV302" s="31">
        <f>IF(SnapshotTable[[#This Row],[SC Is Booked]], SnapshotTable[[#This Row],[SC Qty]] * SnapshotTable[[#This Row],[SC Book Price]] * 100, 0)</f>
        <v>0</v>
      </c>
      <c r="EW302" s="4" t="str">
        <f>IF(AND(ISNUMBER(SnapshotTable[[#This Row],[Last Price]]), ISNUMBER( SnapshotTable[[#This Row],[SC Book Price]])), SnapshotTable[[#This Row],[Last Price]] - SnapshotTable[[#This Row],[SC Book Price]],"")</f>
        <v/>
      </c>
      <c r="EX302" s="234" t="str">
        <f>IF(SnapshotTable[[#This Row],[SC Is Booked]],IF(SnapshotTable[[#This Row],[SC Intrinsic Value]] &gt; 0, SnapshotTable[[#This Row],[SC Strike Price]], SnapshotTable[[#This Row],[Last Price]]), "")</f>
        <v/>
      </c>
      <c r="EY302" s="4">
        <f>IF(SnapshotTable[[#This Row],[SC Is Booked]], (MinimumPremiumRequired * SnapshotTable[[#This Row],[SC Basis]] * SnapshotTable[[#This Row],[SC Term]]), 0)</f>
        <v>0</v>
      </c>
      <c r="EZ302" s="283"/>
      <c r="FA302" s="218"/>
      <c r="FB302" s="370"/>
      <c r="FC302" s="4">
        <f>IF(SnapshotTable[[#This Row],[SC Is Filled]], btc_max_buyback_amount(SnapshotTable[[#This Row],[SC Fill Date]],SnapshotTable[[#This Row],[SC Exp Date]], SnapshotTable[[#This Row],[SC Book Price]]),0)</f>
        <v>0</v>
      </c>
      <c r="FD302" s="5"/>
      <c r="FE302" s="144" t="str">
        <f>IF(SnapshotTable[[#This Row],[SC Is Filled]], btc_next_cutoff_date(SnapshotTable[[#This Row],[SC Fill Date]],SnapshotTable[[#This Row],[SC Exp Date]]),"")</f>
        <v/>
      </c>
      <c r="FF302" s="4" t="str" cm="1">
        <f t="array" ref="FF302">IF(SnapshotTable[[#This Row],[SC Is Filled]], btc_should_buy_back(SnapshotTable[[#This Row],[SC Fill Date]], SnapshotTable[[#This Row],[SC Exp Date]], SnapshotTable[[#This Row],[SC Book Price]], SnapshotTable[[#This Row],[SC Current Ask]], MockToday, SnapshotTable[[#This Row],[SC Buyback Override]]),"")</f>
        <v/>
      </c>
      <c r="FG302" s="4">
        <f>IF(SnapshotTable[[#This Row],[SC Is Filled]], MAX(0,SnapshotTable[[#This Row],[Last Price]]  - SnapshotTable[[#This Row],[SC Strike Price]]), 0)</f>
        <v>0</v>
      </c>
      <c r="FH302" s="382">
        <f>IF(SnapshotTable[[#This Row],[SC Is Filled]], IF(ISNUMBER(SnapshotTable[[#This Row],[SC Current Ask]]), SnapshotTable[[#This Row],[SC Current Ask]], SnapshotTable[[#This Row],[SC Book Price]]) - SnapshotTable[[#This Row],[SC Intrinsic Value]], 0)</f>
        <v>0</v>
      </c>
      <c r="FI302" s="143"/>
      <c r="FJ302" s="32" t="str">
        <f>IF(SnapshotTable[[#This Row],[SC Is Filled]],100 * SnapshotTable[[#This Row],[SC Qty]] * IF(ISNUMBER(SnapshotTable[[#This Row],[SC Buyback Override]]), SnapshotTable[[#This Row],[SC Buyback Override]], SnapshotTable[[#This Row],[SC Current Ask]]), "")</f>
        <v/>
      </c>
      <c r="FK302" s="250" t="str">
        <f>IF(SnapshotTable[[#This Row],[SC Time Val]]&gt;0, SnapshotTable[[#This Row],[SC Time Val]] / SnapshotTable[[#This Row],[Last Price]],"")</f>
        <v/>
      </c>
      <c r="FL302" s="302" t="str">
        <f>IF(SnapshotTable[[#This Row],[SC Is Booked]], ((SnapshotTable[[#This Row],[Last Price]] -SnapshotTable[[#This Row],[SC Strike Price]]) / SnapshotTable[[#This Row],[Last Price]]) * -1, "")</f>
        <v/>
      </c>
      <c r="FM302" s="157" t="str">
        <f>IF(SnapshotTable[[#This Row],[SC Is Booked]],  (SnapshotTable[[#This Row],[SC Qty]] * 100 * SnapshotTable[[#This Row],[SC Strike Price]]) - SnapshotTable[[#This Row],[SC Current Ask]], "")</f>
        <v/>
      </c>
      <c r="FN30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2" s="31" t="str">
        <f>IF(AND(ISNUMBER(SnapshotTable[[#This Row],[SC Exercise Gross]]), ISNUMBER(SnapshotTable[[#This Row],[Equity Basis Per Share]] )), SnapshotTable[[#This Row],[SC Exercise Gross]] - SnapshotTable[[#This Row],[Equity Basis Total]] +  SnapshotTable[[#This Row],[SC Premium]], "")</f>
        <v/>
      </c>
      <c r="FP302" s="5" t="str">
        <f>IF(ISNUMBER(SnapshotTable[[#This Row],[SC Exercise Gross]]), (SnapshotTable[[#This Row],[SC Exercise Gross]]) / (SnapshotTable[[#This Row],[SC Qty]] * 100), "")</f>
        <v/>
      </c>
      <c r="FQ302" s="27" t="str">
        <f>IF(SnapshotTable[[#This Row],[SC Is Booked]],SnapshotTable[[#This Row],[SC Time Val]] /SnapshotTable[[#This Row],[SC Basis]], "")</f>
        <v/>
      </c>
      <c r="FR302" s="27" t="str" cm="1">
        <f t="array" ref="FR302">IF(AND(ISNUMBER(SnapshotTable[[#This Row],[SC Term]]),ISNUMBER(SnapshotTable[[#This Row],[SC Simple ROO]])), EllmanAnnualize(SnapshotTable[[#This Row],[SC DTE]], SnapshotTable[[#This Row],[SC Simple ROO]] ),"")</f>
        <v/>
      </c>
      <c r="FS302" s="4" t="e">
        <f>IF(SnapshotTable[[#This Row],[SC Strike Price]] &gt; SnapshotTable[[#This Row],[Last Price]], SnapshotTable[[#This Row],[SC Strike Price]] - SnapshotTable[[#This Row],[Last Price]],0)</f>
        <v>#VALUE!</v>
      </c>
      <c r="FT302" s="27" t="e">
        <f>IF(AND(ISNUMBER(SnapshotTable[[#This Row],[SC Upside Potential]]), SnapshotTable[[#This Row],[SC Upside Potential]] &gt; 0),(SnapshotTable[[#This Row],[SC Upside Potential]]/ SnapshotTable[[#This Row],[ACB]]),"")</f>
        <v>#VALUE!</v>
      </c>
      <c r="FU302" s="333" t="str">
        <f>IF(SnapshotTable[[#This Row],[SC Intrinsic Value]] &gt; 0,SnapshotTable[[#This Row],[SC Intrinsic Value]],"")</f>
        <v/>
      </c>
      <c r="FV302" s="27" t="str">
        <f>IF(AND( ISNUMBER( SnapshotTable[[#This Row],[ACB]]),ISNUMBER(SnapshotTable[[#This Row],[SC Downside Protect]])),SnapshotTable[[#This Row],[SC Downside Protect]] / SnapshotTable[[#This Row],[ACB]],"")</f>
        <v/>
      </c>
      <c r="FW302" s="236" t="str">
        <f>IF(AND(ISNUMBER(SnapshotTable[[#This Row],[SC Simple ROO]]),SnapshotTable[[#This Row],[SC Simple ROO]] &gt; 0), SnapshotTable[[#This Row],[SC Premium]] + (SnapshotTable[[#This Row],[SC Qty]] * SnapshotTable[[#This Row],[SC Upside Potential]]), "")</f>
        <v/>
      </c>
      <c r="FX302" s="302" t="str" cm="1">
        <f t="array" ref="FX302">IF(ISNUMBER(SnapshotTable[[#This Row],[SC Max Dollars]]), annualize(SnapshotTable[[#This Row],[SC Term]],(SnapshotTable[[#This Row],[SC Max Dollars]]/SnapshotTable[[#This Row],[SC Basis]])),"")</f>
        <v/>
      </c>
      <c r="FY302" s="236" t="str">
        <f>IF(AND(SnapshotTable[[#This Row],[SC Qty]]&gt;0,SnapshotTable[[#This Row],[SC Current Ask]]&gt;0), SnapshotTable[[#This Row],[SC Qty]] * SnapshotTable[[#This Row],[SC Current Ask]] * -100, "")</f>
        <v/>
      </c>
      <c r="FZ302" s="31" t="str">
        <f>IF(ISNUMBER((SnapshotTable[[#This Row],[SC Current Value]])), SnapshotTable[[#This Row],[SC Premium]] + SnapshotTable[[#This Row],[SC Current Value]], "")</f>
        <v/>
      </c>
      <c r="GA302" s="294" t="str">
        <f>IFERROR( IF(ISNUMBER((SnapshotTable[[#This Row],[SC Current Value]])), SnapshotTable[[#This Row],[SC Gain Loss]] / SnapshotTable[[#This Row],[SC Premium]], ""), "")</f>
        <v/>
      </c>
      <c r="GB302" s="42">
        <f>SnapshotTable[[#This Row],[Equity Shares]] * SaleSharesToConsiderPercentage</f>
        <v>0</v>
      </c>
      <c r="GC302" s="40" t="e">
        <f>SnapshotTable[[#This Row],[Long Term Target]] * SellingPriceToConsiderBasedOnTargetPercentage</f>
        <v>#VALUE!</v>
      </c>
      <c r="GD302" s="40">
        <f>SnapshotTable[[#This Row],[Last Price]] * (1+ SellingPriceToConsiderBasedOnTargetPercentage)</f>
        <v>135.8955</v>
      </c>
      <c r="GE302" s="41"/>
      <c r="GF302" s="40"/>
      <c r="GG302" s="31">
        <f>SnapshotTable[[#This Row],[Booked Sale Shares]] * SnapshotTable[[#This Row],[Booked Sale Price]]</f>
        <v>0</v>
      </c>
      <c r="GH302" s="31" t="str">
        <f>IF(SnapshotTable[[#This Row],[Equity Basis Total]] &gt; 0, SnapshotTable[[#This Row],[Equity Basis Per Share]] * SnapshotTable[[#This Row],[Booked Sale Shares]], "")</f>
        <v/>
      </c>
      <c r="GI302" s="31">
        <f>IF(SnapshotTable[[#This Row],[Sale Proceeds]]&gt;0, SnapshotTable[[#This Row],[Sale Proceeds]] - SnapshotTable[[#This Row],[Sale Basis]], 0)</f>
        <v>0</v>
      </c>
      <c r="GJ302" s="27" t="str">
        <f>IF(SnapshotTable[[#This Row],[Sale G/L]]&gt;0, SnapshotTable[[#This Row],[Sale G/L]] / SnapshotTable[[#This Row],[Sale Basis]], IF(ISNUMBER(SnapshotTable[[#This Row],[SC Exercise P&amp;L (TAX)]]), SnapshotTable[[#This Row],[SC Exercise P&amp;L (TAX)]] / SnapshotTable[[#This Row],[SC Basis]], ""))</f>
        <v/>
      </c>
      <c r="GK302" s="27" t="s">
        <v>767</v>
      </c>
      <c r="GL302" s="43" t="str">
        <f>IF(AND(SnapshotTable[[#This Row],[LP Exp Date]]&gt;0,SnapshotTable[[#This Row],[LP Strike Price]]&gt;0), [1]!ToOptionSymbol(SnapshotTable[[#This Row],[Symbol]], SnapshotTable[[#This Row],[LP Strike Price]],SnapshotTable[[#This Row],[LP Exp Date]],1), "")</f>
        <v/>
      </c>
      <c r="GM302" s="30" t="str">
        <f>IF(LEN(SnapshotTable[[#This Row],[LP Symbol]])&gt;0, 1, "")</f>
        <v/>
      </c>
      <c r="GN302" s="43" t="str">
        <f>IF(AND(SnapshotTable[[#This Row],[SP Exp Date]]&gt;0,SnapshotTable[[#This Row],[SP Strike Price]]&gt;0), [1]!ToOptionSymbol(SnapshotTable[[#This Row],[Symbol]], SnapshotTable[[#This Row],[SP Strike Price]],SnapshotTable[[#This Row],[SP Exp Date]],1), "")</f>
        <v/>
      </c>
      <c r="GO302" s="30" t="str">
        <f>IF(LEN(SnapshotTable[[#This Row],[SP Symbol]])&gt;0, 1, "")</f>
        <v/>
      </c>
      <c r="GP302" s="43" t="str">
        <f>IF(AND(SnapshotTable[[#This Row],[LC Exp Date]]&gt;0,SnapshotTable[[#This Row],[LC Strike Price]]&gt;0), [1]!ToOptionSymbol(SnapshotTable[[#This Row],[Symbol]], SnapshotTable[[#This Row],[LC Strike Price]],SnapshotTable[[#This Row],[LC Exp Date]],0), "")</f>
        <v/>
      </c>
      <c r="GQ302" s="30" t="str">
        <f>IF(LEN(SnapshotTable[[#This Row],[LC Symbol]])&gt;0, 1, "")</f>
        <v/>
      </c>
      <c r="GR302" s="43" t="str">
        <f>IF(AND(SnapshotTable[[#This Row],[SC Exp Date]]&gt;0,SnapshotTable[[#This Row],[SC Strike Price]]&gt;0), [1]!ToOptionSymbol(SnapshotTable[[#This Row],[Symbol]], SnapshotTable[[#This Row],[SC Strike Price]],SnapshotTable[[#This Row],[SC Exp Date]],0), "")</f>
        <v/>
      </c>
      <c r="GS302" s="30" t="str">
        <f>IF(LEN(SnapshotTable[[#This Row],[SC Symbol]])&gt;0, 1, "")</f>
        <v/>
      </c>
      <c r="GT302" s="29" t="str">
        <f>IF(COUNT(SnapshotTable[[#This Row],[LP Symbol Count]],SnapshotTable[[#This Row],[SP Symbol Count]],SnapshotTable[[#This Row],[LC Symbol Count]],SnapshotTable[[#This Row],[SC Symbol Count]])&gt;0, "Y", "")</f>
        <v/>
      </c>
      <c r="GU30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2" s="231" t="e">
        <f>MAX(SnapshotTable[[#This Row],[Equity Basis Total]],SnapshotTable[[#This Row],[Equity Value]]) + (SnapshotTable[[#This Row],[SP Potential Spend]]- SnapshotTable[[#This Row],[SP Premium]] + SnapshotTable[[#This Row],[LP Premium]])+ (SnapshotTable[[#This Row],[LC Premium]] - SnapshotTable[[#This Row],[SC Premium]])</f>
        <v>#VALUE!</v>
      </c>
      <c r="GW302" s="139" t="e">
        <f>IF(AND(SnapshotTable[[#This Row],[Exposure]] &lt;&gt; 0),SnapshotTable[[#This Row],[Exposure]] / SnapshotTable[[#Totals],[Exposure]], "")</f>
        <v>#VALUE!</v>
      </c>
      <c r="HK302" s="1"/>
      <c r="HL302" s="1"/>
      <c r="HM302" s="1"/>
      <c r="HN302" s="1"/>
      <c r="HO302" s="1"/>
      <c r="HP302" s="1"/>
    </row>
    <row r="303" spans="2:224" ht="12.75" hidden="1" customHeight="1" x14ac:dyDescent="0.25">
      <c r="B303" s="12" t="s">
        <v>547</v>
      </c>
      <c r="C303" s="422">
        <v>16.91</v>
      </c>
      <c r="D303" s="208"/>
      <c r="E303" s="39">
        <f>SnapshotTable[[#This Row],[Last Price]]*(1 -CrashDiscount)</f>
        <v>14.3735</v>
      </c>
      <c r="F303" s="26" t="s">
        <v>111</v>
      </c>
      <c r="G303" s="26" t="s">
        <v>49</v>
      </c>
      <c r="H303" s="149"/>
      <c r="I303" s="194">
        <v>44776.666666666664</v>
      </c>
      <c r="J303" s="195">
        <v>44776.666666666664</v>
      </c>
      <c r="K303" s="196"/>
      <c r="L303" s="326"/>
      <c r="M303" s="140"/>
      <c r="N303" s="140"/>
      <c r="O303" s="140"/>
      <c r="P303" s="22"/>
      <c r="Q303" s="25"/>
      <c r="R303" s="4" t="str">
        <f>IF(SnapshotTable[[#This Row],[Equity Basis Total]] &gt; 0, SnapshotTable[[#This Row],[Equity Basis Total]] / SnapshotTable[[#This Row],[Equity Shares]], "")</f>
        <v/>
      </c>
      <c r="S303" s="269">
        <f>SnapshotTable[[#This Row],[Last Price]] * SnapshotTable[[#This Row],[Equity Shares]]</f>
        <v>0</v>
      </c>
      <c r="T303" s="269">
        <f>SnapshotTable[[#This Row],[Equity Value]] - SnapshotTable[[#This Row],[Equity Basis Total]]</f>
        <v>0</v>
      </c>
      <c r="U303" s="270" t="str">
        <f>IF(SnapshotTable[[#This Row],[Equity Basis Total]] &gt; 0, SnapshotTable[[#This Row],[Equity G/L]] / SnapshotTable[[#This Row],[Equity Basis Total]], "")</f>
        <v/>
      </c>
      <c r="V303" s="268"/>
      <c r="W303" s="268"/>
      <c r="X303" s="4" t="str">
        <f>IF(AND(ISNUMBER(SnapshotTable[[#This Row],[Equity Basis Per Share]]),ISNUMBER(SnapshotTable[[#This Row],[Equity Target]])),SnapshotTable[[#This Row],[Equity Target]]-SnapshotTable[[#This Row],[Equity Basis Per Share]],"")</f>
        <v/>
      </c>
      <c r="Y303" s="4" t="str">
        <f>IF(AND(ISNUMBER(SnapshotTable[[#This Row],[Equity Basis Per Share]]),ISNUMBER(SnapshotTable[[#This Row],[Equity Stop Loss]])),SnapshotTable[[#This Row],[Equity Stop Loss]]-SnapshotTable[[#This Row],[Equity Basis Per Share]],"")</f>
        <v/>
      </c>
      <c r="Z303" s="275" t="str">
        <f>IFERROR( TEXT(SnapshotTable[[#This Row],[Equity Max Gain Per Share]] /ABS( SnapshotTable[[#This Row],[Equity Max Loss Per Share]]),"0.0 " ) &amp; " : 1", "")</f>
        <v/>
      </c>
      <c r="AA303" s="31" t="str">
        <f>IF(ISNUMBER(SnapshotTable[[#This Row],[Equity Max Gain Per Share]]),SnapshotTable[[#This Row],[Equity Max Gain Per Share]] * SnapshotTable[[#This Row],[Equity Shares]],"")</f>
        <v/>
      </c>
      <c r="AB303" s="31" t="str">
        <f>IF(ISNUMBER(SnapshotTable[[#This Row],[Equity Max Loss Per Share]]),SnapshotTable[[#This Row],[Equity Max Loss Per Share]] * SnapshotTable[[#This Row],[Equity Shares]],"")</f>
        <v/>
      </c>
      <c r="AC303" s="150"/>
      <c r="AD303" s="151"/>
      <c r="AE303" s="31">
        <f>(SnapshotTable[[#This Row],[Annual Dividend Per Share]] / 4) * SnapshotTable[[#This Row],[Equity Shares]]</f>
        <v>0</v>
      </c>
      <c r="AF303" s="31">
        <f>SnapshotTable[[#This Row],[Quarterly Div $]] * 4</f>
        <v>0</v>
      </c>
      <c r="AG303" s="7">
        <f>IF(SnapshotTable[[#This Row],[Annual Dividend Per Share]]&gt;0, SnapshotTable[[#This Row],[Annual Dividend Per Share]]  / SnapshotTable[[#This Row],[Last Price]], 0)</f>
        <v>0</v>
      </c>
      <c r="AH303" s="151"/>
      <c r="AI303" s="5"/>
      <c r="AJ303" s="138">
        <v>88.07</v>
      </c>
      <c r="AK303" s="152" t="str">
        <f>IF(ISNUMBER( SnapshotTable[[#This Row],[EBF Target]]),(SnapshotTable[[#This Row],[EBF Target]] - SnapshotTable[[#This Row],[Last Price]]) / SnapshotTable[[#This Row],[Last Price]], "")</f>
        <v/>
      </c>
      <c r="AL303" s="152" t="str">
        <f>IF(AND(SnapshotTable[[#This Row],[Equity Basis Total]] &gt; 0,ISNUMBER( SnapshotTable[[#This Row],[Long Term Target]])), SnapshotTable[[#This Row],[From Basis $]] / SnapshotTable[[#This Row],[Equity Basis Total]], "")</f>
        <v/>
      </c>
      <c r="AM303" s="9">
        <f>IF( AND(SnapshotTable[[#This Row],[Equity Shares]] &gt;0,ISNUMBER( SnapshotTable[[#This Row],[Long Term Target]])),(SnapshotTable[[#This Row],[Equity Shares]] * SnapshotTable[[#This Row],[Long Term Target]]) - SnapshotTable[[#This Row],[Equity Basis Total]],0)</f>
        <v>0</v>
      </c>
      <c r="AN303" s="9">
        <f>IF( AND(SnapshotTable[[#This Row],[Equity Shares]] &gt;0,ISNUMBER( SnapshotTable[[#This Row],[Long Term Target]])),(SnapshotTable[[#This Row],[Equity Shares]]*SnapshotTable[[#This Row],[Long Term Target]]) - SnapshotTable[[#This Row],[Equity Value]],0)</f>
        <v>0</v>
      </c>
      <c r="AO303" s="152">
        <f>IF(AND(ISNUMBER( SnapshotTable[[#This Row],[Long Term Target]]), ISNUMBER(SnapshotTable[[#This Row],[Last Price]])),(SnapshotTable[[#This Row],[Long Term Target]] - SnapshotTable[[#This Row],[Last Price]]) / SnapshotTable[[#This Row],[Last Price]], "")</f>
        <v>4.2081608515671194</v>
      </c>
      <c r="AP303" s="5">
        <v>70</v>
      </c>
      <c r="AQ303" s="38" t="s">
        <v>38</v>
      </c>
      <c r="AR303" s="5">
        <v>70</v>
      </c>
      <c r="AS303" s="38" t="s">
        <v>26</v>
      </c>
      <c r="AT303" s="146" t="s">
        <v>538</v>
      </c>
      <c r="AU303" s="187" t="str">
        <f>IF(OR(SnapshotTable[[#This Row],[LP No Fill]]="Y",SnapshotTable[[#This Row],[SP Is Filled]],SnapshotTable[[#This Row],[LC Not Filled]]="Y",SnapshotTable[[#This Row],[SC Is Filled]]),"Y","")</f>
        <v/>
      </c>
      <c r="AV303" s="219"/>
      <c r="AW303" s="225"/>
      <c r="AX303" s="220"/>
      <c r="AY303" s="219" t="str">
        <f>IF(SnapshotTable[[#This Row],[Implied Move]]&gt;0, SnapshotTable[[#This Row],[Last Price]]-SnapshotTable[[#This Row],[Implied Move]],"")</f>
        <v/>
      </c>
      <c r="AZ303" s="219" t="str">
        <f>IF(SnapshotTable[[#This Row],[Implied Move]]&gt;0, SnapshotTable[[#This Row],[Last Price]] + SnapshotTable[[#This Row],[Implied Move]],"")</f>
        <v/>
      </c>
      <c r="BA303" s="331"/>
      <c r="BB303" s="347"/>
      <c r="BC30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3" s="351"/>
      <c r="BE303" s="5"/>
      <c r="BF303" s="14"/>
      <c r="BG303" s="13"/>
      <c r="BH303" s="13"/>
      <c r="BI303" s="5"/>
      <c r="BJ303" s="136">
        <f>IF(SnapshotTable[[#This Row],[LP Qty]] &gt; 0, SnapshotTable[[#This Row],[LP Qty]] * SnapshotTable[[#This Row],[LP Book Price]] * 100,0)</f>
        <v>0</v>
      </c>
      <c r="BK303" s="136">
        <f>IF(SnapshotTable[[#This Row],[LP Premium]] &gt; 0, SnapshotTable[[#This Row],[LP Qty]] * SnapshotTable[[#This Row],[LP Strike Price]] * 100,0)</f>
        <v>0</v>
      </c>
      <c r="BL303" s="154"/>
      <c r="BM303" s="385" t="str">
        <f>IF(SnapshotTable[[#This Row],[LP Premium]] &gt; 0,SnapshotTable[[#This Row],[LP Exp Date]]-MAX(SnapshotTable[[#This Row],[LP Book Date]], SnapshotTable[[#This Row],[LP Fill Date]]),"")</f>
        <v/>
      </c>
      <c r="BN303" s="385" t="str">
        <f>IF(ISNUMBER( SnapshotTable[[#This Row],[LP Term]]), SnapshotTable[[#This Row],[LP Exp Date]] - MockToday,"")</f>
        <v/>
      </c>
      <c r="BO303" s="163" t="str">
        <f>IF(AND(SnapshotTable[[#This Row],[LP Exp Date]]&gt;0, SnapshotTable[[#This Row],[LP Strike Price]]&gt;0,SnapshotTable[[#This Row],[LP Qty]]&gt;0,SnapshotTable[[#This Row],[LP Book Date]]&gt;0,SnapshotTable[[#This Row],[LP Book Price]]&gt;0,SnapshotTable[[#This Row],[LP Fill Date]]=0),"Y","")</f>
        <v/>
      </c>
      <c r="BP303" s="31" t="str">
        <f>IF(AND(SnapshotTable[[#This Row],[LP No Fill]]&lt;&gt;"Y",SnapshotTable[[#This Row],[LP Contract Value]]&gt;0, SnapshotTable[[#This Row],[LP Qty]]&gt;0), SnapshotTable[[#This Row],[LP Contract Value]]*SnapshotTable[[#This Row],[LP Qty]]*100,"")</f>
        <v/>
      </c>
      <c r="BQ303" s="13"/>
      <c r="BR303" s="5" t="str">
        <f>IF(SnapshotTable[[#This Row],[SP Exp Date]]&lt;&gt;"",TRUNC(SnapshotTable[[#This Row],[Last Price]]),"")</f>
        <v/>
      </c>
      <c r="BS303" s="36"/>
      <c r="BT303" s="147"/>
      <c r="BU303" s="13"/>
      <c r="BV303" s="5"/>
      <c r="BW303" s="419" t="b">
        <f>AND(ISNUMBER(SnapshotTable[[#This Row],[SP Exp Date]]), ISNUMBER(SnapshotTable[[#This Row],[SP Strike Price]]), ISNUMBER(SnapshotTable[[#This Row],[SP Qty]]), ISNUMBER(SnapshotTable[[#This Row],[SP Book Date]]), ISNUMBER(SnapshotTable[[#This Row],[SP Book Price]]))</f>
        <v>0</v>
      </c>
      <c r="BX303" s="419" t="b">
        <f>AND(SnapshotTable[[#This Row],[SP Is Booked]], NOT(ISBLANK(SnapshotTable[[#This Row],[SP Fill Date]])))</f>
        <v>0</v>
      </c>
      <c r="BY303" s="33">
        <f>IF(SnapshotTable[[#This Row],[SP Is Booked]], SnapshotTable[[#This Row],[SP Qty]] * SnapshotTable[[#This Row],[SP Book Price]] * 100, 0)</f>
        <v>0</v>
      </c>
      <c r="BZ303" s="369"/>
      <c r="CA303" s="368">
        <f>SnapshotTable[[#This Row],[LP Qty]]</f>
        <v>0</v>
      </c>
      <c r="CB303" s="4" t="str">
        <f>IF(SnapshotTable[[#This Row],[SP Is Booked]], SnapshotTable[[#This Row],[SP Strike Price]] - SnapshotTable[[#This Row],[SP Book Price]], "")</f>
        <v/>
      </c>
      <c r="CC303" s="19" t="str">
        <f>IF(SnapshotTable[[#This Row],[SP Is Booked]],SnapshotTable[[#This Row],[SP Exp Date]]-MAX(SnapshotTable[[#This Row],[SP Book Date]], SnapshotTable[[#This Row],[SP Fill Date]]),"")</f>
        <v/>
      </c>
      <c r="CD303" s="7" t="str">
        <f>IF(SnapshotTable[[#This Row],[SP Is Booked]], SnapshotTable[[#This Row],[SP Book Price]]/SnapshotTable[[#This Row],[SP Strike Price]], "")</f>
        <v/>
      </c>
      <c r="CE303" s="7" t="str">
        <f>IF(ISNUMBER(SnapshotTable[[#This Row],[SP ROO Term]]),SnapshotTable[[#This Row],[SP ROO Term]]*(365/SnapshotTable[[#This Row],[SP Term]]),"")</f>
        <v/>
      </c>
      <c r="CF303" s="236">
        <f>SnapshotTable[[#This Row],[LP Strike Price]] * SnapshotTable[[#This Row],[LP Qty]] * 100</f>
        <v>0</v>
      </c>
      <c r="CG303" s="31" t="e">
        <f>IF(ISNUMBER(SnapshotTable[[#This Row],[SP Premium]]), (SnapshotTable[[#This Row],[SP Qty]] * SnapshotTable[[#This Row],[SP Strike Price]]* 100) - SnapshotTable[[#This Row],[LP Protection]], 0)</f>
        <v>#VALUE!</v>
      </c>
      <c r="CH303" s="7" t="str">
        <f>IF(ISNUMBER(SnapshotTable[[#This Row],[SP Break Even]]),-1 * (SnapshotTable[[#This Row],[SP Break Even]] - SnapshotTable[[#This Row],[Last Price]]) / SnapshotTable[[#This Row],[Last Price]], "")</f>
        <v/>
      </c>
      <c r="CI303" s="31">
        <f>IF(AND(ISNUMBER((SnapshotTable[[#This Row],[SP Potential Spend]])), SnapshotTable[[#This Row],[SP Strike Price]] &gt; SnapshotTable[[#This Row],[Last Price]], SnapshotTable[[#This Row],[SP Is Filled]]), SnapshotTable[[#This Row],[SP Potential Spend]] -  SnapshotTable[[#This Row],[LP Max Value]], 0)</f>
        <v>0</v>
      </c>
      <c r="CJ303" s="244"/>
      <c r="CK303" s="31" t="str">
        <f>IF(ISNUMBER(SnapshotTable[[#This Row],[SP Potential Spend]]),IF(ISNUMBER(SnapshotTable[[#This Row],[SP POW]]), SnapshotTable[[#This Row],[SP POW]] * SnapshotTable[[#This Row],[SP Potential Spend]], SnapshotTable[[#This Row],[SP Potential Spend]]), "")</f>
        <v/>
      </c>
      <c r="CL303" s="164" t="e">
        <f>IF(NOT(SnapshotTable[[#This Row],[SP Is Filled]]),(SnapshotTable[[#This Row],[SP Qty]] * SnapshotTable[[#This Row],[SP Strike Price]] * 100) - SnapshotTable[[#This Row],[LP Max Value]],"")</f>
        <v>#VALUE!</v>
      </c>
      <c r="CM303" s="31" t="str">
        <f>IF(SnapshotTable[[#This Row],[SP Actual Spend]]&lt;&gt;0, ((SnapshotTable[[#This Row],[SP Strike Price]]-SnapshotTable[[#This Row],[Last Price]]) *(SnapshotTable[[#This Row],[SP Qty]]*100) - SnapshotTable[[#This Row],[SP Premium]]) * - 1, "")</f>
        <v/>
      </c>
      <c r="CN303" s="78"/>
      <c r="CO303" s="369"/>
      <c r="CP303" s="4" t="str">
        <f>IF(SnapshotTable[[#This Row],[SP Is Filled]], btc_max_buyback_amount(SnapshotTable[[#This Row],[SP Fill Date]],SnapshotTable[[#This Row],[SP Exp Date]], SnapshotTable[[#This Row],[SP Book Price]]),"")</f>
        <v/>
      </c>
      <c r="CQ303" s="78"/>
      <c r="CR30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3" s="155" t="str">
        <f>IF(SnapshotTable[[#This Row],[SP Is Filled]], btc_next_cutoff_date(SnapshotTable[[#This Row],[SP Fill Date]],SnapshotTable[[#This Row],[SP Exp Date]]),"")</f>
        <v/>
      </c>
      <c r="CT303" s="235" t="str" cm="1">
        <f t="array" ref="CT303">IF(SnapshotTable[[#This Row],[SP Is Filled]], btc_should_buy_back(SnapshotTable[[#This Row],[SP Fill Date]], SnapshotTable[[#This Row],[SP Exp Date]], SnapshotTable[[#This Row],[SP Book Price]], SnapshotTable[[#This Row],[SP Current Ask]], MockToday, SnapshotTable[[#This Row],[SP Buyback Override]]),"")</f>
        <v/>
      </c>
      <c r="CU303" s="143"/>
      <c r="CV303" s="235"/>
      <c r="CW303" s="378" t="str">
        <f>IF(ISNUMBER( SnapshotTable[[#This Row],[SP Term]]), SnapshotTable[[#This Row],[SP Exp Date]] - MockToday,"")</f>
        <v/>
      </c>
      <c r="CX303" s="31" t="str">
        <f>IF(SnapshotTable[[#This Row],[SP Is Filled]],SnapshotTable[[#This Row],[SP Buyback Price to Use]] * 100 * SnapshotTable[[#This Row],[SP Qty]], "")</f>
        <v/>
      </c>
      <c r="CY303" s="4" t="str">
        <f>IF(ISNUMBER(SnapshotTable[[#This Row],[SP Strike Price]]), SnapshotTable[[#This Row],[SP Strike Price]] * (1 - SP_MaxLoss_StrikePct), "")</f>
        <v/>
      </c>
      <c r="CZ303" s="31" t="str">
        <f>IF(ISNUMBER(SnapshotTable[[#This Row],[SP Strike  Stop Per Share]]),SnapshotTable[[#This Row],[SP Premium]] - ((SnapshotTable[[#This Row],[SP Strike Price]]-SnapshotTable[[#This Row],[SP Strike  Stop Per Share]]) *(SnapshotTable[[#This Row],[SP Qty]] * 100)),"")</f>
        <v/>
      </c>
      <c r="DA303" s="4" t="str">
        <f>IF(AND(ISNUMBER(SnapshotTable[[#This Row],[SP Premium]]),SnapshotTable[[#This Row],[SP Premium]]&gt;0), SnapshotTable[[#This Row],[SP Book Price]] * (1 + SP_MaxLoss_OptionPct), "")</f>
        <v/>
      </c>
      <c r="DB303" s="31" t="str">
        <f>IF(ISNUMBER(SnapshotTable[[#This Row],[SP Option  Stop Contract]]),(SnapshotTable[[#This Row],[SP Option  Stop Contract]] *(SnapshotTable[[#This Row],[SP Qty]] * 100) - SnapshotTable[[#This Row],[SP Premium]]),"")</f>
        <v/>
      </c>
      <c r="DC303" s="4"/>
      <c r="DD303" s="4"/>
      <c r="DE303" s="4" t="str">
        <f>IF(AND(SnapshotTable[[#This Row],[SP Qty]]&gt;0, SnapshotTable[[#This Row],[SP Stop To Use]]&gt;0),SnapshotTable[[#This Row],[SP Premium]] - ( SnapshotTable[[#This Row],[SP Qty]] * SnapshotTable[[#This Row],[SP Stop To Use]] * 100), "")</f>
        <v/>
      </c>
      <c r="DF303" s="31" t="str">
        <f>IF(AND(SnapshotTable[[#This Row],[SP Qty]]&gt;0,SnapshotTable[[#This Row],[SP Current Ask]]&gt;0), SnapshotTable[[#This Row],[SP Qty]] * SnapshotTable[[#This Row],[SP Current Ask]] * -100, "")</f>
        <v/>
      </c>
      <c r="DG303" s="31" t="str">
        <f>IF(ISNUMBER((SnapshotTable[[#This Row],[SP Total Value]])), SnapshotTable[[#This Row],[SP Premium]] + SnapshotTable[[#This Row],[SP Total Value]], "")</f>
        <v/>
      </c>
      <c r="DH303" s="294" t="str">
        <f>IF(ISNUMBER((SnapshotTable[[#This Row],[SP Total Value]])), SnapshotTable[[#This Row],[SP Gain Loss]] / SnapshotTable[[#This Row],[SP Premium]], "")</f>
        <v/>
      </c>
      <c r="DI303" s="406"/>
      <c r="DJ303" s="138"/>
      <c r="DK303" s="148"/>
      <c r="DL303" s="13"/>
      <c r="DM303" s="13"/>
      <c r="DO303" s="31">
        <f>IF(SnapshotTable[[#This Row],[LC Symbol Count]]=1, SnapshotTable[[#This Row],[LC Qty]] * SnapshotTable[[#This Row],[LC Book Price]] * 100, 0)</f>
        <v>0</v>
      </c>
      <c r="DP303" s="163" t="str">
        <f>IF(AND(SnapshotTable[[#This Row],[LC Exp Date]]&gt;0, SnapshotTable[[#This Row],[LC Strike Price]]&gt;0,SnapshotTable[[#This Row],[LC Qty]]&gt;0,SnapshotTable[[#This Row],[LC Book Date]]&gt;0,SnapshotTable[[#This Row],[LC Book Price]]&gt;0,SnapshotTable[[#This Row],[LC Fill Date]]=0),"Y","")</f>
        <v/>
      </c>
      <c r="DQ303" s="386" t="str">
        <f>IF(SnapshotTable[[#This Row],[LC Premium]] &gt; 0,SnapshotTable[[#This Row],[LC Exp Date]]-MAX(SnapshotTable[[#This Row],[LC Book Date]], SnapshotTable[[#This Row],[LC Fill Date]]),"")</f>
        <v/>
      </c>
      <c r="DR303" s="386" t="str">
        <f>IF(ISNUMBER(SnapshotTable[[#This Row],[LC Term]]), SnapshotTable[[#This Row],[LC Exp Date]] - MockToday, "")</f>
        <v/>
      </c>
      <c r="DS303" s="234" t="str">
        <f>IF(SnapshotTable[[#This Row],[LC Premium]]&gt;0,SnapshotTable[[#This Row],[LC Strike Price]] + SnapshotTable[[#This Row],[LC Book Price]],"")</f>
        <v/>
      </c>
      <c r="DU303" s="9" t="str">
        <f>IF(AND(SnapshotTable[[#This Row],[LC Symbol Count]]&gt;0, SnapshotTable[[#This Row],[LC Contract Value]]&gt;0), SnapshotTable[[#This Row],[LC Contract Value]] * SnapshotTable[[#This Row],[LC Qty]] * 100, "")</f>
        <v/>
      </c>
      <c r="DV303" s="9" t="str">
        <f>IF(AND(ISNUMBER(SnapshotTable[[#This Row],[LC Total Value]]), SnapshotTable[[#This Row],[LC Not Filled]]&lt;&gt;"Y"), SnapshotTable[[#This Row],[LC Total Value]]-SnapshotTable[[#This Row],[LC Premium]],"")</f>
        <v/>
      </c>
      <c r="DW303" s="240" t="str">
        <f>IF(ISNUMBER(SnapshotTable[[#This Row],[LC Actual Gain Loss]]), SnapshotTable[[#This Row],[LC Actual Gain Loss]] / SnapshotTable[[#This Row],[LC Premium]],"")</f>
        <v/>
      </c>
      <c r="DX303" s="284" t="str">
        <f>IF(ISNUMBER(SnapshotTable[[#This Row],[LC Book Price]]),SnapshotTable[[#This Row],[LC Book Price]] * 1.5,"")</f>
        <v/>
      </c>
      <c r="DY303" s="265" t="str">
        <f>IF(SnapshotTable[[#This Row],[LC Premium]]&gt;0, SnapshotTable[[#This Row],[LC Next Target]] * SnapshotTable[[#This Row],[LC Qty]] * 100,"")</f>
        <v/>
      </c>
      <c r="DZ303" s="265" t="str">
        <f>IF(ISNUMBER(SnapshotTable[[#This Row],[LC Target Gross]]), SnapshotTable[[#This Row],[LC Target Gross]] - SnapshotTable[[#This Row],[LC Premium]], "")</f>
        <v/>
      </c>
      <c r="EA303" s="305" t="str">
        <f>IF(ISNUMBER(SnapshotTable[[#This Row],[LC Target Gain Loss]]), SnapshotTable[[#This Row],[LC Target Gain Loss]]/SnapshotTable[[#This Row],[LC Premium]], "")</f>
        <v/>
      </c>
      <c r="EB303" s="262"/>
      <c r="EC303" s="283" t="str">
        <f>IF(SnapshotTable[[#This Row],[LC Premium]]&gt;0, SnapshotTable[[#This Row],[LC Book Price]] * (1 - LC_StopLoss_Pct),"")</f>
        <v/>
      </c>
      <c r="ED303" s="284"/>
      <c r="EE303" s="283" t="str">
        <f>IF(ISNUMBER(SnapshotTable[[#This Row],[LC Contract Value]]),IF(ISNUMBER(SnapshotTable[[#This Row],[LC Stop Loss Override]]), SnapshotTable[[#This Row],[LC Stop Loss Override]],SnapshotTable[[#This Row],[LC Stop Loss Calc Target]]),"")</f>
        <v/>
      </c>
      <c r="EF303" s="31" t="str">
        <f>IF(ISNUMBER(SnapshotTable[[#This Row],[LC Stop  To Use]]), (SnapshotTable[[#This Row],[LC Stop  To Use]] * SnapshotTable[[#This Row],[LC Qty]] * 100),"")</f>
        <v/>
      </c>
      <c r="EG303" s="9" t="str">
        <f>IF(ISNUMBER(SnapshotTable[[#This Row],[LC Total Value]]),SnapshotTable[[#This Row],[LC Stop Loss Amount]] - SnapshotTable[[#This Row],[LC Premium]],"")</f>
        <v/>
      </c>
      <c r="EH303" s="9">
        <f>IF(ISNUMBER(SnapshotTable[[#This Row],[LC Premium]]), SnapshotTable[[#This Row],[LC Qty]] * 100 * SnapshotTable[[#This Row],[LC Strike Price]], "")</f>
        <v>0</v>
      </c>
      <c r="EI303" s="240" t="str">
        <f>IF(AND(ISNUMBER(SnapshotTable[[#This Row],[LC Total Value]]),SnapshotTable[[#This Row],[LC Total Value]]&gt;0),SnapshotTable[[#This Row],[LC Stop Gain Loss]]  / SnapshotTable[[#This Row],[LC Premium]],"")</f>
        <v/>
      </c>
      <c r="EJ303" s="35">
        <f>IF(ISNUMBER(SnapshotTable[[#This Row],[Equity Shares]]),TRUNC(SnapshotTable[[#This Row],[Equity Shares]] / 100),0) + SnapshotTable[[#This Row],[LC Qty]]</f>
        <v>0</v>
      </c>
      <c r="EK303" s="147"/>
      <c r="EL303" s="138" t="str">
        <f>IF(SnapshotTable[[#This Row],[SC Exp Date]]&lt;&gt;"",TRUNC(SnapshotTable[[#This Row],[Last Price]]),"")</f>
        <v/>
      </c>
      <c r="EM303" s="148"/>
      <c r="EN303" s="147"/>
      <c r="EO303" s="147"/>
      <c r="EP303" s="138"/>
      <c r="EQ303" s="419" t="b">
        <f>AND(ISNUMBER(SnapshotTable[[#This Row],[SC Exp Date]]), ISNUMBER(SnapshotTable[[#This Row],[SC Strike Price]]), ISNUMBER(SnapshotTable[[#This Row],[SC Qty]]), ISNUMBER(SnapshotTable[[#This Row],[SC Book Date]]), ISNUMBER(SnapshotTable[[#This Row],[SC Book Price]]))</f>
        <v>0</v>
      </c>
      <c r="ER303" s="419" t="b">
        <f>AND(SnapshotTable[[#This Row],[SC Is Booked]], NOT(ISBLANK(SnapshotTable[[#This Row],[SC Fill Date]])))</f>
        <v>0</v>
      </c>
      <c r="ES303" s="370"/>
      <c r="ET303" s="34" t="str">
        <f>IF(AND(ISNUMBER(SnapshotTable[[#This Row],[SC Exp Date]]), ISNUMBER(SnapshotTable[[#This Row],[SC Book Date]])), SnapshotTable[[#This Row],[SC Exp Date]] - MAX(SnapshotTable[[#This Row],[SC Book Date]], SnapshotTable[[#This Row],[SC Fill Date]]) + 1, "")</f>
        <v/>
      </c>
      <c r="EU303" s="34" t="str">
        <f>IF(ISNUMBER(SnapshotTable[[#This Row],[SC Term]]), SnapshotTable[[#This Row],[SC Exp Date]]- MockToday, "")</f>
        <v/>
      </c>
      <c r="EV303" s="31">
        <f>IF(SnapshotTable[[#This Row],[SC Is Booked]], SnapshotTable[[#This Row],[SC Qty]] * SnapshotTable[[#This Row],[SC Book Price]] * 100, 0)</f>
        <v>0</v>
      </c>
      <c r="EW303" s="4" t="str">
        <f>IF(AND(ISNUMBER(SnapshotTable[[#This Row],[Last Price]]), ISNUMBER( SnapshotTable[[#This Row],[SC Book Price]])), SnapshotTable[[#This Row],[Last Price]] - SnapshotTable[[#This Row],[SC Book Price]],"")</f>
        <v/>
      </c>
      <c r="EX303" s="234" t="str">
        <f>IF(SnapshotTable[[#This Row],[SC Is Booked]],IF(SnapshotTable[[#This Row],[SC Intrinsic Value]] &gt; 0, SnapshotTable[[#This Row],[SC Strike Price]], SnapshotTable[[#This Row],[Last Price]]), "")</f>
        <v/>
      </c>
      <c r="EY303" s="4">
        <f>IF(SnapshotTable[[#This Row],[SC Is Booked]], (MinimumPremiumRequired * SnapshotTable[[#This Row],[SC Basis]] * SnapshotTable[[#This Row],[SC Term]]), 0)</f>
        <v>0</v>
      </c>
      <c r="EZ303" s="283"/>
      <c r="FA303" s="218"/>
      <c r="FB303" s="370"/>
      <c r="FC303" s="4">
        <f>IF(SnapshotTable[[#This Row],[SC Is Filled]], btc_max_buyback_amount(SnapshotTable[[#This Row],[SC Fill Date]],SnapshotTable[[#This Row],[SC Exp Date]], SnapshotTable[[#This Row],[SC Book Price]]),0)</f>
        <v>0</v>
      </c>
      <c r="FD303" s="5"/>
      <c r="FE303" s="144" t="str">
        <f>IF(SnapshotTable[[#This Row],[SC Is Filled]], btc_next_cutoff_date(SnapshotTable[[#This Row],[SC Fill Date]],SnapshotTable[[#This Row],[SC Exp Date]]),"")</f>
        <v/>
      </c>
      <c r="FF303" s="4" t="str" cm="1">
        <f t="array" ref="FF303">IF(SnapshotTable[[#This Row],[SC Is Filled]], btc_should_buy_back(SnapshotTable[[#This Row],[SC Fill Date]], SnapshotTable[[#This Row],[SC Exp Date]], SnapshotTable[[#This Row],[SC Book Price]], SnapshotTable[[#This Row],[SC Current Ask]], MockToday, SnapshotTable[[#This Row],[SC Buyback Override]]),"")</f>
        <v/>
      </c>
      <c r="FG303" s="4">
        <f>IF(SnapshotTable[[#This Row],[SC Is Filled]], MAX(0,SnapshotTable[[#This Row],[Last Price]]  - SnapshotTable[[#This Row],[SC Strike Price]]), 0)</f>
        <v>0</v>
      </c>
      <c r="FH303" s="382">
        <f>IF(SnapshotTable[[#This Row],[SC Is Filled]], IF(ISNUMBER(SnapshotTable[[#This Row],[SC Current Ask]]), SnapshotTable[[#This Row],[SC Current Ask]], SnapshotTable[[#This Row],[SC Book Price]]) - SnapshotTable[[#This Row],[SC Intrinsic Value]], 0)</f>
        <v>0</v>
      </c>
      <c r="FI303" s="143"/>
      <c r="FJ303" s="32" t="str">
        <f>IF(SnapshotTable[[#This Row],[SC Is Filled]],100 * SnapshotTable[[#This Row],[SC Qty]] * IF(ISNUMBER(SnapshotTable[[#This Row],[SC Buyback Override]]), SnapshotTable[[#This Row],[SC Buyback Override]], SnapshotTable[[#This Row],[SC Current Ask]]), "")</f>
        <v/>
      </c>
      <c r="FK303" s="250" t="str">
        <f>IF(SnapshotTable[[#This Row],[SC Time Val]]&gt;0, SnapshotTable[[#This Row],[SC Time Val]] / SnapshotTable[[#This Row],[Last Price]],"")</f>
        <v/>
      </c>
      <c r="FL303" s="302" t="str">
        <f>IF(SnapshotTable[[#This Row],[SC Is Booked]], ((SnapshotTable[[#This Row],[Last Price]] -SnapshotTable[[#This Row],[SC Strike Price]]) / SnapshotTable[[#This Row],[Last Price]]) * -1, "")</f>
        <v/>
      </c>
      <c r="FM303" s="157" t="str">
        <f>IF(SnapshotTable[[#This Row],[SC Is Booked]],  (SnapshotTable[[#This Row],[SC Qty]] * 100 * SnapshotTable[[#This Row],[SC Strike Price]]) - SnapshotTable[[#This Row],[SC Current Ask]], "")</f>
        <v/>
      </c>
      <c r="FN30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3" s="31" t="str">
        <f>IF(AND(ISNUMBER(SnapshotTable[[#This Row],[SC Exercise Gross]]), ISNUMBER(SnapshotTable[[#This Row],[Equity Basis Per Share]] )), SnapshotTable[[#This Row],[SC Exercise Gross]] - SnapshotTable[[#This Row],[Equity Basis Total]] +  SnapshotTable[[#This Row],[SC Premium]], "")</f>
        <v/>
      </c>
      <c r="FP303" s="5" t="str">
        <f>IF(ISNUMBER(SnapshotTable[[#This Row],[SC Exercise Gross]]), (SnapshotTable[[#This Row],[SC Exercise Gross]]) / (SnapshotTable[[#This Row],[SC Qty]] * 100), "")</f>
        <v/>
      </c>
      <c r="FQ303" s="27" t="str">
        <f>IF(SnapshotTable[[#This Row],[SC Is Booked]],SnapshotTable[[#This Row],[SC Time Val]] /SnapshotTable[[#This Row],[SC Basis]], "")</f>
        <v/>
      </c>
      <c r="FR303" s="27" t="str" cm="1">
        <f t="array" ref="FR303">IF(AND(ISNUMBER(SnapshotTable[[#This Row],[SC Term]]),ISNUMBER(SnapshotTable[[#This Row],[SC Simple ROO]])), EllmanAnnualize(SnapshotTable[[#This Row],[SC DTE]], SnapshotTable[[#This Row],[SC Simple ROO]] ),"")</f>
        <v/>
      </c>
      <c r="FS303" s="4" t="e">
        <f>IF(SnapshotTable[[#This Row],[SC Strike Price]] &gt; SnapshotTable[[#This Row],[Last Price]], SnapshotTable[[#This Row],[SC Strike Price]] - SnapshotTable[[#This Row],[Last Price]],0)</f>
        <v>#VALUE!</v>
      </c>
      <c r="FT303" s="27" t="e">
        <f>IF(AND(ISNUMBER(SnapshotTable[[#This Row],[SC Upside Potential]]), SnapshotTable[[#This Row],[SC Upside Potential]] &gt; 0),(SnapshotTable[[#This Row],[SC Upside Potential]]/ SnapshotTable[[#This Row],[ACB]]),"")</f>
        <v>#VALUE!</v>
      </c>
      <c r="FU303" s="333" t="str">
        <f>IF(SnapshotTable[[#This Row],[SC Intrinsic Value]] &gt; 0,SnapshotTable[[#This Row],[SC Intrinsic Value]],"")</f>
        <v/>
      </c>
      <c r="FV303" s="27" t="str">
        <f>IF(AND( ISNUMBER( SnapshotTable[[#This Row],[ACB]]),ISNUMBER(SnapshotTable[[#This Row],[SC Downside Protect]])),SnapshotTable[[#This Row],[SC Downside Protect]] / SnapshotTable[[#This Row],[ACB]],"")</f>
        <v/>
      </c>
      <c r="FW303" s="236" t="str">
        <f>IF(AND(ISNUMBER(SnapshotTable[[#This Row],[SC Simple ROO]]),SnapshotTable[[#This Row],[SC Simple ROO]] &gt; 0), SnapshotTable[[#This Row],[SC Premium]] + (SnapshotTable[[#This Row],[SC Qty]] * SnapshotTable[[#This Row],[SC Upside Potential]]), "")</f>
        <v/>
      </c>
      <c r="FX303" s="302" t="str" cm="1">
        <f t="array" ref="FX303">IF(ISNUMBER(SnapshotTable[[#This Row],[SC Max Dollars]]), annualize(SnapshotTable[[#This Row],[SC Term]],(SnapshotTable[[#This Row],[SC Max Dollars]]/SnapshotTable[[#This Row],[SC Basis]])),"")</f>
        <v/>
      </c>
      <c r="FY303" s="236" t="str">
        <f>IF(AND(SnapshotTable[[#This Row],[SC Qty]]&gt;0,SnapshotTable[[#This Row],[SC Current Ask]]&gt;0), SnapshotTable[[#This Row],[SC Qty]] * SnapshotTable[[#This Row],[SC Current Ask]] * -100, "")</f>
        <v/>
      </c>
      <c r="FZ303" s="31" t="str">
        <f>IF(ISNUMBER((SnapshotTable[[#This Row],[SC Current Value]])), SnapshotTable[[#This Row],[SC Premium]] + SnapshotTable[[#This Row],[SC Current Value]], "")</f>
        <v/>
      </c>
      <c r="GA303" s="294" t="str">
        <f>IFERROR( IF(ISNUMBER((SnapshotTable[[#This Row],[SC Current Value]])), SnapshotTable[[#This Row],[SC Gain Loss]] / SnapshotTable[[#This Row],[SC Premium]], ""), "")</f>
        <v/>
      </c>
      <c r="GB303" s="42">
        <f>SnapshotTable[[#This Row],[Equity Shares]] * SaleSharesToConsiderPercentage</f>
        <v>0</v>
      </c>
      <c r="GC303" s="40">
        <f>SnapshotTable[[#This Row],[Long Term Target]] * SellingPriceToConsiderBasedOnTargetPercentage</f>
        <v>83.666499999999985</v>
      </c>
      <c r="GD303" s="40">
        <f>SnapshotTable[[#This Row],[Last Price]] * (1+ SellingPriceToConsiderBasedOnTargetPercentage)</f>
        <v>32.974499999999999</v>
      </c>
      <c r="GE303" s="41"/>
      <c r="GF303" s="40"/>
      <c r="GG303" s="31">
        <f>SnapshotTable[[#This Row],[Booked Sale Shares]] * SnapshotTable[[#This Row],[Booked Sale Price]]</f>
        <v>0</v>
      </c>
      <c r="GH303" s="31" t="str">
        <f>IF(SnapshotTable[[#This Row],[Equity Basis Total]] &gt; 0, SnapshotTable[[#This Row],[Equity Basis Per Share]] * SnapshotTable[[#This Row],[Booked Sale Shares]], "")</f>
        <v/>
      </c>
      <c r="GI303" s="31">
        <f>IF(SnapshotTable[[#This Row],[Sale Proceeds]]&gt;0, SnapshotTable[[#This Row],[Sale Proceeds]] - SnapshotTable[[#This Row],[Sale Basis]], 0)</f>
        <v>0</v>
      </c>
      <c r="GJ303" s="27" t="str">
        <f>IF(SnapshotTable[[#This Row],[Sale G/L]]&gt;0, SnapshotTable[[#This Row],[Sale G/L]] / SnapshotTable[[#This Row],[Sale Basis]], IF(ISNUMBER(SnapshotTable[[#This Row],[SC Exercise P&amp;L (TAX)]]), SnapshotTable[[#This Row],[SC Exercise P&amp;L (TAX)]] / SnapshotTable[[#This Row],[SC Basis]], ""))</f>
        <v/>
      </c>
      <c r="GK303" s="27" t="s">
        <v>768</v>
      </c>
      <c r="GL303" s="43" t="str">
        <f>IF(AND(SnapshotTable[[#This Row],[LP Exp Date]]&gt;0,SnapshotTable[[#This Row],[LP Strike Price]]&gt;0), [1]!ToOptionSymbol(SnapshotTable[[#This Row],[Symbol]], SnapshotTable[[#This Row],[LP Strike Price]],SnapshotTable[[#This Row],[LP Exp Date]],1), "")</f>
        <v/>
      </c>
      <c r="GM303" s="30" t="str">
        <f>IF(LEN(SnapshotTable[[#This Row],[LP Symbol]])&gt;0, 1, "")</f>
        <v/>
      </c>
      <c r="GN303" s="43" t="str">
        <f>IF(AND(SnapshotTable[[#This Row],[SP Exp Date]]&gt;0,SnapshotTable[[#This Row],[SP Strike Price]]&gt;0), [1]!ToOptionSymbol(SnapshotTable[[#This Row],[Symbol]], SnapshotTable[[#This Row],[SP Strike Price]],SnapshotTable[[#This Row],[SP Exp Date]],1), "")</f>
        <v/>
      </c>
      <c r="GO303" s="30" t="str">
        <f>IF(LEN(SnapshotTable[[#This Row],[SP Symbol]])&gt;0, 1, "")</f>
        <v/>
      </c>
      <c r="GP303" s="43" t="str">
        <f>IF(AND(SnapshotTable[[#This Row],[LC Exp Date]]&gt;0,SnapshotTable[[#This Row],[LC Strike Price]]&gt;0), [1]!ToOptionSymbol(SnapshotTable[[#This Row],[Symbol]], SnapshotTable[[#This Row],[LC Strike Price]],SnapshotTable[[#This Row],[LC Exp Date]],0), "")</f>
        <v/>
      </c>
      <c r="GQ303" s="30" t="str">
        <f>IF(LEN(SnapshotTable[[#This Row],[LC Symbol]])&gt;0, 1, "")</f>
        <v/>
      </c>
      <c r="GR303" s="43" t="str">
        <f>IF(AND(SnapshotTable[[#This Row],[SC Exp Date]]&gt;0,SnapshotTable[[#This Row],[SC Strike Price]]&gt;0), [1]!ToOptionSymbol(SnapshotTable[[#This Row],[Symbol]], SnapshotTable[[#This Row],[SC Strike Price]],SnapshotTable[[#This Row],[SC Exp Date]],0), "")</f>
        <v/>
      </c>
      <c r="GS303" s="30" t="str">
        <f>IF(LEN(SnapshotTable[[#This Row],[SC Symbol]])&gt;0, 1, "")</f>
        <v/>
      </c>
      <c r="GT303" s="29" t="str">
        <f>IF(COUNT(SnapshotTable[[#This Row],[LP Symbol Count]],SnapshotTable[[#This Row],[SP Symbol Count]],SnapshotTable[[#This Row],[LC Symbol Count]],SnapshotTable[[#This Row],[SC Symbol Count]])&gt;0, "Y", "")</f>
        <v/>
      </c>
      <c r="GU30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3" s="231" t="e">
        <f>MAX(SnapshotTable[[#This Row],[Equity Basis Total]],SnapshotTable[[#This Row],[Equity Value]]) + (SnapshotTable[[#This Row],[SP Potential Spend]]- SnapshotTable[[#This Row],[SP Premium]] + SnapshotTable[[#This Row],[LP Premium]])+ (SnapshotTable[[#This Row],[LC Premium]] - SnapshotTable[[#This Row],[SC Premium]])</f>
        <v>#VALUE!</v>
      </c>
      <c r="GW303" s="139" t="e">
        <f>IF(AND(SnapshotTable[[#This Row],[Exposure]] &lt;&gt; 0),SnapshotTable[[#This Row],[Exposure]] / SnapshotTable[[#Totals],[Exposure]], "")</f>
        <v>#VALUE!</v>
      </c>
      <c r="HK303" s="1"/>
      <c r="HL303" s="1"/>
      <c r="HM303" s="1"/>
      <c r="HN303" s="1"/>
      <c r="HO303" s="1"/>
      <c r="HP303" s="1"/>
    </row>
    <row r="304" spans="2:224" ht="12.75" hidden="1" customHeight="1" x14ac:dyDescent="0.25">
      <c r="B304" s="12" t="s">
        <v>585</v>
      </c>
      <c r="C304" s="422">
        <v>70.28</v>
      </c>
      <c r="D304" s="208" t="s">
        <v>578</v>
      </c>
      <c r="E304" s="39">
        <f>SnapshotTable[[#This Row],[Last Price]]*(1 -CrashDiscount)</f>
        <v>59.738</v>
      </c>
      <c r="F304" s="26" t="s">
        <v>5</v>
      </c>
      <c r="G304" s="26" t="s">
        <v>4</v>
      </c>
      <c r="H304" s="149"/>
      <c r="I304" s="194">
        <v>44776.666666666664</v>
      </c>
      <c r="J304" s="195">
        <v>44776.666666666664</v>
      </c>
      <c r="K304" s="196"/>
      <c r="L304" s="326"/>
      <c r="M304" s="140"/>
      <c r="N304" s="140"/>
      <c r="O304" s="140"/>
      <c r="P304" s="22"/>
      <c r="Q304" s="25"/>
      <c r="R304" s="4" t="str">
        <f>IF(SnapshotTable[[#This Row],[Equity Basis Total]] &gt; 0, SnapshotTable[[#This Row],[Equity Basis Total]] / SnapshotTable[[#This Row],[Equity Shares]], "")</f>
        <v/>
      </c>
      <c r="S304" s="269">
        <f>SnapshotTable[[#This Row],[Last Price]] * SnapshotTable[[#This Row],[Equity Shares]]</f>
        <v>0</v>
      </c>
      <c r="T304" s="269">
        <f>SnapshotTable[[#This Row],[Equity Value]] - SnapshotTable[[#This Row],[Equity Basis Total]]</f>
        <v>0</v>
      </c>
      <c r="U304" s="270" t="str">
        <f>IF(SnapshotTable[[#This Row],[Equity Basis Total]] &gt; 0, SnapshotTable[[#This Row],[Equity G/L]] / SnapshotTable[[#This Row],[Equity Basis Total]], "")</f>
        <v/>
      </c>
      <c r="V304" s="268"/>
      <c r="W304" s="268"/>
      <c r="X304" s="4" t="str">
        <f>IF(AND(ISNUMBER(SnapshotTable[[#This Row],[Equity Basis Per Share]]),ISNUMBER(SnapshotTable[[#This Row],[Equity Target]])),SnapshotTable[[#This Row],[Equity Target]]-SnapshotTable[[#This Row],[Equity Basis Per Share]],"")</f>
        <v/>
      </c>
      <c r="Y304" s="4" t="str">
        <f>IF(AND(ISNUMBER(SnapshotTable[[#This Row],[Equity Basis Per Share]]),ISNUMBER(SnapshotTable[[#This Row],[Equity Stop Loss]])),SnapshotTable[[#This Row],[Equity Stop Loss]]-SnapshotTable[[#This Row],[Equity Basis Per Share]],"")</f>
        <v/>
      </c>
      <c r="Z304" s="275" t="str">
        <f>IFERROR( TEXT(SnapshotTable[[#This Row],[Equity Max Gain Per Share]] /ABS( SnapshotTable[[#This Row],[Equity Max Loss Per Share]]),"0.0 " ) &amp; " : 1", "")</f>
        <v/>
      </c>
      <c r="AA304" s="31" t="str">
        <f>IF(ISNUMBER(SnapshotTable[[#This Row],[Equity Max Gain Per Share]]),SnapshotTable[[#This Row],[Equity Max Gain Per Share]] * SnapshotTable[[#This Row],[Equity Shares]],"")</f>
        <v/>
      </c>
      <c r="AB304" s="31" t="str">
        <f>IF(ISNUMBER(SnapshotTable[[#This Row],[Equity Max Loss Per Share]]),SnapshotTable[[#This Row],[Equity Max Loss Per Share]] * SnapshotTable[[#This Row],[Equity Shares]],"")</f>
        <v/>
      </c>
      <c r="AC304" s="150"/>
      <c r="AD304" s="151"/>
      <c r="AE304" s="31">
        <f>(SnapshotTable[[#This Row],[Annual Dividend Per Share]] / 4) * SnapshotTable[[#This Row],[Equity Shares]]</f>
        <v>0</v>
      </c>
      <c r="AF304" s="31">
        <f>SnapshotTable[[#This Row],[Quarterly Div $]] * 4</f>
        <v>0</v>
      </c>
      <c r="AG304" s="7">
        <f>IF(SnapshotTable[[#This Row],[Annual Dividend Per Share]]&gt;0, SnapshotTable[[#This Row],[Annual Dividend Per Share]]  / SnapshotTable[[#This Row],[Last Price]], 0)</f>
        <v>0</v>
      </c>
      <c r="AH304" s="151"/>
      <c r="AI304" s="5"/>
      <c r="AJ304" s="138" t="s">
        <v>164</v>
      </c>
      <c r="AK304" s="152" t="str">
        <f>IF(ISNUMBER( SnapshotTable[[#This Row],[EBF Target]]),(SnapshotTable[[#This Row],[EBF Target]] - SnapshotTable[[#This Row],[Last Price]]) / SnapshotTable[[#This Row],[Last Price]], "")</f>
        <v/>
      </c>
      <c r="AL304" s="152" t="str">
        <f>IF(AND(SnapshotTable[[#This Row],[Equity Basis Total]] &gt; 0,ISNUMBER( SnapshotTable[[#This Row],[Long Term Target]])), SnapshotTable[[#This Row],[From Basis $]] / SnapshotTable[[#This Row],[Equity Basis Total]], "")</f>
        <v/>
      </c>
      <c r="AM304" s="9">
        <f>IF( AND(SnapshotTable[[#This Row],[Equity Shares]] &gt;0,ISNUMBER( SnapshotTable[[#This Row],[Long Term Target]])),(SnapshotTable[[#This Row],[Equity Shares]] * SnapshotTable[[#This Row],[Long Term Target]]) - SnapshotTable[[#This Row],[Equity Basis Total]],0)</f>
        <v>0</v>
      </c>
      <c r="AN304" s="9">
        <f>IF( AND(SnapshotTable[[#This Row],[Equity Shares]] &gt;0,ISNUMBER( SnapshotTable[[#This Row],[Long Term Target]])),(SnapshotTable[[#This Row],[Equity Shares]]*SnapshotTable[[#This Row],[Long Term Target]]) - SnapshotTable[[#This Row],[Equity Value]],0)</f>
        <v>0</v>
      </c>
      <c r="AO304" s="152" t="str">
        <f>IF(AND(ISNUMBER( SnapshotTable[[#This Row],[Long Term Target]]), ISNUMBER(SnapshotTable[[#This Row],[Last Price]])),(SnapshotTable[[#This Row],[Long Term Target]] - SnapshotTable[[#This Row],[Last Price]]) / SnapshotTable[[#This Row],[Last Price]], "")</f>
        <v/>
      </c>
      <c r="AP304" s="5">
        <v>105</v>
      </c>
      <c r="AQ304" s="38" t="s">
        <v>45</v>
      </c>
      <c r="AR304" s="5">
        <v>80</v>
      </c>
      <c r="AS304" s="38" t="s">
        <v>45</v>
      </c>
      <c r="AT304" s="146" t="s">
        <v>584</v>
      </c>
      <c r="AU304" s="187" t="str">
        <f>IF(OR(SnapshotTable[[#This Row],[LP No Fill]]="Y",SnapshotTable[[#This Row],[SP Is Filled]],SnapshotTable[[#This Row],[LC Not Filled]]="Y",SnapshotTable[[#This Row],[SC Is Filled]]),"Y","")</f>
        <v/>
      </c>
      <c r="AV304" s="219"/>
      <c r="AW304" s="225"/>
      <c r="AX304" s="220"/>
      <c r="AY304" s="219" t="str">
        <f>IF(SnapshotTable[[#This Row],[Implied Move]]&gt;0, SnapshotTable[[#This Row],[Last Price]]-SnapshotTable[[#This Row],[Implied Move]],"")</f>
        <v/>
      </c>
      <c r="AZ304" s="219" t="str">
        <f>IF(SnapshotTable[[#This Row],[Implied Move]]&gt;0, SnapshotTable[[#This Row],[Last Price]] + SnapshotTable[[#This Row],[Implied Move]],"")</f>
        <v/>
      </c>
      <c r="BA304" s="331"/>
      <c r="BB304" s="347"/>
      <c r="BC30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4" s="351"/>
      <c r="BE304" s="138"/>
      <c r="BF304" s="166"/>
      <c r="BG304" s="167"/>
      <c r="BH304" s="167"/>
      <c r="BI304" s="5"/>
      <c r="BJ304" s="153">
        <f>IF(SnapshotTable[[#This Row],[LP Qty]] &gt; 0, SnapshotTable[[#This Row],[LP Qty]] * SnapshotTable[[#This Row],[LP Book Price]] * 100,0)</f>
        <v>0</v>
      </c>
      <c r="BK304" s="136">
        <f>IF(SnapshotTable[[#This Row],[LP Premium]] &gt; 0, SnapshotTable[[#This Row],[LP Qty]] * SnapshotTable[[#This Row],[LP Strike Price]] * 100,0)</f>
        <v>0</v>
      </c>
      <c r="BL304" s="154"/>
      <c r="BM304" s="385" t="str">
        <f>IF(SnapshotTable[[#This Row],[LP Premium]] &gt; 0,SnapshotTable[[#This Row],[LP Exp Date]]-MAX(SnapshotTable[[#This Row],[LP Book Date]], SnapshotTable[[#This Row],[LP Fill Date]]),"")</f>
        <v/>
      </c>
      <c r="BN304" s="385" t="str">
        <f>IF(ISNUMBER( SnapshotTable[[#This Row],[LP Term]]), SnapshotTable[[#This Row],[LP Exp Date]] - MockToday,"")</f>
        <v/>
      </c>
      <c r="BO304" s="163" t="str">
        <f>IF(AND(SnapshotTable[[#This Row],[LP Exp Date]]&gt;0, SnapshotTable[[#This Row],[LP Strike Price]]&gt;0,SnapshotTable[[#This Row],[LP Qty]]&gt;0,SnapshotTable[[#This Row],[LP Book Date]]&gt;0,SnapshotTable[[#This Row],[LP Book Price]]&gt;0,SnapshotTable[[#This Row],[LP Fill Date]]=0),"Y","")</f>
        <v/>
      </c>
      <c r="BP304" s="31" t="str">
        <f>IF(AND(SnapshotTable[[#This Row],[LP No Fill]]&lt;&gt;"Y",SnapshotTable[[#This Row],[LP Contract Value]]&gt;0, SnapshotTable[[#This Row],[LP Qty]]&gt;0), SnapshotTable[[#This Row],[LP Contract Value]]*SnapshotTable[[#This Row],[LP Qty]]*100,"")</f>
        <v/>
      </c>
      <c r="BQ304" s="13"/>
      <c r="BR304" s="5" t="str">
        <f>IF(SnapshotTable[[#This Row],[SP Exp Date]]&lt;&gt;"",TRUNC(SnapshotTable[[#This Row],[Last Price]]),"")</f>
        <v/>
      </c>
      <c r="BS304" s="36"/>
      <c r="BT304" s="147"/>
      <c r="BU304" s="13"/>
      <c r="BV304" s="5"/>
      <c r="BW304" s="419" t="b">
        <f>AND(ISNUMBER(SnapshotTable[[#This Row],[SP Exp Date]]), ISNUMBER(SnapshotTable[[#This Row],[SP Strike Price]]), ISNUMBER(SnapshotTable[[#This Row],[SP Qty]]), ISNUMBER(SnapshotTable[[#This Row],[SP Book Date]]), ISNUMBER(SnapshotTable[[#This Row],[SP Book Price]]))</f>
        <v>0</v>
      </c>
      <c r="BX304" s="419" t="b">
        <f>AND(SnapshotTable[[#This Row],[SP Is Booked]], NOT(ISBLANK(SnapshotTable[[#This Row],[SP Fill Date]])))</f>
        <v>0</v>
      </c>
      <c r="BY304" s="33">
        <f>IF(SnapshotTable[[#This Row],[SP Is Booked]], SnapshotTable[[#This Row],[SP Qty]] * SnapshotTable[[#This Row],[SP Book Price]] * 100, 0)</f>
        <v>0</v>
      </c>
      <c r="BZ304" s="369"/>
      <c r="CA304" s="368">
        <f>SnapshotTable[[#This Row],[LP Qty]]</f>
        <v>0</v>
      </c>
      <c r="CB304" s="4" t="str">
        <f>IF(SnapshotTable[[#This Row],[SP Is Booked]], SnapshotTable[[#This Row],[SP Strike Price]] - SnapshotTable[[#This Row],[SP Book Price]], "")</f>
        <v/>
      </c>
      <c r="CC304" s="19" t="str">
        <f>IF(SnapshotTable[[#This Row],[SP Is Booked]],SnapshotTable[[#This Row],[SP Exp Date]]-MAX(SnapshotTable[[#This Row],[SP Book Date]], SnapshotTable[[#This Row],[SP Fill Date]]),"")</f>
        <v/>
      </c>
      <c r="CD304" s="7" t="str">
        <f>IF(SnapshotTable[[#This Row],[SP Is Booked]], SnapshotTable[[#This Row],[SP Book Price]]/SnapshotTable[[#This Row],[SP Strike Price]], "")</f>
        <v/>
      </c>
      <c r="CE304" s="7" t="str">
        <f>IF(ISNUMBER(SnapshotTable[[#This Row],[SP ROO Term]]),SnapshotTable[[#This Row],[SP ROO Term]]*(365/SnapshotTable[[#This Row],[SP Term]]),"")</f>
        <v/>
      </c>
      <c r="CF304" s="236">
        <f>SnapshotTable[[#This Row],[LP Strike Price]] * SnapshotTable[[#This Row],[LP Qty]] * 100</f>
        <v>0</v>
      </c>
      <c r="CG304" s="31" t="e">
        <f>IF(ISNUMBER(SnapshotTable[[#This Row],[SP Premium]]), (SnapshotTable[[#This Row],[SP Qty]] * SnapshotTable[[#This Row],[SP Strike Price]]* 100) - SnapshotTable[[#This Row],[LP Protection]], 0)</f>
        <v>#VALUE!</v>
      </c>
      <c r="CH304" s="7" t="str">
        <f>IF(ISNUMBER(SnapshotTable[[#This Row],[SP Break Even]]),-1 * (SnapshotTable[[#This Row],[SP Break Even]] - SnapshotTable[[#This Row],[Last Price]]) / SnapshotTable[[#This Row],[Last Price]], "")</f>
        <v/>
      </c>
      <c r="CI304" s="31">
        <f>IF(AND(ISNUMBER((SnapshotTable[[#This Row],[SP Potential Spend]])), SnapshotTable[[#This Row],[SP Strike Price]] &gt; SnapshotTable[[#This Row],[Last Price]], SnapshotTable[[#This Row],[SP Is Filled]]), SnapshotTable[[#This Row],[SP Potential Spend]] -  SnapshotTable[[#This Row],[LP Max Value]], 0)</f>
        <v>0</v>
      </c>
      <c r="CJ304" s="244"/>
      <c r="CK304" s="31" t="str">
        <f>IF(ISNUMBER(SnapshotTable[[#This Row],[SP Potential Spend]]),IF(ISNUMBER(SnapshotTable[[#This Row],[SP POW]]), SnapshotTable[[#This Row],[SP POW]] * SnapshotTable[[#This Row],[SP Potential Spend]], SnapshotTable[[#This Row],[SP Potential Spend]]), "")</f>
        <v/>
      </c>
      <c r="CL304" s="164" t="e">
        <f>IF(NOT(SnapshotTable[[#This Row],[SP Is Filled]]),(SnapshotTable[[#This Row],[SP Qty]] * SnapshotTable[[#This Row],[SP Strike Price]] * 100) - SnapshotTable[[#This Row],[LP Max Value]],"")</f>
        <v>#VALUE!</v>
      </c>
      <c r="CM304" s="31" t="str">
        <f>IF(SnapshotTable[[#This Row],[SP Actual Spend]]&lt;&gt;0, ((SnapshotTable[[#This Row],[SP Strike Price]]-SnapshotTable[[#This Row],[Last Price]]) *(SnapshotTable[[#This Row],[SP Qty]]*100) - SnapshotTable[[#This Row],[SP Premium]]) * - 1, "")</f>
        <v/>
      </c>
      <c r="CN304" s="154"/>
      <c r="CO304" s="369"/>
      <c r="CP304" s="4" t="str">
        <f>IF(SnapshotTable[[#This Row],[SP Is Filled]], btc_max_buyback_amount(SnapshotTable[[#This Row],[SP Fill Date]],SnapshotTable[[#This Row],[SP Exp Date]], SnapshotTable[[#This Row],[SP Book Price]]),"")</f>
        <v/>
      </c>
      <c r="CQ304" s="78"/>
      <c r="CR30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4" s="155" t="str">
        <f>IF(SnapshotTable[[#This Row],[SP Is Filled]], btc_next_cutoff_date(SnapshotTable[[#This Row],[SP Fill Date]],SnapshotTable[[#This Row],[SP Exp Date]]),"")</f>
        <v/>
      </c>
      <c r="CT304" s="235" t="str" cm="1">
        <f t="array" ref="CT304">IF(SnapshotTable[[#This Row],[SP Is Filled]], btc_should_buy_back(SnapshotTable[[#This Row],[SP Fill Date]], SnapshotTable[[#This Row],[SP Exp Date]], SnapshotTable[[#This Row],[SP Book Price]], SnapshotTable[[#This Row],[SP Current Ask]], MockToday, SnapshotTable[[#This Row],[SP Buyback Override]]),"")</f>
        <v/>
      </c>
      <c r="CU304" s="156"/>
      <c r="CV304" s="235"/>
      <c r="CW304" s="378" t="str">
        <f>IF(ISNUMBER( SnapshotTable[[#This Row],[SP Term]]), SnapshotTable[[#This Row],[SP Exp Date]] - MockToday,"")</f>
        <v/>
      </c>
      <c r="CX304" s="31" t="str">
        <f>IF(SnapshotTable[[#This Row],[SP Is Filled]],SnapshotTable[[#This Row],[SP Buyback Price to Use]] * 100 * SnapshotTable[[#This Row],[SP Qty]], "")</f>
        <v/>
      </c>
      <c r="CY304" s="4" t="str">
        <f>IF(ISNUMBER(SnapshotTable[[#This Row],[SP Strike Price]]), SnapshotTable[[#This Row],[SP Strike Price]] * (1 - SP_MaxLoss_StrikePct), "")</f>
        <v/>
      </c>
      <c r="CZ304" s="31" t="str">
        <f>IF(ISNUMBER(SnapshotTable[[#This Row],[SP Strike  Stop Per Share]]),SnapshotTable[[#This Row],[SP Premium]] - ((SnapshotTable[[#This Row],[SP Strike Price]]-SnapshotTable[[#This Row],[SP Strike  Stop Per Share]]) *(SnapshotTable[[#This Row],[SP Qty]] * 100)),"")</f>
        <v/>
      </c>
      <c r="DA304" s="4" t="str">
        <f>IF(AND(ISNUMBER(SnapshotTable[[#This Row],[SP Premium]]),SnapshotTable[[#This Row],[SP Premium]]&gt;0), SnapshotTable[[#This Row],[SP Book Price]] * (1 + SP_MaxLoss_OptionPct), "")</f>
        <v/>
      </c>
      <c r="DB304" s="31" t="str">
        <f>IF(ISNUMBER(SnapshotTable[[#This Row],[SP Option  Stop Contract]]),(SnapshotTable[[#This Row],[SP Option  Stop Contract]] *(SnapshotTable[[#This Row],[SP Qty]] * 100) - SnapshotTable[[#This Row],[SP Premium]]),"")</f>
        <v/>
      </c>
      <c r="DC304" s="4"/>
      <c r="DD304" s="4"/>
      <c r="DE304" s="4" t="str">
        <f>IF(AND(SnapshotTable[[#This Row],[SP Qty]]&gt;0, SnapshotTable[[#This Row],[SP Stop To Use]]&gt;0),SnapshotTable[[#This Row],[SP Premium]] - ( SnapshotTable[[#This Row],[SP Qty]] * SnapshotTable[[#This Row],[SP Stop To Use]] * 100), "")</f>
        <v/>
      </c>
      <c r="DF304" s="31" t="str">
        <f>IF(AND(SnapshotTable[[#This Row],[SP Qty]]&gt;0,SnapshotTable[[#This Row],[SP Current Ask]]&gt;0), SnapshotTable[[#This Row],[SP Qty]] * SnapshotTable[[#This Row],[SP Current Ask]] * -100, "")</f>
        <v/>
      </c>
      <c r="DG304" s="31" t="str">
        <f>IF(ISNUMBER((SnapshotTable[[#This Row],[SP Total Value]])), SnapshotTable[[#This Row],[SP Premium]] + SnapshotTable[[#This Row],[SP Total Value]], "")</f>
        <v/>
      </c>
      <c r="DH304" s="294" t="str">
        <f>IF(ISNUMBER((SnapshotTable[[#This Row],[SP Total Value]])), SnapshotTable[[#This Row],[SP Gain Loss]] / SnapshotTable[[#This Row],[SP Premium]], "")</f>
        <v/>
      </c>
      <c r="DI304" s="406"/>
      <c r="DJ304" s="138"/>
      <c r="DK304" s="148"/>
      <c r="DL304" s="147"/>
      <c r="DM304" s="147"/>
      <c r="DO304" s="31">
        <f>IF(SnapshotTable[[#This Row],[LC Symbol Count]]=1, SnapshotTable[[#This Row],[LC Qty]] * SnapshotTable[[#This Row],[LC Book Price]] * 100, 0)</f>
        <v>0</v>
      </c>
      <c r="DP304" s="163" t="str">
        <f>IF(AND(SnapshotTable[[#This Row],[LC Exp Date]]&gt;0, SnapshotTable[[#This Row],[LC Strike Price]]&gt;0,SnapshotTable[[#This Row],[LC Qty]]&gt;0,SnapshotTable[[#This Row],[LC Book Date]]&gt;0,SnapshotTable[[#This Row],[LC Book Price]]&gt;0,SnapshotTable[[#This Row],[LC Fill Date]]=0),"Y","")</f>
        <v/>
      </c>
      <c r="DQ304" s="386" t="str">
        <f>IF(SnapshotTable[[#This Row],[LC Premium]] &gt; 0,SnapshotTable[[#This Row],[LC Exp Date]]-MAX(SnapshotTable[[#This Row],[LC Book Date]], SnapshotTable[[#This Row],[LC Fill Date]]),"")</f>
        <v/>
      </c>
      <c r="DR304" s="386" t="str">
        <f>IF(ISNUMBER(SnapshotTable[[#This Row],[LC Term]]), SnapshotTable[[#This Row],[LC Exp Date]] - MockToday, "")</f>
        <v/>
      </c>
      <c r="DS304" s="234" t="str">
        <f>IF(SnapshotTable[[#This Row],[LC Premium]]&gt;0,SnapshotTable[[#This Row],[LC Strike Price]] + SnapshotTable[[#This Row],[LC Book Price]],"")</f>
        <v/>
      </c>
      <c r="DU304" s="9" t="str">
        <f>IF(AND(SnapshotTable[[#This Row],[LC Symbol Count]]&gt;0, SnapshotTable[[#This Row],[LC Contract Value]]&gt;0), SnapshotTable[[#This Row],[LC Contract Value]] * SnapshotTable[[#This Row],[LC Qty]] * 100, "")</f>
        <v/>
      </c>
      <c r="DV304" s="9" t="str">
        <f>IF(AND(ISNUMBER(SnapshotTable[[#This Row],[LC Total Value]]), SnapshotTable[[#This Row],[LC Not Filled]]&lt;&gt;"Y"), SnapshotTable[[#This Row],[LC Total Value]]-SnapshotTable[[#This Row],[LC Premium]],"")</f>
        <v/>
      </c>
      <c r="DW304" s="240" t="str">
        <f>IF(ISNUMBER(SnapshotTable[[#This Row],[LC Actual Gain Loss]]), SnapshotTable[[#This Row],[LC Actual Gain Loss]] / SnapshotTable[[#This Row],[LC Premium]],"")</f>
        <v/>
      </c>
      <c r="DX304" s="284" t="str">
        <f>IF(ISNUMBER(SnapshotTable[[#This Row],[LC Book Price]]),SnapshotTable[[#This Row],[LC Book Price]] * 1.5,"")</f>
        <v/>
      </c>
      <c r="DY304" s="265" t="str">
        <f>IF(SnapshotTable[[#This Row],[LC Premium]]&gt;0, SnapshotTable[[#This Row],[LC Next Target]] * SnapshotTable[[#This Row],[LC Qty]] * 100,"")</f>
        <v/>
      </c>
      <c r="DZ304" s="265" t="str">
        <f>IF(ISNUMBER(SnapshotTable[[#This Row],[LC Target Gross]]), SnapshotTable[[#This Row],[LC Target Gross]] - SnapshotTable[[#This Row],[LC Premium]], "")</f>
        <v/>
      </c>
      <c r="EA304" s="305" t="str">
        <f>IF(ISNUMBER(SnapshotTable[[#This Row],[LC Target Gain Loss]]), SnapshotTable[[#This Row],[LC Target Gain Loss]]/SnapshotTable[[#This Row],[LC Premium]], "")</f>
        <v/>
      </c>
      <c r="EB304" s="262"/>
      <c r="EC304" s="283" t="str">
        <f>IF(SnapshotTable[[#This Row],[LC Premium]]&gt;0, SnapshotTable[[#This Row],[LC Book Price]] * (1 - LC_StopLoss_Pct),"")</f>
        <v/>
      </c>
      <c r="ED304" s="284"/>
      <c r="EE304" s="283" t="str">
        <f>IF(ISNUMBER(SnapshotTable[[#This Row],[LC Contract Value]]),IF(ISNUMBER(SnapshotTable[[#This Row],[LC Stop Loss Override]]), SnapshotTable[[#This Row],[LC Stop Loss Override]],SnapshotTable[[#This Row],[LC Stop Loss Calc Target]]),"")</f>
        <v/>
      </c>
      <c r="EF304" s="31" t="str">
        <f>IF(ISNUMBER(SnapshotTable[[#This Row],[LC Stop  To Use]]), (SnapshotTable[[#This Row],[LC Stop  To Use]] * SnapshotTable[[#This Row],[LC Qty]] * 100),"")</f>
        <v/>
      </c>
      <c r="EG304" s="9" t="str">
        <f>IF(ISNUMBER(SnapshotTable[[#This Row],[LC Total Value]]),SnapshotTable[[#This Row],[LC Stop Loss Amount]] - SnapshotTable[[#This Row],[LC Premium]],"")</f>
        <v/>
      </c>
      <c r="EH304" s="9">
        <f>IF(ISNUMBER(SnapshotTable[[#This Row],[LC Premium]]), SnapshotTable[[#This Row],[LC Qty]] * 100 * SnapshotTable[[#This Row],[LC Strike Price]], "")</f>
        <v>0</v>
      </c>
      <c r="EI304" s="240" t="str">
        <f>IF(AND(ISNUMBER(SnapshotTable[[#This Row],[LC Total Value]]),SnapshotTable[[#This Row],[LC Total Value]]&gt;0),SnapshotTable[[#This Row],[LC Stop Gain Loss]]  / SnapshotTable[[#This Row],[LC Premium]],"")</f>
        <v/>
      </c>
      <c r="EJ304" s="35">
        <f>IF(ISNUMBER(SnapshotTable[[#This Row],[Equity Shares]]),TRUNC(SnapshotTable[[#This Row],[Equity Shares]] / 100),0) + SnapshotTable[[#This Row],[LC Qty]]</f>
        <v>0</v>
      </c>
      <c r="EK304" s="147"/>
      <c r="EL304" s="138" t="str">
        <f>IF(SnapshotTable[[#This Row],[SC Exp Date]]&lt;&gt;"",TRUNC(SnapshotTable[[#This Row],[Last Price]]),"")</f>
        <v/>
      </c>
      <c r="EM304" s="148"/>
      <c r="EN304" s="147"/>
      <c r="EO304" s="147"/>
      <c r="EP304" s="138"/>
      <c r="EQ304" s="419" t="b">
        <f>AND(ISNUMBER(SnapshotTable[[#This Row],[SC Exp Date]]), ISNUMBER(SnapshotTable[[#This Row],[SC Strike Price]]), ISNUMBER(SnapshotTable[[#This Row],[SC Qty]]), ISNUMBER(SnapshotTable[[#This Row],[SC Book Date]]), ISNUMBER(SnapshotTable[[#This Row],[SC Book Price]]))</f>
        <v>0</v>
      </c>
      <c r="ER304" s="419" t="b">
        <f>AND(SnapshotTable[[#This Row],[SC Is Booked]], NOT(ISBLANK(SnapshotTable[[#This Row],[SC Fill Date]])))</f>
        <v>0</v>
      </c>
      <c r="ES304" s="370"/>
      <c r="ET304" s="34" t="str">
        <f>IF(AND(ISNUMBER(SnapshotTable[[#This Row],[SC Exp Date]]), ISNUMBER(SnapshotTable[[#This Row],[SC Book Date]])), SnapshotTable[[#This Row],[SC Exp Date]] - MAX(SnapshotTable[[#This Row],[SC Book Date]], SnapshotTable[[#This Row],[SC Fill Date]]) + 1, "")</f>
        <v/>
      </c>
      <c r="EU304" s="34" t="str">
        <f>IF(ISNUMBER(SnapshotTable[[#This Row],[SC Term]]), SnapshotTable[[#This Row],[SC Exp Date]]- MockToday, "")</f>
        <v/>
      </c>
      <c r="EV304" s="31">
        <f>IF(SnapshotTable[[#This Row],[SC Is Booked]], SnapshotTable[[#This Row],[SC Qty]] * SnapshotTable[[#This Row],[SC Book Price]] * 100, 0)</f>
        <v>0</v>
      </c>
      <c r="EW304" s="4" t="str">
        <f>IF(AND(ISNUMBER(SnapshotTable[[#This Row],[Last Price]]), ISNUMBER( SnapshotTable[[#This Row],[SC Book Price]])), SnapshotTable[[#This Row],[Last Price]] - SnapshotTable[[#This Row],[SC Book Price]],"")</f>
        <v/>
      </c>
      <c r="EX304" s="234" t="str">
        <f>IF(SnapshotTable[[#This Row],[SC Is Booked]],IF(SnapshotTable[[#This Row],[SC Intrinsic Value]] &gt; 0, SnapshotTable[[#This Row],[SC Strike Price]], SnapshotTable[[#This Row],[Last Price]]), "")</f>
        <v/>
      </c>
      <c r="EY304" s="4">
        <f>IF(SnapshotTable[[#This Row],[SC Is Booked]], (MinimumPremiumRequired * SnapshotTable[[#This Row],[SC Basis]] * SnapshotTable[[#This Row],[SC Term]]), 0)</f>
        <v>0</v>
      </c>
      <c r="EZ304" s="283"/>
      <c r="FA304" s="218"/>
      <c r="FB304" s="370"/>
      <c r="FC304" s="4">
        <f>IF(SnapshotTable[[#This Row],[SC Is Filled]], btc_max_buyback_amount(SnapshotTable[[#This Row],[SC Fill Date]],SnapshotTable[[#This Row],[SC Exp Date]], SnapshotTable[[#This Row],[SC Book Price]]),0)</f>
        <v>0</v>
      </c>
      <c r="FD304" s="5"/>
      <c r="FE304" s="144" t="str">
        <f>IF(SnapshotTable[[#This Row],[SC Is Filled]], btc_next_cutoff_date(SnapshotTable[[#This Row],[SC Fill Date]],SnapshotTable[[#This Row],[SC Exp Date]]),"")</f>
        <v/>
      </c>
      <c r="FF304" s="4" t="str" cm="1">
        <f t="array" ref="FF304">IF(SnapshotTable[[#This Row],[SC Is Filled]], btc_should_buy_back(SnapshotTable[[#This Row],[SC Fill Date]], SnapshotTable[[#This Row],[SC Exp Date]], SnapshotTable[[#This Row],[SC Book Price]], SnapshotTable[[#This Row],[SC Current Ask]], MockToday, SnapshotTable[[#This Row],[SC Buyback Override]]),"")</f>
        <v/>
      </c>
      <c r="FG304" s="4">
        <f>IF(SnapshotTable[[#This Row],[SC Is Filled]], MAX(0,SnapshotTable[[#This Row],[Last Price]]  - SnapshotTable[[#This Row],[SC Strike Price]]), 0)</f>
        <v>0</v>
      </c>
      <c r="FH304" s="382">
        <f>IF(SnapshotTable[[#This Row],[SC Is Filled]], IF(ISNUMBER(SnapshotTable[[#This Row],[SC Current Ask]]), SnapshotTable[[#This Row],[SC Current Ask]], SnapshotTable[[#This Row],[SC Book Price]]) - SnapshotTable[[#This Row],[SC Intrinsic Value]], 0)</f>
        <v>0</v>
      </c>
      <c r="FI304" s="143"/>
      <c r="FJ304" s="32" t="str">
        <f>IF(SnapshotTable[[#This Row],[SC Is Filled]],100 * SnapshotTable[[#This Row],[SC Qty]] * IF(ISNUMBER(SnapshotTable[[#This Row],[SC Buyback Override]]), SnapshotTable[[#This Row],[SC Buyback Override]], SnapshotTable[[#This Row],[SC Current Ask]]), "")</f>
        <v/>
      </c>
      <c r="FK304" s="250" t="str">
        <f>IF(SnapshotTable[[#This Row],[SC Time Val]]&gt;0, SnapshotTable[[#This Row],[SC Time Val]] / SnapshotTable[[#This Row],[Last Price]],"")</f>
        <v/>
      </c>
      <c r="FL304" s="302" t="str">
        <f>IF(SnapshotTable[[#This Row],[SC Is Booked]], ((SnapshotTable[[#This Row],[Last Price]] -SnapshotTable[[#This Row],[SC Strike Price]]) / SnapshotTable[[#This Row],[Last Price]]) * -1, "")</f>
        <v/>
      </c>
      <c r="FM304" s="157" t="str">
        <f>IF(SnapshotTable[[#This Row],[SC Is Booked]],  (SnapshotTable[[#This Row],[SC Qty]] * 100 * SnapshotTable[[#This Row],[SC Strike Price]]) - SnapshotTable[[#This Row],[SC Current Ask]], "")</f>
        <v/>
      </c>
      <c r="FN304"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4" s="157" t="str">
        <f>IF(AND(ISNUMBER(SnapshotTable[[#This Row],[SC Exercise Gross]]), ISNUMBER(SnapshotTable[[#This Row],[Equity Basis Per Share]] )), SnapshotTable[[#This Row],[SC Exercise Gross]] - SnapshotTable[[#This Row],[Equity Basis Total]] +  SnapshotTable[[#This Row],[SC Premium]], "")</f>
        <v/>
      </c>
      <c r="FP304" s="5" t="str">
        <f>IF(ISNUMBER(SnapshotTable[[#This Row],[SC Exercise Gross]]), (SnapshotTable[[#This Row],[SC Exercise Gross]]) / (SnapshotTable[[#This Row],[SC Qty]] * 100), "")</f>
        <v/>
      </c>
      <c r="FQ304" s="27" t="str">
        <f>IF(SnapshotTable[[#This Row],[SC Is Booked]],SnapshotTable[[#This Row],[SC Time Val]] /SnapshotTable[[#This Row],[SC Basis]], "")</f>
        <v/>
      </c>
      <c r="FR304" s="27" t="str" cm="1">
        <f t="array" ref="FR304">IF(AND(ISNUMBER(SnapshotTable[[#This Row],[SC Term]]),ISNUMBER(SnapshotTable[[#This Row],[SC Simple ROO]])), EllmanAnnualize(SnapshotTable[[#This Row],[SC DTE]], SnapshotTable[[#This Row],[SC Simple ROO]] ),"")</f>
        <v/>
      </c>
      <c r="FS304" s="4" t="e">
        <f>IF(SnapshotTable[[#This Row],[SC Strike Price]] &gt; SnapshotTable[[#This Row],[Last Price]], SnapshotTable[[#This Row],[SC Strike Price]] - SnapshotTable[[#This Row],[Last Price]],0)</f>
        <v>#VALUE!</v>
      </c>
      <c r="FT304" s="27" t="e">
        <f>IF(AND(ISNUMBER(SnapshotTable[[#This Row],[SC Upside Potential]]), SnapshotTable[[#This Row],[SC Upside Potential]] &gt; 0),(SnapshotTable[[#This Row],[SC Upside Potential]]/ SnapshotTable[[#This Row],[ACB]]),"")</f>
        <v>#VALUE!</v>
      </c>
      <c r="FU304" s="333" t="str">
        <f>IF(SnapshotTable[[#This Row],[SC Intrinsic Value]] &gt; 0,SnapshotTable[[#This Row],[SC Intrinsic Value]],"")</f>
        <v/>
      </c>
      <c r="FV304" s="27" t="str">
        <f>IF(AND( ISNUMBER( SnapshotTable[[#This Row],[ACB]]),ISNUMBER(SnapshotTable[[#This Row],[SC Downside Protect]])),SnapshotTable[[#This Row],[SC Downside Protect]] / SnapshotTable[[#This Row],[ACB]],"")</f>
        <v/>
      </c>
      <c r="FW304" s="236" t="str">
        <f>IF(AND(ISNUMBER(SnapshotTable[[#This Row],[SC Simple ROO]]),SnapshotTable[[#This Row],[SC Simple ROO]] &gt; 0), SnapshotTable[[#This Row],[SC Premium]] + (SnapshotTable[[#This Row],[SC Qty]] * SnapshotTable[[#This Row],[SC Upside Potential]]), "")</f>
        <v/>
      </c>
      <c r="FX304" s="302" t="str" cm="1">
        <f t="array" ref="FX304">IF(ISNUMBER(SnapshotTable[[#This Row],[SC Max Dollars]]), annualize(SnapshotTable[[#This Row],[SC Term]],(SnapshotTable[[#This Row],[SC Max Dollars]]/SnapshotTable[[#This Row],[SC Basis]])),"")</f>
        <v/>
      </c>
      <c r="FY304" s="236" t="str">
        <f>IF(AND(SnapshotTable[[#This Row],[SC Qty]]&gt;0,SnapshotTable[[#This Row],[SC Current Ask]]&gt;0), SnapshotTable[[#This Row],[SC Qty]] * SnapshotTable[[#This Row],[SC Current Ask]] * -100, "")</f>
        <v/>
      </c>
      <c r="FZ304" s="31" t="str">
        <f>IF(ISNUMBER((SnapshotTable[[#This Row],[SC Current Value]])), SnapshotTable[[#This Row],[SC Premium]] + SnapshotTable[[#This Row],[SC Current Value]], "")</f>
        <v/>
      </c>
      <c r="GA304" s="294" t="str">
        <f>IFERROR( IF(ISNUMBER((SnapshotTable[[#This Row],[SC Current Value]])), SnapshotTable[[#This Row],[SC Gain Loss]] / SnapshotTable[[#This Row],[SC Premium]], ""), "")</f>
        <v/>
      </c>
      <c r="GB304" s="42">
        <f>SnapshotTable[[#This Row],[Equity Shares]] * SaleSharesToConsiderPercentage</f>
        <v>0</v>
      </c>
      <c r="GC304" s="40" t="e">
        <f>SnapshotTable[[#This Row],[Long Term Target]] * SellingPriceToConsiderBasedOnTargetPercentage</f>
        <v>#VALUE!</v>
      </c>
      <c r="GD304" s="40">
        <f>SnapshotTable[[#This Row],[Last Price]] * (1+ SellingPriceToConsiderBasedOnTargetPercentage)</f>
        <v>137.04599999999999</v>
      </c>
      <c r="GE304" s="41"/>
      <c r="GF304" s="40"/>
      <c r="GG304" s="31">
        <f>SnapshotTable[[#This Row],[Booked Sale Shares]] * SnapshotTable[[#This Row],[Booked Sale Price]]</f>
        <v>0</v>
      </c>
      <c r="GH304" s="31" t="str">
        <f>IF(SnapshotTable[[#This Row],[Equity Basis Total]] &gt; 0, SnapshotTable[[#This Row],[Equity Basis Per Share]] * SnapshotTable[[#This Row],[Booked Sale Shares]], "")</f>
        <v/>
      </c>
      <c r="GI304" s="31">
        <f>IF(SnapshotTable[[#This Row],[Sale Proceeds]]&gt;0, SnapshotTable[[#This Row],[Sale Proceeds]] - SnapshotTable[[#This Row],[Sale Basis]], 0)</f>
        <v>0</v>
      </c>
      <c r="GJ304" s="158" t="str">
        <f>IF(SnapshotTable[[#This Row],[Sale G/L]]&gt;0, SnapshotTable[[#This Row],[Sale G/L]] / SnapshotTable[[#This Row],[Sale Basis]], IF(ISNUMBER(SnapshotTable[[#This Row],[SC Exercise P&amp;L (TAX)]]), SnapshotTable[[#This Row],[SC Exercise P&amp;L (TAX)]] / SnapshotTable[[#This Row],[SC Basis]], ""))</f>
        <v/>
      </c>
      <c r="GK304" s="158" t="s">
        <v>769</v>
      </c>
      <c r="GL304" s="159" t="str">
        <f>IF(AND(SnapshotTable[[#This Row],[LP Exp Date]]&gt;0,SnapshotTable[[#This Row],[LP Strike Price]]&gt;0), [1]!ToOptionSymbol(SnapshotTable[[#This Row],[Symbol]], SnapshotTable[[#This Row],[LP Strike Price]],SnapshotTable[[#This Row],[LP Exp Date]],1), "")</f>
        <v/>
      </c>
      <c r="GM304" s="30" t="str">
        <f>IF(LEN(SnapshotTable[[#This Row],[LP Symbol]])&gt;0, 1, "")</f>
        <v/>
      </c>
      <c r="GN304" s="43" t="str">
        <f>IF(AND(SnapshotTable[[#This Row],[SP Exp Date]]&gt;0,SnapshotTable[[#This Row],[SP Strike Price]]&gt;0), [1]!ToOptionSymbol(SnapshotTable[[#This Row],[Symbol]], SnapshotTable[[#This Row],[SP Strike Price]],SnapshotTable[[#This Row],[SP Exp Date]],1), "")</f>
        <v/>
      </c>
      <c r="GO304" s="30" t="str">
        <f>IF(LEN(SnapshotTable[[#This Row],[SP Symbol]])&gt;0, 1, "")</f>
        <v/>
      </c>
      <c r="GP304" s="159" t="str">
        <f>IF(AND(SnapshotTable[[#This Row],[LC Exp Date]]&gt;0,SnapshotTable[[#This Row],[LC Strike Price]]&gt;0), [1]!ToOptionSymbol(SnapshotTable[[#This Row],[Symbol]], SnapshotTable[[#This Row],[LC Strike Price]],SnapshotTable[[#This Row],[LC Exp Date]],0), "")</f>
        <v/>
      </c>
      <c r="GQ304" s="160" t="str">
        <f>IF(LEN(SnapshotTable[[#This Row],[LC Symbol]])&gt;0, 1, "")</f>
        <v/>
      </c>
      <c r="GR304" s="159" t="str">
        <f>IF(AND(SnapshotTable[[#This Row],[SC Exp Date]]&gt;0,SnapshotTable[[#This Row],[SC Strike Price]]&gt;0), [1]!ToOptionSymbol(SnapshotTable[[#This Row],[Symbol]], SnapshotTable[[#This Row],[SC Strike Price]],SnapshotTable[[#This Row],[SC Exp Date]],0), "")</f>
        <v/>
      </c>
      <c r="GS304" s="160" t="str">
        <f>IF(LEN(SnapshotTable[[#This Row],[SC Symbol]])&gt;0, 1, "")</f>
        <v/>
      </c>
      <c r="GT304" s="161" t="str">
        <f>IF(COUNT(SnapshotTable[[#This Row],[LP Symbol Count]],SnapshotTable[[#This Row],[SP Symbol Count]],SnapshotTable[[#This Row],[LC Symbol Count]],SnapshotTable[[#This Row],[SC Symbol Count]])&gt;0, "Y", "")</f>
        <v/>
      </c>
      <c r="GU30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4" s="231" t="e">
        <f>MAX(SnapshotTable[[#This Row],[Equity Basis Total]],SnapshotTable[[#This Row],[Equity Value]]) + (SnapshotTable[[#This Row],[SP Potential Spend]]- SnapshotTable[[#This Row],[SP Premium]] + SnapshotTable[[#This Row],[LP Premium]])+ (SnapshotTable[[#This Row],[LC Premium]] - SnapshotTable[[#This Row],[SC Premium]])</f>
        <v>#VALUE!</v>
      </c>
      <c r="GW304" s="139" t="e">
        <f>IF(AND(SnapshotTable[[#This Row],[Exposure]] &lt;&gt; 0),SnapshotTable[[#This Row],[Exposure]] / SnapshotTable[[#Totals],[Exposure]], "")</f>
        <v>#VALUE!</v>
      </c>
      <c r="HK304" s="1"/>
      <c r="HL304" s="1"/>
      <c r="HM304" s="1"/>
      <c r="HN304" s="1"/>
      <c r="HO304" s="1"/>
      <c r="HP304" s="1"/>
    </row>
    <row r="305" spans="2:224" ht="12.75" hidden="1" customHeight="1" x14ac:dyDescent="0.25">
      <c r="B305" s="12" t="s">
        <v>556</v>
      </c>
      <c r="C305" s="422">
        <v>42.79</v>
      </c>
      <c r="D305" s="208"/>
      <c r="E305" s="39">
        <f>SnapshotTable[[#This Row],[Last Price]]*(1 -CrashDiscount)</f>
        <v>36.371499999999997</v>
      </c>
      <c r="F305" s="26" t="s">
        <v>153</v>
      </c>
      <c r="G305" s="26" t="s">
        <v>20</v>
      </c>
      <c r="H305" s="149"/>
      <c r="I305" s="194">
        <v>44781.670138888891</v>
      </c>
      <c r="J305" s="195">
        <v>44781.670138888891</v>
      </c>
      <c r="K305" s="196"/>
      <c r="L305" s="326"/>
      <c r="M305" s="140"/>
      <c r="N305" s="140"/>
      <c r="O305" s="140"/>
      <c r="P305" s="22"/>
      <c r="Q305" s="25"/>
      <c r="R305" s="4" t="str">
        <f>IF(SnapshotTable[[#This Row],[Equity Basis Total]] &gt; 0, SnapshotTable[[#This Row],[Equity Basis Total]] / SnapshotTable[[#This Row],[Equity Shares]], "")</f>
        <v/>
      </c>
      <c r="S305" s="269">
        <f>SnapshotTable[[#This Row],[Last Price]] * SnapshotTable[[#This Row],[Equity Shares]]</f>
        <v>0</v>
      </c>
      <c r="T305" s="269">
        <f>SnapshotTable[[#This Row],[Equity Value]] - SnapshotTable[[#This Row],[Equity Basis Total]]</f>
        <v>0</v>
      </c>
      <c r="U305" s="270" t="str">
        <f>IF(SnapshotTable[[#This Row],[Equity Basis Total]] &gt; 0, SnapshotTable[[#This Row],[Equity G/L]] / SnapshotTable[[#This Row],[Equity Basis Total]], "")</f>
        <v/>
      </c>
      <c r="V305" s="268"/>
      <c r="W305" s="268"/>
      <c r="X305" s="4" t="str">
        <f>IF(AND(ISNUMBER(SnapshotTable[[#This Row],[Equity Basis Per Share]]),ISNUMBER(SnapshotTable[[#This Row],[Equity Target]])),SnapshotTable[[#This Row],[Equity Target]]-SnapshotTable[[#This Row],[Equity Basis Per Share]],"")</f>
        <v/>
      </c>
      <c r="Y305" s="4" t="str">
        <f>IF(AND(ISNUMBER(SnapshotTable[[#This Row],[Equity Basis Per Share]]),ISNUMBER(SnapshotTable[[#This Row],[Equity Stop Loss]])),SnapshotTable[[#This Row],[Equity Stop Loss]]-SnapshotTable[[#This Row],[Equity Basis Per Share]],"")</f>
        <v/>
      </c>
      <c r="Z305" s="275" t="str">
        <f>IFERROR( TEXT(SnapshotTable[[#This Row],[Equity Max Gain Per Share]] /ABS( SnapshotTable[[#This Row],[Equity Max Loss Per Share]]),"0.0 " ) &amp; " : 1", "")</f>
        <v/>
      </c>
      <c r="AA305" s="31" t="str">
        <f>IF(ISNUMBER(SnapshotTable[[#This Row],[Equity Max Gain Per Share]]),SnapshotTable[[#This Row],[Equity Max Gain Per Share]] * SnapshotTable[[#This Row],[Equity Shares]],"")</f>
        <v/>
      </c>
      <c r="AB305" s="31" t="str">
        <f>IF(ISNUMBER(SnapshotTable[[#This Row],[Equity Max Loss Per Share]]),SnapshotTable[[#This Row],[Equity Max Loss Per Share]] * SnapshotTable[[#This Row],[Equity Shares]],"")</f>
        <v/>
      </c>
      <c r="AC305" s="150"/>
      <c r="AD305" s="151"/>
      <c r="AE305" s="31">
        <f>(SnapshotTable[[#This Row],[Annual Dividend Per Share]] / 4) * SnapshotTable[[#This Row],[Equity Shares]]</f>
        <v>0</v>
      </c>
      <c r="AF305" s="31">
        <f>SnapshotTable[[#This Row],[Quarterly Div $]] * 4</f>
        <v>0</v>
      </c>
      <c r="AG305" s="7">
        <f>IF(SnapshotTable[[#This Row],[Annual Dividend Per Share]]&gt;0, SnapshotTable[[#This Row],[Annual Dividend Per Share]]  / SnapshotTable[[#This Row],[Last Price]], 0)</f>
        <v>0</v>
      </c>
      <c r="AH305" s="151"/>
      <c r="AI305" s="5"/>
      <c r="AJ305" s="138">
        <v>88.5</v>
      </c>
      <c r="AK305" s="152" t="str">
        <f>IF(ISNUMBER( SnapshotTable[[#This Row],[EBF Target]]),(SnapshotTable[[#This Row],[EBF Target]] - SnapshotTable[[#This Row],[Last Price]]) / SnapshotTable[[#This Row],[Last Price]], "")</f>
        <v/>
      </c>
      <c r="AL305" s="152" t="str">
        <f>IF(AND(SnapshotTable[[#This Row],[Equity Basis Total]] &gt; 0,ISNUMBER( SnapshotTable[[#This Row],[Long Term Target]])), SnapshotTable[[#This Row],[From Basis $]] / SnapshotTable[[#This Row],[Equity Basis Total]], "")</f>
        <v/>
      </c>
      <c r="AM305" s="9">
        <f>IF( AND(SnapshotTable[[#This Row],[Equity Shares]] &gt;0,ISNUMBER( SnapshotTable[[#This Row],[Long Term Target]])),(SnapshotTable[[#This Row],[Equity Shares]] * SnapshotTable[[#This Row],[Long Term Target]]) - SnapshotTable[[#This Row],[Equity Basis Total]],0)</f>
        <v>0</v>
      </c>
      <c r="AN305" s="9">
        <f>IF( AND(SnapshotTable[[#This Row],[Equity Shares]] &gt;0,ISNUMBER( SnapshotTable[[#This Row],[Long Term Target]])),(SnapshotTable[[#This Row],[Equity Shares]]*SnapshotTable[[#This Row],[Long Term Target]]) - SnapshotTable[[#This Row],[Equity Value]],0)</f>
        <v>0</v>
      </c>
      <c r="AO305" s="152">
        <f>IF(AND(ISNUMBER( SnapshotTable[[#This Row],[Long Term Target]]), ISNUMBER(SnapshotTable[[#This Row],[Last Price]])),(SnapshotTable[[#This Row],[Long Term Target]] - SnapshotTable[[#This Row],[Last Price]]) / SnapshotTable[[#This Row],[Last Price]], "")</f>
        <v>1.0682402430474411</v>
      </c>
      <c r="AP305" s="5">
        <v>90</v>
      </c>
      <c r="AQ305" s="38" t="s">
        <v>27</v>
      </c>
      <c r="AR305" s="5">
        <v>82</v>
      </c>
      <c r="AS305" s="38" t="s">
        <v>200</v>
      </c>
      <c r="AT305" s="146" t="s">
        <v>535</v>
      </c>
      <c r="AU305" s="187" t="str">
        <f>IF(OR(SnapshotTable[[#This Row],[LP No Fill]]="Y",SnapshotTable[[#This Row],[SP Is Filled]],SnapshotTable[[#This Row],[LC Not Filled]]="Y",SnapshotTable[[#This Row],[SC Is Filled]]),"Y","")</f>
        <v/>
      </c>
      <c r="AV305" s="219"/>
      <c r="AW305" s="225"/>
      <c r="AX305" s="220"/>
      <c r="AY305" s="219" t="str">
        <f>IF(SnapshotTable[[#This Row],[Implied Move]]&gt;0, SnapshotTable[[#This Row],[Last Price]]-SnapshotTable[[#This Row],[Implied Move]],"")</f>
        <v/>
      </c>
      <c r="AZ305" s="219" t="str">
        <f>IF(SnapshotTable[[#This Row],[Implied Move]]&gt;0, SnapshotTable[[#This Row],[Last Price]] + SnapshotTable[[#This Row],[Implied Move]],"")</f>
        <v/>
      </c>
      <c r="BA305" s="331"/>
      <c r="BB305" s="347"/>
      <c r="BC30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5" s="351"/>
      <c r="BE305" s="5"/>
      <c r="BF305" s="14"/>
      <c r="BG305" s="13"/>
      <c r="BH305" s="13"/>
      <c r="BI305" s="5"/>
      <c r="BJ305" s="136">
        <f>IF(SnapshotTable[[#This Row],[LP Qty]] &gt; 0, SnapshotTable[[#This Row],[LP Qty]] * SnapshotTable[[#This Row],[LP Book Price]] * 100,0)</f>
        <v>0</v>
      </c>
      <c r="BK305" s="136">
        <f>IF(SnapshotTable[[#This Row],[LP Premium]] &gt; 0, SnapshotTable[[#This Row],[LP Qty]] * SnapshotTable[[#This Row],[LP Strike Price]] * 100,0)</f>
        <v>0</v>
      </c>
      <c r="BL305" s="154"/>
      <c r="BM305" s="385" t="str">
        <f>IF(SnapshotTable[[#This Row],[LP Premium]] &gt; 0,SnapshotTable[[#This Row],[LP Exp Date]]-MAX(SnapshotTable[[#This Row],[LP Book Date]], SnapshotTable[[#This Row],[LP Fill Date]]),"")</f>
        <v/>
      </c>
      <c r="BN305" s="385" t="str">
        <f>IF(ISNUMBER( SnapshotTable[[#This Row],[LP Term]]), SnapshotTable[[#This Row],[LP Exp Date]] - MockToday,"")</f>
        <v/>
      </c>
      <c r="BO305" s="163" t="str">
        <f>IF(AND(SnapshotTable[[#This Row],[LP Exp Date]]&gt;0, SnapshotTable[[#This Row],[LP Strike Price]]&gt;0,SnapshotTable[[#This Row],[LP Qty]]&gt;0,SnapshotTable[[#This Row],[LP Book Date]]&gt;0,SnapshotTable[[#This Row],[LP Book Price]]&gt;0,SnapshotTable[[#This Row],[LP Fill Date]]=0),"Y","")</f>
        <v/>
      </c>
      <c r="BP305" s="31" t="str">
        <f>IF(AND(SnapshotTable[[#This Row],[LP No Fill]]&lt;&gt;"Y",SnapshotTable[[#This Row],[LP Contract Value]]&gt;0, SnapshotTable[[#This Row],[LP Qty]]&gt;0), SnapshotTable[[#This Row],[LP Contract Value]]*SnapshotTable[[#This Row],[LP Qty]]*100,"")</f>
        <v/>
      </c>
      <c r="BQ305" s="13"/>
      <c r="BR305" s="5" t="str">
        <f>IF(SnapshotTable[[#This Row],[SP Exp Date]]&lt;&gt;"",TRUNC(SnapshotTable[[#This Row],[Last Price]]),"")</f>
        <v/>
      </c>
      <c r="BS305" s="36"/>
      <c r="BT305" s="147"/>
      <c r="BU305" s="13"/>
      <c r="BV305" s="5"/>
      <c r="BW305" s="419" t="b">
        <f>AND(ISNUMBER(SnapshotTable[[#This Row],[SP Exp Date]]), ISNUMBER(SnapshotTable[[#This Row],[SP Strike Price]]), ISNUMBER(SnapshotTable[[#This Row],[SP Qty]]), ISNUMBER(SnapshotTable[[#This Row],[SP Book Date]]), ISNUMBER(SnapshotTable[[#This Row],[SP Book Price]]))</f>
        <v>0</v>
      </c>
      <c r="BX305" s="419" t="b">
        <f>AND(SnapshotTable[[#This Row],[SP Is Booked]], NOT(ISBLANK(SnapshotTable[[#This Row],[SP Fill Date]])))</f>
        <v>0</v>
      </c>
      <c r="BY305" s="33">
        <f>IF(SnapshotTable[[#This Row],[SP Is Booked]], SnapshotTable[[#This Row],[SP Qty]] * SnapshotTable[[#This Row],[SP Book Price]] * 100, 0)</f>
        <v>0</v>
      </c>
      <c r="BZ305" s="369"/>
      <c r="CA305" s="368">
        <f>SnapshotTable[[#This Row],[LP Qty]]</f>
        <v>0</v>
      </c>
      <c r="CB305" s="4" t="str">
        <f>IF(SnapshotTable[[#This Row],[SP Is Booked]], SnapshotTable[[#This Row],[SP Strike Price]] - SnapshotTable[[#This Row],[SP Book Price]], "")</f>
        <v/>
      </c>
      <c r="CC305" s="19" t="str">
        <f>IF(SnapshotTable[[#This Row],[SP Is Booked]],SnapshotTable[[#This Row],[SP Exp Date]]-MAX(SnapshotTable[[#This Row],[SP Book Date]], SnapshotTable[[#This Row],[SP Fill Date]]),"")</f>
        <v/>
      </c>
      <c r="CD305" s="7" t="str">
        <f>IF(SnapshotTable[[#This Row],[SP Is Booked]], SnapshotTable[[#This Row],[SP Book Price]]/SnapshotTable[[#This Row],[SP Strike Price]], "")</f>
        <v/>
      </c>
      <c r="CE305" s="7" t="str">
        <f>IF(ISNUMBER(SnapshotTable[[#This Row],[SP ROO Term]]),SnapshotTable[[#This Row],[SP ROO Term]]*(365/SnapshotTable[[#This Row],[SP Term]]),"")</f>
        <v/>
      </c>
      <c r="CF305" s="236">
        <f>SnapshotTable[[#This Row],[LP Strike Price]] * SnapshotTable[[#This Row],[LP Qty]] * 100</f>
        <v>0</v>
      </c>
      <c r="CG305" s="31" t="e">
        <f>IF(ISNUMBER(SnapshotTable[[#This Row],[SP Premium]]), (SnapshotTable[[#This Row],[SP Qty]] * SnapshotTable[[#This Row],[SP Strike Price]]* 100) - SnapshotTable[[#This Row],[LP Protection]], 0)</f>
        <v>#VALUE!</v>
      </c>
      <c r="CH305" s="7" t="str">
        <f>IF(ISNUMBER(SnapshotTable[[#This Row],[SP Break Even]]),-1 * (SnapshotTable[[#This Row],[SP Break Even]] - SnapshotTable[[#This Row],[Last Price]]) / SnapshotTable[[#This Row],[Last Price]], "")</f>
        <v/>
      </c>
      <c r="CI305" s="31">
        <f>IF(AND(ISNUMBER((SnapshotTable[[#This Row],[SP Potential Spend]])), SnapshotTable[[#This Row],[SP Strike Price]] &gt; SnapshotTable[[#This Row],[Last Price]], SnapshotTable[[#This Row],[SP Is Filled]]), SnapshotTable[[#This Row],[SP Potential Spend]] -  SnapshotTable[[#This Row],[LP Max Value]], 0)</f>
        <v>0</v>
      </c>
      <c r="CJ305" s="244"/>
      <c r="CK305" s="31" t="str">
        <f>IF(ISNUMBER(SnapshotTable[[#This Row],[SP Potential Spend]]),IF(ISNUMBER(SnapshotTable[[#This Row],[SP POW]]), SnapshotTable[[#This Row],[SP POW]] * SnapshotTable[[#This Row],[SP Potential Spend]], SnapshotTable[[#This Row],[SP Potential Spend]]), "")</f>
        <v/>
      </c>
      <c r="CL305" s="164" t="e">
        <f>IF(NOT(SnapshotTable[[#This Row],[SP Is Filled]]),(SnapshotTable[[#This Row],[SP Qty]] * SnapshotTable[[#This Row],[SP Strike Price]] * 100) - SnapshotTable[[#This Row],[LP Max Value]],"")</f>
        <v>#VALUE!</v>
      </c>
      <c r="CM305" s="31" t="str">
        <f>IF(SnapshotTable[[#This Row],[SP Actual Spend]]&lt;&gt;0, ((SnapshotTable[[#This Row],[SP Strike Price]]-SnapshotTable[[#This Row],[Last Price]]) *(SnapshotTable[[#This Row],[SP Qty]]*100) - SnapshotTable[[#This Row],[SP Premium]]) * - 1, "")</f>
        <v/>
      </c>
      <c r="CN305" s="78"/>
      <c r="CO305" s="369"/>
      <c r="CP305" s="4" t="str">
        <f>IF(SnapshotTable[[#This Row],[SP Is Filled]], btc_max_buyback_amount(SnapshotTable[[#This Row],[SP Fill Date]],SnapshotTable[[#This Row],[SP Exp Date]], SnapshotTable[[#This Row],[SP Book Price]]),"")</f>
        <v/>
      </c>
      <c r="CQ305" s="78"/>
      <c r="CR30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5" s="155" t="str">
        <f>IF(SnapshotTable[[#This Row],[SP Is Filled]], btc_next_cutoff_date(SnapshotTable[[#This Row],[SP Fill Date]],SnapshotTable[[#This Row],[SP Exp Date]]),"")</f>
        <v/>
      </c>
      <c r="CT305" s="235" t="str" cm="1">
        <f t="array" ref="CT305">IF(SnapshotTable[[#This Row],[SP Is Filled]], btc_should_buy_back(SnapshotTable[[#This Row],[SP Fill Date]], SnapshotTable[[#This Row],[SP Exp Date]], SnapshotTable[[#This Row],[SP Book Price]], SnapshotTable[[#This Row],[SP Current Ask]], MockToday, SnapshotTable[[#This Row],[SP Buyback Override]]),"")</f>
        <v/>
      </c>
      <c r="CU305" s="143"/>
      <c r="CV305" s="235"/>
      <c r="CW305" s="378" t="str">
        <f>IF(ISNUMBER( SnapshotTable[[#This Row],[SP Term]]), SnapshotTable[[#This Row],[SP Exp Date]] - MockToday,"")</f>
        <v/>
      </c>
      <c r="CX305" s="31" t="str">
        <f>IF(SnapshotTable[[#This Row],[SP Is Filled]],SnapshotTable[[#This Row],[SP Buyback Price to Use]] * 100 * SnapshotTable[[#This Row],[SP Qty]], "")</f>
        <v/>
      </c>
      <c r="CY305" s="4" t="str">
        <f>IF(ISNUMBER(SnapshotTable[[#This Row],[SP Strike Price]]), SnapshotTable[[#This Row],[SP Strike Price]] * (1 - SP_MaxLoss_StrikePct), "")</f>
        <v/>
      </c>
      <c r="CZ305" s="31" t="str">
        <f>IF(ISNUMBER(SnapshotTable[[#This Row],[SP Strike  Stop Per Share]]),SnapshotTable[[#This Row],[SP Premium]] - ((SnapshotTable[[#This Row],[SP Strike Price]]-SnapshotTable[[#This Row],[SP Strike  Stop Per Share]]) *(SnapshotTable[[#This Row],[SP Qty]] * 100)),"")</f>
        <v/>
      </c>
      <c r="DA305" s="4" t="str">
        <f>IF(AND(ISNUMBER(SnapshotTable[[#This Row],[SP Premium]]),SnapshotTable[[#This Row],[SP Premium]]&gt;0), SnapshotTable[[#This Row],[SP Book Price]] * (1 + SP_MaxLoss_OptionPct), "")</f>
        <v/>
      </c>
      <c r="DB305" s="31" t="str">
        <f>IF(ISNUMBER(SnapshotTable[[#This Row],[SP Option  Stop Contract]]),(SnapshotTable[[#This Row],[SP Option  Stop Contract]] *(SnapshotTable[[#This Row],[SP Qty]] * 100) - SnapshotTable[[#This Row],[SP Premium]]),"")</f>
        <v/>
      </c>
      <c r="DC305" s="4"/>
      <c r="DD305" s="4"/>
      <c r="DE305" s="4" t="str">
        <f>IF(AND(SnapshotTable[[#This Row],[SP Qty]]&gt;0, SnapshotTable[[#This Row],[SP Stop To Use]]&gt;0),SnapshotTable[[#This Row],[SP Premium]] - ( SnapshotTable[[#This Row],[SP Qty]] * SnapshotTable[[#This Row],[SP Stop To Use]] * 100), "")</f>
        <v/>
      </c>
      <c r="DF305" s="31" t="str">
        <f>IF(AND(SnapshotTable[[#This Row],[SP Qty]]&gt;0,SnapshotTable[[#This Row],[SP Current Ask]]&gt;0), SnapshotTable[[#This Row],[SP Qty]] * SnapshotTable[[#This Row],[SP Current Ask]] * -100, "")</f>
        <v/>
      </c>
      <c r="DG305" s="31" t="str">
        <f>IF(ISNUMBER((SnapshotTable[[#This Row],[SP Total Value]])), SnapshotTable[[#This Row],[SP Premium]] + SnapshotTable[[#This Row],[SP Total Value]], "")</f>
        <v/>
      </c>
      <c r="DH305" s="294" t="str">
        <f>IF(ISNUMBER((SnapshotTable[[#This Row],[SP Total Value]])), SnapshotTable[[#This Row],[SP Gain Loss]] / SnapshotTable[[#This Row],[SP Premium]], "")</f>
        <v/>
      </c>
      <c r="DI305" s="406"/>
      <c r="DJ305" s="138"/>
      <c r="DK305" s="148"/>
      <c r="DL305" s="13"/>
      <c r="DM305" s="13"/>
      <c r="DO305" s="31">
        <f>IF(SnapshotTable[[#This Row],[LC Symbol Count]]=1, SnapshotTable[[#This Row],[LC Qty]] * SnapshotTable[[#This Row],[LC Book Price]] * 100, 0)</f>
        <v>0</v>
      </c>
      <c r="DP305" s="163" t="str">
        <f>IF(AND(SnapshotTable[[#This Row],[LC Exp Date]]&gt;0, SnapshotTable[[#This Row],[LC Strike Price]]&gt;0,SnapshotTable[[#This Row],[LC Qty]]&gt;0,SnapshotTable[[#This Row],[LC Book Date]]&gt;0,SnapshotTable[[#This Row],[LC Book Price]]&gt;0,SnapshotTable[[#This Row],[LC Fill Date]]=0),"Y","")</f>
        <v/>
      </c>
      <c r="DQ305" s="386" t="str">
        <f>IF(SnapshotTable[[#This Row],[LC Premium]] &gt; 0,SnapshotTable[[#This Row],[LC Exp Date]]-MAX(SnapshotTable[[#This Row],[LC Book Date]], SnapshotTable[[#This Row],[LC Fill Date]]),"")</f>
        <v/>
      </c>
      <c r="DR305" s="386" t="str">
        <f>IF(ISNUMBER(SnapshotTable[[#This Row],[LC Term]]), SnapshotTable[[#This Row],[LC Exp Date]] - MockToday, "")</f>
        <v/>
      </c>
      <c r="DS305" s="234" t="str">
        <f>IF(SnapshotTable[[#This Row],[LC Premium]]&gt;0,SnapshotTable[[#This Row],[LC Strike Price]] + SnapshotTable[[#This Row],[LC Book Price]],"")</f>
        <v/>
      </c>
      <c r="DU305" s="9" t="str">
        <f>IF(AND(SnapshotTable[[#This Row],[LC Symbol Count]]&gt;0, SnapshotTable[[#This Row],[LC Contract Value]]&gt;0), SnapshotTable[[#This Row],[LC Contract Value]] * SnapshotTable[[#This Row],[LC Qty]] * 100, "")</f>
        <v/>
      </c>
      <c r="DV305" s="9" t="str">
        <f>IF(AND(ISNUMBER(SnapshotTable[[#This Row],[LC Total Value]]), SnapshotTable[[#This Row],[LC Not Filled]]&lt;&gt;"Y"), SnapshotTable[[#This Row],[LC Total Value]]-SnapshotTable[[#This Row],[LC Premium]],"")</f>
        <v/>
      </c>
      <c r="DW305" s="240" t="str">
        <f>IF(ISNUMBER(SnapshotTable[[#This Row],[LC Actual Gain Loss]]), SnapshotTable[[#This Row],[LC Actual Gain Loss]] / SnapshotTable[[#This Row],[LC Premium]],"")</f>
        <v/>
      </c>
      <c r="DX305" s="284" t="str">
        <f>IF(ISNUMBER(SnapshotTable[[#This Row],[LC Book Price]]),SnapshotTable[[#This Row],[LC Book Price]] * 1.5,"")</f>
        <v/>
      </c>
      <c r="DY305" s="265" t="str">
        <f>IF(SnapshotTable[[#This Row],[LC Premium]]&gt;0, SnapshotTable[[#This Row],[LC Next Target]] * SnapshotTable[[#This Row],[LC Qty]] * 100,"")</f>
        <v/>
      </c>
      <c r="DZ305" s="265" t="str">
        <f>IF(ISNUMBER(SnapshotTable[[#This Row],[LC Target Gross]]), SnapshotTable[[#This Row],[LC Target Gross]] - SnapshotTable[[#This Row],[LC Premium]], "")</f>
        <v/>
      </c>
      <c r="EA305" s="305" t="str">
        <f>IF(ISNUMBER(SnapshotTable[[#This Row],[LC Target Gain Loss]]), SnapshotTable[[#This Row],[LC Target Gain Loss]]/SnapshotTable[[#This Row],[LC Premium]], "")</f>
        <v/>
      </c>
      <c r="EB305" s="262"/>
      <c r="EC305" s="283" t="str">
        <f>IF(SnapshotTable[[#This Row],[LC Premium]]&gt;0, SnapshotTable[[#This Row],[LC Book Price]] * (1 - LC_StopLoss_Pct),"")</f>
        <v/>
      </c>
      <c r="ED305" s="284"/>
      <c r="EE305" s="283" t="str">
        <f>IF(ISNUMBER(SnapshotTable[[#This Row],[LC Contract Value]]),IF(ISNUMBER(SnapshotTable[[#This Row],[LC Stop Loss Override]]), SnapshotTable[[#This Row],[LC Stop Loss Override]],SnapshotTable[[#This Row],[LC Stop Loss Calc Target]]),"")</f>
        <v/>
      </c>
      <c r="EF305" s="31" t="str">
        <f>IF(ISNUMBER(SnapshotTable[[#This Row],[LC Stop  To Use]]), (SnapshotTable[[#This Row],[LC Stop  To Use]] * SnapshotTable[[#This Row],[LC Qty]] * 100),"")</f>
        <v/>
      </c>
      <c r="EG305" s="9" t="str">
        <f>IF(ISNUMBER(SnapshotTable[[#This Row],[LC Total Value]]),SnapshotTable[[#This Row],[LC Stop Loss Amount]] - SnapshotTable[[#This Row],[LC Premium]],"")</f>
        <v/>
      </c>
      <c r="EH305" s="9">
        <f>IF(ISNUMBER(SnapshotTable[[#This Row],[LC Premium]]), SnapshotTable[[#This Row],[LC Qty]] * 100 * SnapshotTable[[#This Row],[LC Strike Price]], "")</f>
        <v>0</v>
      </c>
      <c r="EI305" s="240" t="str">
        <f>IF(AND(ISNUMBER(SnapshotTable[[#This Row],[LC Total Value]]),SnapshotTable[[#This Row],[LC Total Value]]&gt;0),SnapshotTable[[#This Row],[LC Stop Gain Loss]]  / SnapshotTable[[#This Row],[LC Premium]],"")</f>
        <v/>
      </c>
      <c r="EJ305" s="35">
        <f>IF(ISNUMBER(SnapshotTable[[#This Row],[Equity Shares]]),TRUNC(SnapshotTable[[#This Row],[Equity Shares]] / 100),0) + SnapshotTable[[#This Row],[LC Qty]]</f>
        <v>0</v>
      </c>
      <c r="EK305" s="147"/>
      <c r="EL305" s="138" t="str">
        <f>IF(SnapshotTable[[#This Row],[SC Exp Date]]&lt;&gt;"",TRUNC(SnapshotTable[[#This Row],[Last Price]]),"")</f>
        <v/>
      </c>
      <c r="EM305" s="148"/>
      <c r="EN305" s="147"/>
      <c r="EO305" s="147"/>
      <c r="EP305" s="138"/>
      <c r="EQ305" s="419" t="b">
        <f>AND(ISNUMBER(SnapshotTable[[#This Row],[SC Exp Date]]), ISNUMBER(SnapshotTable[[#This Row],[SC Strike Price]]), ISNUMBER(SnapshotTable[[#This Row],[SC Qty]]), ISNUMBER(SnapshotTable[[#This Row],[SC Book Date]]), ISNUMBER(SnapshotTable[[#This Row],[SC Book Price]]))</f>
        <v>0</v>
      </c>
      <c r="ER305" s="419" t="b">
        <f>AND(SnapshotTable[[#This Row],[SC Is Booked]], NOT(ISBLANK(SnapshotTable[[#This Row],[SC Fill Date]])))</f>
        <v>0</v>
      </c>
      <c r="ES305" s="370"/>
      <c r="ET305" s="34" t="str">
        <f>IF(AND(ISNUMBER(SnapshotTable[[#This Row],[SC Exp Date]]), ISNUMBER(SnapshotTable[[#This Row],[SC Book Date]])), SnapshotTable[[#This Row],[SC Exp Date]] - MAX(SnapshotTable[[#This Row],[SC Book Date]], SnapshotTable[[#This Row],[SC Fill Date]]) + 1, "")</f>
        <v/>
      </c>
      <c r="EU305" s="34" t="str">
        <f>IF(ISNUMBER(SnapshotTable[[#This Row],[SC Term]]), SnapshotTable[[#This Row],[SC Exp Date]]- MockToday, "")</f>
        <v/>
      </c>
      <c r="EV305" s="31">
        <f>IF(SnapshotTable[[#This Row],[SC Is Booked]], SnapshotTable[[#This Row],[SC Qty]] * SnapshotTable[[#This Row],[SC Book Price]] * 100, 0)</f>
        <v>0</v>
      </c>
      <c r="EW305" s="4" t="str">
        <f>IF(AND(ISNUMBER(SnapshotTable[[#This Row],[Last Price]]), ISNUMBER( SnapshotTable[[#This Row],[SC Book Price]])), SnapshotTable[[#This Row],[Last Price]] - SnapshotTable[[#This Row],[SC Book Price]],"")</f>
        <v/>
      </c>
      <c r="EX305" s="234" t="str">
        <f>IF(SnapshotTable[[#This Row],[SC Is Booked]],IF(SnapshotTable[[#This Row],[SC Intrinsic Value]] &gt; 0, SnapshotTable[[#This Row],[SC Strike Price]], SnapshotTable[[#This Row],[Last Price]]), "")</f>
        <v/>
      </c>
      <c r="EY305" s="4">
        <f>IF(SnapshotTable[[#This Row],[SC Is Booked]], (MinimumPremiumRequired * SnapshotTable[[#This Row],[SC Basis]] * SnapshotTable[[#This Row],[SC Term]]), 0)</f>
        <v>0</v>
      </c>
      <c r="EZ305" s="283"/>
      <c r="FA305" s="218"/>
      <c r="FB305" s="370"/>
      <c r="FC305" s="4">
        <f>IF(SnapshotTable[[#This Row],[SC Is Filled]], btc_max_buyback_amount(SnapshotTable[[#This Row],[SC Fill Date]],SnapshotTable[[#This Row],[SC Exp Date]], SnapshotTable[[#This Row],[SC Book Price]]),0)</f>
        <v>0</v>
      </c>
      <c r="FD305" s="5"/>
      <c r="FE305" s="144" t="str">
        <f>IF(SnapshotTable[[#This Row],[SC Is Filled]], btc_next_cutoff_date(SnapshotTable[[#This Row],[SC Fill Date]],SnapshotTable[[#This Row],[SC Exp Date]]),"")</f>
        <v/>
      </c>
      <c r="FF305" s="4" t="str" cm="1">
        <f t="array" ref="FF305">IF(SnapshotTable[[#This Row],[SC Is Filled]], btc_should_buy_back(SnapshotTable[[#This Row],[SC Fill Date]], SnapshotTable[[#This Row],[SC Exp Date]], SnapshotTable[[#This Row],[SC Book Price]], SnapshotTable[[#This Row],[SC Current Ask]], MockToday, SnapshotTable[[#This Row],[SC Buyback Override]]),"")</f>
        <v/>
      </c>
      <c r="FG305" s="4">
        <f>IF(SnapshotTable[[#This Row],[SC Is Filled]], MAX(0,SnapshotTable[[#This Row],[Last Price]]  - SnapshotTable[[#This Row],[SC Strike Price]]), 0)</f>
        <v>0</v>
      </c>
      <c r="FH305" s="382">
        <f>IF(SnapshotTable[[#This Row],[SC Is Filled]], IF(ISNUMBER(SnapshotTable[[#This Row],[SC Current Ask]]), SnapshotTable[[#This Row],[SC Current Ask]], SnapshotTable[[#This Row],[SC Book Price]]) - SnapshotTable[[#This Row],[SC Intrinsic Value]], 0)</f>
        <v>0</v>
      </c>
      <c r="FI305" s="143"/>
      <c r="FJ305" s="32" t="str">
        <f>IF(SnapshotTable[[#This Row],[SC Is Filled]],100 * SnapshotTable[[#This Row],[SC Qty]] * IF(ISNUMBER(SnapshotTable[[#This Row],[SC Buyback Override]]), SnapshotTable[[#This Row],[SC Buyback Override]], SnapshotTable[[#This Row],[SC Current Ask]]), "")</f>
        <v/>
      </c>
      <c r="FK305" s="250" t="str">
        <f>IF(SnapshotTable[[#This Row],[SC Time Val]]&gt;0, SnapshotTable[[#This Row],[SC Time Val]] / SnapshotTable[[#This Row],[Last Price]],"")</f>
        <v/>
      </c>
      <c r="FL305" s="302" t="str">
        <f>IF(SnapshotTable[[#This Row],[SC Is Booked]], ((SnapshotTable[[#This Row],[Last Price]] -SnapshotTable[[#This Row],[SC Strike Price]]) / SnapshotTable[[#This Row],[Last Price]]) * -1, "")</f>
        <v/>
      </c>
      <c r="FM305" s="157" t="str">
        <f>IF(SnapshotTable[[#This Row],[SC Is Booked]],  (SnapshotTable[[#This Row],[SC Qty]] * 100 * SnapshotTable[[#This Row],[SC Strike Price]]) - SnapshotTable[[#This Row],[SC Current Ask]], "")</f>
        <v/>
      </c>
      <c r="FN30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5" s="31" t="str">
        <f>IF(AND(ISNUMBER(SnapshotTable[[#This Row],[SC Exercise Gross]]), ISNUMBER(SnapshotTable[[#This Row],[Equity Basis Per Share]] )), SnapshotTable[[#This Row],[SC Exercise Gross]] - SnapshotTable[[#This Row],[Equity Basis Total]] +  SnapshotTable[[#This Row],[SC Premium]], "")</f>
        <v/>
      </c>
      <c r="FP305" s="5" t="str">
        <f>IF(ISNUMBER(SnapshotTable[[#This Row],[SC Exercise Gross]]), (SnapshotTable[[#This Row],[SC Exercise Gross]]) / (SnapshotTable[[#This Row],[SC Qty]] * 100), "")</f>
        <v/>
      </c>
      <c r="FQ305" s="27" t="str">
        <f>IF(SnapshotTable[[#This Row],[SC Is Booked]],SnapshotTable[[#This Row],[SC Time Val]] /SnapshotTable[[#This Row],[SC Basis]], "")</f>
        <v/>
      </c>
      <c r="FR305" s="27" t="str" cm="1">
        <f t="array" ref="FR305">IF(AND(ISNUMBER(SnapshotTable[[#This Row],[SC Term]]),ISNUMBER(SnapshotTable[[#This Row],[SC Simple ROO]])), EllmanAnnualize(SnapshotTable[[#This Row],[SC DTE]], SnapshotTable[[#This Row],[SC Simple ROO]] ),"")</f>
        <v/>
      </c>
      <c r="FS305" s="4" t="e">
        <f>IF(SnapshotTable[[#This Row],[SC Strike Price]] &gt; SnapshotTable[[#This Row],[Last Price]], SnapshotTable[[#This Row],[SC Strike Price]] - SnapshotTable[[#This Row],[Last Price]],0)</f>
        <v>#VALUE!</v>
      </c>
      <c r="FT305" s="27" t="e">
        <f>IF(AND(ISNUMBER(SnapshotTable[[#This Row],[SC Upside Potential]]), SnapshotTable[[#This Row],[SC Upside Potential]] &gt; 0),(SnapshotTable[[#This Row],[SC Upside Potential]]/ SnapshotTable[[#This Row],[ACB]]),"")</f>
        <v>#VALUE!</v>
      </c>
      <c r="FU305" s="333" t="str">
        <f>IF(SnapshotTable[[#This Row],[SC Intrinsic Value]] &gt; 0,SnapshotTable[[#This Row],[SC Intrinsic Value]],"")</f>
        <v/>
      </c>
      <c r="FV305" s="27" t="str">
        <f>IF(AND( ISNUMBER( SnapshotTable[[#This Row],[ACB]]),ISNUMBER(SnapshotTable[[#This Row],[SC Downside Protect]])),SnapshotTable[[#This Row],[SC Downside Protect]] / SnapshotTable[[#This Row],[ACB]],"")</f>
        <v/>
      </c>
      <c r="FW305" s="236" t="str">
        <f>IF(AND(ISNUMBER(SnapshotTable[[#This Row],[SC Simple ROO]]),SnapshotTable[[#This Row],[SC Simple ROO]] &gt; 0), SnapshotTable[[#This Row],[SC Premium]] + (SnapshotTable[[#This Row],[SC Qty]] * SnapshotTable[[#This Row],[SC Upside Potential]]), "")</f>
        <v/>
      </c>
      <c r="FX305" s="302" t="str" cm="1">
        <f t="array" ref="FX305">IF(ISNUMBER(SnapshotTable[[#This Row],[SC Max Dollars]]), annualize(SnapshotTable[[#This Row],[SC Term]],(SnapshotTable[[#This Row],[SC Max Dollars]]/SnapshotTable[[#This Row],[SC Basis]])),"")</f>
        <v/>
      </c>
      <c r="FY305" s="236" t="str">
        <f>IF(AND(SnapshotTable[[#This Row],[SC Qty]]&gt;0,SnapshotTable[[#This Row],[SC Current Ask]]&gt;0), SnapshotTable[[#This Row],[SC Qty]] * SnapshotTable[[#This Row],[SC Current Ask]] * -100, "")</f>
        <v/>
      </c>
      <c r="FZ305" s="31" t="str">
        <f>IF(ISNUMBER((SnapshotTable[[#This Row],[SC Current Value]])), SnapshotTable[[#This Row],[SC Premium]] + SnapshotTable[[#This Row],[SC Current Value]], "")</f>
        <v/>
      </c>
      <c r="GA305" s="294" t="str">
        <f>IFERROR( IF(ISNUMBER((SnapshotTable[[#This Row],[SC Current Value]])), SnapshotTable[[#This Row],[SC Gain Loss]] / SnapshotTable[[#This Row],[SC Premium]], ""), "")</f>
        <v/>
      </c>
      <c r="GB305" s="42">
        <f>SnapshotTable[[#This Row],[Equity Shares]] * SaleSharesToConsiderPercentage</f>
        <v>0</v>
      </c>
      <c r="GC305" s="40">
        <f>SnapshotTable[[#This Row],[Long Term Target]] * SellingPriceToConsiderBasedOnTargetPercentage</f>
        <v>84.075000000000003</v>
      </c>
      <c r="GD305" s="40">
        <f>SnapshotTable[[#This Row],[Last Price]] * (1+ SellingPriceToConsiderBasedOnTargetPercentage)</f>
        <v>83.4405</v>
      </c>
      <c r="GE305" s="41"/>
      <c r="GF305" s="40"/>
      <c r="GG305" s="31">
        <f>SnapshotTable[[#This Row],[Booked Sale Shares]] * SnapshotTable[[#This Row],[Booked Sale Price]]</f>
        <v>0</v>
      </c>
      <c r="GH305" s="31" t="str">
        <f>IF(SnapshotTable[[#This Row],[Equity Basis Total]] &gt; 0, SnapshotTable[[#This Row],[Equity Basis Per Share]] * SnapshotTable[[#This Row],[Booked Sale Shares]], "")</f>
        <v/>
      </c>
      <c r="GI305" s="31">
        <f>IF(SnapshotTable[[#This Row],[Sale Proceeds]]&gt;0, SnapshotTable[[#This Row],[Sale Proceeds]] - SnapshotTable[[#This Row],[Sale Basis]], 0)</f>
        <v>0</v>
      </c>
      <c r="GJ305" s="27" t="str">
        <f>IF(SnapshotTable[[#This Row],[Sale G/L]]&gt;0, SnapshotTable[[#This Row],[Sale G/L]] / SnapshotTable[[#This Row],[Sale Basis]], IF(ISNUMBER(SnapshotTable[[#This Row],[SC Exercise P&amp;L (TAX)]]), SnapshotTable[[#This Row],[SC Exercise P&amp;L (TAX)]] / SnapshotTable[[#This Row],[SC Basis]], ""))</f>
        <v/>
      </c>
      <c r="GK305" s="27" t="s">
        <v>770</v>
      </c>
      <c r="GL305" s="43" t="str">
        <f>IF(AND(SnapshotTable[[#This Row],[LP Exp Date]]&gt;0,SnapshotTable[[#This Row],[LP Strike Price]]&gt;0), [1]!ToOptionSymbol(SnapshotTable[[#This Row],[Symbol]], SnapshotTable[[#This Row],[LP Strike Price]],SnapshotTable[[#This Row],[LP Exp Date]],1), "")</f>
        <v/>
      </c>
      <c r="GM305" s="30" t="str">
        <f>IF(LEN(SnapshotTable[[#This Row],[LP Symbol]])&gt;0, 1, "")</f>
        <v/>
      </c>
      <c r="GN305" s="43" t="str">
        <f>IF(AND(SnapshotTable[[#This Row],[SP Exp Date]]&gt;0,SnapshotTable[[#This Row],[SP Strike Price]]&gt;0), [1]!ToOptionSymbol(SnapshotTable[[#This Row],[Symbol]], SnapshotTable[[#This Row],[SP Strike Price]],SnapshotTable[[#This Row],[SP Exp Date]],1), "")</f>
        <v/>
      </c>
      <c r="GO305" s="30" t="str">
        <f>IF(LEN(SnapshotTable[[#This Row],[SP Symbol]])&gt;0, 1, "")</f>
        <v/>
      </c>
      <c r="GP305" s="43" t="str">
        <f>IF(AND(SnapshotTable[[#This Row],[LC Exp Date]]&gt;0,SnapshotTable[[#This Row],[LC Strike Price]]&gt;0), [1]!ToOptionSymbol(SnapshotTable[[#This Row],[Symbol]], SnapshotTable[[#This Row],[LC Strike Price]],SnapshotTable[[#This Row],[LC Exp Date]],0), "")</f>
        <v/>
      </c>
      <c r="GQ305" s="30" t="str">
        <f>IF(LEN(SnapshotTable[[#This Row],[LC Symbol]])&gt;0, 1, "")</f>
        <v/>
      </c>
      <c r="GR305" s="43" t="str">
        <f>IF(AND(SnapshotTable[[#This Row],[SC Exp Date]]&gt;0,SnapshotTable[[#This Row],[SC Strike Price]]&gt;0), [1]!ToOptionSymbol(SnapshotTable[[#This Row],[Symbol]], SnapshotTable[[#This Row],[SC Strike Price]],SnapshotTable[[#This Row],[SC Exp Date]],0), "")</f>
        <v/>
      </c>
      <c r="GS305" s="30" t="str">
        <f>IF(LEN(SnapshotTable[[#This Row],[SC Symbol]])&gt;0, 1, "")</f>
        <v/>
      </c>
      <c r="GT305" s="29" t="str">
        <f>IF(COUNT(SnapshotTable[[#This Row],[LP Symbol Count]],SnapshotTable[[#This Row],[SP Symbol Count]],SnapshotTable[[#This Row],[LC Symbol Count]],SnapshotTable[[#This Row],[SC Symbol Count]])&gt;0, "Y", "")</f>
        <v/>
      </c>
      <c r="GU30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5" s="231" t="e">
        <f>MAX(SnapshotTable[[#This Row],[Equity Basis Total]],SnapshotTable[[#This Row],[Equity Value]]) + (SnapshotTable[[#This Row],[SP Potential Spend]]- SnapshotTable[[#This Row],[SP Premium]] + SnapshotTable[[#This Row],[LP Premium]])+ (SnapshotTable[[#This Row],[LC Premium]] - SnapshotTable[[#This Row],[SC Premium]])</f>
        <v>#VALUE!</v>
      </c>
      <c r="GW305" s="139" t="e">
        <f>IF(AND(SnapshotTable[[#This Row],[Exposure]] &lt;&gt; 0),SnapshotTable[[#This Row],[Exposure]] / SnapshotTable[[#Totals],[Exposure]], "")</f>
        <v>#VALUE!</v>
      </c>
      <c r="HK305" s="1"/>
      <c r="HL305" s="1"/>
      <c r="HM305" s="1"/>
      <c r="HN305" s="1"/>
      <c r="HO305" s="1"/>
      <c r="HP305" s="1"/>
    </row>
    <row r="306" spans="2:224" ht="12.75" hidden="1" customHeight="1" x14ac:dyDescent="0.25">
      <c r="B306" s="12" t="s">
        <v>1066</v>
      </c>
      <c r="C306" s="422">
        <v>29.36</v>
      </c>
      <c r="D306" s="208" t="s">
        <v>578</v>
      </c>
      <c r="E306" s="39">
        <f>SnapshotTable[[#This Row],[Last Price]]*(1 -CrashDiscount)</f>
        <v>24.956</v>
      </c>
      <c r="F306" s="26" t="s">
        <v>907</v>
      </c>
      <c r="G306" s="26" t="s">
        <v>610</v>
      </c>
      <c r="H306" s="149"/>
      <c r="I306" s="194">
        <v>45315</v>
      </c>
      <c r="J306" s="195">
        <v>45134.253472222219</v>
      </c>
      <c r="K306" s="196"/>
      <c r="L306" s="326"/>
      <c r="M306" s="140"/>
      <c r="N306" s="140"/>
      <c r="O306" s="140"/>
      <c r="P306" s="22"/>
      <c r="Q306" s="25"/>
      <c r="R306" s="4" t="str">
        <f>IF(SnapshotTable[[#This Row],[Equity Basis Total]] &gt; 0, SnapshotTable[[#This Row],[Equity Basis Total]] / SnapshotTable[[#This Row],[Equity Shares]], "")</f>
        <v/>
      </c>
      <c r="S306" s="269">
        <f>SnapshotTable[[#This Row],[Last Price]] * SnapshotTable[[#This Row],[Equity Shares]]</f>
        <v>0</v>
      </c>
      <c r="T306" s="269">
        <f>SnapshotTable[[#This Row],[Equity Value]] - SnapshotTable[[#This Row],[Equity Basis Total]]</f>
        <v>0</v>
      </c>
      <c r="U306" s="270" t="str">
        <f>IF(SnapshotTable[[#This Row],[Equity Basis Total]] &gt; 0, SnapshotTable[[#This Row],[Equity G/L]] / SnapshotTable[[#This Row],[Equity Basis Total]], "")</f>
        <v/>
      </c>
      <c r="V306" s="268"/>
      <c r="W306" s="268"/>
      <c r="X306" s="4" t="str">
        <f>IF(AND(ISNUMBER(SnapshotTable[[#This Row],[Equity Basis Per Share]]),ISNUMBER(SnapshotTable[[#This Row],[Equity Target]])),SnapshotTable[[#This Row],[Equity Target]]-SnapshotTable[[#This Row],[Equity Basis Per Share]],"")</f>
        <v/>
      </c>
      <c r="Y306" s="4" t="str">
        <f>IF(AND(ISNUMBER(SnapshotTable[[#This Row],[Equity Basis Per Share]]),ISNUMBER(SnapshotTable[[#This Row],[Equity Stop Loss]])),SnapshotTable[[#This Row],[Equity Stop Loss]]-SnapshotTable[[#This Row],[Equity Basis Per Share]],"")</f>
        <v/>
      </c>
      <c r="Z306" s="275" t="str">
        <f>IFERROR( TEXT(SnapshotTable[[#This Row],[Equity Max Gain Per Share]] /ABS( SnapshotTable[[#This Row],[Equity Max Loss Per Share]]),"0.0 " ) &amp; " : 1", "")</f>
        <v/>
      </c>
      <c r="AA306" s="31" t="str">
        <f>IF(ISNUMBER(SnapshotTable[[#This Row],[Equity Max Gain Per Share]]),SnapshotTable[[#This Row],[Equity Max Gain Per Share]] * SnapshotTable[[#This Row],[Equity Shares]],"")</f>
        <v/>
      </c>
      <c r="AB306" s="31" t="str">
        <f>IF(ISNUMBER(SnapshotTable[[#This Row],[Equity Max Loss Per Share]]),SnapshotTable[[#This Row],[Equity Max Loss Per Share]] * SnapshotTable[[#This Row],[Equity Shares]],"")</f>
        <v/>
      </c>
      <c r="AC306" s="150"/>
      <c r="AD306" s="151"/>
      <c r="AE306" s="31">
        <f>(SnapshotTable[[#This Row],[Annual Dividend Per Share]] / 4) * SnapshotTable[[#This Row],[Equity Shares]]</f>
        <v>0</v>
      </c>
      <c r="AF306" s="31">
        <f>SnapshotTable[[#This Row],[Quarterly Div $]] * 4</f>
        <v>0</v>
      </c>
      <c r="AG306" s="7">
        <f>IF(SnapshotTable[[#This Row],[Annual Dividend Per Share]]&gt;0, SnapshotTable[[#This Row],[Annual Dividend Per Share]]  / SnapshotTable[[#This Row],[Last Price]], 0)</f>
        <v>0</v>
      </c>
      <c r="AH306" s="151"/>
      <c r="AI306" s="5"/>
      <c r="AJ306" s="138">
        <v>230.11</v>
      </c>
      <c r="AK306" s="152" t="str">
        <f>IF(ISNUMBER( SnapshotTable[[#This Row],[EBF Target]]),(SnapshotTable[[#This Row],[EBF Target]] - SnapshotTable[[#This Row],[Last Price]]) / SnapshotTable[[#This Row],[Last Price]], "")</f>
        <v/>
      </c>
      <c r="AL306" s="152" t="str">
        <f>IF(AND(SnapshotTable[[#This Row],[Equity Basis Total]] &gt; 0,ISNUMBER( SnapshotTable[[#This Row],[Long Term Target]])), SnapshotTable[[#This Row],[From Basis $]] / SnapshotTable[[#This Row],[Equity Basis Total]], "")</f>
        <v/>
      </c>
      <c r="AM306" s="9">
        <f>IF( AND(SnapshotTable[[#This Row],[Equity Shares]] &gt;0,ISNUMBER( SnapshotTable[[#This Row],[Long Term Target]])),(SnapshotTable[[#This Row],[Equity Shares]] * SnapshotTable[[#This Row],[Long Term Target]]) - SnapshotTable[[#This Row],[Equity Basis Total]],0)</f>
        <v>0</v>
      </c>
      <c r="AN306" s="9">
        <f>IF( AND(SnapshotTable[[#This Row],[Equity Shares]] &gt;0,ISNUMBER( SnapshotTable[[#This Row],[Long Term Target]])),(SnapshotTable[[#This Row],[Equity Shares]]*SnapshotTable[[#This Row],[Long Term Target]]) - SnapshotTable[[#This Row],[Equity Value]],0)</f>
        <v>0</v>
      </c>
      <c r="AO306" s="152">
        <f>IF(AND(ISNUMBER( SnapshotTable[[#This Row],[Long Term Target]]), ISNUMBER(SnapshotTable[[#This Row],[Last Price]])),(SnapshotTable[[#This Row],[Long Term Target]] - SnapshotTable[[#This Row],[Last Price]]) / SnapshotTable[[#This Row],[Last Price]], "")</f>
        <v>6.8375340599455043</v>
      </c>
      <c r="AP306" s="5">
        <v>220</v>
      </c>
      <c r="AQ306" s="38" t="s">
        <v>1082</v>
      </c>
      <c r="AR306" s="5">
        <v>210</v>
      </c>
      <c r="AS306" s="38" t="s">
        <v>1083</v>
      </c>
      <c r="AT306" s="146" t="s">
        <v>826</v>
      </c>
      <c r="AU306" s="187" t="str">
        <f>IF(OR(SnapshotTable[[#This Row],[LP No Fill]]="Y",SnapshotTable[[#This Row],[SP Is Filled]],SnapshotTable[[#This Row],[LC Not Filled]]="Y",SnapshotTable[[#This Row],[SC Is Filled]]),"Y","")</f>
        <v/>
      </c>
      <c r="AV306" s="219"/>
      <c r="AW306" s="225"/>
      <c r="AX306" s="220"/>
      <c r="AY306" s="219" t="str">
        <f>IF(SnapshotTable[[#This Row],[Implied Move]]&gt;0, SnapshotTable[[#This Row],[Last Price]]-SnapshotTable[[#This Row],[Implied Move]],"")</f>
        <v/>
      </c>
      <c r="AZ306" s="219" t="str">
        <f>IF(SnapshotTable[[#This Row],[Implied Move]]&gt;0, SnapshotTable[[#This Row],[Last Price]] + SnapshotTable[[#This Row],[Implied Move]],"")</f>
        <v/>
      </c>
      <c r="BA306" s="331">
        <v>17.45</v>
      </c>
      <c r="BB306" s="347"/>
      <c r="BC30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6" s="351"/>
      <c r="BE306" s="5"/>
      <c r="BF306" s="14"/>
      <c r="BG306" s="13"/>
      <c r="BH306" s="13"/>
      <c r="BI306" s="5"/>
      <c r="BJ306" s="136">
        <f>IF(SnapshotTable[[#This Row],[LP Qty]] &gt; 0, SnapshotTable[[#This Row],[LP Qty]] * SnapshotTable[[#This Row],[LP Book Price]] * 100,0)</f>
        <v>0</v>
      </c>
      <c r="BK306" s="136">
        <f>IF(SnapshotTable[[#This Row],[LP Premium]] &gt; 0, SnapshotTable[[#This Row],[LP Qty]] * SnapshotTable[[#This Row],[LP Strike Price]] * 100,0)</f>
        <v>0</v>
      </c>
      <c r="BL306" s="154"/>
      <c r="BM306" s="385" t="str">
        <f>IF(SnapshotTable[[#This Row],[LP Premium]] &gt; 0,SnapshotTable[[#This Row],[LP Exp Date]]-MAX(SnapshotTable[[#This Row],[LP Book Date]], SnapshotTable[[#This Row],[LP Fill Date]]),"")</f>
        <v/>
      </c>
      <c r="BN306" s="385" t="str">
        <f>IF(ISNUMBER( SnapshotTable[[#This Row],[LP Term]]), SnapshotTable[[#This Row],[LP Exp Date]] - MockToday,"")</f>
        <v/>
      </c>
      <c r="BO306" s="163" t="str">
        <f>IF(AND(SnapshotTable[[#This Row],[LP Exp Date]]&gt;0, SnapshotTable[[#This Row],[LP Strike Price]]&gt;0,SnapshotTable[[#This Row],[LP Qty]]&gt;0,SnapshotTable[[#This Row],[LP Book Date]]&gt;0,SnapshotTable[[#This Row],[LP Book Price]]&gt;0,SnapshotTable[[#This Row],[LP Fill Date]]=0),"Y","")</f>
        <v/>
      </c>
      <c r="BP306" s="31" t="str">
        <f>IF(AND(SnapshotTable[[#This Row],[LP No Fill]]&lt;&gt;"Y",SnapshotTable[[#This Row],[LP Contract Value]]&gt;0, SnapshotTable[[#This Row],[LP Qty]]&gt;0), SnapshotTable[[#This Row],[LP Contract Value]]*SnapshotTable[[#This Row],[LP Qty]]*100,"")</f>
        <v/>
      </c>
      <c r="BQ306" s="13"/>
      <c r="BR306" s="5" t="str">
        <f>IF(SnapshotTable[[#This Row],[SP Exp Date]]&lt;&gt;"",TRUNC(SnapshotTable[[#This Row],[Last Price]]),"")</f>
        <v/>
      </c>
      <c r="BS306" s="36"/>
      <c r="BT306" s="147"/>
      <c r="BU306" s="13"/>
      <c r="BV306" s="5"/>
      <c r="BW306" s="419" t="b">
        <f>AND(ISNUMBER(SnapshotTable[[#This Row],[SP Exp Date]]), ISNUMBER(SnapshotTable[[#This Row],[SP Strike Price]]), ISNUMBER(SnapshotTable[[#This Row],[SP Qty]]), ISNUMBER(SnapshotTable[[#This Row],[SP Book Date]]), ISNUMBER(SnapshotTable[[#This Row],[SP Book Price]]))</f>
        <v>0</v>
      </c>
      <c r="BX306" s="419" t="b">
        <f>AND(SnapshotTable[[#This Row],[SP Is Booked]], NOT(ISBLANK(SnapshotTable[[#This Row],[SP Fill Date]])))</f>
        <v>0</v>
      </c>
      <c r="BY306" s="33">
        <f>IF(SnapshotTable[[#This Row],[SP Is Booked]], SnapshotTable[[#This Row],[SP Qty]] * SnapshotTable[[#This Row],[SP Book Price]] * 100, 0)</f>
        <v>0</v>
      </c>
      <c r="BZ306" s="369"/>
      <c r="CA306" s="368">
        <f>SnapshotTable[[#This Row],[LP Qty]]</f>
        <v>0</v>
      </c>
      <c r="CB306" s="4" t="str">
        <f>IF(SnapshotTable[[#This Row],[SP Is Booked]], SnapshotTable[[#This Row],[SP Strike Price]] - SnapshotTable[[#This Row],[SP Book Price]], "")</f>
        <v/>
      </c>
      <c r="CC306" s="19" t="str">
        <f>IF(SnapshotTable[[#This Row],[SP Is Booked]],SnapshotTable[[#This Row],[SP Exp Date]]-MAX(SnapshotTable[[#This Row],[SP Book Date]], SnapshotTable[[#This Row],[SP Fill Date]]),"")</f>
        <v/>
      </c>
      <c r="CD306" s="7" t="str">
        <f>IF(SnapshotTable[[#This Row],[SP Is Booked]], SnapshotTable[[#This Row],[SP Book Price]]/SnapshotTable[[#This Row],[SP Strike Price]], "")</f>
        <v/>
      </c>
      <c r="CE306" s="7" t="str">
        <f>IF(ISNUMBER(SnapshotTable[[#This Row],[SP ROO Term]]),SnapshotTable[[#This Row],[SP ROO Term]]*(365/SnapshotTable[[#This Row],[SP Term]]),"")</f>
        <v/>
      </c>
      <c r="CF306" s="236">
        <f>SnapshotTable[[#This Row],[LP Strike Price]] * SnapshotTable[[#This Row],[LP Qty]] * 100</f>
        <v>0</v>
      </c>
      <c r="CG306" s="31" t="e">
        <f>IF(ISNUMBER(SnapshotTable[[#This Row],[SP Premium]]), (SnapshotTable[[#This Row],[SP Qty]] * SnapshotTable[[#This Row],[SP Strike Price]]* 100) - SnapshotTable[[#This Row],[LP Protection]], 0)</f>
        <v>#VALUE!</v>
      </c>
      <c r="CH306" s="7" t="str">
        <f>IF(ISNUMBER(SnapshotTable[[#This Row],[SP Break Even]]),-1 * (SnapshotTable[[#This Row],[SP Break Even]] - SnapshotTable[[#This Row],[Last Price]]) / SnapshotTable[[#This Row],[Last Price]], "")</f>
        <v/>
      </c>
      <c r="CI306" s="31">
        <f>IF(AND(ISNUMBER((SnapshotTable[[#This Row],[SP Potential Spend]])), SnapshotTable[[#This Row],[SP Strike Price]] &gt; SnapshotTable[[#This Row],[Last Price]], SnapshotTable[[#This Row],[SP Is Filled]]), SnapshotTable[[#This Row],[SP Potential Spend]] -  SnapshotTable[[#This Row],[LP Max Value]], 0)</f>
        <v>0</v>
      </c>
      <c r="CJ306" s="244"/>
      <c r="CK306" s="31" t="str">
        <f>IF(ISNUMBER(SnapshotTable[[#This Row],[SP Potential Spend]]),IF(ISNUMBER(SnapshotTable[[#This Row],[SP POW]]), SnapshotTable[[#This Row],[SP POW]] * SnapshotTable[[#This Row],[SP Potential Spend]], SnapshotTable[[#This Row],[SP Potential Spend]]), "")</f>
        <v/>
      </c>
      <c r="CL306" s="164" t="e">
        <f>IF(NOT(SnapshotTable[[#This Row],[SP Is Filled]]),(SnapshotTable[[#This Row],[SP Qty]] * SnapshotTable[[#This Row],[SP Strike Price]] * 100) - SnapshotTable[[#This Row],[LP Max Value]],"")</f>
        <v>#VALUE!</v>
      </c>
      <c r="CM306" s="31" t="str">
        <f>IF(SnapshotTable[[#This Row],[SP Actual Spend]]&lt;&gt;0, ((SnapshotTable[[#This Row],[SP Strike Price]]-SnapshotTable[[#This Row],[Last Price]]) *(SnapshotTable[[#This Row],[SP Qty]]*100) - SnapshotTable[[#This Row],[SP Premium]]) * - 1, "")</f>
        <v/>
      </c>
      <c r="CN306" s="78"/>
      <c r="CO306" s="369"/>
      <c r="CP306" s="4" t="str">
        <f>IF(SnapshotTable[[#This Row],[SP Is Filled]], btc_max_buyback_amount(SnapshotTable[[#This Row],[SP Fill Date]],SnapshotTable[[#This Row],[SP Exp Date]], SnapshotTable[[#This Row],[SP Book Price]]),"")</f>
        <v/>
      </c>
      <c r="CQ306" s="78"/>
      <c r="CR30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6" s="155" t="str">
        <f>IF(SnapshotTable[[#This Row],[SP Is Filled]], btc_next_cutoff_date(SnapshotTable[[#This Row],[SP Fill Date]],SnapshotTable[[#This Row],[SP Exp Date]]),"")</f>
        <v/>
      </c>
      <c r="CT306" s="235" t="str" cm="1">
        <f t="array" ref="CT306">IF(SnapshotTable[[#This Row],[SP Is Filled]], btc_should_buy_back(SnapshotTable[[#This Row],[SP Fill Date]], SnapshotTable[[#This Row],[SP Exp Date]], SnapshotTable[[#This Row],[SP Book Price]], SnapshotTable[[#This Row],[SP Current Ask]], MockToday, SnapshotTable[[#This Row],[SP Buyback Override]]),"")</f>
        <v/>
      </c>
      <c r="CU306" s="143">
        <v>45247</v>
      </c>
      <c r="CV306" s="235"/>
      <c r="CW306" s="378" t="str">
        <f>IF(ISNUMBER( SnapshotTable[[#This Row],[SP Term]]), SnapshotTable[[#This Row],[SP Exp Date]] - MockToday,"")</f>
        <v/>
      </c>
      <c r="CX306" s="31" t="str">
        <f>IF(SnapshotTable[[#This Row],[SP Is Filled]],SnapshotTable[[#This Row],[SP Buyback Price to Use]] * 100 * SnapshotTable[[#This Row],[SP Qty]], "")</f>
        <v/>
      </c>
      <c r="CY306" s="4" t="str">
        <f>IF(ISNUMBER(SnapshotTable[[#This Row],[SP Strike Price]]), SnapshotTable[[#This Row],[SP Strike Price]] * (1 - SP_MaxLoss_StrikePct), "")</f>
        <v/>
      </c>
      <c r="CZ306" s="31" t="str">
        <f>IF(ISNUMBER(SnapshotTable[[#This Row],[SP Strike  Stop Per Share]]),SnapshotTable[[#This Row],[SP Premium]] - ((SnapshotTable[[#This Row],[SP Strike Price]]-SnapshotTable[[#This Row],[SP Strike  Stop Per Share]]) *(SnapshotTable[[#This Row],[SP Qty]] * 100)),"")</f>
        <v/>
      </c>
      <c r="DA306" s="4" t="str">
        <f>IF(AND(ISNUMBER(SnapshotTable[[#This Row],[SP Premium]]),SnapshotTable[[#This Row],[SP Premium]]&gt;0), SnapshotTable[[#This Row],[SP Book Price]] * (1 + SP_MaxLoss_OptionPct), "")</f>
        <v/>
      </c>
      <c r="DB306" s="31" t="str">
        <f>IF(ISNUMBER(SnapshotTable[[#This Row],[SP Option  Stop Contract]]),(SnapshotTable[[#This Row],[SP Option  Stop Contract]] *(SnapshotTable[[#This Row],[SP Qty]] * 100) - SnapshotTable[[#This Row],[SP Premium]]),"")</f>
        <v/>
      </c>
      <c r="DC306" s="4"/>
      <c r="DD306" s="4"/>
      <c r="DE306" s="4" t="str">
        <f>IF(AND(SnapshotTable[[#This Row],[SP Qty]]&gt;0, SnapshotTable[[#This Row],[SP Stop To Use]]&gt;0),SnapshotTable[[#This Row],[SP Premium]] - ( SnapshotTable[[#This Row],[SP Qty]] * SnapshotTable[[#This Row],[SP Stop To Use]] * 100), "")</f>
        <v/>
      </c>
      <c r="DF306" s="31" t="str">
        <f>IF(AND(SnapshotTable[[#This Row],[SP Qty]]&gt;0,SnapshotTable[[#This Row],[SP Current Ask]]&gt;0), SnapshotTable[[#This Row],[SP Qty]] * SnapshotTable[[#This Row],[SP Current Ask]] * -100, "")</f>
        <v/>
      </c>
      <c r="DG306" s="31" t="str">
        <f>IF(ISNUMBER((SnapshotTable[[#This Row],[SP Total Value]])), SnapshotTable[[#This Row],[SP Premium]] + SnapshotTable[[#This Row],[SP Total Value]], "")</f>
        <v/>
      </c>
      <c r="DH306" s="294" t="str">
        <f>IF(ISNUMBER((SnapshotTable[[#This Row],[SP Total Value]])), SnapshotTable[[#This Row],[SP Gain Loss]] / SnapshotTable[[#This Row],[SP Premium]], "")</f>
        <v/>
      </c>
      <c r="DI306" s="406"/>
      <c r="DJ306" s="138"/>
      <c r="DK306" s="148"/>
      <c r="DL306" s="147"/>
      <c r="DM306" s="147"/>
      <c r="DO306" s="31">
        <f>IF(SnapshotTable[[#This Row],[LC Symbol Count]]=1, SnapshotTable[[#This Row],[LC Qty]] * SnapshotTable[[#This Row],[LC Book Price]] * 100, 0)</f>
        <v>0</v>
      </c>
      <c r="DP306" s="163" t="str">
        <f>IF(AND(SnapshotTable[[#This Row],[LC Exp Date]]&gt;0, SnapshotTable[[#This Row],[LC Strike Price]]&gt;0,SnapshotTable[[#This Row],[LC Qty]]&gt;0,SnapshotTable[[#This Row],[LC Book Date]]&gt;0,SnapshotTable[[#This Row],[LC Book Price]]&gt;0,SnapshotTable[[#This Row],[LC Fill Date]]=0),"Y","")</f>
        <v/>
      </c>
      <c r="DQ306" s="386" t="str">
        <f>IF(SnapshotTable[[#This Row],[LC Premium]] &gt; 0,SnapshotTable[[#This Row],[LC Exp Date]]-MAX(SnapshotTable[[#This Row],[LC Book Date]], SnapshotTable[[#This Row],[LC Fill Date]]),"")</f>
        <v/>
      </c>
      <c r="DR306" s="386" t="str">
        <f>IF(ISNUMBER(SnapshotTable[[#This Row],[LC Term]]), SnapshotTable[[#This Row],[LC Exp Date]] - MockToday, "")</f>
        <v/>
      </c>
      <c r="DS306" s="234" t="str">
        <f>IF(SnapshotTable[[#This Row],[LC Premium]]&gt;0,SnapshotTable[[#This Row],[LC Strike Price]] + SnapshotTable[[#This Row],[LC Book Price]],"")</f>
        <v/>
      </c>
      <c r="DU306" s="9" t="str">
        <f>IF(AND(SnapshotTable[[#This Row],[LC Symbol Count]]&gt;0, SnapshotTable[[#This Row],[LC Contract Value]]&gt;0), SnapshotTable[[#This Row],[LC Contract Value]] * SnapshotTable[[#This Row],[LC Qty]] * 100, "")</f>
        <v/>
      </c>
      <c r="DV306" s="9" t="str">
        <f>IF(AND(ISNUMBER(SnapshotTable[[#This Row],[LC Total Value]]), SnapshotTable[[#This Row],[LC Not Filled]]&lt;&gt;"Y"), SnapshotTable[[#This Row],[LC Total Value]]-SnapshotTable[[#This Row],[LC Premium]],"")</f>
        <v/>
      </c>
      <c r="DW306" s="240" t="str">
        <f>IF(ISNUMBER(SnapshotTable[[#This Row],[LC Actual Gain Loss]]), SnapshotTable[[#This Row],[LC Actual Gain Loss]] / SnapshotTable[[#This Row],[LC Premium]],"")</f>
        <v/>
      </c>
      <c r="DX306" s="284" t="str">
        <f>IF(ISNUMBER(SnapshotTable[[#This Row],[LC Book Price]]),SnapshotTable[[#This Row],[LC Book Price]] * 1.5,"")</f>
        <v/>
      </c>
      <c r="DY306" s="265" t="str">
        <f>IF(SnapshotTable[[#This Row],[LC Premium]]&gt;0, SnapshotTable[[#This Row],[LC Next Target]] * SnapshotTable[[#This Row],[LC Qty]] * 100,"")</f>
        <v/>
      </c>
      <c r="DZ306" s="265" t="str">
        <f>IF(ISNUMBER(SnapshotTable[[#This Row],[LC Target Gross]]), SnapshotTable[[#This Row],[LC Target Gross]] - SnapshotTable[[#This Row],[LC Premium]], "")</f>
        <v/>
      </c>
      <c r="EA306" s="305" t="str">
        <f>IF(ISNUMBER(SnapshotTable[[#This Row],[LC Target Gain Loss]]), SnapshotTable[[#This Row],[LC Target Gain Loss]]/SnapshotTable[[#This Row],[LC Premium]], "")</f>
        <v/>
      </c>
      <c r="EB306" s="262"/>
      <c r="EC306" s="283" t="str">
        <f>IF(SnapshotTable[[#This Row],[LC Premium]]&gt;0, SnapshotTable[[#This Row],[LC Book Price]] * (1 - LC_StopLoss_Pct),"")</f>
        <v/>
      </c>
      <c r="ED306" s="284"/>
      <c r="EE306" s="283" t="str">
        <f>IF(ISNUMBER(SnapshotTable[[#This Row],[LC Contract Value]]),IF(ISNUMBER(SnapshotTable[[#This Row],[LC Stop Loss Override]]), SnapshotTable[[#This Row],[LC Stop Loss Override]],SnapshotTable[[#This Row],[LC Stop Loss Calc Target]]),"")</f>
        <v/>
      </c>
      <c r="EF306" s="31" t="str">
        <f>IF(ISNUMBER(SnapshotTable[[#This Row],[LC Stop  To Use]]), (SnapshotTable[[#This Row],[LC Stop  To Use]] * SnapshotTable[[#This Row],[LC Qty]] * 100),"")</f>
        <v/>
      </c>
      <c r="EG306" s="9" t="str">
        <f>IF(ISNUMBER(SnapshotTable[[#This Row],[LC Total Value]]),SnapshotTable[[#This Row],[LC Stop Loss Amount]] - SnapshotTable[[#This Row],[LC Premium]],"")</f>
        <v/>
      </c>
      <c r="EH306" s="9">
        <f>IF(ISNUMBER(SnapshotTable[[#This Row],[LC Premium]]), SnapshotTable[[#This Row],[LC Qty]] * 100 * SnapshotTable[[#This Row],[LC Strike Price]], "")</f>
        <v>0</v>
      </c>
      <c r="EI306" s="240" t="str">
        <f>IF(AND(ISNUMBER(SnapshotTable[[#This Row],[LC Total Value]]),SnapshotTable[[#This Row],[LC Total Value]]&gt;0),SnapshotTable[[#This Row],[LC Stop Gain Loss]]  / SnapshotTable[[#This Row],[LC Premium]],"")</f>
        <v/>
      </c>
      <c r="EJ306" s="35">
        <f>IF(ISNUMBER(SnapshotTable[[#This Row],[Equity Shares]]),TRUNC(SnapshotTable[[#This Row],[Equity Shares]] / 100),0) + SnapshotTable[[#This Row],[LC Qty]]</f>
        <v>0</v>
      </c>
      <c r="EK306" s="147"/>
      <c r="EL306" s="138" t="str">
        <f>IF(SnapshotTable[[#This Row],[SC Exp Date]]&lt;&gt;"",TRUNC(SnapshotTable[[#This Row],[Last Price]]),"")</f>
        <v/>
      </c>
      <c r="EM306" s="148"/>
      <c r="EN306" s="147"/>
      <c r="EO306" s="147"/>
      <c r="EP306" s="138"/>
      <c r="EQ306" s="419" t="b">
        <f>AND(ISNUMBER(SnapshotTable[[#This Row],[SC Exp Date]]), ISNUMBER(SnapshotTable[[#This Row],[SC Strike Price]]), ISNUMBER(SnapshotTable[[#This Row],[SC Qty]]), ISNUMBER(SnapshotTable[[#This Row],[SC Book Date]]), ISNUMBER(SnapshotTable[[#This Row],[SC Book Price]]))</f>
        <v>0</v>
      </c>
      <c r="ER306" s="419" t="b">
        <f>AND(SnapshotTable[[#This Row],[SC Is Booked]], NOT(ISBLANK(SnapshotTable[[#This Row],[SC Fill Date]])))</f>
        <v>0</v>
      </c>
      <c r="ES306" s="370"/>
      <c r="ET306" s="34" t="str">
        <f>IF(AND(ISNUMBER(SnapshotTable[[#This Row],[SC Exp Date]]), ISNUMBER(SnapshotTable[[#This Row],[SC Book Date]])), SnapshotTable[[#This Row],[SC Exp Date]] - MAX(SnapshotTable[[#This Row],[SC Book Date]], SnapshotTable[[#This Row],[SC Fill Date]]) + 1, "")</f>
        <v/>
      </c>
      <c r="EU306" s="34" t="str">
        <f>IF(ISNUMBER(SnapshotTable[[#This Row],[SC Term]]), SnapshotTable[[#This Row],[SC Exp Date]]- MockToday, "")</f>
        <v/>
      </c>
      <c r="EV306" s="31">
        <f>IF(SnapshotTable[[#This Row],[SC Is Booked]], SnapshotTable[[#This Row],[SC Qty]] * SnapshotTable[[#This Row],[SC Book Price]] * 100, 0)</f>
        <v>0</v>
      </c>
      <c r="EW306" s="4" t="str">
        <f>IF(AND(ISNUMBER(SnapshotTable[[#This Row],[Last Price]]), ISNUMBER( SnapshotTable[[#This Row],[SC Book Price]])), SnapshotTable[[#This Row],[Last Price]] - SnapshotTable[[#This Row],[SC Book Price]],"")</f>
        <v/>
      </c>
      <c r="EX306" s="234" t="str">
        <f>IF(SnapshotTable[[#This Row],[SC Is Booked]],IF(SnapshotTable[[#This Row],[SC Intrinsic Value]] &gt; 0, SnapshotTable[[#This Row],[SC Strike Price]], SnapshotTable[[#This Row],[Last Price]]), "")</f>
        <v/>
      </c>
      <c r="EY306" s="4">
        <f>IF(SnapshotTable[[#This Row],[SC Is Booked]], (MinimumPremiumRequired * SnapshotTable[[#This Row],[SC Basis]] * SnapshotTable[[#This Row],[SC Term]]), 0)</f>
        <v>0</v>
      </c>
      <c r="EZ306" s="283"/>
      <c r="FA306" s="218"/>
      <c r="FB306" s="370"/>
      <c r="FC306" s="4">
        <f>IF(SnapshotTable[[#This Row],[SC Is Filled]], btc_max_buyback_amount(SnapshotTable[[#This Row],[SC Fill Date]],SnapshotTable[[#This Row],[SC Exp Date]], SnapshotTable[[#This Row],[SC Book Price]]),0)</f>
        <v>0</v>
      </c>
      <c r="FD306" s="5"/>
      <c r="FE306" s="144" t="str">
        <f>IF(SnapshotTable[[#This Row],[SC Is Filled]], btc_next_cutoff_date(SnapshotTable[[#This Row],[SC Fill Date]],SnapshotTable[[#This Row],[SC Exp Date]]),"")</f>
        <v/>
      </c>
      <c r="FF306" s="4" t="str" cm="1">
        <f t="array" ref="FF306">IF(SnapshotTable[[#This Row],[SC Is Filled]], btc_should_buy_back(SnapshotTable[[#This Row],[SC Fill Date]], SnapshotTable[[#This Row],[SC Exp Date]], SnapshotTable[[#This Row],[SC Book Price]], SnapshotTable[[#This Row],[SC Current Ask]], MockToday, SnapshotTable[[#This Row],[SC Buyback Override]]),"")</f>
        <v/>
      </c>
      <c r="FG306" s="4">
        <f>IF(SnapshotTable[[#This Row],[SC Is Filled]], MAX(0,SnapshotTable[[#This Row],[Last Price]]  - SnapshotTable[[#This Row],[SC Strike Price]]), 0)</f>
        <v>0</v>
      </c>
      <c r="FH306" s="382">
        <f>IF(SnapshotTable[[#This Row],[SC Is Filled]], IF(ISNUMBER(SnapshotTable[[#This Row],[SC Current Ask]]), SnapshotTable[[#This Row],[SC Current Ask]], SnapshotTable[[#This Row],[SC Book Price]]) - SnapshotTable[[#This Row],[SC Intrinsic Value]], 0)</f>
        <v>0</v>
      </c>
      <c r="FI306" s="143"/>
      <c r="FJ306" s="32" t="str">
        <f>IF(SnapshotTable[[#This Row],[SC Is Filled]],100 * SnapshotTable[[#This Row],[SC Qty]] * IF(ISNUMBER(SnapshotTable[[#This Row],[SC Buyback Override]]), SnapshotTable[[#This Row],[SC Buyback Override]], SnapshotTable[[#This Row],[SC Current Ask]]), "")</f>
        <v/>
      </c>
      <c r="FK306" s="250" t="str">
        <f>IF(SnapshotTable[[#This Row],[SC Time Val]]&gt;0, SnapshotTable[[#This Row],[SC Time Val]] / SnapshotTable[[#This Row],[Last Price]],"")</f>
        <v/>
      </c>
      <c r="FL306" s="302" t="str">
        <f>IF(SnapshotTable[[#This Row],[SC Is Booked]], ((SnapshotTable[[#This Row],[Last Price]] -SnapshotTable[[#This Row],[SC Strike Price]]) / SnapshotTable[[#This Row],[Last Price]]) * -1, "")</f>
        <v/>
      </c>
      <c r="FM306" s="157" t="str">
        <f>IF(SnapshotTable[[#This Row],[SC Is Booked]],  (SnapshotTable[[#This Row],[SC Qty]] * 100 * SnapshotTable[[#This Row],[SC Strike Price]]) - SnapshotTable[[#This Row],[SC Current Ask]], "")</f>
        <v/>
      </c>
      <c r="FN30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6" s="31" t="str">
        <f>IF(AND(ISNUMBER(SnapshotTable[[#This Row],[SC Exercise Gross]]), ISNUMBER(SnapshotTable[[#This Row],[Equity Basis Per Share]] )), SnapshotTable[[#This Row],[SC Exercise Gross]] - SnapshotTable[[#This Row],[Equity Basis Total]] +  SnapshotTable[[#This Row],[SC Premium]], "")</f>
        <v/>
      </c>
      <c r="FP306" s="5" t="str">
        <f>IF(ISNUMBER(SnapshotTable[[#This Row],[SC Exercise Gross]]), (SnapshotTable[[#This Row],[SC Exercise Gross]]) / (SnapshotTable[[#This Row],[SC Qty]] * 100), "")</f>
        <v/>
      </c>
      <c r="FQ306" s="27" t="str">
        <f>IF(SnapshotTable[[#This Row],[SC Is Booked]],SnapshotTable[[#This Row],[SC Time Val]] /SnapshotTable[[#This Row],[SC Basis]], "")</f>
        <v/>
      </c>
      <c r="FR306" s="27" t="str" cm="1">
        <f t="array" ref="FR306">IF(AND(ISNUMBER(SnapshotTable[[#This Row],[SC Term]]),ISNUMBER(SnapshotTable[[#This Row],[SC Simple ROO]])), EllmanAnnualize(SnapshotTable[[#This Row],[SC DTE]], SnapshotTable[[#This Row],[SC Simple ROO]] ),"")</f>
        <v/>
      </c>
      <c r="FS306" s="4" t="e">
        <f>IF(SnapshotTable[[#This Row],[SC Strike Price]] &gt; SnapshotTable[[#This Row],[Last Price]], SnapshotTable[[#This Row],[SC Strike Price]] - SnapshotTable[[#This Row],[Last Price]],0)</f>
        <v>#VALUE!</v>
      </c>
      <c r="FT306" s="27" t="e">
        <f>IF(AND(ISNUMBER(SnapshotTable[[#This Row],[SC Upside Potential]]), SnapshotTable[[#This Row],[SC Upside Potential]] &gt; 0),(SnapshotTable[[#This Row],[SC Upside Potential]]/ SnapshotTable[[#This Row],[ACB]]),"")</f>
        <v>#VALUE!</v>
      </c>
      <c r="FU306" s="333" t="str">
        <f>IF(SnapshotTable[[#This Row],[SC Intrinsic Value]] &gt; 0,SnapshotTable[[#This Row],[SC Intrinsic Value]],"")</f>
        <v/>
      </c>
      <c r="FV306" s="27" t="str">
        <f>IF(AND( ISNUMBER( SnapshotTable[[#This Row],[ACB]]),ISNUMBER(SnapshotTable[[#This Row],[SC Downside Protect]])),SnapshotTable[[#This Row],[SC Downside Protect]] / SnapshotTable[[#This Row],[ACB]],"")</f>
        <v/>
      </c>
      <c r="FW306" s="236" t="str">
        <f>IF(AND(ISNUMBER(SnapshotTable[[#This Row],[SC Simple ROO]]),SnapshotTable[[#This Row],[SC Simple ROO]] &gt; 0), SnapshotTable[[#This Row],[SC Premium]] + (SnapshotTable[[#This Row],[SC Qty]] * SnapshotTable[[#This Row],[SC Upside Potential]]), "")</f>
        <v/>
      </c>
      <c r="FX306" s="302" t="str" cm="1">
        <f t="array" ref="FX306">IF(ISNUMBER(SnapshotTable[[#This Row],[SC Max Dollars]]), annualize(SnapshotTable[[#This Row],[SC Term]],(SnapshotTable[[#This Row],[SC Max Dollars]]/SnapshotTable[[#This Row],[SC Basis]])),"")</f>
        <v/>
      </c>
      <c r="FY306" s="236" t="str">
        <f>IF(AND(SnapshotTable[[#This Row],[SC Qty]]&gt;0,SnapshotTable[[#This Row],[SC Current Ask]]&gt;0), SnapshotTable[[#This Row],[SC Qty]] * SnapshotTable[[#This Row],[SC Current Ask]] * -100, "")</f>
        <v/>
      </c>
      <c r="FZ306" s="31" t="str">
        <f>IF(ISNUMBER((SnapshotTable[[#This Row],[SC Current Value]])), SnapshotTable[[#This Row],[SC Premium]] + SnapshotTable[[#This Row],[SC Current Value]], "")</f>
        <v/>
      </c>
      <c r="GA306" s="294" t="str">
        <f>IFERROR( IF(ISNUMBER((SnapshotTable[[#This Row],[SC Current Value]])), SnapshotTable[[#This Row],[SC Gain Loss]] / SnapshotTable[[#This Row],[SC Premium]], ""), "")</f>
        <v/>
      </c>
      <c r="GB306" s="42">
        <f>SnapshotTable[[#This Row],[Equity Shares]] * SaleSharesToConsiderPercentage</f>
        <v>0</v>
      </c>
      <c r="GC306" s="40">
        <f>SnapshotTable[[#This Row],[Long Term Target]] * SellingPriceToConsiderBasedOnTargetPercentage</f>
        <v>218.6045</v>
      </c>
      <c r="GD306" s="40">
        <f>SnapshotTable[[#This Row],[Last Price]] * (1+ SellingPriceToConsiderBasedOnTargetPercentage)</f>
        <v>57.251999999999995</v>
      </c>
      <c r="GE306" s="41"/>
      <c r="GF306" s="40"/>
      <c r="GG306" s="31">
        <f>SnapshotTable[[#This Row],[Booked Sale Shares]] * SnapshotTable[[#This Row],[Booked Sale Price]]</f>
        <v>0</v>
      </c>
      <c r="GH306" s="31" t="str">
        <f>IF(SnapshotTable[[#This Row],[Equity Basis Total]] &gt; 0, SnapshotTable[[#This Row],[Equity Basis Per Share]] * SnapshotTable[[#This Row],[Booked Sale Shares]], "")</f>
        <v/>
      </c>
      <c r="GI306" s="31">
        <f>IF(SnapshotTable[[#This Row],[Sale Proceeds]]&gt;0, SnapshotTable[[#This Row],[Sale Proceeds]] - SnapshotTable[[#This Row],[Sale Basis]], 0)</f>
        <v>0</v>
      </c>
      <c r="GJ306" s="27" t="str">
        <f>IF(SnapshotTable[[#This Row],[Sale G/L]]&gt;0, SnapshotTable[[#This Row],[Sale G/L]] / SnapshotTable[[#This Row],[Sale Basis]], IF(ISNUMBER(SnapshotTable[[#This Row],[SC Exercise P&amp;L (TAX)]]), SnapshotTable[[#This Row],[SC Exercise P&amp;L (TAX)]] / SnapshotTable[[#This Row],[SC Basis]], ""))</f>
        <v/>
      </c>
      <c r="GK306" s="27" t="s">
        <v>1121</v>
      </c>
      <c r="GL306" s="43" t="str">
        <f>IF(AND(SnapshotTable[[#This Row],[LP Exp Date]]&gt;0,SnapshotTable[[#This Row],[LP Strike Price]]&gt;0), [1]!ToOptionSymbol(SnapshotTable[[#This Row],[Symbol]], SnapshotTable[[#This Row],[LP Strike Price]],SnapshotTable[[#This Row],[LP Exp Date]],1), "")</f>
        <v/>
      </c>
      <c r="GM306" s="30" t="str">
        <f>IF(LEN(SnapshotTable[[#This Row],[LP Symbol]])&gt;0, 1, "")</f>
        <v/>
      </c>
      <c r="GN306" s="43" t="str">
        <f>IF(AND(SnapshotTable[[#This Row],[SP Exp Date]]&gt;0,SnapshotTable[[#This Row],[SP Strike Price]]&gt;0), [1]!ToOptionSymbol(SnapshotTable[[#This Row],[Symbol]], SnapshotTable[[#This Row],[SP Strike Price]],SnapshotTable[[#This Row],[SP Exp Date]],1), "")</f>
        <v/>
      </c>
      <c r="GO306" s="30" t="str">
        <f>IF(LEN(SnapshotTable[[#This Row],[SP Symbol]])&gt;0, 1, "")</f>
        <v/>
      </c>
      <c r="GP306" s="43" t="str">
        <f>IF(AND(SnapshotTable[[#This Row],[LC Exp Date]]&gt;0,SnapshotTable[[#This Row],[LC Strike Price]]&gt;0), [1]!ToOptionSymbol(SnapshotTable[[#This Row],[Symbol]], SnapshotTable[[#This Row],[LC Strike Price]],SnapshotTable[[#This Row],[LC Exp Date]],0), "")</f>
        <v/>
      </c>
      <c r="GQ306" s="30" t="str">
        <f>IF(LEN(SnapshotTable[[#This Row],[LC Symbol]])&gt;0, 1, "")</f>
        <v/>
      </c>
      <c r="GR306" s="43" t="str">
        <f>IF(AND(SnapshotTable[[#This Row],[SC Exp Date]]&gt;0,SnapshotTable[[#This Row],[SC Strike Price]]&gt;0), [1]!ToOptionSymbol(SnapshotTable[[#This Row],[Symbol]], SnapshotTable[[#This Row],[SC Strike Price]],SnapshotTable[[#This Row],[SC Exp Date]],0), "")</f>
        <v/>
      </c>
      <c r="GS306" s="30" t="str">
        <f>IF(LEN(SnapshotTable[[#This Row],[SC Symbol]])&gt;0, 1, "")</f>
        <v/>
      </c>
      <c r="GT306" s="29" t="str">
        <f>IF(COUNT(SnapshotTable[[#This Row],[LP Symbol Count]],SnapshotTable[[#This Row],[SP Symbol Count]],SnapshotTable[[#This Row],[LC Symbol Count]],SnapshotTable[[#This Row],[SC Symbol Count]])&gt;0, "Y", "")</f>
        <v/>
      </c>
      <c r="GU30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6" s="231" t="e">
        <f>MAX(SnapshotTable[[#This Row],[Equity Basis Total]],SnapshotTable[[#This Row],[Equity Value]]) + (SnapshotTable[[#This Row],[SP Potential Spend]]- SnapshotTable[[#This Row],[SP Premium]] + SnapshotTable[[#This Row],[LP Premium]])+ (SnapshotTable[[#This Row],[LC Premium]] - SnapshotTable[[#This Row],[SC Premium]])</f>
        <v>#VALUE!</v>
      </c>
      <c r="GW306" s="139" t="e">
        <f>IF(AND(SnapshotTable[[#This Row],[Exposure]] &lt;&gt; 0),SnapshotTable[[#This Row],[Exposure]] / SnapshotTable[[#Totals],[Exposure]], "")</f>
        <v>#VALUE!</v>
      </c>
      <c r="HK306" s="1"/>
      <c r="HL306" s="1"/>
      <c r="HM306" s="1"/>
      <c r="HN306" s="1"/>
      <c r="HO306" s="1"/>
      <c r="HP306" s="1"/>
    </row>
    <row r="307" spans="2:224" ht="12.75" hidden="1" customHeight="1" x14ac:dyDescent="0.25">
      <c r="B307" s="12" t="s">
        <v>192</v>
      </c>
      <c r="C307" s="422">
        <v>15.98</v>
      </c>
      <c r="D307" s="208"/>
      <c r="E307" s="39">
        <f>SnapshotTable[[#This Row],[Last Price]]*(1 -CrashDiscount)</f>
        <v>13.583</v>
      </c>
      <c r="F307" s="26" t="s">
        <v>191</v>
      </c>
      <c r="G307" s="26" t="s">
        <v>14</v>
      </c>
      <c r="H307" s="149"/>
      <c r="I307" s="194">
        <v>44781.670138888891</v>
      </c>
      <c r="J307" s="195">
        <v>44781.670138888891</v>
      </c>
      <c r="K307" s="196"/>
      <c r="L307" s="326"/>
      <c r="M307" s="140"/>
      <c r="N307" s="140"/>
      <c r="O307" s="140">
        <v>4</v>
      </c>
      <c r="P307" s="22"/>
      <c r="Q307" s="25"/>
      <c r="R307" s="4" t="str">
        <f>IF(SnapshotTable[[#This Row],[Equity Basis Total]] &gt; 0, SnapshotTable[[#This Row],[Equity Basis Total]] / SnapshotTable[[#This Row],[Equity Shares]], "")</f>
        <v/>
      </c>
      <c r="S307" s="269">
        <f>SnapshotTable[[#This Row],[Last Price]] * SnapshotTable[[#This Row],[Equity Shares]]</f>
        <v>0</v>
      </c>
      <c r="T307" s="269">
        <f>SnapshotTable[[#This Row],[Equity Value]] - SnapshotTable[[#This Row],[Equity Basis Total]]</f>
        <v>0</v>
      </c>
      <c r="U307" s="270" t="str">
        <f>IF(SnapshotTable[[#This Row],[Equity Basis Total]] &gt; 0, SnapshotTable[[#This Row],[Equity G/L]] / SnapshotTable[[#This Row],[Equity Basis Total]], "")</f>
        <v/>
      </c>
      <c r="V307" s="268"/>
      <c r="W307" s="268"/>
      <c r="X307" s="4" t="str">
        <f>IF(AND(ISNUMBER(SnapshotTable[[#This Row],[Equity Basis Per Share]]),ISNUMBER(SnapshotTable[[#This Row],[Equity Target]])),SnapshotTable[[#This Row],[Equity Target]]-SnapshotTable[[#This Row],[Equity Basis Per Share]],"")</f>
        <v/>
      </c>
      <c r="Y307" s="4" t="str">
        <f>IF(AND(ISNUMBER(SnapshotTable[[#This Row],[Equity Basis Per Share]]),ISNUMBER(SnapshotTable[[#This Row],[Equity Stop Loss]])),SnapshotTable[[#This Row],[Equity Stop Loss]]-SnapshotTable[[#This Row],[Equity Basis Per Share]],"")</f>
        <v/>
      </c>
      <c r="Z307" s="275" t="str">
        <f>IFERROR( TEXT(SnapshotTable[[#This Row],[Equity Max Gain Per Share]] /ABS( SnapshotTable[[#This Row],[Equity Max Loss Per Share]]),"0.0 " ) &amp; " : 1", "")</f>
        <v/>
      </c>
      <c r="AA307" s="31" t="str">
        <f>IF(ISNUMBER(SnapshotTable[[#This Row],[Equity Max Gain Per Share]]),SnapshotTable[[#This Row],[Equity Max Gain Per Share]] * SnapshotTable[[#This Row],[Equity Shares]],"")</f>
        <v/>
      </c>
      <c r="AB307" s="31" t="str">
        <f>IF(ISNUMBER(SnapshotTable[[#This Row],[Equity Max Loss Per Share]]),SnapshotTable[[#This Row],[Equity Max Loss Per Share]] * SnapshotTable[[#This Row],[Equity Shares]],"")</f>
        <v/>
      </c>
      <c r="AC307" s="150"/>
      <c r="AD307" s="151"/>
      <c r="AE307" s="31">
        <f>(SnapshotTable[[#This Row],[Annual Dividend Per Share]] / 4) * SnapshotTable[[#This Row],[Equity Shares]]</f>
        <v>0</v>
      </c>
      <c r="AF307" s="31">
        <f>SnapshotTable[[#This Row],[Quarterly Div $]] * 4</f>
        <v>0</v>
      </c>
      <c r="AG307" s="7">
        <f>IF(SnapshotTable[[#This Row],[Annual Dividend Per Share]]&gt;0, SnapshotTable[[#This Row],[Annual Dividend Per Share]]  / SnapshotTable[[#This Row],[Last Price]], 0)</f>
        <v>0</v>
      </c>
      <c r="AH307" s="151"/>
      <c r="AI307" s="5"/>
      <c r="AJ307" s="138">
        <v>27.78</v>
      </c>
      <c r="AK307" s="152" t="str">
        <f>IF(ISNUMBER( SnapshotTable[[#This Row],[EBF Target]]),(SnapshotTable[[#This Row],[EBF Target]] - SnapshotTable[[#This Row],[Last Price]]) / SnapshotTable[[#This Row],[Last Price]], "")</f>
        <v/>
      </c>
      <c r="AL307" s="152" t="str">
        <f>IF(AND(SnapshotTable[[#This Row],[Equity Basis Total]] &gt; 0,ISNUMBER( SnapshotTable[[#This Row],[Long Term Target]])), SnapshotTable[[#This Row],[From Basis $]] / SnapshotTable[[#This Row],[Equity Basis Total]], "")</f>
        <v/>
      </c>
      <c r="AM307" s="9">
        <f>IF( AND(SnapshotTable[[#This Row],[Equity Shares]] &gt;0,ISNUMBER( SnapshotTable[[#This Row],[Long Term Target]])),(SnapshotTable[[#This Row],[Equity Shares]] * SnapshotTable[[#This Row],[Long Term Target]]) - SnapshotTable[[#This Row],[Equity Basis Total]],0)</f>
        <v>0</v>
      </c>
      <c r="AN307" s="9">
        <f>IF( AND(SnapshotTable[[#This Row],[Equity Shares]] &gt;0,ISNUMBER( SnapshotTable[[#This Row],[Long Term Target]])),(SnapshotTable[[#This Row],[Equity Shares]]*SnapshotTable[[#This Row],[Long Term Target]]) - SnapshotTable[[#This Row],[Equity Value]],0)</f>
        <v>0</v>
      </c>
      <c r="AO307" s="152">
        <f>IF(AND(ISNUMBER( SnapshotTable[[#This Row],[Long Term Target]]), ISNUMBER(SnapshotTable[[#This Row],[Last Price]])),(SnapshotTable[[#This Row],[Long Term Target]] - SnapshotTable[[#This Row],[Last Price]]) / SnapshotTable[[#This Row],[Last Price]], "")</f>
        <v>0.73842302878598254</v>
      </c>
      <c r="AP307" s="5"/>
      <c r="AQ307" s="38"/>
      <c r="AR307" s="5"/>
      <c r="AS307" s="38"/>
      <c r="AT307" s="146"/>
      <c r="AU307" s="187" t="str">
        <f>IF(OR(SnapshotTable[[#This Row],[LP No Fill]]="Y",SnapshotTable[[#This Row],[SP Is Filled]],SnapshotTable[[#This Row],[LC Not Filled]]="Y",SnapshotTable[[#This Row],[SC Is Filled]]),"Y","")</f>
        <v/>
      </c>
      <c r="AV307" s="219"/>
      <c r="AW307" s="225"/>
      <c r="AX307" s="220"/>
      <c r="AY307" s="219" t="str">
        <f>IF(SnapshotTable[[#This Row],[Implied Move]]&gt;0, SnapshotTable[[#This Row],[Last Price]]-SnapshotTable[[#This Row],[Implied Move]],"")</f>
        <v/>
      </c>
      <c r="AZ307" s="219" t="str">
        <f>IF(SnapshotTable[[#This Row],[Implied Move]]&gt;0, SnapshotTable[[#This Row],[Last Price]] + SnapshotTable[[#This Row],[Implied Move]],"")</f>
        <v/>
      </c>
      <c r="BA307" s="331"/>
      <c r="BB307" s="347"/>
      <c r="BC30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7" s="351"/>
      <c r="BE307" s="5"/>
      <c r="BF307" s="14"/>
      <c r="BG307" s="13"/>
      <c r="BH307" s="13"/>
      <c r="BI307" s="5"/>
      <c r="BJ307" s="136">
        <f>IF(SnapshotTable[[#This Row],[LP Qty]] &gt; 0, SnapshotTable[[#This Row],[LP Qty]] * SnapshotTable[[#This Row],[LP Book Price]] * 100,0)</f>
        <v>0</v>
      </c>
      <c r="BK307" s="136">
        <f>IF(SnapshotTable[[#This Row],[LP Premium]] &gt; 0, SnapshotTable[[#This Row],[LP Qty]] * SnapshotTable[[#This Row],[LP Strike Price]] * 100,0)</f>
        <v>0</v>
      </c>
      <c r="BL307" s="154"/>
      <c r="BM307" s="385" t="str">
        <f>IF(SnapshotTable[[#This Row],[LP Premium]] &gt; 0,SnapshotTable[[#This Row],[LP Exp Date]]-MAX(SnapshotTable[[#This Row],[LP Book Date]], SnapshotTable[[#This Row],[LP Fill Date]]),"")</f>
        <v/>
      </c>
      <c r="BN307" s="385" t="str">
        <f>IF(ISNUMBER( SnapshotTable[[#This Row],[LP Term]]), SnapshotTable[[#This Row],[LP Exp Date]] - MockToday,"")</f>
        <v/>
      </c>
      <c r="BO307" s="163" t="str">
        <f>IF(AND(SnapshotTable[[#This Row],[LP Exp Date]]&gt;0, SnapshotTable[[#This Row],[LP Strike Price]]&gt;0,SnapshotTable[[#This Row],[LP Qty]]&gt;0,SnapshotTable[[#This Row],[LP Book Date]]&gt;0,SnapshotTable[[#This Row],[LP Book Price]]&gt;0,SnapshotTable[[#This Row],[LP Fill Date]]=0),"Y","")</f>
        <v/>
      </c>
      <c r="BP307" s="31" t="str">
        <f>IF(AND(SnapshotTable[[#This Row],[LP No Fill]]&lt;&gt;"Y",SnapshotTable[[#This Row],[LP Contract Value]]&gt;0, SnapshotTable[[#This Row],[LP Qty]]&gt;0), SnapshotTable[[#This Row],[LP Contract Value]]*SnapshotTable[[#This Row],[LP Qty]]*100,"")</f>
        <v/>
      </c>
      <c r="BQ307" s="13"/>
      <c r="BR307" s="5" t="str">
        <f>IF(SnapshotTable[[#This Row],[SP Exp Date]]&lt;&gt;"",TRUNC(SnapshotTable[[#This Row],[Last Price]]),"")</f>
        <v/>
      </c>
      <c r="BS307" s="36"/>
      <c r="BT307" s="147"/>
      <c r="BU307" s="13"/>
      <c r="BV307" s="5"/>
      <c r="BW307" s="419" t="b">
        <f>AND(ISNUMBER(SnapshotTable[[#This Row],[SP Exp Date]]), ISNUMBER(SnapshotTable[[#This Row],[SP Strike Price]]), ISNUMBER(SnapshotTable[[#This Row],[SP Qty]]), ISNUMBER(SnapshotTable[[#This Row],[SP Book Date]]), ISNUMBER(SnapshotTable[[#This Row],[SP Book Price]]))</f>
        <v>0</v>
      </c>
      <c r="BX307" s="419" t="b">
        <f>AND(SnapshotTable[[#This Row],[SP Is Booked]], NOT(ISBLANK(SnapshotTable[[#This Row],[SP Fill Date]])))</f>
        <v>0</v>
      </c>
      <c r="BY307" s="33">
        <f>IF(SnapshotTable[[#This Row],[SP Is Booked]], SnapshotTable[[#This Row],[SP Qty]] * SnapshotTable[[#This Row],[SP Book Price]] * 100, 0)</f>
        <v>0</v>
      </c>
      <c r="BZ307" s="369"/>
      <c r="CA307" s="368">
        <f>SnapshotTable[[#This Row],[LP Qty]]</f>
        <v>0</v>
      </c>
      <c r="CB307" s="4" t="str">
        <f>IF(SnapshotTable[[#This Row],[SP Is Booked]], SnapshotTable[[#This Row],[SP Strike Price]] - SnapshotTable[[#This Row],[SP Book Price]], "")</f>
        <v/>
      </c>
      <c r="CC307" s="19" t="str">
        <f>IF(SnapshotTable[[#This Row],[SP Is Booked]],SnapshotTable[[#This Row],[SP Exp Date]]-MAX(SnapshotTable[[#This Row],[SP Book Date]], SnapshotTable[[#This Row],[SP Fill Date]]),"")</f>
        <v/>
      </c>
      <c r="CD307" s="7" t="str">
        <f>IF(SnapshotTable[[#This Row],[SP Is Booked]], SnapshotTable[[#This Row],[SP Book Price]]/SnapshotTable[[#This Row],[SP Strike Price]], "")</f>
        <v/>
      </c>
      <c r="CE307" s="7" t="str">
        <f>IF(ISNUMBER(SnapshotTable[[#This Row],[SP ROO Term]]),SnapshotTable[[#This Row],[SP ROO Term]]*(365/SnapshotTable[[#This Row],[SP Term]]),"")</f>
        <v/>
      </c>
      <c r="CF307" s="236">
        <f>SnapshotTable[[#This Row],[LP Strike Price]] * SnapshotTable[[#This Row],[LP Qty]] * 100</f>
        <v>0</v>
      </c>
      <c r="CG307" s="31" t="e">
        <f>IF(ISNUMBER(SnapshotTable[[#This Row],[SP Premium]]), (SnapshotTable[[#This Row],[SP Qty]] * SnapshotTable[[#This Row],[SP Strike Price]]* 100) - SnapshotTable[[#This Row],[LP Protection]], 0)</f>
        <v>#VALUE!</v>
      </c>
      <c r="CH307" s="7" t="str">
        <f>IF(ISNUMBER(SnapshotTable[[#This Row],[SP Break Even]]),-1 * (SnapshotTable[[#This Row],[SP Break Even]] - SnapshotTable[[#This Row],[Last Price]]) / SnapshotTable[[#This Row],[Last Price]], "")</f>
        <v/>
      </c>
      <c r="CI307" s="31">
        <f>IF(AND(ISNUMBER((SnapshotTable[[#This Row],[SP Potential Spend]])), SnapshotTable[[#This Row],[SP Strike Price]] &gt; SnapshotTable[[#This Row],[Last Price]], SnapshotTable[[#This Row],[SP Is Filled]]), SnapshotTable[[#This Row],[SP Potential Spend]] -  SnapshotTable[[#This Row],[LP Max Value]], 0)</f>
        <v>0</v>
      </c>
      <c r="CJ307" s="244"/>
      <c r="CK307" s="31" t="str">
        <f>IF(ISNUMBER(SnapshotTable[[#This Row],[SP Potential Spend]]),IF(ISNUMBER(SnapshotTable[[#This Row],[SP POW]]), SnapshotTable[[#This Row],[SP POW]] * SnapshotTable[[#This Row],[SP Potential Spend]], SnapshotTable[[#This Row],[SP Potential Spend]]), "")</f>
        <v/>
      </c>
      <c r="CL307" s="164" t="e">
        <f>IF(NOT(SnapshotTable[[#This Row],[SP Is Filled]]),(SnapshotTable[[#This Row],[SP Qty]] * SnapshotTable[[#This Row],[SP Strike Price]] * 100) - SnapshotTable[[#This Row],[LP Max Value]],"")</f>
        <v>#VALUE!</v>
      </c>
      <c r="CM307" s="31" t="str">
        <f>IF(SnapshotTable[[#This Row],[SP Actual Spend]]&lt;&gt;0, ((SnapshotTable[[#This Row],[SP Strike Price]]-SnapshotTable[[#This Row],[Last Price]]) *(SnapshotTable[[#This Row],[SP Qty]]*100) - SnapshotTable[[#This Row],[SP Premium]]) * - 1, "")</f>
        <v/>
      </c>
      <c r="CN307" s="78"/>
      <c r="CO307" s="369"/>
      <c r="CP307" s="4" t="str">
        <f>IF(SnapshotTable[[#This Row],[SP Is Filled]], btc_max_buyback_amount(SnapshotTable[[#This Row],[SP Fill Date]],SnapshotTable[[#This Row],[SP Exp Date]], SnapshotTable[[#This Row],[SP Book Price]]),"")</f>
        <v/>
      </c>
      <c r="CQ307" s="78"/>
      <c r="CR30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7" s="155" t="str">
        <f>IF(SnapshotTable[[#This Row],[SP Is Filled]], btc_next_cutoff_date(SnapshotTable[[#This Row],[SP Fill Date]],SnapshotTable[[#This Row],[SP Exp Date]]),"")</f>
        <v/>
      </c>
      <c r="CT307" s="235" t="str" cm="1">
        <f t="array" ref="CT307">IF(SnapshotTable[[#This Row],[SP Is Filled]], btc_should_buy_back(SnapshotTable[[#This Row],[SP Fill Date]], SnapshotTable[[#This Row],[SP Exp Date]], SnapshotTable[[#This Row],[SP Book Price]], SnapshotTable[[#This Row],[SP Current Ask]], MockToday, SnapshotTable[[#This Row],[SP Buyback Override]]),"")</f>
        <v/>
      </c>
      <c r="CU307" s="143"/>
      <c r="CV307" s="235"/>
      <c r="CW307" s="378" t="str">
        <f>IF(ISNUMBER( SnapshotTable[[#This Row],[SP Term]]), SnapshotTable[[#This Row],[SP Exp Date]] - MockToday,"")</f>
        <v/>
      </c>
      <c r="CX307" s="31" t="str">
        <f>IF(SnapshotTable[[#This Row],[SP Is Filled]],SnapshotTable[[#This Row],[SP Buyback Price to Use]] * 100 * SnapshotTable[[#This Row],[SP Qty]], "")</f>
        <v/>
      </c>
      <c r="CY307" s="4" t="str">
        <f>IF(ISNUMBER(SnapshotTable[[#This Row],[SP Strike Price]]), SnapshotTable[[#This Row],[SP Strike Price]] * (1 - SP_MaxLoss_StrikePct), "")</f>
        <v/>
      </c>
      <c r="CZ307" s="31" t="str">
        <f>IF(ISNUMBER(SnapshotTable[[#This Row],[SP Strike  Stop Per Share]]),SnapshotTable[[#This Row],[SP Premium]] - ((SnapshotTable[[#This Row],[SP Strike Price]]-SnapshotTable[[#This Row],[SP Strike  Stop Per Share]]) *(SnapshotTable[[#This Row],[SP Qty]] * 100)),"")</f>
        <v/>
      </c>
      <c r="DA307" s="4" t="str">
        <f>IF(AND(ISNUMBER(SnapshotTable[[#This Row],[SP Premium]]),SnapshotTable[[#This Row],[SP Premium]]&gt;0), SnapshotTable[[#This Row],[SP Book Price]] * (1 + SP_MaxLoss_OptionPct), "")</f>
        <v/>
      </c>
      <c r="DB307" s="31" t="str">
        <f>IF(ISNUMBER(SnapshotTable[[#This Row],[SP Option  Stop Contract]]),(SnapshotTable[[#This Row],[SP Option  Stop Contract]] *(SnapshotTable[[#This Row],[SP Qty]] * 100) - SnapshotTable[[#This Row],[SP Premium]]),"")</f>
        <v/>
      </c>
      <c r="DC307" s="4"/>
      <c r="DD307" s="4"/>
      <c r="DE307" s="4" t="str">
        <f>IF(AND(SnapshotTable[[#This Row],[SP Qty]]&gt;0, SnapshotTable[[#This Row],[SP Stop To Use]]&gt;0),SnapshotTable[[#This Row],[SP Premium]] - ( SnapshotTable[[#This Row],[SP Qty]] * SnapshotTable[[#This Row],[SP Stop To Use]] * 100), "")</f>
        <v/>
      </c>
      <c r="DF307" s="31" t="str">
        <f>IF(AND(SnapshotTable[[#This Row],[SP Qty]]&gt;0,SnapshotTable[[#This Row],[SP Current Ask]]&gt;0), SnapshotTable[[#This Row],[SP Qty]] * SnapshotTable[[#This Row],[SP Current Ask]] * -100, "")</f>
        <v/>
      </c>
      <c r="DG307" s="31" t="str">
        <f>IF(ISNUMBER((SnapshotTable[[#This Row],[SP Total Value]])), SnapshotTable[[#This Row],[SP Premium]] + SnapshotTable[[#This Row],[SP Total Value]], "")</f>
        <v/>
      </c>
      <c r="DH307" s="294" t="str">
        <f>IF(ISNUMBER((SnapshotTable[[#This Row],[SP Total Value]])), SnapshotTable[[#This Row],[SP Gain Loss]] / SnapshotTable[[#This Row],[SP Premium]], "")</f>
        <v/>
      </c>
      <c r="DI307" s="406"/>
      <c r="DJ307" s="138"/>
      <c r="DK307" s="148"/>
      <c r="DL307" s="13"/>
      <c r="DM307" s="13"/>
      <c r="DO307" s="31">
        <f>IF(SnapshotTable[[#This Row],[LC Symbol Count]]=1, SnapshotTable[[#This Row],[LC Qty]] * SnapshotTable[[#This Row],[LC Book Price]] * 100, 0)</f>
        <v>0</v>
      </c>
      <c r="DP307" s="163" t="str">
        <f>IF(AND(SnapshotTable[[#This Row],[LC Exp Date]]&gt;0, SnapshotTable[[#This Row],[LC Strike Price]]&gt;0,SnapshotTable[[#This Row],[LC Qty]]&gt;0,SnapshotTable[[#This Row],[LC Book Date]]&gt;0,SnapshotTable[[#This Row],[LC Book Price]]&gt;0,SnapshotTable[[#This Row],[LC Fill Date]]=0),"Y","")</f>
        <v/>
      </c>
      <c r="DQ307" s="386" t="str">
        <f>IF(SnapshotTable[[#This Row],[LC Premium]] &gt; 0,SnapshotTable[[#This Row],[LC Exp Date]]-MAX(SnapshotTable[[#This Row],[LC Book Date]], SnapshotTable[[#This Row],[LC Fill Date]]),"")</f>
        <v/>
      </c>
      <c r="DR307" s="386" t="str">
        <f>IF(ISNUMBER(SnapshotTable[[#This Row],[LC Term]]), SnapshotTable[[#This Row],[LC Exp Date]] - MockToday, "")</f>
        <v/>
      </c>
      <c r="DS307" s="234" t="str">
        <f>IF(SnapshotTable[[#This Row],[LC Premium]]&gt;0,SnapshotTable[[#This Row],[LC Strike Price]] + SnapshotTable[[#This Row],[LC Book Price]],"")</f>
        <v/>
      </c>
      <c r="DU307" s="9" t="str">
        <f>IF(AND(SnapshotTable[[#This Row],[LC Symbol Count]]&gt;0, SnapshotTable[[#This Row],[LC Contract Value]]&gt;0), SnapshotTable[[#This Row],[LC Contract Value]] * SnapshotTable[[#This Row],[LC Qty]] * 100, "")</f>
        <v/>
      </c>
      <c r="DV307" s="9" t="str">
        <f>IF(AND(ISNUMBER(SnapshotTable[[#This Row],[LC Total Value]]), SnapshotTable[[#This Row],[LC Not Filled]]&lt;&gt;"Y"), SnapshotTable[[#This Row],[LC Total Value]]-SnapshotTable[[#This Row],[LC Premium]],"")</f>
        <v/>
      </c>
      <c r="DW307" s="240" t="str">
        <f>IF(ISNUMBER(SnapshotTable[[#This Row],[LC Actual Gain Loss]]), SnapshotTable[[#This Row],[LC Actual Gain Loss]] / SnapshotTable[[#This Row],[LC Premium]],"")</f>
        <v/>
      </c>
      <c r="DX307" s="284" t="str">
        <f>IF(ISNUMBER(SnapshotTable[[#This Row],[LC Book Price]]),SnapshotTable[[#This Row],[LC Book Price]] * 1.5,"")</f>
        <v/>
      </c>
      <c r="DY307" s="265" t="str">
        <f>IF(SnapshotTable[[#This Row],[LC Premium]]&gt;0, SnapshotTable[[#This Row],[LC Next Target]] * SnapshotTable[[#This Row],[LC Qty]] * 100,"")</f>
        <v/>
      </c>
      <c r="DZ307" s="265" t="str">
        <f>IF(ISNUMBER(SnapshotTable[[#This Row],[LC Target Gross]]), SnapshotTable[[#This Row],[LC Target Gross]] - SnapshotTable[[#This Row],[LC Premium]], "")</f>
        <v/>
      </c>
      <c r="EA307" s="305" t="str">
        <f>IF(ISNUMBER(SnapshotTable[[#This Row],[LC Target Gain Loss]]), SnapshotTable[[#This Row],[LC Target Gain Loss]]/SnapshotTable[[#This Row],[LC Premium]], "")</f>
        <v/>
      </c>
      <c r="EB307" s="262"/>
      <c r="EC307" s="283" t="str">
        <f>IF(SnapshotTable[[#This Row],[LC Premium]]&gt;0, SnapshotTable[[#This Row],[LC Book Price]] * (1 - LC_StopLoss_Pct),"")</f>
        <v/>
      </c>
      <c r="ED307" s="284"/>
      <c r="EE307" s="283" t="str">
        <f>IF(ISNUMBER(SnapshotTable[[#This Row],[LC Contract Value]]),IF(ISNUMBER(SnapshotTable[[#This Row],[LC Stop Loss Override]]), SnapshotTable[[#This Row],[LC Stop Loss Override]],SnapshotTable[[#This Row],[LC Stop Loss Calc Target]]),"")</f>
        <v/>
      </c>
      <c r="EF307" s="31" t="str">
        <f>IF(ISNUMBER(SnapshotTable[[#This Row],[LC Stop  To Use]]), (SnapshotTable[[#This Row],[LC Stop  To Use]] * SnapshotTable[[#This Row],[LC Qty]] * 100),"")</f>
        <v/>
      </c>
      <c r="EG307" s="9" t="str">
        <f>IF(ISNUMBER(SnapshotTable[[#This Row],[LC Total Value]]),SnapshotTable[[#This Row],[LC Stop Loss Amount]] - SnapshotTable[[#This Row],[LC Premium]],"")</f>
        <v/>
      </c>
      <c r="EH307" s="9">
        <f>IF(ISNUMBER(SnapshotTable[[#This Row],[LC Premium]]), SnapshotTable[[#This Row],[LC Qty]] * 100 * SnapshotTable[[#This Row],[LC Strike Price]], "")</f>
        <v>0</v>
      </c>
      <c r="EI307" s="240" t="str">
        <f>IF(AND(ISNUMBER(SnapshotTable[[#This Row],[LC Total Value]]),SnapshotTable[[#This Row],[LC Total Value]]&gt;0),SnapshotTable[[#This Row],[LC Stop Gain Loss]]  / SnapshotTable[[#This Row],[LC Premium]],"")</f>
        <v/>
      </c>
      <c r="EJ307" s="35">
        <f>IF(ISNUMBER(SnapshotTable[[#This Row],[Equity Shares]]),TRUNC(SnapshotTable[[#This Row],[Equity Shares]] / 100),0) + SnapshotTable[[#This Row],[LC Qty]]</f>
        <v>0</v>
      </c>
      <c r="EK307" s="147"/>
      <c r="EL307" s="138" t="str">
        <f>IF(SnapshotTable[[#This Row],[SC Exp Date]]&lt;&gt;"",TRUNC(SnapshotTable[[#This Row],[Last Price]]),"")</f>
        <v/>
      </c>
      <c r="EM307" s="148"/>
      <c r="EN307" s="147"/>
      <c r="EO307" s="147"/>
      <c r="EP307" s="138"/>
      <c r="EQ307" s="419" t="b">
        <f>AND(ISNUMBER(SnapshotTable[[#This Row],[SC Exp Date]]), ISNUMBER(SnapshotTable[[#This Row],[SC Strike Price]]), ISNUMBER(SnapshotTable[[#This Row],[SC Qty]]), ISNUMBER(SnapshotTable[[#This Row],[SC Book Date]]), ISNUMBER(SnapshotTable[[#This Row],[SC Book Price]]))</f>
        <v>0</v>
      </c>
      <c r="ER307" s="419" t="b">
        <f>AND(SnapshotTable[[#This Row],[SC Is Booked]], NOT(ISBLANK(SnapshotTable[[#This Row],[SC Fill Date]])))</f>
        <v>0</v>
      </c>
      <c r="ES307" s="370"/>
      <c r="ET307" s="34" t="str">
        <f>IF(AND(ISNUMBER(SnapshotTable[[#This Row],[SC Exp Date]]), ISNUMBER(SnapshotTable[[#This Row],[SC Book Date]])), SnapshotTable[[#This Row],[SC Exp Date]] - MAX(SnapshotTable[[#This Row],[SC Book Date]], SnapshotTable[[#This Row],[SC Fill Date]]) + 1, "")</f>
        <v/>
      </c>
      <c r="EU307" s="34" t="str">
        <f>IF(ISNUMBER(SnapshotTable[[#This Row],[SC Term]]), SnapshotTable[[#This Row],[SC Exp Date]]- MockToday, "")</f>
        <v/>
      </c>
      <c r="EV307" s="31">
        <f>IF(SnapshotTable[[#This Row],[SC Is Booked]], SnapshotTable[[#This Row],[SC Qty]] * SnapshotTable[[#This Row],[SC Book Price]] * 100, 0)</f>
        <v>0</v>
      </c>
      <c r="EW307" s="4" t="str">
        <f>IF(AND(ISNUMBER(SnapshotTable[[#This Row],[Last Price]]), ISNUMBER( SnapshotTable[[#This Row],[SC Book Price]])), SnapshotTable[[#This Row],[Last Price]] - SnapshotTable[[#This Row],[SC Book Price]],"")</f>
        <v/>
      </c>
      <c r="EX307" s="234" t="str">
        <f>IF(SnapshotTable[[#This Row],[SC Is Booked]],IF(SnapshotTable[[#This Row],[SC Intrinsic Value]] &gt; 0, SnapshotTable[[#This Row],[SC Strike Price]], SnapshotTable[[#This Row],[Last Price]]), "")</f>
        <v/>
      </c>
      <c r="EY307" s="4">
        <f>IF(SnapshotTable[[#This Row],[SC Is Booked]], (MinimumPremiumRequired * SnapshotTable[[#This Row],[SC Basis]] * SnapshotTable[[#This Row],[SC Term]]), 0)</f>
        <v>0</v>
      </c>
      <c r="EZ307" s="283"/>
      <c r="FA307" s="218"/>
      <c r="FB307" s="370"/>
      <c r="FC307" s="4">
        <f>IF(SnapshotTable[[#This Row],[SC Is Filled]], btc_max_buyback_amount(SnapshotTable[[#This Row],[SC Fill Date]],SnapshotTable[[#This Row],[SC Exp Date]], SnapshotTable[[#This Row],[SC Book Price]]),0)</f>
        <v>0</v>
      </c>
      <c r="FD307" s="5"/>
      <c r="FE307" s="144" t="str">
        <f>IF(SnapshotTable[[#This Row],[SC Is Filled]], btc_next_cutoff_date(SnapshotTable[[#This Row],[SC Fill Date]],SnapshotTable[[#This Row],[SC Exp Date]]),"")</f>
        <v/>
      </c>
      <c r="FF307" s="4" t="str" cm="1">
        <f t="array" ref="FF307">IF(SnapshotTable[[#This Row],[SC Is Filled]], btc_should_buy_back(SnapshotTable[[#This Row],[SC Fill Date]], SnapshotTable[[#This Row],[SC Exp Date]], SnapshotTable[[#This Row],[SC Book Price]], SnapshotTable[[#This Row],[SC Current Ask]], MockToday, SnapshotTable[[#This Row],[SC Buyback Override]]),"")</f>
        <v/>
      </c>
      <c r="FG307" s="4">
        <f>IF(SnapshotTable[[#This Row],[SC Is Filled]], MAX(0,SnapshotTable[[#This Row],[Last Price]]  - SnapshotTable[[#This Row],[SC Strike Price]]), 0)</f>
        <v>0</v>
      </c>
      <c r="FH307" s="382">
        <f>IF(SnapshotTable[[#This Row],[SC Is Filled]], IF(ISNUMBER(SnapshotTable[[#This Row],[SC Current Ask]]), SnapshotTable[[#This Row],[SC Current Ask]], SnapshotTable[[#This Row],[SC Book Price]]) - SnapshotTable[[#This Row],[SC Intrinsic Value]], 0)</f>
        <v>0</v>
      </c>
      <c r="FI307" s="143"/>
      <c r="FJ307" s="32" t="str">
        <f>IF(SnapshotTable[[#This Row],[SC Is Filled]],100 * SnapshotTable[[#This Row],[SC Qty]] * IF(ISNUMBER(SnapshotTable[[#This Row],[SC Buyback Override]]), SnapshotTable[[#This Row],[SC Buyback Override]], SnapshotTable[[#This Row],[SC Current Ask]]), "")</f>
        <v/>
      </c>
      <c r="FK307" s="250" t="str">
        <f>IF(SnapshotTable[[#This Row],[SC Time Val]]&gt;0, SnapshotTable[[#This Row],[SC Time Val]] / SnapshotTable[[#This Row],[Last Price]],"")</f>
        <v/>
      </c>
      <c r="FL307" s="302" t="str">
        <f>IF(SnapshotTable[[#This Row],[SC Is Booked]], ((SnapshotTable[[#This Row],[Last Price]] -SnapshotTable[[#This Row],[SC Strike Price]]) / SnapshotTable[[#This Row],[Last Price]]) * -1, "")</f>
        <v/>
      </c>
      <c r="FM307" s="157" t="str">
        <f>IF(SnapshotTable[[#This Row],[SC Is Booked]],  (SnapshotTable[[#This Row],[SC Qty]] * 100 * SnapshotTable[[#This Row],[SC Strike Price]]) - SnapshotTable[[#This Row],[SC Current Ask]], "")</f>
        <v/>
      </c>
      <c r="FN30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7" s="31" t="str">
        <f>IF(AND(ISNUMBER(SnapshotTable[[#This Row],[SC Exercise Gross]]), ISNUMBER(SnapshotTable[[#This Row],[Equity Basis Per Share]] )), SnapshotTable[[#This Row],[SC Exercise Gross]] - SnapshotTable[[#This Row],[Equity Basis Total]] +  SnapshotTable[[#This Row],[SC Premium]], "")</f>
        <v/>
      </c>
      <c r="FP307" s="5" t="str">
        <f>IF(ISNUMBER(SnapshotTable[[#This Row],[SC Exercise Gross]]), (SnapshotTable[[#This Row],[SC Exercise Gross]]) / (SnapshotTable[[#This Row],[SC Qty]] * 100), "")</f>
        <v/>
      </c>
      <c r="FQ307" s="27" t="str">
        <f>IF(SnapshotTable[[#This Row],[SC Is Booked]],SnapshotTable[[#This Row],[SC Time Val]] /SnapshotTable[[#This Row],[SC Basis]], "")</f>
        <v/>
      </c>
      <c r="FR307" s="27" t="str" cm="1">
        <f t="array" ref="FR307">IF(AND(ISNUMBER(SnapshotTable[[#This Row],[SC Term]]),ISNUMBER(SnapshotTable[[#This Row],[SC Simple ROO]])), EllmanAnnualize(SnapshotTable[[#This Row],[SC DTE]], SnapshotTable[[#This Row],[SC Simple ROO]] ),"")</f>
        <v/>
      </c>
      <c r="FS307" s="4" t="e">
        <f>IF(SnapshotTable[[#This Row],[SC Strike Price]] &gt; SnapshotTable[[#This Row],[Last Price]], SnapshotTable[[#This Row],[SC Strike Price]] - SnapshotTable[[#This Row],[Last Price]],0)</f>
        <v>#VALUE!</v>
      </c>
      <c r="FT307" s="27" t="e">
        <f>IF(AND(ISNUMBER(SnapshotTable[[#This Row],[SC Upside Potential]]), SnapshotTable[[#This Row],[SC Upside Potential]] &gt; 0),(SnapshotTable[[#This Row],[SC Upside Potential]]/ SnapshotTable[[#This Row],[ACB]]),"")</f>
        <v>#VALUE!</v>
      </c>
      <c r="FU307" s="333" t="str">
        <f>IF(SnapshotTable[[#This Row],[SC Intrinsic Value]] &gt; 0,SnapshotTable[[#This Row],[SC Intrinsic Value]],"")</f>
        <v/>
      </c>
      <c r="FV307" s="27" t="str">
        <f>IF(AND( ISNUMBER( SnapshotTable[[#This Row],[ACB]]),ISNUMBER(SnapshotTable[[#This Row],[SC Downside Protect]])),SnapshotTable[[#This Row],[SC Downside Protect]] / SnapshotTable[[#This Row],[ACB]],"")</f>
        <v/>
      </c>
      <c r="FW307" s="236" t="str">
        <f>IF(AND(ISNUMBER(SnapshotTable[[#This Row],[SC Simple ROO]]),SnapshotTable[[#This Row],[SC Simple ROO]] &gt; 0), SnapshotTable[[#This Row],[SC Premium]] + (SnapshotTable[[#This Row],[SC Qty]] * SnapshotTable[[#This Row],[SC Upside Potential]]), "")</f>
        <v/>
      </c>
      <c r="FX307" s="302" t="str" cm="1">
        <f t="array" ref="FX307">IF(ISNUMBER(SnapshotTable[[#This Row],[SC Max Dollars]]), annualize(SnapshotTable[[#This Row],[SC Term]],(SnapshotTable[[#This Row],[SC Max Dollars]]/SnapshotTable[[#This Row],[SC Basis]])),"")</f>
        <v/>
      </c>
      <c r="FY307" s="236" t="str">
        <f>IF(AND(SnapshotTable[[#This Row],[SC Qty]]&gt;0,SnapshotTable[[#This Row],[SC Current Ask]]&gt;0), SnapshotTable[[#This Row],[SC Qty]] * SnapshotTable[[#This Row],[SC Current Ask]] * -100, "")</f>
        <v/>
      </c>
      <c r="FZ307" s="31" t="str">
        <f>IF(ISNUMBER((SnapshotTable[[#This Row],[SC Current Value]])), SnapshotTable[[#This Row],[SC Premium]] + SnapshotTable[[#This Row],[SC Current Value]], "")</f>
        <v/>
      </c>
      <c r="GA307" s="294" t="str">
        <f>IFERROR( IF(ISNUMBER((SnapshotTable[[#This Row],[SC Current Value]])), SnapshotTable[[#This Row],[SC Gain Loss]] / SnapshotTable[[#This Row],[SC Premium]], ""), "")</f>
        <v/>
      </c>
      <c r="GB307" s="42">
        <f>SnapshotTable[[#This Row],[Equity Shares]] * SaleSharesToConsiderPercentage</f>
        <v>0</v>
      </c>
      <c r="GC307" s="40">
        <f>SnapshotTable[[#This Row],[Long Term Target]] * SellingPriceToConsiderBasedOnTargetPercentage</f>
        <v>26.390999999999998</v>
      </c>
      <c r="GD307" s="40">
        <f>SnapshotTable[[#This Row],[Last Price]] * (1+ SellingPriceToConsiderBasedOnTargetPercentage)</f>
        <v>31.161000000000001</v>
      </c>
      <c r="GE307" s="41"/>
      <c r="GF307" s="40"/>
      <c r="GG307" s="31">
        <f>SnapshotTable[[#This Row],[Booked Sale Shares]] * SnapshotTable[[#This Row],[Booked Sale Price]]</f>
        <v>0</v>
      </c>
      <c r="GH307" s="31" t="str">
        <f>IF(SnapshotTable[[#This Row],[Equity Basis Total]] &gt; 0, SnapshotTable[[#This Row],[Equity Basis Per Share]] * SnapshotTable[[#This Row],[Booked Sale Shares]], "")</f>
        <v/>
      </c>
      <c r="GI307" s="31">
        <f>IF(SnapshotTable[[#This Row],[Sale Proceeds]]&gt;0, SnapshotTable[[#This Row],[Sale Proceeds]] - SnapshotTable[[#This Row],[Sale Basis]], 0)</f>
        <v>0</v>
      </c>
      <c r="GJ307" s="27" t="str">
        <f>IF(SnapshotTable[[#This Row],[Sale G/L]]&gt;0, SnapshotTable[[#This Row],[Sale G/L]] / SnapshotTable[[#This Row],[Sale Basis]], IF(ISNUMBER(SnapshotTable[[#This Row],[SC Exercise P&amp;L (TAX)]]), SnapshotTable[[#This Row],[SC Exercise P&amp;L (TAX)]] / SnapshotTable[[#This Row],[SC Basis]], ""))</f>
        <v/>
      </c>
      <c r="GK307" s="27" t="s">
        <v>771</v>
      </c>
      <c r="GL307" s="43" t="str">
        <f>IF(AND(SnapshotTable[[#This Row],[LP Exp Date]]&gt;0,SnapshotTable[[#This Row],[LP Strike Price]]&gt;0), [1]!ToOptionSymbol(SnapshotTable[[#This Row],[Symbol]], SnapshotTable[[#This Row],[LP Strike Price]],SnapshotTable[[#This Row],[LP Exp Date]],1), "")</f>
        <v/>
      </c>
      <c r="GM307" s="30" t="str">
        <f>IF(LEN(SnapshotTable[[#This Row],[LP Symbol]])&gt;0, 1, "")</f>
        <v/>
      </c>
      <c r="GN307" s="43" t="str">
        <f>IF(AND(SnapshotTable[[#This Row],[SP Exp Date]]&gt;0,SnapshotTable[[#This Row],[SP Strike Price]]&gt;0), [1]!ToOptionSymbol(SnapshotTable[[#This Row],[Symbol]], SnapshotTable[[#This Row],[SP Strike Price]],SnapshotTable[[#This Row],[SP Exp Date]],1), "")</f>
        <v/>
      </c>
      <c r="GO307" s="30" t="str">
        <f>IF(LEN(SnapshotTable[[#This Row],[SP Symbol]])&gt;0, 1, "")</f>
        <v/>
      </c>
      <c r="GP307" s="43" t="str">
        <f>IF(AND(SnapshotTable[[#This Row],[LC Exp Date]]&gt;0,SnapshotTable[[#This Row],[LC Strike Price]]&gt;0), [1]!ToOptionSymbol(SnapshotTable[[#This Row],[Symbol]], SnapshotTable[[#This Row],[LC Strike Price]],SnapshotTable[[#This Row],[LC Exp Date]],0), "")</f>
        <v/>
      </c>
      <c r="GQ307" s="30" t="str">
        <f>IF(LEN(SnapshotTable[[#This Row],[LC Symbol]])&gt;0, 1, "")</f>
        <v/>
      </c>
      <c r="GR307" s="43" t="str">
        <f>IF(AND(SnapshotTable[[#This Row],[SC Exp Date]]&gt;0,SnapshotTable[[#This Row],[SC Strike Price]]&gt;0), [1]!ToOptionSymbol(SnapshotTable[[#This Row],[Symbol]], SnapshotTable[[#This Row],[SC Strike Price]],SnapshotTable[[#This Row],[SC Exp Date]],0), "")</f>
        <v/>
      </c>
      <c r="GS307" s="30" t="str">
        <f>IF(LEN(SnapshotTable[[#This Row],[SC Symbol]])&gt;0, 1, "")</f>
        <v/>
      </c>
      <c r="GT307" s="29" t="str">
        <f>IF(COUNT(SnapshotTable[[#This Row],[LP Symbol Count]],SnapshotTable[[#This Row],[SP Symbol Count]],SnapshotTable[[#This Row],[LC Symbol Count]],SnapshotTable[[#This Row],[SC Symbol Count]])&gt;0, "Y", "")</f>
        <v/>
      </c>
      <c r="GU30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7" s="231" t="e">
        <f>MAX(SnapshotTable[[#This Row],[Equity Basis Total]],SnapshotTable[[#This Row],[Equity Value]]) + (SnapshotTable[[#This Row],[SP Potential Spend]]- SnapshotTable[[#This Row],[SP Premium]] + SnapshotTable[[#This Row],[LP Premium]])+ (SnapshotTable[[#This Row],[LC Premium]] - SnapshotTable[[#This Row],[SC Premium]])</f>
        <v>#VALUE!</v>
      </c>
      <c r="GW307" s="139" t="e">
        <f>IF(AND(SnapshotTable[[#This Row],[Exposure]] &lt;&gt; 0),SnapshotTable[[#This Row],[Exposure]] / SnapshotTable[[#Totals],[Exposure]], "")</f>
        <v>#VALUE!</v>
      </c>
      <c r="HK307" s="1"/>
      <c r="HL307" s="1"/>
      <c r="HM307" s="1"/>
      <c r="HN307" s="1"/>
      <c r="HO307" s="1"/>
      <c r="HP307" s="1"/>
    </row>
    <row r="308" spans="2:224" ht="12.75" hidden="1" customHeight="1" x14ac:dyDescent="0.25">
      <c r="B308" s="12" t="s">
        <v>1281</v>
      </c>
      <c r="C308" s="422">
        <v>16.46</v>
      </c>
      <c r="D308" s="208" t="s">
        <v>258</v>
      </c>
      <c r="E308" s="39">
        <f>SnapshotTable[[#This Row],[Last Price]]*(1 -CrashDiscount)</f>
        <v>13.991</v>
      </c>
      <c r="F308" s="26" t="s">
        <v>183</v>
      </c>
      <c r="G308" s="26" t="s">
        <v>4</v>
      </c>
      <c r="H308" s="149"/>
      <c r="I308" s="194">
        <v>45684</v>
      </c>
      <c r="J308" s="195">
        <v>44851.260416666664</v>
      </c>
      <c r="K308" s="196"/>
      <c r="L308" s="326"/>
      <c r="M308" s="140"/>
      <c r="N308" s="140"/>
      <c r="O308" s="140"/>
      <c r="P308" s="22">
        <v>200</v>
      </c>
      <c r="Q308" s="22">
        <v>446</v>
      </c>
      <c r="R308" s="4">
        <f>IF(SnapshotTable[[#This Row],[Equity Basis Total]] &gt; 0, SnapshotTable[[#This Row],[Equity Basis Total]] / SnapshotTable[[#This Row],[Equity Shares]], "")</f>
        <v>2.23</v>
      </c>
      <c r="S308" s="269">
        <f>SnapshotTable[[#This Row],[Last Price]] * SnapshotTable[[#This Row],[Equity Shares]]</f>
        <v>3292</v>
      </c>
      <c r="T308" s="269">
        <f>SnapshotTable[[#This Row],[Equity Value]] - SnapshotTable[[#This Row],[Equity Basis Total]]</f>
        <v>2846</v>
      </c>
      <c r="U308" s="270">
        <f>IF(SnapshotTable[[#This Row],[Equity Basis Total]] &gt; 0, SnapshotTable[[#This Row],[Equity G/L]] / SnapshotTable[[#This Row],[Equity Basis Total]], "")</f>
        <v>6.3811659192825116</v>
      </c>
      <c r="V308" s="268">
        <v>30</v>
      </c>
      <c r="W308" s="334">
        <v>16.399999999999999</v>
      </c>
      <c r="X308" s="4">
        <f>IF(AND(ISNUMBER(SnapshotTable[[#This Row],[Equity Basis Per Share]]),ISNUMBER(SnapshotTable[[#This Row],[Equity Target]])),SnapshotTable[[#This Row],[Equity Target]]-SnapshotTable[[#This Row],[Equity Basis Per Share]],"")</f>
        <v>27.77</v>
      </c>
      <c r="Y308" s="4">
        <f>IF(AND(ISNUMBER(SnapshotTable[[#This Row],[Equity Basis Per Share]]),ISNUMBER(SnapshotTable[[#This Row],[Equity Stop Loss]])),SnapshotTable[[#This Row],[Equity Stop Loss]]-SnapshotTable[[#This Row],[Equity Basis Per Share]],"")</f>
        <v>14.169999999999998</v>
      </c>
      <c r="Z308" s="275" t="str">
        <f>IFERROR( TEXT(SnapshotTable[[#This Row],[Equity Max Gain Per Share]] /ABS( SnapshotTable[[#This Row],[Equity Max Loss Per Share]]),"0.0 " ) &amp; " : 1", "")</f>
        <v>2.0  : 1</v>
      </c>
      <c r="AA308" s="31">
        <f>IF(ISNUMBER(SnapshotTable[[#This Row],[Equity Max Gain Per Share]]),SnapshotTable[[#This Row],[Equity Max Gain Per Share]] * SnapshotTable[[#This Row],[Equity Shares]],"")</f>
        <v>5554</v>
      </c>
      <c r="AB308" s="31">
        <f>IF(ISNUMBER(SnapshotTable[[#This Row],[Equity Max Loss Per Share]]),SnapshotTable[[#This Row],[Equity Max Loss Per Share]] * SnapshotTable[[#This Row],[Equity Shares]],"")</f>
        <v>2833.9999999999995</v>
      </c>
      <c r="AC308" s="150"/>
      <c r="AD308" s="151"/>
      <c r="AE308" s="31">
        <f>(SnapshotTable[[#This Row],[Annual Dividend Per Share]] / 4) * SnapshotTable[[#This Row],[Equity Shares]]</f>
        <v>0</v>
      </c>
      <c r="AF308" s="31">
        <f>SnapshotTable[[#This Row],[Quarterly Div $]] * 4</f>
        <v>0</v>
      </c>
      <c r="AG308" s="7">
        <f>IF(SnapshotTable[[#This Row],[Annual Dividend Per Share]]&gt;0, SnapshotTable[[#This Row],[Annual Dividend Per Share]]  / SnapshotTable[[#This Row],[Last Price]], 0)</f>
        <v>0</v>
      </c>
      <c r="AH308" s="151"/>
      <c r="AI308" s="5"/>
      <c r="AJ308" s="138">
        <v>40</v>
      </c>
      <c r="AK308" s="152" t="str">
        <f>IF(ISNUMBER( SnapshotTable[[#This Row],[EBF Target]]),(SnapshotTable[[#This Row],[EBF Target]] - SnapshotTable[[#This Row],[Last Price]]) / SnapshotTable[[#This Row],[Last Price]], "")</f>
        <v/>
      </c>
      <c r="AL308" s="152">
        <f>IF(AND(SnapshotTable[[#This Row],[Equity Basis Total]] &gt; 0,ISNUMBER( SnapshotTable[[#This Row],[Long Term Target]])), SnapshotTable[[#This Row],[From Basis $]] / SnapshotTable[[#This Row],[Equity Basis Total]], "")</f>
        <v>16.937219730941703</v>
      </c>
      <c r="AM308" s="9">
        <f>IF( AND(SnapshotTable[[#This Row],[Equity Shares]] &gt;0,ISNUMBER( SnapshotTable[[#This Row],[Long Term Target]])),(SnapshotTable[[#This Row],[Equity Shares]] * SnapshotTable[[#This Row],[Long Term Target]]) - SnapshotTable[[#This Row],[Equity Basis Total]],0)</f>
        <v>7554</v>
      </c>
      <c r="AN308" s="9">
        <f>IF( AND(SnapshotTable[[#This Row],[Equity Shares]] &gt;0,ISNUMBER( SnapshotTable[[#This Row],[Long Term Target]])),(SnapshotTable[[#This Row],[Equity Shares]]*SnapshotTable[[#This Row],[Long Term Target]]) - SnapshotTable[[#This Row],[Equity Value]],0)</f>
        <v>4708</v>
      </c>
      <c r="AO308" s="152">
        <f>IF(AND(ISNUMBER( SnapshotTable[[#This Row],[Long Term Target]]), ISNUMBER(SnapshotTable[[#This Row],[Last Price]])),(SnapshotTable[[#This Row],[Long Term Target]] - SnapshotTable[[#This Row],[Last Price]]) / SnapshotTable[[#This Row],[Last Price]], "")</f>
        <v>1.4301336573511543</v>
      </c>
      <c r="AP308" s="5">
        <v>20</v>
      </c>
      <c r="AQ308" s="38" t="s">
        <v>89</v>
      </c>
      <c r="AR308" s="5">
        <v>6.5</v>
      </c>
      <c r="AS308" s="38" t="s">
        <v>32</v>
      </c>
      <c r="AT308" s="146" t="s">
        <v>1132</v>
      </c>
      <c r="AU308" s="187" t="str">
        <f>IF(OR(SnapshotTable[[#This Row],[LP No Fill]]="Y",SnapshotTable[[#This Row],[SP Is Filled]],SnapshotTable[[#This Row],[LC Not Filled]]="Y",SnapshotTable[[#This Row],[SC Is Filled]]),"Y","")</f>
        <v/>
      </c>
      <c r="AV308" s="219" t="s">
        <v>1138</v>
      </c>
      <c r="AW308" s="225"/>
      <c r="AX308" s="220"/>
      <c r="AY308" s="219" t="str">
        <f>IF(SnapshotTable[[#This Row],[Implied Move]]&gt;0, SnapshotTable[[#This Row],[Last Price]]-SnapshotTable[[#This Row],[Implied Move]],"")</f>
        <v/>
      </c>
      <c r="AZ308" s="219" t="str">
        <f>IF(SnapshotTable[[#This Row],[Implied Move]]&gt;0, SnapshotTable[[#This Row],[Last Price]] + SnapshotTable[[#This Row],[Implied Move]],"")</f>
        <v/>
      </c>
      <c r="BA308" s="331">
        <v>7.09</v>
      </c>
      <c r="BB308" s="347"/>
      <c r="BC30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8" s="351"/>
      <c r="BE308" s="138"/>
      <c r="BF308" s="166"/>
      <c r="BG308" s="167"/>
      <c r="BH308" s="167"/>
      <c r="BI308" s="221"/>
      <c r="BJ308" s="153">
        <f>IF(SnapshotTable[[#This Row],[LP Qty]] &gt; 0, SnapshotTable[[#This Row],[LP Qty]] * SnapshotTable[[#This Row],[LP Book Price]] * 100,0)</f>
        <v>0</v>
      </c>
      <c r="BK308" s="136">
        <f>IF(SnapshotTable[[#This Row],[LP Premium]] &gt; 0, SnapshotTable[[#This Row],[LP Qty]] * SnapshotTable[[#This Row],[LP Strike Price]] * 100,0)</f>
        <v>0</v>
      </c>
      <c r="BL308" s="154"/>
      <c r="BM308" s="385" t="str">
        <f>IF(SnapshotTable[[#This Row],[LP Premium]] &gt; 0,SnapshotTable[[#This Row],[LP Exp Date]]-MAX(SnapshotTable[[#This Row],[LP Book Date]], SnapshotTable[[#This Row],[LP Fill Date]]),"")</f>
        <v/>
      </c>
      <c r="BN308" s="385" t="str">
        <f>IF(ISNUMBER( SnapshotTable[[#This Row],[LP Term]]), SnapshotTable[[#This Row],[LP Exp Date]] - MockToday,"")</f>
        <v/>
      </c>
      <c r="BO308" s="163" t="str">
        <f>IF(AND(SnapshotTable[[#This Row],[LP Exp Date]]&gt;0, SnapshotTable[[#This Row],[LP Strike Price]]&gt;0,SnapshotTable[[#This Row],[LP Qty]]&gt;0,SnapshotTable[[#This Row],[LP Book Date]]&gt;0,SnapshotTable[[#This Row],[LP Book Price]]&gt;0,SnapshotTable[[#This Row],[LP Fill Date]]=0),"Y","")</f>
        <v/>
      </c>
      <c r="BP308" s="31" t="str">
        <f>IF(AND(SnapshotTable[[#This Row],[LP No Fill]]&lt;&gt;"Y",SnapshotTable[[#This Row],[LP Contract Value]]&gt;0, SnapshotTable[[#This Row],[LP Qty]]&gt;0), SnapshotTable[[#This Row],[LP Contract Value]]*SnapshotTable[[#This Row],[LP Qty]]*100,"")</f>
        <v/>
      </c>
      <c r="BQ308" s="13"/>
      <c r="BR308" s="5" t="str">
        <f>IF(SnapshotTable[[#This Row],[SP Exp Date]]&lt;&gt;"",TRUNC(SnapshotTable[[#This Row],[Last Price]]),"")</f>
        <v/>
      </c>
      <c r="BS308" s="36"/>
      <c r="BT308" s="147"/>
      <c r="BU308" s="13"/>
      <c r="BV308" s="5"/>
      <c r="BW308" s="419" t="b">
        <f>AND(ISNUMBER(SnapshotTable[[#This Row],[SP Exp Date]]), ISNUMBER(SnapshotTable[[#This Row],[SP Strike Price]]), ISNUMBER(SnapshotTable[[#This Row],[SP Qty]]), ISNUMBER(SnapshotTable[[#This Row],[SP Book Date]]), ISNUMBER(SnapshotTable[[#This Row],[SP Book Price]]))</f>
        <v>0</v>
      </c>
      <c r="BX308" s="419" t="b">
        <f>AND(SnapshotTable[[#This Row],[SP Is Booked]], NOT(ISBLANK(SnapshotTable[[#This Row],[SP Fill Date]])))</f>
        <v>0</v>
      </c>
      <c r="BY308" s="33">
        <f>IF(SnapshotTable[[#This Row],[SP Is Booked]], SnapshotTable[[#This Row],[SP Qty]] * SnapshotTable[[#This Row],[SP Book Price]] * 100, 0)</f>
        <v>0</v>
      </c>
      <c r="BZ308" s="369"/>
      <c r="CA308" s="368">
        <f>SnapshotTable[[#This Row],[LP Qty]]</f>
        <v>0</v>
      </c>
      <c r="CB308" s="4" t="str">
        <f>IF(SnapshotTable[[#This Row],[SP Is Booked]], SnapshotTable[[#This Row],[SP Strike Price]] - SnapshotTable[[#This Row],[SP Book Price]], "")</f>
        <v/>
      </c>
      <c r="CC308" s="19" t="str">
        <f>IF(SnapshotTable[[#This Row],[SP Is Booked]],SnapshotTable[[#This Row],[SP Exp Date]]-MAX(SnapshotTable[[#This Row],[SP Book Date]], SnapshotTable[[#This Row],[SP Fill Date]]),"")</f>
        <v/>
      </c>
      <c r="CD308" s="7" t="str">
        <f>IF(SnapshotTable[[#This Row],[SP Is Booked]], SnapshotTable[[#This Row],[SP Book Price]]/SnapshotTable[[#This Row],[SP Strike Price]], "")</f>
        <v/>
      </c>
      <c r="CE308" s="7" t="str">
        <f>IF(ISNUMBER(SnapshotTable[[#This Row],[SP ROO Term]]),SnapshotTable[[#This Row],[SP ROO Term]]*(365/SnapshotTable[[#This Row],[SP Term]]),"")</f>
        <v/>
      </c>
      <c r="CF308" s="236">
        <f>SnapshotTable[[#This Row],[LP Strike Price]] * SnapshotTable[[#This Row],[LP Qty]] * 100</f>
        <v>0</v>
      </c>
      <c r="CG308" s="31" t="e">
        <f>IF(ISNUMBER(SnapshotTable[[#This Row],[SP Premium]]), (SnapshotTable[[#This Row],[SP Qty]] * SnapshotTable[[#This Row],[SP Strike Price]]* 100) - SnapshotTable[[#This Row],[LP Protection]], 0)</f>
        <v>#VALUE!</v>
      </c>
      <c r="CH308" s="7" t="str">
        <f>IF(ISNUMBER(SnapshotTable[[#This Row],[SP Break Even]]),-1 * (SnapshotTable[[#This Row],[SP Break Even]] - SnapshotTable[[#This Row],[Last Price]]) / SnapshotTable[[#This Row],[Last Price]], "")</f>
        <v/>
      </c>
      <c r="CI308" s="31">
        <f>IF(AND(ISNUMBER((SnapshotTable[[#This Row],[SP Potential Spend]])), SnapshotTable[[#This Row],[SP Strike Price]] &gt; SnapshotTable[[#This Row],[Last Price]], SnapshotTable[[#This Row],[SP Is Filled]]), SnapshotTable[[#This Row],[SP Potential Spend]] -  SnapshotTable[[#This Row],[LP Max Value]], 0)</f>
        <v>0</v>
      </c>
      <c r="CJ308" s="244"/>
      <c r="CK308" s="31" t="str">
        <f>IF(ISNUMBER(SnapshotTable[[#This Row],[SP Potential Spend]]),IF(ISNUMBER(SnapshotTable[[#This Row],[SP POW]]), SnapshotTable[[#This Row],[SP POW]] * SnapshotTable[[#This Row],[SP Potential Spend]], SnapshotTable[[#This Row],[SP Potential Spend]]), "")</f>
        <v/>
      </c>
      <c r="CL308" s="164" t="e">
        <f>IF(NOT(SnapshotTable[[#This Row],[SP Is Filled]]),(SnapshotTable[[#This Row],[SP Qty]] * SnapshotTable[[#This Row],[SP Strike Price]] * 100) - SnapshotTable[[#This Row],[LP Max Value]],"")</f>
        <v>#VALUE!</v>
      </c>
      <c r="CM308" s="31" t="str">
        <f>IF(SnapshotTable[[#This Row],[SP Actual Spend]]&lt;&gt;0, ((SnapshotTable[[#This Row],[SP Strike Price]]-SnapshotTable[[#This Row],[Last Price]]) *(SnapshotTable[[#This Row],[SP Qty]]*100) - SnapshotTable[[#This Row],[SP Premium]]) * - 1, "")</f>
        <v/>
      </c>
      <c r="CN308" s="154"/>
      <c r="CO308" s="369"/>
      <c r="CP308" s="4" t="str">
        <f>IF(SnapshotTable[[#This Row],[SP Is Filled]], btc_max_buyback_amount(SnapshotTable[[#This Row],[SP Fill Date]],SnapshotTable[[#This Row],[SP Exp Date]], SnapshotTable[[#This Row],[SP Book Price]]),"")</f>
        <v/>
      </c>
      <c r="CQ308" s="78"/>
      <c r="CR30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8" s="155" t="str">
        <f>IF(SnapshotTable[[#This Row],[SP Is Filled]], btc_next_cutoff_date(SnapshotTable[[#This Row],[SP Fill Date]],SnapshotTable[[#This Row],[SP Exp Date]]),"")</f>
        <v/>
      </c>
      <c r="CT308" s="235" t="str" cm="1">
        <f t="array" ref="CT308">IF(SnapshotTable[[#This Row],[SP Is Filled]], btc_should_buy_back(SnapshotTable[[#This Row],[SP Fill Date]], SnapshotTable[[#This Row],[SP Exp Date]], SnapshotTable[[#This Row],[SP Book Price]], SnapshotTable[[#This Row],[SP Current Ask]], MockToday, SnapshotTable[[#This Row],[SP Buyback Override]]),"")</f>
        <v/>
      </c>
      <c r="CU308" s="143"/>
      <c r="CV308" s="235"/>
      <c r="CW308" s="378" t="str">
        <f>IF(ISNUMBER( SnapshotTable[[#This Row],[SP Term]]), SnapshotTable[[#This Row],[SP Exp Date]] - MockToday,"")</f>
        <v/>
      </c>
      <c r="CX308" s="31" t="str">
        <f>IF(SnapshotTable[[#This Row],[SP Is Filled]],SnapshotTable[[#This Row],[SP Buyback Price to Use]] * 100 * SnapshotTable[[#This Row],[SP Qty]], "")</f>
        <v/>
      </c>
      <c r="CY308" s="4" t="str">
        <f>IF(ISNUMBER(SnapshotTable[[#This Row],[SP Strike Price]]), SnapshotTable[[#This Row],[SP Strike Price]] * (1 - SP_MaxLoss_StrikePct), "")</f>
        <v/>
      </c>
      <c r="CZ308" s="31" t="str">
        <f>IF(ISNUMBER(SnapshotTable[[#This Row],[SP Strike  Stop Per Share]]),SnapshotTable[[#This Row],[SP Premium]] - ((SnapshotTable[[#This Row],[SP Strike Price]]-SnapshotTable[[#This Row],[SP Strike  Stop Per Share]]) *(SnapshotTable[[#This Row],[SP Qty]] * 100)),"")</f>
        <v/>
      </c>
      <c r="DA308" s="4" t="str">
        <f>IF(AND(ISNUMBER(SnapshotTable[[#This Row],[SP Premium]]),SnapshotTable[[#This Row],[SP Premium]]&gt;0), SnapshotTable[[#This Row],[SP Book Price]] * (1 + SP_MaxLoss_OptionPct), "")</f>
        <v/>
      </c>
      <c r="DB308" s="31" t="str">
        <f>IF(ISNUMBER(SnapshotTable[[#This Row],[SP Option  Stop Contract]]),(SnapshotTable[[#This Row],[SP Option  Stop Contract]] *(SnapshotTable[[#This Row],[SP Qty]] * 100) - SnapshotTable[[#This Row],[SP Premium]]),"")</f>
        <v/>
      </c>
      <c r="DC308" s="4"/>
      <c r="DD308" s="4"/>
      <c r="DE308" s="4" t="str">
        <f>IF(AND(SnapshotTable[[#This Row],[SP Qty]]&gt;0, SnapshotTable[[#This Row],[SP Stop To Use]]&gt;0),SnapshotTable[[#This Row],[SP Premium]] - ( SnapshotTable[[#This Row],[SP Qty]] * SnapshotTable[[#This Row],[SP Stop To Use]] * 100), "")</f>
        <v/>
      </c>
      <c r="DF308" s="31" t="str">
        <f>IF(AND(SnapshotTable[[#This Row],[SP Qty]]&gt;0,SnapshotTable[[#This Row],[SP Current Ask]]&gt;0), SnapshotTable[[#This Row],[SP Qty]] * SnapshotTable[[#This Row],[SP Current Ask]] * -100, "")</f>
        <v/>
      </c>
      <c r="DG308" s="31" t="str">
        <f>IF(ISNUMBER((SnapshotTable[[#This Row],[SP Total Value]])), SnapshotTable[[#This Row],[SP Premium]] + SnapshotTable[[#This Row],[SP Total Value]], "")</f>
        <v/>
      </c>
      <c r="DH308" s="294" t="str">
        <f>IF(ISNUMBER((SnapshotTable[[#This Row],[SP Total Value]])), SnapshotTable[[#This Row],[SP Gain Loss]] / SnapshotTable[[#This Row],[SP Premium]], "")</f>
        <v/>
      </c>
      <c r="DI308" s="406"/>
      <c r="DJ308" s="138"/>
      <c r="DK308" s="148"/>
      <c r="DL308" s="147"/>
      <c r="DM308" s="147"/>
      <c r="DO308" s="31">
        <f>IF(SnapshotTable[[#This Row],[LC Symbol Count]]=1, SnapshotTable[[#This Row],[LC Qty]] * SnapshotTable[[#This Row],[LC Book Price]] * 100, 0)</f>
        <v>0</v>
      </c>
      <c r="DP308" s="163" t="str">
        <f>IF(AND(SnapshotTable[[#This Row],[LC Exp Date]]&gt;0, SnapshotTable[[#This Row],[LC Strike Price]]&gt;0,SnapshotTable[[#This Row],[LC Qty]]&gt;0,SnapshotTable[[#This Row],[LC Book Date]]&gt;0,SnapshotTable[[#This Row],[LC Book Price]]&gt;0,SnapshotTable[[#This Row],[LC Fill Date]]=0),"Y","")</f>
        <v/>
      </c>
      <c r="DQ308" s="386" t="str">
        <f>IF(SnapshotTable[[#This Row],[LC Premium]] &gt; 0,SnapshotTable[[#This Row],[LC Exp Date]]-MAX(SnapshotTable[[#This Row],[LC Book Date]], SnapshotTable[[#This Row],[LC Fill Date]]),"")</f>
        <v/>
      </c>
      <c r="DR308" s="386" t="str">
        <f>IF(ISNUMBER(SnapshotTable[[#This Row],[LC Term]]), SnapshotTable[[#This Row],[LC Exp Date]] - MockToday, "")</f>
        <v/>
      </c>
      <c r="DS308" s="234" t="str">
        <f>IF(SnapshotTable[[#This Row],[LC Premium]]&gt;0,SnapshotTable[[#This Row],[LC Strike Price]] + SnapshotTable[[#This Row],[LC Book Price]],"")</f>
        <v/>
      </c>
      <c r="DU308" s="9" t="str">
        <f>IF(AND(SnapshotTable[[#This Row],[LC Symbol Count]]&gt;0, SnapshotTable[[#This Row],[LC Contract Value]]&gt;0), SnapshotTable[[#This Row],[LC Contract Value]] * SnapshotTable[[#This Row],[LC Qty]] * 100, "")</f>
        <v/>
      </c>
      <c r="DV308" s="9" t="str">
        <f>IF(AND(ISNUMBER(SnapshotTable[[#This Row],[LC Total Value]]), SnapshotTable[[#This Row],[LC Not Filled]]&lt;&gt;"Y"), SnapshotTable[[#This Row],[LC Total Value]]-SnapshotTable[[#This Row],[LC Premium]],"")</f>
        <v/>
      </c>
      <c r="DW308" s="240" t="str">
        <f>IF(ISNUMBER(SnapshotTable[[#This Row],[LC Actual Gain Loss]]), SnapshotTable[[#This Row],[LC Actual Gain Loss]] / SnapshotTable[[#This Row],[LC Premium]],"")</f>
        <v/>
      </c>
      <c r="DX308" s="284" t="str">
        <f>IF(ISNUMBER(SnapshotTable[[#This Row],[LC Book Price]]),SnapshotTable[[#This Row],[LC Book Price]] * 1.5,"")</f>
        <v/>
      </c>
      <c r="DY308" s="265" t="str">
        <f>IF(SnapshotTable[[#This Row],[LC Premium]]&gt;0, SnapshotTable[[#This Row],[LC Next Target]] * SnapshotTable[[#This Row],[LC Qty]] * 100,"")</f>
        <v/>
      </c>
      <c r="DZ308" s="265" t="str">
        <f>IF(ISNUMBER(SnapshotTable[[#This Row],[LC Target Gross]]), SnapshotTable[[#This Row],[LC Target Gross]] - SnapshotTable[[#This Row],[LC Premium]], "")</f>
        <v/>
      </c>
      <c r="EA308" s="305" t="str">
        <f>IF(ISNUMBER(SnapshotTable[[#This Row],[LC Target Gain Loss]]), SnapshotTable[[#This Row],[LC Target Gain Loss]]/SnapshotTable[[#This Row],[LC Premium]], "")</f>
        <v/>
      </c>
      <c r="EB308" s="262"/>
      <c r="EC308" s="283" t="str">
        <f>IF(SnapshotTable[[#This Row],[LC Premium]]&gt;0, SnapshotTable[[#This Row],[LC Book Price]] * (1 - LC_StopLoss_Pct),"")</f>
        <v/>
      </c>
      <c r="ED308" s="284"/>
      <c r="EE308" s="283" t="str">
        <f>IF(ISNUMBER(SnapshotTable[[#This Row],[LC Contract Value]]),IF(ISNUMBER(SnapshotTable[[#This Row],[LC Stop Loss Override]]), SnapshotTable[[#This Row],[LC Stop Loss Override]],SnapshotTable[[#This Row],[LC Stop Loss Calc Target]]),"")</f>
        <v/>
      </c>
      <c r="EF308" s="31" t="str">
        <f>IF(ISNUMBER(SnapshotTable[[#This Row],[LC Stop  To Use]]), (SnapshotTable[[#This Row],[LC Stop  To Use]] * SnapshotTable[[#This Row],[LC Qty]] * 100),"")</f>
        <v/>
      </c>
      <c r="EG308" s="9" t="str">
        <f>IF(ISNUMBER(SnapshotTable[[#This Row],[LC Total Value]]),SnapshotTable[[#This Row],[LC Stop Loss Amount]] - SnapshotTable[[#This Row],[LC Premium]],"")</f>
        <v/>
      </c>
      <c r="EH308" s="9">
        <f>IF(ISNUMBER(SnapshotTable[[#This Row],[LC Premium]]), SnapshotTable[[#This Row],[LC Qty]] * 100 * SnapshotTable[[#This Row],[LC Strike Price]], "")</f>
        <v>0</v>
      </c>
      <c r="EI308" s="240" t="str">
        <f>IF(AND(ISNUMBER(SnapshotTable[[#This Row],[LC Total Value]]),SnapshotTable[[#This Row],[LC Total Value]]&gt;0),SnapshotTable[[#This Row],[LC Stop Gain Loss]]  / SnapshotTable[[#This Row],[LC Premium]],"")</f>
        <v/>
      </c>
      <c r="EJ308" s="35">
        <f>IF(ISNUMBER(SnapshotTable[[#This Row],[Equity Shares]]),TRUNC(SnapshotTable[[#This Row],[Equity Shares]] / 100),0) + SnapshotTable[[#This Row],[LC Qty]]</f>
        <v>2</v>
      </c>
      <c r="EK308" s="147"/>
      <c r="EL308" s="138" t="str">
        <f>IF(SnapshotTable[[#This Row],[SC Exp Date]]&lt;&gt;"",TRUNC(SnapshotTable[[#This Row],[Last Price]]),"")</f>
        <v/>
      </c>
      <c r="EM308" s="148"/>
      <c r="EN308" s="147"/>
      <c r="EO308" s="147"/>
      <c r="EP308" s="138"/>
      <c r="EQ308" s="419" t="b">
        <f>AND(ISNUMBER(SnapshotTable[[#This Row],[SC Exp Date]]), ISNUMBER(SnapshotTable[[#This Row],[SC Strike Price]]), ISNUMBER(SnapshotTable[[#This Row],[SC Qty]]), ISNUMBER(SnapshotTable[[#This Row],[SC Book Date]]), ISNUMBER(SnapshotTable[[#This Row],[SC Book Price]]))</f>
        <v>0</v>
      </c>
      <c r="ER308" s="419" t="b">
        <f>AND(SnapshotTable[[#This Row],[SC Is Booked]], NOT(ISBLANK(SnapshotTable[[#This Row],[SC Fill Date]])))</f>
        <v>0</v>
      </c>
      <c r="ES308" s="370"/>
      <c r="ET308" s="34" t="str">
        <f>IF(AND(ISNUMBER(SnapshotTable[[#This Row],[SC Exp Date]]), ISNUMBER(SnapshotTable[[#This Row],[SC Book Date]])), SnapshotTable[[#This Row],[SC Exp Date]] - MAX(SnapshotTable[[#This Row],[SC Book Date]], SnapshotTable[[#This Row],[SC Fill Date]]) + 1, "")</f>
        <v/>
      </c>
      <c r="EU308" s="34" t="str">
        <f>IF(ISNUMBER(SnapshotTable[[#This Row],[SC Term]]), SnapshotTable[[#This Row],[SC Exp Date]]- MockToday, "")</f>
        <v/>
      </c>
      <c r="EV308" s="31">
        <f>IF(SnapshotTable[[#This Row],[SC Is Booked]], SnapshotTable[[#This Row],[SC Qty]] * SnapshotTable[[#This Row],[SC Book Price]] * 100, 0)</f>
        <v>0</v>
      </c>
      <c r="EW308" s="4" t="str">
        <f>IF(AND(ISNUMBER(SnapshotTable[[#This Row],[Last Price]]), ISNUMBER( SnapshotTable[[#This Row],[SC Book Price]])), SnapshotTable[[#This Row],[Last Price]] - SnapshotTable[[#This Row],[SC Book Price]],"")</f>
        <v/>
      </c>
      <c r="EX308" s="234" t="str">
        <f>IF(SnapshotTable[[#This Row],[SC Is Booked]],IF(SnapshotTable[[#This Row],[SC Intrinsic Value]] &gt; 0, SnapshotTable[[#This Row],[SC Strike Price]], SnapshotTable[[#This Row],[Last Price]]), "")</f>
        <v/>
      </c>
      <c r="EY308" s="4">
        <f>IF(SnapshotTable[[#This Row],[SC Is Booked]], (MinimumPremiumRequired * SnapshotTable[[#This Row],[SC Basis]] * SnapshotTable[[#This Row],[SC Term]]), 0)</f>
        <v>0</v>
      </c>
      <c r="EZ308" s="283"/>
      <c r="FA308" s="218"/>
      <c r="FB308" s="370"/>
      <c r="FC308" s="4">
        <f>IF(SnapshotTable[[#This Row],[SC Is Filled]], btc_max_buyback_amount(SnapshotTable[[#This Row],[SC Fill Date]],SnapshotTable[[#This Row],[SC Exp Date]], SnapshotTable[[#This Row],[SC Book Price]]),0)</f>
        <v>0</v>
      </c>
      <c r="FD308" s="5"/>
      <c r="FE308" s="144" t="str">
        <f>IF(SnapshotTable[[#This Row],[SC Is Filled]], btc_next_cutoff_date(SnapshotTable[[#This Row],[SC Fill Date]],SnapshotTable[[#This Row],[SC Exp Date]]),"")</f>
        <v/>
      </c>
      <c r="FF308" s="4" t="str" cm="1">
        <f t="array" ref="FF308">IF(SnapshotTable[[#This Row],[SC Is Filled]], btc_should_buy_back(SnapshotTable[[#This Row],[SC Fill Date]], SnapshotTable[[#This Row],[SC Exp Date]], SnapshotTable[[#This Row],[SC Book Price]], SnapshotTable[[#This Row],[SC Current Ask]], MockToday, SnapshotTable[[#This Row],[SC Buyback Override]]),"")</f>
        <v/>
      </c>
      <c r="FG308" s="4">
        <f>IF(SnapshotTable[[#This Row],[SC Is Filled]], MAX(0,SnapshotTable[[#This Row],[Last Price]]  - SnapshotTable[[#This Row],[SC Strike Price]]), 0)</f>
        <v>0</v>
      </c>
      <c r="FH308" s="382">
        <f>IF(SnapshotTable[[#This Row],[SC Is Filled]], IF(ISNUMBER(SnapshotTable[[#This Row],[SC Current Ask]]), SnapshotTable[[#This Row],[SC Current Ask]], SnapshotTable[[#This Row],[SC Book Price]]) - SnapshotTable[[#This Row],[SC Intrinsic Value]], 0)</f>
        <v>0</v>
      </c>
      <c r="FI308" s="143"/>
      <c r="FJ308" s="32" t="str">
        <f>IF(SnapshotTable[[#This Row],[SC Is Filled]],100 * SnapshotTable[[#This Row],[SC Qty]] * IF(ISNUMBER(SnapshotTable[[#This Row],[SC Buyback Override]]), SnapshotTable[[#This Row],[SC Buyback Override]], SnapshotTable[[#This Row],[SC Current Ask]]), "")</f>
        <v/>
      </c>
      <c r="FK308" s="250" t="str">
        <f>IF(SnapshotTable[[#This Row],[SC Time Val]]&gt;0, SnapshotTable[[#This Row],[SC Time Val]] / SnapshotTable[[#This Row],[Last Price]],"")</f>
        <v/>
      </c>
      <c r="FL308" s="302" t="str">
        <f>IF(SnapshotTable[[#This Row],[SC Is Booked]], ((SnapshotTable[[#This Row],[Last Price]] -SnapshotTable[[#This Row],[SC Strike Price]]) / SnapshotTable[[#This Row],[Last Price]]) * -1, "")</f>
        <v/>
      </c>
      <c r="FM308" s="157" t="str">
        <f>IF(SnapshotTable[[#This Row],[SC Is Booked]],  (SnapshotTable[[#This Row],[SC Qty]] * 100 * SnapshotTable[[#This Row],[SC Strike Price]]) - SnapshotTable[[#This Row],[SC Current Ask]], "")</f>
        <v/>
      </c>
      <c r="FN308"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8" s="157" t="str">
        <f>IF(AND(ISNUMBER(SnapshotTable[[#This Row],[SC Exercise Gross]]), ISNUMBER(SnapshotTable[[#This Row],[Equity Basis Per Share]] )), SnapshotTable[[#This Row],[SC Exercise Gross]] - SnapshotTable[[#This Row],[Equity Basis Total]] +  SnapshotTable[[#This Row],[SC Premium]], "")</f>
        <v/>
      </c>
      <c r="FP308" s="5" t="str">
        <f>IF(ISNUMBER(SnapshotTable[[#This Row],[SC Exercise Gross]]), (SnapshotTable[[#This Row],[SC Exercise Gross]]) / (SnapshotTable[[#This Row],[SC Qty]] * 100), "")</f>
        <v/>
      </c>
      <c r="FQ308" s="27" t="str">
        <f>IF(SnapshotTable[[#This Row],[SC Is Booked]],SnapshotTable[[#This Row],[SC Time Val]] /SnapshotTable[[#This Row],[SC Basis]], "")</f>
        <v/>
      </c>
      <c r="FR308" s="27" t="str" cm="1">
        <f t="array" ref="FR308">IF(AND(ISNUMBER(SnapshotTable[[#This Row],[SC Term]]),ISNUMBER(SnapshotTable[[#This Row],[SC Simple ROO]])), EllmanAnnualize(SnapshotTable[[#This Row],[SC DTE]], SnapshotTable[[#This Row],[SC Simple ROO]] ),"")</f>
        <v/>
      </c>
      <c r="FS308" s="4" t="e">
        <f>IF(SnapshotTable[[#This Row],[SC Strike Price]] &gt; SnapshotTable[[#This Row],[Last Price]], SnapshotTable[[#This Row],[SC Strike Price]] - SnapshotTable[[#This Row],[Last Price]],0)</f>
        <v>#VALUE!</v>
      </c>
      <c r="FT308" s="27" t="e">
        <f>IF(AND(ISNUMBER(SnapshotTable[[#This Row],[SC Upside Potential]]), SnapshotTable[[#This Row],[SC Upside Potential]] &gt; 0),(SnapshotTable[[#This Row],[SC Upside Potential]]/ SnapshotTable[[#This Row],[ACB]]),"")</f>
        <v>#VALUE!</v>
      </c>
      <c r="FU308" s="333" t="str">
        <f>IF(SnapshotTable[[#This Row],[SC Intrinsic Value]] &gt; 0,SnapshotTable[[#This Row],[SC Intrinsic Value]],"")</f>
        <v/>
      </c>
      <c r="FV308" s="27" t="str">
        <f>IF(AND( ISNUMBER( SnapshotTable[[#This Row],[ACB]]),ISNUMBER(SnapshotTable[[#This Row],[SC Downside Protect]])),SnapshotTable[[#This Row],[SC Downside Protect]] / SnapshotTable[[#This Row],[ACB]],"")</f>
        <v/>
      </c>
      <c r="FW308" s="236" t="str">
        <f>IF(AND(ISNUMBER(SnapshotTable[[#This Row],[SC Simple ROO]]),SnapshotTable[[#This Row],[SC Simple ROO]] &gt; 0), SnapshotTable[[#This Row],[SC Premium]] + (SnapshotTable[[#This Row],[SC Qty]] * SnapshotTable[[#This Row],[SC Upside Potential]]), "")</f>
        <v/>
      </c>
      <c r="FX308" s="302" t="str" cm="1">
        <f t="array" ref="FX308">IF(ISNUMBER(SnapshotTable[[#This Row],[SC Max Dollars]]), annualize(SnapshotTable[[#This Row],[SC Term]],(SnapshotTable[[#This Row],[SC Max Dollars]]/SnapshotTable[[#This Row],[SC Basis]])),"")</f>
        <v/>
      </c>
      <c r="FY308" s="236" t="str">
        <f>IF(AND(SnapshotTable[[#This Row],[SC Qty]]&gt;0,SnapshotTable[[#This Row],[SC Current Ask]]&gt;0), SnapshotTable[[#This Row],[SC Qty]] * SnapshotTable[[#This Row],[SC Current Ask]] * -100, "")</f>
        <v/>
      </c>
      <c r="FZ308" s="235" t="str">
        <f>IF(ISNUMBER((SnapshotTable[[#This Row],[SC Current Value]])), SnapshotTable[[#This Row],[SC Premium]] + SnapshotTable[[#This Row],[SC Current Value]], "")</f>
        <v/>
      </c>
      <c r="GA308" s="294" t="str">
        <f>IFERROR( IF(ISNUMBER((SnapshotTable[[#This Row],[SC Current Value]])), SnapshotTable[[#This Row],[SC Gain Loss]] / SnapshotTable[[#This Row],[SC Premium]], ""), "")</f>
        <v/>
      </c>
      <c r="GB308" s="42">
        <f>SnapshotTable[[#This Row],[Equity Shares]] * SaleSharesToConsiderPercentage</f>
        <v>40</v>
      </c>
      <c r="GC308" s="40">
        <f>SnapshotTable[[#This Row],[Long Term Target]] * SellingPriceToConsiderBasedOnTargetPercentage</f>
        <v>38</v>
      </c>
      <c r="GD308" s="40">
        <f>SnapshotTable[[#This Row],[Last Price]] * (1+ SellingPriceToConsiderBasedOnTargetPercentage)</f>
        <v>32.097000000000001</v>
      </c>
      <c r="GE308" s="41"/>
      <c r="GF308" s="40"/>
      <c r="GG308" s="31">
        <f>SnapshotTable[[#This Row],[Booked Sale Shares]] * SnapshotTable[[#This Row],[Booked Sale Price]]</f>
        <v>0</v>
      </c>
      <c r="GH308" s="31">
        <f>IF(SnapshotTable[[#This Row],[Equity Basis Total]] &gt; 0, SnapshotTable[[#This Row],[Equity Basis Per Share]] * SnapshotTable[[#This Row],[Booked Sale Shares]], "")</f>
        <v>0</v>
      </c>
      <c r="GI308" s="31">
        <f>IF(SnapshotTable[[#This Row],[Sale Proceeds]]&gt;0, SnapshotTable[[#This Row],[Sale Proceeds]] - SnapshotTable[[#This Row],[Sale Basis]], 0)</f>
        <v>0</v>
      </c>
      <c r="GJ308" s="158" t="str">
        <f>IF(SnapshotTable[[#This Row],[Sale G/L]]&gt;0, SnapshotTable[[#This Row],[Sale G/L]] / SnapshotTable[[#This Row],[Sale Basis]], IF(ISNUMBER(SnapshotTable[[#This Row],[SC Exercise P&amp;L (TAX)]]), SnapshotTable[[#This Row],[SC Exercise P&amp;L (TAX)]] / SnapshotTable[[#This Row],[SC Basis]], ""))</f>
        <v/>
      </c>
      <c r="GK308" s="27" t="s">
        <v>1020</v>
      </c>
      <c r="GL308" s="159" t="str">
        <f>IF(AND(SnapshotTable[[#This Row],[LP Exp Date]]&gt;0,SnapshotTable[[#This Row],[LP Strike Price]]&gt;0), [1]!ToOptionSymbol(SnapshotTable[[#This Row],[Symbol]], SnapshotTable[[#This Row],[LP Strike Price]],SnapshotTable[[#This Row],[LP Exp Date]],1), "")</f>
        <v/>
      </c>
      <c r="GM308" s="30" t="str">
        <f>IF(LEN(SnapshotTable[[#This Row],[LP Symbol]])&gt;0, 1, "")</f>
        <v/>
      </c>
      <c r="GN308" s="43" t="str">
        <f>IF(AND(SnapshotTable[[#This Row],[SP Exp Date]]&gt;0,SnapshotTable[[#This Row],[SP Strike Price]]&gt;0), [1]!ToOptionSymbol(SnapshotTable[[#This Row],[Symbol]], SnapshotTable[[#This Row],[SP Strike Price]],SnapshotTable[[#This Row],[SP Exp Date]],1), "")</f>
        <v/>
      </c>
      <c r="GO308" s="30" t="str">
        <f>IF(LEN(SnapshotTable[[#This Row],[SP Symbol]])&gt;0, 1, "")</f>
        <v/>
      </c>
      <c r="GP308" s="159" t="str">
        <f>IF(AND(SnapshotTable[[#This Row],[LC Exp Date]]&gt;0,SnapshotTable[[#This Row],[LC Strike Price]]&gt;0), [1]!ToOptionSymbol(SnapshotTable[[#This Row],[Symbol]], SnapshotTable[[#This Row],[LC Strike Price]],SnapshotTable[[#This Row],[LC Exp Date]],0), "")</f>
        <v/>
      </c>
      <c r="GQ308" s="160" t="str">
        <f>IF(LEN(SnapshotTable[[#This Row],[LC Symbol]])&gt;0, 1, "")</f>
        <v/>
      </c>
      <c r="GR308" s="159" t="str">
        <f>IF(AND(SnapshotTable[[#This Row],[SC Exp Date]]&gt;0,SnapshotTable[[#This Row],[SC Strike Price]]&gt;0), [1]!ToOptionSymbol(SnapshotTable[[#This Row],[Symbol]], SnapshotTable[[#This Row],[SC Strike Price]],SnapshotTable[[#This Row],[SC Exp Date]],0), "")</f>
        <v/>
      </c>
      <c r="GS308" s="160" t="str">
        <f>IF(LEN(SnapshotTable[[#This Row],[SC Symbol]])&gt;0, 1, "")</f>
        <v/>
      </c>
      <c r="GT308" s="161" t="str">
        <f>IF(COUNT(SnapshotTable[[#This Row],[LP Symbol Count]],SnapshotTable[[#This Row],[SP Symbol Count]],SnapshotTable[[#This Row],[LC Symbol Count]],SnapshotTable[[#This Row],[SC Symbol Count]])&gt;0, "Y", "")</f>
        <v/>
      </c>
      <c r="GU30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08" s="231" t="e">
        <f>MAX(SnapshotTable[[#This Row],[Equity Basis Total]],SnapshotTable[[#This Row],[Equity Value]]) + (SnapshotTable[[#This Row],[SP Potential Spend]]- SnapshotTable[[#This Row],[SP Premium]] + SnapshotTable[[#This Row],[LP Premium]])+ (SnapshotTable[[#This Row],[LC Premium]] - SnapshotTable[[#This Row],[SC Premium]])</f>
        <v>#VALUE!</v>
      </c>
      <c r="GW308" s="139" t="e">
        <f>IF(AND(SnapshotTable[[#This Row],[Exposure]] &lt;&gt; 0),SnapshotTable[[#This Row],[Exposure]] / SnapshotTable[[#Totals],[Exposure]], "")</f>
        <v>#VALUE!</v>
      </c>
      <c r="GX308" s="13"/>
      <c r="HK308" s="1"/>
      <c r="HL308" s="1"/>
      <c r="HM308" s="1"/>
      <c r="HN308" s="1"/>
      <c r="HO308" s="1"/>
      <c r="HP308" s="1"/>
    </row>
    <row r="309" spans="2:224" ht="12.75" hidden="1" customHeight="1" x14ac:dyDescent="0.25">
      <c r="B309" s="12" t="s">
        <v>1257</v>
      </c>
      <c r="C309" s="422">
        <v>7.91</v>
      </c>
      <c r="D309" s="208"/>
      <c r="E309" s="39">
        <f>SnapshotTable[[#This Row],[Last Price]]*(1 -CrashDiscount)</f>
        <v>6.7234999999999996</v>
      </c>
      <c r="F309" s="325" t="s">
        <v>958</v>
      </c>
      <c r="G309" s="325" t="s">
        <v>9</v>
      </c>
      <c r="H309" s="149"/>
      <c r="I309" s="194"/>
      <c r="J309" s="195"/>
      <c r="K309" s="196"/>
      <c r="L309" s="326"/>
      <c r="M309" s="140"/>
      <c r="N309" s="140"/>
      <c r="O309" s="140"/>
      <c r="P309" s="22"/>
      <c r="Q309" s="25"/>
      <c r="R309" s="4" t="str">
        <f>IF(SnapshotTable[[#This Row],[Equity Basis Total]] &gt; 0, SnapshotTable[[#This Row],[Equity Basis Total]] / SnapshotTable[[#This Row],[Equity Shares]], "")</f>
        <v/>
      </c>
      <c r="S309" s="269">
        <f>SnapshotTable[[#This Row],[Last Price]] * SnapshotTable[[#This Row],[Equity Shares]]</f>
        <v>0</v>
      </c>
      <c r="T309" s="269">
        <f>SnapshotTable[[#This Row],[Equity Value]] - SnapshotTable[[#This Row],[Equity Basis Total]]</f>
        <v>0</v>
      </c>
      <c r="U309" s="270" t="str">
        <f>IF(SnapshotTable[[#This Row],[Equity Basis Total]] &gt; 0, SnapshotTable[[#This Row],[Equity G/L]] / SnapshotTable[[#This Row],[Equity Basis Total]], "")</f>
        <v/>
      </c>
      <c r="V309" s="268"/>
      <c r="W309" s="268"/>
      <c r="X309" s="4" t="str">
        <f>IF(AND(ISNUMBER(SnapshotTable[[#This Row],[Equity Basis Per Share]]),ISNUMBER(SnapshotTable[[#This Row],[Equity Target]])),SnapshotTable[[#This Row],[Equity Target]]-SnapshotTable[[#This Row],[Equity Basis Per Share]],"")</f>
        <v/>
      </c>
      <c r="Y309" s="4" t="str">
        <f>IF(AND(ISNUMBER(SnapshotTable[[#This Row],[Equity Basis Per Share]]),ISNUMBER(SnapshotTable[[#This Row],[Equity Stop Loss]])),SnapshotTable[[#This Row],[Equity Stop Loss]]-SnapshotTable[[#This Row],[Equity Basis Per Share]],"")</f>
        <v/>
      </c>
      <c r="Z309" s="275" t="str">
        <f>IFERROR( TEXT(SnapshotTable[[#This Row],[Equity Max Gain Per Share]] /ABS( SnapshotTable[[#This Row],[Equity Max Loss Per Share]]),"0.0 " ) &amp; " : 1", "")</f>
        <v/>
      </c>
      <c r="AA309" s="31" t="str">
        <f>IF(ISNUMBER(SnapshotTable[[#This Row],[Equity Max Gain Per Share]]),SnapshotTable[[#This Row],[Equity Max Gain Per Share]] * SnapshotTable[[#This Row],[Equity Shares]],"")</f>
        <v/>
      </c>
      <c r="AB309" s="31" t="str">
        <f>IF(ISNUMBER(SnapshotTable[[#This Row],[Equity Max Loss Per Share]]),SnapshotTable[[#This Row],[Equity Max Loss Per Share]] * SnapshotTable[[#This Row],[Equity Shares]],"")</f>
        <v/>
      </c>
      <c r="AC309" s="150"/>
      <c r="AD309" s="151"/>
      <c r="AE309" s="31">
        <f>(SnapshotTable[[#This Row],[Annual Dividend Per Share]] / 4) * SnapshotTable[[#This Row],[Equity Shares]]</f>
        <v>0</v>
      </c>
      <c r="AF309" s="31">
        <f>SnapshotTable[[#This Row],[Quarterly Div $]] * 4</f>
        <v>0</v>
      </c>
      <c r="AG309" s="7">
        <f>IF(SnapshotTable[[#This Row],[Annual Dividend Per Share]]&gt;0, SnapshotTable[[#This Row],[Annual Dividend Per Share]]  / SnapshotTable[[#This Row],[Last Price]], 0)</f>
        <v>0</v>
      </c>
      <c r="AH309" s="151"/>
      <c r="AI309" s="5"/>
      <c r="AJ309" s="138"/>
      <c r="AK309" s="152" t="str">
        <f>IF(ISNUMBER( SnapshotTable[[#This Row],[EBF Target]]),(SnapshotTable[[#This Row],[EBF Target]] - SnapshotTable[[#This Row],[Last Price]]) / SnapshotTable[[#This Row],[Last Price]], "")</f>
        <v/>
      </c>
      <c r="AL309" s="152" t="str">
        <f>IF(AND(SnapshotTable[[#This Row],[Equity Basis Total]] &gt; 0,ISNUMBER( SnapshotTable[[#This Row],[Long Term Target]])), SnapshotTable[[#This Row],[From Basis $]] / SnapshotTable[[#This Row],[Equity Basis Total]], "")</f>
        <v/>
      </c>
      <c r="AM309" s="9">
        <f>IF( AND(SnapshotTable[[#This Row],[Equity Shares]] &gt;0,ISNUMBER( SnapshotTable[[#This Row],[Long Term Target]])),(SnapshotTable[[#This Row],[Equity Shares]] * SnapshotTable[[#This Row],[Long Term Target]]) - SnapshotTable[[#This Row],[Equity Basis Total]],0)</f>
        <v>0</v>
      </c>
      <c r="AN309" s="9">
        <f>IF( AND(SnapshotTable[[#This Row],[Equity Shares]] &gt;0,ISNUMBER( SnapshotTable[[#This Row],[Long Term Target]])),(SnapshotTable[[#This Row],[Equity Shares]]*SnapshotTable[[#This Row],[Long Term Target]]) - SnapshotTable[[#This Row],[Equity Value]],0)</f>
        <v>0</v>
      </c>
      <c r="AO309" s="152" t="str">
        <f>IF(AND(ISNUMBER( SnapshotTable[[#This Row],[Long Term Target]]), ISNUMBER(SnapshotTable[[#This Row],[Last Price]])),(SnapshotTable[[#This Row],[Long Term Target]] - SnapshotTable[[#This Row],[Last Price]]) / SnapshotTable[[#This Row],[Last Price]], "")</f>
        <v/>
      </c>
      <c r="AP309" s="5"/>
      <c r="AQ309" s="38"/>
      <c r="AR309" s="5"/>
      <c r="AS309" s="38"/>
      <c r="AT309" s="146"/>
      <c r="AU309" s="187" t="str">
        <f>IF(OR(SnapshotTable[[#This Row],[LP No Fill]]="Y",SnapshotTable[[#This Row],[SP Is Filled]],SnapshotTable[[#This Row],[LC Not Filled]]="Y",SnapshotTable[[#This Row],[SC Is Filled]]),"Y","")</f>
        <v/>
      </c>
      <c r="AV309" s="219"/>
      <c r="AW309" s="225"/>
      <c r="AX309" s="220"/>
      <c r="AY309" s="219" t="str">
        <f>IF(SnapshotTable[[#This Row],[Implied Move]]&gt;0, SnapshotTable[[#This Row],[Last Price]]-SnapshotTable[[#This Row],[Implied Move]],"")</f>
        <v/>
      </c>
      <c r="AZ309" s="219" t="str">
        <f>IF(SnapshotTable[[#This Row],[Implied Move]]&gt;0, SnapshotTable[[#This Row],[Last Price]] + SnapshotTable[[#This Row],[Implied Move]],"")</f>
        <v/>
      </c>
      <c r="BA309" s="331">
        <v>13.15</v>
      </c>
      <c r="BB309" s="347"/>
      <c r="BC30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9" s="351"/>
      <c r="BE309" s="5"/>
      <c r="BF309" s="14"/>
      <c r="BG309" s="13"/>
      <c r="BH309" s="13"/>
      <c r="BI309" s="5"/>
      <c r="BJ309" s="136">
        <f>IF(SnapshotTable[[#This Row],[LP Qty]] &gt; 0, SnapshotTable[[#This Row],[LP Qty]] * SnapshotTable[[#This Row],[LP Book Price]] * 100,0)</f>
        <v>0</v>
      </c>
      <c r="BK309" s="136">
        <f>IF(SnapshotTable[[#This Row],[LP Premium]] &gt; 0, SnapshotTable[[#This Row],[LP Qty]] * SnapshotTable[[#This Row],[LP Strike Price]] * 100,0)</f>
        <v>0</v>
      </c>
      <c r="BL309" s="154"/>
      <c r="BM309" s="385" t="str">
        <f>IF(SnapshotTable[[#This Row],[LP Premium]] &gt; 0,SnapshotTable[[#This Row],[LP Exp Date]]-MAX(SnapshotTable[[#This Row],[LP Book Date]], SnapshotTable[[#This Row],[LP Fill Date]]),"")</f>
        <v/>
      </c>
      <c r="BN309" s="385" t="str">
        <f>IF(ISNUMBER( SnapshotTable[[#This Row],[LP Term]]), SnapshotTable[[#This Row],[LP Exp Date]] - MockToday,"")</f>
        <v/>
      </c>
      <c r="BO309" s="163" t="str">
        <f>IF(AND(SnapshotTable[[#This Row],[LP Exp Date]]&gt;0, SnapshotTable[[#This Row],[LP Strike Price]]&gt;0,SnapshotTable[[#This Row],[LP Qty]]&gt;0,SnapshotTable[[#This Row],[LP Book Date]]&gt;0,SnapshotTable[[#This Row],[LP Book Price]]&gt;0,SnapshotTable[[#This Row],[LP Fill Date]]=0),"Y","")</f>
        <v/>
      </c>
      <c r="BP309" s="31" t="str">
        <f>IF(AND(SnapshotTable[[#This Row],[LP No Fill]]&lt;&gt;"Y",SnapshotTable[[#This Row],[LP Contract Value]]&gt;0, SnapshotTable[[#This Row],[LP Qty]]&gt;0), SnapshotTable[[#This Row],[LP Contract Value]]*SnapshotTable[[#This Row],[LP Qty]]*100,"")</f>
        <v/>
      </c>
      <c r="BQ309" s="13"/>
      <c r="BR309" s="5" t="str">
        <f>IF(SnapshotTable[[#This Row],[SP Exp Date]]&lt;&gt;"",TRUNC(SnapshotTable[[#This Row],[Last Price]]),"")</f>
        <v/>
      </c>
      <c r="BS309" s="36"/>
      <c r="BT309" s="147"/>
      <c r="BU309" s="13"/>
      <c r="BV309" s="5"/>
      <c r="BW309" s="419" t="b">
        <f>AND(ISNUMBER(SnapshotTable[[#This Row],[SP Exp Date]]), ISNUMBER(SnapshotTable[[#This Row],[SP Strike Price]]), ISNUMBER(SnapshotTable[[#This Row],[SP Qty]]), ISNUMBER(SnapshotTable[[#This Row],[SP Book Date]]), ISNUMBER(SnapshotTable[[#This Row],[SP Book Price]]))</f>
        <v>0</v>
      </c>
      <c r="BX309" s="419" t="b">
        <f>AND(SnapshotTable[[#This Row],[SP Is Booked]], NOT(ISBLANK(SnapshotTable[[#This Row],[SP Fill Date]])))</f>
        <v>0</v>
      </c>
      <c r="BY309" s="33">
        <f>IF(SnapshotTable[[#This Row],[SP Is Booked]], SnapshotTable[[#This Row],[SP Qty]] * SnapshotTable[[#This Row],[SP Book Price]] * 100, 0)</f>
        <v>0</v>
      </c>
      <c r="BZ309" s="369"/>
      <c r="CA309" s="368">
        <f>SnapshotTable[[#This Row],[LP Qty]]</f>
        <v>0</v>
      </c>
      <c r="CB309" s="4" t="str">
        <f>IF(SnapshotTable[[#This Row],[SP Is Booked]], SnapshotTable[[#This Row],[SP Strike Price]] - SnapshotTable[[#This Row],[SP Book Price]], "")</f>
        <v/>
      </c>
      <c r="CC309" s="19" t="str">
        <f>IF(SnapshotTable[[#This Row],[SP Is Booked]],SnapshotTable[[#This Row],[SP Exp Date]]-MAX(SnapshotTable[[#This Row],[SP Book Date]], SnapshotTable[[#This Row],[SP Fill Date]]),"")</f>
        <v/>
      </c>
      <c r="CD309" s="7" t="str">
        <f>IF(SnapshotTable[[#This Row],[SP Is Booked]], SnapshotTable[[#This Row],[SP Book Price]]/SnapshotTable[[#This Row],[SP Strike Price]], "")</f>
        <v/>
      </c>
      <c r="CE309" s="7" t="str">
        <f>IF(ISNUMBER(SnapshotTable[[#This Row],[SP ROO Term]]),SnapshotTable[[#This Row],[SP ROO Term]]*(365/SnapshotTable[[#This Row],[SP Term]]),"")</f>
        <v/>
      </c>
      <c r="CF309" s="236">
        <f>SnapshotTable[[#This Row],[LP Strike Price]] * SnapshotTable[[#This Row],[LP Qty]] * 100</f>
        <v>0</v>
      </c>
      <c r="CG309" s="31" t="e">
        <f>IF(ISNUMBER(SnapshotTable[[#This Row],[SP Premium]]), (SnapshotTable[[#This Row],[SP Qty]] * SnapshotTable[[#This Row],[SP Strike Price]]* 100) - SnapshotTable[[#This Row],[LP Protection]], 0)</f>
        <v>#VALUE!</v>
      </c>
      <c r="CH309" s="7" t="str">
        <f>IF(ISNUMBER(SnapshotTable[[#This Row],[SP Break Even]]),-1 * (SnapshotTable[[#This Row],[SP Break Even]] - SnapshotTable[[#This Row],[Last Price]]) / SnapshotTable[[#This Row],[Last Price]], "")</f>
        <v/>
      </c>
      <c r="CI309" s="31">
        <f>IF(AND(ISNUMBER((SnapshotTable[[#This Row],[SP Potential Spend]])), SnapshotTable[[#This Row],[SP Strike Price]] &gt; SnapshotTable[[#This Row],[Last Price]], SnapshotTable[[#This Row],[SP Is Filled]]), SnapshotTable[[#This Row],[SP Potential Spend]] -  SnapshotTable[[#This Row],[LP Max Value]], 0)</f>
        <v>0</v>
      </c>
      <c r="CJ309" s="244"/>
      <c r="CK309" s="31" t="str">
        <f>IF(ISNUMBER(SnapshotTable[[#This Row],[SP Potential Spend]]),IF(ISNUMBER(SnapshotTable[[#This Row],[SP POW]]), SnapshotTable[[#This Row],[SP POW]] * SnapshotTable[[#This Row],[SP Potential Spend]], SnapshotTable[[#This Row],[SP Potential Spend]]), "")</f>
        <v/>
      </c>
      <c r="CL309" s="164" t="e">
        <f>IF(NOT(SnapshotTable[[#This Row],[SP Is Filled]]),(SnapshotTable[[#This Row],[SP Qty]] * SnapshotTable[[#This Row],[SP Strike Price]] * 100) - SnapshotTable[[#This Row],[LP Max Value]],"")</f>
        <v>#VALUE!</v>
      </c>
      <c r="CM309" s="31" t="str">
        <f>IF(SnapshotTable[[#This Row],[SP Actual Spend]]&lt;&gt;0, ((SnapshotTable[[#This Row],[SP Strike Price]]-SnapshotTable[[#This Row],[Last Price]]) *(SnapshotTable[[#This Row],[SP Qty]]*100) - SnapshotTable[[#This Row],[SP Premium]]) * - 1, "")</f>
        <v/>
      </c>
      <c r="CN309" s="78"/>
      <c r="CO309" s="369"/>
      <c r="CP309" s="4" t="str">
        <f>IF(SnapshotTable[[#This Row],[SP Is Filled]], btc_max_buyback_amount(SnapshotTable[[#This Row],[SP Fill Date]],SnapshotTable[[#This Row],[SP Exp Date]], SnapshotTable[[#This Row],[SP Book Price]]),"")</f>
        <v/>
      </c>
      <c r="CQ309" s="78"/>
      <c r="CR30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9" s="155" t="str">
        <f>IF(SnapshotTable[[#This Row],[SP Is Filled]], btc_next_cutoff_date(SnapshotTable[[#This Row],[SP Fill Date]],SnapshotTable[[#This Row],[SP Exp Date]]),"")</f>
        <v/>
      </c>
      <c r="CT309" s="235" t="str" cm="1">
        <f t="array" ref="CT309">IF(SnapshotTable[[#This Row],[SP Is Filled]], btc_should_buy_back(SnapshotTable[[#This Row],[SP Fill Date]], SnapshotTable[[#This Row],[SP Exp Date]], SnapshotTable[[#This Row],[SP Book Price]], SnapshotTable[[#This Row],[SP Current Ask]], MockToday, SnapshotTable[[#This Row],[SP Buyback Override]]),"")</f>
        <v/>
      </c>
      <c r="CU309" s="143"/>
      <c r="CV309" s="235"/>
      <c r="CW309" s="378" t="str">
        <f>IF(ISNUMBER( SnapshotTable[[#This Row],[SP Term]]), SnapshotTable[[#This Row],[SP Exp Date]] - MockToday,"")</f>
        <v/>
      </c>
      <c r="CX309" s="31" t="str">
        <f>IF(SnapshotTable[[#This Row],[SP Is Filled]],SnapshotTable[[#This Row],[SP Buyback Price to Use]] * 100 * SnapshotTable[[#This Row],[SP Qty]], "")</f>
        <v/>
      </c>
      <c r="CY309" s="4" t="str">
        <f>IF(ISNUMBER(SnapshotTable[[#This Row],[SP Strike Price]]), SnapshotTable[[#This Row],[SP Strike Price]] * (1 - SP_MaxLoss_StrikePct), "")</f>
        <v/>
      </c>
      <c r="CZ309" s="31" t="str">
        <f>IF(ISNUMBER(SnapshotTable[[#This Row],[SP Strike  Stop Per Share]]),SnapshotTable[[#This Row],[SP Premium]] - ((SnapshotTable[[#This Row],[SP Strike Price]]-SnapshotTable[[#This Row],[SP Strike  Stop Per Share]]) *(SnapshotTable[[#This Row],[SP Qty]] * 100)),"")</f>
        <v/>
      </c>
      <c r="DA309" s="4" t="str">
        <f>IF(AND(ISNUMBER(SnapshotTable[[#This Row],[SP Premium]]),SnapshotTable[[#This Row],[SP Premium]]&gt;0), SnapshotTable[[#This Row],[SP Book Price]] * (1 + SP_MaxLoss_OptionPct), "")</f>
        <v/>
      </c>
      <c r="DB309" s="31" t="str">
        <f>IF(ISNUMBER(SnapshotTable[[#This Row],[SP Option  Stop Contract]]),(SnapshotTable[[#This Row],[SP Option  Stop Contract]] *(SnapshotTable[[#This Row],[SP Qty]] * 100) - SnapshotTable[[#This Row],[SP Premium]]),"")</f>
        <v/>
      </c>
      <c r="DC309" s="4"/>
      <c r="DD309" s="4"/>
      <c r="DE309" s="4" t="str">
        <f>IF(AND(SnapshotTable[[#This Row],[SP Qty]]&gt;0, SnapshotTable[[#This Row],[SP Stop To Use]]&gt;0),SnapshotTable[[#This Row],[SP Premium]] - ( SnapshotTable[[#This Row],[SP Qty]] * SnapshotTable[[#This Row],[SP Stop To Use]] * 100), "")</f>
        <v/>
      </c>
      <c r="DF309" s="31" t="str">
        <f>IF(AND(SnapshotTable[[#This Row],[SP Qty]]&gt;0,SnapshotTable[[#This Row],[SP Current Ask]]&gt;0), SnapshotTable[[#This Row],[SP Qty]] * SnapshotTable[[#This Row],[SP Current Ask]] * -100, "")</f>
        <v/>
      </c>
      <c r="DG309" s="31" t="str">
        <f>IF(ISNUMBER((SnapshotTable[[#This Row],[SP Total Value]])), SnapshotTable[[#This Row],[SP Premium]] + SnapshotTable[[#This Row],[SP Total Value]], "")</f>
        <v/>
      </c>
      <c r="DH309" s="294" t="str">
        <f>IF(ISNUMBER((SnapshotTable[[#This Row],[SP Total Value]])), SnapshotTable[[#This Row],[SP Gain Loss]] / SnapshotTable[[#This Row],[SP Premium]], "")</f>
        <v/>
      </c>
      <c r="DI309" s="406"/>
      <c r="DJ309" s="138"/>
      <c r="DK309" s="148"/>
      <c r="DL309" s="13"/>
      <c r="DM309" s="13"/>
      <c r="DO309" s="31">
        <f>IF(SnapshotTable[[#This Row],[LC Symbol Count]]=1, SnapshotTable[[#This Row],[LC Qty]] * SnapshotTable[[#This Row],[LC Book Price]] * 100, 0)</f>
        <v>0</v>
      </c>
      <c r="DP309" s="163" t="str">
        <f>IF(AND(SnapshotTable[[#This Row],[LC Exp Date]]&gt;0, SnapshotTable[[#This Row],[LC Strike Price]]&gt;0,SnapshotTable[[#This Row],[LC Qty]]&gt;0,SnapshotTable[[#This Row],[LC Book Date]]&gt;0,SnapshotTable[[#This Row],[LC Book Price]]&gt;0,SnapshotTable[[#This Row],[LC Fill Date]]=0),"Y","")</f>
        <v/>
      </c>
      <c r="DQ309" s="386" t="str">
        <f>IF(SnapshotTable[[#This Row],[LC Premium]] &gt; 0,SnapshotTable[[#This Row],[LC Exp Date]]-MAX(SnapshotTable[[#This Row],[LC Book Date]], SnapshotTable[[#This Row],[LC Fill Date]]),"")</f>
        <v/>
      </c>
      <c r="DR309" s="386" t="str">
        <f>IF(ISNUMBER(SnapshotTable[[#This Row],[LC Term]]), SnapshotTable[[#This Row],[LC Exp Date]] - MockToday, "")</f>
        <v/>
      </c>
      <c r="DS309" s="234" t="str">
        <f>IF(SnapshotTable[[#This Row],[LC Premium]]&gt;0,SnapshotTable[[#This Row],[LC Strike Price]] + SnapshotTable[[#This Row],[LC Book Price]],"")</f>
        <v/>
      </c>
      <c r="DU309" s="9" t="str">
        <f>IF(AND(SnapshotTable[[#This Row],[LC Symbol Count]]&gt;0, SnapshotTable[[#This Row],[LC Contract Value]]&gt;0), SnapshotTable[[#This Row],[LC Contract Value]] * SnapshotTable[[#This Row],[LC Qty]] * 100, "")</f>
        <v/>
      </c>
      <c r="DV309" s="9" t="str">
        <f>IF(AND(ISNUMBER(SnapshotTable[[#This Row],[LC Total Value]]), SnapshotTable[[#This Row],[LC Not Filled]]&lt;&gt;"Y"), SnapshotTable[[#This Row],[LC Total Value]]-SnapshotTable[[#This Row],[LC Premium]],"")</f>
        <v/>
      </c>
      <c r="DW309" s="240" t="str">
        <f>IF(ISNUMBER(SnapshotTable[[#This Row],[LC Actual Gain Loss]]), SnapshotTable[[#This Row],[LC Actual Gain Loss]] / SnapshotTable[[#This Row],[LC Premium]],"")</f>
        <v/>
      </c>
      <c r="DX309" s="284" t="str">
        <f>IF(ISNUMBER(SnapshotTable[[#This Row],[LC Book Price]]),SnapshotTable[[#This Row],[LC Book Price]] * 1.5,"")</f>
        <v/>
      </c>
      <c r="DY309" s="265" t="str">
        <f>IF(SnapshotTable[[#This Row],[LC Premium]]&gt;0, SnapshotTable[[#This Row],[LC Next Target]] * SnapshotTable[[#This Row],[LC Qty]] * 100,"")</f>
        <v/>
      </c>
      <c r="DZ309" s="265" t="str">
        <f>IF(ISNUMBER(SnapshotTable[[#This Row],[LC Target Gross]]), SnapshotTable[[#This Row],[LC Target Gross]] - SnapshotTable[[#This Row],[LC Premium]], "")</f>
        <v/>
      </c>
      <c r="EA309" s="305" t="str">
        <f>IF(ISNUMBER(SnapshotTable[[#This Row],[LC Target Gain Loss]]), SnapshotTable[[#This Row],[LC Target Gain Loss]]/SnapshotTable[[#This Row],[LC Premium]], "")</f>
        <v/>
      </c>
      <c r="EB309" s="262"/>
      <c r="EC309" s="283" t="str">
        <f>IF(SnapshotTable[[#This Row],[LC Premium]]&gt;0, SnapshotTable[[#This Row],[LC Book Price]] * (1 - LC_StopLoss_Pct),"")</f>
        <v/>
      </c>
      <c r="ED309" s="284"/>
      <c r="EE309" s="283" t="str">
        <f>IF(ISNUMBER(SnapshotTable[[#This Row],[LC Contract Value]]),IF(ISNUMBER(SnapshotTable[[#This Row],[LC Stop Loss Override]]), SnapshotTable[[#This Row],[LC Stop Loss Override]],SnapshotTable[[#This Row],[LC Stop Loss Calc Target]]),"")</f>
        <v/>
      </c>
      <c r="EF309" s="31" t="str">
        <f>IF(ISNUMBER(SnapshotTable[[#This Row],[LC Stop  To Use]]), (SnapshotTable[[#This Row],[LC Stop  To Use]] * SnapshotTable[[#This Row],[LC Qty]] * 100),"")</f>
        <v/>
      </c>
      <c r="EG309" s="9" t="str">
        <f>IF(ISNUMBER(SnapshotTable[[#This Row],[LC Total Value]]),SnapshotTable[[#This Row],[LC Stop Loss Amount]] - SnapshotTable[[#This Row],[LC Premium]],"")</f>
        <v/>
      </c>
      <c r="EH309" s="9">
        <f>IF(ISNUMBER(SnapshotTable[[#This Row],[LC Premium]]), SnapshotTable[[#This Row],[LC Qty]] * 100 * SnapshotTable[[#This Row],[LC Strike Price]], "")</f>
        <v>0</v>
      </c>
      <c r="EI309" s="240" t="str">
        <f>IF(AND(ISNUMBER(SnapshotTable[[#This Row],[LC Total Value]]),SnapshotTable[[#This Row],[LC Total Value]]&gt;0),SnapshotTable[[#This Row],[LC Stop Gain Loss]]  / SnapshotTable[[#This Row],[LC Premium]],"")</f>
        <v/>
      </c>
      <c r="EJ309" s="35">
        <f>IF(ISNUMBER(SnapshotTable[[#This Row],[Equity Shares]]),TRUNC(SnapshotTable[[#This Row],[Equity Shares]] / 100),0) + SnapshotTable[[#This Row],[LC Qty]]</f>
        <v>0</v>
      </c>
      <c r="EK309" s="147"/>
      <c r="EL309" s="138" t="str">
        <f>IF(SnapshotTable[[#This Row],[SC Exp Date]]&lt;&gt;"",TRUNC(SnapshotTable[[#This Row],[Last Price]]),"")</f>
        <v/>
      </c>
      <c r="EM309" s="148"/>
      <c r="EN309" s="147"/>
      <c r="EO309" s="147"/>
      <c r="EP309" s="138"/>
      <c r="EQ309" s="419" t="b">
        <f>AND(ISNUMBER(SnapshotTable[[#This Row],[SC Exp Date]]), ISNUMBER(SnapshotTable[[#This Row],[SC Strike Price]]), ISNUMBER(SnapshotTable[[#This Row],[SC Qty]]), ISNUMBER(SnapshotTable[[#This Row],[SC Book Date]]), ISNUMBER(SnapshotTable[[#This Row],[SC Book Price]]))</f>
        <v>0</v>
      </c>
      <c r="ER309" s="419" t="b">
        <f>AND(SnapshotTable[[#This Row],[SC Is Booked]], NOT(ISBLANK(SnapshotTable[[#This Row],[SC Fill Date]])))</f>
        <v>0</v>
      </c>
      <c r="ES309" s="370"/>
      <c r="ET309" s="34" t="str">
        <f>IF(AND(ISNUMBER(SnapshotTable[[#This Row],[SC Exp Date]]), ISNUMBER(SnapshotTable[[#This Row],[SC Book Date]])), SnapshotTable[[#This Row],[SC Exp Date]] - MAX(SnapshotTable[[#This Row],[SC Book Date]], SnapshotTable[[#This Row],[SC Fill Date]]) + 1, "")</f>
        <v/>
      </c>
      <c r="EU309" s="34" t="str">
        <f>IF(ISNUMBER(SnapshotTable[[#This Row],[SC Term]]), SnapshotTable[[#This Row],[SC Exp Date]]- MockToday, "")</f>
        <v/>
      </c>
      <c r="EV309" s="31">
        <f>IF(SnapshotTable[[#This Row],[SC Is Booked]], SnapshotTable[[#This Row],[SC Qty]] * SnapshotTable[[#This Row],[SC Book Price]] * 100, 0)</f>
        <v>0</v>
      </c>
      <c r="EW309" s="4" t="str">
        <f>IF(AND(ISNUMBER(SnapshotTable[[#This Row],[Last Price]]), ISNUMBER( SnapshotTable[[#This Row],[SC Book Price]])), SnapshotTable[[#This Row],[Last Price]] - SnapshotTable[[#This Row],[SC Book Price]],"")</f>
        <v/>
      </c>
      <c r="EX309" s="234" t="str">
        <f>IF(SnapshotTable[[#This Row],[SC Is Booked]],IF(SnapshotTable[[#This Row],[SC Intrinsic Value]] &gt; 0, SnapshotTable[[#This Row],[SC Strike Price]], SnapshotTable[[#This Row],[Last Price]]), "")</f>
        <v/>
      </c>
      <c r="EY309" s="4">
        <f>IF(SnapshotTable[[#This Row],[SC Is Booked]], (MinimumPremiumRequired * SnapshotTable[[#This Row],[SC Basis]] * SnapshotTable[[#This Row],[SC Term]]), 0)</f>
        <v>0</v>
      </c>
      <c r="EZ309" s="283"/>
      <c r="FA309" s="218"/>
      <c r="FB309" s="370"/>
      <c r="FC309" s="4">
        <f>IF(SnapshotTable[[#This Row],[SC Is Filled]], btc_max_buyback_amount(SnapshotTable[[#This Row],[SC Fill Date]],SnapshotTable[[#This Row],[SC Exp Date]], SnapshotTable[[#This Row],[SC Book Price]]),0)</f>
        <v>0</v>
      </c>
      <c r="FD309" s="5"/>
      <c r="FE309" s="144" t="str">
        <f>IF(SnapshotTable[[#This Row],[SC Is Filled]], btc_next_cutoff_date(SnapshotTable[[#This Row],[SC Fill Date]],SnapshotTable[[#This Row],[SC Exp Date]]),"")</f>
        <v/>
      </c>
      <c r="FF309" s="4" t="str" cm="1">
        <f t="array" ref="FF309">IF(SnapshotTable[[#This Row],[SC Is Filled]], btc_should_buy_back(SnapshotTable[[#This Row],[SC Fill Date]], SnapshotTable[[#This Row],[SC Exp Date]], SnapshotTable[[#This Row],[SC Book Price]], SnapshotTable[[#This Row],[SC Current Ask]], MockToday, SnapshotTable[[#This Row],[SC Buyback Override]]),"")</f>
        <v/>
      </c>
      <c r="FG309" s="4">
        <f>IF(SnapshotTable[[#This Row],[SC Is Filled]], MAX(0,SnapshotTable[[#This Row],[Last Price]]  - SnapshotTable[[#This Row],[SC Strike Price]]), 0)</f>
        <v>0</v>
      </c>
      <c r="FH309" s="382">
        <f>IF(SnapshotTable[[#This Row],[SC Is Filled]], IF(ISNUMBER(SnapshotTable[[#This Row],[SC Current Ask]]), SnapshotTable[[#This Row],[SC Current Ask]], SnapshotTable[[#This Row],[SC Book Price]]) - SnapshotTable[[#This Row],[SC Intrinsic Value]], 0)</f>
        <v>0</v>
      </c>
      <c r="FI309" s="143"/>
      <c r="FJ309" s="32" t="str">
        <f>IF(SnapshotTable[[#This Row],[SC Is Filled]],100 * SnapshotTable[[#This Row],[SC Qty]] * IF(ISNUMBER(SnapshotTable[[#This Row],[SC Buyback Override]]), SnapshotTable[[#This Row],[SC Buyback Override]], SnapshotTable[[#This Row],[SC Current Ask]]), "")</f>
        <v/>
      </c>
      <c r="FK309" s="250" t="str">
        <f>IF(SnapshotTable[[#This Row],[SC Time Val]]&gt;0, SnapshotTable[[#This Row],[SC Time Val]] / SnapshotTable[[#This Row],[Last Price]],"")</f>
        <v/>
      </c>
      <c r="FL309" s="302" t="str">
        <f>IF(SnapshotTable[[#This Row],[SC Is Booked]], ((SnapshotTable[[#This Row],[Last Price]] -SnapshotTable[[#This Row],[SC Strike Price]]) / SnapshotTable[[#This Row],[Last Price]]) * -1, "")</f>
        <v/>
      </c>
      <c r="FM309" s="157" t="str">
        <f>IF(SnapshotTable[[#This Row],[SC Is Booked]],  (SnapshotTable[[#This Row],[SC Qty]] * 100 * SnapshotTable[[#This Row],[SC Strike Price]]) - SnapshotTable[[#This Row],[SC Current Ask]], "")</f>
        <v/>
      </c>
      <c r="FN30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9" s="31" t="str">
        <f>IF(AND(ISNUMBER(SnapshotTable[[#This Row],[SC Exercise Gross]]), ISNUMBER(SnapshotTable[[#This Row],[Equity Basis Per Share]] )), SnapshotTable[[#This Row],[SC Exercise Gross]] - SnapshotTable[[#This Row],[Equity Basis Total]] +  SnapshotTable[[#This Row],[SC Premium]], "")</f>
        <v/>
      </c>
      <c r="FP309" s="5" t="str">
        <f>IF(ISNUMBER(SnapshotTable[[#This Row],[SC Exercise Gross]]), (SnapshotTable[[#This Row],[SC Exercise Gross]]) / (SnapshotTable[[#This Row],[SC Qty]] * 100), "")</f>
        <v/>
      </c>
      <c r="FQ309" s="27" t="str">
        <f>IF(SnapshotTable[[#This Row],[SC Is Booked]],SnapshotTable[[#This Row],[SC Time Val]] /SnapshotTable[[#This Row],[SC Basis]], "")</f>
        <v/>
      </c>
      <c r="FR309" s="27" t="str" cm="1">
        <f t="array" ref="FR309">IF(AND(ISNUMBER(SnapshotTable[[#This Row],[SC Term]]),ISNUMBER(SnapshotTable[[#This Row],[SC Simple ROO]])), EllmanAnnualize(SnapshotTable[[#This Row],[SC DTE]], SnapshotTable[[#This Row],[SC Simple ROO]] ),"")</f>
        <v/>
      </c>
      <c r="FS309" s="4" t="e">
        <f>IF(SnapshotTable[[#This Row],[SC Strike Price]] &gt; SnapshotTable[[#This Row],[Last Price]], SnapshotTable[[#This Row],[SC Strike Price]] - SnapshotTable[[#This Row],[Last Price]],0)</f>
        <v>#VALUE!</v>
      </c>
      <c r="FT309" s="27" t="e">
        <f>IF(AND(ISNUMBER(SnapshotTable[[#This Row],[SC Upside Potential]]), SnapshotTable[[#This Row],[SC Upside Potential]] &gt; 0),(SnapshotTable[[#This Row],[SC Upside Potential]]/ SnapshotTable[[#This Row],[ACB]]),"")</f>
        <v>#VALUE!</v>
      </c>
      <c r="FU309" s="333" t="str">
        <f>IF(SnapshotTable[[#This Row],[SC Intrinsic Value]] &gt; 0,SnapshotTable[[#This Row],[SC Intrinsic Value]],"")</f>
        <v/>
      </c>
      <c r="FV309" s="27" t="str">
        <f>IF(AND( ISNUMBER( SnapshotTable[[#This Row],[ACB]]),ISNUMBER(SnapshotTable[[#This Row],[SC Downside Protect]])),SnapshotTable[[#This Row],[SC Downside Protect]] / SnapshotTable[[#This Row],[ACB]],"")</f>
        <v/>
      </c>
      <c r="FW309" s="236" t="str">
        <f>IF(AND(ISNUMBER(SnapshotTable[[#This Row],[SC Simple ROO]]),SnapshotTable[[#This Row],[SC Simple ROO]] &gt; 0), SnapshotTable[[#This Row],[SC Premium]] + (SnapshotTable[[#This Row],[SC Qty]] * SnapshotTable[[#This Row],[SC Upside Potential]]), "")</f>
        <v/>
      </c>
      <c r="FX309" s="302" t="str" cm="1">
        <f t="array" ref="FX309">IF(ISNUMBER(SnapshotTable[[#This Row],[SC Max Dollars]]), annualize(SnapshotTable[[#This Row],[SC Term]],(SnapshotTable[[#This Row],[SC Max Dollars]]/SnapshotTable[[#This Row],[SC Basis]])),"")</f>
        <v/>
      </c>
      <c r="FY309" s="236" t="str">
        <f>IF(AND(SnapshotTable[[#This Row],[SC Qty]]&gt;0,SnapshotTable[[#This Row],[SC Current Ask]]&gt;0), SnapshotTable[[#This Row],[SC Qty]] * SnapshotTable[[#This Row],[SC Current Ask]] * -100, "")</f>
        <v/>
      </c>
      <c r="FZ309" s="31" t="str">
        <f>IF(ISNUMBER((SnapshotTable[[#This Row],[SC Current Value]])), SnapshotTable[[#This Row],[SC Premium]] + SnapshotTable[[#This Row],[SC Current Value]], "")</f>
        <v/>
      </c>
      <c r="GA309" s="294" t="str">
        <f>IFERROR( IF(ISNUMBER((SnapshotTable[[#This Row],[SC Current Value]])), SnapshotTable[[#This Row],[SC Gain Loss]] / SnapshotTable[[#This Row],[SC Premium]], ""), "")</f>
        <v/>
      </c>
      <c r="GB309" s="42">
        <f>SnapshotTable[[#This Row],[Equity Shares]] * SaleSharesToConsiderPercentage</f>
        <v>0</v>
      </c>
      <c r="GC309" s="40">
        <f>SnapshotTable[[#This Row],[Long Term Target]] * SellingPriceToConsiderBasedOnTargetPercentage</f>
        <v>0</v>
      </c>
      <c r="GD309" s="40">
        <f>SnapshotTable[[#This Row],[Last Price]] * (1+ SellingPriceToConsiderBasedOnTargetPercentage)</f>
        <v>15.4245</v>
      </c>
      <c r="GE309" s="41"/>
      <c r="GF309" s="40"/>
      <c r="GG309" s="31">
        <f>SnapshotTable[[#This Row],[Booked Sale Shares]] * SnapshotTable[[#This Row],[Booked Sale Price]]</f>
        <v>0</v>
      </c>
      <c r="GH309" s="31" t="str">
        <f>IF(SnapshotTable[[#This Row],[Equity Basis Total]] &gt; 0, SnapshotTable[[#This Row],[Equity Basis Per Share]] * SnapshotTable[[#This Row],[Booked Sale Shares]], "")</f>
        <v/>
      </c>
      <c r="GI309" s="31">
        <f>IF(SnapshotTable[[#This Row],[Sale Proceeds]]&gt;0, SnapshotTable[[#This Row],[Sale Proceeds]] - SnapshotTable[[#This Row],[Sale Basis]], 0)</f>
        <v>0</v>
      </c>
      <c r="GJ309" s="27" t="str">
        <f>IF(SnapshotTable[[#This Row],[Sale G/L]]&gt;0, SnapshotTable[[#This Row],[Sale G/L]] / SnapshotTable[[#This Row],[Sale Basis]], IF(ISNUMBER(SnapshotTable[[#This Row],[SC Exercise P&amp;L (TAX)]]), SnapshotTable[[#This Row],[SC Exercise P&amp;L (TAX)]] / SnapshotTable[[#This Row],[SC Basis]], ""))</f>
        <v/>
      </c>
      <c r="GK309" s="27"/>
      <c r="GL309" s="43" t="str">
        <f>IF(AND(SnapshotTable[[#This Row],[LP Exp Date]]&gt;0,SnapshotTable[[#This Row],[LP Strike Price]]&gt;0), [1]!ToOptionSymbol(SnapshotTable[[#This Row],[Symbol]], SnapshotTable[[#This Row],[LP Strike Price]],SnapshotTable[[#This Row],[LP Exp Date]],1), "")</f>
        <v/>
      </c>
      <c r="GM309" s="30" t="str">
        <f>IF(LEN(SnapshotTable[[#This Row],[LP Symbol]])&gt;0, 1, "")</f>
        <v/>
      </c>
      <c r="GN309" s="43" t="str">
        <f>IF(AND(SnapshotTable[[#This Row],[SP Exp Date]]&gt;0,SnapshotTable[[#This Row],[SP Strike Price]]&gt;0), [1]!ToOptionSymbol(SnapshotTable[[#This Row],[Symbol]], SnapshotTable[[#This Row],[SP Strike Price]],SnapshotTable[[#This Row],[SP Exp Date]],1), "")</f>
        <v/>
      </c>
      <c r="GO309" s="30" t="str">
        <f>IF(LEN(SnapshotTable[[#This Row],[SP Symbol]])&gt;0, 1, "")</f>
        <v/>
      </c>
      <c r="GP309" s="43" t="str">
        <f>IF(AND(SnapshotTable[[#This Row],[LC Exp Date]]&gt;0,SnapshotTable[[#This Row],[LC Strike Price]]&gt;0), [1]!ToOptionSymbol(SnapshotTable[[#This Row],[Symbol]], SnapshotTable[[#This Row],[LC Strike Price]],SnapshotTable[[#This Row],[LC Exp Date]],0), "")</f>
        <v/>
      </c>
      <c r="GQ309" s="30" t="str">
        <f>IF(LEN(SnapshotTable[[#This Row],[LC Symbol]])&gt;0, 1, "")</f>
        <v/>
      </c>
      <c r="GR309" s="43" t="str">
        <f>IF(AND(SnapshotTable[[#This Row],[SC Exp Date]]&gt;0,SnapshotTable[[#This Row],[SC Strike Price]]&gt;0), [1]!ToOptionSymbol(SnapshotTable[[#This Row],[Symbol]], SnapshotTable[[#This Row],[SC Strike Price]],SnapshotTable[[#This Row],[SC Exp Date]],0), "")</f>
        <v/>
      </c>
      <c r="GS309" s="30" t="str">
        <f>IF(LEN(SnapshotTable[[#This Row],[SC Symbol]])&gt;0, 1, "")</f>
        <v/>
      </c>
      <c r="GT309" s="29" t="str">
        <f>IF(COUNT(SnapshotTable[[#This Row],[LP Symbol Count]],SnapshotTable[[#This Row],[SP Symbol Count]],SnapshotTable[[#This Row],[LC Symbol Count]],SnapshotTable[[#This Row],[SC Symbol Count]])&gt;0, "Y", "")</f>
        <v/>
      </c>
      <c r="GU30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9" s="231" t="e">
        <f>MAX(SnapshotTable[[#This Row],[Equity Basis Total]],SnapshotTable[[#This Row],[Equity Value]]) + (SnapshotTable[[#This Row],[SP Potential Spend]]- SnapshotTable[[#This Row],[SP Premium]] + SnapshotTable[[#This Row],[LP Premium]])+ (SnapshotTable[[#This Row],[LC Premium]] - SnapshotTable[[#This Row],[SC Premium]])</f>
        <v>#VALUE!</v>
      </c>
      <c r="GW309" s="139" t="e">
        <f>IF(AND(SnapshotTable[[#This Row],[Exposure]] &lt;&gt; 0),SnapshotTable[[#This Row],[Exposure]] / SnapshotTable[[#Totals],[Exposure]], "")</f>
        <v>#VALUE!</v>
      </c>
      <c r="GX309" s="13"/>
      <c r="HK309" s="1"/>
      <c r="HL309" s="1"/>
      <c r="HM309" s="1"/>
      <c r="HN309" s="1"/>
      <c r="HO309" s="1"/>
      <c r="HP309" s="1"/>
    </row>
    <row r="310" spans="2:224" ht="12.75" hidden="1" customHeight="1" x14ac:dyDescent="0.25">
      <c r="B310" s="12" t="s">
        <v>1272</v>
      </c>
      <c r="C310" s="422">
        <v>24.17</v>
      </c>
      <c r="D310" s="208"/>
      <c r="E310" s="39">
        <f>SnapshotTable[[#This Row],[Last Price]]*(1 -CrashDiscount)</f>
        <v>20.544499999999999</v>
      </c>
      <c r="F310" s="325" t="s">
        <v>5</v>
      </c>
      <c r="G310" s="325" t="s">
        <v>4</v>
      </c>
      <c r="H310" s="149"/>
      <c r="I310" s="194"/>
      <c r="J310" s="195"/>
      <c r="K310" s="196"/>
      <c r="L310" s="326"/>
      <c r="M310" s="140"/>
      <c r="N310" s="140"/>
      <c r="O310" s="140"/>
      <c r="P310" s="22"/>
      <c r="Q310" s="25"/>
      <c r="R310" s="4" t="str">
        <f>IF(SnapshotTable[[#This Row],[Equity Basis Total]] &gt; 0, SnapshotTable[[#This Row],[Equity Basis Total]] / SnapshotTable[[#This Row],[Equity Shares]], "")</f>
        <v/>
      </c>
      <c r="S310" s="269">
        <f>SnapshotTable[[#This Row],[Last Price]] * SnapshotTable[[#This Row],[Equity Shares]]</f>
        <v>0</v>
      </c>
      <c r="T310" s="269">
        <f>SnapshotTable[[#This Row],[Equity Value]] - SnapshotTable[[#This Row],[Equity Basis Total]]</f>
        <v>0</v>
      </c>
      <c r="U310" s="270" t="str">
        <f>IF(SnapshotTable[[#This Row],[Equity Basis Total]] &gt; 0, SnapshotTable[[#This Row],[Equity G/L]] / SnapshotTable[[#This Row],[Equity Basis Total]], "")</f>
        <v/>
      </c>
      <c r="V310" s="268"/>
      <c r="W310" s="268"/>
      <c r="X310" s="4" t="str">
        <f>IF(AND(ISNUMBER(SnapshotTable[[#This Row],[Equity Basis Per Share]]),ISNUMBER(SnapshotTable[[#This Row],[Equity Target]])),SnapshotTable[[#This Row],[Equity Target]]-SnapshotTable[[#This Row],[Equity Basis Per Share]],"")</f>
        <v/>
      </c>
      <c r="Y310" s="4" t="str">
        <f>IF(AND(ISNUMBER(SnapshotTable[[#This Row],[Equity Basis Per Share]]),ISNUMBER(SnapshotTable[[#This Row],[Equity Stop Loss]])),SnapshotTable[[#This Row],[Equity Stop Loss]]-SnapshotTable[[#This Row],[Equity Basis Per Share]],"")</f>
        <v/>
      </c>
      <c r="Z310" s="275" t="str">
        <f>IFERROR( TEXT(SnapshotTable[[#This Row],[Equity Max Gain Per Share]] /ABS( SnapshotTable[[#This Row],[Equity Max Loss Per Share]]),"0.0 " ) &amp; " : 1", "")</f>
        <v/>
      </c>
      <c r="AA310" s="31" t="str">
        <f>IF(ISNUMBER(SnapshotTable[[#This Row],[Equity Max Gain Per Share]]),SnapshotTable[[#This Row],[Equity Max Gain Per Share]] * SnapshotTable[[#This Row],[Equity Shares]],"")</f>
        <v/>
      </c>
      <c r="AB310" s="31" t="str">
        <f>IF(ISNUMBER(SnapshotTable[[#This Row],[Equity Max Loss Per Share]]),SnapshotTable[[#This Row],[Equity Max Loss Per Share]] * SnapshotTable[[#This Row],[Equity Shares]],"")</f>
        <v/>
      </c>
      <c r="AC310" s="150"/>
      <c r="AD310" s="151"/>
      <c r="AE310" s="31">
        <f>(SnapshotTable[[#This Row],[Annual Dividend Per Share]] / 4) * SnapshotTable[[#This Row],[Equity Shares]]</f>
        <v>0</v>
      </c>
      <c r="AF310" s="31">
        <f>SnapshotTable[[#This Row],[Quarterly Div $]] * 4</f>
        <v>0</v>
      </c>
      <c r="AG310" s="7">
        <f>IF(SnapshotTable[[#This Row],[Annual Dividend Per Share]]&gt;0, SnapshotTable[[#This Row],[Annual Dividend Per Share]]  / SnapshotTable[[#This Row],[Last Price]], 0)</f>
        <v>0</v>
      </c>
      <c r="AH310" s="151"/>
      <c r="AI310" s="5"/>
      <c r="AJ310" s="138"/>
      <c r="AK310" s="152" t="str">
        <f>IF(ISNUMBER( SnapshotTable[[#This Row],[EBF Target]]),(SnapshotTable[[#This Row],[EBF Target]] - SnapshotTable[[#This Row],[Last Price]]) / SnapshotTable[[#This Row],[Last Price]], "")</f>
        <v/>
      </c>
      <c r="AL310" s="152" t="str">
        <f>IF(AND(SnapshotTable[[#This Row],[Equity Basis Total]] &gt; 0,ISNUMBER( SnapshotTable[[#This Row],[Long Term Target]])), SnapshotTable[[#This Row],[From Basis $]] / SnapshotTable[[#This Row],[Equity Basis Total]], "")</f>
        <v/>
      </c>
      <c r="AM310" s="9">
        <f>IF( AND(SnapshotTable[[#This Row],[Equity Shares]] &gt;0,ISNUMBER( SnapshotTable[[#This Row],[Long Term Target]])),(SnapshotTable[[#This Row],[Equity Shares]] * SnapshotTable[[#This Row],[Long Term Target]]) - SnapshotTable[[#This Row],[Equity Basis Total]],0)</f>
        <v>0</v>
      </c>
      <c r="AN310" s="9">
        <f>IF( AND(SnapshotTable[[#This Row],[Equity Shares]] &gt;0,ISNUMBER( SnapshotTable[[#This Row],[Long Term Target]])),(SnapshotTable[[#This Row],[Equity Shares]]*SnapshotTable[[#This Row],[Long Term Target]]) - SnapshotTable[[#This Row],[Equity Value]],0)</f>
        <v>0</v>
      </c>
      <c r="AO310" s="152" t="str">
        <f>IF(AND(ISNUMBER( SnapshotTable[[#This Row],[Long Term Target]]), ISNUMBER(SnapshotTable[[#This Row],[Last Price]])),(SnapshotTable[[#This Row],[Long Term Target]] - SnapshotTable[[#This Row],[Last Price]]) / SnapshotTable[[#This Row],[Last Price]], "")</f>
        <v/>
      </c>
      <c r="AP310" s="5"/>
      <c r="AQ310" s="38"/>
      <c r="AR310" s="5"/>
      <c r="AS310" s="38"/>
      <c r="AT310" s="146"/>
      <c r="AU310" s="187" t="str">
        <f>IF(OR(SnapshotTable[[#This Row],[LP No Fill]]="Y",SnapshotTable[[#This Row],[SP Is Filled]],SnapshotTable[[#This Row],[LC Not Filled]]="Y",SnapshotTable[[#This Row],[SC Is Filled]]),"Y","")</f>
        <v/>
      </c>
      <c r="AV310" s="219"/>
      <c r="AW310" s="225"/>
      <c r="AX310" s="220"/>
      <c r="AY310" s="219" t="str">
        <f>IF(SnapshotTable[[#This Row],[Implied Move]]&gt;0, SnapshotTable[[#This Row],[Last Price]]-SnapshotTable[[#This Row],[Implied Move]],"")</f>
        <v/>
      </c>
      <c r="AZ310" s="219" t="str">
        <f>IF(SnapshotTable[[#This Row],[Implied Move]]&gt;0, SnapshotTable[[#This Row],[Last Price]] + SnapshotTable[[#This Row],[Implied Move]],"")</f>
        <v/>
      </c>
      <c r="BA310" s="331"/>
      <c r="BB310" s="347"/>
      <c r="BC31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0" s="351"/>
      <c r="BE310" s="5"/>
      <c r="BF310" s="14"/>
      <c r="BG310" s="13"/>
      <c r="BH310" s="13"/>
      <c r="BI310" s="5"/>
      <c r="BJ310" s="136">
        <f>IF(SnapshotTable[[#This Row],[LP Qty]] &gt; 0, SnapshotTable[[#This Row],[LP Qty]] * SnapshotTable[[#This Row],[LP Book Price]] * 100,0)</f>
        <v>0</v>
      </c>
      <c r="BK310" s="136">
        <f>IF(SnapshotTable[[#This Row],[LP Premium]] &gt; 0, SnapshotTable[[#This Row],[LP Qty]] * SnapshotTable[[#This Row],[LP Strike Price]] * 100,0)</f>
        <v>0</v>
      </c>
      <c r="BL310" s="154"/>
      <c r="BM310" s="385" t="str">
        <f>IF(SnapshotTable[[#This Row],[LP Premium]] &gt; 0,SnapshotTable[[#This Row],[LP Exp Date]]-MAX(SnapshotTable[[#This Row],[LP Book Date]], SnapshotTable[[#This Row],[LP Fill Date]]),"")</f>
        <v/>
      </c>
      <c r="BN310" s="385" t="str">
        <f>IF(ISNUMBER( SnapshotTable[[#This Row],[LP Term]]), SnapshotTable[[#This Row],[LP Exp Date]] - MockToday,"")</f>
        <v/>
      </c>
      <c r="BO310" s="163" t="str">
        <f>IF(AND(SnapshotTable[[#This Row],[LP Exp Date]]&gt;0, SnapshotTable[[#This Row],[LP Strike Price]]&gt;0,SnapshotTable[[#This Row],[LP Qty]]&gt;0,SnapshotTable[[#This Row],[LP Book Date]]&gt;0,SnapshotTable[[#This Row],[LP Book Price]]&gt;0,SnapshotTable[[#This Row],[LP Fill Date]]=0),"Y","")</f>
        <v/>
      </c>
      <c r="BP310" s="31" t="str">
        <f>IF(AND(SnapshotTable[[#This Row],[LP No Fill]]&lt;&gt;"Y",SnapshotTable[[#This Row],[LP Contract Value]]&gt;0, SnapshotTable[[#This Row],[LP Qty]]&gt;0), SnapshotTable[[#This Row],[LP Contract Value]]*SnapshotTable[[#This Row],[LP Qty]]*100,"")</f>
        <v/>
      </c>
      <c r="BQ310" s="13"/>
      <c r="BR310" s="5" t="str">
        <f>IF(SnapshotTable[[#This Row],[SP Exp Date]]&lt;&gt;"",TRUNC(SnapshotTable[[#This Row],[Last Price]]),"")</f>
        <v/>
      </c>
      <c r="BS310" s="36"/>
      <c r="BT310" s="147"/>
      <c r="BU310" s="13"/>
      <c r="BV310" s="5"/>
      <c r="BW310" s="419" t="b">
        <f>AND(ISNUMBER(SnapshotTable[[#This Row],[SP Exp Date]]), ISNUMBER(SnapshotTable[[#This Row],[SP Strike Price]]), ISNUMBER(SnapshotTable[[#This Row],[SP Qty]]), ISNUMBER(SnapshotTable[[#This Row],[SP Book Date]]), ISNUMBER(SnapshotTable[[#This Row],[SP Book Price]]))</f>
        <v>0</v>
      </c>
      <c r="BX310" s="419" t="b">
        <f>AND(SnapshotTable[[#This Row],[SP Is Booked]], NOT(ISBLANK(SnapshotTable[[#This Row],[SP Fill Date]])))</f>
        <v>0</v>
      </c>
      <c r="BY310" s="33">
        <f>IF(SnapshotTable[[#This Row],[SP Is Booked]], SnapshotTable[[#This Row],[SP Qty]] * SnapshotTable[[#This Row],[SP Book Price]] * 100, 0)</f>
        <v>0</v>
      </c>
      <c r="BZ310" s="369"/>
      <c r="CA310" s="368">
        <f>SnapshotTable[[#This Row],[LP Qty]]</f>
        <v>0</v>
      </c>
      <c r="CB310" s="4" t="str">
        <f>IF(SnapshotTable[[#This Row],[SP Is Booked]], SnapshotTable[[#This Row],[SP Strike Price]] - SnapshotTable[[#This Row],[SP Book Price]], "")</f>
        <v/>
      </c>
      <c r="CC310" s="19" t="str">
        <f>IF(SnapshotTable[[#This Row],[SP Is Booked]],SnapshotTable[[#This Row],[SP Exp Date]]-MAX(SnapshotTable[[#This Row],[SP Book Date]], SnapshotTable[[#This Row],[SP Fill Date]]),"")</f>
        <v/>
      </c>
      <c r="CD310" s="7" t="str">
        <f>IF(SnapshotTable[[#This Row],[SP Is Booked]], SnapshotTable[[#This Row],[SP Book Price]]/SnapshotTable[[#This Row],[SP Strike Price]], "")</f>
        <v/>
      </c>
      <c r="CE310" s="7" t="str">
        <f>IF(ISNUMBER(SnapshotTable[[#This Row],[SP ROO Term]]),SnapshotTable[[#This Row],[SP ROO Term]]*(365/SnapshotTable[[#This Row],[SP Term]]),"")</f>
        <v/>
      </c>
      <c r="CF310" s="236">
        <f>SnapshotTable[[#This Row],[LP Strike Price]] * SnapshotTable[[#This Row],[LP Qty]] * 100</f>
        <v>0</v>
      </c>
      <c r="CG310" s="31" t="e">
        <f>IF(ISNUMBER(SnapshotTable[[#This Row],[SP Premium]]), (SnapshotTable[[#This Row],[SP Qty]] * SnapshotTable[[#This Row],[SP Strike Price]]* 100) - SnapshotTable[[#This Row],[LP Protection]], 0)</f>
        <v>#VALUE!</v>
      </c>
      <c r="CH310" s="7" t="str">
        <f>IF(ISNUMBER(SnapshotTable[[#This Row],[SP Break Even]]),-1 * (SnapshotTable[[#This Row],[SP Break Even]] - SnapshotTable[[#This Row],[Last Price]]) / SnapshotTable[[#This Row],[Last Price]], "")</f>
        <v/>
      </c>
      <c r="CI310" s="31">
        <f>IF(AND(ISNUMBER((SnapshotTable[[#This Row],[SP Potential Spend]])), SnapshotTable[[#This Row],[SP Strike Price]] &gt; SnapshotTable[[#This Row],[Last Price]], SnapshotTable[[#This Row],[SP Is Filled]]), SnapshotTable[[#This Row],[SP Potential Spend]] -  SnapshotTable[[#This Row],[LP Max Value]], 0)</f>
        <v>0</v>
      </c>
      <c r="CJ310" s="244"/>
      <c r="CK310" s="31" t="str">
        <f>IF(ISNUMBER(SnapshotTable[[#This Row],[SP Potential Spend]]),IF(ISNUMBER(SnapshotTable[[#This Row],[SP POW]]), SnapshotTable[[#This Row],[SP POW]] * SnapshotTable[[#This Row],[SP Potential Spend]], SnapshotTable[[#This Row],[SP Potential Spend]]), "")</f>
        <v/>
      </c>
      <c r="CL310" s="164" t="e">
        <f>IF(NOT(SnapshotTable[[#This Row],[SP Is Filled]]),(SnapshotTable[[#This Row],[SP Qty]] * SnapshotTable[[#This Row],[SP Strike Price]] * 100) - SnapshotTable[[#This Row],[LP Max Value]],"")</f>
        <v>#VALUE!</v>
      </c>
      <c r="CM310" s="31" t="str">
        <f>IF(SnapshotTable[[#This Row],[SP Actual Spend]]&lt;&gt;0, ((SnapshotTable[[#This Row],[SP Strike Price]]-SnapshotTable[[#This Row],[Last Price]]) *(SnapshotTable[[#This Row],[SP Qty]]*100) - SnapshotTable[[#This Row],[SP Premium]]) * - 1, "")</f>
        <v/>
      </c>
      <c r="CN310" s="78"/>
      <c r="CO310" s="369"/>
      <c r="CP310" s="4" t="str">
        <f>IF(SnapshotTable[[#This Row],[SP Is Filled]], btc_max_buyback_amount(SnapshotTable[[#This Row],[SP Fill Date]],SnapshotTable[[#This Row],[SP Exp Date]], SnapshotTable[[#This Row],[SP Book Price]]),"")</f>
        <v/>
      </c>
      <c r="CQ310" s="78"/>
      <c r="CR31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0" s="155" t="str">
        <f>IF(SnapshotTable[[#This Row],[SP Is Filled]], btc_next_cutoff_date(SnapshotTable[[#This Row],[SP Fill Date]],SnapshotTable[[#This Row],[SP Exp Date]]),"")</f>
        <v/>
      </c>
      <c r="CT310" s="235" t="str" cm="1">
        <f t="array" ref="CT310">IF(SnapshotTable[[#This Row],[SP Is Filled]], btc_should_buy_back(SnapshotTable[[#This Row],[SP Fill Date]], SnapshotTable[[#This Row],[SP Exp Date]], SnapshotTable[[#This Row],[SP Book Price]], SnapshotTable[[#This Row],[SP Current Ask]], MockToday, SnapshotTable[[#This Row],[SP Buyback Override]]),"")</f>
        <v/>
      </c>
      <c r="CU310" s="143"/>
      <c r="CV310" s="235"/>
      <c r="CW310" s="378" t="str">
        <f>IF(ISNUMBER( SnapshotTable[[#This Row],[SP Term]]), SnapshotTable[[#This Row],[SP Exp Date]] - MockToday,"")</f>
        <v/>
      </c>
      <c r="CX310" s="31" t="str">
        <f>IF(SnapshotTable[[#This Row],[SP Is Filled]],SnapshotTable[[#This Row],[SP Buyback Price to Use]] * 100 * SnapshotTable[[#This Row],[SP Qty]], "")</f>
        <v/>
      </c>
      <c r="CY310" s="4" t="str">
        <f>IF(ISNUMBER(SnapshotTable[[#This Row],[SP Strike Price]]), SnapshotTable[[#This Row],[SP Strike Price]] * (1 - SP_MaxLoss_StrikePct), "")</f>
        <v/>
      </c>
      <c r="CZ310" s="31" t="str">
        <f>IF(ISNUMBER(SnapshotTable[[#This Row],[SP Strike  Stop Per Share]]),SnapshotTable[[#This Row],[SP Premium]] - ((SnapshotTable[[#This Row],[SP Strike Price]]-SnapshotTable[[#This Row],[SP Strike  Stop Per Share]]) *(SnapshotTable[[#This Row],[SP Qty]] * 100)),"")</f>
        <v/>
      </c>
      <c r="DA310" s="4" t="str">
        <f>IF(AND(ISNUMBER(SnapshotTable[[#This Row],[SP Premium]]),SnapshotTable[[#This Row],[SP Premium]]&gt;0), SnapshotTable[[#This Row],[SP Book Price]] * (1 + SP_MaxLoss_OptionPct), "")</f>
        <v/>
      </c>
      <c r="DB310" s="31" t="str">
        <f>IF(ISNUMBER(SnapshotTable[[#This Row],[SP Option  Stop Contract]]),(SnapshotTable[[#This Row],[SP Option  Stop Contract]] *(SnapshotTable[[#This Row],[SP Qty]] * 100) - SnapshotTable[[#This Row],[SP Premium]]),"")</f>
        <v/>
      </c>
      <c r="DC310" s="4"/>
      <c r="DD310" s="4"/>
      <c r="DE310" s="4" t="str">
        <f>IF(AND(SnapshotTable[[#This Row],[SP Qty]]&gt;0, SnapshotTable[[#This Row],[SP Stop To Use]]&gt;0),SnapshotTable[[#This Row],[SP Premium]] - ( SnapshotTable[[#This Row],[SP Qty]] * SnapshotTable[[#This Row],[SP Stop To Use]] * 100), "")</f>
        <v/>
      </c>
      <c r="DF310" s="31" t="str">
        <f>IF(AND(SnapshotTable[[#This Row],[SP Qty]]&gt;0,SnapshotTable[[#This Row],[SP Current Ask]]&gt;0), SnapshotTable[[#This Row],[SP Qty]] * SnapshotTable[[#This Row],[SP Current Ask]] * -100, "")</f>
        <v/>
      </c>
      <c r="DG310" s="31" t="str">
        <f>IF(ISNUMBER((SnapshotTable[[#This Row],[SP Total Value]])), SnapshotTable[[#This Row],[SP Premium]] + SnapshotTable[[#This Row],[SP Total Value]], "")</f>
        <v/>
      </c>
      <c r="DH310" s="294" t="str">
        <f>IF(ISNUMBER((SnapshotTable[[#This Row],[SP Total Value]])), SnapshotTable[[#This Row],[SP Gain Loss]] / SnapshotTable[[#This Row],[SP Premium]], "")</f>
        <v/>
      </c>
      <c r="DI310" s="406"/>
      <c r="DJ310" s="138"/>
      <c r="DK310" s="148"/>
      <c r="DL310" s="13"/>
      <c r="DM310" s="13"/>
      <c r="DO310" s="31">
        <f>IF(SnapshotTable[[#This Row],[LC Symbol Count]]=1, SnapshotTable[[#This Row],[LC Qty]] * SnapshotTable[[#This Row],[LC Book Price]] * 100, 0)</f>
        <v>0</v>
      </c>
      <c r="DP310" s="163" t="str">
        <f>IF(AND(SnapshotTable[[#This Row],[LC Exp Date]]&gt;0, SnapshotTable[[#This Row],[LC Strike Price]]&gt;0,SnapshotTable[[#This Row],[LC Qty]]&gt;0,SnapshotTable[[#This Row],[LC Book Date]]&gt;0,SnapshotTable[[#This Row],[LC Book Price]]&gt;0,SnapshotTable[[#This Row],[LC Fill Date]]=0),"Y","")</f>
        <v/>
      </c>
      <c r="DQ310" s="386" t="str">
        <f>IF(SnapshotTable[[#This Row],[LC Premium]] &gt; 0,SnapshotTable[[#This Row],[LC Exp Date]]-MAX(SnapshotTable[[#This Row],[LC Book Date]], SnapshotTable[[#This Row],[LC Fill Date]]),"")</f>
        <v/>
      </c>
      <c r="DR310" s="386" t="str">
        <f>IF(ISNUMBER(SnapshotTable[[#This Row],[LC Term]]), SnapshotTable[[#This Row],[LC Exp Date]] - MockToday, "")</f>
        <v/>
      </c>
      <c r="DS310" s="234" t="str">
        <f>IF(SnapshotTable[[#This Row],[LC Premium]]&gt;0,SnapshotTable[[#This Row],[LC Strike Price]] + SnapshotTable[[#This Row],[LC Book Price]],"")</f>
        <v/>
      </c>
      <c r="DU310" s="9" t="str">
        <f>IF(AND(SnapshotTable[[#This Row],[LC Symbol Count]]&gt;0, SnapshotTable[[#This Row],[LC Contract Value]]&gt;0), SnapshotTable[[#This Row],[LC Contract Value]] * SnapshotTable[[#This Row],[LC Qty]] * 100, "")</f>
        <v/>
      </c>
      <c r="DV310" s="9" t="str">
        <f>IF(AND(ISNUMBER(SnapshotTable[[#This Row],[LC Total Value]]), SnapshotTable[[#This Row],[LC Not Filled]]&lt;&gt;"Y"), SnapshotTable[[#This Row],[LC Total Value]]-SnapshotTable[[#This Row],[LC Premium]],"")</f>
        <v/>
      </c>
      <c r="DW310" s="240" t="str">
        <f>IF(ISNUMBER(SnapshotTable[[#This Row],[LC Actual Gain Loss]]), SnapshotTable[[#This Row],[LC Actual Gain Loss]] / SnapshotTable[[#This Row],[LC Premium]],"")</f>
        <v/>
      </c>
      <c r="DX310" s="284" t="str">
        <f>IF(ISNUMBER(SnapshotTable[[#This Row],[LC Book Price]]),SnapshotTable[[#This Row],[LC Book Price]] * 1.5,"")</f>
        <v/>
      </c>
      <c r="DY310" s="265" t="str">
        <f>IF(SnapshotTable[[#This Row],[LC Premium]]&gt;0, SnapshotTable[[#This Row],[LC Next Target]] * SnapshotTable[[#This Row],[LC Qty]] * 100,"")</f>
        <v/>
      </c>
      <c r="DZ310" s="265" t="str">
        <f>IF(ISNUMBER(SnapshotTable[[#This Row],[LC Target Gross]]), SnapshotTable[[#This Row],[LC Target Gross]] - SnapshotTable[[#This Row],[LC Premium]], "")</f>
        <v/>
      </c>
      <c r="EA310" s="305" t="str">
        <f>IF(ISNUMBER(SnapshotTable[[#This Row],[LC Target Gain Loss]]), SnapshotTable[[#This Row],[LC Target Gain Loss]]/SnapshotTable[[#This Row],[LC Premium]], "")</f>
        <v/>
      </c>
      <c r="EB310" s="262"/>
      <c r="EC310" s="283" t="str">
        <f>IF(SnapshotTable[[#This Row],[LC Premium]]&gt;0, SnapshotTable[[#This Row],[LC Book Price]] * (1 - LC_StopLoss_Pct),"")</f>
        <v/>
      </c>
      <c r="ED310" s="284"/>
      <c r="EE310" s="283" t="str">
        <f>IF(ISNUMBER(SnapshotTable[[#This Row],[LC Contract Value]]),IF(ISNUMBER(SnapshotTable[[#This Row],[LC Stop Loss Override]]), SnapshotTable[[#This Row],[LC Stop Loss Override]],SnapshotTable[[#This Row],[LC Stop Loss Calc Target]]),"")</f>
        <v/>
      </c>
      <c r="EF310" s="31" t="str">
        <f>IF(ISNUMBER(SnapshotTable[[#This Row],[LC Stop  To Use]]), (SnapshotTable[[#This Row],[LC Stop  To Use]] * SnapshotTable[[#This Row],[LC Qty]] * 100),"")</f>
        <v/>
      </c>
      <c r="EG310" s="9" t="str">
        <f>IF(ISNUMBER(SnapshotTable[[#This Row],[LC Total Value]]),SnapshotTable[[#This Row],[LC Stop Loss Amount]] - SnapshotTable[[#This Row],[LC Premium]],"")</f>
        <v/>
      </c>
      <c r="EH310" s="9">
        <f>IF(ISNUMBER(SnapshotTable[[#This Row],[LC Premium]]), SnapshotTable[[#This Row],[LC Qty]] * 100 * SnapshotTable[[#This Row],[LC Strike Price]], "")</f>
        <v>0</v>
      </c>
      <c r="EI310" s="240" t="str">
        <f>IF(AND(ISNUMBER(SnapshotTable[[#This Row],[LC Total Value]]),SnapshotTable[[#This Row],[LC Total Value]]&gt;0),SnapshotTable[[#This Row],[LC Stop Gain Loss]]  / SnapshotTable[[#This Row],[LC Premium]],"")</f>
        <v/>
      </c>
      <c r="EJ310" s="35">
        <f>IF(ISNUMBER(SnapshotTable[[#This Row],[Equity Shares]]),TRUNC(SnapshotTable[[#This Row],[Equity Shares]] / 100),0) + SnapshotTable[[#This Row],[LC Qty]]</f>
        <v>0</v>
      </c>
      <c r="EK310" s="147"/>
      <c r="EL310" s="138" t="str">
        <f>IF(SnapshotTable[[#This Row],[SC Exp Date]]&lt;&gt;"",TRUNC(SnapshotTable[[#This Row],[Last Price]]),"")</f>
        <v/>
      </c>
      <c r="EM310" s="148"/>
      <c r="EN310" s="147"/>
      <c r="EO310" s="147"/>
      <c r="EP310" s="138"/>
      <c r="EQ310" s="419" t="b">
        <f>AND(ISNUMBER(SnapshotTable[[#This Row],[SC Exp Date]]), ISNUMBER(SnapshotTable[[#This Row],[SC Strike Price]]), ISNUMBER(SnapshotTable[[#This Row],[SC Qty]]), ISNUMBER(SnapshotTable[[#This Row],[SC Book Date]]), ISNUMBER(SnapshotTable[[#This Row],[SC Book Price]]))</f>
        <v>0</v>
      </c>
      <c r="ER310" s="419" t="b">
        <f>AND(SnapshotTable[[#This Row],[SC Is Booked]], NOT(ISBLANK(SnapshotTable[[#This Row],[SC Fill Date]])))</f>
        <v>0</v>
      </c>
      <c r="ES310" s="370"/>
      <c r="ET310" s="34" t="str">
        <f>IF(AND(ISNUMBER(SnapshotTable[[#This Row],[SC Exp Date]]), ISNUMBER(SnapshotTable[[#This Row],[SC Book Date]])), SnapshotTable[[#This Row],[SC Exp Date]] - MAX(SnapshotTable[[#This Row],[SC Book Date]], SnapshotTable[[#This Row],[SC Fill Date]]) + 1, "")</f>
        <v/>
      </c>
      <c r="EU310" s="34" t="str">
        <f>IF(ISNUMBER(SnapshotTable[[#This Row],[SC Term]]), SnapshotTable[[#This Row],[SC Exp Date]]- MockToday, "")</f>
        <v/>
      </c>
      <c r="EV310" s="31">
        <f>IF(SnapshotTable[[#This Row],[SC Is Booked]], SnapshotTable[[#This Row],[SC Qty]] * SnapshotTable[[#This Row],[SC Book Price]] * 100, 0)</f>
        <v>0</v>
      </c>
      <c r="EW310" s="4" t="str">
        <f>IF(AND(ISNUMBER(SnapshotTable[[#This Row],[Last Price]]), ISNUMBER( SnapshotTable[[#This Row],[SC Book Price]])), SnapshotTable[[#This Row],[Last Price]] - SnapshotTable[[#This Row],[SC Book Price]],"")</f>
        <v/>
      </c>
      <c r="EX310" s="234" t="str">
        <f>IF(SnapshotTable[[#This Row],[SC Is Booked]],IF(SnapshotTable[[#This Row],[SC Intrinsic Value]] &gt; 0, SnapshotTable[[#This Row],[SC Strike Price]], SnapshotTable[[#This Row],[Last Price]]), "")</f>
        <v/>
      </c>
      <c r="EY310" s="4">
        <f>IF(SnapshotTable[[#This Row],[SC Is Booked]], (MinimumPremiumRequired * SnapshotTable[[#This Row],[SC Basis]] * SnapshotTable[[#This Row],[SC Term]]), 0)</f>
        <v>0</v>
      </c>
      <c r="EZ310" s="283"/>
      <c r="FA310" s="218"/>
      <c r="FB310" s="370"/>
      <c r="FC310" s="4">
        <f>IF(SnapshotTable[[#This Row],[SC Is Filled]], btc_max_buyback_amount(SnapshotTable[[#This Row],[SC Fill Date]],SnapshotTable[[#This Row],[SC Exp Date]], SnapshotTable[[#This Row],[SC Book Price]]),0)</f>
        <v>0</v>
      </c>
      <c r="FD310" s="5"/>
      <c r="FE310" s="144" t="str">
        <f>IF(SnapshotTable[[#This Row],[SC Is Filled]], btc_next_cutoff_date(SnapshotTable[[#This Row],[SC Fill Date]],SnapshotTable[[#This Row],[SC Exp Date]]),"")</f>
        <v/>
      </c>
      <c r="FF310" s="4" t="str" cm="1">
        <f t="array" ref="FF310">IF(SnapshotTable[[#This Row],[SC Is Filled]], btc_should_buy_back(SnapshotTable[[#This Row],[SC Fill Date]], SnapshotTable[[#This Row],[SC Exp Date]], SnapshotTable[[#This Row],[SC Book Price]], SnapshotTable[[#This Row],[SC Current Ask]], MockToday, SnapshotTable[[#This Row],[SC Buyback Override]]),"")</f>
        <v/>
      </c>
      <c r="FG310" s="4">
        <f>IF(SnapshotTable[[#This Row],[SC Is Filled]], MAX(0,SnapshotTable[[#This Row],[Last Price]]  - SnapshotTable[[#This Row],[SC Strike Price]]), 0)</f>
        <v>0</v>
      </c>
      <c r="FH310" s="382">
        <f>IF(SnapshotTable[[#This Row],[SC Is Filled]], IF(ISNUMBER(SnapshotTable[[#This Row],[SC Current Ask]]), SnapshotTable[[#This Row],[SC Current Ask]], SnapshotTable[[#This Row],[SC Book Price]]) - SnapshotTable[[#This Row],[SC Intrinsic Value]], 0)</f>
        <v>0</v>
      </c>
      <c r="FI310" s="143"/>
      <c r="FJ310" s="32" t="str">
        <f>IF(SnapshotTable[[#This Row],[SC Is Filled]],100 * SnapshotTable[[#This Row],[SC Qty]] * IF(ISNUMBER(SnapshotTable[[#This Row],[SC Buyback Override]]), SnapshotTable[[#This Row],[SC Buyback Override]], SnapshotTable[[#This Row],[SC Current Ask]]), "")</f>
        <v/>
      </c>
      <c r="FK310" s="250" t="str">
        <f>IF(SnapshotTable[[#This Row],[SC Time Val]]&gt;0, SnapshotTable[[#This Row],[SC Time Val]] / SnapshotTable[[#This Row],[Last Price]],"")</f>
        <v/>
      </c>
      <c r="FL310" s="302" t="str">
        <f>IF(SnapshotTable[[#This Row],[SC Is Booked]], ((SnapshotTable[[#This Row],[Last Price]] -SnapshotTable[[#This Row],[SC Strike Price]]) / SnapshotTable[[#This Row],[Last Price]]) * -1, "")</f>
        <v/>
      </c>
      <c r="FM310" s="157" t="str">
        <f>IF(SnapshotTable[[#This Row],[SC Is Booked]],  (SnapshotTable[[#This Row],[SC Qty]] * 100 * SnapshotTable[[#This Row],[SC Strike Price]]) - SnapshotTable[[#This Row],[SC Current Ask]], "")</f>
        <v/>
      </c>
      <c r="FN31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0" s="31" t="str">
        <f>IF(AND(ISNUMBER(SnapshotTable[[#This Row],[SC Exercise Gross]]), ISNUMBER(SnapshotTable[[#This Row],[Equity Basis Per Share]] )), SnapshotTable[[#This Row],[SC Exercise Gross]] - SnapshotTable[[#This Row],[Equity Basis Total]] +  SnapshotTable[[#This Row],[SC Premium]], "")</f>
        <v/>
      </c>
      <c r="FP310" s="5" t="str">
        <f>IF(ISNUMBER(SnapshotTable[[#This Row],[SC Exercise Gross]]), (SnapshotTable[[#This Row],[SC Exercise Gross]]) / (SnapshotTable[[#This Row],[SC Qty]] * 100), "")</f>
        <v/>
      </c>
      <c r="FQ310" s="27" t="str">
        <f>IF(SnapshotTable[[#This Row],[SC Is Booked]],SnapshotTable[[#This Row],[SC Time Val]] /SnapshotTable[[#This Row],[SC Basis]], "")</f>
        <v/>
      </c>
      <c r="FR310" s="27" t="str" cm="1">
        <f t="array" ref="FR310">IF(AND(ISNUMBER(SnapshotTable[[#This Row],[SC Term]]),ISNUMBER(SnapshotTable[[#This Row],[SC Simple ROO]])), EllmanAnnualize(SnapshotTable[[#This Row],[SC DTE]], SnapshotTable[[#This Row],[SC Simple ROO]] ),"")</f>
        <v/>
      </c>
      <c r="FS310" s="4" t="e">
        <f>IF(SnapshotTable[[#This Row],[SC Strike Price]] &gt; SnapshotTable[[#This Row],[Last Price]], SnapshotTable[[#This Row],[SC Strike Price]] - SnapshotTable[[#This Row],[Last Price]],0)</f>
        <v>#VALUE!</v>
      </c>
      <c r="FT310" s="27" t="e">
        <f>IF(AND(ISNUMBER(SnapshotTable[[#This Row],[SC Upside Potential]]), SnapshotTable[[#This Row],[SC Upside Potential]] &gt; 0),(SnapshotTable[[#This Row],[SC Upside Potential]]/ SnapshotTable[[#This Row],[ACB]]),"")</f>
        <v>#VALUE!</v>
      </c>
      <c r="FU310" s="333" t="str">
        <f>IF(SnapshotTable[[#This Row],[SC Intrinsic Value]] &gt; 0,SnapshotTable[[#This Row],[SC Intrinsic Value]],"")</f>
        <v/>
      </c>
      <c r="FV310" s="27" t="str">
        <f>IF(AND( ISNUMBER( SnapshotTable[[#This Row],[ACB]]),ISNUMBER(SnapshotTable[[#This Row],[SC Downside Protect]])),SnapshotTable[[#This Row],[SC Downside Protect]] / SnapshotTable[[#This Row],[ACB]],"")</f>
        <v/>
      </c>
      <c r="FW310" s="236" t="str">
        <f>IF(AND(ISNUMBER(SnapshotTable[[#This Row],[SC Simple ROO]]),SnapshotTable[[#This Row],[SC Simple ROO]] &gt; 0), SnapshotTable[[#This Row],[SC Premium]] + (SnapshotTable[[#This Row],[SC Qty]] * SnapshotTable[[#This Row],[SC Upside Potential]]), "")</f>
        <v/>
      </c>
      <c r="FX310" s="302" t="str" cm="1">
        <f t="array" ref="FX310">IF(ISNUMBER(SnapshotTable[[#This Row],[SC Max Dollars]]), annualize(SnapshotTable[[#This Row],[SC Term]],(SnapshotTable[[#This Row],[SC Max Dollars]]/SnapshotTable[[#This Row],[SC Basis]])),"")</f>
        <v/>
      </c>
      <c r="FY310" s="236" t="str">
        <f>IF(AND(SnapshotTable[[#This Row],[SC Qty]]&gt;0,SnapshotTable[[#This Row],[SC Current Ask]]&gt;0), SnapshotTable[[#This Row],[SC Qty]] * SnapshotTable[[#This Row],[SC Current Ask]] * -100, "")</f>
        <v/>
      </c>
      <c r="FZ310" s="31" t="str">
        <f>IF(ISNUMBER((SnapshotTable[[#This Row],[SC Current Value]])), SnapshotTable[[#This Row],[SC Premium]] + SnapshotTable[[#This Row],[SC Current Value]], "")</f>
        <v/>
      </c>
      <c r="GA310" s="294" t="str">
        <f>IFERROR( IF(ISNUMBER((SnapshotTable[[#This Row],[SC Current Value]])), SnapshotTable[[#This Row],[SC Gain Loss]] / SnapshotTable[[#This Row],[SC Premium]], ""), "")</f>
        <v/>
      </c>
      <c r="GB310" s="42">
        <f>SnapshotTable[[#This Row],[Equity Shares]] * SaleSharesToConsiderPercentage</f>
        <v>0</v>
      </c>
      <c r="GC310" s="40">
        <f>SnapshotTable[[#This Row],[Long Term Target]] * SellingPriceToConsiderBasedOnTargetPercentage</f>
        <v>0</v>
      </c>
      <c r="GD310" s="40">
        <f>SnapshotTable[[#This Row],[Last Price]] * (1+ SellingPriceToConsiderBasedOnTargetPercentage)</f>
        <v>47.131500000000003</v>
      </c>
      <c r="GE310" s="41"/>
      <c r="GF310" s="40"/>
      <c r="GG310" s="31">
        <f>SnapshotTable[[#This Row],[Booked Sale Shares]] * SnapshotTable[[#This Row],[Booked Sale Price]]</f>
        <v>0</v>
      </c>
      <c r="GH310" s="31" t="str">
        <f>IF(SnapshotTable[[#This Row],[Equity Basis Total]] &gt; 0, SnapshotTable[[#This Row],[Equity Basis Per Share]] * SnapshotTable[[#This Row],[Booked Sale Shares]], "")</f>
        <v/>
      </c>
      <c r="GI310" s="31">
        <f>IF(SnapshotTable[[#This Row],[Sale Proceeds]]&gt;0, SnapshotTable[[#This Row],[Sale Proceeds]] - SnapshotTable[[#This Row],[Sale Basis]], 0)</f>
        <v>0</v>
      </c>
      <c r="GJ310" s="27" t="str">
        <f>IF(SnapshotTable[[#This Row],[Sale G/L]]&gt;0, SnapshotTable[[#This Row],[Sale G/L]] / SnapshotTable[[#This Row],[Sale Basis]], IF(ISNUMBER(SnapshotTable[[#This Row],[SC Exercise P&amp;L (TAX)]]), SnapshotTable[[#This Row],[SC Exercise P&amp;L (TAX)]] / SnapshotTable[[#This Row],[SC Basis]], ""))</f>
        <v/>
      </c>
      <c r="GK310" s="27"/>
      <c r="GL310" s="43" t="str">
        <f>IF(AND(SnapshotTable[[#This Row],[LP Exp Date]]&gt;0,SnapshotTable[[#This Row],[LP Strike Price]]&gt;0), [1]!ToOptionSymbol(SnapshotTable[[#This Row],[Symbol]], SnapshotTable[[#This Row],[LP Strike Price]],SnapshotTable[[#This Row],[LP Exp Date]],1), "")</f>
        <v/>
      </c>
      <c r="GM310" s="30" t="str">
        <f>IF(LEN(SnapshotTable[[#This Row],[LP Symbol]])&gt;0, 1, "")</f>
        <v/>
      </c>
      <c r="GN310" s="43" t="str">
        <f>IF(AND(SnapshotTable[[#This Row],[SP Exp Date]]&gt;0,SnapshotTable[[#This Row],[SP Strike Price]]&gt;0), [1]!ToOptionSymbol(SnapshotTable[[#This Row],[Symbol]], SnapshotTable[[#This Row],[SP Strike Price]],SnapshotTable[[#This Row],[SP Exp Date]],1), "")</f>
        <v/>
      </c>
      <c r="GO310" s="30" t="str">
        <f>IF(LEN(SnapshotTable[[#This Row],[SP Symbol]])&gt;0, 1, "")</f>
        <v/>
      </c>
      <c r="GP310" s="43" t="str">
        <f>IF(AND(SnapshotTable[[#This Row],[LC Exp Date]]&gt;0,SnapshotTable[[#This Row],[LC Strike Price]]&gt;0), [1]!ToOptionSymbol(SnapshotTable[[#This Row],[Symbol]], SnapshotTable[[#This Row],[LC Strike Price]],SnapshotTable[[#This Row],[LC Exp Date]],0), "")</f>
        <v/>
      </c>
      <c r="GQ310" s="30" t="str">
        <f>IF(LEN(SnapshotTable[[#This Row],[LC Symbol]])&gt;0, 1, "")</f>
        <v/>
      </c>
      <c r="GR310" s="43" t="str">
        <f>IF(AND(SnapshotTable[[#This Row],[SC Exp Date]]&gt;0,SnapshotTable[[#This Row],[SC Strike Price]]&gt;0), [1]!ToOptionSymbol(SnapshotTable[[#This Row],[Symbol]], SnapshotTable[[#This Row],[SC Strike Price]],SnapshotTable[[#This Row],[SC Exp Date]],0), "")</f>
        <v/>
      </c>
      <c r="GS310" s="30" t="str">
        <f>IF(LEN(SnapshotTable[[#This Row],[SC Symbol]])&gt;0, 1, "")</f>
        <v/>
      </c>
      <c r="GT310" s="29" t="str">
        <f>IF(COUNT(SnapshotTable[[#This Row],[LP Symbol Count]],SnapshotTable[[#This Row],[SP Symbol Count]],SnapshotTable[[#This Row],[LC Symbol Count]],SnapshotTable[[#This Row],[SC Symbol Count]])&gt;0, "Y", "")</f>
        <v/>
      </c>
      <c r="GU31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0" s="231" t="e">
        <f>MAX(SnapshotTable[[#This Row],[Equity Basis Total]],SnapshotTable[[#This Row],[Equity Value]]) + (SnapshotTable[[#This Row],[SP Potential Spend]]- SnapshotTable[[#This Row],[SP Premium]] + SnapshotTable[[#This Row],[LP Premium]])+ (SnapshotTable[[#This Row],[LC Premium]] - SnapshotTable[[#This Row],[SC Premium]])</f>
        <v>#VALUE!</v>
      </c>
      <c r="GW310" s="139" t="e">
        <f>IF(AND(SnapshotTable[[#This Row],[Exposure]] &lt;&gt; 0),SnapshotTable[[#This Row],[Exposure]] / SnapshotTable[[#Totals],[Exposure]], "")</f>
        <v>#VALUE!</v>
      </c>
      <c r="HK310" s="1"/>
      <c r="HL310" s="1"/>
      <c r="HM310" s="1"/>
      <c r="HN310" s="1"/>
      <c r="HO310" s="1"/>
      <c r="HP310" s="1"/>
    </row>
    <row r="311" spans="2:224" ht="12.75" hidden="1" customHeight="1" x14ac:dyDescent="0.25">
      <c r="B311" s="12" t="s">
        <v>1232</v>
      </c>
      <c r="C311" s="387">
        <v>37.299999999999997</v>
      </c>
      <c r="D311" s="208"/>
      <c r="E311" s="39">
        <f>SnapshotTable[[#This Row],[Last Price]]*(1 -CrashDiscount)</f>
        <v>31.704999999999998</v>
      </c>
      <c r="F311" s="26" t="s">
        <v>550</v>
      </c>
      <c r="G311" s="26" t="s">
        <v>41</v>
      </c>
      <c r="H311" s="149"/>
      <c r="I311" s="194"/>
      <c r="J311" s="195"/>
      <c r="K311" s="196"/>
      <c r="L311" s="327"/>
      <c r="M311" s="140"/>
      <c r="N311" s="140"/>
      <c r="O311" s="140"/>
      <c r="P311" s="22">
        <v>600</v>
      </c>
      <c r="Q311" s="25">
        <v>25516</v>
      </c>
      <c r="R311" s="4">
        <f>IF(SnapshotTable[[#This Row],[Equity Basis Total]] &gt; 0, SnapshotTable[[#This Row],[Equity Basis Total]] / SnapshotTable[[#This Row],[Equity Shares]], "")</f>
        <v>42.526666666666664</v>
      </c>
      <c r="S311" s="329">
        <f>SnapshotTable[[#This Row],[Last Price]] * SnapshotTable[[#This Row],[Equity Shares]]</f>
        <v>22380</v>
      </c>
      <c r="T311" s="269">
        <f>SnapshotTable[[#This Row],[Equity Value]] - SnapshotTable[[#This Row],[Equity Basis Total]]</f>
        <v>-3136</v>
      </c>
      <c r="U311" s="270">
        <f>IF(SnapshotTable[[#This Row],[Equity Basis Total]] &gt; 0, SnapshotTable[[#This Row],[Equity G/L]] / SnapshotTable[[#This Row],[Equity Basis Total]], "")</f>
        <v>-0.12290327637560747</v>
      </c>
      <c r="V311" s="268"/>
      <c r="W311" s="268"/>
      <c r="X311" s="4" t="str">
        <f>IF(AND(ISNUMBER(SnapshotTable[[#This Row],[Equity Basis Per Share]]),ISNUMBER(SnapshotTable[[#This Row],[Equity Target]])),SnapshotTable[[#This Row],[Equity Target]]-SnapshotTable[[#This Row],[Equity Basis Per Share]],"")</f>
        <v/>
      </c>
      <c r="Y311" s="4" t="str">
        <f>IF(AND(ISNUMBER(SnapshotTable[[#This Row],[Equity Basis Per Share]]),ISNUMBER(SnapshotTable[[#This Row],[Equity Stop Loss]])),SnapshotTable[[#This Row],[Equity Stop Loss]]-SnapshotTable[[#This Row],[Equity Basis Per Share]],"")</f>
        <v/>
      </c>
      <c r="Z311" s="275" t="str">
        <f>IFERROR( TEXT(SnapshotTable[[#This Row],[Equity Max Gain Per Share]] /ABS( SnapshotTable[[#This Row],[Equity Max Loss Per Share]]),"0.0 " ) &amp; " : 1", "")</f>
        <v/>
      </c>
      <c r="AA311" s="31" t="str">
        <f>IF(ISNUMBER(SnapshotTable[[#This Row],[Equity Max Gain Per Share]]),SnapshotTable[[#This Row],[Equity Max Gain Per Share]] * SnapshotTable[[#This Row],[Equity Shares]],"")</f>
        <v/>
      </c>
      <c r="AB311" s="31" t="str">
        <f>IF(ISNUMBER(SnapshotTable[[#This Row],[Equity Max Loss Per Share]]),SnapshotTable[[#This Row],[Equity Max Loss Per Share]] * SnapshotTable[[#This Row],[Equity Shares]],"")</f>
        <v/>
      </c>
      <c r="AC311" s="150"/>
      <c r="AD311" s="151"/>
      <c r="AE311" s="31">
        <f>(SnapshotTable[[#This Row],[Annual Dividend Per Share]] / 4) * SnapshotTable[[#This Row],[Equity Shares]]</f>
        <v>0</v>
      </c>
      <c r="AF311" s="31">
        <f>SnapshotTable[[#This Row],[Quarterly Div $]] * 4</f>
        <v>0</v>
      </c>
      <c r="AG311" s="7">
        <f>IF(SnapshotTable[[#This Row],[Annual Dividend Per Share]]&gt;0, SnapshotTable[[#This Row],[Annual Dividend Per Share]]  / SnapshotTable[[#This Row],[Last Price]], 0)</f>
        <v>0</v>
      </c>
      <c r="AH311" s="151"/>
      <c r="AI311" s="330"/>
      <c r="AJ311" s="138"/>
      <c r="AK311" s="152" t="str">
        <f>IF(ISNUMBER( SnapshotTable[[#This Row],[EBF Target]]),(SnapshotTable[[#This Row],[EBF Target]] - SnapshotTable[[#This Row],[Last Price]]) / SnapshotTable[[#This Row],[Last Price]], "")</f>
        <v/>
      </c>
      <c r="AL311" s="152" t="str">
        <f>IF(AND(SnapshotTable[[#This Row],[Equity Basis Total]] &gt; 0,ISNUMBER( SnapshotTable[[#This Row],[Long Term Target]])), SnapshotTable[[#This Row],[From Basis $]] / SnapshotTable[[#This Row],[Equity Basis Total]], "")</f>
        <v/>
      </c>
      <c r="AM311" s="9">
        <f>IF( AND(SnapshotTable[[#This Row],[Equity Shares]] &gt;0,ISNUMBER( SnapshotTable[[#This Row],[Long Term Target]])),(SnapshotTable[[#This Row],[Equity Shares]] * SnapshotTable[[#This Row],[Long Term Target]]) - SnapshotTable[[#This Row],[Equity Basis Total]],0)</f>
        <v>0</v>
      </c>
      <c r="AN311" s="9">
        <f>IF( AND(SnapshotTable[[#This Row],[Equity Shares]] &gt;0,ISNUMBER( SnapshotTable[[#This Row],[Long Term Target]])),(SnapshotTable[[#This Row],[Equity Shares]]*SnapshotTable[[#This Row],[Long Term Target]]) - SnapshotTable[[#This Row],[Equity Value]],0)</f>
        <v>0</v>
      </c>
      <c r="AO311" s="152" t="str">
        <f>IF(AND(ISNUMBER( SnapshotTable[[#This Row],[Long Term Target]]), ISNUMBER(SnapshotTable[[#This Row],[Last Price]])),(SnapshotTable[[#This Row],[Long Term Target]] - SnapshotTable[[#This Row],[Last Price]]) / SnapshotTable[[#This Row],[Last Price]], "")</f>
        <v/>
      </c>
      <c r="AP311" s="5">
        <v>35</v>
      </c>
      <c r="AQ311" s="38" t="s">
        <v>27</v>
      </c>
      <c r="AR311" s="5">
        <v>35</v>
      </c>
      <c r="AS311" s="38" t="s">
        <v>38</v>
      </c>
      <c r="AT311" s="146"/>
      <c r="AU311" s="187" t="str">
        <f ca="1">IF(OR(SnapshotTable[[#This Row],[LP No Fill]]="Y",SnapshotTable[[#This Row],[SP Is Filled]],SnapshotTable[[#This Row],[LC Not Filled]]="Y",SnapshotTable[[#This Row],[SC Is Filled]]),"Y","")</f>
        <v>Y</v>
      </c>
      <c r="AV311" s="338"/>
      <c r="AW311" s="339"/>
      <c r="AX311" s="220"/>
      <c r="AY311" s="219" t="str">
        <f>IF(SnapshotTable[[#This Row],[Implied Move]]&gt;0, SnapshotTable[[#This Row],[Last Price]]-SnapshotTable[[#This Row],[Implied Move]],"")</f>
        <v/>
      </c>
      <c r="AZ311" s="219" t="str">
        <f>IF(SnapshotTable[[#This Row],[Implied Move]]&gt;0, SnapshotTable[[#This Row],[Last Price]] + SnapshotTable[[#This Row],[Implied Move]],"")</f>
        <v/>
      </c>
      <c r="BA311" s="331">
        <v>33.18</v>
      </c>
      <c r="BB311" s="347"/>
      <c r="BC311"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46283</v>
      </c>
      <c r="BD311" s="351"/>
      <c r="BE311" s="138"/>
      <c r="BF311" s="166"/>
      <c r="BG311" s="167"/>
      <c r="BH311" s="167"/>
      <c r="BI311" s="221"/>
      <c r="BJ311" s="153">
        <f>IF(SnapshotTable[[#This Row],[LP Qty]] &gt; 0, SnapshotTable[[#This Row],[LP Qty]] * SnapshotTable[[#This Row],[LP Book Price]] * 100,0)</f>
        <v>0</v>
      </c>
      <c r="BK311" s="136">
        <f>IF(SnapshotTable[[#This Row],[LP Premium]] &gt; 0, SnapshotTable[[#This Row],[LP Qty]] * SnapshotTable[[#This Row],[LP Strike Price]] * 100,0)</f>
        <v>0</v>
      </c>
      <c r="BL311" s="154"/>
      <c r="BM311" s="385" t="str">
        <f>IF(SnapshotTable[[#This Row],[LP Premium]] &gt; 0,SnapshotTable[[#This Row],[LP Exp Date]]-MAX(SnapshotTable[[#This Row],[LP Book Date]], SnapshotTable[[#This Row],[LP Fill Date]]),"")</f>
        <v/>
      </c>
      <c r="BN311" s="385" t="str">
        <f>IF(ISNUMBER( SnapshotTable[[#This Row],[LP Term]]), SnapshotTable[[#This Row],[LP Exp Date]] - MockToday,"")</f>
        <v/>
      </c>
      <c r="BO311" s="163" t="str">
        <f>IF(AND(SnapshotTable[[#This Row],[LP Exp Date]]&gt;0, SnapshotTable[[#This Row],[LP Strike Price]]&gt;0,SnapshotTable[[#This Row],[LP Qty]]&gt;0,SnapshotTable[[#This Row],[LP Book Date]]&gt;0,SnapshotTable[[#This Row],[LP Book Price]]&gt;0,SnapshotTable[[#This Row],[LP Fill Date]]=0),"Y","")</f>
        <v/>
      </c>
      <c r="BP311" s="31" t="str">
        <f>IF(AND(SnapshotTable[[#This Row],[LP No Fill]]&lt;&gt;"Y",SnapshotTable[[#This Row],[LP Contract Value]]&gt;0, SnapshotTable[[#This Row],[LP Qty]]&gt;0), SnapshotTable[[#This Row],[LP Contract Value]]*SnapshotTable[[#This Row],[LP Qty]]*100,"")</f>
        <v/>
      </c>
      <c r="BQ311" s="13"/>
      <c r="BR311" s="5" t="str">
        <f>IF(SnapshotTable[[#This Row],[SP Exp Date]]&lt;&gt;"",TRUNC(SnapshotTable[[#This Row],[Last Price]]),"")</f>
        <v/>
      </c>
      <c r="BS311" s="36"/>
      <c r="BT311" s="147"/>
      <c r="BU311" s="13"/>
      <c r="BV311" s="5"/>
      <c r="BW311" s="419" t="b">
        <f>AND(ISNUMBER(SnapshotTable[[#This Row],[SP Exp Date]]), ISNUMBER(SnapshotTable[[#This Row],[SP Strike Price]]), ISNUMBER(SnapshotTable[[#This Row],[SP Qty]]), ISNUMBER(SnapshotTable[[#This Row],[SP Book Date]]), ISNUMBER(SnapshotTable[[#This Row],[SP Book Price]]))</f>
        <v>0</v>
      </c>
      <c r="BX311" s="419" t="b">
        <f>AND(SnapshotTable[[#This Row],[SP Is Booked]], NOT(ISBLANK(SnapshotTable[[#This Row],[SP Fill Date]])))</f>
        <v>0</v>
      </c>
      <c r="BY311" s="33">
        <f>IF(SnapshotTable[[#This Row],[SP Is Booked]], SnapshotTable[[#This Row],[SP Qty]] * SnapshotTable[[#This Row],[SP Book Price]] * 100, 0)</f>
        <v>0</v>
      </c>
      <c r="BZ311" s="369">
        <v>0.48</v>
      </c>
      <c r="CA311" s="368">
        <f>SnapshotTable[[#This Row],[LP Qty]]</f>
        <v>0</v>
      </c>
      <c r="CB311" s="4" t="str">
        <f>IF(SnapshotTable[[#This Row],[SP Is Booked]], SnapshotTable[[#This Row],[SP Strike Price]] - SnapshotTable[[#This Row],[SP Book Price]], "")</f>
        <v/>
      </c>
      <c r="CC311" s="19" t="str">
        <f>IF(SnapshotTable[[#This Row],[SP Is Booked]],SnapshotTable[[#This Row],[SP Exp Date]]-MAX(SnapshotTable[[#This Row],[SP Book Date]], SnapshotTable[[#This Row],[SP Fill Date]]),"")</f>
        <v/>
      </c>
      <c r="CD311" s="7" t="str">
        <f>IF(SnapshotTable[[#This Row],[SP Is Booked]], SnapshotTable[[#This Row],[SP Book Price]]/SnapshotTable[[#This Row],[SP Strike Price]], "")</f>
        <v/>
      </c>
      <c r="CE311" s="7" t="str">
        <f>IF(ISNUMBER(SnapshotTable[[#This Row],[SP ROO Term]]),SnapshotTable[[#This Row],[SP ROO Term]]*(365/SnapshotTable[[#This Row],[SP Term]]),"")</f>
        <v/>
      </c>
      <c r="CF311" s="236">
        <f>SnapshotTable[[#This Row],[LP Strike Price]] * SnapshotTable[[#This Row],[LP Qty]] * 100</f>
        <v>0</v>
      </c>
      <c r="CG311" s="31" t="e">
        <f>IF(ISNUMBER(SnapshotTable[[#This Row],[SP Premium]]), (SnapshotTable[[#This Row],[SP Qty]] * SnapshotTable[[#This Row],[SP Strike Price]]* 100) - SnapshotTable[[#This Row],[LP Protection]], 0)</f>
        <v>#VALUE!</v>
      </c>
      <c r="CH311" s="7" t="str">
        <f>IF(ISNUMBER(SnapshotTable[[#This Row],[SP Break Even]]),-1 * (SnapshotTable[[#This Row],[SP Break Even]] - SnapshotTable[[#This Row],[Last Price]]) / SnapshotTable[[#This Row],[Last Price]], "")</f>
        <v/>
      </c>
      <c r="CI311" s="31">
        <f>IF(AND(ISNUMBER((SnapshotTable[[#This Row],[SP Potential Spend]])), SnapshotTable[[#This Row],[SP Strike Price]] &gt; SnapshotTable[[#This Row],[Last Price]], SnapshotTable[[#This Row],[SP Is Filled]]), SnapshotTable[[#This Row],[SP Potential Spend]] -  SnapshotTable[[#This Row],[LP Max Value]], 0)</f>
        <v>0</v>
      </c>
      <c r="CJ311" s="244"/>
      <c r="CK311" s="31" t="str">
        <f>IF(ISNUMBER(SnapshotTable[[#This Row],[SP Potential Spend]]),IF(ISNUMBER(SnapshotTable[[#This Row],[SP POW]]), SnapshotTable[[#This Row],[SP POW]] * SnapshotTable[[#This Row],[SP Potential Spend]], SnapshotTable[[#This Row],[SP Potential Spend]]), "")</f>
        <v/>
      </c>
      <c r="CL311" s="164" t="e">
        <f>IF(NOT(SnapshotTable[[#This Row],[SP Is Filled]]),(SnapshotTable[[#This Row],[SP Qty]] * SnapshotTable[[#This Row],[SP Strike Price]] * 100) - SnapshotTable[[#This Row],[LP Max Value]],"")</f>
        <v>#VALUE!</v>
      </c>
      <c r="CM311" s="31" t="str">
        <f>IF(SnapshotTable[[#This Row],[SP Actual Spend]]&lt;&gt;0, ((SnapshotTable[[#This Row],[SP Strike Price]]-SnapshotTable[[#This Row],[Last Price]]) *(SnapshotTable[[#This Row],[SP Qty]]*100) - SnapshotTable[[#This Row],[SP Premium]]) * - 1, "")</f>
        <v/>
      </c>
      <c r="CN311" s="154"/>
      <c r="CO311" s="369"/>
      <c r="CP311" s="320" t="str">
        <f>IF(SnapshotTable[[#This Row],[SP Is Filled]], btc_max_buyback_amount(SnapshotTable[[#This Row],[SP Fill Date]],SnapshotTable[[#This Row],[SP Exp Date]], SnapshotTable[[#This Row],[SP Book Price]]),"")</f>
        <v/>
      </c>
      <c r="CQ311" s="78"/>
      <c r="CR311" s="76"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1" s="155" t="str">
        <f>IF(SnapshotTable[[#This Row],[SP Is Filled]], btc_next_cutoff_date(SnapshotTable[[#This Row],[SP Fill Date]],SnapshotTable[[#This Row],[SP Exp Date]]),"")</f>
        <v/>
      </c>
      <c r="CT311" s="235" t="str" cm="1">
        <f t="array" ref="CT311">IF(SnapshotTable[[#This Row],[SP Is Filled]], btc_should_buy_back(SnapshotTable[[#This Row],[SP Fill Date]], SnapshotTable[[#This Row],[SP Exp Date]], SnapshotTable[[#This Row],[SP Book Price]], SnapshotTable[[#This Row],[SP Current Ask]], MockToday, SnapshotTable[[#This Row],[SP Buyback Override]]),"")</f>
        <v/>
      </c>
      <c r="CU311" s="143"/>
      <c r="CV311" s="235"/>
      <c r="CW311" s="378" t="str">
        <f>IF(ISNUMBER( SnapshotTable[[#This Row],[SP Term]]), SnapshotTable[[#This Row],[SP Exp Date]] - MockToday,"")</f>
        <v/>
      </c>
      <c r="CX311" s="31" t="str">
        <f>IF(SnapshotTable[[#This Row],[SP Is Filled]],SnapshotTable[[#This Row],[SP Buyback Price to Use]] * 100 * SnapshotTable[[#This Row],[SP Qty]], "")</f>
        <v/>
      </c>
      <c r="CY311" s="4" t="str">
        <f>IF(ISNUMBER(SnapshotTable[[#This Row],[SP Strike Price]]), SnapshotTable[[#This Row],[SP Strike Price]] * (1 - SP_MaxLoss_StrikePct), "")</f>
        <v/>
      </c>
      <c r="CZ311" s="31" t="str">
        <f>IF(ISNUMBER(SnapshotTable[[#This Row],[SP Strike  Stop Per Share]]),SnapshotTable[[#This Row],[SP Premium]] - ((SnapshotTable[[#This Row],[SP Strike Price]]-SnapshotTable[[#This Row],[SP Strike  Stop Per Share]]) *(SnapshotTable[[#This Row],[SP Qty]] * 100)),"")</f>
        <v/>
      </c>
      <c r="DA311" s="4" t="str">
        <f>IF(AND(ISNUMBER(SnapshotTable[[#This Row],[SP Premium]]),SnapshotTable[[#This Row],[SP Premium]]&gt;0), SnapshotTable[[#This Row],[SP Book Price]] * (1 + SP_MaxLoss_OptionPct), "")</f>
        <v/>
      </c>
      <c r="DB311" s="31" t="str">
        <f>IF(ISNUMBER(SnapshotTable[[#This Row],[SP Option  Stop Contract]]),(SnapshotTable[[#This Row],[SP Option  Stop Contract]] *(SnapshotTable[[#This Row],[SP Qty]] * 100) - SnapshotTable[[#This Row],[SP Premium]]),"")</f>
        <v/>
      </c>
      <c r="DC311" s="4"/>
      <c r="DD311" s="4"/>
      <c r="DE311" s="4" t="str">
        <f>IF(AND(SnapshotTable[[#This Row],[SP Qty]]&gt;0, SnapshotTable[[#This Row],[SP Stop To Use]]&gt;0),SnapshotTable[[#This Row],[SP Premium]] - ( SnapshotTable[[#This Row],[SP Qty]] * SnapshotTable[[#This Row],[SP Stop To Use]] * 100), "")</f>
        <v/>
      </c>
      <c r="DF311" s="31" t="str">
        <f>IF(AND(SnapshotTable[[#This Row],[SP Qty]]&gt;0,SnapshotTable[[#This Row],[SP Current Ask]]&gt;0), SnapshotTable[[#This Row],[SP Qty]] * SnapshotTable[[#This Row],[SP Current Ask]] * -100, "")</f>
        <v/>
      </c>
      <c r="DG311" s="31" t="str">
        <f>IF(ISNUMBER((SnapshotTable[[#This Row],[SP Total Value]])), SnapshotTable[[#This Row],[SP Premium]] + SnapshotTable[[#This Row],[SP Total Value]], "")</f>
        <v/>
      </c>
      <c r="DH311" s="294" t="str">
        <f>IF(ISNUMBER((SnapshotTable[[#This Row],[SP Total Value]])), SnapshotTable[[#This Row],[SP Gain Loss]] / SnapshotTable[[#This Row],[SP Premium]], "")</f>
        <v/>
      </c>
      <c r="DI311" s="406"/>
      <c r="DJ311" s="138"/>
      <c r="DK311" s="166"/>
      <c r="DL311" s="167"/>
      <c r="DM311" s="167"/>
      <c r="DO311" s="31">
        <f>IF(SnapshotTable[[#This Row],[LC Symbol Count]]=1, SnapshotTable[[#This Row],[LC Qty]] * SnapshotTable[[#This Row],[LC Book Price]] * 100, 0)</f>
        <v>0</v>
      </c>
      <c r="DP311" s="289" t="str">
        <f>IF(AND(SnapshotTable[[#This Row],[LC Exp Date]]&gt;0, SnapshotTable[[#This Row],[LC Strike Price]]&gt;0,SnapshotTable[[#This Row],[LC Qty]]&gt;0,SnapshotTable[[#This Row],[LC Book Date]]&gt;0,SnapshotTable[[#This Row],[LC Book Price]]&gt;0,SnapshotTable[[#This Row],[LC Fill Date]]=0),"Y","")</f>
        <v/>
      </c>
      <c r="DQ311" s="386" t="str">
        <f>IF(SnapshotTable[[#This Row],[LC Premium]] &gt; 0,SnapshotTable[[#This Row],[LC Exp Date]]-MAX(SnapshotTable[[#This Row],[LC Book Date]], SnapshotTable[[#This Row],[LC Fill Date]]),"")</f>
        <v/>
      </c>
      <c r="DR311" s="386" t="str">
        <f>IF(ISNUMBER(SnapshotTable[[#This Row],[LC Term]]), SnapshotTable[[#This Row],[LC Exp Date]] - MockToday, "")</f>
        <v/>
      </c>
      <c r="DS311" s="234" t="str">
        <f>IF(SnapshotTable[[#This Row],[LC Premium]]&gt;0,SnapshotTable[[#This Row],[LC Strike Price]] + SnapshotTable[[#This Row],[LC Book Price]],"")</f>
        <v/>
      </c>
      <c r="DU311" s="9" t="str">
        <f>IF(AND(SnapshotTable[[#This Row],[LC Symbol Count]]&gt;0, SnapshotTable[[#This Row],[LC Contract Value]]&gt;0), SnapshotTable[[#This Row],[LC Contract Value]] * SnapshotTable[[#This Row],[LC Qty]] * 100, "")</f>
        <v/>
      </c>
      <c r="DV311" s="9" t="str">
        <f>IF(AND(ISNUMBER(SnapshotTable[[#This Row],[LC Total Value]]), SnapshotTable[[#This Row],[LC Not Filled]]&lt;&gt;"Y"), SnapshotTable[[#This Row],[LC Total Value]]-SnapshotTable[[#This Row],[LC Premium]],"")</f>
        <v/>
      </c>
      <c r="DW311" s="240" t="str">
        <f>IF(ISNUMBER(SnapshotTable[[#This Row],[LC Actual Gain Loss]]), SnapshotTable[[#This Row],[LC Actual Gain Loss]] / SnapshotTable[[#This Row],[LC Premium]],"")</f>
        <v/>
      </c>
      <c r="DX311" s="284" t="str">
        <f>IF(ISNUMBER(SnapshotTable[[#This Row],[LC Book Price]]),SnapshotTable[[#This Row],[LC Book Price]] * 1.5,"")</f>
        <v/>
      </c>
      <c r="DY311" s="265" t="str">
        <f>IF(SnapshotTable[[#This Row],[LC Premium]]&gt;0, SnapshotTable[[#This Row],[LC Next Target]] * SnapshotTable[[#This Row],[LC Qty]] * 100,"")</f>
        <v/>
      </c>
      <c r="DZ311" s="265" t="str">
        <f>IF(ISNUMBER(SnapshotTable[[#This Row],[LC Target Gross]]), SnapshotTable[[#This Row],[LC Target Gross]] - SnapshotTable[[#This Row],[LC Premium]], "")</f>
        <v/>
      </c>
      <c r="EA311" s="305" t="str">
        <f>IF(ISNUMBER(SnapshotTable[[#This Row],[LC Target Gain Loss]]), SnapshotTable[[#This Row],[LC Target Gain Loss]]/SnapshotTable[[#This Row],[LC Premium]], "")</f>
        <v/>
      </c>
      <c r="EB311" s="262"/>
      <c r="EC311" s="290" t="str">
        <f>IF(SnapshotTable[[#This Row],[LC Premium]]&gt;0, SnapshotTable[[#This Row],[LC Book Price]] * (1 - LC_StopLoss_Pct),"")</f>
        <v/>
      </c>
      <c r="ED311" s="284"/>
      <c r="EE311" s="290" t="str">
        <f>IF(ISNUMBER(SnapshotTable[[#This Row],[LC Contract Value]]),IF(ISNUMBER(SnapshotTable[[#This Row],[LC Stop Loss Override]]), SnapshotTable[[#This Row],[LC Stop Loss Override]],SnapshotTable[[#This Row],[LC Stop Loss Calc Target]]),"")</f>
        <v/>
      </c>
      <c r="EF311" s="321" t="str">
        <f>IF(ISNUMBER(SnapshotTable[[#This Row],[LC Stop  To Use]]), (SnapshotTable[[#This Row],[LC Stop  To Use]] * SnapshotTable[[#This Row],[LC Qty]] * 100),"")</f>
        <v/>
      </c>
      <c r="EG311" s="9" t="str">
        <f>IF(ISNUMBER(SnapshotTable[[#This Row],[LC Total Value]]),SnapshotTable[[#This Row],[LC Stop Loss Amount]] - SnapshotTable[[#This Row],[LC Premium]],"")</f>
        <v/>
      </c>
      <c r="EH311" s="9">
        <f>IF(ISNUMBER(SnapshotTable[[#This Row],[LC Premium]]), SnapshotTable[[#This Row],[LC Qty]] * 100 * SnapshotTable[[#This Row],[LC Strike Price]], "")</f>
        <v>0</v>
      </c>
      <c r="EI311" s="240" t="str">
        <f>IF(AND(ISNUMBER(SnapshotTable[[#This Row],[LC Total Value]]),SnapshotTable[[#This Row],[LC Total Value]]&gt;0),SnapshotTable[[#This Row],[LC Stop Gain Loss]]  / SnapshotTable[[#This Row],[LC Premium]],"")</f>
        <v/>
      </c>
      <c r="EJ311" s="35">
        <f>IF(ISNUMBER(SnapshotTable[[#This Row],[Equity Shares]]),TRUNC(SnapshotTable[[#This Row],[Equity Shares]] / 100),0) + SnapshotTable[[#This Row],[LC Qty]]</f>
        <v>6</v>
      </c>
      <c r="EK311" s="147">
        <f ca="1">NextMonthlyOpex</f>
        <v>46283</v>
      </c>
      <c r="EL311" s="138">
        <f ca="1">IF(SnapshotTable[[#This Row],[SC Exp Date]]&lt;&gt;"",TRUNC(SnapshotTable[[#This Row],[Last Price]]),"")</f>
        <v>37</v>
      </c>
      <c r="EM311" s="148">
        <v>6</v>
      </c>
      <c r="EN311" s="147">
        <f ca="1">WORKDAY(MockToday, 0)</f>
        <v>46235</v>
      </c>
      <c r="EO311" s="147">
        <f ca="1">SnapshotTable[[#This Row],[SC Book Date]]</f>
        <v>46235</v>
      </c>
      <c r="EP311" s="138">
        <v>6.9</v>
      </c>
      <c r="EQ311" s="419" t="b">
        <f ca="1">AND(ISNUMBER(SnapshotTable[[#This Row],[SC Exp Date]]), ISNUMBER(SnapshotTable[[#This Row],[SC Strike Price]]), ISNUMBER(SnapshotTable[[#This Row],[SC Qty]]), ISNUMBER(SnapshotTable[[#This Row],[SC Book Date]]), ISNUMBER(SnapshotTable[[#This Row],[SC Book Price]]))</f>
        <v>1</v>
      </c>
      <c r="ER311" s="419" t="b">
        <f ca="1">AND(SnapshotTable[[#This Row],[SC Is Booked]], NOT(ISBLANK(SnapshotTable[[#This Row],[SC Fill Date]])))</f>
        <v>1</v>
      </c>
      <c r="ES311" s="370">
        <v>0.7</v>
      </c>
      <c r="ET311" s="34">
        <f ca="1">IF(AND(ISNUMBER(SnapshotTable[[#This Row],[SC Exp Date]]), ISNUMBER(SnapshotTable[[#This Row],[SC Book Date]])), SnapshotTable[[#This Row],[SC Exp Date]] - MAX(SnapshotTable[[#This Row],[SC Book Date]], SnapshotTable[[#This Row],[SC Fill Date]]) + 1, "")</f>
        <v>49</v>
      </c>
      <c r="EU311" s="34">
        <f ca="1">IF(ISNUMBER(SnapshotTable[[#This Row],[SC Term]]), SnapshotTable[[#This Row],[SC Exp Date]]- MockToday, "")</f>
        <v>48</v>
      </c>
      <c r="EV311" s="31">
        <f ca="1">IF(SnapshotTable[[#This Row],[SC Is Booked]], SnapshotTable[[#This Row],[SC Qty]] * SnapshotTable[[#This Row],[SC Book Price]] * 100, 0)</f>
        <v>4140.0000000000009</v>
      </c>
      <c r="EW311" s="4">
        <f>IF(AND(ISNUMBER(SnapshotTable[[#This Row],[Last Price]]), ISNUMBER( SnapshotTable[[#This Row],[SC Book Price]])), SnapshotTable[[#This Row],[Last Price]] - SnapshotTable[[#This Row],[SC Book Price]],"")</f>
        <v>30.4</v>
      </c>
      <c r="EX311" s="234">
        <f ca="1">IF(SnapshotTable[[#This Row],[SC Is Booked]],IF(SnapshotTable[[#This Row],[SC Intrinsic Value]] &gt; 0, SnapshotTable[[#This Row],[SC Strike Price]], SnapshotTable[[#This Row],[Last Price]]), "")</f>
        <v>37</v>
      </c>
      <c r="EY311" s="4">
        <f ca="1">IF(SnapshotTable[[#This Row],[SC Is Booked]], (MinimumPremiumRequired * SnapshotTable[[#This Row],[SC Basis]] * SnapshotTable[[#This Row],[SC Term]]), 0)</f>
        <v>1.8129999999999999</v>
      </c>
      <c r="EZ311" s="283"/>
      <c r="FA311" s="218">
        <v>1.57</v>
      </c>
      <c r="FB311" s="370">
        <v>0.39</v>
      </c>
      <c r="FC311" s="4" t="e">
        <f ca="1">IF(SnapshotTable[[#This Row],[SC Is Filled]], btc_max_buyback_amount(SnapshotTable[[#This Row],[SC Fill Date]],SnapshotTable[[#This Row],[SC Exp Date]], SnapshotTable[[#This Row],[SC Book Price]]),0)</f>
        <v>#NAME?</v>
      </c>
      <c r="FD311" s="5"/>
      <c r="FE311" s="144" t="e">
        <f ca="1">IF(SnapshotTable[[#This Row],[SC Is Filled]], btc_next_cutoff_date(SnapshotTable[[#This Row],[SC Fill Date]],SnapshotTable[[#This Row],[SC Exp Date]]),"")</f>
        <v>#NAME?</v>
      </c>
      <c r="FF311" s="4" t="e" cm="1">
        <f t="array" aca="1" ref="FF311" ca="1">IF(SnapshotTable[[#This Row],[SC Is Filled]], btc_should_buy_back(SnapshotTable[[#This Row],[SC Fill Date]], SnapshotTable[[#This Row],[SC Exp Date]], SnapshotTable[[#This Row],[SC Book Price]], SnapshotTable[[#This Row],[SC Current Ask]], MockToday, SnapshotTable[[#This Row],[SC Buyback Override]]),"")</f>
        <v>#NAME?</v>
      </c>
      <c r="FG311" s="4">
        <f ca="1">IF(SnapshotTable[[#This Row],[SC Is Filled]], MAX(0,SnapshotTable[[#This Row],[Last Price]]  - SnapshotTable[[#This Row],[SC Strike Price]]), 0)</f>
        <v>0.29999999999999716</v>
      </c>
      <c r="FH311" s="382">
        <f ca="1">IF(SnapshotTable[[#This Row],[SC Is Filled]], IF(ISNUMBER(SnapshotTable[[#This Row],[SC Current Ask]]), SnapshotTable[[#This Row],[SC Current Ask]], SnapshotTable[[#This Row],[SC Book Price]]) - SnapshotTable[[#This Row],[SC Intrinsic Value]], 0)</f>
        <v>1.2700000000000029</v>
      </c>
      <c r="FI311" s="143">
        <v>46224</v>
      </c>
      <c r="FJ311" s="32">
        <f ca="1">IF(SnapshotTable[[#This Row],[SC Is Filled]],100 * SnapshotTable[[#This Row],[SC Qty]] * IF(ISNUMBER(SnapshotTable[[#This Row],[SC Buyback Override]]), SnapshotTable[[#This Row],[SC Buyback Override]], SnapshotTable[[#This Row],[SC Current Ask]]), "")</f>
        <v>942</v>
      </c>
      <c r="FK311" s="250">
        <f ca="1">IF(SnapshotTable[[#This Row],[SC Time Val]]&gt;0, SnapshotTable[[#This Row],[SC Time Val]] / SnapshotTable[[#This Row],[Last Price]],"")</f>
        <v>3.4048257372654239E-2</v>
      </c>
      <c r="FL311" s="302">
        <f ca="1">IF(SnapshotTable[[#This Row],[SC Is Booked]], ((SnapshotTable[[#This Row],[Last Price]] -SnapshotTable[[#This Row],[SC Strike Price]]) / SnapshotTable[[#This Row],[Last Price]]) * -1, "")</f>
        <v>-8.0428954423591732E-3</v>
      </c>
      <c r="FM311" s="157">
        <f ca="1">IF(SnapshotTable[[#This Row],[SC Is Booked]],  (SnapshotTable[[#This Row],[SC Qty]] * 100 * SnapshotTable[[#This Row],[SC Strike Price]]) - SnapshotTable[[#This Row],[SC Current Ask]], "")</f>
        <v>22198.43</v>
      </c>
      <c r="FN311" s="157">
        <f ca="1">IF(AND(ISNUMBER(SnapshotTable[[#This Row],[SC Exercise Gross]]), SnapshotTable[[#This Row],[SC Exercise Gross]] &lt; (SnapshotTable[[#This Row],[SC Qty]] * 100 * SnapshotTable[[#This Row],[Last Price]])),  (SnapshotTable[[#This Row],[SC Qty]] * 100 * SnapshotTable[[#This Row],[Last Price]]) - SnapshotTable[[#This Row],[SC Exercise Gross]], "")</f>
        <v>181.56999999999971</v>
      </c>
      <c r="FO311" s="157">
        <f ca="1">IF(AND(ISNUMBER(SnapshotTable[[#This Row],[SC Exercise Gross]]), ISNUMBER(SnapshotTable[[#This Row],[Equity Basis Per Share]] )), SnapshotTable[[#This Row],[SC Exercise Gross]] - SnapshotTable[[#This Row],[Equity Basis Total]] +  SnapshotTable[[#This Row],[SC Premium]], "")</f>
        <v>822.4300000000012</v>
      </c>
      <c r="FP311" s="5">
        <f ca="1">IF(ISNUMBER(SnapshotTable[[#This Row],[SC Exercise Gross]]), (SnapshotTable[[#This Row],[SC Exercise Gross]]) / (SnapshotTable[[#This Row],[SC Qty]] * 100), "")</f>
        <v>36.997383333333332</v>
      </c>
      <c r="FQ311" s="27">
        <f ca="1">IF(SnapshotTable[[#This Row],[SC Is Booked]],SnapshotTable[[#This Row],[SC Time Val]] /SnapshotTable[[#This Row],[SC Basis]], "")</f>
        <v>3.4324324324324404E-2</v>
      </c>
      <c r="FR311" s="27" t="e" cm="1">
        <f t="array" aca="1" ref="FR311" ca="1">IF(AND(ISNUMBER(SnapshotTable[[#This Row],[SC Term]]),ISNUMBER(SnapshotTable[[#This Row],[SC Simple ROO]])), EllmanAnnualize(SnapshotTable[[#This Row],[SC DTE]], SnapshotTable[[#This Row],[SC Simple ROO]] ),"")</f>
        <v>#NAME?</v>
      </c>
      <c r="FS311" s="4">
        <f ca="1">IF(SnapshotTable[[#This Row],[SC Strike Price]] &gt; SnapshotTable[[#This Row],[Last Price]], SnapshotTable[[#This Row],[SC Strike Price]] - SnapshotTable[[#This Row],[Last Price]],0)</f>
        <v>0</v>
      </c>
      <c r="FT311" s="27" t="str">
        <f ca="1">IF(AND(ISNUMBER(SnapshotTable[[#This Row],[SC Upside Potential]]), SnapshotTable[[#This Row],[SC Upside Potential]] &gt; 0),(SnapshotTable[[#This Row],[SC Upside Potential]]/ SnapshotTable[[#This Row],[ACB]]),"")</f>
        <v/>
      </c>
      <c r="FU311" s="333">
        <f ca="1">IF(SnapshotTable[[#This Row],[SC Intrinsic Value]] &gt; 0,SnapshotTable[[#This Row],[SC Intrinsic Value]],"")</f>
        <v>0.29999999999999716</v>
      </c>
      <c r="FV311" s="27">
        <f ca="1">IF(AND( ISNUMBER( SnapshotTable[[#This Row],[ACB]]),ISNUMBER(SnapshotTable[[#This Row],[SC Downside Protect]])),SnapshotTable[[#This Row],[SC Downside Protect]] / SnapshotTable[[#This Row],[ACB]],"")</f>
        <v>9.0415913200722463E-3</v>
      </c>
      <c r="FW311" s="236">
        <f ca="1">IF(AND(ISNUMBER(SnapshotTable[[#This Row],[SC Simple ROO]]),SnapshotTable[[#This Row],[SC Simple ROO]] &gt; 0), SnapshotTable[[#This Row],[SC Premium]] + (SnapshotTable[[#This Row],[SC Qty]] * SnapshotTable[[#This Row],[SC Upside Potential]]), "")</f>
        <v>4140.0000000000009</v>
      </c>
      <c r="FX311" s="302" t="e" cm="1">
        <f t="array" aca="1" ref="FX311" ca="1">IF(ISNUMBER(SnapshotTable[[#This Row],[SC Max Dollars]]), annualize(SnapshotTable[[#This Row],[SC Term]],(SnapshotTable[[#This Row],[SC Max Dollars]]/SnapshotTable[[#This Row],[SC Basis]])),"")</f>
        <v>#NAME?</v>
      </c>
      <c r="FY311" s="236">
        <f>IF(AND(SnapshotTable[[#This Row],[SC Qty]]&gt;0,SnapshotTable[[#This Row],[SC Current Ask]]&gt;0), SnapshotTable[[#This Row],[SC Qty]] * SnapshotTable[[#This Row],[SC Current Ask]] * -100, "")</f>
        <v>-942</v>
      </c>
      <c r="FZ311" s="235">
        <f ca="1">IF(ISNUMBER((SnapshotTable[[#This Row],[SC Current Value]])), SnapshotTable[[#This Row],[SC Premium]] + SnapshotTable[[#This Row],[SC Current Value]], "")</f>
        <v>3198.0000000000009</v>
      </c>
      <c r="GA311" s="294">
        <f ca="1">IFERROR( IF(ISNUMBER((SnapshotTable[[#This Row],[SC Current Value]])), SnapshotTable[[#This Row],[SC Gain Loss]] / SnapshotTable[[#This Row],[SC Premium]], ""), "")</f>
        <v>0.77246376811594208</v>
      </c>
      <c r="GB311" s="42">
        <f>SnapshotTable[[#This Row],[Equity Shares]] * SaleSharesToConsiderPercentage</f>
        <v>120</v>
      </c>
      <c r="GC311" s="40">
        <f>SnapshotTable[[#This Row],[Long Term Target]] * SellingPriceToConsiderBasedOnTargetPercentage</f>
        <v>0</v>
      </c>
      <c r="GD311" s="40">
        <f>SnapshotTable[[#This Row],[Last Price]] * (1+ SellingPriceToConsiderBasedOnTargetPercentage)</f>
        <v>72.734999999999999</v>
      </c>
      <c r="GE311" s="41"/>
      <c r="GF311" s="40"/>
      <c r="GG311" s="31">
        <f>SnapshotTable[[#This Row],[Booked Sale Shares]] * SnapshotTable[[#This Row],[Booked Sale Price]]</f>
        <v>0</v>
      </c>
      <c r="GH311" s="31">
        <f>IF(SnapshotTable[[#This Row],[Equity Basis Total]] &gt; 0, SnapshotTable[[#This Row],[Equity Basis Per Share]] * SnapshotTable[[#This Row],[Booked Sale Shares]], "")</f>
        <v>0</v>
      </c>
      <c r="GI311" s="31">
        <f>IF(SnapshotTable[[#This Row],[Sale Proceeds]]&gt;0, SnapshotTable[[#This Row],[Sale Proceeds]] - SnapshotTable[[#This Row],[Sale Basis]], 0)</f>
        <v>0</v>
      </c>
      <c r="GJ311" s="158">
        <f ca="1">IF(SnapshotTable[[#This Row],[Sale G/L]]&gt;0, SnapshotTable[[#This Row],[Sale G/L]] / SnapshotTable[[#This Row],[Sale Basis]], IF(ISNUMBER(SnapshotTable[[#This Row],[SC Exercise P&amp;L (TAX)]]), SnapshotTable[[#This Row],[SC Exercise P&amp;L (TAX)]] / SnapshotTable[[#This Row],[SC Basis]], ""))</f>
        <v>22.227837837837871</v>
      </c>
      <c r="GK311" s="27"/>
      <c r="GL311" s="159" t="str">
        <f>IF(AND(SnapshotTable[[#This Row],[LP Exp Date]]&gt;0,SnapshotTable[[#This Row],[LP Strike Price]]&gt;0), [1]!ToOptionSymbol(SnapshotTable[[#This Row],[Symbol]], SnapshotTable[[#This Row],[LP Strike Price]],SnapshotTable[[#This Row],[LP Exp Date]],1), "")</f>
        <v/>
      </c>
      <c r="GM311" s="30" t="str">
        <f>IF(LEN(SnapshotTable[[#This Row],[LP Symbol]])&gt;0, 1, "")</f>
        <v/>
      </c>
      <c r="GN311" s="43" t="str">
        <f>IF(AND(SnapshotTable[[#This Row],[SP Exp Date]]&gt;0,SnapshotTable[[#This Row],[SP Strike Price]]&gt;0), [1]!ToOptionSymbol(SnapshotTable[[#This Row],[Symbol]], SnapshotTable[[#This Row],[SP Strike Price]],SnapshotTable[[#This Row],[SP Exp Date]],1), "")</f>
        <v/>
      </c>
      <c r="GO311" s="30" t="str">
        <f>IF(LEN(SnapshotTable[[#This Row],[SP Symbol]])&gt;0, 1, "")</f>
        <v/>
      </c>
      <c r="GP311" s="159" t="str">
        <f>IF(AND(SnapshotTable[[#This Row],[LC Exp Date]]&gt;0,SnapshotTable[[#This Row],[LC Strike Price]]&gt;0), [1]!ToOptionSymbol(SnapshotTable[[#This Row],[Symbol]], SnapshotTable[[#This Row],[LC Strike Price]],SnapshotTable[[#This Row],[LC Exp Date]],0), "")</f>
        <v/>
      </c>
      <c r="GQ311" s="160" t="str">
        <f>IF(LEN(SnapshotTable[[#This Row],[LC Symbol]])&gt;0, 1, "")</f>
        <v/>
      </c>
      <c r="GR311" s="159" t="str">
        <f ca="1">IF(AND(SnapshotTable[[#This Row],[SC Exp Date]]&gt;0,SnapshotTable[[#This Row],[SC Strike Price]]&gt;0), [1]!ToOptionSymbol(SnapshotTable[[#This Row],[Symbol]], SnapshotTable[[#This Row],[SC Strike Price]],SnapshotTable[[#This Row],[SC Exp Date]],0), "")</f>
        <v>B260918C00037000</v>
      </c>
      <c r="GS311" s="160">
        <f ca="1">IF(LEN(SnapshotTable[[#This Row],[SC Symbol]])&gt;0, 1, "")</f>
        <v>1</v>
      </c>
      <c r="GT311" s="161" t="str">
        <f ca="1">IF(COUNT(SnapshotTable[[#This Row],[LP Symbol Count]],SnapshotTable[[#This Row],[SP Symbol Count]],SnapshotTable[[#This Row],[LC Symbol Count]],SnapshotTable[[#This Row],[SC Symbol Count]])&gt;0, "Y", "")</f>
        <v>Y</v>
      </c>
      <c r="GU311"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SC </v>
      </c>
      <c r="GV311" s="231" t="e">
        <f ca="1">MAX(SnapshotTable[[#This Row],[Equity Basis Total]],SnapshotTable[[#This Row],[Equity Value]]) + (SnapshotTable[[#This Row],[SP Potential Spend]]- SnapshotTable[[#This Row],[SP Premium]] + SnapshotTable[[#This Row],[LP Premium]])+ (SnapshotTable[[#This Row],[LC Premium]] - SnapshotTable[[#This Row],[SC Premium]])</f>
        <v>#VALUE!</v>
      </c>
      <c r="GW311" s="139" t="e">
        <f ca="1">IF(AND(SnapshotTable[[#This Row],[Exposure]] &lt;&gt; 0),SnapshotTable[[#This Row],[Exposure]] / SnapshotTable[[#Totals],[Exposure]], "")</f>
        <v>#VALUE!</v>
      </c>
      <c r="HK311" s="1"/>
      <c r="HL311" s="1"/>
      <c r="HM311" s="1"/>
      <c r="HN311" s="1"/>
      <c r="HO311" s="1"/>
      <c r="HP311" s="1"/>
    </row>
    <row r="312" spans="2:224" ht="12.75" hidden="1" customHeight="1" x14ac:dyDescent="0.25">
      <c r="B312" s="12" t="s">
        <v>576</v>
      </c>
      <c r="C312" s="422">
        <v>57.06</v>
      </c>
      <c r="D312" s="208" t="s">
        <v>587</v>
      </c>
      <c r="E312" s="39">
        <f>SnapshotTable[[#This Row],[Last Price]]*(1 -CrashDiscount)</f>
        <v>48.500999999999998</v>
      </c>
      <c r="F312" s="26" t="s">
        <v>577</v>
      </c>
      <c r="G312" s="26" t="s">
        <v>17</v>
      </c>
      <c r="H312" s="149"/>
      <c r="I312" s="194">
        <v>44781.3125</v>
      </c>
      <c r="J312" s="195">
        <v>44781.3125</v>
      </c>
      <c r="K312" s="196"/>
      <c r="L312" s="326"/>
      <c r="M312" s="140"/>
      <c r="N312" s="140"/>
      <c r="O312" s="140">
        <v>1</v>
      </c>
      <c r="P312" s="22"/>
      <c r="Q312" s="25"/>
      <c r="R312" s="4" t="str">
        <f>IF(SnapshotTable[[#This Row],[Equity Basis Total]] &gt; 0, SnapshotTable[[#This Row],[Equity Basis Total]] / SnapshotTable[[#This Row],[Equity Shares]], "")</f>
        <v/>
      </c>
      <c r="S312" s="269">
        <f>SnapshotTable[[#This Row],[Last Price]] * SnapshotTable[[#This Row],[Equity Shares]]</f>
        <v>0</v>
      </c>
      <c r="T312" s="269">
        <f>SnapshotTable[[#This Row],[Equity Value]] - SnapshotTable[[#This Row],[Equity Basis Total]]</f>
        <v>0</v>
      </c>
      <c r="U312" s="270" t="str">
        <f>IF(SnapshotTable[[#This Row],[Equity Basis Total]] &gt; 0, SnapshotTable[[#This Row],[Equity G/L]] / SnapshotTable[[#This Row],[Equity Basis Total]], "")</f>
        <v/>
      </c>
      <c r="V312" s="268"/>
      <c r="W312" s="268"/>
      <c r="X312" s="4" t="str">
        <f>IF(AND(ISNUMBER(SnapshotTable[[#This Row],[Equity Basis Per Share]]),ISNUMBER(SnapshotTable[[#This Row],[Equity Target]])),SnapshotTable[[#This Row],[Equity Target]]-SnapshotTable[[#This Row],[Equity Basis Per Share]],"")</f>
        <v/>
      </c>
      <c r="Y312" s="4" t="str">
        <f>IF(AND(ISNUMBER(SnapshotTable[[#This Row],[Equity Basis Per Share]]),ISNUMBER(SnapshotTable[[#This Row],[Equity Stop Loss]])),SnapshotTable[[#This Row],[Equity Stop Loss]]-SnapshotTable[[#This Row],[Equity Basis Per Share]],"")</f>
        <v/>
      </c>
      <c r="Z312" s="275" t="str">
        <f>IFERROR( TEXT(SnapshotTable[[#This Row],[Equity Max Gain Per Share]] /ABS( SnapshotTable[[#This Row],[Equity Max Loss Per Share]]),"0.0 " ) &amp; " : 1", "")</f>
        <v/>
      </c>
      <c r="AA312" s="31" t="str">
        <f>IF(ISNUMBER(SnapshotTable[[#This Row],[Equity Max Gain Per Share]]),SnapshotTable[[#This Row],[Equity Max Gain Per Share]] * SnapshotTable[[#This Row],[Equity Shares]],"")</f>
        <v/>
      </c>
      <c r="AB312" s="31" t="str">
        <f>IF(ISNUMBER(SnapshotTable[[#This Row],[Equity Max Loss Per Share]]),SnapshotTable[[#This Row],[Equity Max Loss Per Share]] * SnapshotTable[[#This Row],[Equity Shares]],"")</f>
        <v/>
      </c>
      <c r="AC312" s="150"/>
      <c r="AD312" s="151"/>
      <c r="AE312" s="31">
        <f>(SnapshotTable[[#This Row],[Annual Dividend Per Share]] / 4) * SnapshotTable[[#This Row],[Equity Shares]]</f>
        <v>0</v>
      </c>
      <c r="AF312" s="31">
        <f>SnapshotTable[[#This Row],[Quarterly Div $]] * 4</f>
        <v>0</v>
      </c>
      <c r="AG312" s="7">
        <f>IF(SnapshotTable[[#This Row],[Annual Dividend Per Share]]&gt;0, SnapshotTable[[#This Row],[Annual Dividend Per Share]]  / SnapshotTable[[#This Row],[Last Price]], 0)</f>
        <v>0</v>
      </c>
      <c r="AH312" s="151">
        <v>43888</v>
      </c>
      <c r="AI312" s="5">
        <v>105</v>
      </c>
      <c r="AJ312" s="138">
        <v>79.09</v>
      </c>
      <c r="AK312" s="152">
        <f>IF(ISNUMBER( SnapshotTable[[#This Row],[EBF Target]]),(SnapshotTable[[#This Row],[EBF Target]] - SnapshotTable[[#This Row],[Last Price]]) / SnapshotTable[[#This Row],[Last Price]], "")</f>
        <v>0.8401682439537328</v>
      </c>
      <c r="AL312" s="152" t="str">
        <f>IF(AND(SnapshotTable[[#This Row],[Equity Basis Total]] &gt; 0,ISNUMBER( SnapshotTable[[#This Row],[Long Term Target]])), SnapshotTable[[#This Row],[From Basis $]] / SnapshotTable[[#This Row],[Equity Basis Total]], "")</f>
        <v/>
      </c>
      <c r="AM312" s="9">
        <f>IF( AND(SnapshotTable[[#This Row],[Equity Shares]] &gt;0,ISNUMBER( SnapshotTable[[#This Row],[Long Term Target]])),(SnapshotTable[[#This Row],[Equity Shares]] * SnapshotTable[[#This Row],[Long Term Target]]) - SnapshotTable[[#This Row],[Equity Basis Total]],0)</f>
        <v>0</v>
      </c>
      <c r="AN312" s="9">
        <f>IF( AND(SnapshotTable[[#This Row],[Equity Shares]] &gt;0,ISNUMBER( SnapshotTable[[#This Row],[Long Term Target]])),(SnapshotTable[[#This Row],[Equity Shares]]*SnapshotTable[[#This Row],[Long Term Target]]) - SnapshotTable[[#This Row],[Equity Value]],0)</f>
        <v>0</v>
      </c>
      <c r="AO312" s="152">
        <f>IF(AND(ISNUMBER( SnapshotTable[[#This Row],[Long Term Target]]), ISNUMBER(SnapshotTable[[#This Row],[Last Price]])),(SnapshotTable[[#This Row],[Long Term Target]] - SnapshotTable[[#This Row],[Last Price]]) / SnapshotTable[[#This Row],[Last Price]], "")</f>
        <v>0.38608482299334035</v>
      </c>
      <c r="AP312" s="5"/>
      <c r="AQ312" s="38"/>
      <c r="AR312" s="5"/>
      <c r="AS312" s="38"/>
      <c r="AT312" s="146"/>
      <c r="AU312" s="187" t="str">
        <f>IF(OR(SnapshotTable[[#This Row],[LP No Fill]]="Y",SnapshotTable[[#This Row],[SP Is Filled]],SnapshotTable[[#This Row],[LC Not Filled]]="Y",SnapshotTable[[#This Row],[SC Is Filled]]),"Y","")</f>
        <v/>
      </c>
      <c r="AV312" s="219"/>
      <c r="AW312" s="225"/>
      <c r="AX312" s="220"/>
      <c r="AY312" s="219"/>
      <c r="AZ312" s="219"/>
      <c r="BA312" s="331"/>
      <c r="BB312" s="347"/>
      <c r="BC31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2" s="351"/>
      <c r="BE312" s="138"/>
      <c r="BF312" s="166"/>
      <c r="BG312" s="167"/>
      <c r="BH312" s="167"/>
      <c r="BI312" s="5"/>
      <c r="BJ312" s="153">
        <f>IF(SnapshotTable[[#This Row],[LP Qty]] &gt; 0, SnapshotTable[[#This Row],[LP Qty]] * SnapshotTable[[#This Row],[LP Book Price]] * 100,0)</f>
        <v>0</v>
      </c>
      <c r="BK312" s="136">
        <f>IF(SnapshotTable[[#This Row],[LP Premium]] &gt; 0, SnapshotTable[[#This Row],[LP Qty]] * SnapshotTable[[#This Row],[LP Strike Price]] * 100,0)</f>
        <v>0</v>
      </c>
      <c r="BL312" s="154"/>
      <c r="BM312" s="385" t="str">
        <f>IF(SnapshotTable[[#This Row],[LP Premium]] &gt; 0,SnapshotTable[[#This Row],[LP Exp Date]]-MAX(SnapshotTable[[#This Row],[LP Book Date]], SnapshotTable[[#This Row],[LP Fill Date]]),"")</f>
        <v/>
      </c>
      <c r="BN312" s="385" t="str">
        <f>IF(ISNUMBER( SnapshotTable[[#This Row],[LP Term]]), SnapshotTable[[#This Row],[LP Exp Date]] - MockToday,"")</f>
        <v/>
      </c>
      <c r="BO312" s="163" t="str">
        <f>IF(AND(SnapshotTable[[#This Row],[LP Exp Date]]&gt;0, SnapshotTable[[#This Row],[LP Strike Price]]&gt;0,SnapshotTable[[#This Row],[LP Qty]]&gt;0,SnapshotTable[[#This Row],[LP Book Date]]&gt;0,SnapshotTable[[#This Row],[LP Book Price]]&gt;0,SnapshotTable[[#This Row],[LP Fill Date]]=0),"Y","")</f>
        <v/>
      </c>
      <c r="BP312" s="31" t="str">
        <f>IF(AND(SnapshotTable[[#This Row],[LP No Fill]]&lt;&gt;"Y",SnapshotTable[[#This Row],[LP Contract Value]]&gt;0, SnapshotTable[[#This Row],[LP Qty]]&gt;0), SnapshotTable[[#This Row],[LP Contract Value]]*SnapshotTable[[#This Row],[LP Qty]]*100,"")</f>
        <v/>
      </c>
      <c r="BQ312" s="13"/>
      <c r="BR312" s="5" t="str">
        <f>IF(SnapshotTable[[#This Row],[SP Exp Date]]&lt;&gt;"",TRUNC(SnapshotTable[[#This Row],[Last Price]]),"")</f>
        <v/>
      </c>
      <c r="BS312" s="36"/>
      <c r="BT312" s="147"/>
      <c r="BU312" s="13"/>
      <c r="BV312" s="5"/>
      <c r="BW312" s="419" t="b">
        <f>AND(ISNUMBER(SnapshotTable[[#This Row],[SP Exp Date]]), ISNUMBER(SnapshotTable[[#This Row],[SP Strike Price]]), ISNUMBER(SnapshotTable[[#This Row],[SP Qty]]), ISNUMBER(SnapshotTable[[#This Row],[SP Book Date]]), ISNUMBER(SnapshotTable[[#This Row],[SP Book Price]]))</f>
        <v>0</v>
      </c>
      <c r="BX312" s="419" t="b">
        <f>AND(SnapshotTable[[#This Row],[SP Is Booked]], NOT(ISBLANK(SnapshotTable[[#This Row],[SP Fill Date]])))</f>
        <v>0</v>
      </c>
      <c r="BY312" s="33">
        <f>IF(SnapshotTable[[#This Row],[SP Is Booked]], SnapshotTable[[#This Row],[SP Qty]] * SnapshotTable[[#This Row],[SP Book Price]] * 100, 0)</f>
        <v>0</v>
      </c>
      <c r="BZ312" s="369"/>
      <c r="CA312" s="368">
        <f>SnapshotTable[[#This Row],[LP Qty]]</f>
        <v>0</v>
      </c>
      <c r="CB312" s="4" t="str">
        <f>IF(SnapshotTable[[#This Row],[SP Is Booked]], SnapshotTable[[#This Row],[SP Strike Price]] - SnapshotTable[[#This Row],[SP Book Price]], "")</f>
        <v/>
      </c>
      <c r="CC312" s="19" t="str">
        <f>IF(SnapshotTable[[#This Row],[SP Is Booked]],SnapshotTable[[#This Row],[SP Exp Date]]-MAX(SnapshotTable[[#This Row],[SP Book Date]], SnapshotTable[[#This Row],[SP Fill Date]]),"")</f>
        <v/>
      </c>
      <c r="CD312" s="7" t="str">
        <f>IF(SnapshotTable[[#This Row],[SP Is Booked]], SnapshotTable[[#This Row],[SP Book Price]]/SnapshotTable[[#This Row],[SP Strike Price]], "")</f>
        <v/>
      </c>
      <c r="CE312" s="7" t="str">
        <f>IF(ISNUMBER(SnapshotTable[[#This Row],[SP ROO Term]]),SnapshotTable[[#This Row],[SP ROO Term]]*(365/SnapshotTable[[#This Row],[SP Term]]),"")</f>
        <v/>
      </c>
      <c r="CF312" s="236">
        <f>SnapshotTable[[#This Row],[LP Strike Price]] * SnapshotTable[[#This Row],[LP Qty]] * 100</f>
        <v>0</v>
      </c>
      <c r="CG312" s="31" t="e">
        <f>IF(ISNUMBER(SnapshotTable[[#This Row],[SP Premium]]), (SnapshotTable[[#This Row],[SP Qty]] * SnapshotTable[[#This Row],[SP Strike Price]]* 100) - SnapshotTable[[#This Row],[LP Protection]], 0)</f>
        <v>#VALUE!</v>
      </c>
      <c r="CH312" s="7" t="str">
        <f>IF(ISNUMBER(SnapshotTable[[#This Row],[SP Break Even]]),-1 * (SnapshotTable[[#This Row],[SP Break Even]] - SnapshotTable[[#This Row],[Last Price]]) / SnapshotTable[[#This Row],[Last Price]], "")</f>
        <v/>
      </c>
      <c r="CI312" s="31">
        <f>IF(AND(ISNUMBER((SnapshotTable[[#This Row],[SP Potential Spend]])), SnapshotTable[[#This Row],[SP Strike Price]] &gt; SnapshotTable[[#This Row],[Last Price]], SnapshotTable[[#This Row],[SP Is Filled]]), SnapshotTable[[#This Row],[SP Potential Spend]] -  SnapshotTable[[#This Row],[LP Max Value]], 0)</f>
        <v>0</v>
      </c>
      <c r="CJ312" s="244"/>
      <c r="CK312" s="31" t="str">
        <f>IF(ISNUMBER(SnapshotTable[[#This Row],[SP Potential Spend]]),IF(ISNUMBER(SnapshotTable[[#This Row],[SP POW]]), SnapshotTable[[#This Row],[SP POW]] * SnapshotTable[[#This Row],[SP Potential Spend]], SnapshotTable[[#This Row],[SP Potential Spend]]), "")</f>
        <v/>
      </c>
      <c r="CL312" s="164" t="e">
        <f>IF(NOT(SnapshotTable[[#This Row],[SP Is Filled]]),(SnapshotTable[[#This Row],[SP Qty]] * SnapshotTable[[#This Row],[SP Strike Price]] * 100) - SnapshotTable[[#This Row],[LP Max Value]],"")</f>
        <v>#VALUE!</v>
      </c>
      <c r="CM312" s="31" t="str">
        <f>IF(SnapshotTable[[#This Row],[SP Actual Spend]]&lt;&gt;0, ((SnapshotTable[[#This Row],[SP Strike Price]]-SnapshotTable[[#This Row],[Last Price]]) *(SnapshotTable[[#This Row],[SP Qty]]*100) - SnapshotTable[[#This Row],[SP Premium]]) * - 1, "")</f>
        <v/>
      </c>
      <c r="CN312" s="154"/>
      <c r="CO312" s="369"/>
      <c r="CP312" s="4" t="str">
        <f>IF(SnapshotTable[[#This Row],[SP Is Filled]], btc_max_buyback_amount(SnapshotTable[[#This Row],[SP Fill Date]],SnapshotTable[[#This Row],[SP Exp Date]], SnapshotTable[[#This Row],[SP Book Price]]),"")</f>
        <v/>
      </c>
      <c r="CQ312" s="78"/>
      <c r="CR31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2" s="155" t="str">
        <f>IF(SnapshotTable[[#This Row],[SP Is Filled]], btc_next_cutoff_date(SnapshotTable[[#This Row],[SP Fill Date]],SnapshotTable[[#This Row],[SP Exp Date]]),"")</f>
        <v/>
      </c>
      <c r="CT312" s="235" t="str" cm="1">
        <f t="array" ref="CT312">IF(SnapshotTable[[#This Row],[SP Is Filled]], btc_should_buy_back(SnapshotTable[[#This Row],[SP Fill Date]], SnapshotTable[[#This Row],[SP Exp Date]], SnapshotTable[[#This Row],[SP Book Price]], SnapshotTable[[#This Row],[SP Current Ask]], MockToday, SnapshotTable[[#This Row],[SP Buyback Override]]),"")</f>
        <v/>
      </c>
      <c r="CU312" s="156"/>
      <c r="CV312" s="235"/>
      <c r="CW312" s="378" t="str">
        <f>IF(ISNUMBER( SnapshotTable[[#This Row],[SP Term]]), SnapshotTable[[#This Row],[SP Exp Date]] - MockToday,"")</f>
        <v/>
      </c>
      <c r="CX312" s="31" t="str">
        <f>IF(SnapshotTable[[#This Row],[SP Is Filled]],SnapshotTable[[#This Row],[SP Buyback Price to Use]] * 100 * SnapshotTable[[#This Row],[SP Qty]], "")</f>
        <v/>
      </c>
      <c r="CY312" s="4" t="str">
        <f>IF(ISNUMBER(SnapshotTable[[#This Row],[SP Strike Price]]), SnapshotTable[[#This Row],[SP Strike Price]] * (1 - SP_MaxLoss_StrikePct), "")</f>
        <v/>
      </c>
      <c r="CZ312" s="31" t="str">
        <f>IF(ISNUMBER(SnapshotTable[[#This Row],[SP Strike  Stop Per Share]]),SnapshotTable[[#This Row],[SP Premium]] - ((SnapshotTable[[#This Row],[SP Strike Price]]-SnapshotTable[[#This Row],[SP Strike  Stop Per Share]]) *(SnapshotTable[[#This Row],[SP Qty]] * 100)),"")</f>
        <v/>
      </c>
      <c r="DA312" s="4" t="str">
        <f>IF(AND(ISNUMBER(SnapshotTable[[#This Row],[SP Premium]]),SnapshotTable[[#This Row],[SP Premium]]&gt;0), SnapshotTable[[#This Row],[SP Book Price]] * (1 + SP_MaxLoss_OptionPct), "")</f>
        <v/>
      </c>
      <c r="DB312" s="31" t="str">
        <f>IF(ISNUMBER(SnapshotTable[[#This Row],[SP Option  Stop Contract]]),(SnapshotTable[[#This Row],[SP Option  Stop Contract]] *(SnapshotTable[[#This Row],[SP Qty]] * 100) - SnapshotTable[[#This Row],[SP Premium]]),"")</f>
        <v/>
      </c>
      <c r="DC312" s="4"/>
      <c r="DD312" s="4"/>
      <c r="DE312" s="4" t="str">
        <f>IF(AND(SnapshotTable[[#This Row],[SP Qty]]&gt;0, SnapshotTable[[#This Row],[SP Stop To Use]]&gt;0),SnapshotTable[[#This Row],[SP Premium]] - ( SnapshotTable[[#This Row],[SP Qty]] * SnapshotTable[[#This Row],[SP Stop To Use]] * 100), "")</f>
        <v/>
      </c>
      <c r="DF312" s="31" t="str">
        <f>IF(AND(SnapshotTable[[#This Row],[SP Qty]]&gt;0,SnapshotTable[[#This Row],[SP Current Ask]]&gt;0), SnapshotTable[[#This Row],[SP Qty]] * SnapshotTable[[#This Row],[SP Current Ask]] * -100, "")</f>
        <v/>
      </c>
      <c r="DG312" s="31" t="str">
        <f>IF(ISNUMBER((SnapshotTable[[#This Row],[SP Total Value]])), SnapshotTable[[#This Row],[SP Premium]] + SnapshotTable[[#This Row],[SP Total Value]], "")</f>
        <v/>
      </c>
      <c r="DH312" s="294" t="str">
        <f>IF(ISNUMBER((SnapshotTable[[#This Row],[SP Total Value]])), SnapshotTable[[#This Row],[SP Gain Loss]] / SnapshotTable[[#This Row],[SP Premium]], "")</f>
        <v/>
      </c>
      <c r="DI312" s="406"/>
      <c r="DJ312" s="138"/>
      <c r="DK312" s="148"/>
      <c r="DL312" s="13"/>
      <c r="DM312" s="13"/>
      <c r="DO312" s="31">
        <f>IF(SnapshotTable[[#This Row],[LC Symbol Count]]=1, SnapshotTable[[#This Row],[LC Qty]] * SnapshotTable[[#This Row],[LC Book Price]] * 100, 0)</f>
        <v>0</v>
      </c>
      <c r="DP312" s="163" t="str">
        <f>IF(AND(SnapshotTable[[#This Row],[LC Exp Date]]&gt;0, SnapshotTable[[#This Row],[LC Strike Price]]&gt;0,SnapshotTable[[#This Row],[LC Qty]]&gt;0,SnapshotTable[[#This Row],[LC Book Date]]&gt;0,SnapshotTable[[#This Row],[LC Book Price]]&gt;0,SnapshotTable[[#This Row],[LC Fill Date]]=0),"Y","")</f>
        <v/>
      </c>
      <c r="DQ312" s="386" t="str">
        <f>IF(SnapshotTable[[#This Row],[LC Premium]] &gt; 0,SnapshotTable[[#This Row],[LC Exp Date]]-MAX(SnapshotTable[[#This Row],[LC Book Date]], SnapshotTable[[#This Row],[LC Fill Date]]),"")</f>
        <v/>
      </c>
      <c r="DR312" s="386" t="str">
        <f>IF(ISNUMBER(SnapshotTable[[#This Row],[LC Term]]), SnapshotTable[[#This Row],[LC Exp Date]] - MockToday, "")</f>
        <v/>
      </c>
      <c r="DS312" s="234" t="str">
        <f>IF(SnapshotTable[[#This Row],[LC Premium]]&gt;0,SnapshotTable[[#This Row],[LC Strike Price]] + SnapshotTable[[#This Row],[LC Book Price]],"")</f>
        <v/>
      </c>
      <c r="DU312" s="9" t="str">
        <f>IF(AND(SnapshotTable[[#This Row],[LC Symbol Count]]&gt;0, SnapshotTable[[#This Row],[LC Contract Value]]&gt;0), SnapshotTable[[#This Row],[LC Contract Value]] * SnapshotTable[[#This Row],[LC Qty]] * 100, "")</f>
        <v/>
      </c>
      <c r="DV312" s="9" t="str">
        <f>IF(AND(ISNUMBER(SnapshotTable[[#This Row],[LC Total Value]]), SnapshotTable[[#This Row],[LC Not Filled]]&lt;&gt;"Y"), SnapshotTable[[#This Row],[LC Total Value]]-SnapshotTable[[#This Row],[LC Premium]],"")</f>
        <v/>
      </c>
      <c r="DW312" s="240" t="str">
        <f>IF(ISNUMBER(SnapshotTable[[#This Row],[LC Actual Gain Loss]]), SnapshotTable[[#This Row],[LC Actual Gain Loss]] / SnapshotTable[[#This Row],[LC Premium]],"")</f>
        <v/>
      </c>
      <c r="DX312" s="284" t="str">
        <f>IF(ISNUMBER(SnapshotTable[[#This Row],[LC Book Price]]),SnapshotTable[[#This Row],[LC Book Price]] * 1.5,"")</f>
        <v/>
      </c>
      <c r="DY312" s="265" t="str">
        <f>IF(SnapshotTable[[#This Row],[LC Premium]]&gt;0, SnapshotTable[[#This Row],[LC Next Target]] * SnapshotTable[[#This Row],[LC Qty]] * 100,"")</f>
        <v/>
      </c>
      <c r="DZ312" s="265" t="str">
        <f>IF(ISNUMBER(SnapshotTable[[#This Row],[LC Target Gross]]), SnapshotTable[[#This Row],[LC Target Gross]] - SnapshotTable[[#This Row],[LC Premium]], "")</f>
        <v/>
      </c>
      <c r="EA312" s="305" t="str">
        <f>IF(ISNUMBER(SnapshotTable[[#This Row],[LC Target Gain Loss]]), SnapshotTable[[#This Row],[LC Target Gain Loss]]/SnapshotTable[[#This Row],[LC Premium]], "")</f>
        <v/>
      </c>
      <c r="EB312" s="262"/>
      <c r="EC312" s="283" t="str">
        <f>IF(SnapshotTable[[#This Row],[LC Premium]]&gt;0, SnapshotTable[[#This Row],[LC Book Price]] * (1 - LC_StopLoss_Pct),"")</f>
        <v/>
      </c>
      <c r="ED312" s="284"/>
      <c r="EE312" s="283" t="str">
        <f>IF(ISNUMBER(SnapshotTable[[#This Row],[LC Contract Value]]),IF(ISNUMBER(SnapshotTable[[#This Row],[LC Stop Loss Override]]), SnapshotTable[[#This Row],[LC Stop Loss Override]],SnapshotTable[[#This Row],[LC Stop Loss Calc Target]]),"")</f>
        <v/>
      </c>
      <c r="EF312" s="31" t="str">
        <f>IF(ISNUMBER(SnapshotTable[[#This Row],[LC Stop  To Use]]), (SnapshotTable[[#This Row],[LC Stop  To Use]] * SnapshotTable[[#This Row],[LC Qty]] * 100),"")</f>
        <v/>
      </c>
      <c r="EG312" s="9" t="str">
        <f>IF(ISNUMBER(SnapshotTable[[#This Row],[LC Total Value]]),SnapshotTable[[#This Row],[LC Stop Loss Amount]] - SnapshotTable[[#This Row],[LC Premium]],"")</f>
        <v/>
      </c>
      <c r="EH312" s="9">
        <f>IF(ISNUMBER(SnapshotTable[[#This Row],[LC Premium]]), SnapshotTable[[#This Row],[LC Qty]] * 100 * SnapshotTable[[#This Row],[LC Strike Price]], "")</f>
        <v>0</v>
      </c>
      <c r="EI312" s="240" t="str">
        <f>IF(AND(ISNUMBER(SnapshotTable[[#This Row],[LC Total Value]]),SnapshotTable[[#This Row],[LC Total Value]]&gt;0),SnapshotTable[[#This Row],[LC Stop Gain Loss]]  / SnapshotTable[[#This Row],[LC Premium]],"")</f>
        <v/>
      </c>
      <c r="EJ312" s="35">
        <f>IF(ISNUMBER(SnapshotTable[[#This Row],[Equity Shares]]),TRUNC(SnapshotTable[[#This Row],[Equity Shares]] / 100),0) + SnapshotTable[[#This Row],[LC Qty]]</f>
        <v>0</v>
      </c>
      <c r="EK312" s="147"/>
      <c r="EL312" s="138" t="str">
        <f>IF(SnapshotTable[[#This Row],[SC Exp Date]]&lt;&gt;"",TRUNC(SnapshotTable[[#This Row],[Last Price]]),"")</f>
        <v/>
      </c>
      <c r="EM312" s="148"/>
      <c r="EN312" s="147"/>
      <c r="EO312" s="147"/>
      <c r="EP312" s="138"/>
      <c r="EQ312" s="419" t="b">
        <f>AND(ISNUMBER(SnapshotTable[[#This Row],[SC Exp Date]]), ISNUMBER(SnapshotTable[[#This Row],[SC Strike Price]]), ISNUMBER(SnapshotTable[[#This Row],[SC Qty]]), ISNUMBER(SnapshotTable[[#This Row],[SC Book Date]]), ISNUMBER(SnapshotTable[[#This Row],[SC Book Price]]))</f>
        <v>0</v>
      </c>
      <c r="ER312" s="419" t="b">
        <f>AND(SnapshotTable[[#This Row],[SC Is Booked]], NOT(ISBLANK(SnapshotTable[[#This Row],[SC Fill Date]])))</f>
        <v>0</v>
      </c>
      <c r="ES312" s="370"/>
      <c r="ET312" s="34" t="str">
        <f>IF(AND(ISNUMBER(SnapshotTable[[#This Row],[SC Exp Date]]), ISNUMBER(SnapshotTable[[#This Row],[SC Book Date]])), SnapshotTable[[#This Row],[SC Exp Date]] - MAX(SnapshotTable[[#This Row],[SC Book Date]], SnapshotTable[[#This Row],[SC Fill Date]]) + 1, "")</f>
        <v/>
      </c>
      <c r="EU312" s="34" t="str">
        <f>IF(ISNUMBER(SnapshotTable[[#This Row],[SC Term]]), SnapshotTable[[#This Row],[SC Exp Date]]- MockToday, "")</f>
        <v/>
      </c>
      <c r="EV312" s="31">
        <f>IF(SnapshotTable[[#This Row],[SC Is Booked]], SnapshotTable[[#This Row],[SC Qty]] * SnapshotTable[[#This Row],[SC Book Price]] * 100, 0)</f>
        <v>0</v>
      </c>
      <c r="EW312" s="4" t="str">
        <f>IF(AND(ISNUMBER(SnapshotTable[[#This Row],[Last Price]]), ISNUMBER( SnapshotTable[[#This Row],[SC Book Price]])), SnapshotTable[[#This Row],[Last Price]] - SnapshotTable[[#This Row],[SC Book Price]],"")</f>
        <v/>
      </c>
      <c r="EX312" s="234" t="str">
        <f>IF(SnapshotTable[[#This Row],[SC Is Booked]],IF(SnapshotTable[[#This Row],[SC Intrinsic Value]] &gt; 0, SnapshotTable[[#This Row],[SC Strike Price]], SnapshotTable[[#This Row],[Last Price]]), "")</f>
        <v/>
      </c>
      <c r="EY312" s="4">
        <f>IF(SnapshotTable[[#This Row],[SC Is Booked]], (MinimumPremiumRequired * SnapshotTable[[#This Row],[SC Basis]] * SnapshotTable[[#This Row],[SC Term]]), 0)</f>
        <v>0</v>
      </c>
      <c r="EZ312" s="283"/>
      <c r="FA312" s="218"/>
      <c r="FB312" s="370"/>
      <c r="FC312" s="4">
        <f>IF(SnapshotTable[[#This Row],[SC Is Filled]], btc_max_buyback_amount(SnapshotTable[[#This Row],[SC Fill Date]],SnapshotTable[[#This Row],[SC Exp Date]], SnapshotTable[[#This Row],[SC Book Price]]),0)</f>
        <v>0</v>
      </c>
      <c r="FD312" s="5"/>
      <c r="FE312" s="144" t="str">
        <f>IF(SnapshotTable[[#This Row],[SC Is Filled]], btc_next_cutoff_date(SnapshotTable[[#This Row],[SC Fill Date]],SnapshotTable[[#This Row],[SC Exp Date]]),"")</f>
        <v/>
      </c>
      <c r="FF312" s="4" t="str" cm="1">
        <f t="array" ref="FF312">IF(SnapshotTable[[#This Row],[SC Is Filled]], btc_should_buy_back(SnapshotTable[[#This Row],[SC Fill Date]], SnapshotTable[[#This Row],[SC Exp Date]], SnapshotTable[[#This Row],[SC Book Price]], SnapshotTable[[#This Row],[SC Current Ask]], MockToday, SnapshotTable[[#This Row],[SC Buyback Override]]),"")</f>
        <v/>
      </c>
      <c r="FG312" s="4">
        <f>IF(SnapshotTable[[#This Row],[SC Is Filled]], MAX(0,SnapshotTable[[#This Row],[Last Price]]  - SnapshotTable[[#This Row],[SC Strike Price]]), 0)</f>
        <v>0</v>
      </c>
      <c r="FH312" s="382">
        <f>IF(SnapshotTable[[#This Row],[SC Is Filled]], IF(ISNUMBER(SnapshotTable[[#This Row],[SC Current Ask]]), SnapshotTable[[#This Row],[SC Current Ask]], SnapshotTable[[#This Row],[SC Book Price]]) - SnapshotTable[[#This Row],[SC Intrinsic Value]], 0)</f>
        <v>0</v>
      </c>
      <c r="FI312" s="143"/>
      <c r="FJ312" s="32" t="str">
        <f>IF(SnapshotTable[[#This Row],[SC Is Filled]],100 * SnapshotTable[[#This Row],[SC Qty]] * IF(ISNUMBER(SnapshotTable[[#This Row],[SC Buyback Override]]), SnapshotTable[[#This Row],[SC Buyback Override]], SnapshotTable[[#This Row],[SC Current Ask]]), "")</f>
        <v/>
      </c>
      <c r="FK312" s="250" t="str">
        <f>IF(SnapshotTable[[#This Row],[SC Time Val]]&gt;0, SnapshotTable[[#This Row],[SC Time Val]] / SnapshotTable[[#This Row],[Last Price]],"")</f>
        <v/>
      </c>
      <c r="FL312" s="302" t="str">
        <f>IF(SnapshotTable[[#This Row],[SC Is Booked]], ((SnapshotTable[[#This Row],[Last Price]] -SnapshotTable[[#This Row],[SC Strike Price]]) / SnapshotTable[[#This Row],[Last Price]]) * -1, "")</f>
        <v/>
      </c>
      <c r="FM312" s="157" t="str">
        <f>IF(SnapshotTable[[#This Row],[SC Is Booked]],  (SnapshotTable[[#This Row],[SC Qty]] * 100 * SnapshotTable[[#This Row],[SC Strike Price]]) - SnapshotTable[[#This Row],[SC Current Ask]], "")</f>
        <v/>
      </c>
      <c r="FN312"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2" s="157" t="str">
        <f>IF(AND(ISNUMBER(SnapshotTable[[#This Row],[SC Exercise Gross]]), ISNUMBER(SnapshotTable[[#This Row],[Equity Basis Per Share]] )), SnapshotTable[[#This Row],[SC Exercise Gross]] - SnapshotTable[[#This Row],[Equity Basis Total]] +  SnapshotTable[[#This Row],[SC Premium]], "")</f>
        <v/>
      </c>
      <c r="FP312" s="5" t="str">
        <f>IF(ISNUMBER(SnapshotTable[[#This Row],[SC Exercise Gross]]), (SnapshotTable[[#This Row],[SC Exercise Gross]]) / (SnapshotTable[[#This Row],[SC Qty]] * 100), "")</f>
        <v/>
      </c>
      <c r="FQ312" s="27" t="str">
        <f>IF(SnapshotTable[[#This Row],[SC Is Booked]],SnapshotTable[[#This Row],[SC Time Val]] /SnapshotTable[[#This Row],[SC Basis]], "")</f>
        <v/>
      </c>
      <c r="FR312" s="27" t="str" cm="1">
        <f t="array" ref="FR312">IF(AND(ISNUMBER(SnapshotTable[[#This Row],[SC Term]]),ISNUMBER(SnapshotTable[[#This Row],[SC Simple ROO]])), EllmanAnnualize(SnapshotTable[[#This Row],[SC DTE]], SnapshotTable[[#This Row],[SC Simple ROO]] ),"")</f>
        <v/>
      </c>
      <c r="FS312" s="4" t="e">
        <f>IF(SnapshotTable[[#This Row],[SC Strike Price]] &gt; SnapshotTable[[#This Row],[Last Price]], SnapshotTable[[#This Row],[SC Strike Price]] - SnapshotTable[[#This Row],[Last Price]],0)</f>
        <v>#VALUE!</v>
      </c>
      <c r="FT312" s="27" t="e">
        <f>IF(AND(ISNUMBER(SnapshotTable[[#This Row],[SC Upside Potential]]), SnapshotTable[[#This Row],[SC Upside Potential]] &gt; 0),(SnapshotTable[[#This Row],[SC Upside Potential]]/ SnapshotTable[[#This Row],[ACB]]),"")</f>
        <v>#VALUE!</v>
      </c>
      <c r="FU312" s="333" t="str">
        <f>IF(SnapshotTable[[#This Row],[SC Intrinsic Value]] &gt; 0,SnapshotTable[[#This Row],[SC Intrinsic Value]],"")</f>
        <v/>
      </c>
      <c r="FV312" s="27" t="str">
        <f>IF(AND( ISNUMBER( SnapshotTable[[#This Row],[ACB]]),ISNUMBER(SnapshotTable[[#This Row],[SC Downside Protect]])),SnapshotTable[[#This Row],[SC Downside Protect]] / SnapshotTable[[#This Row],[ACB]],"")</f>
        <v/>
      </c>
      <c r="FW312" s="236" t="str">
        <f>IF(AND(ISNUMBER(SnapshotTable[[#This Row],[SC Simple ROO]]),SnapshotTable[[#This Row],[SC Simple ROO]] &gt; 0), SnapshotTable[[#This Row],[SC Premium]] + (SnapshotTable[[#This Row],[SC Qty]] * SnapshotTable[[#This Row],[SC Upside Potential]]), "")</f>
        <v/>
      </c>
      <c r="FX312" s="302" t="str" cm="1">
        <f t="array" ref="FX312">IF(ISNUMBER(SnapshotTable[[#This Row],[SC Max Dollars]]), annualize(SnapshotTable[[#This Row],[SC Term]],(SnapshotTable[[#This Row],[SC Max Dollars]]/SnapshotTable[[#This Row],[SC Basis]])),"")</f>
        <v/>
      </c>
      <c r="FY312" s="236" t="str">
        <f>IF(AND(SnapshotTable[[#This Row],[SC Qty]]&gt;0,SnapshotTable[[#This Row],[SC Current Ask]]&gt;0), SnapshotTable[[#This Row],[SC Qty]] * SnapshotTable[[#This Row],[SC Current Ask]] * -100, "")</f>
        <v/>
      </c>
      <c r="FZ312" s="31" t="str">
        <f>IF(ISNUMBER((SnapshotTable[[#This Row],[SC Current Value]])), SnapshotTable[[#This Row],[SC Premium]] + SnapshotTable[[#This Row],[SC Current Value]], "")</f>
        <v/>
      </c>
      <c r="GA312" s="294" t="str">
        <f>IFERROR( IF(ISNUMBER((SnapshotTable[[#This Row],[SC Current Value]])), SnapshotTable[[#This Row],[SC Gain Loss]] / SnapshotTable[[#This Row],[SC Premium]], ""), "")</f>
        <v/>
      </c>
      <c r="GB312" s="42">
        <f>SnapshotTable[[#This Row],[Equity Shares]] * SaleSharesToConsiderPercentage</f>
        <v>0</v>
      </c>
      <c r="GC312" s="40">
        <f>SnapshotTable[[#This Row],[Long Term Target]] * SellingPriceToConsiderBasedOnTargetPercentage</f>
        <v>75.135499999999993</v>
      </c>
      <c r="GD312" s="40">
        <f>SnapshotTable[[#This Row],[Last Price]] * (1+ SellingPriceToConsiderBasedOnTargetPercentage)</f>
        <v>111.267</v>
      </c>
      <c r="GE312" s="41"/>
      <c r="GF312" s="40"/>
      <c r="GG312" s="31">
        <f>SnapshotTable[[#This Row],[Booked Sale Shares]] * SnapshotTable[[#This Row],[Booked Sale Price]]</f>
        <v>0</v>
      </c>
      <c r="GH312" s="31" t="str">
        <f>IF(SnapshotTable[[#This Row],[Equity Basis Total]] &gt; 0, SnapshotTable[[#This Row],[Equity Basis Per Share]] * SnapshotTable[[#This Row],[Booked Sale Shares]], "")</f>
        <v/>
      </c>
      <c r="GI312" s="31">
        <f>IF(SnapshotTable[[#This Row],[Sale Proceeds]]&gt;0, SnapshotTable[[#This Row],[Sale Proceeds]] - SnapshotTable[[#This Row],[Sale Basis]], 0)</f>
        <v>0</v>
      </c>
      <c r="GJ312" s="158" t="str">
        <f>IF(SnapshotTable[[#This Row],[Sale G/L]]&gt;0, SnapshotTable[[#This Row],[Sale G/L]] / SnapshotTable[[#This Row],[Sale Basis]], IF(ISNUMBER(SnapshotTable[[#This Row],[SC Exercise P&amp;L (TAX)]]), SnapshotTable[[#This Row],[SC Exercise P&amp;L (TAX)]] / SnapshotTable[[#This Row],[SC Basis]], ""))</f>
        <v/>
      </c>
      <c r="GK312" s="158" t="s">
        <v>773</v>
      </c>
      <c r="GL312" s="159" t="str">
        <f>IF(AND(SnapshotTable[[#This Row],[LP Exp Date]]&gt;0,SnapshotTable[[#This Row],[LP Strike Price]]&gt;0), [1]!ToOptionSymbol(SnapshotTable[[#This Row],[Symbol]], SnapshotTable[[#This Row],[LP Strike Price]],SnapshotTable[[#This Row],[LP Exp Date]],1), "")</f>
        <v/>
      </c>
      <c r="GM312" s="30" t="str">
        <f>IF(LEN(SnapshotTable[[#This Row],[LP Symbol]])&gt;0, 1, "")</f>
        <v/>
      </c>
      <c r="GN312" s="43" t="str">
        <f>IF(AND(SnapshotTable[[#This Row],[SP Exp Date]]&gt;0,SnapshotTable[[#This Row],[SP Strike Price]]&gt;0), [1]!ToOptionSymbol(SnapshotTable[[#This Row],[Symbol]], SnapshotTable[[#This Row],[SP Strike Price]],SnapshotTable[[#This Row],[SP Exp Date]],1), "")</f>
        <v/>
      </c>
      <c r="GO312" s="30" t="str">
        <f>IF(LEN(SnapshotTable[[#This Row],[SP Symbol]])&gt;0, 1, "")</f>
        <v/>
      </c>
      <c r="GP312" s="159" t="str">
        <f>IF(AND(SnapshotTable[[#This Row],[LC Exp Date]]&gt;0,SnapshotTable[[#This Row],[LC Strike Price]]&gt;0), [1]!ToOptionSymbol(SnapshotTable[[#This Row],[Symbol]], SnapshotTable[[#This Row],[LC Strike Price]],SnapshotTable[[#This Row],[LC Exp Date]],0), "")</f>
        <v/>
      </c>
      <c r="GQ312" s="160" t="str">
        <f>IF(LEN(SnapshotTable[[#This Row],[LC Symbol]])&gt;0, 1, "")</f>
        <v/>
      </c>
      <c r="GR312" s="159" t="str">
        <f>IF(AND(SnapshotTable[[#This Row],[SC Exp Date]]&gt;0,SnapshotTable[[#This Row],[SC Strike Price]]&gt;0), [1]!ToOptionSymbol(SnapshotTable[[#This Row],[Symbol]], SnapshotTable[[#This Row],[SC Strike Price]],SnapshotTable[[#This Row],[SC Exp Date]],0), "")</f>
        <v/>
      </c>
      <c r="GS312" s="160" t="str">
        <f>IF(LEN(SnapshotTable[[#This Row],[SC Symbol]])&gt;0, 1, "")</f>
        <v/>
      </c>
      <c r="GT312" s="161" t="str">
        <f>IF(COUNT(SnapshotTable[[#This Row],[LP Symbol Count]],SnapshotTable[[#This Row],[SP Symbol Count]],SnapshotTable[[#This Row],[LC Symbol Count]],SnapshotTable[[#This Row],[SC Symbol Count]])&gt;0, "Y", "")</f>
        <v/>
      </c>
      <c r="GU31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2" s="231" t="e">
        <f>MAX(SnapshotTable[[#This Row],[Equity Basis Total]],SnapshotTable[[#This Row],[Equity Value]]) + (SnapshotTable[[#This Row],[SP Potential Spend]]- SnapshotTable[[#This Row],[SP Premium]] + SnapshotTable[[#This Row],[LP Premium]])+ (SnapshotTable[[#This Row],[LC Premium]] - SnapshotTable[[#This Row],[SC Premium]])</f>
        <v>#VALUE!</v>
      </c>
      <c r="GW312" s="139" t="e">
        <f>IF(AND(SnapshotTable[[#This Row],[Exposure]] &lt;&gt; 0),SnapshotTable[[#This Row],[Exposure]] / SnapshotTable[[#Totals],[Exposure]], "")</f>
        <v>#VALUE!</v>
      </c>
      <c r="HK312" s="1"/>
      <c r="HL312" s="1"/>
      <c r="HM312" s="1"/>
      <c r="HN312" s="1"/>
      <c r="HO312" s="1"/>
      <c r="HP312" s="1"/>
    </row>
    <row r="313" spans="2:224" ht="12.75" hidden="1" customHeight="1" x14ac:dyDescent="0.25">
      <c r="B313" s="12" t="s">
        <v>202</v>
      </c>
      <c r="C313" s="422">
        <v>927.31</v>
      </c>
      <c r="D313" s="208" t="s">
        <v>586</v>
      </c>
      <c r="E313" s="39">
        <f>SnapshotTable[[#This Row],[Last Price]]*(1 -CrashDiscount)</f>
        <v>788.21349999999995</v>
      </c>
      <c r="F313" s="26" t="s">
        <v>124</v>
      </c>
      <c r="G313" s="26" t="s">
        <v>14</v>
      </c>
      <c r="H313" s="149"/>
      <c r="I313" s="194">
        <v>44798.677083333336</v>
      </c>
      <c r="J313" s="195">
        <v>44798.677083333336</v>
      </c>
      <c r="K313" s="196"/>
      <c r="L313" s="326" t="s">
        <v>201</v>
      </c>
      <c r="M313" s="140">
        <v>1</v>
      </c>
      <c r="N313" s="140"/>
      <c r="O313" s="140"/>
      <c r="P313" s="22"/>
      <c r="Q313" s="25"/>
      <c r="R313" s="4" t="str">
        <f>IF(SnapshotTable[[#This Row],[Equity Basis Total]] &gt; 0, SnapshotTable[[#This Row],[Equity Basis Total]] / SnapshotTable[[#This Row],[Equity Shares]], "")</f>
        <v/>
      </c>
      <c r="S313" s="269">
        <f>SnapshotTable[[#This Row],[Last Price]] * SnapshotTable[[#This Row],[Equity Shares]]</f>
        <v>0</v>
      </c>
      <c r="T313" s="269">
        <f>SnapshotTable[[#This Row],[Equity Value]] - SnapshotTable[[#This Row],[Equity Basis Total]]</f>
        <v>0</v>
      </c>
      <c r="U313" s="270" t="str">
        <f>IF(SnapshotTable[[#This Row],[Equity Basis Total]] &gt; 0, SnapshotTable[[#This Row],[Equity G/L]] / SnapshotTable[[#This Row],[Equity Basis Total]], "")</f>
        <v/>
      </c>
      <c r="V313" s="268"/>
      <c r="W313" s="268"/>
      <c r="X313" s="4"/>
      <c r="Y313" s="4"/>
      <c r="Z313" s="275"/>
      <c r="AA313" s="31"/>
      <c r="AB313" s="31"/>
      <c r="AC313" s="150">
        <v>2.6</v>
      </c>
      <c r="AD313" s="151">
        <v>43972</v>
      </c>
      <c r="AE313" s="31">
        <f>(SnapshotTable[[#This Row],[Annual Dividend Per Share]] / 4) * SnapshotTable[[#This Row],[Equity Shares]]</f>
        <v>0</v>
      </c>
      <c r="AF313" s="31">
        <f>SnapshotTable[[#This Row],[Quarterly Div $]] * 4</f>
        <v>0</v>
      </c>
      <c r="AG313" s="7">
        <f>IF(SnapshotTable[[#This Row],[Annual Dividend Per Share]]&gt;0, SnapshotTable[[#This Row],[Annual Dividend Per Share]]  / SnapshotTable[[#This Row],[Last Price]], 0)</f>
        <v>2.8038088665063464E-3</v>
      </c>
      <c r="AH313" s="151"/>
      <c r="AI313" s="5">
        <v>350</v>
      </c>
      <c r="AJ313" s="138">
        <v>400.37</v>
      </c>
      <c r="AK313" s="152">
        <f>IF(ISNUMBER( SnapshotTable[[#This Row],[EBF Target]]),(SnapshotTable[[#This Row],[EBF Target]] - SnapshotTable[[#This Row],[Last Price]]) / SnapshotTable[[#This Row],[Last Price]], "")</f>
        <v>-0.6225641910472226</v>
      </c>
      <c r="AL313" s="152" t="str">
        <f>IF(AND(SnapshotTable[[#This Row],[Equity Basis Total]] &gt; 0,ISNUMBER( SnapshotTable[[#This Row],[Long Term Target]])), SnapshotTable[[#This Row],[From Basis $]] / SnapshotTable[[#This Row],[Equity Basis Total]], "")</f>
        <v/>
      </c>
      <c r="AM313" s="9">
        <f>IF( AND(SnapshotTable[[#This Row],[Equity Shares]] &gt;0,ISNUMBER( SnapshotTable[[#This Row],[Long Term Target]])),(SnapshotTable[[#This Row],[Equity Shares]] * SnapshotTable[[#This Row],[Long Term Target]]) - SnapshotTable[[#This Row],[Equity Basis Total]],0)</f>
        <v>0</v>
      </c>
      <c r="AN313" s="9">
        <f>IF( AND(SnapshotTable[[#This Row],[Equity Shares]] &gt;0,ISNUMBER( SnapshotTable[[#This Row],[Long Term Target]])),(SnapshotTable[[#This Row],[Equity Shares]]*SnapshotTable[[#This Row],[Long Term Target]]) - SnapshotTable[[#This Row],[Equity Value]],0)</f>
        <v>0</v>
      </c>
      <c r="AO313" s="152">
        <f>IF(AND(ISNUMBER( SnapshotTable[[#This Row],[Long Term Target]]), ISNUMBER(SnapshotTable[[#This Row],[Last Price]])),(SnapshotTable[[#This Row],[Long Term Target]] - SnapshotTable[[#This Row],[Last Price]]) / SnapshotTable[[#This Row],[Last Price]], "")</f>
        <v>-0.56824578619879007</v>
      </c>
      <c r="AP313" s="5">
        <v>350</v>
      </c>
      <c r="AQ313" s="38" t="s">
        <v>27</v>
      </c>
      <c r="AR313" s="5">
        <v>350</v>
      </c>
      <c r="AS313" s="38" t="s">
        <v>38</v>
      </c>
      <c r="AT313" s="146" t="s">
        <v>542</v>
      </c>
      <c r="AU313" s="187" t="str">
        <f>IF(OR(SnapshotTable[[#This Row],[LP No Fill]]="Y",SnapshotTable[[#This Row],[SP Is Filled]],SnapshotTable[[#This Row],[LC Not Filled]]="Y",SnapshotTable[[#This Row],[SC Is Filled]]),"Y","")</f>
        <v/>
      </c>
      <c r="AV313" s="219"/>
      <c r="AW313" s="225"/>
      <c r="AX313" s="220"/>
      <c r="AY313" s="219" t="str">
        <f>IF(SnapshotTable[[#This Row],[Implied Move]]&gt;0, SnapshotTable[[#This Row],[Last Price]]-SnapshotTable[[#This Row],[Implied Move]],"")</f>
        <v/>
      </c>
      <c r="AZ313" s="219" t="str">
        <f>IF(SnapshotTable[[#This Row],[Implied Move]]&gt;0, SnapshotTable[[#This Row],[Last Price]] + SnapshotTable[[#This Row],[Implied Move]],"")</f>
        <v/>
      </c>
      <c r="BA313" s="331">
        <v>304.72000000000003</v>
      </c>
      <c r="BB313" s="347"/>
      <c r="BC31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3" s="351"/>
      <c r="BE313" s="5"/>
      <c r="BF313" s="14"/>
      <c r="BG313" s="13"/>
      <c r="BH313" s="13"/>
      <c r="BI313" s="5"/>
      <c r="BJ313" s="136">
        <f>IF(SnapshotTable[[#This Row],[LP Qty]] &gt; 0, SnapshotTable[[#This Row],[LP Qty]] * SnapshotTable[[#This Row],[LP Book Price]] * 100,0)</f>
        <v>0</v>
      </c>
      <c r="BK313" s="136">
        <f>IF(SnapshotTable[[#This Row],[LP Premium]] &gt; 0, SnapshotTable[[#This Row],[LP Qty]] * SnapshotTable[[#This Row],[LP Strike Price]] * 100,0)</f>
        <v>0</v>
      </c>
      <c r="BL313" s="154"/>
      <c r="BM313" s="385" t="str">
        <f>IF(SnapshotTable[[#This Row],[LP Premium]] &gt; 0,SnapshotTable[[#This Row],[LP Exp Date]]-MAX(SnapshotTable[[#This Row],[LP Book Date]], SnapshotTable[[#This Row],[LP Fill Date]]),"")</f>
        <v/>
      </c>
      <c r="BN313" s="385" t="str">
        <f>IF(ISNUMBER( SnapshotTable[[#This Row],[LP Term]]), SnapshotTable[[#This Row],[LP Exp Date]] - MockToday,"")</f>
        <v/>
      </c>
      <c r="BO313" s="163" t="str">
        <f>IF(AND(SnapshotTable[[#This Row],[LP Exp Date]]&gt;0, SnapshotTable[[#This Row],[LP Strike Price]]&gt;0,SnapshotTable[[#This Row],[LP Qty]]&gt;0,SnapshotTable[[#This Row],[LP Book Date]]&gt;0,SnapshotTable[[#This Row],[LP Book Price]]&gt;0,SnapshotTable[[#This Row],[LP Fill Date]]=0),"Y","")</f>
        <v/>
      </c>
      <c r="BP313" s="31" t="str">
        <f>IF(AND(SnapshotTable[[#This Row],[LP No Fill]]&lt;&gt;"Y",SnapshotTable[[#This Row],[LP Contract Value]]&gt;0, SnapshotTable[[#This Row],[LP Qty]]&gt;0), SnapshotTable[[#This Row],[LP Contract Value]]*SnapshotTable[[#This Row],[LP Qty]]*100,"")</f>
        <v/>
      </c>
      <c r="BQ313" s="13"/>
      <c r="BR313" s="5" t="str">
        <f>IF(SnapshotTable[[#This Row],[SP Exp Date]]&lt;&gt;"",TRUNC(SnapshotTable[[#This Row],[Last Price]]),"")</f>
        <v/>
      </c>
      <c r="BS313" s="36"/>
      <c r="BT313" s="147"/>
      <c r="BU313" s="13"/>
      <c r="BV313" s="5"/>
      <c r="BW313" s="419" t="b">
        <f>AND(ISNUMBER(SnapshotTable[[#This Row],[SP Exp Date]]), ISNUMBER(SnapshotTable[[#This Row],[SP Strike Price]]), ISNUMBER(SnapshotTable[[#This Row],[SP Qty]]), ISNUMBER(SnapshotTable[[#This Row],[SP Book Date]]), ISNUMBER(SnapshotTable[[#This Row],[SP Book Price]]))</f>
        <v>0</v>
      </c>
      <c r="BX313" s="419" t="b">
        <f>AND(SnapshotTable[[#This Row],[SP Is Booked]], NOT(ISBLANK(SnapshotTable[[#This Row],[SP Fill Date]])))</f>
        <v>0</v>
      </c>
      <c r="BY313" s="33">
        <f>IF(SnapshotTable[[#This Row],[SP Is Booked]], SnapshotTable[[#This Row],[SP Qty]] * SnapshotTable[[#This Row],[SP Book Price]] * 100, 0)</f>
        <v>0</v>
      </c>
      <c r="BZ313" s="369"/>
      <c r="CA313" s="368">
        <f>SnapshotTable[[#This Row],[LP Qty]]</f>
        <v>0</v>
      </c>
      <c r="CB313" s="4" t="str">
        <f>IF(SnapshotTable[[#This Row],[SP Is Booked]], SnapshotTable[[#This Row],[SP Strike Price]] - SnapshotTable[[#This Row],[SP Book Price]], "")</f>
        <v/>
      </c>
      <c r="CC313" s="19" t="str">
        <f>IF(SnapshotTable[[#This Row],[SP Is Booked]],SnapshotTable[[#This Row],[SP Exp Date]]-MAX(SnapshotTable[[#This Row],[SP Book Date]], SnapshotTable[[#This Row],[SP Fill Date]]),"")</f>
        <v/>
      </c>
      <c r="CD313" s="7" t="str">
        <f>IF(SnapshotTable[[#This Row],[SP Is Booked]], SnapshotTable[[#This Row],[SP Book Price]]/SnapshotTable[[#This Row],[SP Strike Price]], "")</f>
        <v/>
      </c>
      <c r="CE313" s="7" t="str">
        <f>IF(ISNUMBER(SnapshotTable[[#This Row],[SP ROO Term]]),SnapshotTable[[#This Row],[SP ROO Term]]*(365/SnapshotTable[[#This Row],[SP Term]]),"")</f>
        <v/>
      </c>
      <c r="CF313" s="236">
        <f>SnapshotTable[[#This Row],[LP Strike Price]] * SnapshotTable[[#This Row],[LP Qty]] * 100</f>
        <v>0</v>
      </c>
      <c r="CG313" s="31" t="e">
        <f>IF(ISNUMBER(SnapshotTable[[#This Row],[SP Premium]]), (SnapshotTable[[#This Row],[SP Qty]] * SnapshotTable[[#This Row],[SP Strike Price]]* 100) - SnapshotTable[[#This Row],[LP Protection]], 0)</f>
        <v>#VALUE!</v>
      </c>
      <c r="CH313" s="7" t="str">
        <f>IF(ISNUMBER(SnapshotTable[[#This Row],[SP Break Even]]),-1 * (SnapshotTable[[#This Row],[SP Break Even]] - SnapshotTable[[#This Row],[Last Price]]) / SnapshotTable[[#This Row],[Last Price]], "")</f>
        <v/>
      </c>
      <c r="CI313" s="31">
        <f>IF(AND(ISNUMBER((SnapshotTable[[#This Row],[SP Potential Spend]])), SnapshotTable[[#This Row],[SP Strike Price]] &gt; SnapshotTable[[#This Row],[Last Price]], SnapshotTable[[#This Row],[SP Is Filled]]), SnapshotTable[[#This Row],[SP Potential Spend]] -  SnapshotTable[[#This Row],[LP Max Value]], 0)</f>
        <v>0</v>
      </c>
      <c r="CJ313" s="244"/>
      <c r="CK313" s="31" t="str">
        <f>IF(ISNUMBER(SnapshotTable[[#This Row],[SP Potential Spend]]),IF(ISNUMBER(SnapshotTable[[#This Row],[SP POW]]), SnapshotTable[[#This Row],[SP POW]] * SnapshotTable[[#This Row],[SP Potential Spend]], SnapshotTable[[#This Row],[SP Potential Spend]]), "")</f>
        <v/>
      </c>
      <c r="CL313" s="164" t="e">
        <f>IF(NOT(SnapshotTable[[#This Row],[SP Is Filled]]),(SnapshotTable[[#This Row],[SP Qty]] * SnapshotTable[[#This Row],[SP Strike Price]] * 100) - SnapshotTable[[#This Row],[LP Max Value]],"")</f>
        <v>#VALUE!</v>
      </c>
      <c r="CM313" s="31" t="str">
        <f>IF(SnapshotTable[[#This Row],[SP Actual Spend]]&lt;&gt;0, ((SnapshotTable[[#This Row],[SP Strike Price]]-SnapshotTable[[#This Row],[Last Price]]) *(SnapshotTable[[#This Row],[SP Qty]]*100) - SnapshotTable[[#This Row],[SP Premium]]) * - 1, "")</f>
        <v/>
      </c>
      <c r="CN313" s="218"/>
      <c r="CO313" s="369"/>
      <c r="CP313" s="4" t="str">
        <f>IF(SnapshotTable[[#This Row],[SP Is Filled]], btc_max_buyback_amount(SnapshotTable[[#This Row],[SP Fill Date]],SnapshotTable[[#This Row],[SP Exp Date]], SnapshotTable[[#This Row],[SP Book Price]]),"")</f>
        <v/>
      </c>
      <c r="CQ313" s="78"/>
      <c r="CR31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3" s="155" t="str">
        <f>IF(SnapshotTable[[#This Row],[SP Is Filled]], btc_next_cutoff_date(SnapshotTable[[#This Row],[SP Fill Date]],SnapshotTable[[#This Row],[SP Exp Date]]),"")</f>
        <v/>
      </c>
      <c r="CT313" s="235" t="str" cm="1">
        <f t="array" ref="CT313">IF(SnapshotTable[[#This Row],[SP Is Filled]], btc_should_buy_back(SnapshotTable[[#This Row],[SP Fill Date]], SnapshotTable[[#This Row],[SP Exp Date]], SnapshotTable[[#This Row],[SP Book Price]], SnapshotTable[[#This Row],[SP Current Ask]], MockToday, SnapshotTable[[#This Row],[SP Buyback Override]]),"")</f>
        <v/>
      </c>
      <c r="CU313" s="143"/>
      <c r="CV313" s="235"/>
      <c r="CW313" s="378" t="str">
        <f>IF(ISNUMBER( SnapshotTable[[#This Row],[SP Term]]), SnapshotTable[[#This Row],[SP Exp Date]] - MockToday,"")</f>
        <v/>
      </c>
      <c r="CX313" s="31" t="str">
        <f>IF(SnapshotTable[[#This Row],[SP Is Filled]],SnapshotTable[[#This Row],[SP Buyback Price to Use]] * 100 * SnapshotTable[[#This Row],[SP Qty]], "")</f>
        <v/>
      </c>
      <c r="CY313" s="4" t="str">
        <f>IF(ISNUMBER(SnapshotTable[[#This Row],[SP Strike Price]]), SnapshotTable[[#This Row],[SP Strike Price]] * (1 - SP_MaxLoss_StrikePct), "")</f>
        <v/>
      </c>
      <c r="CZ313" s="31" t="str">
        <f>IF(ISNUMBER(SnapshotTable[[#This Row],[SP Strike  Stop Per Share]]),SnapshotTable[[#This Row],[SP Premium]] - ((SnapshotTable[[#This Row],[SP Strike Price]]-SnapshotTable[[#This Row],[SP Strike  Stop Per Share]]) *(SnapshotTable[[#This Row],[SP Qty]] * 100)),"")</f>
        <v/>
      </c>
      <c r="DA313" s="4" t="str">
        <f>IF(AND(ISNUMBER(SnapshotTable[[#This Row],[SP Premium]]),SnapshotTable[[#This Row],[SP Premium]]&gt;0), SnapshotTable[[#This Row],[SP Book Price]] * (1 + SP_MaxLoss_OptionPct), "")</f>
        <v/>
      </c>
      <c r="DB313" s="31" t="str">
        <f>IF(ISNUMBER(SnapshotTable[[#This Row],[SP Option  Stop Contract]]),(SnapshotTable[[#This Row],[SP Option  Stop Contract]] *(SnapshotTable[[#This Row],[SP Qty]] * 100) - SnapshotTable[[#This Row],[SP Premium]]),"")</f>
        <v/>
      </c>
      <c r="DC313" s="4"/>
      <c r="DD313" s="4"/>
      <c r="DE313" s="4" t="str">
        <f>IF(AND(SnapshotTable[[#This Row],[SP Qty]]&gt;0, SnapshotTable[[#This Row],[SP Stop To Use]]&gt;0),SnapshotTable[[#This Row],[SP Premium]] - ( SnapshotTable[[#This Row],[SP Qty]] * SnapshotTable[[#This Row],[SP Stop To Use]] * 100), "")</f>
        <v/>
      </c>
      <c r="DF313" s="31" t="str">
        <f>IF(AND(SnapshotTable[[#This Row],[SP Qty]]&gt;0,SnapshotTable[[#This Row],[SP Current Ask]]&gt;0), SnapshotTable[[#This Row],[SP Qty]] * SnapshotTable[[#This Row],[SP Current Ask]] * -100, "")</f>
        <v/>
      </c>
      <c r="DG313" s="31" t="str">
        <f>IF(ISNUMBER((SnapshotTable[[#This Row],[SP Total Value]])), SnapshotTable[[#This Row],[SP Premium]] + SnapshotTable[[#This Row],[SP Total Value]], "")</f>
        <v/>
      </c>
      <c r="DH313" s="294" t="str">
        <f>IF(ISNUMBER((SnapshotTable[[#This Row],[SP Total Value]])), SnapshotTable[[#This Row],[SP Gain Loss]] / SnapshotTable[[#This Row],[SP Premium]], "")</f>
        <v/>
      </c>
      <c r="DI313" s="406"/>
      <c r="DJ313" s="138"/>
      <c r="DK313" s="148"/>
      <c r="DL313" s="13"/>
      <c r="DM313" s="13"/>
      <c r="DO313" s="31">
        <f>IF(SnapshotTable[[#This Row],[LC Symbol Count]]=1, SnapshotTable[[#This Row],[LC Qty]] * SnapshotTable[[#This Row],[LC Book Price]] * 100, 0)</f>
        <v>0</v>
      </c>
      <c r="DP313" s="163" t="str">
        <f>IF(AND(SnapshotTable[[#This Row],[LC Exp Date]]&gt;0, SnapshotTable[[#This Row],[LC Strike Price]]&gt;0,SnapshotTable[[#This Row],[LC Qty]]&gt;0,SnapshotTable[[#This Row],[LC Book Date]]&gt;0,SnapshotTable[[#This Row],[LC Book Price]]&gt;0,SnapshotTable[[#This Row],[LC Fill Date]]=0),"Y","")</f>
        <v/>
      </c>
      <c r="DQ313" s="386" t="str">
        <f>IF(SnapshotTable[[#This Row],[LC Premium]] &gt; 0,SnapshotTable[[#This Row],[LC Exp Date]]-MAX(SnapshotTable[[#This Row],[LC Book Date]], SnapshotTable[[#This Row],[LC Fill Date]]),"")</f>
        <v/>
      </c>
      <c r="DR313" s="386" t="str">
        <f>IF(ISNUMBER(SnapshotTable[[#This Row],[LC Term]]), SnapshotTable[[#This Row],[LC Exp Date]] - MockToday, "")</f>
        <v/>
      </c>
      <c r="DS313" s="234" t="str">
        <f>IF(SnapshotTable[[#This Row],[LC Premium]]&gt;0,SnapshotTable[[#This Row],[LC Strike Price]] + SnapshotTable[[#This Row],[LC Book Price]],"")</f>
        <v/>
      </c>
      <c r="DU313" s="9" t="str">
        <f>IF(AND(SnapshotTable[[#This Row],[LC Symbol Count]]&gt;0, SnapshotTable[[#This Row],[LC Contract Value]]&gt;0), SnapshotTable[[#This Row],[LC Contract Value]] * SnapshotTable[[#This Row],[LC Qty]] * 100, "")</f>
        <v/>
      </c>
      <c r="DV313" s="9" t="str">
        <f>IF(AND(ISNUMBER(SnapshotTable[[#This Row],[LC Total Value]]), SnapshotTable[[#This Row],[LC Not Filled]]&lt;&gt;"Y"), SnapshotTable[[#This Row],[LC Total Value]]-SnapshotTable[[#This Row],[LC Premium]],"")</f>
        <v/>
      </c>
      <c r="DW313" s="240" t="str">
        <f>IF(ISNUMBER(SnapshotTable[[#This Row],[LC Actual Gain Loss]]), SnapshotTable[[#This Row],[LC Actual Gain Loss]] / SnapshotTable[[#This Row],[LC Premium]],"")</f>
        <v/>
      </c>
      <c r="DX313" s="284" t="str">
        <f>IF(ISNUMBER(SnapshotTable[[#This Row],[LC Book Price]]),SnapshotTable[[#This Row],[LC Book Price]] * 1.5,"")</f>
        <v/>
      </c>
      <c r="DY313" s="265" t="str">
        <f>IF(SnapshotTable[[#This Row],[LC Premium]]&gt;0, SnapshotTable[[#This Row],[LC Next Target]] * SnapshotTable[[#This Row],[LC Qty]] * 100,"")</f>
        <v/>
      </c>
      <c r="DZ313" s="265" t="str">
        <f>IF(ISNUMBER(SnapshotTable[[#This Row],[LC Target Gross]]), SnapshotTable[[#This Row],[LC Target Gross]] - SnapshotTable[[#This Row],[LC Premium]], "")</f>
        <v/>
      </c>
      <c r="EA313" s="305" t="str">
        <f>IF(ISNUMBER(SnapshotTable[[#This Row],[LC Target Gain Loss]]), SnapshotTable[[#This Row],[LC Target Gain Loss]]/SnapshotTable[[#This Row],[LC Premium]], "")</f>
        <v/>
      </c>
      <c r="EB313" s="262"/>
      <c r="EC313" s="283" t="str">
        <f>IF(SnapshotTable[[#This Row],[LC Premium]]&gt;0, SnapshotTable[[#This Row],[LC Book Price]] * (1 - LC_StopLoss_Pct),"")</f>
        <v/>
      </c>
      <c r="ED313" s="284"/>
      <c r="EE313" s="283" t="str">
        <f>IF(ISNUMBER(SnapshotTable[[#This Row],[LC Contract Value]]),IF(ISNUMBER(SnapshotTable[[#This Row],[LC Stop Loss Override]]), SnapshotTable[[#This Row],[LC Stop Loss Override]],SnapshotTable[[#This Row],[LC Stop Loss Calc Target]]),"")</f>
        <v/>
      </c>
      <c r="EF313" s="31" t="str">
        <f>IF(ISNUMBER(SnapshotTable[[#This Row],[LC Stop  To Use]]), (SnapshotTable[[#This Row],[LC Stop  To Use]] * SnapshotTable[[#This Row],[LC Qty]] * 100),"")</f>
        <v/>
      </c>
      <c r="EG313" s="9" t="str">
        <f>IF(ISNUMBER(SnapshotTable[[#This Row],[LC Total Value]]),SnapshotTable[[#This Row],[LC Stop Loss Amount]] - SnapshotTable[[#This Row],[LC Premium]],"")</f>
        <v/>
      </c>
      <c r="EH313" s="9">
        <f>IF(ISNUMBER(SnapshotTable[[#This Row],[LC Premium]]), SnapshotTable[[#This Row],[LC Qty]] * 100 * SnapshotTable[[#This Row],[LC Strike Price]], "")</f>
        <v>0</v>
      </c>
      <c r="EI313" s="240" t="str">
        <f>IF(AND(ISNUMBER(SnapshotTable[[#This Row],[LC Total Value]]),SnapshotTable[[#This Row],[LC Total Value]]&gt;0),SnapshotTable[[#This Row],[LC Stop Gain Loss]]  / SnapshotTable[[#This Row],[LC Premium]],"")</f>
        <v/>
      </c>
      <c r="EJ313" s="35">
        <f>IF(ISNUMBER(SnapshotTable[[#This Row],[Equity Shares]]),TRUNC(SnapshotTable[[#This Row],[Equity Shares]] / 100),0) + SnapshotTable[[#This Row],[LC Qty]]</f>
        <v>0</v>
      </c>
      <c r="EK313" s="147"/>
      <c r="EL313" s="138" t="str">
        <f>IF(SnapshotTable[[#This Row],[SC Exp Date]]&lt;&gt;"",TRUNC(SnapshotTable[[#This Row],[Last Price]]),"")</f>
        <v/>
      </c>
      <c r="EM313" s="148"/>
      <c r="EN313" s="147"/>
      <c r="EO313" s="147"/>
      <c r="EP313" s="138"/>
      <c r="EQ313" s="419" t="b">
        <f>AND(ISNUMBER(SnapshotTable[[#This Row],[SC Exp Date]]), ISNUMBER(SnapshotTable[[#This Row],[SC Strike Price]]), ISNUMBER(SnapshotTable[[#This Row],[SC Qty]]), ISNUMBER(SnapshotTable[[#This Row],[SC Book Date]]), ISNUMBER(SnapshotTable[[#This Row],[SC Book Price]]))</f>
        <v>0</v>
      </c>
      <c r="ER313" s="419" t="b">
        <f>AND(SnapshotTable[[#This Row],[SC Is Booked]], NOT(ISBLANK(SnapshotTable[[#This Row],[SC Fill Date]])))</f>
        <v>0</v>
      </c>
      <c r="ES313" s="370"/>
      <c r="ET313" s="34" t="str">
        <f>IF(AND(ISNUMBER(SnapshotTable[[#This Row],[SC Exp Date]]), ISNUMBER(SnapshotTable[[#This Row],[SC Book Date]])), SnapshotTable[[#This Row],[SC Exp Date]] - MAX(SnapshotTable[[#This Row],[SC Book Date]], SnapshotTable[[#This Row],[SC Fill Date]]) + 1, "")</f>
        <v/>
      </c>
      <c r="EU313" s="34" t="str">
        <f>IF(ISNUMBER(SnapshotTable[[#This Row],[SC Term]]), SnapshotTable[[#This Row],[SC Exp Date]]- MockToday, "")</f>
        <v/>
      </c>
      <c r="EV313" s="31">
        <f>IF(SnapshotTable[[#This Row],[SC Is Booked]], SnapshotTable[[#This Row],[SC Qty]] * SnapshotTable[[#This Row],[SC Book Price]] * 100, 0)</f>
        <v>0</v>
      </c>
      <c r="EW313" s="4" t="str">
        <f>IF(AND(ISNUMBER(SnapshotTable[[#This Row],[Last Price]]), ISNUMBER( SnapshotTable[[#This Row],[SC Book Price]])), SnapshotTable[[#This Row],[Last Price]] - SnapshotTable[[#This Row],[SC Book Price]],"")</f>
        <v/>
      </c>
      <c r="EX313" s="234" t="str">
        <f>IF(SnapshotTable[[#This Row],[SC Is Booked]],IF(SnapshotTable[[#This Row],[SC Intrinsic Value]] &gt; 0, SnapshotTable[[#This Row],[SC Strike Price]], SnapshotTable[[#This Row],[Last Price]]), "")</f>
        <v/>
      </c>
      <c r="EY313" s="4">
        <f>IF(SnapshotTable[[#This Row],[SC Is Booked]], (MinimumPremiumRequired * SnapshotTable[[#This Row],[SC Basis]] * SnapshotTable[[#This Row],[SC Term]]), 0)</f>
        <v>0</v>
      </c>
      <c r="EZ313" s="283"/>
      <c r="FA313" s="218"/>
      <c r="FB313" s="370"/>
      <c r="FC313" s="4">
        <f>IF(SnapshotTable[[#This Row],[SC Is Filled]], btc_max_buyback_amount(SnapshotTable[[#This Row],[SC Fill Date]],SnapshotTable[[#This Row],[SC Exp Date]], SnapshotTable[[#This Row],[SC Book Price]]),0)</f>
        <v>0</v>
      </c>
      <c r="FD313" s="5"/>
      <c r="FE313" s="144" t="str">
        <f>IF(SnapshotTable[[#This Row],[SC Is Filled]], btc_next_cutoff_date(SnapshotTable[[#This Row],[SC Fill Date]],SnapshotTable[[#This Row],[SC Exp Date]]),"")</f>
        <v/>
      </c>
      <c r="FF313" s="4" t="str" cm="1">
        <f t="array" ref="FF313">IF(SnapshotTable[[#This Row],[SC Is Filled]], btc_should_buy_back(SnapshotTable[[#This Row],[SC Fill Date]], SnapshotTable[[#This Row],[SC Exp Date]], SnapshotTable[[#This Row],[SC Book Price]], SnapshotTable[[#This Row],[SC Current Ask]], MockToday, SnapshotTable[[#This Row],[SC Buyback Override]]),"")</f>
        <v/>
      </c>
      <c r="FG313" s="4">
        <f>IF(SnapshotTable[[#This Row],[SC Is Filled]], MAX(0,SnapshotTable[[#This Row],[Last Price]]  - SnapshotTable[[#This Row],[SC Strike Price]]), 0)</f>
        <v>0</v>
      </c>
      <c r="FH313" s="382">
        <f>IF(SnapshotTable[[#This Row],[SC Is Filled]], IF(ISNUMBER(SnapshotTable[[#This Row],[SC Current Ask]]), SnapshotTable[[#This Row],[SC Current Ask]], SnapshotTable[[#This Row],[SC Book Price]]) - SnapshotTable[[#This Row],[SC Intrinsic Value]], 0)</f>
        <v>0</v>
      </c>
      <c r="FI313" s="143"/>
      <c r="FJ313" s="32" t="str">
        <f>IF(SnapshotTable[[#This Row],[SC Is Filled]],100 * SnapshotTable[[#This Row],[SC Qty]] * IF(ISNUMBER(SnapshotTable[[#This Row],[SC Buyback Override]]), SnapshotTable[[#This Row],[SC Buyback Override]], SnapshotTable[[#This Row],[SC Current Ask]]), "")</f>
        <v/>
      </c>
      <c r="FK313" s="250" t="str">
        <f>IF(SnapshotTable[[#This Row],[SC Time Val]]&gt;0, SnapshotTable[[#This Row],[SC Time Val]] / SnapshotTable[[#This Row],[Last Price]],"")</f>
        <v/>
      </c>
      <c r="FL313" s="302" t="str">
        <f>IF(SnapshotTable[[#This Row],[SC Is Booked]], ((SnapshotTable[[#This Row],[Last Price]] -SnapshotTable[[#This Row],[SC Strike Price]]) / SnapshotTable[[#This Row],[Last Price]]) * -1, "")</f>
        <v/>
      </c>
      <c r="FM313" s="157" t="str">
        <f>IF(SnapshotTable[[#This Row],[SC Is Booked]],  (SnapshotTable[[#This Row],[SC Qty]] * 100 * SnapshotTable[[#This Row],[SC Strike Price]]) - SnapshotTable[[#This Row],[SC Current Ask]], "")</f>
        <v/>
      </c>
      <c r="FN31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3" s="31" t="str">
        <f>IF(AND(ISNUMBER(SnapshotTable[[#This Row],[SC Exercise Gross]]), ISNUMBER(SnapshotTable[[#This Row],[Equity Basis Per Share]] )), SnapshotTable[[#This Row],[SC Exercise Gross]] - SnapshotTable[[#This Row],[Equity Basis Total]] +  SnapshotTable[[#This Row],[SC Premium]], "")</f>
        <v/>
      </c>
      <c r="FP313" s="5" t="str">
        <f>IF(ISNUMBER(SnapshotTable[[#This Row],[SC Exercise Gross]]), (SnapshotTable[[#This Row],[SC Exercise Gross]]) / (SnapshotTable[[#This Row],[SC Qty]] * 100), "")</f>
        <v/>
      </c>
      <c r="FQ313" s="27" t="str">
        <f>IF(SnapshotTable[[#This Row],[SC Is Booked]],SnapshotTable[[#This Row],[SC Time Val]] /SnapshotTable[[#This Row],[SC Basis]], "")</f>
        <v/>
      </c>
      <c r="FR313" s="27" t="str" cm="1">
        <f t="array" ref="FR313">IF(AND(ISNUMBER(SnapshotTable[[#This Row],[SC Term]]),ISNUMBER(SnapshotTable[[#This Row],[SC Simple ROO]])), EllmanAnnualize(SnapshotTable[[#This Row],[SC DTE]], SnapshotTable[[#This Row],[SC Simple ROO]] ),"")</f>
        <v/>
      </c>
      <c r="FS313" s="4" t="e">
        <f>IF(SnapshotTable[[#This Row],[SC Strike Price]] &gt; SnapshotTable[[#This Row],[Last Price]], SnapshotTable[[#This Row],[SC Strike Price]] - SnapshotTable[[#This Row],[Last Price]],0)</f>
        <v>#VALUE!</v>
      </c>
      <c r="FT313" s="27" t="e">
        <f>IF(AND(ISNUMBER(SnapshotTable[[#This Row],[SC Upside Potential]]), SnapshotTable[[#This Row],[SC Upside Potential]] &gt; 0),(SnapshotTable[[#This Row],[SC Upside Potential]]/ SnapshotTable[[#This Row],[ACB]]),"")</f>
        <v>#VALUE!</v>
      </c>
      <c r="FU313" s="333" t="str">
        <f>IF(SnapshotTable[[#This Row],[SC Intrinsic Value]] &gt; 0,SnapshotTable[[#This Row],[SC Intrinsic Value]],"")</f>
        <v/>
      </c>
      <c r="FV313" s="27" t="str">
        <f>IF(AND( ISNUMBER( SnapshotTable[[#This Row],[ACB]]),ISNUMBER(SnapshotTable[[#This Row],[SC Downside Protect]])),SnapshotTable[[#This Row],[SC Downside Protect]] / SnapshotTable[[#This Row],[ACB]],"")</f>
        <v/>
      </c>
      <c r="FW313" s="236" t="str">
        <f>IF(AND(ISNUMBER(SnapshotTable[[#This Row],[SC Simple ROO]]),SnapshotTable[[#This Row],[SC Simple ROO]] &gt; 0), SnapshotTable[[#This Row],[SC Premium]] + (SnapshotTable[[#This Row],[SC Qty]] * SnapshotTable[[#This Row],[SC Upside Potential]]), "")</f>
        <v/>
      </c>
      <c r="FX313" s="302" t="str" cm="1">
        <f t="array" ref="FX313">IF(ISNUMBER(SnapshotTable[[#This Row],[SC Max Dollars]]), annualize(SnapshotTable[[#This Row],[SC Term]],(SnapshotTable[[#This Row],[SC Max Dollars]]/SnapshotTable[[#This Row],[SC Basis]])),"")</f>
        <v/>
      </c>
      <c r="FY313" s="236" t="str">
        <f>IF(AND(SnapshotTable[[#This Row],[SC Qty]]&gt;0,SnapshotTable[[#This Row],[SC Current Ask]]&gt;0), SnapshotTable[[#This Row],[SC Qty]] * SnapshotTable[[#This Row],[SC Current Ask]] * -100, "")</f>
        <v/>
      </c>
      <c r="FZ313" s="31" t="str">
        <f>IF(ISNUMBER((SnapshotTable[[#This Row],[SC Current Value]])), SnapshotTable[[#This Row],[SC Premium]] + SnapshotTable[[#This Row],[SC Current Value]], "")</f>
        <v/>
      </c>
      <c r="GA313" s="294" t="str">
        <f>IFERROR( IF(ISNUMBER((SnapshotTable[[#This Row],[SC Current Value]])), SnapshotTable[[#This Row],[SC Gain Loss]] / SnapshotTable[[#This Row],[SC Premium]], ""), "")</f>
        <v/>
      </c>
      <c r="GB313" s="42">
        <f>SnapshotTable[[#This Row],[Equity Shares]] * SaleSharesToConsiderPercentage</f>
        <v>0</v>
      </c>
      <c r="GC313" s="40">
        <f>SnapshotTable[[#This Row],[Long Term Target]] * SellingPriceToConsiderBasedOnTargetPercentage</f>
        <v>380.35149999999999</v>
      </c>
      <c r="GD313" s="40">
        <f>SnapshotTable[[#This Row],[Last Price]] * (1+ SellingPriceToConsiderBasedOnTargetPercentage)</f>
        <v>1808.2544999999998</v>
      </c>
      <c r="GE313" s="41"/>
      <c r="GF313" s="40">
        <v>123.88</v>
      </c>
      <c r="GG313" s="31">
        <f>SnapshotTable[[#This Row],[Booked Sale Shares]] * SnapshotTable[[#This Row],[Booked Sale Price]]</f>
        <v>0</v>
      </c>
      <c r="GH313" s="31" t="str">
        <f>IF(SnapshotTable[[#This Row],[Equity Basis Total]] &gt; 0, SnapshotTable[[#This Row],[Equity Basis Per Share]] * SnapshotTable[[#This Row],[Booked Sale Shares]], "")</f>
        <v/>
      </c>
      <c r="GI313" s="31">
        <f>IF(SnapshotTable[[#This Row],[Sale Proceeds]]&gt;0, SnapshotTable[[#This Row],[Sale Proceeds]] - SnapshotTable[[#This Row],[Sale Basis]], 0)</f>
        <v>0</v>
      </c>
      <c r="GJ313" s="27" t="str">
        <f>IF(SnapshotTable[[#This Row],[Sale G/L]]&gt;0, SnapshotTable[[#This Row],[Sale G/L]] / SnapshotTable[[#This Row],[Sale Basis]], IF(ISNUMBER(SnapshotTable[[#This Row],[SC Exercise P&amp;L (TAX)]]), SnapshotTable[[#This Row],[SC Exercise P&amp;L (TAX)]] / SnapshotTable[[#This Row],[SC Basis]], ""))</f>
        <v/>
      </c>
      <c r="GK313" s="27" t="s">
        <v>670</v>
      </c>
      <c r="GL313" s="43" t="str">
        <f>IF(AND(SnapshotTable[[#This Row],[LP Exp Date]]&gt;0,SnapshotTable[[#This Row],[LP Strike Price]]&gt;0), [1]!ToOptionSymbol(SnapshotTable[[#This Row],[Symbol]], SnapshotTable[[#This Row],[LP Strike Price]],SnapshotTable[[#This Row],[LP Exp Date]],1), "")</f>
        <v/>
      </c>
      <c r="GM313" s="30" t="str">
        <f>IF(LEN(SnapshotTable[[#This Row],[LP Symbol]])&gt;0, 1, "")</f>
        <v/>
      </c>
      <c r="GN313" s="43" t="str">
        <f>IF(AND(SnapshotTable[[#This Row],[SP Exp Date]]&gt;0,SnapshotTable[[#This Row],[SP Strike Price]]&gt;0), [1]!ToOptionSymbol(SnapshotTable[[#This Row],[Symbol]], SnapshotTable[[#This Row],[SP Strike Price]],SnapshotTable[[#This Row],[SP Exp Date]],1), "")</f>
        <v/>
      </c>
      <c r="GO313" s="30" t="str">
        <f>IF(LEN(SnapshotTable[[#This Row],[SP Symbol]])&gt;0, 1, "")</f>
        <v/>
      </c>
      <c r="GP313" s="43" t="str">
        <f>IF(AND(SnapshotTable[[#This Row],[LC Exp Date]]&gt;0,SnapshotTable[[#This Row],[LC Strike Price]]&gt;0), [1]!ToOptionSymbol(SnapshotTable[[#This Row],[Symbol]], SnapshotTable[[#This Row],[LC Strike Price]],SnapshotTable[[#This Row],[LC Exp Date]],0), "")</f>
        <v/>
      </c>
      <c r="GQ313" s="30" t="str">
        <f>IF(LEN(SnapshotTable[[#This Row],[LC Symbol]])&gt;0, 1, "")</f>
        <v/>
      </c>
      <c r="GR313" s="43" t="str">
        <f>IF(AND(SnapshotTable[[#This Row],[SC Exp Date]]&gt;0,SnapshotTable[[#This Row],[SC Strike Price]]&gt;0), [1]!ToOptionSymbol(SnapshotTable[[#This Row],[Symbol]], SnapshotTable[[#This Row],[SC Strike Price]],SnapshotTable[[#This Row],[SC Exp Date]],0), "")</f>
        <v/>
      </c>
      <c r="GS313" s="30" t="str">
        <f>IF(LEN(SnapshotTable[[#This Row],[SC Symbol]])&gt;0, 1, "")</f>
        <v/>
      </c>
      <c r="GT313" s="29" t="str">
        <f>IF(COUNT(SnapshotTable[[#This Row],[LP Symbol Count]],SnapshotTable[[#This Row],[SP Symbol Count]],SnapshotTable[[#This Row],[LC Symbol Count]],SnapshotTable[[#This Row],[SC Symbol Count]])&gt;0, "Y", "")</f>
        <v/>
      </c>
      <c r="GU31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3" s="231" t="e">
        <f>MAX(SnapshotTable[[#This Row],[Equity Basis Total]],SnapshotTable[[#This Row],[Equity Value]]) + (SnapshotTable[[#This Row],[SP Potential Spend]]- SnapshotTable[[#This Row],[SP Premium]] + SnapshotTable[[#This Row],[LP Premium]])+ (SnapshotTable[[#This Row],[LC Premium]] - SnapshotTable[[#This Row],[SC Premium]])</f>
        <v>#VALUE!</v>
      </c>
      <c r="GW313" s="139" t="e">
        <f>IF(AND(SnapshotTable[[#This Row],[Exposure]] &lt;&gt; 0),SnapshotTable[[#This Row],[Exposure]] / SnapshotTable[[#Totals],[Exposure]], "")</f>
        <v>#VALUE!</v>
      </c>
      <c r="HK313" s="1"/>
      <c r="HL313" s="1"/>
      <c r="HM313" s="1"/>
      <c r="HN313" s="1"/>
      <c r="HO313" s="1"/>
      <c r="HP313" s="1"/>
    </row>
    <row r="314" spans="2:224" ht="12.75" hidden="1" customHeight="1" x14ac:dyDescent="0.25">
      <c r="B314" s="12" t="s">
        <v>493</v>
      </c>
      <c r="C314" s="422">
        <v>183.38</v>
      </c>
      <c r="D314" s="208"/>
      <c r="E314" s="39">
        <f>SnapshotTable[[#This Row],[Last Price]]*(1 -CrashDiscount)</f>
        <v>155.87299999999999</v>
      </c>
      <c r="F314" s="26" t="s">
        <v>230</v>
      </c>
      <c r="G314" s="26" t="s">
        <v>9</v>
      </c>
      <c r="H314" s="149"/>
      <c r="I314" s="194">
        <v>44776.670138888891</v>
      </c>
      <c r="J314" s="195">
        <v>44776.670138888891</v>
      </c>
      <c r="K314" s="196"/>
      <c r="L314" s="326"/>
      <c r="M314" s="140"/>
      <c r="N314" s="140"/>
      <c r="O314" s="140"/>
      <c r="P314" s="22"/>
      <c r="Q314" s="25"/>
      <c r="R314" s="4" t="str">
        <f>IF(SnapshotTable[[#This Row],[Equity Basis Total]] &gt; 0, SnapshotTable[[#This Row],[Equity Basis Total]] / SnapshotTable[[#This Row],[Equity Shares]], "")</f>
        <v/>
      </c>
      <c r="S314" s="269">
        <f>SnapshotTable[[#This Row],[Last Price]] * SnapshotTable[[#This Row],[Equity Shares]]</f>
        <v>0</v>
      </c>
      <c r="T314" s="269">
        <f>SnapshotTable[[#This Row],[Equity Value]] - SnapshotTable[[#This Row],[Equity Basis Total]]</f>
        <v>0</v>
      </c>
      <c r="U314" s="270" t="str">
        <f>IF(SnapshotTable[[#This Row],[Equity Basis Total]] &gt; 0, SnapshotTable[[#This Row],[Equity G/L]] / SnapshotTable[[#This Row],[Equity Basis Total]], "")</f>
        <v/>
      </c>
      <c r="V314" s="268"/>
      <c r="W314" s="268"/>
      <c r="X314" s="4" t="str">
        <f>IF(AND(ISNUMBER(SnapshotTable[[#This Row],[Equity Basis Per Share]]),ISNUMBER(SnapshotTable[[#This Row],[Equity Target]])),SnapshotTable[[#This Row],[Equity Target]]-SnapshotTable[[#This Row],[Equity Basis Per Share]],"")</f>
        <v/>
      </c>
      <c r="Y314" s="4" t="str">
        <f>IF(AND(ISNUMBER(SnapshotTable[[#This Row],[Equity Basis Per Share]]),ISNUMBER(SnapshotTable[[#This Row],[Equity Stop Loss]])),SnapshotTable[[#This Row],[Equity Stop Loss]]-SnapshotTable[[#This Row],[Equity Basis Per Share]],"")</f>
        <v/>
      </c>
      <c r="Z314" s="275" t="str">
        <f>IFERROR( TEXT(SnapshotTable[[#This Row],[Equity Max Gain Per Share]] /ABS( SnapshotTable[[#This Row],[Equity Max Loss Per Share]]),"0.0 " ) &amp; " : 1", "")</f>
        <v/>
      </c>
      <c r="AA314" s="31" t="str">
        <f>IF(ISNUMBER(SnapshotTable[[#This Row],[Equity Max Gain Per Share]]),SnapshotTable[[#This Row],[Equity Max Gain Per Share]] * SnapshotTable[[#This Row],[Equity Shares]],"")</f>
        <v/>
      </c>
      <c r="AB314" s="31" t="str">
        <f>IF(ISNUMBER(SnapshotTable[[#This Row],[Equity Max Loss Per Share]]),SnapshotTable[[#This Row],[Equity Max Loss Per Share]] * SnapshotTable[[#This Row],[Equity Shares]],"")</f>
        <v/>
      </c>
      <c r="AC314" s="150"/>
      <c r="AD314" s="151"/>
      <c r="AE314" s="31">
        <f>(SnapshotTable[[#This Row],[Annual Dividend Per Share]] / 4) * SnapshotTable[[#This Row],[Equity Shares]]</f>
        <v>0</v>
      </c>
      <c r="AF314" s="31">
        <f>SnapshotTable[[#This Row],[Quarterly Div $]] * 4</f>
        <v>0</v>
      </c>
      <c r="AG314" s="7">
        <f>IF(SnapshotTable[[#This Row],[Annual Dividend Per Share]]&gt;0, SnapshotTable[[#This Row],[Annual Dividend Per Share]]  / SnapshotTable[[#This Row],[Last Price]], 0)</f>
        <v>0</v>
      </c>
      <c r="AH314" s="151"/>
      <c r="AI314" s="5">
        <v>150</v>
      </c>
      <c r="AJ314" s="138">
        <v>224.95</v>
      </c>
      <c r="AK314" s="152">
        <f>IF(ISNUMBER( SnapshotTable[[#This Row],[EBF Target]]),(SnapshotTable[[#This Row],[EBF Target]] - SnapshotTable[[#This Row],[Last Price]]) / SnapshotTable[[#This Row],[Last Price]], "")</f>
        <v>-0.18202639328171008</v>
      </c>
      <c r="AL314" s="152" t="str">
        <f>IF(AND(SnapshotTable[[#This Row],[Equity Basis Total]] &gt; 0,ISNUMBER( SnapshotTable[[#This Row],[Long Term Target]])), SnapshotTable[[#This Row],[From Basis $]] / SnapshotTable[[#This Row],[Equity Basis Total]], "")</f>
        <v/>
      </c>
      <c r="AM314" s="9">
        <f>IF( AND(SnapshotTable[[#This Row],[Equity Shares]] &gt;0,ISNUMBER( SnapshotTable[[#This Row],[Long Term Target]])),(SnapshotTable[[#This Row],[Equity Shares]] * SnapshotTable[[#This Row],[Long Term Target]]) - SnapshotTable[[#This Row],[Equity Basis Total]],0)</f>
        <v>0</v>
      </c>
      <c r="AN314" s="9">
        <f>IF( AND(SnapshotTable[[#This Row],[Equity Shares]] &gt;0,ISNUMBER( SnapshotTable[[#This Row],[Long Term Target]])),(SnapshotTable[[#This Row],[Equity Shares]]*SnapshotTable[[#This Row],[Long Term Target]]) - SnapshotTable[[#This Row],[Equity Value]],0)</f>
        <v>0</v>
      </c>
      <c r="AO314" s="152">
        <f>IF(AND(ISNUMBER( SnapshotTable[[#This Row],[Long Term Target]]), ISNUMBER(SnapshotTable[[#This Row],[Last Price]])),(SnapshotTable[[#This Row],[Long Term Target]] - SnapshotTable[[#This Row],[Last Price]]) / SnapshotTable[[#This Row],[Last Price]], "")</f>
        <v>0.22668775220852871</v>
      </c>
      <c r="AP314" s="5">
        <v>110</v>
      </c>
      <c r="AQ314" s="38" t="s">
        <v>38</v>
      </c>
      <c r="AR314" s="5">
        <v>110</v>
      </c>
      <c r="AS314" s="38" t="s">
        <v>26</v>
      </c>
      <c r="AT314" s="146" t="s">
        <v>538</v>
      </c>
      <c r="AU314" s="187" t="str">
        <f>IF(OR(SnapshotTable[[#This Row],[LP No Fill]]="Y",SnapshotTable[[#This Row],[SP Is Filled]],SnapshotTable[[#This Row],[LC Not Filled]]="Y",SnapshotTable[[#This Row],[SC Is Filled]]),"Y","")</f>
        <v/>
      </c>
      <c r="AV314" s="219"/>
      <c r="AW314" s="225"/>
      <c r="AX314" s="220"/>
      <c r="AY314" s="219" t="str">
        <f>IF(SnapshotTable[[#This Row],[Implied Move]]&gt;0, SnapshotTable[[#This Row],[Last Price]]-SnapshotTable[[#This Row],[Implied Move]],"")</f>
        <v/>
      </c>
      <c r="AZ314" s="219" t="str">
        <f>IF(SnapshotTable[[#This Row],[Implied Move]]&gt;0, SnapshotTable[[#This Row],[Last Price]] + SnapshotTable[[#This Row],[Implied Move]],"")</f>
        <v/>
      </c>
      <c r="BA314" s="331"/>
      <c r="BB314" s="347"/>
      <c r="BC31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4" s="351"/>
      <c r="BE314" s="5"/>
      <c r="BF314" s="14"/>
      <c r="BG314" s="13"/>
      <c r="BH314" s="13"/>
      <c r="BI314" s="5"/>
      <c r="BJ314" s="136">
        <f>IF(SnapshotTable[[#This Row],[LP Qty]] &gt; 0, SnapshotTable[[#This Row],[LP Qty]] * SnapshotTable[[#This Row],[LP Book Price]] * 100,0)</f>
        <v>0</v>
      </c>
      <c r="BK314" s="136">
        <f>IF(SnapshotTable[[#This Row],[LP Premium]] &gt; 0, SnapshotTable[[#This Row],[LP Qty]] * SnapshotTable[[#This Row],[LP Strike Price]] * 100,0)</f>
        <v>0</v>
      </c>
      <c r="BL314" s="154"/>
      <c r="BM314" s="385" t="str">
        <f>IF(SnapshotTable[[#This Row],[LP Premium]] &gt; 0,SnapshotTable[[#This Row],[LP Exp Date]]-MAX(SnapshotTable[[#This Row],[LP Book Date]], SnapshotTable[[#This Row],[LP Fill Date]]),"")</f>
        <v/>
      </c>
      <c r="BN314" s="385" t="str">
        <f>IF(ISNUMBER( SnapshotTable[[#This Row],[LP Term]]), SnapshotTable[[#This Row],[LP Exp Date]] - MockToday,"")</f>
        <v/>
      </c>
      <c r="BO314" s="163" t="str">
        <f>IF(AND(SnapshotTable[[#This Row],[LP Exp Date]]&gt;0, SnapshotTable[[#This Row],[LP Strike Price]]&gt;0,SnapshotTable[[#This Row],[LP Qty]]&gt;0,SnapshotTable[[#This Row],[LP Book Date]]&gt;0,SnapshotTable[[#This Row],[LP Book Price]]&gt;0,SnapshotTable[[#This Row],[LP Fill Date]]=0),"Y","")</f>
        <v/>
      </c>
      <c r="BP314" s="31" t="str">
        <f>IF(AND(SnapshotTable[[#This Row],[LP No Fill]]&lt;&gt;"Y",SnapshotTable[[#This Row],[LP Contract Value]]&gt;0, SnapshotTable[[#This Row],[LP Qty]]&gt;0), SnapshotTable[[#This Row],[LP Contract Value]]*SnapshotTable[[#This Row],[LP Qty]]*100,"")</f>
        <v/>
      </c>
      <c r="BQ314" s="13"/>
      <c r="BR314" s="5" t="str">
        <f>IF(SnapshotTable[[#This Row],[SP Exp Date]]&lt;&gt;"",TRUNC(SnapshotTable[[#This Row],[Last Price]]),"")</f>
        <v/>
      </c>
      <c r="BS314" s="36"/>
      <c r="BT314" s="147"/>
      <c r="BU314" s="13"/>
      <c r="BV314" s="5"/>
      <c r="BW314" s="419" t="b">
        <f>AND(ISNUMBER(SnapshotTable[[#This Row],[SP Exp Date]]), ISNUMBER(SnapshotTable[[#This Row],[SP Strike Price]]), ISNUMBER(SnapshotTable[[#This Row],[SP Qty]]), ISNUMBER(SnapshotTable[[#This Row],[SP Book Date]]), ISNUMBER(SnapshotTable[[#This Row],[SP Book Price]]))</f>
        <v>0</v>
      </c>
      <c r="BX314" s="419" t="b">
        <f>AND(SnapshotTable[[#This Row],[SP Is Booked]], NOT(ISBLANK(SnapshotTable[[#This Row],[SP Fill Date]])))</f>
        <v>0</v>
      </c>
      <c r="BY314" s="33">
        <f>IF(SnapshotTable[[#This Row],[SP Is Booked]], SnapshotTable[[#This Row],[SP Qty]] * SnapshotTable[[#This Row],[SP Book Price]] * 100, 0)</f>
        <v>0</v>
      </c>
      <c r="BZ314" s="369"/>
      <c r="CA314" s="368">
        <f>SnapshotTable[[#This Row],[LP Qty]]</f>
        <v>0</v>
      </c>
      <c r="CB314" s="4" t="str">
        <f>IF(SnapshotTable[[#This Row],[SP Is Booked]], SnapshotTable[[#This Row],[SP Strike Price]] - SnapshotTable[[#This Row],[SP Book Price]], "")</f>
        <v/>
      </c>
      <c r="CC314" s="19" t="str">
        <f>IF(SnapshotTable[[#This Row],[SP Is Booked]],SnapshotTable[[#This Row],[SP Exp Date]]-MAX(SnapshotTable[[#This Row],[SP Book Date]], SnapshotTable[[#This Row],[SP Fill Date]]),"")</f>
        <v/>
      </c>
      <c r="CD314" s="7" t="str">
        <f>IF(SnapshotTable[[#This Row],[SP Is Booked]], SnapshotTable[[#This Row],[SP Book Price]]/SnapshotTable[[#This Row],[SP Strike Price]], "")</f>
        <v/>
      </c>
      <c r="CE314" s="7" t="str">
        <f>IF(ISNUMBER(SnapshotTable[[#This Row],[SP ROO Term]]),SnapshotTable[[#This Row],[SP ROO Term]]*(365/SnapshotTable[[#This Row],[SP Term]]),"")</f>
        <v/>
      </c>
      <c r="CF314" s="236">
        <f>SnapshotTable[[#This Row],[LP Strike Price]] * SnapshotTable[[#This Row],[LP Qty]] * 100</f>
        <v>0</v>
      </c>
      <c r="CG314" s="31" t="e">
        <f>IF(ISNUMBER(SnapshotTable[[#This Row],[SP Premium]]), (SnapshotTable[[#This Row],[SP Qty]] * SnapshotTable[[#This Row],[SP Strike Price]]* 100) - SnapshotTable[[#This Row],[LP Protection]], 0)</f>
        <v>#VALUE!</v>
      </c>
      <c r="CH314" s="7" t="str">
        <f>IF(ISNUMBER(SnapshotTable[[#This Row],[SP Break Even]]),-1 * (SnapshotTable[[#This Row],[SP Break Even]] - SnapshotTable[[#This Row],[Last Price]]) / SnapshotTable[[#This Row],[Last Price]], "")</f>
        <v/>
      </c>
      <c r="CI314" s="31">
        <f>IF(AND(ISNUMBER((SnapshotTable[[#This Row],[SP Potential Spend]])), SnapshotTable[[#This Row],[SP Strike Price]] &gt; SnapshotTable[[#This Row],[Last Price]], SnapshotTable[[#This Row],[SP Is Filled]]), SnapshotTable[[#This Row],[SP Potential Spend]] -  SnapshotTable[[#This Row],[LP Max Value]], 0)</f>
        <v>0</v>
      </c>
      <c r="CJ314" s="244"/>
      <c r="CK314" s="31" t="str">
        <f>IF(ISNUMBER(SnapshotTable[[#This Row],[SP Potential Spend]]),IF(ISNUMBER(SnapshotTable[[#This Row],[SP POW]]), SnapshotTable[[#This Row],[SP POW]] * SnapshotTable[[#This Row],[SP Potential Spend]], SnapshotTable[[#This Row],[SP Potential Spend]]), "")</f>
        <v/>
      </c>
      <c r="CL314" s="164" t="e">
        <f>IF(NOT(SnapshotTable[[#This Row],[SP Is Filled]]),(SnapshotTable[[#This Row],[SP Qty]] * SnapshotTable[[#This Row],[SP Strike Price]] * 100) - SnapshotTable[[#This Row],[LP Max Value]],"")</f>
        <v>#VALUE!</v>
      </c>
      <c r="CM314" s="31" t="str">
        <f>IF(SnapshotTable[[#This Row],[SP Actual Spend]]&lt;&gt;0, ((SnapshotTable[[#This Row],[SP Strike Price]]-SnapshotTable[[#This Row],[Last Price]]) *(SnapshotTable[[#This Row],[SP Qty]]*100) - SnapshotTable[[#This Row],[SP Premium]]) * - 1, "")</f>
        <v/>
      </c>
      <c r="CN314" s="78"/>
      <c r="CO314" s="369"/>
      <c r="CP314" s="4" t="str">
        <f>IF(SnapshotTable[[#This Row],[SP Is Filled]], btc_max_buyback_amount(SnapshotTable[[#This Row],[SP Fill Date]],SnapshotTable[[#This Row],[SP Exp Date]], SnapshotTable[[#This Row],[SP Book Price]]),"")</f>
        <v/>
      </c>
      <c r="CQ314" s="78"/>
      <c r="CR31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4" s="155" t="str">
        <f>IF(SnapshotTable[[#This Row],[SP Is Filled]], btc_next_cutoff_date(SnapshotTable[[#This Row],[SP Fill Date]],SnapshotTable[[#This Row],[SP Exp Date]]),"")</f>
        <v/>
      </c>
      <c r="CT314" s="235" t="str" cm="1">
        <f t="array" ref="CT314">IF(SnapshotTable[[#This Row],[SP Is Filled]], btc_should_buy_back(SnapshotTable[[#This Row],[SP Fill Date]], SnapshotTable[[#This Row],[SP Exp Date]], SnapshotTable[[#This Row],[SP Book Price]], SnapshotTable[[#This Row],[SP Current Ask]], MockToday, SnapshotTable[[#This Row],[SP Buyback Override]]),"")</f>
        <v/>
      </c>
      <c r="CU314" s="143"/>
      <c r="CV314" s="235"/>
      <c r="CW314" s="378" t="str">
        <f>IF(ISNUMBER( SnapshotTable[[#This Row],[SP Term]]), SnapshotTable[[#This Row],[SP Exp Date]] - MockToday,"")</f>
        <v/>
      </c>
      <c r="CX314" s="31" t="str">
        <f>IF(SnapshotTable[[#This Row],[SP Is Filled]],SnapshotTable[[#This Row],[SP Buyback Price to Use]] * 100 * SnapshotTable[[#This Row],[SP Qty]], "")</f>
        <v/>
      </c>
      <c r="CY314" s="4" t="str">
        <f>IF(ISNUMBER(SnapshotTable[[#This Row],[SP Strike Price]]), SnapshotTable[[#This Row],[SP Strike Price]] * (1 - SP_MaxLoss_StrikePct), "")</f>
        <v/>
      </c>
      <c r="CZ314" s="31" t="str">
        <f>IF(ISNUMBER(SnapshotTable[[#This Row],[SP Strike  Stop Per Share]]),SnapshotTable[[#This Row],[SP Premium]] - ((SnapshotTable[[#This Row],[SP Strike Price]]-SnapshotTable[[#This Row],[SP Strike  Stop Per Share]]) *(SnapshotTable[[#This Row],[SP Qty]] * 100)),"")</f>
        <v/>
      </c>
      <c r="DA314" s="4" t="str">
        <f>IF(AND(ISNUMBER(SnapshotTable[[#This Row],[SP Premium]]),SnapshotTable[[#This Row],[SP Premium]]&gt;0), SnapshotTable[[#This Row],[SP Book Price]] * (1 + SP_MaxLoss_OptionPct), "")</f>
        <v/>
      </c>
      <c r="DB314" s="31" t="str">
        <f>IF(ISNUMBER(SnapshotTable[[#This Row],[SP Option  Stop Contract]]),(SnapshotTable[[#This Row],[SP Option  Stop Contract]] *(SnapshotTable[[#This Row],[SP Qty]] * 100) - SnapshotTable[[#This Row],[SP Premium]]),"")</f>
        <v/>
      </c>
      <c r="DC314" s="4"/>
      <c r="DD314" s="4"/>
      <c r="DE314" s="4" t="str">
        <f>IF(AND(SnapshotTable[[#This Row],[SP Qty]]&gt;0, SnapshotTable[[#This Row],[SP Stop To Use]]&gt;0),SnapshotTable[[#This Row],[SP Premium]] - ( SnapshotTable[[#This Row],[SP Qty]] * SnapshotTable[[#This Row],[SP Stop To Use]] * 100), "")</f>
        <v/>
      </c>
      <c r="DF314" s="31" t="str">
        <f>IF(AND(SnapshotTable[[#This Row],[SP Qty]]&gt;0,SnapshotTable[[#This Row],[SP Current Ask]]&gt;0), SnapshotTable[[#This Row],[SP Qty]] * SnapshotTable[[#This Row],[SP Current Ask]] * -100, "")</f>
        <v/>
      </c>
      <c r="DG314" s="31" t="str">
        <f>IF(ISNUMBER((SnapshotTable[[#This Row],[SP Total Value]])), SnapshotTable[[#This Row],[SP Premium]] + SnapshotTable[[#This Row],[SP Total Value]], "")</f>
        <v/>
      </c>
      <c r="DH314" s="294" t="str">
        <f>IF(ISNUMBER((SnapshotTable[[#This Row],[SP Total Value]])), SnapshotTable[[#This Row],[SP Gain Loss]] / SnapshotTable[[#This Row],[SP Premium]], "")</f>
        <v/>
      </c>
      <c r="DI314" s="406"/>
      <c r="DJ314" s="138"/>
      <c r="DK314" s="148"/>
      <c r="DL314" s="13"/>
      <c r="DM314" s="13"/>
      <c r="DO314" s="31">
        <f>IF(SnapshotTable[[#This Row],[LC Symbol Count]]=1, SnapshotTable[[#This Row],[LC Qty]] * SnapshotTable[[#This Row],[LC Book Price]] * 100, 0)</f>
        <v>0</v>
      </c>
      <c r="DP314" s="163" t="str">
        <f>IF(AND(SnapshotTable[[#This Row],[LC Exp Date]]&gt;0, SnapshotTable[[#This Row],[LC Strike Price]]&gt;0,SnapshotTable[[#This Row],[LC Qty]]&gt;0,SnapshotTable[[#This Row],[LC Book Date]]&gt;0,SnapshotTable[[#This Row],[LC Book Price]]&gt;0,SnapshotTable[[#This Row],[LC Fill Date]]=0),"Y","")</f>
        <v/>
      </c>
      <c r="DQ314" s="386" t="str">
        <f>IF(SnapshotTable[[#This Row],[LC Premium]] &gt; 0,SnapshotTable[[#This Row],[LC Exp Date]]-MAX(SnapshotTable[[#This Row],[LC Book Date]], SnapshotTable[[#This Row],[LC Fill Date]]),"")</f>
        <v/>
      </c>
      <c r="DR314" s="386" t="str">
        <f>IF(ISNUMBER(SnapshotTable[[#This Row],[LC Term]]), SnapshotTable[[#This Row],[LC Exp Date]] - MockToday, "")</f>
        <v/>
      </c>
      <c r="DS314" s="234" t="str">
        <f>IF(SnapshotTable[[#This Row],[LC Premium]]&gt;0,SnapshotTable[[#This Row],[LC Strike Price]] + SnapshotTable[[#This Row],[LC Book Price]],"")</f>
        <v/>
      </c>
      <c r="DU314" s="9" t="str">
        <f>IF(AND(SnapshotTable[[#This Row],[LC Symbol Count]]&gt;0, SnapshotTable[[#This Row],[LC Contract Value]]&gt;0), SnapshotTable[[#This Row],[LC Contract Value]] * SnapshotTable[[#This Row],[LC Qty]] * 100, "")</f>
        <v/>
      </c>
      <c r="DV314" s="9" t="str">
        <f>IF(AND(ISNUMBER(SnapshotTable[[#This Row],[LC Total Value]]), SnapshotTable[[#This Row],[LC Not Filled]]&lt;&gt;"Y"), SnapshotTable[[#This Row],[LC Total Value]]-SnapshotTable[[#This Row],[LC Premium]],"")</f>
        <v/>
      </c>
      <c r="DW314" s="240" t="str">
        <f>IF(ISNUMBER(SnapshotTable[[#This Row],[LC Actual Gain Loss]]), SnapshotTable[[#This Row],[LC Actual Gain Loss]] / SnapshotTable[[#This Row],[LC Premium]],"")</f>
        <v/>
      </c>
      <c r="DX314" s="284" t="str">
        <f>IF(ISNUMBER(SnapshotTable[[#This Row],[LC Book Price]]),SnapshotTable[[#This Row],[LC Book Price]] * 1.5,"")</f>
        <v/>
      </c>
      <c r="DY314" s="265" t="str">
        <f>IF(SnapshotTable[[#This Row],[LC Premium]]&gt;0, SnapshotTable[[#This Row],[LC Next Target]] * SnapshotTable[[#This Row],[LC Qty]] * 100,"")</f>
        <v/>
      </c>
      <c r="DZ314" s="265" t="str">
        <f>IF(ISNUMBER(SnapshotTable[[#This Row],[LC Target Gross]]), SnapshotTable[[#This Row],[LC Target Gross]] - SnapshotTable[[#This Row],[LC Premium]], "")</f>
        <v/>
      </c>
      <c r="EA314" s="305" t="str">
        <f>IF(ISNUMBER(SnapshotTable[[#This Row],[LC Target Gain Loss]]), SnapshotTable[[#This Row],[LC Target Gain Loss]]/SnapshotTable[[#This Row],[LC Premium]], "")</f>
        <v/>
      </c>
      <c r="EB314" s="262"/>
      <c r="EC314" s="283" t="str">
        <f>IF(SnapshotTable[[#This Row],[LC Premium]]&gt;0, SnapshotTable[[#This Row],[LC Book Price]] * (1 - LC_StopLoss_Pct),"")</f>
        <v/>
      </c>
      <c r="ED314" s="284"/>
      <c r="EE314" s="283" t="str">
        <f>IF(ISNUMBER(SnapshotTable[[#This Row],[LC Contract Value]]),IF(ISNUMBER(SnapshotTable[[#This Row],[LC Stop Loss Override]]), SnapshotTable[[#This Row],[LC Stop Loss Override]],SnapshotTable[[#This Row],[LC Stop Loss Calc Target]]),"")</f>
        <v/>
      </c>
      <c r="EF314" s="31" t="str">
        <f>IF(ISNUMBER(SnapshotTable[[#This Row],[LC Stop  To Use]]), (SnapshotTable[[#This Row],[LC Stop  To Use]] * SnapshotTable[[#This Row],[LC Qty]] * 100),"")</f>
        <v/>
      </c>
      <c r="EG314" s="9" t="str">
        <f>IF(ISNUMBER(SnapshotTable[[#This Row],[LC Total Value]]),SnapshotTable[[#This Row],[LC Stop Loss Amount]] - SnapshotTable[[#This Row],[LC Premium]],"")</f>
        <v/>
      </c>
      <c r="EH314" s="9">
        <f>IF(ISNUMBER(SnapshotTable[[#This Row],[LC Premium]]), SnapshotTable[[#This Row],[LC Qty]] * 100 * SnapshotTable[[#This Row],[LC Strike Price]], "")</f>
        <v>0</v>
      </c>
      <c r="EI314" s="240" t="str">
        <f>IF(AND(ISNUMBER(SnapshotTable[[#This Row],[LC Total Value]]),SnapshotTable[[#This Row],[LC Total Value]]&gt;0),SnapshotTable[[#This Row],[LC Stop Gain Loss]]  / SnapshotTable[[#This Row],[LC Premium]],"")</f>
        <v/>
      </c>
      <c r="EJ314" s="35">
        <f>IF(ISNUMBER(SnapshotTable[[#This Row],[Equity Shares]]),TRUNC(SnapshotTable[[#This Row],[Equity Shares]] / 100),0) + SnapshotTable[[#This Row],[LC Qty]]</f>
        <v>0</v>
      </c>
      <c r="EK314" s="147"/>
      <c r="EL314" s="138" t="str">
        <f>IF(SnapshotTable[[#This Row],[SC Exp Date]]&lt;&gt;"",TRUNC(SnapshotTable[[#This Row],[Last Price]]),"")</f>
        <v/>
      </c>
      <c r="EM314" s="148"/>
      <c r="EN314" s="147"/>
      <c r="EO314" s="147"/>
      <c r="EP314" s="138"/>
      <c r="EQ314" s="419" t="b">
        <f>AND(ISNUMBER(SnapshotTable[[#This Row],[SC Exp Date]]), ISNUMBER(SnapshotTable[[#This Row],[SC Strike Price]]), ISNUMBER(SnapshotTable[[#This Row],[SC Qty]]), ISNUMBER(SnapshotTable[[#This Row],[SC Book Date]]), ISNUMBER(SnapshotTable[[#This Row],[SC Book Price]]))</f>
        <v>0</v>
      </c>
      <c r="ER314" s="419" t="b">
        <f>AND(SnapshotTable[[#This Row],[SC Is Booked]], NOT(ISBLANK(SnapshotTable[[#This Row],[SC Fill Date]])))</f>
        <v>0</v>
      </c>
      <c r="ES314" s="370"/>
      <c r="ET314" s="34" t="str">
        <f>IF(AND(ISNUMBER(SnapshotTable[[#This Row],[SC Exp Date]]), ISNUMBER(SnapshotTable[[#This Row],[SC Book Date]])), SnapshotTable[[#This Row],[SC Exp Date]] - MAX(SnapshotTable[[#This Row],[SC Book Date]], SnapshotTable[[#This Row],[SC Fill Date]]) + 1, "")</f>
        <v/>
      </c>
      <c r="EU314" s="34" t="str">
        <f>IF(ISNUMBER(SnapshotTable[[#This Row],[SC Term]]), SnapshotTable[[#This Row],[SC Exp Date]]- MockToday, "")</f>
        <v/>
      </c>
      <c r="EV314" s="31">
        <f>IF(SnapshotTable[[#This Row],[SC Is Booked]], SnapshotTable[[#This Row],[SC Qty]] * SnapshotTable[[#This Row],[SC Book Price]] * 100, 0)</f>
        <v>0</v>
      </c>
      <c r="EW314" s="4" t="str">
        <f>IF(AND(ISNUMBER(SnapshotTable[[#This Row],[Last Price]]), ISNUMBER( SnapshotTable[[#This Row],[SC Book Price]])), SnapshotTable[[#This Row],[Last Price]] - SnapshotTable[[#This Row],[SC Book Price]],"")</f>
        <v/>
      </c>
      <c r="EX314" s="234" t="str">
        <f>IF(SnapshotTable[[#This Row],[SC Is Booked]],IF(SnapshotTable[[#This Row],[SC Intrinsic Value]] &gt; 0, SnapshotTable[[#This Row],[SC Strike Price]], SnapshotTable[[#This Row],[Last Price]]), "")</f>
        <v/>
      </c>
      <c r="EY314" s="4">
        <f>IF(SnapshotTable[[#This Row],[SC Is Booked]], (MinimumPremiumRequired * SnapshotTable[[#This Row],[SC Basis]] * SnapshotTable[[#This Row],[SC Term]]), 0)</f>
        <v>0</v>
      </c>
      <c r="EZ314" s="283"/>
      <c r="FA314" s="218"/>
      <c r="FB314" s="370"/>
      <c r="FC314" s="4">
        <f>IF(SnapshotTable[[#This Row],[SC Is Filled]], btc_max_buyback_amount(SnapshotTable[[#This Row],[SC Fill Date]],SnapshotTable[[#This Row],[SC Exp Date]], SnapshotTable[[#This Row],[SC Book Price]]),0)</f>
        <v>0</v>
      </c>
      <c r="FD314" s="5"/>
      <c r="FE314" s="144" t="str">
        <f>IF(SnapshotTable[[#This Row],[SC Is Filled]], btc_next_cutoff_date(SnapshotTable[[#This Row],[SC Fill Date]],SnapshotTable[[#This Row],[SC Exp Date]]),"")</f>
        <v/>
      </c>
      <c r="FF314" s="4" t="str" cm="1">
        <f t="array" ref="FF314">IF(SnapshotTable[[#This Row],[SC Is Filled]], btc_should_buy_back(SnapshotTable[[#This Row],[SC Fill Date]], SnapshotTable[[#This Row],[SC Exp Date]], SnapshotTable[[#This Row],[SC Book Price]], SnapshotTable[[#This Row],[SC Current Ask]], MockToday, SnapshotTable[[#This Row],[SC Buyback Override]]),"")</f>
        <v/>
      </c>
      <c r="FG314" s="4">
        <f>IF(SnapshotTable[[#This Row],[SC Is Filled]], MAX(0,SnapshotTable[[#This Row],[Last Price]]  - SnapshotTable[[#This Row],[SC Strike Price]]), 0)</f>
        <v>0</v>
      </c>
      <c r="FH314" s="382">
        <f>IF(SnapshotTable[[#This Row],[SC Is Filled]], IF(ISNUMBER(SnapshotTable[[#This Row],[SC Current Ask]]), SnapshotTable[[#This Row],[SC Current Ask]], SnapshotTable[[#This Row],[SC Book Price]]) - SnapshotTable[[#This Row],[SC Intrinsic Value]], 0)</f>
        <v>0</v>
      </c>
      <c r="FI314" s="143"/>
      <c r="FJ314" s="32" t="str">
        <f>IF(SnapshotTable[[#This Row],[SC Is Filled]],100 * SnapshotTable[[#This Row],[SC Qty]] * IF(ISNUMBER(SnapshotTable[[#This Row],[SC Buyback Override]]), SnapshotTable[[#This Row],[SC Buyback Override]], SnapshotTable[[#This Row],[SC Current Ask]]), "")</f>
        <v/>
      </c>
      <c r="FK314" s="250" t="str">
        <f>IF(SnapshotTable[[#This Row],[SC Time Val]]&gt;0, SnapshotTable[[#This Row],[SC Time Val]] / SnapshotTable[[#This Row],[Last Price]],"")</f>
        <v/>
      </c>
      <c r="FL314" s="302" t="str">
        <f>IF(SnapshotTable[[#This Row],[SC Is Booked]], ((SnapshotTable[[#This Row],[Last Price]] -SnapshotTable[[#This Row],[SC Strike Price]]) / SnapshotTable[[#This Row],[Last Price]]) * -1, "")</f>
        <v/>
      </c>
      <c r="FM314" s="157" t="str">
        <f>IF(SnapshotTable[[#This Row],[SC Is Booked]],  (SnapshotTable[[#This Row],[SC Qty]] * 100 * SnapshotTable[[#This Row],[SC Strike Price]]) - SnapshotTable[[#This Row],[SC Current Ask]], "")</f>
        <v/>
      </c>
      <c r="FN31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4" s="31" t="str">
        <f>IF(AND(ISNUMBER(SnapshotTable[[#This Row],[SC Exercise Gross]]), ISNUMBER(SnapshotTable[[#This Row],[Equity Basis Per Share]] )), SnapshotTable[[#This Row],[SC Exercise Gross]] - SnapshotTable[[#This Row],[Equity Basis Total]] +  SnapshotTable[[#This Row],[SC Premium]], "")</f>
        <v/>
      </c>
      <c r="FP314" s="5" t="str">
        <f>IF(ISNUMBER(SnapshotTable[[#This Row],[SC Exercise Gross]]), (SnapshotTable[[#This Row],[SC Exercise Gross]]) / (SnapshotTable[[#This Row],[SC Qty]] * 100), "")</f>
        <v/>
      </c>
      <c r="FQ314" s="27" t="str">
        <f>IF(SnapshotTable[[#This Row],[SC Is Booked]],SnapshotTable[[#This Row],[SC Time Val]] /SnapshotTable[[#This Row],[SC Basis]], "")</f>
        <v/>
      </c>
      <c r="FR314" s="27" t="str" cm="1">
        <f t="array" ref="FR314">IF(AND(ISNUMBER(SnapshotTable[[#This Row],[SC Term]]),ISNUMBER(SnapshotTable[[#This Row],[SC Simple ROO]])), EllmanAnnualize(SnapshotTable[[#This Row],[SC DTE]], SnapshotTable[[#This Row],[SC Simple ROO]] ),"")</f>
        <v/>
      </c>
      <c r="FS314" s="4" t="e">
        <f>IF(SnapshotTable[[#This Row],[SC Strike Price]] &gt; SnapshotTable[[#This Row],[Last Price]], SnapshotTable[[#This Row],[SC Strike Price]] - SnapshotTable[[#This Row],[Last Price]],0)</f>
        <v>#VALUE!</v>
      </c>
      <c r="FT314" s="27" t="e">
        <f>IF(AND(ISNUMBER(SnapshotTable[[#This Row],[SC Upside Potential]]), SnapshotTable[[#This Row],[SC Upside Potential]] &gt; 0),(SnapshotTable[[#This Row],[SC Upside Potential]]/ SnapshotTable[[#This Row],[ACB]]),"")</f>
        <v>#VALUE!</v>
      </c>
      <c r="FU314" s="333" t="str">
        <f>IF(SnapshotTable[[#This Row],[SC Intrinsic Value]] &gt; 0,SnapshotTable[[#This Row],[SC Intrinsic Value]],"")</f>
        <v/>
      </c>
      <c r="FV314" s="27" t="str">
        <f>IF(AND( ISNUMBER( SnapshotTable[[#This Row],[ACB]]),ISNUMBER(SnapshotTable[[#This Row],[SC Downside Protect]])),SnapshotTable[[#This Row],[SC Downside Protect]] / SnapshotTable[[#This Row],[ACB]],"")</f>
        <v/>
      </c>
      <c r="FW314" s="236" t="str">
        <f>IF(AND(ISNUMBER(SnapshotTable[[#This Row],[SC Simple ROO]]),SnapshotTable[[#This Row],[SC Simple ROO]] &gt; 0), SnapshotTable[[#This Row],[SC Premium]] + (SnapshotTable[[#This Row],[SC Qty]] * SnapshotTable[[#This Row],[SC Upside Potential]]), "")</f>
        <v/>
      </c>
      <c r="FX314" s="302" t="str" cm="1">
        <f t="array" ref="FX314">IF(ISNUMBER(SnapshotTable[[#This Row],[SC Max Dollars]]), annualize(SnapshotTable[[#This Row],[SC Term]],(SnapshotTable[[#This Row],[SC Max Dollars]]/SnapshotTable[[#This Row],[SC Basis]])),"")</f>
        <v/>
      </c>
      <c r="FY314" s="236" t="str">
        <f>IF(AND(SnapshotTable[[#This Row],[SC Qty]]&gt;0,SnapshotTable[[#This Row],[SC Current Ask]]&gt;0), SnapshotTable[[#This Row],[SC Qty]] * SnapshotTable[[#This Row],[SC Current Ask]] * -100, "")</f>
        <v/>
      </c>
      <c r="FZ314" s="31" t="str">
        <f>IF(ISNUMBER((SnapshotTable[[#This Row],[SC Current Value]])), SnapshotTable[[#This Row],[SC Premium]] + SnapshotTable[[#This Row],[SC Current Value]], "")</f>
        <v/>
      </c>
      <c r="GA314" s="294" t="str">
        <f>IFERROR( IF(ISNUMBER((SnapshotTable[[#This Row],[SC Current Value]])), SnapshotTable[[#This Row],[SC Gain Loss]] / SnapshotTable[[#This Row],[SC Premium]], ""), "")</f>
        <v/>
      </c>
      <c r="GB314" s="42">
        <f>SnapshotTable[[#This Row],[Equity Shares]] * SaleSharesToConsiderPercentage</f>
        <v>0</v>
      </c>
      <c r="GC314" s="40">
        <f>SnapshotTable[[#This Row],[Long Term Target]] * SellingPriceToConsiderBasedOnTargetPercentage</f>
        <v>213.70249999999999</v>
      </c>
      <c r="GD314" s="40">
        <f>SnapshotTable[[#This Row],[Last Price]] * (1+ SellingPriceToConsiderBasedOnTargetPercentage)</f>
        <v>357.59100000000001</v>
      </c>
      <c r="GE314" s="41"/>
      <c r="GF314" s="40"/>
      <c r="GG314" s="31">
        <f>SnapshotTable[[#This Row],[Booked Sale Shares]] * SnapshotTable[[#This Row],[Booked Sale Price]]</f>
        <v>0</v>
      </c>
      <c r="GH314" s="31" t="str">
        <f>IF(SnapshotTable[[#This Row],[Equity Basis Total]] &gt; 0, SnapshotTable[[#This Row],[Equity Basis Per Share]] * SnapshotTable[[#This Row],[Booked Sale Shares]], "")</f>
        <v/>
      </c>
      <c r="GI314" s="31">
        <f>IF(SnapshotTable[[#This Row],[Sale Proceeds]]&gt;0, SnapshotTable[[#This Row],[Sale Proceeds]] - SnapshotTable[[#This Row],[Sale Basis]], 0)</f>
        <v>0</v>
      </c>
      <c r="GJ314" s="27" t="str">
        <f>IF(SnapshotTable[[#This Row],[Sale G/L]]&gt;0, SnapshotTable[[#This Row],[Sale G/L]] / SnapshotTable[[#This Row],[Sale Basis]], IF(ISNUMBER(SnapshotTable[[#This Row],[SC Exercise P&amp;L (TAX)]]), SnapshotTable[[#This Row],[SC Exercise P&amp;L (TAX)]] / SnapshotTable[[#This Row],[SC Basis]], ""))</f>
        <v/>
      </c>
      <c r="GK314" s="27" t="s">
        <v>774</v>
      </c>
      <c r="GL314" s="43" t="str">
        <f>IF(AND(SnapshotTable[[#This Row],[LP Exp Date]]&gt;0,SnapshotTable[[#This Row],[LP Strike Price]]&gt;0), [1]!ToOptionSymbol(SnapshotTable[[#This Row],[Symbol]], SnapshotTable[[#This Row],[LP Strike Price]],SnapshotTable[[#This Row],[LP Exp Date]],1), "")</f>
        <v/>
      </c>
      <c r="GM314" s="30" t="str">
        <f>IF(LEN(SnapshotTable[[#This Row],[LP Symbol]])&gt;0, 1, "")</f>
        <v/>
      </c>
      <c r="GN314" s="43" t="str">
        <f>IF(AND(SnapshotTable[[#This Row],[SP Exp Date]]&gt;0,SnapshotTable[[#This Row],[SP Strike Price]]&gt;0), [1]!ToOptionSymbol(SnapshotTable[[#This Row],[Symbol]], SnapshotTable[[#This Row],[SP Strike Price]],SnapshotTable[[#This Row],[SP Exp Date]],1), "")</f>
        <v/>
      </c>
      <c r="GO314" s="30" t="str">
        <f>IF(LEN(SnapshotTable[[#This Row],[SP Symbol]])&gt;0, 1, "")</f>
        <v/>
      </c>
      <c r="GP314" s="43" t="str">
        <f>IF(AND(SnapshotTable[[#This Row],[LC Exp Date]]&gt;0,SnapshotTable[[#This Row],[LC Strike Price]]&gt;0), [1]!ToOptionSymbol(SnapshotTable[[#This Row],[Symbol]], SnapshotTable[[#This Row],[LC Strike Price]],SnapshotTable[[#This Row],[LC Exp Date]],0), "")</f>
        <v/>
      </c>
      <c r="GQ314" s="30" t="str">
        <f>IF(LEN(SnapshotTable[[#This Row],[LC Symbol]])&gt;0, 1, "")</f>
        <v/>
      </c>
      <c r="GR314" s="43" t="str">
        <f>IF(AND(SnapshotTable[[#This Row],[SC Exp Date]]&gt;0,SnapshotTable[[#This Row],[SC Strike Price]]&gt;0), [1]!ToOptionSymbol(SnapshotTable[[#This Row],[Symbol]], SnapshotTable[[#This Row],[SC Strike Price]],SnapshotTable[[#This Row],[SC Exp Date]],0), "")</f>
        <v/>
      </c>
      <c r="GS314" s="30" t="str">
        <f>IF(LEN(SnapshotTable[[#This Row],[SC Symbol]])&gt;0, 1, "")</f>
        <v/>
      </c>
      <c r="GT314" s="29" t="str">
        <f>IF(COUNT(SnapshotTable[[#This Row],[LP Symbol Count]],SnapshotTable[[#This Row],[SP Symbol Count]],SnapshotTable[[#This Row],[LC Symbol Count]],SnapshotTable[[#This Row],[SC Symbol Count]])&gt;0, "Y", "")</f>
        <v/>
      </c>
      <c r="GU31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4" s="231" t="e">
        <f>MAX(SnapshotTable[[#This Row],[Equity Basis Total]],SnapshotTable[[#This Row],[Equity Value]]) + (SnapshotTable[[#This Row],[SP Potential Spend]]- SnapshotTable[[#This Row],[SP Premium]] + SnapshotTable[[#This Row],[LP Premium]])+ (SnapshotTable[[#This Row],[LC Premium]] - SnapshotTable[[#This Row],[SC Premium]])</f>
        <v>#VALUE!</v>
      </c>
      <c r="GW314" s="139" t="e">
        <f>IF(AND(SnapshotTable[[#This Row],[Exposure]] &lt;&gt; 0),SnapshotTable[[#This Row],[Exposure]] / SnapshotTable[[#Totals],[Exposure]], "")</f>
        <v>#VALUE!</v>
      </c>
      <c r="GX314" s="5"/>
      <c r="HK314" s="1"/>
      <c r="HL314" s="1"/>
      <c r="HM314" s="1"/>
      <c r="HN314" s="1"/>
      <c r="HO314" s="1"/>
      <c r="HP314" s="1"/>
    </row>
    <row r="315" spans="2:224" ht="12.75" hidden="1" customHeight="1" x14ac:dyDescent="0.25">
      <c r="B315" s="12" t="s">
        <v>1061</v>
      </c>
      <c r="C315" s="422">
        <v>23.31</v>
      </c>
      <c r="D315" s="208"/>
      <c r="E315" s="39">
        <f>SnapshotTable[[#This Row],[Last Price]]*(1 -CrashDiscount)</f>
        <v>19.813499999999998</v>
      </c>
      <c r="F315" s="26" t="s">
        <v>842</v>
      </c>
      <c r="G315" s="26" t="s">
        <v>821</v>
      </c>
      <c r="H315" s="149"/>
      <c r="I315" s="194">
        <v>44867.666666666664</v>
      </c>
      <c r="J315" s="195">
        <v>44867.666666666664</v>
      </c>
      <c r="K315" s="196"/>
      <c r="L315" s="326"/>
      <c r="M315" s="140"/>
      <c r="N315" s="140"/>
      <c r="O315" s="140"/>
      <c r="P315" s="22"/>
      <c r="Q315" s="25"/>
      <c r="R315" s="4" t="str">
        <f>IF(SnapshotTable[[#This Row],[Equity Basis Total]] &gt; 0, SnapshotTable[[#This Row],[Equity Basis Total]] / SnapshotTable[[#This Row],[Equity Shares]], "")</f>
        <v/>
      </c>
      <c r="S315" s="269">
        <f>SnapshotTable[[#This Row],[Last Price]] * SnapshotTable[[#This Row],[Equity Shares]]</f>
        <v>0</v>
      </c>
      <c r="T315" s="269">
        <f>SnapshotTable[[#This Row],[Equity Value]] - SnapshotTable[[#This Row],[Equity Basis Total]]</f>
        <v>0</v>
      </c>
      <c r="U315" s="270" t="str">
        <f>IF(SnapshotTable[[#This Row],[Equity Basis Total]] &gt; 0, SnapshotTable[[#This Row],[Equity G/L]] / SnapshotTable[[#This Row],[Equity Basis Total]], "")</f>
        <v/>
      </c>
      <c r="V315" s="268"/>
      <c r="W315" s="268"/>
      <c r="X315" s="4" t="str">
        <f>IF(AND(ISNUMBER(SnapshotTable[[#This Row],[Equity Basis Per Share]]),ISNUMBER(SnapshotTable[[#This Row],[Equity Target]])),SnapshotTable[[#This Row],[Equity Target]]-SnapshotTable[[#This Row],[Equity Basis Per Share]],"")</f>
        <v/>
      </c>
      <c r="Y315" s="4" t="str">
        <f>IF(AND(ISNUMBER(SnapshotTable[[#This Row],[Equity Basis Per Share]]),ISNUMBER(SnapshotTable[[#This Row],[Equity Stop Loss]])),SnapshotTable[[#This Row],[Equity Stop Loss]]-SnapshotTable[[#This Row],[Equity Basis Per Share]],"")</f>
        <v/>
      </c>
      <c r="Z315" s="275" t="str">
        <f>IFERROR( TEXT(SnapshotTable[[#This Row],[Equity Max Gain Per Share]] /ABS( SnapshotTable[[#This Row],[Equity Max Loss Per Share]]),"0.0 " ) &amp; " : 1", "")</f>
        <v/>
      </c>
      <c r="AA315" s="31" t="str">
        <f>IF(ISNUMBER(SnapshotTable[[#This Row],[Equity Max Gain Per Share]]),SnapshotTable[[#This Row],[Equity Max Gain Per Share]] * SnapshotTable[[#This Row],[Equity Shares]],"")</f>
        <v/>
      </c>
      <c r="AB315" s="31" t="str">
        <f>IF(ISNUMBER(SnapshotTable[[#This Row],[Equity Max Loss Per Share]]),SnapshotTable[[#This Row],[Equity Max Loss Per Share]] * SnapshotTable[[#This Row],[Equity Shares]],"")</f>
        <v/>
      </c>
      <c r="AC315" s="150"/>
      <c r="AD315" s="151"/>
      <c r="AE315" s="31">
        <f>(SnapshotTable[[#This Row],[Annual Dividend Per Share]] / 4) * SnapshotTable[[#This Row],[Equity Shares]]</f>
        <v>0</v>
      </c>
      <c r="AF315" s="31">
        <f>SnapshotTable[[#This Row],[Quarterly Div $]] * 4</f>
        <v>0</v>
      </c>
      <c r="AG315" s="7">
        <f>IF(SnapshotTable[[#This Row],[Annual Dividend Per Share]]&gt;0, SnapshotTable[[#This Row],[Annual Dividend Per Share]]  / SnapshotTable[[#This Row],[Last Price]], 0)</f>
        <v>0</v>
      </c>
      <c r="AH315" s="151"/>
      <c r="AI315" s="5"/>
      <c r="AJ315" s="138">
        <v>26.89</v>
      </c>
      <c r="AK315" s="152" t="str">
        <f>IF(ISNUMBER( SnapshotTable[[#This Row],[EBF Target]]),(SnapshotTable[[#This Row],[EBF Target]] - SnapshotTable[[#This Row],[Last Price]]) / SnapshotTable[[#This Row],[Last Price]], "")</f>
        <v/>
      </c>
      <c r="AL315" s="152" t="str">
        <f>IF(AND(SnapshotTable[[#This Row],[Equity Basis Total]] &gt; 0,ISNUMBER( SnapshotTable[[#This Row],[Long Term Target]])), SnapshotTable[[#This Row],[From Basis $]] / SnapshotTable[[#This Row],[Equity Basis Total]], "")</f>
        <v/>
      </c>
      <c r="AM315" s="9">
        <f>IF( AND(SnapshotTable[[#This Row],[Equity Shares]] &gt;0,ISNUMBER( SnapshotTable[[#This Row],[Long Term Target]])),(SnapshotTable[[#This Row],[Equity Shares]] * SnapshotTable[[#This Row],[Long Term Target]]) - SnapshotTable[[#This Row],[Equity Basis Total]],0)</f>
        <v>0</v>
      </c>
      <c r="AN315" s="9">
        <f>IF( AND(SnapshotTable[[#This Row],[Equity Shares]] &gt;0,ISNUMBER( SnapshotTable[[#This Row],[Long Term Target]])),(SnapshotTable[[#This Row],[Equity Shares]]*SnapshotTable[[#This Row],[Long Term Target]]) - SnapshotTable[[#This Row],[Equity Value]],0)</f>
        <v>0</v>
      </c>
      <c r="AO315" s="152">
        <f>IF(AND(ISNUMBER( SnapshotTable[[#This Row],[Long Term Target]]), ISNUMBER(SnapshotTable[[#This Row],[Last Price]])),(SnapshotTable[[#This Row],[Long Term Target]] - SnapshotTable[[#This Row],[Last Price]]) / SnapshotTable[[#This Row],[Last Price]], "")</f>
        <v>0.15358215358215366</v>
      </c>
      <c r="AP315" s="5">
        <v>26.58</v>
      </c>
      <c r="AQ315" s="38" t="s">
        <v>89</v>
      </c>
      <c r="AR315" s="5">
        <v>22.8</v>
      </c>
      <c r="AS315" s="38" t="s">
        <v>32</v>
      </c>
      <c r="AT315" s="146"/>
      <c r="AU315" s="187" t="str">
        <f>IF(OR(SnapshotTable[[#This Row],[LP No Fill]]="Y",SnapshotTable[[#This Row],[SP Is Filled]],SnapshotTable[[#This Row],[LC Not Filled]]="Y",SnapshotTable[[#This Row],[SC Is Filled]]),"Y","")</f>
        <v/>
      </c>
      <c r="AV315" s="219"/>
      <c r="AW315" s="225"/>
      <c r="AX315" s="220"/>
      <c r="AY315" s="219" t="str">
        <f>IF(SnapshotTable[[#This Row],[Implied Move]]&gt;0, SnapshotTable[[#This Row],[Last Price]]-SnapshotTable[[#This Row],[Implied Move]],"")</f>
        <v/>
      </c>
      <c r="AZ315" s="219" t="str">
        <f>IF(SnapshotTable[[#This Row],[Implied Move]]&gt;0, SnapshotTable[[#This Row],[Last Price]] + SnapshotTable[[#This Row],[Implied Move]],"")</f>
        <v/>
      </c>
      <c r="BA315" s="331">
        <v>24.06</v>
      </c>
      <c r="BB315" s="347"/>
      <c r="BC31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5" s="351"/>
      <c r="BE315" s="138"/>
      <c r="BF315" s="166"/>
      <c r="BG315" s="167"/>
      <c r="BH315" s="167"/>
      <c r="BI315" s="221"/>
      <c r="BJ315" s="153">
        <f>IF(SnapshotTable[[#This Row],[LP Qty]] &gt; 0, SnapshotTable[[#This Row],[LP Qty]] * SnapshotTable[[#This Row],[LP Book Price]] * 100,0)</f>
        <v>0</v>
      </c>
      <c r="BK315" s="136">
        <f>IF(SnapshotTable[[#This Row],[LP Premium]] &gt; 0, SnapshotTable[[#This Row],[LP Qty]] * SnapshotTable[[#This Row],[LP Strike Price]] * 100,0)</f>
        <v>0</v>
      </c>
      <c r="BL315" s="154"/>
      <c r="BM315" s="385" t="str">
        <f>IF(SnapshotTable[[#This Row],[LP Premium]] &gt; 0,SnapshotTable[[#This Row],[LP Exp Date]]-MAX(SnapshotTable[[#This Row],[LP Book Date]], SnapshotTable[[#This Row],[LP Fill Date]]),"")</f>
        <v/>
      </c>
      <c r="BN315" s="385" t="str">
        <f>IF(ISNUMBER( SnapshotTable[[#This Row],[LP Term]]), SnapshotTable[[#This Row],[LP Exp Date]] - MockToday,"")</f>
        <v/>
      </c>
      <c r="BO315" s="163" t="str">
        <f>IF(AND(SnapshotTable[[#This Row],[LP Exp Date]]&gt;0, SnapshotTable[[#This Row],[LP Strike Price]]&gt;0,SnapshotTable[[#This Row],[LP Qty]]&gt;0,SnapshotTable[[#This Row],[LP Book Date]]&gt;0,SnapshotTable[[#This Row],[LP Book Price]]&gt;0,SnapshotTable[[#This Row],[LP Fill Date]]=0),"Y","")</f>
        <v/>
      </c>
      <c r="BP315" s="31" t="str">
        <f>IF(AND(SnapshotTable[[#This Row],[LP No Fill]]&lt;&gt;"Y",SnapshotTable[[#This Row],[LP Contract Value]]&gt;0, SnapshotTable[[#This Row],[LP Qty]]&gt;0), SnapshotTable[[#This Row],[LP Contract Value]]*SnapshotTable[[#This Row],[LP Qty]]*100,"")</f>
        <v/>
      </c>
      <c r="BQ315" s="13"/>
      <c r="BR315" s="5" t="str">
        <f>IF(SnapshotTable[[#This Row],[SP Exp Date]]&lt;&gt;"",TRUNC(SnapshotTable[[#This Row],[Last Price]]),"")</f>
        <v/>
      </c>
      <c r="BS315" s="36"/>
      <c r="BT315" s="147"/>
      <c r="BU315" s="13"/>
      <c r="BV315" s="5"/>
      <c r="BW315" s="419" t="b">
        <f>AND(ISNUMBER(SnapshotTable[[#This Row],[SP Exp Date]]), ISNUMBER(SnapshotTable[[#This Row],[SP Strike Price]]), ISNUMBER(SnapshotTable[[#This Row],[SP Qty]]), ISNUMBER(SnapshotTable[[#This Row],[SP Book Date]]), ISNUMBER(SnapshotTable[[#This Row],[SP Book Price]]))</f>
        <v>0</v>
      </c>
      <c r="BX315" s="419" t="b">
        <f>AND(SnapshotTable[[#This Row],[SP Is Booked]], NOT(ISBLANK(SnapshotTable[[#This Row],[SP Fill Date]])))</f>
        <v>0</v>
      </c>
      <c r="BY315" s="33">
        <f>IF(SnapshotTable[[#This Row],[SP Is Booked]], SnapshotTable[[#This Row],[SP Qty]] * SnapshotTable[[#This Row],[SP Book Price]] * 100, 0)</f>
        <v>0</v>
      </c>
      <c r="BZ315" s="369"/>
      <c r="CA315" s="368">
        <f>SnapshotTable[[#This Row],[LP Qty]]</f>
        <v>0</v>
      </c>
      <c r="CB315" s="4" t="str">
        <f>IF(SnapshotTable[[#This Row],[SP Is Booked]], SnapshotTable[[#This Row],[SP Strike Price]] - SnapshotTable[[#This Row],[SP Book Price]], "")</f>
        <v/>
      </c>
      <c r="CC315" s="19" t="str">
        <f>IF(SnapshotTable[[#This Row],[SP Is Booked]],SnapshotTable[[#This Row],[SP Exp Date]]-MAX(SnapshotTable[[#This Row],[SP Book Date]], SnapshotTable[[#This Row],[SP Fill Date]]),"")</f>
        <v/>
      </c>
      <c r="CD315" s="7" t="str">
        <f>IF(SnapshotTable[[#This Row],[SP Is Booked]], SnapshotTable[[#This Row],[SP Book Price]]/SnapshotTable[[#This Row],[SP Strike Price]], "")</f>
        <v/>
      </c>
      <c r="CE315" s="7" t="str">
        <f>IF(ISNUMBER(SnapshotTable[[#This Row],[SP ROO Term]]),SnapshotTable[[#This Row],[SP ROO Term]]*(365/SnapshotTable[[#This Row],[SP Term]]),"")</f>
        <v/>
      </c>
      <c r="CF315" s="236">
        <f>SnapshotTable[[#This Row],[LP Strike Price]] * SnapshotTable[[#This Row],[LP Qty]] * 100</f>
        <v>0</v>
      </c>
      <c r="CG315" s="31" t="e">
        <f>IF(ISNUMBER(SnapshotTable[[#This Row],[SP Premium]]), (SnapshotTable[[#This Row],[SP Qty]] * SnapshotTable[[#This Row],[SP Strike Price]]* 100) - SnapshotTable[[#This Row],[LP Protection]], 0)</f>
        <v>#VALUE!</v>
      </c>
      <c r="CH315" s="7" t="str">
        <f>IF(ISNUMBER(SnapshotTable[[#This Row],[SP Break Even]]),-1 * (SnapshotTable[[#This Row],[SP Break Even]] - SnapshotTable[[#This Row],[Last Price]]) / SnapshotTable[[#This Row],[Last Price]], "")</f>
        <v/>
      </c>
      <c r="CI315" s="31">
        <f>IF(AND(ISNUMBER((SnapshotTable[[#This Row],[SP Potential Spend]])), SnapshotTable[[#This Row],[SP Strike Price]] &gt; SnapshotTable[[#This Row],[Last Price]], SnapshotTable[[#This Row],[SP Is Filled]]), SnapshotTable[[#This Row],[SP Potential Spend]] -  SnapshotTable[[#This Row],[LP Max Value]], 0)</f>
        <v>0</v>
      </c>
      <c r="CJ315" s="244"/>
      <c r="CK315" s="31" t="str">
        <f>IF(ISNUMBER(SnapshotTable[[#This Row],[SP Potential Spend]]),IF(ISNUMBER(SnapshotTable[[#This Row],[SP POW]]), SnapshotTable[[#This Row],[SP POW]] * SnapshotTable[[#This Row],[SP Potential Spend]], SnapshotTable[[#This Row],[SP Potential Spend]]), "")</f>
        <v/>
      </c>
      <c r="CL315" s="164" t="e">
        <f>IF(NOT(SnapshotTable[[#This Row],[SP Is Filled]]),(SnapshotTable[[#This Row],[SP Qty]] * SnapshotTable[[#This Row],[SP Strike Price]] * 100) - SnapshotTable[[#This Row],[LP Max Value]],"")</f>
        <v>#VALUE!</v>
      </c>
      <c r="CM315" s="31" t="str">
        <f>IF(SnapshotTable[[#This Row],[SP Actual Spend]]&lt;&gt;0, ((SnapshotTable[[#This Row],[SP Strike Price]]-SnapshotTable[[#This Row],[Last Price]]) *(SnapshotTable[[#This Row],[SP Qty]]*100) - SnapshotTable[[#This Row],[SP Premium]]) * - 1, "")</f>
        <v/>
      </c>
      <c r="CN315" s="154"/>
      <c r="CO315" s="369"/>
      <c r="CP315" s="4" t="str">
        <f>IF(SnapshotTable[[#This Row],[SP Is Filled]], btc_max_buyback_amount(SnapshotTable[[#This Row],[SP Fill Date]],SnapshotTable[[#This Row],[SP Exp Date]], SnapshotTable[[#This Row],[SP Book Price]]),"")</f>
        <v/>
      </c>
      <c r="CQ315" s="78"/>
      <c r="CR31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5" s="155" t="str">
        <f>IF(SnapshotTable[[#This Row],[SP Is Filled]], btc_next_cutoff_date(SnapshotTable[[#This Row],[SP Fill Date]],SnapshotTable[[#This Row],[SP Exp Date]]),"")</f>
        <v/>
      </c>
      <c r="CT315" s="235" t="str" cm="1">
        <f t="array" ref="CT315">IF(SnapshotTable[[#This Row],[SP Is Filled]], btc_should_buy_back(SnapshotTable[[#This Row],[SP Fill Date]], SnapshotTable[[#This Row],[SP Exp Date]], SnapshotTable[[#This Row],[SP Book Price]], SnapshotTable[[#This Row],[SP Current Ask]], MockToday, SnapshotTable[[#This Row],[SP Buyback Override]]),"")</f>
        <v/>
      </c>
      <c r="CU315" s="143"/>
      <c r="CV315" s="235"/>
      <c r="CW315" s="378" t="str">
        <f>IF(ISNUMBER( SnapshotTable[[#This Row],[SP Term]]), SnapshotTable[[#This Row],[SP Exp Date]] - MockToday,"")</f>
        <v/>
      </c>
      <c r="CX315" s="31" t="str">
        <f>IF(SnapshotTable[[#This Row],[SP Is Filled]],SnapshotTable[[#This Row],[SP Buyback Price to Use]] * 100 * SnapshotTable[[#This Row],[SP Qty]], "")</f>
        <v/>
      </c>
      <c r="CY315" s="4" t="str">
        <f>IF(ISNUMBER(SnapshotTable[[#This Row],[SP Strike Price]]), SnapshotTable[[#This Row],[SP Strike Price]] * (1 - SP_MaxLoss_StrikePct), "")</f>
        <v/>
      </c>
      <c r="CZ315" s="31" t="str">
        <f>IF(ISNUMBER(SnapshotTable[[#This Row],[SP Strike  Stop Per Share]]),SnapshotTable[[#This Row],[SP Premium]] - ((SnapshotTable[[#This Row],[SP Strike Price]]-SnapshotTable[[#This Row],[SP Strike  Stop Per Share]]) *(SnapshotTable[[#This Row],[SP Qty]] * 100)),"")</f>
        <v/>
      </c>
      <c r="DA315" s="4" t="str">
        <f>IF(AND(ISNUMBER(SnapshotTable[[#This Row],[SP Premium]]),SnapshotTable[[#This Row],[SP Premium]]&gt;0), SnapshotTable[[#This Row],[SP Book Price]] * (1 + SP_MaxLoss_OptionPct), "")</f>
        <v/>
      </c>
      <c r="DB315" s="31" t="str">
        <f>IF(ISNUMBER(SnapshotTable[[#This Row],[SP Option  Stop Contract]]),(SnapshotTable[[#This Row],[SP Option  Stop Contract]] *(SnapshotTable[[#This Row],[SP Qty]] * 100) - SnapshotTable[[#This Row],[SP Premium]]),"")</f>
        <v/>
      </c>
      <c r="DC315" s="4"/>
      <c r="DD315" s="4"/>
      <c r="DE315" s="4" t="str">
        <f>IF(AND(SnapshotTable[[#This Row],[SP Qty]]&gt;0, SnapshotTable[[#This Row],[SP Stop To Use]]&gt;0),SnapshotTable[[#This Row],[SP Premium]] - ( SnapshotTable[[#This Row],[SP Qty]] * SnapshotTable[[#This Row],[SP Stop To Use]] * 100), "")</f>
        <v/>
      </c>
      <c r="DF315" s="31" t="str">
        <f>IF(AND(SnapshotTable[[#This Row],[SP Qty]]&gt;0,SnapshotTable[[#This Row],[SP Current Ask]]&gt;0), SnapshotTable[[#This Row],[SP Qty]] * SnapshotTable[[#This Row],[SP Current Ask]] * -100, "")</f>
        <v/>
      </c>
      <c r="DG315" s="31" t="str">
        <f>IF(ISNUMBER((SnapshotTable[[#This Row],[SP Total Value]])), SnapshotTable[[#This Row],[SP Premium]] + SnapshotTable[[#This Row],[SP Total Value]], "")</f>
        <v/>
      </c>
      <c r="DH315" s="294" t="str">
        <f>IF(ISNUMBER((SnapshotTable[[#This Row],[SP Total Value]])), SnapshotTable[[#This Row],[SP Gain Loss]] / SnapshotTable[[#This Row],[SP Premium]], "")</f>
        <v/>
      </c>
      <c r="DI315" s="406"/>
      <c r="DJ315" s="138"/>
      <c r="DK315" s="148"/>
      <c r="DL315" s="147"/>
      <c r="DM315" s="147"/>
      <c r="DO315" s="31">
        <f>IF(SnapshotTable[[#This Row],[LC Symbol Count]]=1, SnapshotTable[[#This Row],[LC Qty]] * SnapshotTable[[#This Row],[LC Book Price]] * 100, 0)</f>
        <v>0</v>
      </c>
      <c r="DP315" s="163" t="str">
        <f>IF(AND(SnapshotTable[[#This Row],[LC Exp Date]]&gt;0, SnapshotTable[[#This Row],[LC Strike Price]]&gt;0,SnapshotTable[[#This Row],[LC Qty]]&gt;0,SnapshotTable[[#This Row],[LC Book Date]]&gt;0,SnapshotTable[[#This Row],[LC Book Price]]&gt;0,SnapshotTable[[#This Row],[LC Fill Date]]=0),"Y","")</f>
        <v/>
      </c>
      <c r="DQ315" s="386" t="str">
        <f>IF(SnapshotTable[[#This Row],[LC Premium]] &gt; 0,SnapshotTable[[#This Row],[LC Exp Date]]-MAX(SnapshotTable[[#This Row],[LC Book Date]], SnapshotTable[[#This Row],[LC Fill Date]]),"")</f>
        <v/>
      </c>
      <c r="DR315" s="386" t="str">
        <f>IF(ISNUMBER(SnapshotTable[[#This Row],[LC Term]]), SnapshotTable[[#This Row],[LC Exp Date]] - MockToday, "")</f>
        <v/>
      </c>
      <c r="DS315" s="234" t="str">
        <f>IF(SnapshotTable[[#This Row],[LC Premium]]&gt;0,SnapshotTable[[#This Row],[LC Strike Price]] + SnapshotTable[[#This Row],[LC Book Price]],"")</f>
        <v/>
      </c>
      <c r="DU315" s="9" t="str">
        <f>IF(AND(SnapshotTable[[#This Row],[LC Symbol Count]]&gt;0, SnapshotTable[[#This Row],[LC Contract Value]]&gt;0), SnapshotTable[[#This Row],[LC Contract Value]] * SnapshotTable[[#This Row],[LC Qty]] * 100, "")</f>
        <v/>
      </c>
      <c r="DV315" s="9" t="str">
        <f>IF(AND(ISNUMBER(SnapshotTable[[#This Row],[LC Total Value]]), SnapshotTable[[#This Row],[LC Not Filled]]&lt;&gt;"Y"), SnapshotTable[[#This Row],[LC Total Value]]-SnapshotTable[[#This Row],[LC Premium]],"")</f>
        <v/>
      </c>
      <c r="DW315" s="240" t="str">
        <f>IF(ISNUMBER(SnapshotTable[[#This Row],[LC Actual Gain Loss]]), SnapshotTable[[#This Row],[LC Actual Gain Loss]] / SnapshotTable[[#This Row],[LC Premium]],"")</f>
        <v/>
      </c>
      <c r="DX315" s="284" t="str">
        <f>IF(ISNUMBER(SnapshotTable[[#This Row],[LC Book Price]]),SnapshotTable[[#This Row],[LC Book Price]] * 1.5,"")</f>
        <v/>
      </c>
      <c r="DY315" s="265" t="str">
        <f>IF(SnapshotTable[[#This Row],[LC Premium]]&gt;0, SnapshotTable[[#This Row],[LC Next Target]] * SnapshotTable[[#This Row],[LC Qty]] * 100,"")</f>
        <v/>
      </c>
      <c r="DZ315" s="265" t="str">
        <f>IF(ISNUMBER(SnapshotTable[[#This Row],[LC Target Gross]]), SnapshotTable[[#This Row],[LC Target Gross]] - SnapshotTable[[#This Row],[LC Premium]], "")</f>
        <v/>
      </c>
      <c r="EA315" s="305" t="str">
        <f>IF(ISNUMBER(SnapshotTable[[#This Row],[LC Target Gain Loss]]), SnapshotTable[[#This Row],[LC Target Gain Loss]]/SnapshotTable[[#This Row],[LC Premium]], "")</f>
        <v/>
      </c>
      <c r="EB315" s="262"/>
      <c r="EC315" s="283" t="str">
        <f>IF(SnapshotTable[[#This Row],[LC Premium]]&gt;0, SnapshotTable[[#This Row],[LC Book Price]] * (1 - LC_StopLoss_Pct),"")</f>
        <v/>
      </c>
      <c r="ED315" s="284"/>
      <c r="EE315" s="283" t="str">
        <f>IF(ISNUMBER(SnapshotTable[[#This Row],[LC Contract Value]]),IF(ISNUMBER(SnapshotTable[[#This Row],[LC Stop Loss Override]]), SnapshotTable[[#This Row],[LC Stop Loss Override]],SnapshotTable[[#This Row],[LC Stop Loss Calc Target]]),"")</f>
        <v/>
      </c>
      <c r="EF315" s="31" t="str">
        <f>IF(ISNUMBER(SnapshotTable[[#This Row],[LC Stop  To Use]]), (SnapshotTable[[#This Row],[LC Stop  To Use]] * SnapshotTable[[#This Row],[LC Qty]] * 100),"")</f>
        <v/>
      </c>
      <c r="EG315" s="9" t="str">
        <f>IF(ISNUMBER(SnapshotTable[[#This Row],[LC Total Value]]),SnapshotTable[[#This Row],[LC Stop Loss Amount]] - SnapshotTable[[#This Row],[LC Premium]],"")</f>
        <v/>
      </c>
      <c r="EH315" s="9">
        <f>IF(ISNUMBER(SnapshotTable[[#This Row],[LC Premium]]), SnapshotTable[[#This Row],[LC Qty]] * 100 * SnapshotTable[[#This Row],[LC Strike Price]], "")</f>
        <v>0</v>
      </c>
      <c r="EI315" s="240" t="str">
        <f>IF(AND(ISNUMBER(SnapshotTable[[#This Row],[LC Total Value]]),SnapshotTable[[#This Row],[LC Total Value]]&gt;0),SnapshotTable[[#This Row],[LC Stop Gain Loss]]  / SnapshotTable[[#This Row],[LC Premium]],"")</f>
        <v/>
      </c>
      <c r="EJ315" s="35">
        <f>IF(ISNUMBER(SnapshotTable[[#This Row],[Equity Shares]]),TRUNC(SnapshotTable[[#This Row],[Equity Shares]] / 100),0) + SnapshotTable[[#This Row],[LC Qty]]</f>
        <v>0</v>
      </c>
      <c r="EK315" s="147"/>
      <c r="EL315" s="138" t="str">
        <f>IF(SnapshotTable[[#This Row],[SC Exp Date]]&lt;&gt;"",TRUNC(SnapshotTable[[#This Row],[Last Price]]),"")</f>
        <v/>
      </c>
      <c r="EM315" s="148"/>
      <c r="EN315" s="147"/>
      <c r="EO315" s="147"/>
      <c r="EP315" s="138"/>
      <c r="EQ315" s="419" t="b">
        <f>AND(ISNUMBER(SnapshotTable[[#This Row],[SC Exp Date]]), ISNUMBER(SnapshotTable[[#This Row],[SC Strike Price]]), ISNUMBER(SnapshotTable[[#This Row],[SC Qty]]), ISNUMBER(SnapshotTable[[#This Row],[SC Book Date]]), ISNUMBER(SnapshotTable[[#This Row],[SC Book Price]]))</f>
        <v>0</v>
      </c>
      <c r="ER315" s="419" t="b">
        <f>AND(SnapshotTable[[#This Row],[SC Is Booked]], NOT(ISBLANK(SnapshotTable[[#This Row],[SC Fill Date]])))</f>
        <v>0</v>
      </c>
      <c r="ES315" s="370"/>
      <c r="ET315" s="34" t="str">
        <f>IF(AND(ISNUMBER(SnapshotTable[[#This Row],[SC Exp Date]]), ISNUMBER(SnapshotTable[[#This Row],[SC Book Date]])), SnapshotTable[[#This Row],[SC Exp Date]] - MAX(SnapshotTable[[#This Row],[SC Book Date]], SnapshotTable[[#This Row],[SC Fill Date]]) + 1, "")</f>
        <v/>
      </c>
      <c r="EU315" s="34" t="str">
        <f>IF(ISNUMBER(SnapshotTable[[#This Row],[SC Term]]), SnapshotTable[[#This Row],[SC Exp Date]]- MockToday, "")</f>
        <v/>
      </c>
      <c r="EV315" s="31">
        <f>IF(SnapshotTable[[#This Row],[SC Is Booked]], SnapshotTable[[#This Row],[SC Qty]] * SnapshotTable[[#This Row],[SC Book Price]] * 100, 0)</f>
        <v>0</v>
      </c>
      <c r="EW315" s="4" t="str">
        <f>IF(AND(ISNUMBER(SnapshotTable[[#This Row],[Last Price]]), ISNUMBER( SnapshotTable[[#This Row],[SC Book Price]])), SnapshotTable[[#This Row],[Last Price]] - SnapshotTable[[#This Row],[SC Book Price]],"")</f>
        <v/>
      </c>
      <c r="EX315" s="234" t="str">
        <f>IF(SnapshotTable[[#This Row],[SC Is Booked]],IF(SnapshotTable[[#This Row],[SC Intrinsic Value]] &gt; 0, SnapshotTable[[#This Row],[SC Strike Price]], SnapshotTable[[#This Row],[Last Price]]), "")</f>
        <v/>
      </c>
      <c r="EY315" s="4">
        <f>IF(SnapshotTable[[#This Row],[SC Is Booked]], (MinimumPremiumRequired * SnapshotTable[[#This Row],[SC Basis]] * SnapshotTable[[#This Row],[SC Term]]), 0)</f>
        <v>0</v>
      </c>
      <c r="EZ315" s="283"/>
      <c r="FA315" s="218"/>
      <c r="FB315" s="370"/>
      <c r="FC315" s="4">
        <f>IF(SnapshotTable[[#This Row],[SC Is Filled]], btc_max_buyback_amount(SnapshotTable[[#This Row],[SC Fill Date]],SnapshotTable[[#This Row],[SC Exp Date]], SnapshotTable[[#This Row],[SC Book Price]]),0)</f>
        <v>0</v>
      </c>
      <c r="FD315" s="5"/>
      <c r="FE315" s="144" t="str">
        <f>IF(SnapshotTable[[#This Row],[SC Is Filled]], btc_next_cutoff_date(SnapshotTable[[#This Row],[SC Fill Date]],SnapshotTable[[#This Row],[SC Exp Date]]),"")</f>
        <v/>
      </c>
      <c r="FF315" s="4" t="str" cm="1">
        <f t="array" ref="FF315">IF(SnapshotTable[[#This Row],[SC Is Filled]], btc_should_buy_back(SnapshotTable[[#This Row],[SC Fill Date]], SnapshotTable[[#This Row],[SC Exp Date]], SnapshotTable[[#This Row],[SC Book Price]], SnapshotTable[[#This Row],[SC Current Ask]], MockToday, SnapshotTable[[#This Row],[SC Buyback Override]]),"")</f>
        <v/>
      </c>
      <c r="FG315" s="4">
        <f>IF(SnapshotTable[[#This Row],[SC Is Filled]], MAX(0,SnapshotTable[[#This Row],[Last Price]]  - SnapshotTable[[#This Row],[SC Strike Price]]), 0)</f>
        <v>0</v>
      </c>
      <c r="FH315" s="382">
        <f>IF(SnapshotTable[[#This Row],[SC Is Filled]], IF(ISNUMBER(SnapshotTable[[#This Row],[SC Current Ask]]), SnapshotTable[[#This Row],[SC Current Ask]], SnapshotTable[[#This Row],[SC Book Price]]) - SnapshotTable[[#This Row],[SC Intrinsic Value]], 0)</f>
        <v>0</v>
      </c>
      <c r="FI315" s="143"/>
      <c r="FJ315" s="32" t="str">
        <f>IF(SnapshotTable[[#This Row],[SC Is Filled]],100 * SnapshotTable[[#This Row],[SC Qty]] * IF(ISNUMBER(SnapshotTable[[#This Row],[SC Buyback Override]]), SnapshotTable[[#This Row],[SC Buyback Override]], SnapshotTable[[#This Row],[SC Current Ask]]), "")</f>
        <v/>
      </c>
      <c r="FK315" s="250" t="str">
        <f>IF(SnapshotTable[[#This Row],[SC Time Val]]&gt;0, SnapshotTable[[#This Row],[SC Time Val]] / SnapshotTable[[#This Row],[Last Price]],"")</f>
        <v/>
      </c>
      <c r="FL315" s="302" t="str">
        <f>IF(SnapshotTable[[#This Row],[SC Is Booked]], ((SnapshotTable[[#This Row],[Last Price]] -SnapshotTable[[#This Row],[SC Strike Price]]) / SnapshotTable[[#This Row],[Last Price]]) * -1, "")</f>
        <v/>
      </c>
      <c r="FM315" s="157" t="str">
        <f>IF(SnapshotTable[[#This Row],[SC Is Booked]],  (SnapshotTable[[#This Row],[SC Qty]] * 100 * SnapshotTable[[#This Row],[SC Strike Price]]) - SnapshotTable[[#This Row],[SC Current Ask]], "")</f>
        <v/>
      </c>
      <c r="FN315"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5" s="157" t="str">
        <f>IF(AND(ISNUMBER(SnapshotTable[[#This Row],[SC Exercise Gross]]), ISNUMBER(SnapshotTable[[#This Row],[Equity Basis Per Share]] )), SnapshotTable[[#This Row],[SC Exercise Gross]] - SnapshotTable[[#This Row],[Equity Basis Total]] +  SnapshotTable[[#This Row],[SC Premium]], "")</f>
        <v/>
      </c>
      <c r="FP315" s="5" t="str">
        <f>IF(ISNUMBER(SnapshotTable[[#This Row],[SC Exercise Gross]]), (SnapshotTable[[#This Row],[SC Exercise Gross]]) / (SnapshotTable[[#This Row],[SC Qty]] * 100), "")</f>
        <v/>
      </c>
      <c r="FQ315" s="27" t="str">
        <f>IF(SnapshotTable[[#This Row],[SC Is Booked]],SnapshotTable[[#This Row],[SC Time Val]] /SnapshotTable[[#This Row],[SC Basis]], "")</f>
        <v/>
      </c>
      <c r="FR315" s="27" t="str" cm="1">
        <f t="array" ref="FR315">IF(AND(ISNUMBER(SnapshotTable[[#This Row],[SC Term]]),ISNUMBER(SnapshotTable[[#This Row],[SC Simple ROO]])), EllmanAnnualize(SnapshotTable[[#This Row],[SC DTE]], SnapshotTable[[#This Row],[SC Simple ROO]] ),"")</f>
        <v/>
      </c>
      <c r="FS315" s="4" t="e">
        <f>IF(SnapshotTable[[#This Row],[SC Strike Price]] &gt; SnapshotTable[[#This Row],[Last Price]], SnapshotTable[[#This Row],[SC Strike Price]] - SnapshotTable[[#This Row],[Last Price]],0)</f>
        <v>#VALUE!</v>
      </c>
      <c r="FT315" s="27" t="e">
        <f>IF(AND(ISNUMBER(SnapshotTable[[#This Row],[SC Upside Potential]]), SnapshotTable[[#This Row],[SC Upside Potential]] &gt; 0),(SnapshotTable[[#This Row],[SC Upside Potential]]/ SnapshotTable[[#This Row],[ACB]]),"")</f>
        <v>#VALUE!</v>
      </c>
      <c r="FU315" s="333" t="str">
        <f>IF(SnapshotTable[[#This Row],[SC Intrinsic Value]] &gt; 0,SnapshotTable[[#This Row],[SC Intrinsic Value]],"")</f>
        <v/>
      </c>
      <c r="FV315" s="27" t="str">
        <f>IF(AND( ISNUMBER( SnapshotTable[[#This Row],[ACB]]),ISNUMBER(SnapshotTable[[#This Row],[SC Downside Protect]])),SnapshotTable[[#This Row],[SC Downside Protect]] / SnapshotTable[[#This Row],[ACB]],"")</f>
        <v/>
      </c>
      <c r="FW315" s="236" t="str">
        <f>IF(AND(ISNUMBER(SnapshotTable[[#This Row],[SC Simple ROO]]),SnapshotTable[[#This Row],[SC Simple ROO]] &gt; 0), SnapshotTable[[#This Row],[SC Premium]] + (SnapshotTable[[#This Row],[SC Qty]] * SnapshotTable[[#This Row],[SC Upside Potential]]), "")</f>
        <v/>
      </c>
      <c r="FX315" s="302" t="str" cm="1">
        <f t="array" ref="FX315">IF(ISNUMBER(SnapshotTable[[#This Row],[SC Max Dollars]]), annualize(SnapshotTable[[#This Row],[SC Term]],(SnapshotTable[[#This Row],[SC Max Dollars]]/SnapshotTable[[#This Row],[SC Basis]])),"")</f>
        <v/>
      </c>
      <c r="FY315" s="236" t="str">
        <f>IF(AND(SnapshotTable[[#This Row],[SC Qty]]&gt;0,SnapshotTable[[#This Row],[SC Current Ask]]&gt;0), SnapshotTable[[#This Row],[SC Qty]] * SnapshotTable[[#This Row],[SC Current Ask]] * -100, "")</f>
        <v/>
      </c>
      <c r="FZ315" s="235" t="str">
        <f>IF(ISNUMBER((SnapshotTable[[#This Row],[SC Current Value]])), SnapshotTable[[#This Row],[SC Premium]] + SnapshotTable[[#This Row],[SC Current Value]], "")</f>
        <v/>
      </c>
      <c r="GA315" s="294" t="str">
        <f>IFERROR( IF(ISNUMBER((SnapshotTable[[#This Row],[SC Current Value]])), SnapshotTable[[#This Row],[SC Gain Loss]] / SnapshotTable[[#This Row],[SC Premium]], ""), "")</f>
        <v/>
      </c>
      <c r="GB315" s="42">
        <f>SnapshotTable[[#This Row],[Equity Shares]] * SaleSharesToConsiderPercentage</f>
        <v>0</v>
      </c>
      <c r="GC315" s="40">
        <f>SnapshotTable[[#This Row],[Long Term Target]] * SellingPriceToConsiderBasedOnTargetPercentage</f>
        <v>25.545500000000001</v>
      </c>
      <c r="GD315" s="40">
        <f>SnapshotTable[[#This Row],[Last Price]] * (1+ SellingPriceToConsiderBasedOnTargetPercentage)</f>
        <v>45.454499999999996</v>
      </c>
      <c r="GE315" s="41"/>
      <c r="GF315" s="40"/>
      <c r="GG315" s="31">
        <f>SnapshotTable[[#This Row],[Booked Sale Shares]] * SnapshotTable[[#This Row],[Booked Sale Price]]</f>
        <v>0</v>
      </c>
      <c r="GH315" s="31" t="str">
        <f>IF(SnapshotTable[[#This Row],[Equity Basis Total]] &gt; 0, SnapshotTable[[#This Row],[Equity Basis Per Share]] * SnapshotTable[[#This Row],[Booked Sale Shares]], "")</f>
        <v/>
      </c>
      <c r="GI315" s="31">
        <f>IF(SnapshotTable[[#This Row],[Sale Proceeds]]&gt;0, SnapshotTable[[#This Row],[Sale Proceeds]] - SnapshotTable[[#This Row],[Sale Basis]], 0)</f>
        <v>0</v>
      </c>
      <c r="GJ315" s="158" t="str">
        <f>IF(SnapshotTable[[#This Row],[Sale G/L]]&gt;0, SnapshotTable[[#This Row],[Sale G/L]] / SnapshotTable[[#This Row],[Sale Basis]], IF(ISNUMBER(SnapshotTable[[#This Row],[SC Exercise P&amp;L (TAX)]]), SnapshotTable[[#This Row],[SC Exercise P&amp;L (TAX)]] / SnapshotTable[[#This Row],[SC Basis]], ""))</f>
        <v/>
      </c>
      <c r="GK315" s="27"/>
      <c r="GL315" s="159" t="str">
        <f>IF(AND(SnapshotTable[[#This Row],[LP Exp Date]]&gt;0,SnapshotTable[[#This Row],[LP Strike Price]]&gt;0), [1]!ToOptionSymbol(SnapshotTable[[#This Row],[Symbol]], SnapshotTable[[#This Row],[LP Strike Price]],SnapshotTable[[#This Row],[LP Exp Date]],1), "")</f>
        <v/>
      </c>
      <c r="GM315" s="30" t="str">
        <f>IF(LEN(SnapshotTable[[#This Row],[LP Symbol]])&gt;0, 1, "")</f>
        <v/>
      </c>
      <c r="GN315" s="43" t="str">
        <f>IF(AND(SnapshotTable[[#This Row],[SP Exp Date]]&gt;0,SnapshotTable[[#This Row],[SP Strike Price]]&gt;0), [1]!ToOptionSymbol(SnapshotTable[[#This Row],[Symbol]], SnapshotTable[[#This Row],[SP Strike Price]],SnapshotTable[[#This Row],[SP Exp Date]],1), "")</f>
        <v/>
      </c>
      <c r="GO315" s="30" t="str">
        <f>IF(LEN(SnapshotTable[[#This Row],[SP Symbol]])&gt;0, 1, "")</f>
        <v/>
      </c>
      <c r="GP315" s="159" t="str">
        <f>IF(AND(SnapshotTable[[#This Row],[LC Exp Date]]&gt;0,SnapshotTable[[#This Row],[LC Strike Price]]&gt;0), [1]!ToOptionSymbol(SnapshotTable[[#This Row],[Symbol]], SnapshotTable[[#This Row],[LC Strike Price]],SnapshotTable[[#This Row],[LC Exp Date]],0), "")</f>
        <v/>
      </c>
      <c r="GQ315" s="160" t="str">
        <f>IF(LEN(SnapshotTable[[#This Row],[LC Symbol]])&gt;0, 1, "")</f>
        <v/>
      </c>
      <c r="GR315" s="159" t="str">
        <f>IF(AND(SnapshotTable[[#This Row],[SC Exp Date]]&gt;0,SnapshotTable[[#This Row],[SC Strike Price]]&gt;0), [1]!ToOptionSymbol(SnapshotTable[[#This Row],[Symbol]], SnapshotTable[[#This Row],[SC Strike Price]],SnapshotTable[[#This Row],[SC Exp Date]],0), "")</f>
        <v/>
      </c>
      <c r="GS315" s="160" t="str">
        <f>IF(LEN(SnapshotTable[[#This Row],[SC Symbol]])&gt;0, 1, "")</f>
        <v/>
      </c>
      <c r="GT315" s="161" t="str">
        <f>IF(COUNT(SnapshotTable[[#This Row],[LP Symbol Count]],SnapshotTable[[#This Row],[SP Symbol Count]],SnapshotTable[[#This Row],[LC Symbol Count]],SnapshotTable[[#This Row],[SC Symbol Count]])&gt;0, "Y", "")</f>
        <v/>
      </c>
      <c r="GU31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5" s="231" t="e">
        <f>MAX(SnapshotTable[[#This Row],[Equity Basis Total]],SnapshotTable[[#This Row],[Equity Value]]) + (SnapshotTable[[#This Row],[SP Potential Spend]]- SnapshotTable[[#This Row],[SP Premium]] + SnapshotTable[[#This Row],[LP Premium]])+ (SnapshotTable[[#This Row],[LC Premium]] - SnapshotTable[[#This Row],[SC Premium]])</f>
        <v>#VALUE!</v>
      </c>
      <c r="GW315" s="139" t="e">
        <f>IF(AND(SnapshotTable[[#This Row],[Exposure]] &lt;&gt; 0),SnapshotTable[[#This Row],[Exposure]] / SnapshotTable[[#Totals],[Exposure]], "")</f>
        <v>#VALUE!</v>
      </c>
      <c r="GX315" s="13"/>
      <c r="HK315" s="1"/>
      <c r="HL315" s="1"/>
      <c r="HM315" s="1"/>
      <c r="HN315" s="1"/>
      <c r="HO315" s="1"/>
      <c r="HP315" s="1"/>
    </row>
    <row r="316" spans="2:224" ht="12.75" hidden="1" customHeight="1" x14ac:dyDescent="0.25">
      <c r="B316" s="12" t="s">
        <v>121</v>
      </c>
      <c r="C316" s="422">
        <v>51.7</v>
      </c>
      <c r="D316" s="208" t="s">
        <v>578</v>
      </c>
      <c r="E316" s="39">
        <f>SnapshotTable[[#This Row],[Last Price]]*(1 -CrashDiscount)</f>
        <v>43.945</v>
      </c>
      <c r="F316" s="26" t="s">
        <v>94</v>
      </c>
      <c r="G316" s="26" t="s">
        <v>9</v>
      </c>
      <c r="H316" s="149"/>
      <c r="I316" s="194">
        <v>44770.333333333336</v>
      </c>
      <c r="J316" s="195">
        <v>44770.333333333336</v>
      </c>
      <c r="K316" s="196"/>
      <c r="L316" s="326"/>
      <c r="M316" s="140"/>
      <c r="N316" s="140"/>
      <c r="O316" s="140"/>
      <c r="P316" s="22"/>
      <c r="Q316" s="25"/>
      <c r="R316" s="4" t="str">
        <f>IF(SnapshotTable[[#This Row],[Equity Basis Total]] &gt; 0, SnapshotTable[[#This Row],[Equity Basis Total]] / SnapshotTable[[#This Row],[Equity Shares]], "")</f>
        <v/>
      </c>
      <c r="S316" s="269">
        <f>SnapshotTable[[#This Row],[Last Price]] * SnapshotTable[[#This Row],[Equity Shares]]</f>
        <v>0</v>
      </c>
      <c r="T316" s="269">
        <f>SnapshotTable[[#This Row],[Equity Value]] - SnapshotTable[[#This Row],[Equity Basis Total]]</f>
        <v>0</v>
      </c>
      <c r="U316" s="270" t="str">
        <f>IF(SnapshotTable[[#This Row],[Equity Basis Total]] &gt; 0, SnapshotTable[[#This Row],[Equity G/L]] / SnapshotTable[[#This Row],[Equity Basis Total]], "")</f>
        <v/>
      </c>
      <c r="V316" s="268">
        <v>55</v>
      </c>
      <c r="W316" s="268">
        <v>48.29</v>
      </c>
      <c r="X316" s="4" t="str">
        <f>IF(AND(ISNUMBER(SnapshotTable[[#This Row],[Equity Basis Per Share]]),ISNUMBER(SnapshotTable[[#This Row],[Equity Target]])),SnapshotTable[[#This Row],[Equity Target]]-SnapshotTable[[#This Row],[Equity Basis Per Share]],"")</f>
        <v/>
      </c>
      <c r="Y316" s="4" t="str">
        <f>IF(AND(ISNUMBER(SnapshotTable[[#This Row],[Equity Basis Per Share]]),ISNUMBER(SnapshotTable[[#This Row],[Equity Stop Loss]])),SnapshotTable[[#This Row],[Equity Stop Loss]]-SnapshotTable[[#This Row],[Equity Basis Per Share]],"")</f>
        <v/>
      </c>
      <c r="Z316" s="275" t="str">
        <f>IFERROR( TEXT(SnapshotTable[[#This Row],[Equity Max Gain Per Share]] /ABS( SnapshotTable[[#This Row],[Equity Max Loss Per Share]]),"0.0 " ) &amp; " : 1", "")</f>
        <v/>
      </c>
      <c r="AA316" s="31" t="str">
        <f>IF(ISNUMBER(SnapshotTable[[#This Row],[Equity Max Gain Per Share]]),SnapshotTable[[#This Row],[Equity Max Gain Per Share]] * SnapshotTable[[#This Row],[Equity Shares]],"")</f>
        <v/>
      </c>
      <c r="AB316" s="31" t="str">
        <f>IF(ISNUMBER(SnapshotTable[[#This Row],[Equity Max Loss Per Share]]),SnapshotTable[[#This Row],[Equity Max Loss Per Share]] * SnapshotTable[[#This Row],[Equity Shares]],"")</f>
        <v/>
      </c>
      <c r="AC316" s="150"/>
      <c r="AD316" s="151" t="s">
        <v>2</v>
      </c>
      <c r="AE316" s="31">
        <f>(SnapshotTable[[#This Row],[Annual Dividend Per Share]] / 4) * SnapshotTable[[#This Row],[Equity Shares]]</f>
        <v>0</v>
      </c>
      <c r="AF316" s="31">
        <f>SnapshotTable[[#This Row],[Quarterly Div $]] * 4</f>
        <v>0</v>
      </c>
      <c r="AG316" s="7">
        <f>IF(SnapshotTable[[#This Row],[Annual Dividend Per Share]]&gt;0, SnapshotTable[[#This Row],[Annual Dividend Per Share]]  / SnapshotTable[[#This Row],[Last Price]], 0)</f>
        <v>0</v>
      </c>
      <c r="AH316" s="151"/>
      <c r="AI316" s="5"/>
      <c r="AJ316" s="138">
        <v>43.82</v>
      </c>
      <c r="AK316" s="152" t="str">
        <f>IF(ISNUMBER( SnapshotTable[[#This Row],[EBF Target]]),(SnapshotTable[[#This Row],[EBF Target]] - SnapshotTable[[#This Row],[Last Price]]) / SnapshotTable[[#This Row],[Last Price]], "")</f>
        <v/>
      </c>
      <c r="AL316" s="152" t="str">
        <f>IF(AND(SnapshotTable[[#This Row],[Equity Basis Total]] &gt; 0,ISNUMBER( SnapshotTable[[#This Row],[Long Term Target]])), SnapshotTable[[#This Row],[From Basis $]] / SnapshotTable[[#This Row],[Equity Basis Total]], "")</f>
        <v/>
      </c>
      <c r="AM316" s="9">
        <f>IF( AND(SnapshotTable[[#This Row],[Equity Shares]] &gt;0,ISNUMBER( SnapshotTable[[#This Row],[Long Term Target]])),(SnapshotTable[[#This Row],[Equity Shares]] * SnapshotTable[[#This Row],[Long Term Target]]) - SnapshotTable[[#This Row],[Equity Basis Total]],0)</f>
        <v>0</v>
      </c>
      <c r="AN316" s="9">
        <f>IF( AND(SnapshotTable[[#This Row],[Equity Shares]] &gt;0,ISNUMBER( SnapshotTable[[#This Row],[Long Term Target]])),(SnapshotTable[[#This Row],[Equity Shares]]*SnapshotTable[[#This Row],[Long Term Target]]) - SnapshotTable[[#This Row],[Equity Value]],0)</f>
        <v>0</v>
      </c>
      <c r="AO316" s="152">
        <f>IF(AND(ISNUMBER( SnapshotTable[[#This Row],[Long Term Target]]), ISNUMBER(SnapshotTable[[#This Row],[Last Price]])),(SnapshotTable[[#This Row],[Long Term Target]] - SnapshotTable[[#This Row],[Last Price]]) / SnapshotTable[[#This Row],[Last Price]], "")</f>
        <v>-0.15241779497098651</v>
      </c>
      <c r="AP316" s="5">
        <v>55</v>
      </c>
      <c r="AQ316" s="38" t="s">
        <v>27</v>
      </c>
      <c r="AR316" s="5">
        <v>50</v>
      </c>
      <c r="AS316" s="38" t="s">
        <v>26</v>
      </c>
      <c r="AT316" s="146" t="s">
        <v>553</v>
      </c>
      <c r="AU316" s="187" t="str">
        <f>IF(OR(SnapshotTable[[#This Row],[LP No Fill]]="Y",SnapshotTable[[#This Row],[SP Is Filled]],SnapshotTable[[#This Row],[LC Not Filled]]="Y",SnapshotTable[[#This Row],[SC Is Filled]]),"Y","")</f>
        <v/>
      </c>
      <c r="AV316" s="219"/>
      <c r="AW316" s="225"/>
      <c r="AX316" s="220"/>
      <c r="AY316" s="219" t="str">
        <f>IF(SnapshotTable[[#This Row],[Implied Move]]&gt;0, SnapshotTable[[#This Row],[Last Price]]-SnapshotTable[[#This Row],[Implied Move]],"")</f>
        <v/>
      </c>
      <c r="AZ316" s="219" t="str">
        <f>IF(SnapshotTable[[#This Row],[Implied Move]]&gt;0, SnapshotTable[[#This Row],[Last Price]] + SnapshotTable[[#This Row],[Implied Move]],"")</f>
        <v/>
      </c>
      <c r="BA316" s="331">
        <v>41.34</v>
      </c>
      <c r="BB316" s="347"/>
      <c r="BC31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6" s="351"/>
      <c r="BE316" s="5"/>
      <c r="BF316" s="14"/>
      <c r="BG316" s="13"/>
      <c r="BH316" s="13"/>
      <c r="BI316" s="5"/>
      <c r="BJ316" s="136">
        <f>IF(SnapshotTable[[#This Row],[LP Qty]] &gt; 0, SnapshotTable[[#This Row],[LP Qty]] * SnapshotTable[[#This Row],[LP Book Price]] * 100,0)</f>
        <v>0</v>
      </c>
      <c r="BK316" s="136">
        <f>IF(SnapshotTable[[#This Row],[LP Premium]] &gt; 0, SnapshotTable[[#This Row],[LP Qty]] * SnapshotTable[[#This Row],[LP Strike Price]] * 100,0)</f>
        <v>0</v>
      </c>
      <c r="BL316" s="154"/>
      <c r="BM316" s="385" t="str">
        <f>IF(SnapshotTable[[#This Row],[LP Premium]] &gt; 0,SnapshotTable[[#This Row],[LP Exp Date]]-MAX(SnapshotTable[[#This Row],[LP Book Date]], SnapshotTable[[#This Row],[LP Fill Date]]),"")</f>
        <v/>
      </c>
      <c r="BN316" s="385" t="str">
        <f>IF(ISNUMBER( SnapshotTable[[#This Row],[LP Term]]), SnapshotTable[[#This Row],[LP Exp Date]] - MockToday,"")</f>
        <v/>
      </c>
      <c r="BO316" s="163" t="str">
        <f>IF(AND(SnapshotTable[[#This Row],[LP Exp Date]]&gt;0, SnapshotTable[[#This Row],[LP Strike Price]]&gt;0,SnapshotTable[[#This Row],[LP Qty]]&gt;0,SnapshotTable[[#This Row],[LP Book Date]]&gt;0,SnapshotTable[[#This Row],[LP Book Price]]&gt;0,SnapshotTable[[#This Row],[LP Fill Date]]=0),"Y","")</f>
        <v/>
      </c>
      <c r="BP316" s="31" t="str">
        <f>IF(AND(SnapshotTable[[#This Row],[LP No Fill]]&lt;&gt;"Y",SnapshotTable[[#This Row],[LP Contract Value]]&gt;0, SnapshotTable[[#This Row],[LP Qty]]&gt;0), SnapshotTable[[#This Row],[LP Contract Value]]*SnapshotTable[[#This Row],[LP Qty]]*100,"")</f>
        <v/>
      </c>
      <c r="BQ316" s="13"/>
      <c r="BR316" s="5" t="str">
        <f>IF(SnapshotTable[[#This Row],[SP Exp Date]]&lt;&gt;"",TRUNC(SnapshotTable[[#This Row],[Last Price]]),"")</f>
        <v/>
      </c>
      <c r="BS316" s="36"/>
      <c r="BT316" s="147"/>
      <c r="BU316" s="13"/>
      <c r="BV316" s="5"/>
      <c r="BW316" s="419" t="b">
        <f>AND(ISNUMBER(SnapshotTable[[#This Row],[SP Exp Date]]), ISNUMBER(SnapshotTable[[#This Row],[SP Strike Price]]), ISNUMBER(SnapshotTable[[#This Row],[SP Qty]]), ISNUMBER(SnapshotTable[[#This Row],[SP Book Date]]), ISNUMBER(SnapshotTable[[#This Row],[SP Book Price]]))</f>
        <v>0</v>
      </c>
      <c r="BX316" s="419" t="b">
        <f>AND(SnapshotTable[[#This Row],[SP Is Booked]], NOT(ISBLANK(SnapshotTable[[#This Row],[SP Fill Date]])))</f>
        <v>0</v>
      </c>
      <c r="BY316" s="33">
        <f>IF(SnapshotTable[[#This Row],[SP Is Booked]], SnapshotTable[[#This Row],[SP Qty]] * SnapshotTable[[#This Row],[SP Book Price]] * 100, 0)</f>
        <v>0</v>
      </c>
      <c r="BZ316" s="369"/>
      <c r="CA316" s="368">
        <f>SnapshotTable[[#This Row],[LP Qty]]</f>
        <v>0</v>
      </c>
      <c r="CB316" s="4" t="str">
        <f>IF(SnapshotTable[[#This Row],[SP Is Booked]], SnapshotTable[[#This Row],[SP Strike Price]] - SnapshotTable[[#This Row],[SP Book Price]], "")</f>
        <v/>
      </c>
      <c r="CC316" s="19" t="str">
        <f>IF(SnapshotTable[[#This Row],[SP Is Booked]],SnapshotTable[[#This Row],[SP Exp Date]]-MAX(SnapshotTable[[#This Row],[SP Book Date]], SnapshotTable[[#This Row],[SP Fill Date]]),"")</f>
        <v/>
      </c>
      <c r="CD316" s="7" t="str">
        <f>IF(SnapshotTable[[#This Row],[SP Is Booked]], SnapshotTable[[#This Row],[SP Book Price]]/SnapshotTable[[#This Row],[SP Strike Price]], "")</f>
        <v/>
      </c>
      <c r="CE316" s="7" t="str">
        <f>IF(ISNUMBER(SnapshotTable[[#This Row],[SP ROO Term]]),SnapshotTable[[#This Row],[SP ROO Term]]*(365/SnapshotTable[[#This Row],[SP Term]]),"")</f>
        <v/>
      </c>
      <c r="CF316" s="236">
        <f>SnapshotTable[[#This Row],[LP Strike Price]] * SnapshotTable[[#This Row],[LP Qty]] * 100</f>
        <v>0</v>
      </c>
      <c r="CG316" s="31" t="e">
        <f>IF(ISNUMBER(SnapshotTable[[#This Row],[SP Premium]]), (SnapshotTable[[#This Row],[SP Qty]] * SnapshotTable[[#This Row],[SP Strike Price]]* 100) - SnapshotTable[[#This Row],[LP Protection]], 0)</f>
        <v>#VALUE!</v>
      </c>
      <c r="CH316" s="7" t="str">
        <f>IF(ISNUMBER(SnapshotTable[[#This Row],[SP Break Even]]),-1 * (SnapshotTable[[#This Row],[SP Break Even]] - SnapshotTable[[#This Row],[Last Price]]) / SnapshotTable[[#This Row],[Last Price]], "")</f>
        <v/>
      </c>
      <c r="CI316" s="31">
        <f>IF(AND(ISNUMBER((SnapshotTable[[#This Row],[SP Potential Spend]])), SnapshotTable[[#This Row],[SP Strike Price]] &gt; SnapshotTable[[#This Row],[Last Price]], SnapshotTable[[#This Row],[SP Is Filled]]), SnapshotTable[[#This Row],[SP Potential Spend]] -  SnapshotTable[[#This Row],[LP Max Value]], 0)</f>
        <v>0</v>
      </c>
      <c r="CJ316" s="244"/>
      <c r="CK316" s="31" t="str">
        <f>IF(ISNUMBER(SnapshotTable[[#This Row],[SP Potential Spend]]),IF(ISNUMBER(SnapshotTable[[#This Row],[SP POW]]), SnapshotTable[[#This Row],[SP POW]] * SnapshotTable[[#This Row],[SP Potential Spend]], SnapshotTable[[#This Row],[SP Potential Spend]]), "")</f>
        <v/>
      </c>
      <c r="CL316" s="164" t="e">
        <f>IF(NOT(SnapshotTable[[#This Row],[SP Is Filled]]),(SnapshotTable[[#This Row],[SP Qty]] * SnapshotTable[[#This Row],[SP Strike Price]] * 100) - SnapshotTable[[#This Row],[LP Max Value]],"")</f>
        <v>#VALUE!</v>
      </c>
      <c r="CM316" s="31" t="str">
        <f>IF(SnapshotTable[[#This Row],[SP Actual Spend]]&lt;&gt;0, ((SnapshotTable[[#This Row],[SP Strike Price]]-SnapshotTable[[#This Row],[Last Price]]) *(SnapshotTable[[#This Row],[SP Qty]]*100) - SnapshotTable[[#This Row],[SP Premium]]) * - 1, "")</f>
        <v/>
      </c>
      <c r="CN316" s="218"/>
      <c r="CO316" s="369"/>
      <c r="CP316" s="4" t="str">
        <f>IF(SnapshotTable[[#This Row],[SP Is Filled]], btc_max_buyback_amount(SnapshotTable[[#This Row],[SP Fill Date]],SnapshotTable[[#This Row],[SP Exp Date]], SnapshotTable[[#This Row],[SP Book Price]]),"")</f>
        <v/>
      </c>
      <c r="CQ316" s="78"/>
      <c r="CR31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6" s="155" t="str">
        <f>IF(SnapshotTable[[#This Row],[SP Is Filled]], btc_next_cutoff_date(SnapshotTable[[#This Row],[SP Fill Date]],SnapshotTable[[#This Row],[SP Exp Date]]),"")</f>
        <v/>
      </c>
      <c r="CT316" s="235" t="str" cm="1">
        <f t="array" ref="CT316">IF(SnapshotTable[[#This Row],[SP Is Filled]], btc_should_buy_back(SnapshotTable[[#This Row],[SP Fill Date]], SnapshotTable[[#This Row],[SP Exp Date]], SnapshotTable[[#This Row],[SP Book Price]], SnapshotTable[[#This Row],[SP Current Ask]], MockToday, SnapshotTable[[#This Row],[SP Buyback Override]]),"")</f>
        <v/>
      </c>
      <c r="CU316" s="143"/>
      <c r="CV316" s="235"/>
      <c r="CW316" s="378" t="str">
        <f>IF(ISNUMBER( SnapshotTable[[#This Row],[SP Term]]), SnapshotTable[[#This Row],[SP Exp Date]] - MockToday,"")</f>
        <v/>
      </c>
      <c r="CX316" s="31" t="str">
        <f>IF(SnapshotTable[[#This Row],[SP Is Filled]],SnapshotTable[[#This Row],[SP Buyback Price to Use]] * 100 * SnapshotTable[[#This Row],[SP Qty]], "")</f>
        <v/>
      </c>
      <c r="CY316" s="349" t="str">
        <f>IF(ISNUMBER(SnapshotTable[[#This Row],[SP Strike Price]]), SnapshotTable[[#This Row],[SP Strike Price]] * (1 - SP_MaxLoss_StrikePct), "")</f>
        <v/>
      </c>
      <c r="CZ316" s="31" t="str">
        <f>IF(ISNUMBER(SnapshotTable[[#This Row],[SP Strike  Stop Per Share]]),SnapshotTable[[#This Row],[SP Premium]] - ((SnapshotTable[[#This Row],[SP Strike Price]]-SnapshotTable[[#This Row],[SP Strike  Stop Per Share]]) *(SnapshotTable[[#This Row],[SP Qty]] * 100)),"")</f>
        <v/>
      </c>
      <c r="DA316" s="4" t="str">
        <f>IF(AND(ISNUMBER(SnapshotTable[[#This Row],[SP Premium]]),SnapshotTable[[#This Row],[SP Premium]]&gt;0), SnapshotTable[[#This Row],[SP Book Price]] * (1 + SP_MaxLoss_OptionPct), "")</f>
        <v/>
      </c>
      <c r="DB316" s="31" t="str">
        <f>IF(ISNUMBER(SnapshotTable[[#This Row],[SP Option  Stop Contract]]),(SnapshotTable[[#This Row],[SP Option  Stop Contract]] *(SnapshotTable[[#This Row],[SP Qty]] * 100) - SnapshotTable[[#This Row],[SP Premium]]),"")</f>
        <v/>
      </c>
      <c r="DC316" s="4"/>
      <c r="DD316" s="4"/>
      <c r="DE316" s="4" t="str">
        <f>IF(AND(SnapshotTable[[#This Row],[SP Qty]]&gt;0, SnapshotTable[[#This Row],[SP Stop To Use]]&gt;0),SnapshotTable[[#This Row],[SP Premium]] - ( SnapshotTable[[#This Row],[SP Qty]] * SnapshotTable[[#This Row],[SP Stop To Use]] * 100), "")</f>
        <v/>
      </c>
      <c r="DF316" s="31" t="str">
        <f>IF(AND(SnapshotTable[[#This Row],[SP Qty]]&gt;0,SnapshotTable[[#This Row],[SP Current Ask]]&gt;0), SnapshotTable[[#This Row],[SP Qty]] * SnapshotTable[[#This Row],[SP Current Ask]] * -100, "")</f>
        <v/>
      </c>
      <c r="DG316" s="31" t="str">
        <f>IF(ISNUMBER((SnapshotTable[[#This Row],[SP Total Value]])), SnapshotTable[[#This Row],[SP Premium]] + SnapshotTable[[#This Row],[SP Total Value]], "")</f>
        <v/>
      </c>
      <c r="DH316" s="294" t="str">
        <f>IF(ISNUMBER((SnapshotTable[[#This Row],[SP Total Value]])), SnapshotTable[[#This Row],[SP Gain Loss]] / SnapshotTable[[#This Row],[SP Premium]], "")</f>
        <v/>
      </c>
      <c r="DI316" s="406"/>
      <c r="DJ316" s="138"/>
      <c r="DK316" s="148"/>
      <c r="DL316" s="13"/>
      <c r="DM316" s="13"/>
      <c r="DO316" s="31">
        <f>IF(SnapshotTable[[#This Row],[LC Symbol Count]]=1, SnapshotTable[[#This Row],[LC Qty]] * SnapshotTable[[#This Row],[LC Book Price]] * 100, 0)</f>
        <v>0</v>
      </c>
      <c r="DP316" s="163" t="str">
        <f>IF(AND(SnapshotTable[[#This Row],[LC Exp Date]]&gt;0, SnapshotTable[[#This Row],[LC Strike Price]]&gt;0,SnapshotTable[[#This Row],[LC Qty]]&gt;0,SnapshotTable[[#This Row],[LC Book Date]]&gt;0,SnapshotTable[[#This Row],[LC Book Price]]&gt;0,SnapshotTable[[#This Row],[LC Fill Date]]=0),"Y","")</f>
        <v/>
      </c>
      <c r="DQ316" s="386" t="str">
        <f>IF(SnapshotTable[[#This Row],[LC Premium]] &gt; 0,SnapshotTable[[#This Row],[LC Exp Date]]-MAX(SnapshotTable[[#This Row],[LC Book Date]], SnapshotTable[[#This Row],[LC Fill Date]]),"")</f>
        <v/>
      </c>
      <c r="DR316" s="386" t="str">
        <f>IF(ISNUMBER(SnapshotTable[[#This Row],[LC Term]]), SnapshotTable[[#This Row],[LC Exp Date]] - MockToday, "")</f>
        <v/>
      </c>
      <c r="DS316" s="234" t="str">
        <f>IF(SnapshotTable[[#This Row],[LC Premium]]&gt;0,SnapshotTable[[#This Row],[LC Strike Price]] + SnapshotTable[[#This Row],[LC Book Price]],"")</f>
        <v/>
      </c>
      <c r="DU316" s="9" t="str">
        <f>IF(AND(SnapshotTable[[#This Row],[LC Symbol Count]]&gt;0, SnapshotTable[[#This Row],[LC Contract Value]]&gt;0), SnapshotTable[[#This Row],[LC Contract Value]] * SnapshotTable[[#This Row],[LC Qty]] * 100, "")</f>
        <v/>
      </c>
      <c r="DV316" s="9" t="str">
        <f>IF(AND(ISNUMBER(SnapshotTable[[#This Row],[LC Total Value]]), SnapshotTable[[#This Row],[LC Not Filled]]&lt;&gt;"Y"), SnapshotTable[[#This Row],[LC Total Value]]-SnapshotTable[[#This Row],[LC Premium]],"")</f>
        <v/>
      </c>
      <c r="DW316" s="240" t="str">
        <f>IF(ISNUMBER(SnapshotTable[[#This Row],[LC Actual Gain Loss]]), SnapshotTable[[#This Row],[LC Actual Gain Loss]] / SnapshotTable[[#This Row],[LC Premium]],"")</f>
        <v/>
      </c>
      <c r="DX316" s="284" t="str">
        <f>IF(ISNUMBER(SnapshotTable[[#This Row],[LC Book Price]]),SnapshotTable[[#This Row],[LC Book Price]] * 1.5,"")</f>
        <v/>
      </c>
      <c r="DY316" s="265" t="str">
        <f>IF(SnapshotTable[[#This Row],[LC Premium]]&gt;0, SnapshotTable[[#This Row],[LC Next Target]] * SnapshotTable[[#This Row],[LC Qty]] * 100,"")</f>
        <v/>
      </c>
      <c r="DZ316" s="265" t="str">
        <f>IF(ISNUMBER(SnapshotTable[[#This Row],[LC Target Gross]]), SnapshotTable[[#This Row],[LC Target Gross]] - SnapshotTable[[#This Row],[LC Premium]], "")</f>
        <v/>
      </c>
      <c r="EA316" s="305" t="str">
        <f>IF(ISNUMBER(SnapshotTable[[#This Row],[LC Target Gain Loss]]), SnapshotTable[[#This Row],[LC Target Gain Loss]]/SnapshotTable[[#This Row],[LC Premium]], "")</f>
        <v/>
      </c>
      <c r="EB316" s="262"/>
      <c r="EC316" s="283" t="str">
        <f>IF(SnapshotTable[[#This Row],[LC Premium]]&gt;0, SnapshotTable[[#This Row],[LC Book Price]] * (1 - LC_StopLoss_Pct),"")</f>
        <v/>
      </c>
      <c r="ED316" s="284"/>
      <c r="EE316" s="283" t="str">
        <f>IF(ISNUMBER(SnapshotTable[[#This Row],[LC Contract Value]]),IF(ISNUMBER(SnapshotTable[[#This Row],[LC Stop Loss Override]]), SnapshotTable[[#This Row],[LC Stop Loss Override]],SnapshotTable[[#This Row],[LC Stop Loss Calc Target]]),"")</f>
        <v/>
      </c>
      <c r="EF316" s="31" t="str">
        <f>IF(ISNUMBER(SnapshotTable[[#This Row],[LC Stop  To Use]]), (SnapshotTable[[#This Row],[LC Stop  To Use]] * SnapshotTable[[#This Row],[LC Qty]] * 100),"")</f>
        <v/>
      </c>
      <c r="EG316" s="9" t="str">
        <f>IF(ISNUMBER(SnapshotTable[[#This Row],[LC Total Value]]),SnapshotTable[[#This Row],[LC Stop Loss Amount]] - SnapshotTable[[#This Row],[LC Premium]],"")</f>
        <v/>
      </c>
      <c r="EH316" s="9">
        <f>IF(ISNUMBER(SnapshotTable[[#This Row],[LC Premium]]), SnapshotTable[[#This Row],[LC Qty]] * 100 * SnapshotTable[[#This Row],[LC Strike Price]], "")</f>
        <v>0</v>
      </c>
      <c r="EI316" s="240" t="str">
        <f>IF(AND(ISNUMBER(SnapshotTable[[#This Row],[LC Total Value]]),SnapshotTable[[#This Row],[LC Total Value]]&gt;0),SnapshotTable[[#This Row],[LC Stop Gain Loss]]  / SnapshotTable[[#This Row],[LC Premium]],"")</f>
        <v/>
      </c>
      <c r="EJ316" s="35">
        <f>IF(ISNUMBER(SnapshotTable[[#This Row],[Equity Shares]]),TRUNC(SnapshotTable[[#This Row],[Equity Shares]] / 100),0) + SnapshotTable[[#This Row],[LC Qty]]</f>
        <v>0</v>
      </c>
      <c r="EK316" s="147"/>
      <c r="EL316" s="138" t="str">
        <f>IF(SnapshotTable[[#This Row],[SC Exp Date]]&lt;&gt;"",TRUNC(SnapshotTable[[#This Row],[Last Price]]),"")</f>
        <v/>
      </c>
      <c r="EM316" s="148"/>
      <c r="EN316" s="147"/>
      <c r="EO316" s="147"/>
      <c r="EP316" s="138"/>
      <c r="EQ316" s="419" t="b">
        <f>AND(ISNUMBER(SnapshotTable[[#This Row],[SC Exp Date]]), ISNUMBER(SnapshotTable[[#This Row],[SC Strike Price]]), ISNUMBER(SnapshotTable[[#This Row],[SC Qty]]), ISNUMBER(SnapshotTable[[#This Row],[SC Book Date]]), ISNUMBER(SnapshotTable[[#This Row],[SC Book Price]]))</f>
        <v>0</v>
      </c>
      <c r="ER316" s="419" t="b">
        <f>AND(SnapshotTable[[#This Row],[SC Is Booked]], NOT(ISBLANK(SnapshotTable[[#This Row],[SC Fill Date]])))</f>
        <v>0</v>
      </c>
      <c r="ES316" s="370"/>
      <c r="ET316" s="34" t="str">
        <f>IF(AND(ISNUMBER(SnapshotTable[[#This Row],[SC Exp Date]]), ISNUMBER(SnapshotTable[[#This Row],[SC Book Date]])), SnapshotTable[[#This Row],[SC Exp Date]] - MAX(SnapshotTable[[#This Row],[SC Book Date]], SnapshotTable[[#This Row],[SC Fill Date]]) + 1, "")</f>
        <v/>
      </c>
      <c r="EU316" s="34" t="str">
        <f>IF(ISNUMBER(SnapshotTable[[#This Row],[SC Term]]), SnapshotTable[[#This Row],[SC Exp Date]]- MockToday, "")</f>
        <v/>
      </c>
      <c r="EV316" s="31">
        <f>IF(SnapshotTable[[#This Row],[SC Is Booked]], SnapshotTable[[#This Row],[SC Qty]] * SnapshotTable[[#This Row],[SC Book Price]] * 100, 0)</f>
        <v>0</v>
      </c>
      <c r="EW316" s="4" t="str">
        <f>IF(AND(ISNUMBER(SnapshotTable[[#This Row],[Last Price]]), ISNUMBER( SnapshotTable[[#This Row],[SC Book Price]])), SnapshotTable[[#This Row],[Last Price]] - SnapshotTable[[#This Row],[SC Book Price]],"")</f>
        <v/>
      </c>
      <c r="EX316" s="234" t="str">
        <f>IF(SnapshotTable[[#This Row],[SC Is Booked]],IF(SnapshotTable[[#This Row],[SC Intrinsic Value]] &gt; 0, SnapshotTable[[#This Row],[SC Strike Price]], SnapshotTable[[#This Row],[Last Price]]), "")</f>
        <v/>
      </c>
      <c r="EY316" s="4">
        <f>IF(SnapshotTable[[#This Row],[SC Is Booked]], (MinimumPremiumRequired * SnapshotTable[[#This Row],[SC Basis]] * SnapshotTable[[#This Row],[SC Term]]), 0)</f>
        <v>0</v>
      </c>
      <c r="EZ316" s="283"/>
      <c r="FA316" s="218"/>
      <c r="FB316" s="370"/>
      <c r="FC316" s="4">
        <f>IF(SnapshotTable[[#This Row],[SC Is Filled]], btc_max_buyback_amount(SnapshotTable[[#This Row],[SC Fill Date]],SnapshotTable[[#This Row],[SC Exp Date]], SnapshotTable[[#This Row],[SC Book Price]]),0)</f>
        <v>0</v>
      </c>
      <c r="FD316" s="5"/>
      <c r="FE316" s="144" t="str">
        <f>IF(SnapshotTable[[#This Row],[SC Is Filled]], btc_next_cutoff_date(SnapshotTable[[#This Row],[SC Fill Date]],SnapshotTable[[#This Row],[SC Exp Date]]),"")</f>
        <v/>
      </c>
      <c r="FF316" s="4" t="str" cm="1">
        <f t="array" ref="FF316">IF(SnapshotTable[[#This Row],[SC Is Filled]], btc_should_buy_back(SnapshotTable[[#This Row],[SC Fill Date]], SnapshotTable[[#This Row],[SC Exp Date]], SnapshotTable[[#This Row],[SC Book Price]], SnapshotTable[[#This Row],[SC Current Ask]], MockToday, SnapshotTable[[#This Row],[SC Buyback Override]]),"")</f>
        <v/>
      </c>
      <c r="FG316" s="4">
        <f>IF(SnapshotTable[[#This Row],[SC Is Filled]], MAX(0,SnapshotTable[[#This Row],[Last Price]]  - SnapshotTable[[#This Row],[SC Strike Price]]), 0)</f>
        <v>0</v>
      </c>
      <c r="FH316" s="382">
        <f>IF(SnapshotTable[[#This Row],[SC Is Filled]], IF(ISNUMBER(SnapshotTable[[#This Row],[SC Current Ask]]), SnapshotTable[[#This Row],[SC Current Ask]], SnapshotTable[[#This Row],[SC Book Price]]) - SnapshotTable[[#This Row],[SC Intrinsic Value]], 0)</f>
        <v>0</v>
      </c>
      <c r="FI316" s="143"/>
      <c r="FJ316" s="32" t="str">
        <f>IF(SnapshotTable[[#This Row],[SC Is Filled]],100 * SnapshotTable[[#This Row],[SC Qty]] * IF(ISNUMBER(SnapshotTable[[#This Row],[SC Buyback Override]]), SnapshotTable[[#This Row],[SC Buyback Override]], SnapshotTable[[#This Row],[SC Current Ask]]), "")</f>
        <v/>
      </c>
      <c r="FK316" s="250" t="str">
        <f>IF(SnapshotTable[[#This Row],[SC Time Val]]&gt;0, SnapshotTable[[#This Row],[SC Time Val]] / SnapshotTable[[#This Row],[Last Price]],"")</f>
        <v/>
      </c>
      <c r="FL316" s="302" t="str">
        <f>IF(SnapshotTable[[#This Row],[SC Is Booked]], ((SnapshotTable[[#This Row],[Last Price]] -SnapshotTable[[#This Row],[SC Strike Price]]) / SnapshotTable[[#This Row],[Last Price]]) * -1, "")</f>
        <v/>
      </c>
      <c r="FM316" s="157" t="str">
        <f>IF(SnapshotTable[[#This Row],[SC Is Booked]],  (SnapshotTable[[#This Row],[SC Qty]] * 100 * SnapshotTable[[#This Row],[SC Strike Price]]) - SnapshotTable[[#This Row],[SC Current Ask]], "")</f>
        <v/>
      </c>
      <c r="FN31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6" s="31" t="str">
        <f>IF(AND(ISNUMBER(SnapshotTable[[#This Row],[SC Exercise Gross]]), ISNUMBER(SnapshotTable[[#This Row],[Equity Basis Per Share]] )), SnapshotTable[[#This Row],[SC Exercise Gross]] - SnapshotTable[[#This Row],[Equity Basis Total]] +  SnapshotTable[[#This Row],[SC Premium]], "")</f>
        <v/>
      </c>
      <c r="FP316" s="5" t="str">
        <f>IF(ISNUMBER(SnapshotTable[[#This Row],[SC Exercise Gross]]), (SnapshotTable[[#This Row],[SC Exercise Gross]]) / (SnapshotTable[[#This Row],[SC Qty]] * 100), "")</f>
        <v/>
      </c>
      <c r="FQ316" s="27" t="str">
        <f>IF(SnapshotTable[[#This Row],[SC Is Booked]],SnapshotTable[[#This Row],[SC Time Val]] /SnapshotTable[[#This Row],[SC Basis]], "")</f>
        <v/>
      </c>
      <c r="FR316" s="27" t="str" cm="1">
        <f t="array" ref="FR316">IF(AND(ISNUMBER(SnapshotTable[[#This Row],[SC Term]]),ISNUMBER(SnapshotTable[[#This Row],[SC Simple ROO]])), EllmanAnnualize(SnapshotTable[[#This Row],[SC DTE]], SnapshotTable[[#This Row],[SC Simple ROO]] ),"")</f>
        <v/>
      </c>
      <c r="FS316" s="4" t="e">
        <f>IF(SnapshotTable[[#This Row],[SC Strike Price]] &gt; SnapshotTable[[#This Row],[Last Price]], SnapshotTable[[#This Row],[SC Strike Price]] - SnapshotTable[[#This Row],[Last Price]],0)</f>
        <v>#VALUE!</v>
      </c>
      <c r="FT316" s="27" t="e">
        <f>IF(AND(ISNUMBER(SnapshotTable[[#This Row],[SC Upside Potential]]), SnapshotTable[[#This Row],[SC Upside Potential]] &gt; 0),(SnapshotTable[[#This Row],[SC Upside Potential]]/ SnapshotTable[[#This Row],[ACB]]),"")</f>
        <v>#VALUE!</v>
      </c>
      <c r="FU316" s="333" t="str">
        <f>IF(SnapshotTable[[#This Row],[SC Intrinsic Value]] &gt; 0,SnapshotTable[[#This Row],[SC Intrinsic Value]],"")</f>
        <v/>
      </c>
      <c r="FV316" s="27" t="str">
        <f>IF(AND( ISNUMBER( SnapshotTable[[#This Row],[ACB]]),ISNUMBER(SnapshotTable[[#This Row],[SC Downside Protect]])),SnapshotTable[[#This Row],[SC Downside Protect]] / SnapshotTable[[#This Row],[ACB]],"")</f>
        <v/>
      </c>
      <c r="FW316" s="236" t="str">
        <f>IF(AND(ISNUMBER(SnapshotTable[[#This Row],[SC Simple ROO]]),SnapshotTable[[#This Row],[SC Simple ROO]] &gt; 0), SnapshotTable[[#This Row],[SC Premium]] + (SnapshotTable[[#This Row],[SC Qty]] * SnapshotTable[[#This Row],[SC Upside Potential]]), "")</f>
        <v/>
      </c>
      <c r="FX316" s="302" t="str" cm="1">
        <f t="array" ref="FX316">IF(ISNUMBER(SnapshotTable[[#This Row],[SC Max Dollars]]), annualize(SnapshotTable[[#This Row],[SC Term]],(SnapshotTable[[#This Row],[SC Max Dollars]]/SnapshotTable[[#This Row],[SC Basis]])),"")</f>
        <v/>
      </c>
      <c r="FY316" s="236" t="str">
        <f>IF(AND(SnapshotTable[[#This Row],[SC Qty]]&gt;0,SnapshotTable[[#This Row],[SC Current Ask]]&gt;0), SnapshotTable[[#This Row],[SC Qty]] * SnapshotTable[[#This Row],[SC Current Ask]] * -100, "")</f>
        <v/>
      </c>
      <c r="FZ316" s="31" t="str">
        <f>IF(ISNUMBER((SnapshotTable[[#This Row],[SC Current Value]])), SnapshotTable[[#This Row],[SC Premium]] + SnapshotTable[[#This Row],[SC Current Value]], "")</f>
        <v/>
      </c>
      <c r="GA316" s="294" t="str">
        <f>IFERROR( IF(ISNUMBER((SnapshotTable[[#This Row],[SC Current Value]])), SnapshotTable[[#This Row],[SC Gain Loss]] / SnapshotTable[[#This Row],[SC Premium]], ""), "")</f>
        <v/>
      </c>
      <c r="GB316" s="42">
        <f>SnapshotTable[[#This Row],[Equity Shares]] * SaleSharesToConsiderPercentage</f>
        <v>0</v>
      </c>
      <c r="GC316" s="40">
        <f>SnapshotTable[[#This Row],[Long Term Target]] * SellingPriceToConsiderBasedOnTargetPercentage</f>
        <v>41.628999999999998</v>
      </c>
      <c r="GD316" s="40">
        <f>SnapshotTable[[#This Row],[Last Price]] * (1+ SellingPriceToConsiderBasedOnTargetPercentage)</f>
        <v>100.815</v>
      </c>
      <c r="GE316" s="41"/>
      <c r="GF316" s="40"/>
      <c r="GG316" s="31">
        <f>SnapshotTable[[#This Row],[Booked Sale Shares]] * SnapshotTable[[#This Row],[Booked Sale Price]]</f>
        <v>0</v>
      </c>
      <c r="GH316" s="31" t="str">
        <f>IF(SnapshotTable[[#This Row],[Equity Basis Total]] &gt; 0, SnapshotTable[[#This Row],[Equity Basis Per Share]] * SnapshotTable[[#This Row],[Booked Sale Shares]], "")</f>
        <v/>
      </c>
      <c r="GI316" s="31">
        <f>IF(SnapshotTable[[#This Row],[Sale Proceeds]]&gt;0, SnapshotTable[[#This Row],[Sale Proceeds]] - SnapshotTable[[#This Row],[Sale Basis]], 0)</f>
        <v>0</v>
      </c>
      <c r="GJ316" s="27" t="str">
        <f>IF(SnapshotTable[[#This Row],[Sale G/L]]&gt;0, SnapshotTable[[#This Row],[Sale G/L]] / SnapshotTable[[#This Row],[Sale Basis]], IF(ISNUMBER(SnapshotTable[[#This Row],[SC Exercise P&amp;L (TAX)]]), SnapshotTable[[#This Row],[SC Exercise P&amp;L (TAX)]] / SnapshotTable[[#This Row],[SC Basis]], ""))</f>
        <v/>
      </c>
      <c r="GK316" s="27" t="s">
        <v>627</v>
      </c>
      <c r="GL316" s="43" t="str">
        <f>IF(AND(SnapshotTable[[#This Row],[LP Exp Date]]&gt;0,SnapshotTable[[#This Row],[LP Strike Price]]&gt;0), [1]!ToOptionSymbol(SnapshotTable[[#This Row],[Symbol]], SnapshotTable[[#This Row],[LP Strike Price]],SnapshotTable[[#This Row],[LP Exp Date]],1), "")</f>
        <v/>
      </c>
      <c r="GM316" s="30" t="str">
        <f>IF(LEN(SnapshotTable[[#This Row],[LP Symbol]])&gt;0, 1, "")</f>
        <v/>
      </c>
      <c r="GN316" s="43" t="str">
        <f>IF(AND(SnapshotTable[[#This Row],[SP Exp Date]]&gt;0,SnapshotTable[[#This Row],[SP Strike Price]]&gt;0), [1]!ToOptionSymbol(SnapshotTable[[#This Row],[Symbol]], SnapshotTable[[#This Row],[SP Strike Price]],SnapshotTable[[#This Row],[SP Exp Date]],1), "")</f>
        <v/>
      </c>
      <c r="GO316" s="30" t="str">
        <f>IF(LEN(SnapshotTable[[#This Row],[SP Symbol]])&gt;0, 1, "")</f>
        <v/>
      </c>
      <c r="GP316" s="43" t="str">
        <f>IF(AND(SnapshotTable[[#This Row],[LC Exp Date]]&gt;0,SnapshotTable[[#This Row],[LC Strike Price]]&gt;0), [1]!ToOptionSymbol(SnapshotTable[[#This Row],[Symbol]], SnapshotTable[[#This Row],[LC Strike Price]],SnapshotTable[[#This Row],[LC Exp Date]],0), "")</f>
        <v/>
      </c>
      <c r="GQ316" s="30" t="str">
        <f>IF(LEN(SnapshotTable[[#This Row],[LC Symbol]])&gt;0, 1, "")</f>
        <v/>
      </c>
      <c r="GR316" s="43" t="str">
        <f>IF(AND(SnapshotTable[[#This Row],[SC Exp Date]]&gt;0,SnapshotTable[[#This Row],[SC Strike Price]]&gt;0), [1]!ToOptionSymbol(SnapshotTable[[#This Row],[Symbol]], SnapshotTable[[#This Row],[SC Strike Price]],SnapshotTable[[#This Row],[SC Exp Date]],0), "")</f>
        <v/>
      </c>
      <c r="GS316" s="30" t="str">
        <f>IF(LEN(SnapshotTable[[#This Row],[SC Symbol]])&gt;0, 1, "")</f>
        <v/>
      </c>
      <c r="GT316" s="29" t="str">
        <f>IF(COUNT(SnapshotTable[[#This Row],[LP Symbol Count]],SnapshotTable[[#This Row],[SP Symbol Count]],SnapshotTable[[#This Row],[LC Symbol Count]],SnapshotTable[[#This Row],[SC Symbol Count]])&gt;0, "Y", "")</f>
        <v/>
      </c>
      <c r="GU31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6" s="231" t="e">
        <f>MAX(SnapshotTable[[#This Row],[Equity Basis Total]],SnapshotTable[[#This Row],[Equity Value]]) + (SnapshotTable[[#This Row],[SP Potential Spend]]- SnapshotTable[[#This Row],[SP Premium]] + SnapshotTable[[#This Row],[LP Premium]])+ (SnapshotTable[[#This Row],[LC Premium]] - SnapshotTable[[#This Row],[SC Premium]])</f>
        <v>#VALUE!</v>
      </c>
      <c r="GW316" s="139" t="e">
        <f>IF(AND(SnapshotTable[[#This Row],[Exposure]] &lt;&gt; 0),SnapshotTable[[#This Row],[Exposure]] / SnapshotTable[[#Totals],[Exposure]], "")</f>
        <v>#VALUE!</v>
      </c>
      <c r="HK316" s="1"/>
      <c r="HL316" s="1"/>
      <c r="HM316" s="1"/>
      <c r="HN316" s="1"/>
      <c r="HO316" s="1"/>
      <c r="HP316" s="1"/>
    </row>
    <row r="317" spans="2:224" ht="12.75" hidden="1" customHeight="1" x14ac:dyDescent="0.25">
      <c r="B317" s="12" t="s">
        <v>126</v>
      </c>
      <c r="C317" s="422">
        <v>91.71</v>
      </c>
      <c r="D317" s="208"/>
      <c r="E317" s="39">
        <f>SnapshotTable[[#This Row],[Last Price]]*(1 -CrashDiscount)</f>
        <v>77.953499999999991</v>
      </c>
      <c r="F317" s="26" t="s">
        <v>63</v>
      </c>
      <c r="G317" s="26" t="s">
        <v>20</v>
      </c>
      <c r="H317" s="149"/>
      <c r="I317" s="194">
        <v>44770.270833333336</v>
      </c>
      <c r="J317" s="195">
        <v>44770.270833333336</v>
      </c>
      <c r="K317" s="196"/>
      <c r="L317" s="326"/>
      <c r="M317" s="140"/>
      <c r="N317" s="140"/>
      <c r="O317" s="140"/>
      <c r="P317" s="22"/>
      <c r="Q317" s="25"/>
      <c r="R317" s="4" t="str">
        <f>IF(SnapshotTable[[#This Row],[Equity Basis Total]] &gt; 0, SnapshotTable[[#This Row],[Equity Basis Total]] / SnapshotTable[[#This Row],[Equity Shares]], "")</f>
        <v/>
      </c>
      <c r="S317" s="269">
        <f>SnapshotTable[[#This Row],[Last Price]] * SnapshotTable[[#This Row],[Equity Shares]]</f>
        <v>0</v>
      </c>
      <c r="T317" s="269">
        <f>SnapshotTable[[#This Row],[Equity Value]] - SnapshotTable[[#This Row],[Equity Basis Total]]</f>
        <v>0</v>
      </c>
      <c r="U317" s="270" t="str">
        <f>IF(SnapshotTable[[#This Row],[Equity Basis Total]] &gt; 0, SnapshotTable[[#This Row],[Equity G/L]] / SnapshotTable[[#This Row],[Equity Basis Total]], "")</f>
        <v/>
      </c>
      <c r="V317" s="268"/>
      <c r="W317" s="268"/>
      <c r="X317" s="4" t="str">
        <f>IF(AND(ISNUMBER(SnapshotTable[[#This Row],[Equity Basis Per Share]]),ISNUMBER(SnapshotTable[[#This Row],[Equity Target]])),SnapshotTable[[#This Row],[Equity Target]]-SnapshotTable[[#This Row],[Equity Basis Per Share]],"")</f>
        <v/>
      </c>
      <c r="Y317" s="4" t="str">
        <f>IF(AND(ISNUMBER(SnapshotTable[[#This Row],[Equity Basis Per Share]]),ISNUMBER(SnapshotTable[[#This Row],[Equity Stop Loss]])),SnapshotTable[[#This Row],[Equity Stop Loss]]-SnapshotTable[[#This Row],[Equity Basis Per Share]],"")</f>
        <v/>
      </c>
      <c r="Z317" s="275" t="str">
        <f>IFERROR( TEXT(SnapshotTable[[#This Row],[Equity Max Gain Per Share]] /ABS( SnapshotTable[[#This Row],[Equity Max Loss Per Share]]),"0.0 " ) &amp; " : 1", "")</f>
        <v/>
      </c>
      <c r="AA317" s="31" t="str">
        <f>IF(ISNUMBER(SnapshotTable[[#This Row],[Equity Max Gain Per Share]]),SnapshotTable[[#This Row],[Equity Max Gain Per Share]] * SnapshotTable[[#This Row],[Equity Shares]],"")</f>
        <v/>
      </c>
      <c r="AB317" s="31" t="str">
        <f>IF(ISNUMBER(SnapshotTable[[#This Row],[Equity Max Loss Per Share]]),SnapshotTable[[#This Row],[Equity Max Loss Per Share]] * SnapshotTable[[#This Row],[Equity Shares]],"")</f>
        <v/>
      </c>
      <c r="AC317" s="150"/>
      <c r="AD317" s="151"/>
      <c r="AE317" s="31">
        <f>(SnapshotTable[[#This Row],[Annual Dividend Per Share]] / 4) * SnapshotTable[[#This Row],[Equity Shares]]</f>
        <v>0</v>
      </c>
      <c r="AF317" s="31">
        <f>SnapshotTable[[#This Row],[Quarterly Div $]] * 4</f>
        <v>0</v>
      </c>
      <c r="AG317" s="7">
        <f>IF(SnapshotTable[[#This Row],[Annual Dividend Per Share]]&gt;0, SnapshotTable[[#This Row],[Annual Dividend Per Share]]  / SnapshotTable[[#This Row],[Last Price]], 0)</f>
        <v>0</v>
      </c>
      <c r="AH317" s="151"/>
      <c r="AI317" s="5"/>
      <c r="AJ317" s="138">
        <v>40.729999999999997</v>
      </c>
      <c r="AK317" s="152" t="str">
        <f>IF(ISNUMBER( SnapshotTable[[#This Row],[EBF Target]]),(SnapshotTable[[#This Row],[EBF Target]] - SnapshotTable[[#This Row],[Last Price]]) / SnapshotTable[[#This Row],[Last Price]], "")</f>
        <v/>
      </c>
      <c r="AL317" s="152" t="str">
        <f>IF(AND(SnapshotTable[[#This Row],[Equity Basis Total]] &gt; 0,ISNUMBER( SnapshotTable[[#This Row],[Long Term Target]])), SnapshotTable[[#This Row],[From Basis $]] / SnapshotTable[[#This Row],[Equity Basis Total]], "")</f>
        <v/>
      </c>
      <c r="AM317" s="9">
        <f>IF( AND(SnapshotTable[[#This Row],[Equity Shares]] &gt;0,ISNUMBER( SnapshotTable[[#This Row],[Long Term Target]])),(SnapshotTable[[#This Row],[Equity Shares]] * SnapshotTable[[#This Row],[Long Term Target]]) - SnapshotTable[[#This Row],[Equity Basis Total]],0)</f>
        <v>0</v>
      </c>
      <c r="AN317" s="9">
        <f>IF( AND(SnapshotTable[[#This Row],[Equity Shares]] &gt;0,ISNUMBER( SnapshotTable[[#This Row],[Long Term Target]])),(SnapshotTable[[#This Row],[Equity Shares]]*SnapshotTable[[#This Row],[Long Term Target]]) - SnapshotTable[[#This Row],[Equity Value]],0)</f>
        <v>0</v>
      </c>
      <c r="AO317" s="152">
        <f>IF(AND(ISNUMBER( SnapshotTable[[#This Row],[Long Term Target]]), ISNUMBER(SnapshotTable[[#This Row],[Last Price]])),(SnapshotTable[[#This Row],[Long Term Target]] - SnapshotTable[[#This Row],[Last Price]]) / SnapshotTable[[#This Row],[Last Price]], "")</f>
        <v>-0.55588267364518595</v>
      </c>
      <c r="AP317" s="5"/>
      <c r="AQ317" s="38"/>
      <c r="AR317" s="5"/>
      <c r="AS317" s="38"/>
      <c r="AT317" s="146"/>
      <c r="AU317" s="187" t="str">
        <f>IF(OR(SnapshotTable[[#This Row],[LP No Fill]]="Y",SnapshotTable[[#This Row],[SP Is Filled]],SnapshotTable[[#This Row],[LC Not Filled]]="Y",SnapshotTable[[#This Row],[SC Is Filled]]),"Y","")</f>
        <v/>
      </c>
      <c r="AV317" s="219"/>
      <c r="AW317" s="225"/>
      <c r="AX317" s="220"/>
      <c r="AY317" s="219" t="str">
        <f>IF(SnapshotTable[[#This Row],[Implied Move]]&gt;0, SnapshotTable[[#This Row],[Last Price]]-SnapshotTable[[#This Row],[Implied Move]],"")</f>
        <v/>
      </c>
      <c r="AZ317" s="219" t="str">
        <f>IF(SnapshotTable[[#This Row],[Implied Move]]&gt;0, SnapshotTable[[#This Row],[Last Price]] + SnapshotTable[[#This Row],[Implied Move]],"")</f>
        <v/>
      </c>
      <c r="BA317" s="331"/>
      <c r="BB317" s="347"/>
      <c r="BC31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7" s="351"/>
      <c r="BE317" s="5"/>
      <c r="BF317" s="14"/>
      <c r="BG317" s="13"/>
      <c r="BH317" s="13"/>
      <c r="BI317" s="5"/>
      <c r="BJ317" s="136">
        <f>IF(SnapshotTable[[#This Row],[LP Qty]] &gt; 0, SnapshotTable[[#This Row],[LP Qty]] * SnapshotTable[[#This Row],[LP Book Price]] * 100,0)</f>
        <v>0</v>
      </c>
      <c r="BK317" s="136">
        <f>IF(SnapshotTable[[#This Row],[LP Premium]] &gt; 0, SnapshotTable[[#This Row],[LP Qty]] * SnapshotTable[[#This Row],[LP Strike Price]] * 100,0)</f>
        <v>0</v>
      </c>
      <c r="BL317" s="154"/>
      <c r="BM317" s="385" t="str">
        <f>IF(SnapshotTable[[#This Row],[LP Premium]] &gt; 0,SnapshotTable[[#This Row],[LP Exp Date]]-MAX(SnapshotTable[[#This Row],[LP Book Date]], SnapshotTable[[#This Row],[LP Fill Date]]),"")</f>
        <v/>
      </c>
      <c r="BN317" s="385" t="str">
        <f>IF(ISNUMBER( SnapshotTable[[#This Row],[LP Term]]), SnapshotTable[[#This Row],[LP Exp Date]] - MockToday,"")</f>
        <v/>
      </c>
      <c r="BO317" s="163" t="str">
        <f>IF(AND(SnapshotTable[[#This Row],[LP Exp Date]]&gt;0, SnapshotTable[[#This Row],[LP Strike Price]]&gt;0,SnapshotTable[[#This Row],[LP Qty]]&gt;0,SnapshotTable[[#This Row],[LP Book Date]]&gt;0,SnapshotTable[[#This Row],[LP Book Price]]&gt;0,SnapshotTable[[#This Row],[LP Fill Date]]=0),"Y","")</f>
        <v/>
      </c>
      <c r="BP317" s="31" t="str">
        <f>IF(AND(SnapshotTable[[#This Row],[LP No Fill]]&lt;&gt;"Y",SnapshotTable[[#This Row],[LP Contract Value]]&gt;0, SnapshotTable[[#This Row],[LP Qty]]&gt;0), SnapshotTable[[#This Row],[LP Contract Value]]*SnapshotTable[[#This Row],[LP Qty]]*100,"")</f>
        <v/>
      </c>
      <c r="BQ317" s="13"/>
      <c r="BR317" s="5" t="str">
        <f>IF(SnapshotTable[[#This Row],[SP Exp Date]]&lt;&gt;"",TRUNC(SnapshotTable[[#This Row],[Last Price]]),"")</f>
        <v/>
      </c>
      <c r="BS317" s="36"/>
      <c r="BT317" s="147"/>
      <c r="BU317" s="13"/>
      <c r="BV317" s="5"/>
      <c r="BW317" s="419" t="b">
        <f>AND(ISNUMBER(SnapshotTable[[#This Row],[SP Exp Date]]), ISNUMBER(SnapshotTable[[#This Row],[SP Strike Price]]), ISNUMBER(SnapshotTable[[#This Row],[SP Qty]]), ISNUMBER(SnapshotTable[[#This Row],[SP Book Date]]), ISNUMBER(SnapshotTable[[#This Row],[SP Book Price]]))</f>
        <v>0</v>
      </c>
      <c r="BX317" s="419" t="b">
        <f>AND(SnapshotTable[[#This Row],[SP Is Booked]], NOT(ISBLANK(SnapshotTable[[#This Row],[SP Fill Date]])))</f>
        <v>0</v>
      </c>
      <c r="BY317" s="33">
        <f>IF(SnapshotTable[[#This Row],[SP Is Booked]], SnapshotTable[[#This Row],[SP Qty]] * SnapshotTable[[#This Row],[SP Book Price]] * 100, 0)</f>
        <v>0</v>
      </c>
      <c r="BZ317" s="369"/>
      <c r="CA317" s="368">
        <f>SnapshotTable[[#This Row],[LP Qty]]</f>
        <v>0</v>
      </c>
      <c r="CB317" s="4" t="str">
        <f>IF(SnapshotTable[[#This Row],[SP Is Booked]], SnapshotTable[[#This Row],[SP Strike Price]] - SnapshotTable[[#This Row],[SP Book Price]], "")</f>
        <v/>
      </c>
      <c r="CC317" s="19" t="str">
        <f>IF(SnapshotTable[[#This Row],[SP Is Booked]],SnapshotTable[[#This Row],[SP Exp Date]]-MAX(SnapshotTable[[#This Row],[SP Book Date]], SnapshotTable[[#This Row],[SP Fill Date]]),"")</f>
        <v/>
      </c>
      <c r="CD317" s="7" t="str">
        <f>IF(SnapshotTable[[#This Row],[SP Is Booked]], SnapshotTable[[#This Row],[SP Book Price]]/SnapshotTable[[#This Row],[SP Strike Price]], "")</f>
        <v/>
      </c>
      <c r="CE317" s="7" t="str">
        <f>IF(ISNUMBER(SnapshotTable[[#This Row],[SP ROO Term]]),SnapshotTable[[#This Row],[SP ROO Term]]*(365/SnapshotTable[[#This Row],[SP Term]]),"")</f>
        <v/>
      </c>
      <c r="CF317" s="236">
        <f>SnapshotTable[[#This Row],[LP Strike Price]] * SnapshotTable[[#This Row],[LP Qty]] * 100</f>
        <v>0</v>
      </c>
      <c r="CG317" s="31" t="e">
        <f>IF(ISNUMBER(SnapshotTable[[#This Row],[SP Premium]]), (SnapshotTable[[#This Row],[SP Qty]] * SnapshotTable[[#This Row],[SP Strike Price]]* 100) - SnapshotTable[[#This Row],[LP Protection]], 0)</f>
        <v>#VALUE!</v>
      </c>
      <c r="CH317" s="7" t="str">
        <f>IF(ISNUMBER(SnapshotTable[[#This Row],[SP Break Even]]),-1 * (SnapshotTable[[#This Row],[SP Break Even]] - SnapshotTable[[#This Row],[Last Price]]) / SnapshotTable[[#This Row],[Last Price]], "")</f>
        <v/>
      </c>
      <c r="CI317" s="31">
        <f>IF(AND(ISNUMBER((SnapshotTable[[#This Row],[SP Potential Spend]])), SnapshotTable[[#This Row],[SP Strike Price]] &gt; SnapshotTable[[#This Row],[Last Price]], SnapshotTable[[#This Row],[SP Is Filled]]), SnapshotTable[[#This Row],[SP Potential Spend]] -  SnapshotTable[[#This Row],[LP Max Value]], 0)</f>
        <v>0</v>
      </c>
      <c r="CJ317" s="244"/>
      <c r="CK317" s="31" t="str">
        <f>IF(ISNUMBER(SnapshotTable[[#This Row],[SP Potential Spend]]),IF(ISNUMBER(SnapshotTable[[#This Row],[SP POW]]), SnapshotTable[[#This Row],[SP POW]] * SnapshotTable[[#This Row],[SP Potential Spend]], SnapshotTable[[#This Row],[SP Potential Spend]]), "")</f>
        <v/>
      </c>
      <c r="CL317" s="164" t="e">
        <f>IF(NOT(SnapshotTable[[#This Row],[SP Is Filled]]),(SnapshotTable[[#This Row],[SP Qty]] * SnapshotTable[[#This Row],[SP Strike Price]] * 100) - SnapshotTable[[#This Row],[LP Max Value]],"")</f>
        <v>#VALUE!</v>
      </c>
      <c r="CM317" s="31" t="str">
        <f>IF(SnapshotTable[[#This Row],[SP Actual Spend]]&lt;&gt;0, ((SnapshotTable[[#This Row],[SP Strike Price]]-SnapshotTable[[#This Row],[Last Price]]) *(SnapshotTable[[#This Row],[SP Qty]]*100) - SnapshotTable[[#This Row],[SP Premium]]) * - 1, "")</f>
        <v/>
      </c>
      <c r="CN317" s="78"/>
      <c r="CO317" s="369"/>
      <c r="CP317" s="4" t="str">
        <f>IF(SnapshotTable[[#This Row],[SP Is Filled]], btc_max_buyback_amount(SnapshotTable[[#This Row],[SP Fill Date]],SnapshotTable[[#This Row],[SP Exp Date]], SnapshotTable[[#This Row],[SP Book Price]]),"")</f>
        <v/>
      </c>
      <c r="CQ317" s="78"/>
      <c r="CR31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7" s="155" t="str">
        <f>IF(SnapshotTable[[#This Row],[SP Is Filled]], btc_next_cutoff_date(SnapshotTable[[#This Row],[SP Fill Date]],SnapshotTable[[#This Row],[SP Exp Date]]),"")</f>
        <v/>
      </c>
      <c r="CT317" s="235" t="str" cm="1">
        <f t="array" ref="CT317">IF(SnapshotTable[[#This Row],[SP Is Filled]], btc_should_buy_back(SnapshotTable[[#This Row],[SP Fill Date]], SnapshotTable[[#This Row],[SP Exp Date]], SnapshotTable[[#This Row],[SP Book Price]], SnapshotTable[[#This Row],[SP Current Ask]], MockToday, SnapshotTable[[#This Row],[SP Buyback Override]]),"")</f>
        <v/>
      </c>
      <c r="CU317" s="143"/>
      <c r="CV317" s="235"/>
      <c r="CW317" s="378" t="str">
        <f>IF(ISNUMBER( SnapshotTable[[#This Row],[SP Term]]), SnapshotTable[[#This Row],[SP Exp Date]] - MockToday,"")</f>
        <v/>
      </c>
      <c r="CX317" s="31" t="str">
        <f>IF(SnapshotTable[[#This Row],[SP Is Filled]],SnapshotTable[[#This Row],[SP Buyback Price to Use]] * 100 * SnapshotTable[[#This Row],[SP Qty]], "")</f>
        <v/>
      </c>
      <c r="CY317" s="4" t="str">
        <f>IF(ISNUMBER(SnapshotTable[[#This Row],[SP Strike Price]]), SnapshotTable[[#This Row],[SP Strike Price]] * (1 - SP_MaxLoss_StrikePct), "")</f>
        <v/>
      </c>
      <c r="CZ317" s="31" t="str">
        <f>IF(ISNUMBER(SnapshotTable[[#This Row],[SP Strike  Stop Per Share]]),SnapshotTable[[#This Row],[SP Premium]] - ((SnapshotTable[[#This Row],[SP Strike Price]]-SnapshotTable[[#This Row],[SP Strike  Stop Per Share]]) *(SnapshotTable[[#This Row],[SP Qty]] * 100)),"")</f>
        <v/>
      </c>
      <c r="DA317" s="4" t="str">
        <f>IF(AND(ISNUMBER(SnapshotTable[[#This Row],[SP Premium]]),SnapshotTable[[#This Row],[SP Premium]]&gt;0), SnapshotTable[[#This Row],[SP Book Price]] * (1 + SP_MaxLoss_OptionPct), "")</f>
        <v/>
      </c>
      <c r="DB317" s="31" t="str">
        <f>IF(ISNUMBER(SnapshotTable[[#This Row],[SP Option  Stop Contract]]),(SnapshotTable[[#This Row],[SP Option  Stop Contract]] *(SnapshotTable[[#This Row],[SP Qty]] * 100) - SnapshotTable[[#This Row],[SP Premium]]),"")</f>
        <v/>
      </c>
      <c r="DC317" s="4"/>
      <c r="DD317" s="4"/>
      <c r="DE317" s="4" t="str">
        <f>IF(AND(SnapshotTable[[#This Row],[SP Qty]]&gt;0, SnapshotTable[[#This Row],[SP Stop To Use]]&gt;0),SnapshotTable[[#This Row],[SP Premium]] - ( SnapshotTable[[#This Row],[SP Qty]] * SnapshotTable[[#This Row],[SP Stop To Use]] * 100), "")</f>
        <v/>
      </c>
      <c r="DF317" s="31" t="str">
        <f>IF(AND(SnapshotTable[[#This Row],[SP Qty]]&gt;0,SnapshotTable[[#This Row],[SP Current Ask]]&gt;0), SnapshotTable[[#This Row],[SP Qty]] * SnapshotTable[[#This Row],[SP Current Ask]] * -100, "")</f>
        <v/>
      </c>
      <c r="DG317" s="31" t="str">
        <f>IF(ISNUMBER((SnapshotTable[[#This Row],[SP Total Value]])), SnapshotTable[[#This Row],[SP Premium]] + SnapshotTable[[#This Row],[SP Total Value]], "")</f>
        <v/>
      </c>
      <c r="DH317" s="294" t="str">
        <f>IF(ISNUMBER((SnapshotTable[[#This Row],[SP Total Value]])), SnapshotTable[[#This Row],[SP Gain Loss]] / SnapshotTable[[#This Row],[SP Premium]], "")</f>
        <v/>
      </c>
      <c r="DI317" s="406"/>
      <c r="DJ317" s="138"/>
      <c r="DK317" s="148"/>
      <c r="DL317" s="13"/>
      <c r="DM317" s="13"/>
      <c r="DO317" s="31">
        <f>IF(SnapshotTable[[#This Row],[LC Symbol Count]]=1, SnapshotTable[[#This Row],[LC Qty]] * SnapshotTable[[#This Row],[LC Book Price]] * 100, 0)</f>
        <v>0</v>
      </c>
      <c r="DP317" s="163" t="str">
        <f>IF(AND(SnapshotTable[[#This Row],[LC Exp Date]]&gt;0, SnapshotTable[[#This Row],[LC Strike Price]]&gt;0,SnapshotTable[[#This Row],[LC Qty]]&gt;0,SnapshotTable[[#This Row],[LC Book Date]]&gt;0,SnapshotTable[[#This Row],[LC Book Price]]&gt;0,SnapshotTable[[#This Row],[LC Fill Date]]=0),"Y","")</f>
        <v/>
      </c>
      <c r="DQ317" s="386" t="str">
        <f>IF(SnapshotTable[[#This Row],[LC Premium]] &gt; 0,SnapshotTable[[#This Row],[LC Exp Date]]-MAX(SnapshotTable[[#This Row],[LC Book Date]], SnapshotTable[[#This Row],[LC Fill Date]]),"")</f>
        <v/>
      </c>
      <c r="DR317" s="386" t="str">
        <f>IF(ISNUMBER(SnapshotTable[[#This Row],[LC Term]]), SnapshotTable[[#This Row],[LC Exp Date]] - MockToday, "")</f>
        <v/>
      </c>
      <c r="DS317" s="234" t="str">
        <f>IF(SnapshotTable[[#This Row],[LC Premium]]&gt;0,SnapshotTable[[#This Row],[LC Strike Price]] + SnapshotTable[[#This Row],[LC Book Price]],"")</f>
        <v/>
      </c>
      <c r="DU317" s="9" t="str">
        <f>IF(AND(SnapshotTable[[#This Row],[LC Symbol Count]]&gt;0, SnapshotTable[[#This Row],[LC Contract Value]]&gt;0), SnapshotTable[[#This Row],[LC Contract Value]] * SnapshotTable[[#This Row],[LC Qty]] * 100, "")</f>
        <v/>
      </c>
      <c r="DV317" s="9" t="str">
        <f>IF(AND(ISNUMBER(SnapshotTable[[#This Row],[LC Total Value]]), SnapshotTable[[#This Row],[LC Not Filled]]&lt;&gt;"Y"), SnapshotTable[[#This Row],[LC Total Value]]-SnapshotTable[[#This Row],[LC Premium]],"")</f>
        <v/>
      </c>
      <c r="DW317" s="240" t="str">
        <f>IF(ISNUMBER(SnapshotTable[[#This Row],[LC Actual Gain Loss]]), SnapshotTable[[#This Row],[LC Actual Gain Loss]] / SnapshotTable[[#This Row],[LC Premium]],"")</f>
        <v/>
      </c>
      <c r="DX317" s="284" t="str">
        <f>IF(ISNUMBER(SnapshotTable[[#This Row],[LC Book Price]]),SnapshotTable[[#This Row],[LC Book Price]] * 1.5,"")</f>
        <v/>
      </c>
      <c r="DY317" s="265" t="str">
        <f>IF(SnapshotTable[[#This Row],[LC Premium]]&gt;0, SnapshotTable[[#This Row],[LC Next Target]] * SnapshotTable[[#This Row],[LC Qty]] * 100,"")</f>
        <v/>
      </c>
      <c r="DZ317" s="265" t="str">
        <f>IF(ISNUMBER(SnapshotTable[[#This Row],[LC Target Gross]]), SnapshotTable[[#This Row],[LC Target Gross]] - SnapshotTable[[#This Row],[LC Premium]], "")</f>
        <v/>
      </c>
      <c r="EA317" s="305" t="str">
        <f>IF(ISNUMBER(SnapshotTable[[#This Row],[LC Target Gain Loss]]), SnapshotTable[[#This Row],[LC Target Gain Loss]]/SnapshotTable[[#This Row],[LC Premium]], "")</f>
        <v/>
      </c>
      <c r="EB317" s="262"/>
      <c r="EC317" s="283" t="str">
        <f>IF(SnapshotTable[[#This Row],[LC Premium]]&gt;0, SnapshotTable[[#This Row],[LC Book Price]] * (1 - LC_StopLoss_Pct),"")</f>
        <v/>
      </c>
      <c r="ED317" s="284"/>
      <c r="EE317" s="283" t="str">
        <f>IF(ISNUMBER(SnapshotTable[[#This Row],[LC Contract Value]]),IF(ISNUMBER(SnapshotTable[[#This Row],[LC Stop Loss Override]]), SnapshotTable[[#This Row],[LC Stop Loss Override]],SnapshotTable[[#This Row],[LC Stop Loss Calc Target]]),"")</f>
        <v/>
      </c>
      <c r="EF317" s="31" t="str">
        <f>IF(ISNUMBER(SnapshotTable[[#This Row],[LC Stop  To Use]]), (SnapshotTable[[#This Row],[LC Stop  To Use]] * SnapshotTable[[#This Row],[LC Qty]] * 100),"")</f>
        <v/>
      </c>
      <c r="EG317" s="9" t="str">
        <f>IF(ISNUMBER(SnapshotTable[[#This Row],[LC Total Value]]),SnapshotTable[[#This Row],[LC Stop Loss Amount]] - SnapshotTable[[#This Row],[LC Premium]],"")</f>
        <v/>
      </c>
      <c r="EH317" s="9">
        <f>IF(ISNUMBER(SnapshotTable[[#This Row],[LC Premium]]), SnapshotTable[[#This Row],[LC Qty]] * 100 * SnapshotTable[[#This Row],[LC Strike Price]], "")</f>
        <v>0</v>
      </c>
      <c r="EI317" s="240" t="str">
        <f>IF(AND(ISNUMBER(SnapshotTable[[#This Row],[LC Total Value]]),SnapshotTable[[#This Row],[LC Total Value]]&gt;0),SnapshotTable[[#This Row],[LC Stop Gain Loss]]  / SnapshotTable[[#This Row],[LC Premium]],"")</f>
        <v/>
      </c>
      <c r="EJ317" s="35">
        <f>IF(ISNUMBER(SnapshotTable[[#This Row],[Equity Shares]]),TRUNC(SnapshotTable[[#This Row],[Equity Shares]] / 100),0) + SnapshotTable[[#This Row],[LC Qty]]</f>
        <v>0</v>
      </c>
      <c r="EK317" s="147"/>
      <c r="EL317" s="138" t="str">
        <f>IF(SnapshotTable[[#This Row],[SC Exp Date]]&lt;&gt;"",TRUNC(SnapshotTable[[#This Row],[Last Price]]),"")</f>
        <v/>
      </c>
      <c r="EM317" s="148"/>
      <c r="EN317" s="147"/>
      <c r="EO317" s="147"/>
      <c r="EP317" s="138"/>
      <c r="EQ317" s="419" t="b">
        <f>AND(ISNUMBER(SnapshotTable[[#This Row],[SC Exp Date]]), ISNUMBER(SnapshotTable[[#This Row],[SC Strike Price]]), ISNUMBER(SnapshotTable[[#This Row],[SC Qty]]), ISNUMBER(SnapshotTable[[#This Row],[SC Book Date]]), ISNUMBER(SnapshotTable[[#This Row],[SC Book Price]]))</f>
        <v>0</v>
      </c>
      <c r="ER317" s="419" t="b">
        <f>AND(SnapshotTable[[#This Row],[SC Is Booked]], NOT(ISBLANK(SnapshotTable[[#This Row],[SC Fill Date]])))</f>
        <v>0</v>
      </c>
      <c r="ES317" s="370"/>
      <c r="ET317" s="34" t="str">
        <f>IF(AND(ISNUMBER(SnapshotTable[[#This Row],[SC Exp Date]]), ISNUMBER(SnapshotTable[[#This Row],[SC Book Date]])), SnapshotTable[[#This Row],[SC Exp Date]] - MAX(SnapshotTable[[#This Row],[SC Book Date]], SnapshotTable[[#This Row],[SC Fill Date]]) + 1, "")</f>
        <v/>
      </c>
      <c r="EU317" s="34" t="str">
        <f>IF(ISNUMBER(SnapshotTable[[#This Row],[SC Term]]), SnapshotTable[[#This Row],[SC Exp Date]]- MockToday, "")</f>
        <v/>
      </c>
      <c r="EV317" s="31">
        <f>IF(SnapshotTable[[#This Row],[SC Is Booked]], SnapshotTable[[#This Row],[SC Qty]] * SnapshotTable[[#This Row],[SC Book Price]] * 100, 0)</f>
        <v>0</v>
      </c>
      <c r="EW317" s="4" t="str">
        <f>IF(AND(ISNUMBER(SnapshotTable[[#This Row],[Last Price]]), ISNUMBER( SnapshotTable[[#This Row],[SC Book Price]])), SnapshotTable[[#This Row],[Last Price]] - SnapshotTable[[#This Row],[SC Book Price]],"")</f>
        <v/>
      </c>
      <c r="EX317" s="234" t="str">
        <f>IF(SnapshotTable[[#This Row],[SC Is Booked]],IF(SnapshotTable[[#This Row],[SC Intrinsic Value]] &gt; 0, SnapshotTable[[#This Row],[SC Strike Price]], SnapshotTable[[#This Row],[Last Price]]), "")</f>
        <v/>
      </c>
      <c r="EY317" s="4">
        <f>IF(SnapshotTable[[#This Row],[SC Is Booked]], (MinimumPremiumRequired * SnapshotTable[[#This Row],[SC Basis]] * SnapshotTable[[#This Row],[SC Term]]), 0)</f>
        <v>0</v>
      </c>
      <c r="EZ317" s="283"/>
      <c r="FA317" s="218"/>
      <c r="FB317" s="370"/>
      <c r="FC317" s="4">
        <f>IF(SnapshotTable[[#This Row],[SC Is Filled]], btc_max_buyback_amount(SnapshotTable[[#This Row],[SC Fill Date]],SnapshotTable[[#This Row],[SC Exp Date]], SnapshotTable[[#This Row],[SC Book Price]]),0)</f>
        <v>0</v>
      </c>
      <c r="FD317" s="5"/>
      <c r="FE317" s="144" t="str">
        <f>IF(SnapshotTable[[#This Row],[SC Is Filled]], btc_next_cutoff_date(SnapshotTable[[#This Row],[SC Fill Date]],SnapshotTable[[#This Row],[SC Exp Date]]),"")</f>
        <v/>
      </c>
      <c r="FF317" s="4" t="str" cm="1">
        <f t="array" ref="FF317">IF(SnapshotTable[[#This Row],[SC Is Filled]], btc_should_buy_back(SnapshotTable[[#This Row],[SC Fill Date]], SnapshotTable[[#This Row],[SC Exp Date]], SnapshotTable[[#This Row],[SC Book Price]], SnapshotTable[[#This Row],[SC Current Ask]], MockToday, SnapshotTable[[#This Row],[SC Buyback Override]]),"")</f>
        <v/>
      </c>
      <c r="FG317" s="4">
        <f>IF(SnapshotTable[[#This Row],[SC Is Filled]], MAX(0,SnapshotTable[[#This Row],[Last Price]]  - SnapshotTable[[#This Row],[SC Strike Price]]), 0)</f>
        <v>0</v>
      </c>
      <c r="FH317" s="382">
        <f>IF(SnapshotTable[[#This Row],[SC Is Filled]], IF(ISNUMBER(SnapshotTable[[#This Row],[SC Current Ask]]), SnapshotTable[[#This Row],[SC Current Ask]], SnapshotTable[[#This Row],[SC Book Price]]) - SnapshotTable[[#This Row],[SC Intrinsic Value]], 0)</f>
        <v>0</v>
      </c>
      <c r="FI317" s="143"/>
      <c r="FJ317" s="32" t="str">
        <f>IF(SnapshotTable[[#This Row],[SC Is Filled]],100 * SnapshotTable[[#This Row],[SC Qty]] * IF(ISNUMBER(SnapshotTable[[#This Row],[SC Buyback Override]]), SnapshotTable[[#This Row],[SC Buyback Override]], SnapshotTable[[#This Row],[SC Current Ask]]), "")</f>
        <v/>
      </c>
      <c r="FK317" s="250" t="str">
        <f>IF(SnapshotTable[[#This Row],[SC Time Val]]&gt;0, SnapshotTable[[#This Row],[SC Time Val]] / SnapshotTable[[#This Row],[Last Price]],"")</f>
        <v/>
      </c>
      <c r="FL317" s="302" t="str">
        <f>IF(SnapshotTable[[#This Row],[SC Is Booked]], ((SnapshotTable[[#This Row],[Last Price]] -SnapshotTable[[#This Row],[SC Strike Price]]) / SnapshotTable[[#This Row],[Last Price]]) * -1, "")</f>
        <v/>
      </c>
      <c r="FM317" s="157" t="str">
        <f>IF(SnapshotTable[[#This Row],[SC Is Booked]],  (SnapshotTable[[#This Row],[SC Qty]] * 100 * SnapshotTable[[#This Row],[SC Strike Price]]) - SnapshotTable[[#This Row],[SC Current Ask]], "")</f>
        <v/>
      </c>
      <c r="FN31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7" s="31" t="str">
        <f>IF(AND(ISNUMBER(SnapshotTable[[#This Row],[SC Exercise Gross]]), ISNUMBER(SnapshotTable[[#This Row],[Equity Basis Per Share]] )), SnapshotTable[[#This Row],[SC Exercise Gross]] - SnapshotTable[[#This Row],[Equity Basis Total]] +  SnapshotTable[[#This Row],[SC Premium]], "")</f>
        <v/>
      </c>
      <c r="FP317" s="5" t="str">
        <f>IF(ISNUMBER(SnapshotTable[[#This Row],[SC Exercise Gross]]), (SnapshotTable[[#This Row],[SC Exercise Gross]]) / (SnapshotTable[[#This Row],[SC Qty]] * 100), "")</f>
        <v/>
      </c>
      <c r="FQ317" s="27" t="str">
        <f>IF(SnapshotTable[[#This Row],[SC Is Booked]],SnapshotTable[[#This Row],[SC Time Val]] /SnapshotTable[[#This Row],[SC Basis]], "")</f>
        <v/>
      </c>
      <c r="FR317" s="27" t="str" cm="1">
        <f t="array" ref="FR317">IF(AND(ISNUMBER(SnapshotTable[[#This Row],[SC Term]]),ISNUMBER(SnapshotTable[[#This Row],[SC Simple ROO]])), EllmanAnnualize(SnapshotTable[[#This Row],[SC DTE]], SnapshotTable[[#This Row],[SC Simple ROO]] ),"")</f>
        <v/>
      </c>
      <c r="FS317" s="4" t="e">
        <f>IF(SnapshotTable[[#This Row],[SC Strike Price]] &gt; SnapshotTable[[#This Row],[Last Price]], SnapshotTable[[#This Row],[SC Strike Price]] - SnapshotTable[[#This Row],[Last Price]],0)</f>
        <v>#VALUE!</v>
      </c>
      <c r="FT317" s="27" t="e">
        <f>IF(AND(ISNUMBER(SnapshotTable[[#This Row],[SC Upside Potential]]), SnapshotTable[[#This Row],[SC Upside Potential]] &gt; 0),(SnapshotTable[[#This Row],[SC Upside Potential]]/ SnapshotTable[[#This Row],[ACB]]),"")</f>
        <v>#VALUE!</v>
      </c>
      <c r="FU317" s="333" t="str">
        <f>IF(SnapshotTable[[#This Row],[SC Intrinsic Value]] &gt; 0,SnapshotTable[[#This Row],[SC Intrinsic Value]],"")</f>
        <v/>
      </c>
      <c r="FV317" s="27" t="str">
        <f>IF(AND( ISNUMBER( SnapshotTable[[#This Row],[ACB]]),ISNUMBER(SnapshotTable[[#This Row],[SC Downside Protect]])),SnapshotTable[[#This Row],[SC Downside Protect]] / SnapshotTable[[#This Row],[ACB]],"")</f>
        <v/>
      </c>
      <c r="FW317" s="236" t="str">
        <f>IF(AND(ISNUMBER(SnapshotTable[[#This Row],[SC Simple ROO]]),SnapshotTable[[#This Row],[SC Simple ROO]] &gt; 0), SnapshotTable[[#This Row],[SC Premium]] + (SnapshotTable[[#This Row],[SC Qty]] * SnapshotTable[[#This Row],[SC Upside Potential]]), "")</f>
        <v/>
      </c>
      <c r="FX317" s="302" t="str" cm="1">
        <f t="array" ref="FX317">IF(ISNUMBER(SnapshotTable[[#This Row],[SC Max Dollars]]), annualize(SnapshotTable[[#This Row],[SC Term]],(SnapshotTable[[#This Row],[SC Max Dollars]]/SnapshotTable[[#This Row],[SC Basis]])),"")</f>
        <v/>
      </c>
      <c r="FY317" s="236" t="str">
        <f>IF(AND(SnapshotTable[[#This Row],[SC Qty]]&gt;0,SnapshotTable[[#This Row],[SC Current Ask]]&gt;0), SnapshotTable[[#This Row],[SC Qty]] * SnapshotTable[[#This Row],[SC Current Ask]] * -100, "")</f>
        <v/>
      </c>
      <c r="FZ317" s="31" t="str">
        <f>IF(ISNUMBER((SnapshotTable[[#This Row],[SC Current Value]])), SnapshotTable[[#This Row],[SC Premium]] + SnapshotTable[[#This Row],[SC Current Value]], "")</f>
        <v/>
      </c>
      <c r="GA317" s="294" t="str">
        <f>IFERROR( IF(ISNUMBER((SnapshotTable[[#This Row],[SC Current Value]])), SnapshotTable[[#This Row],[SC Gain Loss]] / SnapshotTable[[#This Row],[SC Premium]], ""), "")</f>
        <v/>
      </c>
      <c r="GB317" s="42">
        <f>SnapshotTable[[#This Row],[Equity Shares]] * SaleSharesToConsiderPercentage</f>
        <v>0</v>
      </c>
      <c r="GC317" s="40">
        <f>SnapshotTable[[#This Row],[Long Term Target]] * SellingPriceToConsiderBasedOnTargetPercentage</f>
        <v>38.693499999999993</v>
      </c>
      <c r="GD317" s="40">
        <f>SnapshotTable[[#This Row],[Last Price]] * (1+ SellingPriceToConsiderBasedOnTargetPercentage)</f>
        <v>178.83449999999999</v>
      </c>
      <c r="GE317" s="41"/>
      <c r="GF317" s="40"/>
      <c r="GG317" s="31">
        <f>SnapshotTable[[#This Row],[Booked Sale Shares]] * SnapshotTable[[#This Row],[Booked Sale Price]]</f>
        <v>0</v>
      </c>
      <c r="GH317" s="31" t="str">
        <f>IF(SnapshotTable[[#This Row],[Equity Basis Total]] &gt; 0, SnapshotTable[[#This Row],[Equity Basis Per Share]] * SnapshotTable[[#This Row],[Booked Sale Shares]], "")</f>
        <v/>
      </c>
      <c r="GI317" s="31">
        <f>IF(SnapshotTable[[#This Row],[Sale Proceeds]]&gt;0, SnapshotTable[[#This Row],[Sale Proceeds]] - SnapshotTable[[#This Row],[Sale Basis]], 0)</f>
        <v>0</v>
      </c>
      <c r="GJ317" s="27" t="str">
        <f>IF(SnapshotTable[[#This Row],[Sale G/L]]&gt;0, SnapshotTable[[#This Row],[Sale G/L]] / SnapshotTable[[#This Row],[Sale Basis]], IF(ISNUMBER(SnapshotTable[[#This Row],[SC Exercise P&amp;L (TAX)]]), SnapshotTable[[#This Row],[SC Exercise P&amp;L (TAX)]] / SnapshotTable[[#This Row],[SC Basis]], ""))</f>
        <v/>
      </c>
      <c r="GK317" s="27" t="s">
        <v>776</v>
      </c>
      <c r="GL317" s="43" t="str">
        <f>IF(AND(SnapshotTable[[#This Row],[LP Exp Date]]&gt;0,SnapshotTable[[#This Row],[LP Strike Price]]&gt;0), [1]!ToOptionSymbol(SnapshotTable[[#This Row],[Symbol]], SnapshotTable[[#This Row],[LP Strike Price]],SnapshotTable[[#This Row],[LP Exp Date]],1), "")</f>
        <v/>
      </c>
      <c r="GM317" s="30" t="str">
        <f>IF(LEN(SnapshotTable[[#This Row],[LP Symbol]])&gt;0, 1, "")</f>
        <v/>
      </c>
      <c r="GN317" s="43" t="str">
        <f>IF(AND(SnapshotTable[[#This Row],[SP Exp Date]]&gt;0,SnapshotTable[[#This Row],[SP Strike Price]]&gt;0), [1]!ToOptionSymbol(SnapshotTable[[#This Row],[Symbol]], SnapshotTable[[#This Row],[SP Strike Price]],SnapshotTable[[#This Row],[SP Exp Date]],1), "")</f>
        <v/>
      </c>
      <c r="GO317" s="30" t="str">
        <f>IF(LEN(SnapshotTable[[#This Row],[SP Symbol]])&gt;0, 1, "")</f>
        <v/>
      </c>
      <c r="GP317" s="43" t="str">
        <f>IF(AND(SnapshotTable[[#This Row],[LC Exp Date]]&gt;0,SnapshotTable[[#This Row],[LC Strike Price]]&gt;0), [1]!ToOptionSymbol(SnapshotTable[[#This Row],[Symbol]], SnapshotTable[[#This Row],[LC Strike Price]],SnapshotTable[[#This Row],[LC Exp Date]],0), "")</f>
        <v/>
      </c>
      <c r="GQ317" s="30" t="str">
        <f>IF(LEN(SnapshotTable[[#This Row],[LC Symbol]])&gt;0, 1, "")</f>
        <v/>
      </c>
      <c r="GR317" s="43" t="str">
        <f>IF(AND(SnapshotTable[[#This Row],[SC Exp Date]]&gt;0,SnapshotTable[[#This Row],[SC Strike Price]]&gt;0), [1]!ToOptionSymbol(SnapshotTable[[#This Row],[Symbol]], SnapshotTable[[#This Row],[SC Strike Price]],SnapshotTable[[#This Row],[SC Exp Date]],0), "")</f>
        <v/>
      </c>
      <c r="GS317" s="30" t="str">
        <f>IF(LEN(SnapshotTable[[#This Row],[SC Symbol]])&gt;0, 1, "")</f>
        <v/>
      </c>
      <c r="GT317" s="29" t="str">
        <f>IF(COUNT(SnapshotTable[[#This Row],[LP Symbol Count]],SnapshotTable[[#This Row],[SP Symbol Count]],SnapshotTable[[#This Row],[LC Symbol Count]],SnapshotTable[[#This Row],[SC Symbol Count]])&gt;0, "Y", "")</f>
        <v/>
      </c>
      <c r="GU31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7" s="231" t="e">
        <f>MAX(SnapshotTable[[#This Row],[Equity Basis Total]],SnapshotTable[[#This Row],[Equity Value]]) + (SnapshotTable[[#This Row],[SP Potential Spend]]- SnapshotTable[[#This Row],[SP Premium]] + SnapshotTable[[#This Row],[LP Premium]])+ (SnapshotTable[[#This Row],[LC Premium]] - SnapshotTable[[#This Row],[SC Premium]])</f>
        <v>#VALUE!</v>
      </c>
      <c r="GW317" s="139" t="e">
        <f>IF(AND(SnapshotTable[[#This Row],[Exposure]] &lt;&gt; 0),SnapshotTable[[#This Row],[Exposure]] / SnapshotTable[[#Totals],[Exposure]], "")</f>
        <v>#VALUE!</v>
      </c>
      <c r="HK317" s="1"/>
      <c r="HL317" s="1"/>
      <c r="HM317" s="1"/>
      <c r="HN317" s="1"/>
      <c r="HO317" s="1"/>
      <c r="HP317" s="1"/>
    </row>
    <row r="318" spans="2:224" ht="12.75" hidden="1" customHeight="1" x14ac:dyDescent="0.25">
      <c r="B318" s="12" t="s">
        <v>126</v>
      </c>
      <c r="C318" s="422">
        <v>91.71</v>
      </c>
      <c r="D318" s="208"/>
      <c r="E318" s="39">
        <f>SnapshotTable[[#This Row],[Last Price]]*(1 -CrashDiscount)</f>
        <v>77.953499999999991</v>
      </c>
      <c r="F318" s="26" t="s">
        <v>63</v>
      </c>
      <c r="G318" s="26" t="s">
        <v>20</v>
      </c>
      <c r="H318" s="149"/>
      <c r="I318" s="194">
        <v>44770.270833333336</v>
      </c>
      <c r="J318" s="195">
        <v>44770.270833333336</v>
      </c>
      <c r="K318" s="196"/>
      <c r="L318" s="326"/>
      <c r="M318" s="140"/>
      <c r="N318" s="140"/>
      <c r="O318" s="140"/>
      <c r="P318" s="22"/>
      <c r="Q318" s="25"/>
      <c r="R318" s="4" t="str">
        <f>IF(SnapshotTable[[#This Row],[Equity Basis Total]] &gt; 0, SnapshotTable[[#This Row],[Equity Basis Total]] / SnapshotTable[[#This Row],[Equity Shares]], "")</f>
        <v/>
      </c>
      <c r="S318" s="269">
        <f>SnapshotTable[[#This Row],[Last Price]] * SnapshotTable[[#This Row],[Equity Shares]]</f>
        <v>0</v>
      </c>
      <c r="T318" s="269">
        <f>SnapshotTable[[#This Row],[Equity Value]] - SnapshotTable[[#This Row],[Equity Basis Total]]</f>
        <v>0</v>
      </c>
      <c r="U318" s="270" t="str">
        <f>IF(SnapshotTable[[#This Row],[Equity Basis Total]] &gt; 0, SnapshotTable[[#This Row],[Equity G/L]] / SnapshotTable[[#This Row],[Equity Basis Total]], "")</f>
        <v/>
      </c>
      <c r="V318" s="268"/>
      <c r="W318" s="268"/>
      <c r="X318" s="4" t="str">
        <f>IF(AND(ISNUMBER(SnapshotTable[[#This Row],[Equity Basis Per Share]]),ISNUMBER(SnapshotTable[[#This Row],[Equity Target]])),SnapshotTable[[#This Row],[Equity Target]]-SnapshotTable[[#This Row],[Equity Basis Per Share]],"")</f>
        <v/>
      </c>
      <c r="Y318" s="4" t="str">
        <f>IF(AND(ISNUMBER(SnapshotTable[[#This Row],[Equity Basis Per Share]]),ISNUMBER(SnapshotTable[[#This Row],[Equity Stop Loss]])),SnapshotTable[[#This Row],[Equity Stop Loss]]-SnapshotTable[[#This Row],[Equity Basis Per Share]],"")</f>
        <v/>
      </c>
      <c r="Z318" s="275" t="str">
        <f>IFERROR( TEXT(SnapshotTable[[#This Row],[Equity Max Gain Per Share]] /ABS( SnapshotTable[[#This Row],[Equity Max Loss Per Share]]),"0.0 " ) &amp; " : 1", "")</f>
        <v/>
      </c>
      <c r="AA318" s="31" t="str">
        <f>IF(ISNUMBER(SnapshotTable[[#This Row],[Equity Max Gain Per Share]]),SnapshotTable[[#This Row],[Equity Max Gain Per Share]] * SnapshotTable[[#This Row],[Equity Shares]],"")</f>
        <v/>
      </c>
      <c r="AB318" s="31" t="str">
        <f>IF(ISNUMBER(SnapshotTable[[#This Row],[Equity Max Loss Per Share]]),SnapshotTable[[#This Row],[Equity Max Loss Per Share]] * SnapshotTable[[#This Row],[Equity Shares]],"")</f>
        <v/>
      </c>
      <c r="AC318" s="150"/>
      <c r="AD318" s="151"/>
      <c r="AE318" s="31">
        <f>(SnapshotTable[[#This Row],[Annual Dividend Per Share]] / 4) * SnapshotTable[[#This Row],[Equity Shares]]</f>
        <v>0</v>
      </c>
      <c r="AF318" s="31">
        <f>SnapshotTable[[#This Row],[Quarterly Div $]] * 4</f>
        <v>0</v>
      </c>
      <c r="AG318" s="7">
        <f>IF(SnapshotTable[[#This Row],[Annual Dividend Per Share]]&gt;0, SnapshotTable[[#This Row],[Annual Dividend Per Share]]  / SnapshotTable[[#This Row],[Last Price]], 0)</f>
        <v>0</v>
      </c>
      <c r="AH318" s="151"/>
      <c r="AI318" s="5">
        <v>72</v>
      </c>
      <c r="AJ318" s="138">
        <v>40.729999999999997</v>
      </c>
      <c r="AK318" s="152">
        <f>IF(ISNUMBER( SnapshotTable[[#This Row],[EBF Target]]),(SnapshotTable[[#This Row],[EBF Target]] - SnapshotTable[[#This Row],[Last Price]]) / SnapshotTable[[#This Row],[Last Price]], "")</f>
        <v>-0.21491658488714421</v>
      </c>
      <c r="AL318" s="152" t="str">
        <f>IF(AND(SnapshotTable[[#This Row],[Equity Basis Total]] &gt; 0,ISNUMBER( SnapshotTable[[#This Row],[Long Term Target]])), SnapshotTable[[#This Row],[From Basis $]] / SnapshotTable[[#This Row],[Equity Basis Total]], "")</f>
        <v/>
      </c>
      <c r="AM318" s="9">
        <f>IF( AND(SnapshotTable[[#This Row],[Equity Shares]] &gt;0,ISNUMBER( SnapshotTable[[#This Row],[Long Term Target]])),(SnapshotTable[[#This Row],[Equity Shares]] * SnapshotTable[[#This Row],[Long Term Target]]) - SnapshotTable[[#This Row],[Equity Basis Total]],0)</f>
        <v>0</v>
      </c>
      <c r="AN318" s="9">
        <f>IF( AND(SnapshotTable[[#This Row],[Equity Shares]] &gt;0,ISNUMBER( SnapshotTable[[#This Row],[Long Term Target]])),(SnapshotTable[[#This Row],[Equity Shares]]*SnapshotTable[[#This Row],[Long Term Target]]) - SnapshotTable[[#This Row],[Equity Value]],0)</f>
        <v>0</v>
      </c>
      <c r="AO318" s="152">
        <f>IF(AND(ISNUMBER( SnapshotTable[[#This Row],[Long Term Target]]), ISNUMBER(SnapshotTable[[#This Row],[Last Price]])),(SnapshotTable[[#This Row],[Long Term Target]] - SnapshotTable[[#This Row],[Last Price]]) / SnapshotTable[[#This Row],[Last Price]], "")</f>
        <v>-0.55588267364518595</v>
      </c>
      <c r="AP318" s="5"/>
      <c r="AQ318" s="38"/>
      <c r="AR318" s="5"/>
      <c r="AS318" s="38"/>
      <c r="AT318" s="146"/>
      <c r="AU318" s="187" t="str">
        <f>IF(OR(SnapshotTable[[#This Row],[LP No Fill]]="Y",SnapshotTable[[#This Row],[SP Is Filled]],SnapshotTable[[#This Row],[LC Not Filled]]="Y",SnapshotTable[[#This Row],[SC Is Filled]]),"Y","")</f>
        <v/>
      </c>
      <c r="AV318" s="219"/>
      <c r="AW318" s="225"/>
      <c r="AX318" s="220"/>
      <c r="AY318" s="219" t="str">
        <f>IF(SnapshotTable[[#This Row],[Implied Move]]&gt;0, SnapshotTable[[#This Row],[Last Price]]-SnapshotTable[[#This Row],[Implied Move]],"")</f>
        <v/>
      </c>
      <c r="AZ318" s="219" t="str">
        <f>IF(SnapshotTable[[#This Row],[Implied Move]]&gt;0, SnapshotTable[[#This Row],[Last Price]] + SnapshotTable[[#This Row],[Implied Move]],"")</f>
        <v/>
      </c>
      <c r="BA318" s="331"/>
      <c r="BB318" s="347"/>
      <c r="BC31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8" s="351"/>
      <c r="BE318" s="5"/>
      <c r="BF318" s="14"/>
      <c r="BG318" s="13"/>
      <c r="BH318" s="13"/>
      <c r="BI318" s="5"/>
      <c r="BJ318" s="136">
        <f>IF(SnapshotTable[[#This Row],[LP Qty]] &gt; 0, SnapshotTable[[#This Row],[LP Qty]] * SnapshotTable[[#This Row],[LP Book Price]] * 100,0)</f>
        <v>0</v>
      </c>
      <c r="BK318" s="136">
        <f>IF(SnapshotTable[[#This Row],[LP Premium]] &gt; 0, SnapshotTable[[#This Row],[LP Qty]] * SnapshotTable[[#This Row],[LP Strike Price]] * 100,0)</f>
        <v>0</v>
      </c>
      <c r="BL318" s="154"/>
      <c r="BM318" s="385" t="str">
        <f>IF(SnapshotTable[[#This Row],[LP Premium]] &gt; 0,SnapshotTable[[#This Row],[LP Exp Date]]-MAX(SnapshotTable[[#This Row],[LP Book Date]], SnapshotTable[[#This Row],[LP Fill Date]]),"")</f>
        <v/>
      </c>
      <c r="BN318" s="385" t="str">
        <f>IF(ISNUMBER( SnapshotTable[[#This Row],[LP Term]]), SnapshotTable[[#This Row],[LP Exp Date]] - MockToday,"")</f>
        <v/>
      </c>
      <c r="BO318" s="163" t="str">
        <f>IF(AND(SnapshotTable[[#This Row],[LP Exp Date]]&gt;0, SnapshotTable[[#This Row],[LP Strike Price]]&gt;0,SnapshotTable[[#This Row],[LP Qty]]&gt;0,SnapshotTable[[#This Row],[LP Book Date]]&gt;0,SnapshotTable[[#This Row],[LP Book Price]]&gt;0,SnapshotTable[[#This Row],[LP Fill Date]]=0),"Y","")</f>
        <v/>
      </c>
      <c r="BP318" s="31" t="str">
        <f>IF(AND(SnapshotTable[[#This Row],[LP No Fill]]&lt;&gt;"Y",SnapshotTable[[#This Row],[LP Contract Value]]&gt;0, SnapshotTable[[#This Row],[LP Qty]]&gt;0), SnapshotTable[[#This Row],[LP Contract Value]]*SnapshotTable[[#This Row],[LP Qty]]*100,"")</f>
        <v/>
      </c>
      <c r="BQ318" s="13"/>
      <c r="BR318" s="5" t="str">
        <f>IF(SnapshotTable[[#This Row],[SP Exp Date]]&lt;&gt;"",TRUNC(SnapshotTable[[#This Row],[Last Price]]),"")</f>
        <v/>
      </c>
      <c r="BS318" s="36"/>
      <c r="BT318" s="147"/>
      <c r="BU318" s="13"/>
      <c r="BV318" s="5"/>
      <c r="BW318" s="419" t="b">
        <f>AND(ISNUMBER(SnapshotTable[[#This Row],[SP Exp Date]]), ISNUMBER(SnapshotTable[[#This Row],[SP Strike Price]]), ISNUMBER(SnapshotTable[[#This Row],[SP Qty]]), ISNUMBER(SnapshotTable[[#This Row],[SP Book Date]]), ISNUMBER(SnapshotTable[[#This Row],[SP Book Price]]))</f>
        <v>0</v>
      </c>
      <c r="BX318" s="419" t="b">
        <f>AND(SnapshotTable[[#This Row],[SP Is Booked]], NOT(ISBLANK(SnapshotTable[[#This Row],[SP Fill Date]])))</f>
        <v>0</v>
      </c>
      <c r="BY318" s="33">
        <f>IF(SnapshotTable[[#This Row],[SP Is Booked]], SnapshotTable[[#This Row],[SP Qty]] * SnapshotTable[[#This Row],[SP Book Price]] * 100, 0)</f>
        <v>0</v>
      </c>
      <c r="BZ318" s="369"/>
      <c r="CA318" s="368">
        <f>SnapshotTable[[#This Row],[LP Qty]]</f>
        <v>0</v>
      </c>
      <c r="CB318" s="4" t="str">
        <f>IF(SnapshotTable[[#This Row],[SP Is Booked]], SnapshotTable[[#This Row],[SP Strike Price]] - SnapshotTable[[#This Row],[SP Book Price]], "")</f>
        <v/>
      </c>
      <c r="CC318" s="19" t="str">
        <f>IF(SnapshotTable[[#This Row],[SP Is Booked]],SnapshotTable[[#This Row],[SP Exp Date]]-MAX(SnapshotTable[[#This Row],[SP Book Date]], SnapshotTable[[#This Row],[SP Fill Date]]),"")</f>
        <v/>
      </c>
      <c r="CD318" s="7" t="str">
        <f>IF(SnapshotTable[[#This Row],[SP Is Booked]], SnapshotTable[[#This Row],[SP Book Price]]/SnapshotTable[[#This Row],[SP Strike Price]], "")</f>
        <v/>
      </c>
      <c r="CE318" s="7" t="str">
        <f>IF(ISNUMBER(SnapshotTable[[#This Row],[SP ROO Term]]),SnapshotTable[[#This Row],[SP ROO Term]]*(365/SnapshotTable[[#This Row],[SP Term]]),"")</f>
        <v/>
      </c>
      <c r="CF318" s="236">
        <f>SnapshotTable[[#This Row],[LP Strike Price]] * SnapshotTable[[#This Row],[LP Qty]] * 100</f>
        <v>0</v>
      </c>
      <c r="CG318" s="31" t="e">
        <f>IF(ISNUMBER(SnapshotTable[[#This Row],[SP Premium]]), (SnapshotTable[[#This Row],[SP Qty]] * SnapshotTable[[#This Row],[SP Strike Price]]* 100) - SnapshotTable[[#This Row],[LP Protection]], 0)</f>
        <v>#VALUE!</v>
      </c>
      <c r="CH318" s="7" t="str">
        <f>IF(ISNUMBER(SnapshotTable[[#This Row],[SP Break Even]]),-1 * (SnapshotTable[[#This Row],[SP Break Even]] - SnapshotTable[[#This Row],[Last Price]]) / SnapshotTable[[#This Row],[Last Price]], "")</f>
        <v/>
      </c>
      <c r="CI318" s="31">
        <f>IF(AND(ISNUMBER((SnapshotTable[[#This Row],[SP Potential Spend]])), SnapshotTable[[#This Row],[SP Strike Price]] &gt; SnapshotTable[[#This Row],[Last Price]], SnapshotTable[[#This Row],[SP Is Filled]]), SnapshotTable[[#This Row],[SP Potential Spend]] -  SnapshotTable[[#This Row],[LP Max Value]], 0)</f>
        <v>0</v>
      </c>
      <c r="CJ318" s="244"/>
      <c r="CK318" s="31" t="str">
        <f>IF(ISNUMBER(SnapshotTable[[#This Row],[SP Potential Spend]]),IF(ISNUMBER(SnapshotTable[[#This Row],[SP POW]]), SnapshotTable[[#This Row],[SP POW]] * SnapshotTable[[#This Row],[SP Potential Spend]], SnapshotTable[[#This Row],[SP Potential Spend]]), "")</f>
        <v/>
      </c>
      <c r="CL318" s="164" t="e">
        <f>IF(NOT(SnapshotTable[[#This Row],[SP Is Filled]]),(SnapshotTable[[#This Row],[SP Qty]] * SnapshotTable[[#This Row],[SP Strike Price]] * 100) - SnapshotTable[[#This Row],[LP Max Value]],"")</f>
        <v>#VALUE!</v>
      </c>
      <c r="CM318" s="31" t="str">
        <f>IF(SnapshotTable[[#This Row],[SP Actual Spend]]&lt;&gt;0, ((SnapshotTable[[#This Row],[SP Strike Price]]-SnapshotTable[[#This Row],[Last Price]]) *(SnapshotTable[[#This Row],[SP Qty]]*100) - SnapshotTable[[#This Row],[SP Premium]]) * - 1, "")</f>
        <v/>
      </c>
      <c r="CN318" s="78"/>
      <c r="CO318" s="369"/>
      <c r="CP318" s="4" t="str">
        <f>IF(SnapshotTable[[#This Row],[SP Is Filled]], btc_max_buyback_amount(SnapshotTable[[#This Row],[SP Fill Date]],SnapshotTable[[#This Row],[SP Exp Date]], SnapshotTable[[#This Row],[SP Book Price]]),"")</f>
        <v/>
      </c>
      <c r="CQ318" s="78"/>
      <c r="CR31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8" s="155" t="str">
        <f>IF(SnapshotTable[[#This Row],[SP Is Filled]], btc_next_cutoff_date(SnapshotTable[[#This Row],[SP Fill Date]],SnapshotTable[[#This Row],[SP Exp Date]]),"")</f>
        <v/>
      </c>
      <c r="CT318" s="235" t="str" cm="1">
        <f t="array" ref="CT318">IF(SnapshotTable[[#This Row],[SP Is Filled]], btc_should_buy_back(SnapshotTable[[#This Row],[SP Fill Date]], SnapshotTable[[#This Row],[SP Exp Date]], SnapshotTable[[#This Row],[SP Book Price]], SnapshotTable[[#This Row],[SP Current Ask]], MockToday, SnapshotTable[[#This Row],[SP Buyback Override]]),"")</f>
        <v/>
      </c>
      <c r="CU318" s="143"/>
      <c r="CV318" s="235"/>
      <c r="CW318" s="378" t="str">
        <f>IF(ISNUMBER( SnapshotTable[[#This Row],[SP Term]]), SnapshotTable[[#This Row],[SP Exp Date]] - MockToday,"")</f>
        <v/>
      </c>
      <c r="CX318" s="31" t="str">
        <f>IF(SnapshotTable[[#This Row],[SP Is Filled]],SnapshotTable[[#This Row],[SP Buyback Price to Use]] * 100 * SnapshotTable[[#This Row],[SP Qty]], "")</f>
        <v/>
      </c>
      <c r="CY318" s="4" t="str">
        <f>IF(ISNUMBER(SnapshotTable[[#This Row],[SP Strike Price]]), SnapshotTable[[#This Row],[SP Strike Price]] * (1 - SP_MaxLoss_StrikePct), "")</f>
        <v/>
      </c>
      <c r="CZ318" s="31" t="str">
        <f>IF(ISNUMBER(SnapshotTable[[#This Row],[SP Strike  Stop Per Share]]),SnapshotTable[[#This Row],[SP Premium]] - ((SnapshotTable[[#This Row],[SP Strike Price]]-SnapshotTable[[#This Row],[SP Strike  Stop Per Share]]) *(SnapshotTable[[#This Row],[SP Qty]] * 100)),"")</f>
        <v/>
      </c>
      <c r="DA318" s="4" t="str">
        <f>IF(AND(ISNUMBER(SnapshotTable[[#This Row],[SP Premium]]),SnapshotTable[[#This Row],[SP Premium]]&gt;0), SnapshotTable[[#This Row],[SP Book Price]] * (1 + SP_MaxLoss_OptionPct), "")</f>
        <v/>
      </c>
      <c r="DB318" s="31" t="str">
        <f>IF(ISNUMBER(SnapshotTable[[#This Row],[SP Option  Stop Contract]]),(SnapshotTable[[#This Row],[SP Option  Stop Contract]] *(SnapshotTable[[#This Row],[SP Qty]] * 100) - SnapshotTable[[#This Row],[SP Premium]]),"")</f>
        <v/>
      </c>
      <c r="DC318" s="4"/>
      <c r="DD318" s="4"/>
      <c r="DE318" s="4" t="str">
        <f>IF(AND(SnapshotTable[[#This Row],[SP Qty]]&gt;0, SnapshotTable[[#This Row],[SP Stop To Use]]&gt;0),SnapshotTable[[#This Row],[SP Premium]] - ( SnapshotTable[[#This Row],[SP Qty]] * SnapshotTable[[#This Row],[SP Stop To Use]] * 100), "")</f>
        <v/>
      </c>
      <c r="DF318" s="31" t="str">
        <f>IF(AND(SnapshotTable[[#This Row],[SP Qty]]&gt;0,SnapshotTable[[#This Row],[SP Current Ask]]&gt;0), SnapshotTable[[#This Row],[SP Qty]] * SnapshotTable[[#This Row],[SP Current Ask]] * -100, "")</f>
        <v/>
      </c>
      <c r="DG318" s="31" t="str">
        <f>IF(ISNUMBER((SnapshotTable[[#This Row],[SP Total Value]])), SnapshotTable[[#This Row],[SP Premium]] + SnapshotTable[[#This Row],[SP Total Value]], "")</f>
        <v/>
      </c>
      <c r="DH318" s="294" t="str">
        <f>IF(ISNUMBER((SnapshotTable[[#This Row],[SP Total Value]])), SnapshotTable[[#This Row],[SP Gain Loss]] / SnapshotTable[[#This Row],[SP Premium]], "")</f>
        <v/>
      </c>
      <c r="DI318" s="406"/>
      <c r="DJ318" s="138"/>
      <c r="DK318" s="148"/>
      <c r="DL318" s="13"/>
      <c r="DM318" s="13"/>
      <c r="DO318" s="31">
        <f>IF(SnapshotTable[[#This Row],[LC Symbol Count]]=1, SnapshotTable[[#This Row],[LC Qty]] * SnapshotTable[[#This Row],[LC Book Price]] * 100, 0)</f>
        <v>0</v>
      </c>
      <c r="DP318" s="163" t="str">
        <f>IF(AND(SnapshotTable[[#This Row],[LC Exp Date]]&gt;0, SnapshotTable[[#This Row],[LC Strike Price]]&gt;0,SnapshotTable[[#This Row],[LC Qty]]&gt;0,SnapshotTable[[#This Row],[LC Book Date]]&gt;0,SnapshotTable[[#This Row],[LC Book Price]]&gt;0,SnapshotTable[[#This Row],[LC Fill Date]]=0),"Y","")</f>
        <v/>
      </c>
      <c r="DQ318" s="386" t="str">
        <f>IF(SnapshotTable[[#This Row],[LC Premium]] &gt; 0,SnapshotTable[[#This Row],[LC Exp Date]]-MAX(SnapshotTable[[#This Row],[LC Book Date]], SnapshotTable[[#This Row],[LC Fill Date]]),"")</f>
        <v/>
      </c>
      <c r="DR318" s="386" t="str">
        <f>IF(ISNUMBER(SnapshotTable[[#This Row],[LC Term]]), SnapshotTable[[#This Row],[LC Exp Date]] - MockToday, "")</f>
        <v/>
      </c>
      <c r="DS318" s="234" t="str">
        <f>IF(SnapshotTable[[#This Row],[LC Premium]]&gt;0,SnapshotTable[[#This Row],[LC Strike Price]] + SnapshotTable[[#This Row],[LC Book Price]],"")</f>
        <v/>
      </c>
      <c r="DU318" s="9" t="str">
        <f>IF(AND(SnapshotTable[[#This Row],[LC Symbol Count]]&gt;0, SnapshotTable[[#This Row],[LC Contract Value]]&gt;0), SnapshotTable[[#This Row],[LC Contract Value]] * SnapshotTable[[#This Row],[LC Qty]] * 100, "")</f>
        <v/>
      </c>
      <c r="DV318" s="9" t="str">
        <f>IF(AND(ISNUMBER(SnapshotTable[[#This Row],[LC Total Value]]), SnapshotTable[[#This Row],[LC Not Filled]]&lt;&gt;"Y"), SnapshotTable[[#This Row],[LC Total Value]]-SnapshotTable[[#This Row],[LC Premium]],"")</f>
        <v/>
      </c>
      <c r="DW318" s="240" t="str">
        <f>IF(ISNUMBER(SnapshotTable[[#This Row],[LC Actual Gain Loss]]), SnapshotTable[[#This Row],[LC Actual Gain Loss]] / SnapshotTable[[#This Row],[LC Premium]],"")</f>
        <v/>
      </c>
      <c r="DX318" s="284" t="str">
        <f>IF(ISNUMBER(SnapshotTable[[#This Row],[LC Book Price]]),SnapshotTable[[#This Row],[LC Book Price]] * 1.5,"")</f>
        <v/>
      </c>
      <c r="DY318" s="265" t="str">
        <f>IF(SnapshotTable[[#This Row],[LC Premium]]&gt;0, SnapshotTable[[#This Row],[LC Next Target]] * SnapshotTable[[#This Row],[LC Qty]] * 100,"")</f>
        <v/>
      </c>
      <c r="DZ318" s="265" t="str">
        <f>IF(ISNUMBER(SnapshotTable[[#This Row],[LC Target Gross]]), SnapshotTable[[#This Row],[LC Target Gross]] - SnapshotTable[[#This Row],[LC Premium]], "")</f>
        <v/>
      </c>
      <c r="EA318" s="305" t="str">
        <f>IF(ISNUMBER(SnapshotTable[[#This Row],[LC Target Gain Loss]]), SnapshotTable[[#This Row],[LC Target Gain Loss]]/SnapshotTable[[#This Row],[LC Premium]], "")</f>
        <v/>
      </c>
      <c r="EB318" s="262"/>
      <c r="EC318" s="283" t="str">
        <f>IF(SnapshotTable[[#This Row],[LC Premium]]&gt;0, SnapshotTable[[#This Row],[LC Book Price]] * (1 - LC_StopLoss_Pct),"")</f>
        <v/>
      </c>
      <c r="ED318" s="284"/>
      <c r="EE318" s="283" t="str">
        <f>IF(ISNUMBER(SnapshotTable[[#This Row],[LC Contract Value]]),IF(ISNUMBER(SnapshotTable[[#This Row],[LC Stop Loss Override]]), SnapshotTable[[#This Row],[LC Stop Loss Override]],SnapshotTable[[#This Row],[LC Stop Loss Calc Target]]),"")</f>
        <v/>
      </c>
      <c r="EF318" s="31" t="str">
        <f>IF(ISNUMBER(SnapshotTable[[#This Row],[LC Stop  To Use]]), (SnapshotTable[[#This Row],[LC Stop  To Use]] * SnapshotTable[[#This Row],[LC Qty]] * 100),"")</f>
        <v/>
      </c>
      <c r="EG318" s="9" t="str">
        <f>IF(ISNUMBER(SnapshotTable[[#This Row],[LC Total Value]]),SnapshotTable[[#This Row],[LC Stop Loss Amount]] - SnapshotTable[[#This Row],[LC Premium]],"")</f>
        <v/>
      </c>
      <c r="EH318" s="9">
        <f>IF(ISNUMBER(SnapshotTable[[#This Row],[LC Premium]]), SnapshotTable[[#This Row],[LC Qty]] * 100 * SnapshotTable[[#This Row],[LC Strike Price]], "")</f>
        <v>0</v>
      </c>
      <c r="EI318" s="240" t="str">
        <f>IF(AND(ISNUMBER(SnapshotTable[[#This Row],[LC Total Value]]),SnapshotTable[[#This Row],[LC Total Value]]&gt;0),SnapshotTable[[#This Row],[LC Stop Gain Loss]]  / SnapshotTable[[#This Row],[LC Premium]],"")</f>
        <v/>
      </c>
      <c r="EJ318" s="35">
        <f>IF(ISNUMBER(SnapshotTable[[#This Row],[Equity Shares]]),TRUNC(SnapshotTable[[#This Row],[Equity Shares]] / 100),0) + SnapshotTable[[#This Row],[LC Qty]]</f>
        <v>0</v>
      </c>
      <c r="EK318" s="147"/>
      <c r="EL318" s="138" t="str">
        <f>IF(SnapshotTable[[#This Row],[SC Exp Date]]&lt;&gt;"",TRUNC(SnapshotTable[[#This Row],[Last Price]]),"")</f>
        <v/>
      </c>
      <c r="EM318" s="148"/>
      <c r="EN318" s="147"/>
      <c r="EO318" s="147"/>
      <c r="EP318" s="138"/>
      <c r="EQ318" s="419" t="b">
        <f>AND(ISNUMBER(SnapshotTable[[#This Row],[SC Exp Date]]), ISNUMBER(SnapshotTable[[#This Row],[SC Strike Price]]), ISNUMBER(SnapshotTable[[#This Row],[SC Qty]]), ISNUMBER(SnapshotTable[[#This Row],[SC Book Date]]), ISNUMBER(SnapshotTable[[#This Row],[SC Book Price]]))</f>
        <v>0</v>
      </c>
      <c r="ER318" s="419" t="b">
        <f>AND(SnapshotTable[[#This Row],[SC Is Booked]], NOT(ISBLANK(SnapshotTable[[#This Row],[SC Fill Date]])))</f>
        <v>0</v>
      </c>
      <c r="ES318" s="370"/>
      <c r="ET318" s="34" t="str">
        <f>IF(AND(ISNUMBER(SnapshotTable[[#This Row],[SC Exp Date]]), ISNUMBER(SnapshotTable[[#This Row],[SC Book Date]])), SnapshotTable[[#This Row],[SC Exp Date]] - MAX(SnapshotTable[[#This Row],[SC Book Date]], SnapshotTable[[#This Row],[SC Fill Date]]) + 1, "")</f>
        <v/>
      </c>
      <c r="EU318" s="34" t="str">
        <f>IF(ISNUMBER(SnapshotTable[[#This Row],[SC Term]]), SnapshotTable[[#This Row],[SC Exp Date]]- MockToday, "")</f>
        <v/>
      </c>
      <c r="EV318" s="31">
        <f>IF(SnapshotTable[[#This Row],[SC Is Booked]], SnapshotTable[[#This Row],[SC Qty]] * SnapshotTable[[#This Row],[SC Book Price]] * 100, 0)</f>
        <v>0</v>
      </c>
      <c r="EW318" s="4" t="str">
        <f>IF(AND(ISNUMBER(SnapshotTable[[#This Row],[Last Price]]), ISNUMBER( SnapshotTable[[#This Row],[SC Book Price]])), SnapshotTable[[#This Row],[Last Price]] - SnapshotTable[[#This Row],[SC Book Price]],"")</f>
        <v/>
      </c>
      <c r="EX318" s="234" t="str">
        <f>IF(SnapshotTable[[#This Row],[SC Is Booked]],IF(SnapshotTable[[#This Row],[SC Intrinsic Value]] &gt; 0, SnapshotTable[[#This Row],[SC Strike Price]], SnapshotTable[[#This Row],[Last Price]]), "")</f>
        <v/>
      </c>
      <c r="EY318" s="4">
        <f>IF(SnapshotTable[[#This Row],[SC Is Booked]], (MinimumPremiumRequired * SnapshotTable[[#This Row],[SC Basis]] * SnapshotTable[[#This Row],[SC Term]]), 0)</f>
        <v>0</v>
      </c>
      <c r="EZ318" s="283"/>
      <c r="FA318" s="218"/>
      <c r="FB318" s="370"/>
      <c r="FC318" s="4">
        <f>IF(SnapshotTable[[#This Row],[SC Is Filled]], btc_max_buyback_amount(SnapshotTable[[#This Row],[SC Fill Date]],SnapshotTable[[#This Row],[SC Exp Date]], SnapshotTable[[#This Row],[SC Book Price]]),0)</f>
        <v>0</v>
      </c>
      <c r="FD318" s="5"/>
      <c r="FE318" s="144" t="str">
        <f>IF(SnapshotTable[[#This Row],[SC Is Filled]], btc_next_cutoff_date(SnapshotTable[[#This Row],[SC Fill Date]],SnapshotTable[[#This Row],[SC Exp Date]]),"")</f>
        <v/>
      </c>
      <c r="FF318" s="4" t="str" cm="1">
        <f t="array" ref="FF318">IF(SnapshotTable[[#This Row],[SC Is Filled]], btc_should_buy_back(SnapshotTable[[#This Row],[SC Fill Date]], SnapshotTable[[#This Row],[SC Exp Date]], SnapshotTable[[#This Row],[SC Book Price]], SnapshotTable[[#This Row],[SC Current Ask]], MockToday, SnapshotTable[[#This Row],[SC Buyback Override]]),"")</f>
        <v/>
      </c>
      <c r="FG318" s="4">
        <f>IF(SnapshotTable[[#This Row],[SC Is Filled]], MAX(0,SnapshotTable[[#This Row],[Last Price]]  - SnapshotTable[[#This Row],[SC Strike Price]]), 0)</f>
        <v>0</v>
      </c>
      <c r="FH318" s="382">
        <f>IF(SnapshotTable[[#This Row],[SC Is Filled]], IF(ISNUMBER(SnapshotTable[[#This Row],[SC Current Ask]]), SnapshotTable[[#This Row],[SC Current Ask]], SnapshotTable[[#This Row],[SC Book Price]]) - SnapshotTable[[#This Row],[SC Intrinsic Value]], 0)</f>
        <v>0</v>
      </c>
      <c r="FI318" s="143"/>
      <c r="FJ318" s="32" t="str">
        <f>IF(SnapshotTable[[#This Row],[SC Is Filled]],100 * SnapshotTable[[#This Row],[SC Qty]] * IF(ISNUMBER(SnapshotTable[[#This Row],[SC Buyback Override]]), SnapshotTable[[#This Row],[SC Buyback Override]], SnapshotTable[[#This Row],[SC Current Ask]]), "")</f>
        <v/>
      </c>
      <c r="FK318" s="250" t="str">
        <f>IF(SnapshotTable[[#This Row],[SC Time Val]]&gt;0, SnapshotTable[[#This Row],[SC Time Val]] / SnapshotTable[[#This Row],[Last Price]],"")</f>
        <v/>
      </c>
      <c r="FL318" s="302" t="str">
        <f>IF(SnapshotTable[[#This Row],[SC Is Booked]], ((SnapshotTable[[#This Row],[Last Price]] -SnapshotTable[[#This Row],[SC Strike Price]]) / SnapshotTable[[#This Row],[Last Price]]) * -1, "")</f>
        <v/>
      </c>
      <c r="FM318" s="157" t="str">
        <f>IF(SnapshotTable[[#This Row],[SC Is Booked]],  (SnapshotTable[[#This Row],[SC Qty]] * 100 * SnapshotTable[[#This Row],[SC Strike Price]]) - SnapshotTable[[#This Row],[SC Current Ask]], "")</f>
        <v/>
      </c>
      <c r="FN31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8" s="31" t="str">
        <f>IF(AND(ISNUMBER(SnapshotTable[[#This Row],[SC Exercise Gross]]), ISNUMBER(SnapshotTable[[#This Row],[Equity Basis Per Share]] )), SnapshotTable[[#This Row],[SC Exercise Gross]] - SnapshotTable[[#This Row],[Equity Basis Total]] +  SnapshotTable[[#This Row],[SC Premium]], "")</f>
        <v/>
      </c>
      <c r="FP318" s="5" t="str">
        <f>IF(ISNUMBER(SnapshotTable[[#This Row],[SC Exercise Gross]]), (SnapshotTable[[#This Row],[SC Exercise Gross]]) / (SnapshotTable[[#This Row],[SC Qty]] * 100), "")</f>
        <v/>
      </c>
      <c r="FQ318" s="27" t="str">
        <f>IF(SnapshotTable[[#This Row],[SC Is Booked]],SnapshotTable[[#This Row],[SC Time Val]] /SnapshotTable[[#This Row],[SC Basis]], "")</f>
        <v/>
      </c>
      <c r="FR318" s="27" t="str" cm="1">
        <f t="array" ref="FR318">IF(AND(ISNUMBER(SnapshotTable[[#This Row],[SC Term]]),ISNUMBER(SnapshotTable[[#This Row],[SC Simple ROO]])), EllmanAnnualize(SnapshotTable[[#This Row],[SC DTE]], SnapshotTable[[#This Row],[SC Simple ROO]] ),"")</f>
        <v/>
      </c>
      <c r="FS318" s="4" t="e">
        <f>IF(SnapshotTable[[#This Row],[SC Strike Price]] &gt; SnapshotTable[[#This Row],[Last Price]], SnapshotTable[[#This Row],[SC Strike Price]] - SnapshotTable[[#This Row],[Last Price]],0)</f>
        <v>#VALUE!</v>
      </c>
      <c r="FT318" s="27" t="e">
        <f>IF(AND(ISNUMBER(SnapshotTable[[#This Row],[SC Upside Potential]]), SnapshotTable[[#This Row],[SC Upside Potential]] &gt; 0),(SnapshotTable[[#This Row],[SC Upside Potential]]/ SnapshotTable[[#This Row],[ACB]]),"")</f>
        <v>#VALUE!</v>
      </c>
      <c r="FU318" s="333" t="str">
        <f>IF(SnapshotTable[[#This Row],[SC Intrinsic Value]] &gt; 0,SnapshotTable[[#This Row],[SC Intrinsic Value]],"")</f>
        <v/>
      </c>
      <c r="FV318" s="27" t="str">
        <f>IF(AND( ISNUMBER( SnapshotTable[[#This Row],[ACB]]),ISNUMBER(SnapshotTable[[#This Row],[SC Downside Protect]])),SnapshotTable[[#This Row],[SC Downside Protect]] / SnapshotTable[[#This Row],[ACB]],"")</f>
        <v/>
      </c>
      <c r="FW318" s="236" t="str">
        <f>IF(AND(ISNUMBER(SnapshotTable[[#This Row],[SC Simple ROO]]),SnapshotTable[[#This Row],[SC Simple ROO]] &gt; 0), SnapshotTable[[#This Row],[SC Premium]] + (SnapshotTable[[#This Row],[SC Qty]] * SnapshotTable[[#This Row],[SC Upside Potential]]), "")</f>
        <v/>
      </c>
      <c r="FX318" s="302" t="str" cm="1">
        <f t="array" ref="FX318">IF(ISNUMBER(SnapshotTable[[#This Row],[SC Max Dollars]]), annualize(SnapshotTable[[#This Row],[SC Term]],(SnapshotTable[[#This Row],[SC Max Dollars]]/SnapshotTable[[#This Row],[SC Basis]])),"")</f>
        <v/>
      </c>
      <c r="FY318" s="236" t="str">
        <f>IF(AND(SnapshotTable[[#This Row],[SC Qty]]&gt;0,SnapshotTable[[#This Row],[SC Current Ask]]&gt;0), SnapshotTable[[#This Row],[SC Qty]] * SnapshotTable[[#This Row],[SC Current Ask]] * -100, "")</f>
        <v/>
      </c>
      <c r="FZ318" s="31" t="str">
        <f>IF(ISNUMBER((SnapshotTable[[#This Row],[SC Current Value]])), SnapshotTable[[#This Row],[SC Premium]] + SnapshotTable[[#This Row],[SC Current Value]], "")</f>
        <v/>
      </c>
      <c r="GA318" s="294" t="str">
        <f>IFERROR( IF(ISNUMBER((SnapshotTable[[#This Row],[SC Current Value]])), SnapshotTable[[#This Row],[SC Gain Loss]] / SnapshotTable[[#This Row],[SC Premium]], ""), "")</f>
        <v/>
      </c>
      <c r="GB318" s="42">
        <f>SnapshotTable[[#This Row],[Equity Shares]] * SaleSharesToConsiderPercentage</f>
        <v>0</v>
      </c>
      <c r="GC318" s="40">
        <f>SnapshotTable[[#This Row],[Long Term Target]] * SellingPriceToConsiderBasedOnTargetPercentage</f>
        <v>38.693499999999993</v>
      </c>
      <c r="GD318" s="40">
        <f>SnapshotTable[[#This Row],[Last Price]] * (1+ SellingPriceToConsiderBasedOnTargetPercentage)</f>
        <v>178.83449999999999</v>
      </c>
      <c r="GE318" s="41"/>
      <c r="GF318" s="40"/>
      <c r="GG318" s="31">
        <f>SnapshotTable[[#This Row],[Booked Sale Shares]] * SnapshotTable[[#This Row],[Booked Sale Price]]</f>
        <v>0</v>
      </c>
      <c r="GH318" s="31" t="str">
        <f>IF(SnapshotTable[[#This Row],[Equity Basis Total]] &gt; 0, SnapshotTable[[#This Row],[Equity Basis Per Share]] * SnapshotTable[[#This Row],[Booked Sale Shares]], "")</f>
        <v/>
      </c>
      <c r="GI318" s="31">
        <f>IF(SnapshotTable[[#This Row],[Sale Proceeds]]&gt;0, SnapshotTable[[#This Row],[Sale Proceeds]] - SnapshotTable[[#This Row],[Sale Basis]], 0)</f>
        <v>0</v>
      </c>
      <c r="GJ318" s="27" t="str">
        <f>IF(SnapshotTable[[#This Row],[Sale G/L]]&gt;0, SnapshotTable[[#This Row],[Sale G/L]] / SnapshotTable[[#This Row],[Sale Basis]], IF(ISNUMBER(SnapshotTable[[#This Row],[SC Exercise P&amp;L (TAX)]]), SnapshotTable[[#This Row],[SC Exercise P&amp;L (TAX)]] / SnapshotTable[[#This Row],[SC Basis]], ""))</f>
        <v/>
      </c>
      <c r="GK318" s="27" t="s">
        <v>777</v>
      </c>
      <c r="GL318" s="43" t="str">
        <f>IF(AND(SnapshotTable[[#This Row],[LP Exp Date]]&gt;0,SnapshotTable[[#This Row],[LP Strike Price]]&gt;0), [1]!ToOptionSymbol(SnapshotTable[[#This Row],[Symbol]], SnapshotTable[[#This Row],[LP Strike Price]],SnapshotTable[[#This Row],[LP Exp Date]],1), "")</f>
        <v/>
      </c>
      <c r="GM318" s="30" t="str">
        <f>IF(LEN(SnapshotTable[[#This Row],[LP Symbol]])&gt;0, 1, "")</f>
        <v/>
      </c>
      <c r="GN318" s="43" t="str">
        <f>IF(AND(SnapshotTable[[#This Row],[SP Exp Date]]&gt;0,SnapshotTable[[#This Row],[SP Strike Price]]&gt;0), [1]!ToOptionSymbol(SnapshotTable[[#This Row],[Symbol]], SnapshotTable[[#This Row],[SP Strike Price]],SnapshotTable[[#This Row],[SP Exp Date]],1), "")</f>
        <v/>
      </c>
      <c r="GO318" s="30" t="str">
        <f>IF(LEN(SnapshotTable[[#This Row],[SP Symbol]])&gt;0, 1, "")</f>
        <v/>
      </c>
      <c r="GP318" s="43" t="str">
        <f>IF(AND(SnapshotTable[[#This Row],[LC Exp Date]]&gt;0,SnapshotTable[[#This Row],[LC Strike Price]]&gt;0), [1]!ToOptionSymbol(SnapshotTable[[#This Row],[Symbol]], SnapshotTable[[#This Row],[LC Strike Price]],SnapshotTable[[#This Row],[LC Exp Date]],0), "")</f>
        <v/>
      </c>
      <c r="GQ318" s="30" t="str">
        <f>IF(LEN(SnapshotTable[[#This Row],[LC Symbol]])&gt;0, 1, "")</f>
        <v/>
      </c>
      <c r="GR318" s="43" t="str">
        <f>IF(AND(SnapshotTable[[#This Row],[SC Exp Date]]&gt;0,SnapshotTable[[#This Row],[SC Strike Price]]&gt;0), [1]!ToOptionSymbol(SnapshotTable[[#This Row],[Symbol]], SnapshotTable[[#This Row],[SC Strike Price]],SnapshotTable[[#This Row],[SC Exp Date]],0), "")</f>
        <v/>
      </c>
      <c r="GS318" s="30" t="str">
        <f>IF(LEN(SnapshotTable[[#This Row],[SC Symbol]])&gt;0, 1, "")</f>
        <v/>
      </c>
      <c r="GT318" s="29" t="str">
        <f>IF(COUNT(SnapshotTable[[#This Row],[LP Symbol Count]],SnapshotTable[[#This Row],[SP Symbol Count]],SnapshotTable[[#This Row],[LC Symbol Count]],SnapshotTable[[#This Row],[SC Symbol Count]])&gt;0, "Y", "")</f>
        <v/>
      </c>
      <c r="GU31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8" s="231" t="e">
        <f>MAX(SnapshotTable[[#This Row],[Equity Basis Total]],SnapshotTable[[#This Row],[Equity Value]]) + (SnapshotTable[[#This Row],[SP Potential Spend]]- SnapshotTable[[#This Row],[SP Premium]] + SnapshotTable[[#This Row],[LP Premium]])+ (SnapshotTable[[#This Row],[LC Premium]] - SnapshotTable[[#This Row],[SC Premium]])</f>
        <v>#VALUE!</v>
      </c>
      <c r="GW318" s="139" t="e">
        <f>IF(AND(SnapshotTable[[#This Row],[Exposure]] &lt;&gt; 0),SnapshotTable[[#This Row],[Exposure]] / SnapshotTable[[#Totals],[Exposure]], "")</f>
        <v>#VALUE!</v>
      </c>
      <c r="HK318" s="1"/>
      <c r="HL318" s="1"/>
      <c r="HM318" s="1"/>
      <c r="HN318" s="1"/>
      <c r="HO318" s="1"/>
      <c r="HP318" s="1"/>
    </row>
    <row r="319" spans="2:224" ht="12.75" hidden="1" customHeight="1" x14ac:dyDescent="0.25">
      <c r="B319" s="12" t="s">
        <v>1090</v>
      </c>
      <c r="C319" s="422">
        <v>29.27</v>
      </c>
      <c r="D319" s="208" t="s">
        <v>578</v>
      </c>
      <c r="E319" s="39">
        <f>SnapshotTable[[#This Row],[Last Price]]*(1 -CrashDiscount)</f>
        <v>24.8795</v>
      </c>
      <c r="F319" s="26" t="s">
        <v>613</v>
      </c>
      <c r="G319" s="26" t="s">
        <v>9</v>
      </c>
      <c r="H319" s="149"/>
      <c r="I319" s="194">
        <v>45147.680555555555</v>
      </c>
      <c r="J319" s="195">
        <v>45147.680555555555</v>
      </c>
      <c r="K319" s="196"/>
      <c r="L319" s="326"/>
      <c r="M319" s="140"/>
      <c r="N319" s="140"/>
      <c r="O319" s="140"/>
      <c r="P319" s="22"/>
      <c r="Q319" s="25"/>
      <c r="R319" s="4" t="str">
        <f>IF(SnapshotTable[[#This Row],[Equity Basis Total]] &gt; 0, SnapshotTable[[#This Row],[Equity Basis Total]] / SnapshotTable[[#This Row],[Equity Shares]], "")</f>
        <v/>
      </c>
      <c r="S319" s="269">
        <f>SnapshotTable[[#This Row],[Last Price]] * SnapshotTable[[#This Row],[Equity Shares]]</f>
        <v>0</v>
      </c>
      <c r="T319" s="269">
        <f>SnapshotTable[[#This Row],[Equity Value]] - SnapshotTable[[#This Row],[Equity Basis Total]]</f>
        <v>0</v>
      </c>
      <c r="U319" s="270" t="str">
        <f>IF(SnapshotTable[[#This Row],[Equity Basis Total]] &gt; 0, SnapshotTable[[#This Row],[Equity G/L]] / SnapshotTable[[#This Row],[Equity Basis Total]], "")</f>
        <v/>
      </c>
      <c r="V319" s="268">
        <v>63</v>
      </c>
      <c r="W319" s="268">
        <v>35</v>
      </c>
      <c r="X319" s="4" t="str">
        <f>IF(AND(ISNUMBER(SnapshotTable[[#This Row],[Equity Basis Per Share]]),ISNUMBER(SnapshotTable[[#This Row],[Equity Target]])),SnapshotTable[[#This Row],[Equity Target]]-SnapshotTable[[#This Row],[Equity Basis Per Share]],"")</f>
        <v/>
      </c>
      <c r="Y319" s="4" t="str">
        <f>IF(AND(ISNUMBER(SnapshotTable[[#This Row],[Equity Basis Per Share]]),ISNUMBER(SnapshotTable[[#This Row],[Equity Stop Loss]])),SnapshotTable[[#This Row],[Equity Stop Loss]]-SnapshotTable[[#This Row],[Equity Basis Per Share]],"")</f>
        <v/>
      </c>
      <c r="Z319" s="275" t="str">
        <f>IFERROR( TEXT(SnapshotTable[[#This Row],[Equity Max Gain Per Share]] /ABS( SnapshotTable[[#This Row],[Equity Max Loss Per Share]]),"0.0 " ) &amp; " : 1", "")</f>
        <v/>
      </c>
      <c r="AA319" s="31" t="str">
        <f>IF(ISNUMBER(SnapshotTable[[#This Row],[Equity Max Gain Per Share]]),SnapshotTable[[#This Row],[Equity Max Gain Per Share]] * SnapshotTable[[#This Row],[Equity Shares]],"")</f>
        <v/>
      </c>
      <c r="AB319" s="31" t="str">
        <f>IF(ISNUMBER(SnapshotTable[[#This Row],[Equity Max Loss Per Share]]),SnapshotTable[[#This Row],[Equity Max Loss Per Share]] * SnapshotTable[[#This Row],[Equity Shares]],"")</f>
        <v/>
      </c>
      <c r="AC319" s="150"/>
      <c r="AD319" s="151"/>
      <c r="AE319" s="31">
        <f>(SnapshotTable[[#This Row],[Annual Dividend Per Share]] / 4) * SnapshotTable[[#This Row],[Equity Shares]]</f>
        <v>0</v>
      </c>
      <c r="AF319" s="31">
        <f>SnapshotTable[[#This Row],[Quarterly Div $]] * 4</f>
        <v>0</v>
      </c>
      <c r="AG319" s="7">
        <f>IF(SnapshotTable[[#This Row],[Annual Dividend Per Share]]&gt;0, SnapshotTable[[#This Row],[Annual Dividend Per Share]]  / SnapshotTable[[#This Row],[Last Price]], 0)</f>
        <v>0</v>
      </c>
      <c r="AH319" s="151"/>
      <c r="AI319" s="5"/>
      <c r="AJ319" s="138">
        <v>37.200000000000003</v>
      </c>
      <c r="AK319" s="152" t="str">
        <f>IF(ISNUMBER( SnapshotTable[[#This Row],[EBF Target]]),(SnapshotTable[[#This Row],[EBF Target]] - SnapshotTable[[#This Row],[Last Price]]) / SnapshotTable[[#This Row],[Last Price]], "")</f>
        <v/>
      </c>
      <c r="AL319" s="152" t="str">
        <f>IF(AND(SnapshotTable[[#This Row],[Equity Basis Total]] &gt; 0,ISNUMBER( SnapshotTable[[#This Row],[Long Term Target]])), SnapshotTable[[#This Row],[From Basis $]] / SnapshotTable[[#This Row],[Equity Basis Total]], "")</f>
        <v/>
      </c>
      <c r="AM319" s="9">
        <f>IF( AND(SnapshotTable[[#This Row],[Equity Shares]] &gt;0,ISNUMBER( SnapshotTable[[#This Row],[Long Term Target]])),(SnapshotTable[[#This Row],[Equity Shares]] * SnapshotTable[[#This Row],[Long Term Target]]) - SnapshotTable[[#This Row],[Equity Basis Total]],0)</f>
        <v>0</v>
      </c>
      <c r="AN319" s="9">
        <f>IF( AND(SnapshotTable[[#This Row],[Equity Shares]] &gt;0,ISNUMBER( SnapshotTable[[#This Row],[Long Term Target]])),(SnapshotTable[[#This Row],[Equity Shares]]*SnapshotTable[[#This Row],[Long Term Target]]) - SnapshotTable[[#This Row],[Equity Value]],0)</f>
        <v>0</v>
      </c>
      <c r="AO319" s="152">
        <f>IF(AND(ISNUMBER( SnapshotTable[[#This Row],[Long Term Target]]), ISNUMBER(SnapshotTable[[#This Row],[Last Price]])),(SnapshotTable[[#This Row],[Long Term Target]] - SnapshotTable[[#This Row],[Last Price]]) / SnapshotTable[[#This Row],[Last Price]], "")</f>
        <v>0.27092586265801172</v>
      </c>
      <c r="AP319" s="5">
        <v>37.5</v>
      </c>
      <c r="AQ319" s="38" t="s">
        <v>27</v>
      </c>
      <c r="AR319" s="5">
        <v>37.5</v>
      </c>
      <c r="AS319" s="38" t="s">
        <v>38</v>
      </c>
      <c r="AT319" s="146" t="s">
        <v>553</v>
      </c>
      <c r="AU319" s="187" t="str">
        <f>IF(OR(SnapshotTable[[#This Row],[LP No Fill]]="Y",SnapshotTable[[#This Row],[SP Is Filled]],SnapshotTable[[#This Row],[LC Not Filled]]="Y",SnapshotTable[[#This Row],[SC Is Filled]]),"Y","")</f>
        <v/>
      </c>
      <c r="AV319" s="219"/>
      <c r="AW319" s="225"/>
      <c r="AX319" s="220"/>
      <c r="AY319" s="219" t="str">
        <f>IF(SnapshotTable[[#This Row],[Implied Move]]&gt;0, SnapshotTable[[#This Row],[Last Price]]-SnapshotTable[[#This Row],[Implied Move]],"")</f>
        <v/>
      </c>
      <c r="AZ319" s="219" t="str">
        <f>IF(SnapshotTable[[#This Row],[Implied Move]]&gt;0, SnapshotTable[[#This Row],[Last Price]] + SnapshotTable[[#This Row],[Implied Move]],"")</f>
        <v/>
      </c>
      <c r="BA319" s="331">
        <v>36.799999999999997</v>
      </c>
      <c r="BB319" s="347"/>
      <c r="BC31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9" s="351"/>
      <c r="BE319" s="5"/>
      <c r="BF319" s="14"/>
      <c r="BG319" s="13"/>
      <c r="BH319" s="13"/>
      <c r="BI319" s="5"/>
      <c r="BJ319" s="136">
        <f>IF(SnapshotTable[[#This Row],[LP Qty]] &gt; 0, SnapshotTable[[#This Row],[LP Qty]] * SnapshotTable[[#This Row],[LP Book Price]] * 100,0)</f>
        <v>0</v>
      </c>
      <c r="BK319" s="136">
        <f>IF(SnapshotTable[[#This Row],[LP Premium]] &gt; 0, SnapshotTable[[#This Row],[LP Qty]] * SnapshotTable[[#This Row],[LP Strike Price]] * 100,0)</f>
        <v>0</v>
      </c>
      <c r="BL319" s="154"/>
      <c r="BM319" s="385" t="str">
        <f>IF(SnapshotTable[[#This Row],[LP Premium]] &gt; 0,SnapshotTable[[#This Row],[LP Exp Date]]-MAX(SnapshotTable[[#This Row],[LP Book Date]], SnapshotTable[[#This Row],[LP Fill Date]]),"")</f>
        <v/>
      </c>
      <c r="BN319" s="385" t="str">
        <f>IF(ISNUMBER( SnapshotTable[[#This Row],[LP Term]]), SnapshotTable[[#This Row],[LP Exp Date]] - MockToday,"")</f>
        <v/>
      </c>
      <c r="BO319" s="163" t="str">
        <f>IF(AND(SnapshotTable[[#This Row],[LP Exp Date]]&gt;0, SnapshotTable[[#This Row],[LP Strike Price]]&gt;0,SnapshotTable[[#This Row],[LP Qty]]&gt;0,SnapshotTable[[#This Row],[LP Book Date]]&gt;0,SnapshotTable[[#This Row],[LP Book Price]]&gt;0,SnapshotTable[[#This Row],[LP Fill Date]]=0),"Y","")</f>
        <v/>
      </c>
      <c r="BP319" s="31" t="str">
        <f>IF(AND(SnapshotTable[[#This Row],[LP No Fill]]&lt;&gt;"Y",SnapshotTable[[#This Row],[LP Contract Value]]&gt;0, SnapshotTable[[#This Row],[LP Qty]]&gt;0), SnapshotTable[[#This Row],[LP Contract Value]]*SnapshotTable[[#This Row],[LP Qty]]*100,"")</f>
        <v/>
      </c>
      <c r="BQ319" s="13"/>
      <c r="BR319" s="5" t="str">
        <f>IF(SnapshotTable[[#This Row],[SP Exp Date]]&lt;&gt;"",TRUNC(SnapshotTable[[#This Row],[Last Price]]),"")</f>
        <v/>
      </c>
      <c r="BS319" s="36"/>
      <c r="BT319" s="147"/>
      <c r="BU319" s="13"/>
      <c r="BV319" s="5"/>
      <c r="BW319" s="419" t="b">
        <f>AND(ISNUMBER(SnapshotTable[[#This Row],[SP Exp Date]]), ISNUMBER(SnapshotTable[[#This Row],[SP Strike Price]]), ISNUMBER(SnapshotTable[[#This Row],[SP Qty]]), ISNUMBER(SnapshotTable[[#This Row],[SP Book Date]]), ISNUMBER(SnapshotTable[[#This Row],[SP Book Price]]))</f>
        <v>0</v>
      </c>
      <c r="BX319" s="419" t="b">
        <f>AND(SnapshotTable[[#This Row],[SP Is Booked]], NOT(ISBLANK(SnapshotTable[[#This Row],[SP Fill Date]])))</f>
        <v>0</v>
      </c>
      <c r="BY319" s="33">
        <f>IF(SnapshotTable[[#This Row],[SP Is Booked]], SnapshotTable[[#This Row],[SP Qty]] * SnapshotTable[[#This Row],[SP Book Price]] * 100, 0)</f>
        <v>0</v>
      </c>
      <c r="BZ319" s="369"/>
      <c r="CA319" s="368">
        <f>SnapshotTable[[#This Row],[LP Qty]]</f>
        <v>0</v>
      </c>
      <c r="CB319" s="4" t="str">
        <f>IF(SnapshotTable[[#This Row],[SP Is Booked]], SnapshotTable[[#This Row],[SP Strike Price]] - SnapshotTable[[#This Row],[SP Book Price]], "")</f>
        <v/>
      </c>
      <c r="CC319" s="19" t="str">
        <f>IF(SnapshotTable[[#This Row],[SP Is Booked]],SnapshotTable[[#This Row],[SP Exp Date]]-MAX(SnapshotTable[[#This Row],[SP Book Date]], SnapshotTable[[#This Row],[SP Fill Date]]),"")</f>
        <v/>
      </c>
      <c r="CD319" s="7" t="str">
        <f>IF(SnapshotTable[[#This Row],[SP Is Booked]], SnapshotTable[[#This Row],[SP Book Price]]/SnapshotTable[[#This Row],[SP Strike Price]], "")</f>
        <v/>
      </c>
      <c r="CE319" s="7" t="str">
        <f>IF(ISNUMBER(SnapshotTable[[#This Row],[SP ROO Term]]),SnapshotTable[[#This Row],[SP ROO Term]]*(365/SnapshotTable[[#This Row],[SP Term]]),"")</f>
        <v/>
      </c>
      <c r="CF319" s="236">
        <f>SnapshotTable[[#This Row],[LP Strike Price]] * SnapshotTable[[#This Row],[LP Qty]] * 100</f>
        <v>0</v>
      </c>
      <c r="CG319" s="31" t="e">
        <f>IF(ISNUMBER(SnapshotTable[[#This Row],[SP Premium]]), (SnapshotTable[[#This Row],[SP Qty]] * SnapshotTable[[#This Row],[SP Strike Price]]* 100) - SnapshotTable[[#This Row],[LP Protection]], 0)</f>
        <v>#VALUE!</v>
      </c>
      <c r="CH319" s="7" t="str">
        <f>IF(ISNUMBER(SnapshotTable[[#This Row],[SP Break Even]]),-1 * (SnapshotTable[[#This Row],[SP Break Even]] - SnapshotTable[[#This Row],[Last Price]]) / SnapshotTable[[#This Row],[Last Price]], "")</f>
        <v/>
      </c>
      <c r="CI319" s="31">
        <f>IF(AND(ISNUMBER((SnapshotTable[[#This Row],[SP Potential Spend]])), SnapshotTable[[#This Row],[SP Strike Price]] &gt; SnapshotTable[[#This Row],[Last Price]], SnapshotTable[[#This Row],[SP Is Filled]]), SnapshotTable[[#This Row],[SP Potential Spend]] -  SnapshotTable[[#This Row],[LP Max Value]], 0)</f>
        <v>0</v>
      </c>
      <c r="CJ319" s="244"/>
      <c r="CK319" s="31" t="str">
        <f>IF(ISNUMBER(SnapshotTable[[#This Row],[SP Potential Spend]]),IF(ISNUMBER(SnapshotTable[[#This Row],[SP POW]]), SnapshotTable[[#This Row],[SP POW]] * SnapshotTable[[#This Row],[SP Potential Spend]], SnapshotTable[[#This Row],[SP Potential Spend]]), "")</f>
        <v/>
      </c>
      <c r="CL319" s="164" t="e">
        <f>IF(NOT(SnapshotTable[[#This Row],[SP Is Filled]]),(SnapshotTable[[#This Row],[SP Qty]] * SnapshotTable[[#This Row],[SP Strike Price]] * 100) - SnapshotTable[[#This Row],[LP Max Value]],"")</f>
        <v>#VALUE!</v>
      </c>
      <c r="CM319" s="31" t="str">
        <f>IF(SnapshotTable[[#This Row],[SP Actual Spend]]&lt;&gt;0, ((SnapshotTable[[#This Row],[SP Strike Price]]-SnapshotTable[[#This Row],[Last Price]]) *(SnapshotTable[[#This Row],[SP Qty]]*100) - SnapshotTable[[#This Row],[SP Premium]]) * - 1, "")</f>
        <v/>
      </c>
      <c r="CN319" s="78"/>
      <c r="CO319" s="369"/>
      <c r="CP319" s="4" t="str">
        <f>IF(SnapshotTable[[#This Row],[SP Is Filled]], btc_max_buyback_amount(SnapshotTable[[#This Row],[SP Fill Date]],SnapshotTable[[#This Row],[SP Exp Date]], SnapshotTable[[#This Row],[SP Book Price]]),"")</f>
        <v/>
      </c>
      <c r="CQ319" s="78"/>
      <c r="CR31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9" s="155" t="str">
        <f>IF(SnapshotTable[[#This Row],[SP Is Filled]], btc_next_cutoff_date(SnapshotTable[[#This Row],[SP Fill Date]],SnapshotTable[[#This Row],[SP Exp Date]]),"")</f>
        <v/>
      </c>
      <c r="CT319" s="235" t="str" cm="1">
        <f t="array" ref="CT319">IF(SnapshotTable[[#This Row],[SP Is Filled]], btc_should_buy_back(SnapshotTable[[#This Row],[SP Fill Date]], SnapshotTable[[#This Row],[SP Exp Date]], SnapshotTable[[#This Row],[SP Book Price]], SnapshotTable[[#This Row],[SP Current Ask]], MockToday, SnapshotTable[[#This Row],[SP Buyback Override]]),"")</f>
        <v/>
      </c>
      <c r="CU319" s="156"/>
      <c r="CV319" s="235"/>
      <c r="CW319" s="378" t="str">
        <f>IF(ISNUMBER( SnapshotTable[[#This Row],[SP Term]]), SnapshotTable[[#This Row],[SP Exp Date]] - MockToday,"")</f>
        <v/>
      </c>
      <c r="CX319" s="31" t="str">
        <f>IF(SnapshotTable[[#This Row],[SP Is Filled]],SnapshotTable[[#This Row],[SP Buyback Price to Use]] * 100 * SnapshotTable[[#This Row],[SP Qty]], "")</f>
        <v/>
      </c>
      <c r="CY319" s="4" t="str">
        <f>IF(ISNUMBER(SnapshotTable[[#This Row],[SP Strike Price]]), SnapshotTable[[#This Row],[SP Strike Price]] * (1 - SP_MaxLoss_StrikePct), "")</f>
        <v/>
      </c>
      <c r="CZ319" s="31" t="str">
        <f>IF(ISNUMBER(SnapshotTable[[#This Row],[SP Strike  Stop Per Share]]),SnapshotTable[[#This Row],[SP Premium]] - ((SnapshotTable[[#This Row],[SP Strike Price]]-SnapshotTable[[#This Row],[SP Strike  Stop Per Share]]) *(SnapshotTable[[#This Row],[SP Qty]] * 100)),"")</f>
        <v/>
      </c>
      <c r="DA319" s="4" t="str">
        <f>IF(AND(ISNUMBER(SnapshotTable[[#This Row],[SP Premium]]),SnapshotTable[[#This Row],[SP Premium]]&gt;0), SnapshotTable[[#This Row],[SP Book Price]] * (1 + SP_MaxLoss_OptionPct), "")</f>
        <v/>
      </c>
      <c r="DB319" s="31" t="str">
        <f>IF(ISNUMBER(SnapshotTable[[#This Row],[SP Option  Stop Contract]]),(SnapshotTable[[#This Row],[SP Option  Stop Contract]] *(SnapshotTable[[#This Row],[SP Qty]] * 100) - SnapshotTable[[#This Row],[SP Premium]]),"")</f>
        <v/>
      </c>
      <c r="DC319" s="4"/>
      <c r="DD319" s="4"/>
      <c r="DE319" s="4" t="str">
        <f>IF(AND(SnapshotTable[[#This Row],[SP Qty]]&gt;0, SnapshotTable[[#This Row],[SP Stop To Use]]&gt;0),SnapshotTable[[#This Row],[SP Premium]] - ( SnapshotTable[[#This Row],[SP Qty]] * SnapshotTable[[#This Row],[SP Stop To Use]] * 100), "")</f>
        <v/>
      </c>
      <c r="DF319" s="31" t="str">
        <f>IF(AND(SnapshotTable[[#This Row],[SP Qty]]&gt;0,SnapshotTable[[#This Row],[SP Current Ask]]&gt;0), SnapshotTable[[#This Row],[SP Qty]] * SnapshotTable[[#This Row],[SP Current Ask]] * -100, "")</f>
        <v/>
      </c>
      <c r="DG319" s="31" t="str">
        <f>IF(ISNUMBER((SnapshotTable[[#This Row],[SP Total Value]])), SnapshotTable[[#This Row],[SP Premium]] + SnapshotTable[[#This Row],[SP Total Value]], "")</f>
        <v/>
      </c>
      <c r="DH319" s="294" t="str">
        <f>IF(ISNUMBER((SnapshotTable[[#This Row],[SP Total Value]])), SnapshotTable[[#This Row],[SP Gain Loss]] / SnapshotTable[[#This Row],[SP Premium]], "")</f>
        <v/>
      </c>
      <c r="DI319" s="406"/>
      <c r="DJ319" s="138"/>
      <c r="DK319" s="148"/>
      <c r="DL319" s="13"/>
      <c r="DM319" s="13"/>
      <c r="DO319" s="31">
        <f>IF(SnapshotTable[[#This Row],[LC Symbol Count]]=1, SnapshotTable[[#This Row],[LC Qty]] * SnapshotTable[[#This Row],[LC Book Price]] * 100, 0)</f>
        <v>0</v>
      </c>
      <c r="DP319" s="163" t="str">
        <f>IF(AND(SnapshotTable[[#This Row],[LC Exp Date]]&gt;0, SnapshotTable[[#This Row],[LC Strike Price]]&gt;0,SnapshotTable[[#This Row],[LC Qty]]&gt;0,SnapshotTable[[#This Row],[LC Book Date]]&gt;0,SnapshotTable[[#This Row],[LC Book Price]]&gt;0,SnapshotTable[[#This Row],[LC Fill Date]]=0),"Y","")</f>
        <v/>
      </c>
      <c r="DQ319" s="386" t="str">
        <f>IF(SnapshotTable[[#This Row],[LC Premium]] &gt; 0,SnapshotTable[[#This Row],[LC Exp Date]]-MAX(SnapshotTable[[#This Row],[LC Book Date]], SnapshotTable[[#This Row],[LC Fill Date]]),"")</f>
        <v/>
      </c>
      <c r="DR319" s="386" t="str">
        <f>IF(ISNUMBER(SnapshotTable[[#This Row],[LC Term]]), SnapshotTable[[#This Row],[LC Exp Date]] - MockToday, "")</f>
        <v/>
      </c>
      <c r="DS319" s="234" t="str">
        <f>IF(SnapshotTable[[#This Row],[LC Premium]]&gt;0,SnapshotTable[[#This Row],[LC Strike Price]] + SnapshotTable[[#This Row],[LC Book Price]],"")</f>
        <v/>
      </c>
      <c r="DU319" s="9" t="str">
        <f>IF(AND(SnapshotTable[[#This Row],[LC Symbol Count]]&gt;0, SnapshotTable[[#This Row],[LC Contract Value]]&gt;0), SnapshotTable[[#This Row],[LC Contract Value]] * SnapshotTable[[#This Row],[LC Qty]] * 100, "")</f>
        <v/>
      </c>
      <c r="DV319" s="9" t="str">
        <f>IF(AND(ISNUMBER(SnapshotTable[[#This Row],[LC Total Value]]), SnapshotTable[[#This Row],[LC Not Filled]]&lt;&gt;"Y"), SnapshotTable[[#This Row],[LC Total Value]]-SnapshotTable[[#This Row],[LC Premium]],"")</f>
        <v/>
      </c>
      <c r="DW319" s="240" t="str">
        <f>IF(ISNUMBER(SnapshotTable[[#This Row],[LC Actual Gain Loss]]), SnapshotTable[[#This Row],[LC Actual Gain Loss]] / SnapshotTable[[#This Row],[LC Premium]],"")</f>
        <v/>
      </c>
      <c r="DX319" s="284" t="str">
        <f>IF(ISNUMBER(SnapshotTable[[#This Row],[LC Book Price]]),SnapshotTable[[#This Row],[LC Book Price]] * 1.5,"")</f>
        <v/>
      </c>
      <c r="DY319" s="265" t="str">
        <f>IF(SnapshotTable[[#This Row],[LC Premium]]&gt;0, SnapshotTable[[#This Row],[LC Next Target]] * SnapshotTable[[#This Row],[LC Qty]] * 100,"")</f>
        <v/>
      </c>
      <c r="DZ319" s="265" t="str">
        <f>IF(ISNUMBER(SnapshotTable[[#This Row],[LC Target Gross]]), SnapshotTable[[#This Row],[LC Target Gross]] - SnapshotTable[[#This Row],[LC Premium]], "")</f>
        <v/>
      </c>
      <c r="EA319" s="305" t="str">
        <f>IF(ISNUMBER(SnapshotTable[[#This Row],[LC Target Gain Loss]]), SnapshotTable[[#This Row],[LC Target Gain Loss]]/SnapshotTable[[#This Row],[LC Premium]], "")</f>
        <v/>
      </c>
      <c r="EB319" s="262"/>
      <c r="EC319" s="283" t="str">
        <f>IF(SnapshotTable[[#This Row],[LC Premium]]&gt;0, SnapshotTable[[#This Row],[LC Book Price]] * (1 - LC_StopLoss_Pct),"")</f>
        <v/>
      </c>
      <c r="ED319" s="284"/>
      <c r="EE319" s="283" t="str">
        <f>IF(ISNUMBER(SnapshotTable[[#This Row],[LC Contract Value]]),IF(ISNUMBER(SnapshotTable[[#This Row],[LC Stop Loss Override]]), SnapshotTable[[#This Row],[LC Stop Loss Override]],SnapshotTable[[#This Row],[LC Stop Loss Calc Target]]),"")</f>
        <v/>
      </c>
      <c r="EF319" s="31" t="str">
        <f>IF(ISNUMBER(SnapshotTable[[#This Row],[LC Stop  To Use]]), (SnapshotTable[[#This Row],[LC Stop  To Use]] * SnapshotTable[[#This Row],[LC Qty]] * 100),"")</f>
        <v/>
      </c>
      <c r="EG319" s="9" t="str">
        <f>IF(ISNUMBER(SnapshotTable[[#This Row],[LC Total Value]]),SnapshotTable[[#This Row],[LC Stop Loss Amount]] - SnapshotTable[[#This Row],[LC Premium]],"")</f>
        <v/>
      </c>
      <c r="EH319" s="9">
        <f>IF(ISNUMBER(SnapshotTable[[#This Row],[LC Premium]]), SnapshotTable[[#This Row],[LC Qty]] * 100 * SnapshotTable[[#This Row],[LC Strike Price]], "")</f>
        <v>0</v>
      </c>
      <c r="EI319" s="240" t="str">
        <f>IF(AND(ISNUMBER(SnapshotTable[[#This Row],[LC Total Value]]),SnapshotTable[[#This Row],[LC Total Value]]&gt;0),SnapshotTable[[#This Row],[LC Stop Gain Loss]]  / SnapshotTable[[#This Row],[LC Premium]],"")</f>
        <v/>
      </c>
      <c r="EJ319" s="35">
        <f>IF(ISNUMBER(SnapshotTable[[#This Row],[Equity Shares]]),TRUNC(SnapshotTable[[#This Row],[Equity Shares]] / 100),0) + SnapshotTable[[#This Row],[LC Qty]]</f>
        <v>0</v>
      </c>
      <c r="EK319" s="147"/>
      <c r="EL319" s="138" t="str">
        <f>IF(SnapshotTable[[#This Row],[SC Exp Date]]&lt;&gt;"",TRUNC(SnapshotTable[[#This Row],[Last Price]]),"")</f>
        <v/>
      </c>
      <c r="EM319" s="148"/>
      <c r="EN319" s="147"/>
      <c r="EO319" s="147"/>
      <c r="EP319" s="138"/>
      <c r="EQ319" s="419" t="b">
        <f>AND(ISNUMBER(SnapshotTable[[#This Row],[SC Exp Date]]), ISNUMBER(SnapshotTable[[#This Row],[SC Strike Price]]), ISNUMBER(SnapshotTable[[#This Row],[SC Qty]]), ISNUMBER(SnapshotTable[[#This Row],[SC Book Date]]), ISNUMBER(SnapshotTable[[#This Row],[SC Book Price]]))</f>
        <v>0</v>
      </c>
      <c r="ER319" s="419" t="b">
        <f>AND(SnapshotTable[[#This Row],[SC Is Booked]], NOT(ISBLANK(SnapshotTable[[#This Row],[SC Fill Date]])))</f>
        <v>0</v>
      </c>
      <c r="ES319" s="370"/>
      <c r="ET319" s="34" t="str">
        <f>IF(AND(ISNUMBER(SnapshotTable[[#This Row],[SC Exp Date]]), ISNUMBER(SnapshotTable[[#This Row],[SC Book Date]])), SnapshotTable[[#This Row],[SC Exp Date]] - MAX(SnapshotTable[[#This Row],[SC Book Date]], SnapshotTable[[#This Row],[SC Fill Date]]) + 1, "")</f>
        <v/>
      </c>
      <c r="EU319" s="34" t="str">
        <f>IF(ISNUMBER(SnapshotTable[[#This Row],[SC Term]]), SnapshotTable[[#This Row],[SC Exp Date]]- MockToday, "")</f>
        <v/>
      </c>
      <c r="EV319" s="31">
        <f>IF(SnapshotTable[[#This Row],[SC Is Booked]], SnapshotTable[[#This Row],[SC Qty]] * SnapshotTable[[#This Row],[SC Book Price]] * 100, 0)</f>
        <v>0</v>
      </c>
      <c r="EW319" s="4" t="str">
        <f>IF(AND(ISNUMBER(SnapshotTable[[#This Row],[Last Price]]), ISNUMBER( SnapshotTable[[#This Row],[SC Book Price]])), SnapshotTable[[#This Row],[Last Price]] - SnapshotTable[[#This Row],[SC Book Price]],"")</f>
        <v/>
      </c>
      <c r="EX319" s="234" t="str">
        <f>IF(SnapshotTable[[#This Row],[SC Is Booked]],IF(SnapshotTable[[#This Row],[SC Intrinsic Value]] &gt; 0, SnapshotTable[[#This Row],[SC Strike Price]], SnapshotTable[[#This Row],[Last Price]]), "")</f>
        <v/>
      </c>
      <c r="EY319" s="4">
        <f>IF(SnapshotTable[[#This Row],[SC Is Booked]], (MinimumPremiumRequired * SnapshotTable[[#This Row],[SC Basis]] * SnapshotTable[[#This Row],[SC Term]]), 0)</f>
        <v>0</v>
      </c>
      <c r="EZ319" s="283"/>
      <c r="FA319" s="423"/>
      <c r="FB319" s="370">
        <v>0.95069999999999999</v>
      </c>
      <c r="FC319" s="4">
        <f>IF(SnapshotTable[[#This Row],[SC Is Filled]], btc_max_buyback_amount(SnapshotTable[[#This Row],[SC Fill Date]],SnapshotTable[[#This Row],[SC Exp Date]], SnapshotTable[[#This Row],[SC Book Price]]),0)</f>
        <v>0</v>
      </c>
      <c r="FD319" s="5"/>
      <c r="FE319" s="144" t="str">
        <f>IF(SnapshotTable[[#This Row],[SC Is Filled]], btc_next_cutoff_date(SnapshotTable[[#This Row],[SC Fill Date]],SnapshotTable[[#This Row],[SC Exp Date]]),"")</f>
        <v/>
      </c>
      <c r="FF319" s="4" t="str" cm="1">
        <f t="array" ref="FF319">IF(SnapshotTable[[#This Row],[SC Is Filled]], btc_should_buy_back(SnapshotTable[[#This Row],[SC Fill Date]], SnapshotTable[[#This Row],[SC Exp Date]], SnapshotTable[[#This Row],[SC Book Price]], SnapshotTable[[#This Row],[SC Current Ask]], MockToday, SnapshotTable[[#This Row],[SC Buyback Override]]),"")</f>
        <v/>
      </c>
      <c r="FG319" s="4">
        <f>IF(SnapshotTable[[#This Row],[SC Is Filled]], MAX(0,SnapshotTable[[#This Row],[Last Price]]  - SnapshotTable[[#This Row],[SC Strike Price]]), 0)</f>
        <v>0</v>
      </c>
      <c r="FH319" s="382">
        <f>IF(SnapshotTable[[#This Row],[SC Is Filled]], IF(ISNUMBER(SnapshotTable[[#This Row],[SC Current Ask]]), SnapshotTable[[#This Row],[SC Current Ask]], SnapshotTable[[#This Row],[SC Book Price]]) - SnapshotTable[[#This Row],[SC Intrinsic Value]], 0)</f>
        <v>0</v>
      </c>
      <c r="FI319" s="143"/>
      <c r="FJ319" s="32" t="str">
        <f>IF(SnapshotTable[[#This Row],[SC Is Filled]],100 * SnapshotTable[[#This Row],[SC Qty]] * IF(ISNUMBER(SnapshotTable[[#This Row],[SC Buyback Override]]), SnapshotTable[[#This Row],[SC Buyback Override]], SnapshotTable[[#This Row],[SC Current Ask]]), "")</f>
        <v/>
      </c>
      <c r="FK319" s="250" t="str">
        <f>IF(SnapshotTable[[#This Row],[SC Time Val]]&gt;0, SnapshotTable[[#This Row],[SC Time Val]] / SnapshotTable[[#This Row],[Last Price]],"")</f>
        <v/>
      </c>
      <c r="FL319" s="302" t="str">
        <f>IF(SnapshotTable[[#This Row],[SC Is Booked]], ((SnapshotTable[[#This Row],[Last Price]] -SnapshotTable[[#This Row],[SC Strike Price]]) / SnapshotTable[[#This Row],[Last Price]]) * -1, "")</f>
        <v/>
      </c>
      <c r="FM319" s="157" t="str">
        <f>IF(SnapshotTable[[#This Row],[SC Is Booked]],  (SnapshotTable[[#This Row],[SC Qty]] * 100 * SnapshotTable[[#This Row],[SC Strike Price]]) - SnapshotTable[[#This Row],[SC Current Ask]], "")</f>
        <v/>
      </c>
      <c r="FN31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9" s="31" t="str">
        <f>IF(AND(ISNUMBER(SnapshotTable[[#This Row],[SC Exercise Gross]]), ISNUMBER(SnapshotTable[[#This Row],[Equity Basis Per Share]] )), SnapshotTable[[#This Row],[SC Exercise Gross]] - SnapshotTable[[#This Row],[Equity Basis Total]] +  SnapshotTable[[#This Row],[SC Premium]], "")</f>
        <v/>
      </c>
      <c r="FP319" s="5" t="str">
        <f>IF(ISNUMBER(SnapshotTable[[#This Row],[SC Exercise Gross]]), (SnapshotTable[[#This Row],[SC Exercise Gross]]) / (SnapshotTable[[#This Row],[SC Qty]] * 100), "")</f>
        <v/>
      </c>
      <c r="FQ319" s="27" t="str">
        <f>IF(SnapshotTable[[#This Row],[SC Is Booked]],SnapshotTable[[#This Row],[SC Time Val]] /SnapshotTable[[#This Row],[SC Basis]], "")</f>
        <v/>
      </c>
      <c r="FR319" s="27" t="str" cm="1">
        <f t="array" ref="FR319">IF(AND(ISNUMBER(SnapshotTable[[#This Row],[SC Term]]),ISNUMBER(SnapshotTable[[#This Row],[SC Simple ROO]])), EllmanAnnualize(SnapshotTable[[#This Row],[SC DTE]], SnapshotTable[[#This Row],[SC Simple ROO]] ),"")</f>
        <v/>
      </c>
      <c r="FS319" s="4" t="e">
        <f>IF(SnapshotTable[[#This Row],[SC Strike Price]] &gt; SnapshotTable[[#This Row],[Last Price]], SnapshotTable[[#This Row],[SC Strike Price]] - SnapshotTable[[#This Row],[Last Price]],0)</f>
        <v>#VALUE!</v>
      </c>
      <c r="FT319" s="27" t="e">
        <f>IF(AND(ISNUMBER(SnapshotTable[[#This Row],[SC Upside Potential]]), SnapshotTable[[#This Row],[SC Upside Potential]] &gt; 0),(SnapshotTable[[#This Row],[SC Upside Potential]]/ SnapshotTable[[#This Row],[ACB]]),"")</f>
        <v>#VALUE!</v>
      </c>
      <c r="FU319" s="333" t="str">
        <f>IF(SnapshotTable[[#This Row],[SC Intrinsic Value]] &gt; 0,SnapshotTable[[#This Row],[SC Intrinsic Value]],"")</f>
        <v/>
      </c>
      <c r="FV319" s="27" t="str">
        <f>IF(AND( ISNUMBER( SnapshotTable[[#This Row],[ACB]]),ISNUMBER(SnapshotTable[[#This Row],[SC Downside Protect]])),SnapshotTable[[#This Row],[SC Downside Protect]] / SnapshotTable[[#This Row],[ACB]],"")</f>
        <v/>
      </c>
      <c r="FW319" s="236" t="str">
        <f>IF(AND(ISNUMBER(SnapshotTable[[#This Row],[SC Simple ROO]]),SnapshotTable[[#This Row],[SC Simple ROO]] &gt; 0), SnapshotTable[[#This Row],[SC Premium]] + (SnapshotTable[[#This Row],[SC Qty]] * SnapshotTable[[#This Row],[SC Upside Potential]]), "")</f>
        <v/>
      </c>
      <c r="FX319" s="302" t="str" cm="1">
        <f t="array" ref="FX319">IF(ISNUMBER(SnapshotTable[[#This Row],[SC Max Dollars]]), annualize(SnapshotTable[[#This Row],[SC Term]],(SnapshotTable[[#This Row],[SC Max Dollars]]/SnapshotTable[[#This Row],[SC Basis]])),"")</f>
        <v/>
      </c>
      <c r="FY319" s="236" t="str">
        <f>IF(AND(SnapshotTable[[#This Row],[SC Qty]]&gt;0,SnapshotTable[[#This Row],[SC Current Ask]]&gt;0), SnapshotTable[[#This Row],[SC Qty]] * SnapshotTable[[#This Row],[SC Current Ask]] * -100, "")</f>
        <v/>
      </c>
      <c r="FZ319" s="31" t="str">
        <f>IF(ISNUMBER((SnapshotTable[[#This Row],[SC Current Value]])), SnapshotTable[[#This Row],[SC Premium]] + SnapshotTable[[#This Row],[SC Current Value]], "")</f>
        <v/>
      </c>
      <c r="GA319" s="294" t="str">
        <f>IFERROR( IF(ISNUMBER((SnapshotTable[[#This Row],[SC Current Value]])), SnapshotTable[[#This Row],[SC Gain Loss]] / SnapshotTable[[#This Row],[SC Premium]], ""), "")</f>
        <v/>
      </c>
      <c r="GB319" s="42">
        <f>SnapshotTable[[#This Row],[Equity Shares]] * SaleSharesToConsiderPercentage</f>
        <v>0</v>
      </c>
      <c r="GC319" s="40">
        <f>SnapshotTable[[#This Row],[Long Term Target]] * SellingPriceToConsiderBasedOnTargetPercentage</f>
        <v>35.340000000000003</v>
      </c>
      <c r="GD319" s="40">
        <f>SnapshotTable[[#This Row],[Last Price]] * (1+ SellingPriceToConsiderBasedOnTargetPercentage)</f>
        <v>57.076499999999996</v>
      </c>
      <c r="GE319" s="41"/>
      <c r="GF319" s="40"/>
      <c r="GG319" s="31">
        <f>SnapshotTable[[#This Row],[Booked Sale Shares]] * SnapshotTable[[#This Row],[Booked Sale Price]]</f>
        <v>0</v>
      </c>
      <c r="GH319" s="31" t="str">
        <f>IF(SnapshotTable[[#This Row],[Equity Basis Total]] &gt; 0, SnapshotTable[[#This Row],[Equity Basis Per Share]] * SnapshotTable[[#This Row],[Booked Sale Shares]], "")</f>
        <v/>
      </c>
      <c r="GI319" s="31">
        <f>IF(SnapshotTable[[#This Row],[Sale Proceeds]]&gt;0, SnapshotTable[[#This Row],[Sale Proceeds]] - SnapshotTable[[#This Row],[Sale Basis]], 0)</f>
        <v>0</v>
      </c>
      <c r="GJ319" s="27" t="str">
        <f>IF(SnapshotTable[[#This Row],[Sale G/L]]&gt;0, SnapshotTable[[#This Row],[Sale G/L]] / SnapshotTable[[#This Row],[Sale Basis]], IF(ISNUMBER(SnapshotTable[[#This Row],[SC Exercise P&amp;L (TAX)]]), SnapshotTable[[#This Row],[SC Exercise P&amp;L (TAX)]] / SnapshotTable[[#This Row],[SC Basis]], ""))</f>
        <v/>
      </c>
      <c r="GK319" s="27"/>
      <c r="GL319" s="43" t="str">
        <f>IF(AND(SnapshotTable[[#This Row],[LP Exp Date]]&gt;0,SnapshotTable[[#This Row],[LP Strike Price]]&gt;0), [1]!ToOptionSymbol(SnapshotTable[[#This Row],[Symbol]], SnapshotTable[[#This Row],[LP Strike Price]],SnapshotTable[[#This Row],[LP Exp Date]],1), "")</f>
        <v/>
      </c>
      <c r="GM319" s="30" t="str">
        <f>IF(LEN(SnapshotTable[[#This Row],[LP Symbol]])&gt;0, 1, "")</f>
        <v/>
      </c>
      <c r="GN319" s="43" t="str">
        <f>IF(AND(SnapshotTable[[#This Row],[SP Exp Date]]&gt;0,SnapshotTable[[#This Row],[SP Strike Price]]&gt;0), [1]!ToOptionSymbol(SnapshotTable[[#This Row],[Symbol]], SnapshotTable[[#This Row],[SP Strike Price]],SnapshotTable[[#This Row],[SP Exp Date]],1), "")</f>
        <v/>
      </c>
      <c r="GO319" s="30" t="str">
        <f>IF(LEN(SnapshotTable[[#This Row],[SP Symbol]])&gt;0, 1, "")</f>
        <v/>
      </c>
      <c r="GP319" s="43" t="str">
        <f>IF(AND(SnapshotTable[[#This Row],[LC Exp Date]]&gt;0,SnapshotTable[[#This Row],[LC Strike Price]]&gt;0), [1]!ToOptionSymbol(SnapshotTable[[#This Row],[Symbol]], SnapshotTable[[#This Row],[LC Strike Price]],SnapshotTable[[#This Row],[LC Exp Date]],0), "")</f>
        <v/>
      </c>
      <c r="GQ319" s="30" t="str">
        <f>IF(LEN(SnapshotTable[[#This Row],[LC Symbol]])&gt;0, 1, "")</f>
        <v/>
      </c>
      <c r="GR319" s="43" t="str">
        <f>IF(AND(SnapshotTable[[#This Row],[SC Exp Date]]&gt;0,SnapshotTable[[#This Row],[SC Strike Price]]&gt;0), [1]!ToOptionSymbol(SnapshotTable[[#This Row],[Symbol]], SnapshotTable[[#This Row],[SC Strike Price]],SnapshotTable[[#This Row],[SC Exp Date]],0), "")</f>
        <v/>
      </c>
      <c r="GS319" s="30" t="str">
        <f>IF(LEN(SnapshotTable[[#This Row],[SC Symbol]])&gt;0, 1, "")</f>
        <v/>
      </c>
      <c r="GT319" s="29" t="str">
        <f>IF(COUNT(SnapshotTable[[#This Row],[LP Symbol Count]],SnapshotTable[[#This Row],[SP Symbol Count]],SnapshotTable[[#This Row],[LC Symbol Count]],SnapshotTable[[#This Row],[SC Symbol Count]])&gt;0, "Y", "")</f>
        <v/>
      </c>
      <c r="GU31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9" s="231" t="e">
        <f>MAX(SnapshotTable[[#This Row],[Equity Basis Total]],SnapshotTable[[#This Row],[Equity Value]]) + (SnapshotTable[[#This Row],[SP Potential Spend]]- SnapshotTable[[#This Row],[SP Premium]] + SnapshotTable[[#This Row],[LP Premium]])+ (SnapshotTable[[#This Row],[LC Premium]] - SnapshotTable[[#This Row],[SC Premium]])</f>
        <v>#VALUE!</v>
      </c>
      <c r="GW319" s="139" t="e">
        <f>IF(AND(SnapshotTable[[#This Row],[Exposure]] &lt;&gt; 0),SnapshotTable[[#This Row],[Exposure]] / SnapshotTable[[#Totals],[Exposure]], "")</f>
        <v>#VALUE!</v>
      </c>
      <c r="HK319" s="1"/>
      <c r="HL319" s="1"/>
      <c r="HM319" s="1"/>
      <c r="HN319" s="1"/>
      <c r="HO319" s="1"/>
      <c r="HP319" s="1"/>
    </row>
    <row r="320" spans="2:224" ht="12.75" hidden="1" customHeight="1" x14ac:dyDescent="0.25">
      <c r="B320" s="12" t="s">
        <v>1090</v>
      </c>
      <c r="C320" s="422">
        <v>29.27</v>
      </c>
      <c r="D320" s="208" t="s">
        <v>578</v>
      </c>
      <c r="E320" s="39">
        <f>SnapshotTable[[#This Row],[Last Price]]*(1 -CrashDiscount)</f>
        <v>24.8795</v>
      </c>
      <c r="F320" s="26" t="s">
        <v>613</v>
      </c>
      <c r="G320" s="26" t="s">
        <v>9</v>
      </c>
      <c r="H320" s="149"/>
      <c r="I320" s="194">
        <v>45147.680555555555</v>
      </c>
      <c r="J320" s="195">
        <v>45147.680555555555</v>
      </c>
      <c r="K320" s="196"/>
      <c r="L320" s="326"/>
      <c r="M320" s="140"/>
      <c r="N320" s="140"/>
      <c r="O320" s="140"/>
      <c r="P320" s="22"/>
      <c r="Q320" s="25"/>
      <c r="R320" s="4" t="str">
        <f>IF(SnapshotTable[[#This Row],[Equity Basis Total]] &gt; 0, SnapshotTable[[#This Row],[Equity Basis Total]] / SnapshotTable[[#This Row],[Equity Shares]], "")</f>
        <v/>
      </c>
      <c r="S320" s="269">
        <f>SnapshotTable[[#This Row],[Last Price]] * SnapshotTable[[#This Row],[Equity Shares]]</f>
        <v>0</v>
      </c>
      <c r="T320" s="269">
        <f>SnapshotTable[[#This Row],[Equity Value]] - SnapshotTable[[#This Row],[Equity Basis Total]]</f>
        <v>0</v>
      </c>
      <c r="U320" s="270" t="str">
        <f>IF(SnapshotTable[[#This Row],[Equity Basis Total]] &gt; 0, SnapshotTable[[#This Row],[Equity G/L]] / SnapshotTable[[#This Row],[Equity Basis Total]], "")</f>
        <v/>
      </c>
      <c r="V320" s="268">
        <v>63</v>
      </c>
      <c r="W320" s="268">
        <v>35</v>
      </c>
      <c r="X320" s="4" t="str">
        <f>IF(AND(ISNUMBER(SnapshotTable[[#This Row],[Equity Basis Per Share]]),ISNUMBER(SnapshotTable[[#This Row],[Equity Target]])),SnapshotTable[[#This Row],[Equity Target]]-SnapshotTable[[#This Row],[Equity Basis Per Share]],"")</f>
        <v/>
      </c>
      <c r="Y320" s="4" t="str">
        <f>IF(AND(ISNUMBER(SnapshotTable[[#This Row],[Equity Basis Per Share]]),ISNUMBER(SnapshotTable[[#This Row],[Equity Stop Loss]])),SnapshotTable[[#This Row],[Equity Stop Loss]]-SnapshotTable[[#This Row],[Equity Basis Per Share]],"")</f>
        <v/>
      </c>
      <c r="Z320" s="275" t="str">
        <f>IFERROR( TEXT(SnapshotTable[[#This Row],[Equity Max Gain Per Share]] /ABS( SnapshotTable[[#This Row],[Equity Max Loss Per Share]]),"0.0 " ) &amp; " : 1", "")</f>
        <v/>
      </c>
      <c r="AA320" s="31" t="str">
        <f>IF(ISNUMBER(SnapshotTable[[#This Row],[Equity Max Gain Per Share]]),SnapshotTable[[#This Row],[Equity Max Gain Per Share]] * SnapshotTable[[#This Row],[Equity Shares]],"")</f>
        <v/>
      </c>
      <c r="AB320" s="31" t="str">
        <f>IF(ISNUMBER(SnapshotTable[[#This Row],[Equity Max Loss Per Share]]),SnapshotTable[[#This Row],[Equity Max Loss Per Share]] * SnapshotTable[[#This Row],[Equity Shares]],"")</f>
        <v/>
      </c>
      <c r="AC320" s="150"/>
      <c r="AD320" s="151"/>
      <c r="AE320" s="31">
        <f>(SnapshotTable[[#This Row],[Annual Dividend Per Share]] / 4) * SnapshotTable[[#This Row],[Equity Shares]]</f>
        <v>0</v>
      </c>
      <c r="AF320" s="31">
        <f>SnapshotTable[[#This Row],[Quarterly Div $]] * 4</f>
        <v>0</v>
      </c>
      <c r="AG320" s="7">
        <f>IF(SnapshotTable[[#This Row],[Annual Dividend Per Share]]&gt;0, SnapshotTable[[#This Row],[Annual Dividend Per Share]]  / SnapshotTable[[#This Row],[Last Price]], 0)</f>
        <v>0</v>
      </c>
      <c r="AH320" s="151"/>
      <c r="AI320" s="5"/>
      <c r="AJ320" s="138">
        <v>37.200000000000003</v>
      </c>
      <c r="AK320" s="152" t="str">
        <f>IF(ISNUMBER( SnapshotTable[[#This Row],[EBF Target]]),(SnapshotTable[[#This Row],[EBF Target]] - SnapshotTable[[#This Row],[Last Price]]) / SnapshotTable[[#This Row],[Last Price]], "")</f>
        <v/>
      </c>
      <c r="AL320" s="152" t="str">
        <f>IF(AND(SnapshotTable[[#This Row],[Equity Basis Total]] &gt; 0,ISNUMBER( SnapshotTable[[#This Row],[Long Term Target]])), SnapshotTable[[#This Row],[From Basis $]] / SnapshotTable[[#This Row],[Equity Basis Total]], "")</f>
        <v/>
      </c>
      <c r="AM320" s="9">
        <f>IF( AND(SnapshotTable[[#This Row],[Equity Shares]] &gt;0,ISNUMBER( SnapshotTable[[#This Row],[Long Term Target]])),(SnapshotTable[[#This Row],[Equity Shares]] * SnapshotTable[[#This Row],[Long Term Target]]) - SnapshotTable[[#This Row],[Equity Basis Total]],0)</f>
        <v>0</v>
      </c>
      <c r="AN320" s="9">
        <f>IF( AND(SnapshotTable[[#This Row],[Equity Shares]] &gt;0,ISNUMBER( SnapshotTable[[#This Row],[Long Term Target]])),(SnapshotTable[[#This Row],[Equity Shares]]*SnapshotTable[[#This Row],[Long Term Target]]) - SnapshotTable[[#This Row],[Equity Value]],0)</f>
        <v>0</v>
      </c>
      <c r="AO320" s="152">
        <f>IF(AND(ISNUMBER( SnapshotTable[[#This Row],[Long Term Target]]), ISNUMBER(SnapshotTable[[#This Row],[Last Price]])),(SnapshotTable[[#This Row],[Long Term Target]] - SnapshotTable[[#This Row],[Last Price]]) / SnapshotTable[[#This Row],[Last Price]], "")</f>
        <v>0.27092586265801172</v>
      </c>
      <c r="AP320" s="5">
        <v>37.5</v>
      </c>
      <c r="AQ320" s="38" t="s">
        <v>27</v>
      </c>
      <c r="AR320" s="5">
        <v>37.5</v>
      </c>
      <c r="AS320" s="38" t="s">
        <v>38</v>
      </c>
      <c r="AT320" s="146" t="s">
        <v>553</v>
      </c>
      <c r="AU320" s="187" t="str">
        <f>IF(OR(SnapshotTable[[#This Row],[LP No Fill]]="Y",SnapshotTable[[#This Row],[SP Is Filled]],SnapshotTable[[#This Row],[LC Not Filled]]="Y",SnapshotTable[[#This Row],[SC Is Filled]]),"Y","")</f>
        <v/>
      </c>
      <c r="AV320" s="219"/>
      <c r="AW320" s="225"/>
      <c r="AX320" s="220"/>
      <c r="AY320" s="219" t="str">
        <f>IF(SnapshotTable[[#This Row],[Implied Move]]&gt;0, SnapshotTable[[#This Row],[Last Price]]-SnapshotTable[[#This Row],[Implied Move]],"")</f>
        <v/>
      </c>
      <c r="AZ320" s="219" t="str">
        <f>IF(SnapshotTable[[#This Row],[Implied Move]]&gt;0, SnapshotTable[[#This Row],[Last Price]] + SnapshotTable[[#This Row],[Implied Move]],"")</f>
        <v/>
      </c>
      <c r="BA320" s="331">
        <v>36.799999999999997</v>
      </c>
      <c r="BB320" s="347"/>
      <c r="BC32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0" s="351"/>
      <c r="BE320" s="5"/>
      <c r="BF320" s="14"/>
      <c r="BG320" s="13"/>
      <c r="BH320" s="13"/>
      <c r="BI320" s="5"/>
      <c r="BJ320" s="136">
        <f>IF(SnapshotTable[[#This Row],[LP Qty]] &gt; 0, SnapshotTable[[#This Row],[LP Qty]] * SnapshotTable[[#This Row],[LP Book Price]] * 100,0)</f>
        <v>0</v>
      </c>
      <c r="BK320" s="136">
        <f>IF(SnapshotTable[[#This Row],[LP Premium]] &gt; 0, SnapshotTable[[#This Row],[LP Qty]] * SnapshotTable[[#This Row],[LP Strike Price]] * 100,0)</f>
        <v>0</v>
      </c>
      <c r="BL320" s="154"/>
      <c r="BM320" s="385" t="str">
        <f>IF(SnapshotTable[[#This Row],[LP Premium]] &gt; 0,SnapshotTable[[#This Row],[LP Exp Date]]-MAX(SnapshotTable[[#This Row],[LP Book Date]], SnapshotTable[[#This Row],[LP Fill Date]]),"")</f>
        <v/>
      </c>
      <c r="BN320" s="385" t="str">
        <f>IF(ISNUMBER( SnapshotTable[[#This Row],[LP Term]]), SnapshotTable[[#This Row],[LP Exp Date]] - MockToday,"")</f>
        <v/>
      </c>
      <c r="BO320" s="163" t="str">
        <f>IF(AND(SnapshotTable[[#This Row],[LP Exp Date]]&gt;0, SnapshotTable[[#This Row],[LP Strike Price]]&gt;0,SnapshotTable[[#This Row],[LP Qty]]&gt;0,SnapshotTable[[#This Row],[LP Book Date]]&gt;0,SnapshotTable[[#This Row],[LP Book Price]]&gt;0,SnapshotTable[[#This Row],[LP Fill Date]]=0),"Y","")</f>
        <v/>
      </c>
      <c r="BP320" s="31" t="str">
        <f>IF(AND(SnapshotTable[[#This Row],[LP No Fill]]&lt;&gt;"Y",SnapshotTable[[#This Row],[LP Contract Value]]&gt;0, SnapshotTable[[#This Row],[LP Qty]]&gt;0), SnapshotTable[[#This Row],[LP Contract Value]]*SnapshotTable[[#This Row],[LP Qty]]*100,"")</f>
        <v/>
      </c>
      <c r="BQ320" s="13"/>
      <c r="BR320" s="5" t="str">
        <f>IF(SnapshotTable[[#This Row],[SP Exp Date]]&lt;&gt;"",TRUNC(SnapshotTable[[#This Row],[Last Price]]),"")</f>
        <v/>
      </c>
      <c r="BS320" s="36"/>
      <c r="BT320" s="147"/>
      <c r="BU320" s="13"/>
      <c r="BV320" s="5"/>
      <c r="BW320" s="419" t="b">
        <f>AND(ISNUMBER(SnapshotTable[[#This Row],[SP Exp Date]]), ISNUMBER(SnapshotTable[[#This Row],[SP Strike Price]]), ISNUMBER(SnapshotTable[[#This Row],[SP Qty]]), ISNUMBER(SnapshotTable[[#This Row],[SP Book Date]]), ISNUMBER(SnapshotTable[[#This Row],[SP Book Price]]))</f>
        <v>0</v>
      </c>
      <c r="BX320" s="419" t="b">
        <f>AND(SnapshotTable[[#This Row],[SP Is Booked]], NOT(ISBLANK(SnapshotTable[[#This Row],[SP Fill Date]])))</f>
        <v>0</v>
      </c>
      <c r="BY320" s="33">
        <f>IF(SnapshotTable[[#This Row],[SP Is Booked]], SnapshotTable[[#This Row],[SP Qty]] * SnapshotTable[[#This Row],[SP Book Price]] * 100, 0)</f>
        <v>0</v>
      </c>
      <c r="BZ320" s="369"/>
      <c r="CA320" s="368">
        <f>SnapshotTable[[#This Row],[LP Qty]]</f>
        <v>0</v>
      </c>
      <c r="CB320" s="4" t="str">
        <f>IF(SnapshotTable[[#This Row],[SP Is Booked]], SnapshotTable[[#This Row],[SP Strike Price]] - SnapshotTable[[#This Row],[SP Book Price]], "")</f>
        <v/>
      </c>
      <c r="CC320" s="19" t="str">
        <f>IF(SnapshotTable[[#This Row],[SP Is Booked]],SnapshotTable[[#This Row],[SP Exp Date]]-MAX(SnapshotTable[[#This Row],[SP Book Date]], SnapshotTable[[#This Row],[SP Fill Date]]),"")</f>
        <v/>
      </c>
      <c r="CD320" s="7" t="str">
        <f>IF(SnapshotTable[[#This Row],[SP Is Booked]], SnapshotTable[[#This Row],[SP Book Price]]/SnapshotTable[[#This Row],[SP Strike Price]], "")</f>
        <v/>
      </c>
      <c r="CE320" s="7" t="str">
        <f>IF(ISNUMBER(SnapshotTable[[#This Row],[SP ROO Term]]),SnapshotTable[[#This Row],[SP ROO Term]]*(365/SnapshotTable[[#This Row],[SP Term]]),"")</f>
        <v/>
      </c>
      <c r="CF320" s="236">
        <f>SnapshotTable[[#This Row],[LP Strike Price]] * SnapshotTable[[#This Row],[LP Qty]] * 100</f>
        <v>0</v>
      </c>
      <c r="CG320" s="31" t="e">
        <f>IF(ISNUMBER(SnapshotTable[[#This Row],[SP Premium]]), (SnapshotTable[[#This Row],[SP Qty]] * SnapshotTable[[#This Row],[SP Strike Price]]* 100) - SnapshotTable[[#This Row],[LP Protection]], 0)</f>
        <v>#VALUE!</v>
      </c>
      <c r="CH320" s="7" t="str">
        <f>IF(ISNUMBER(SnapshotTable[[#This Row],[SP Break Even]]),-1 * (SnapshotTable[[#This Row],[SP Break Even]] - SnapshotTable[[#This Row],[Last Price]]) / SnapshotTable[[#This Row],[Last Price]], "")</f>
        <v/>
      </c>
      <c r="CI320" s="31">
        <f>IF(AND(ISNUMBER((SnapshotTable[[#This Row],[SP Potential Spend]])), SnapshotTable[[#This Row],[SP Strike Price]] &gt; SnapshotTable[[#This Row],[Last Price]], SnapshotTable[[#This Row],[SP Is Filled]]), SnapshotTable[[#This Row],[SP Potential Spend]] -  SnapshotTable[[#This Row],[LP Max Value]], 0)</f>
        <v>0</v>
      </c>
      <c r="CJ320" s="244"/>
      <c r="CK320" s="31" t="str">
        <f>IF(ISNUMBER(SnapshotTable[[#This Row],[SP Potential Spend]]),IF(ISNUMBER(SnapshotTable[[#This Row],[SP POW]]), SnapshotTable[[#This Row],[SP POW]] * SnapshotTable[[#This Row],[SP Potential Spend]], SnapshotTable[[#This Row],[SP Potential Spend]]), "")</f>
        <v/>
      </c>
      <c r="CL320" s="164" t="e">
        <f>IF(NOT(SnapshotTable[[#This Row],[SP Is Filled]]),(SnapshotTable[[#This Row],[SP Qty]] * SnapshotTable[[#This Row],[SP Strike Price]] * 100) - SnapshotTable[[#This Row],[LP Max Value]],"")</f>
        <v>#VALUE!</v>
      </c>
      <c r="CM320" s="31" t="str">
        <f>IF(SnapshotTable[[#This Row],[SP Actual Spend]]&lt;&gt;0, ((SnapshotTable[[#This Row],[SP Strike Price]]-SnapshotTable[[#This Row],[Last Price]]) *(SnapshotTable[[#This Row],[SP Qty]]*100) - SnapshotTable[[#This Row],[SP Premium]]) * - 1, "")</f>
        <v/>
      </c>
      <c r="CN320" s="78"/>
      <c r="CO320" s="369"/>
      <c r="CP320" s="4" t="str">
        <f>IF(SnapshotTable[[#This Row],[SP Is Filled]], btc_max_buyback_amount(SnapshotTable[[#This Row],[SP Fill Date]],SnapshotTable[[#This Row],[SP Exp Date]], SnapshotTable[[#This Row],[SP Book Price]]),"")</f>
        <v/>
      </c>
      <c r="CQ320" s="78"/>
      <c r="CR32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0" s="155" t="str">
        <f>IF(SnapshotTable[[#This Row],[SP Is Filled]], btc_next_cutoff_date(SnapshotTable[[#This Row],[SP Fill Date]],SnapshotTable[[#This Row],[SP Exp Date]]),"")</f>
        <v/>
      </c>
      <c r="CT320" s="235" t="str" cm="1">
        <f t="array" ref="CT320">IF(SnapshotTable[[#This Row],[SP Is Filled]], btc_should_buy_back(SnapshotTable[[#This Row],[SP Fill Date]], SnapshotTable[[#This Row],[SP Exp Date]], SnapshotTable[[#This Row],[SP Book Price]], SnapshotTable[[#This Row],[SP Current Ask]], MockToday, SnapshotTable[[#This Row],[SP Buyback Override]]),"")</f>
        <v/>
      </c>
      <c r="CU320" s="156"/>
      <c r="CV320" s="235"/>
      <c r="CW320" s="378" t="str">
        <f>IF(ISNUMBER( SnapshotTable[[#This Row],[SP Term]]), SnapshotTable[[#This Row],[SP Exp Date]] - MockToday,"")</f>
        <v/>
      </c>
      <c r="CX320" s="31" t="str">
        <f>IF(SnapshotTable[[#This Row],[SP Is Filled]],SnapshotTable[[#This Row],[SP Buyback Price to Use]] * 100 * SnapshotTable[[#This Row],[SP Qty]], "")</f>
        <v/>
      </c>
      <c r="CY320" s="4" t="str">
        <f>IF(ISNUMBER(SnapshotTable[[#This Row],[SP Strike Price]]), SnapshotTable[[#This Row],[SP Strike Price]] * (1 - SP_MaxLoss_StrikePct), "")</f>
        <v/>
      </c>
      <c r="CZ320" s="31" t="str">
        <f>IF(ISNUMBER(SnapshotTable[[#This Row],[SP Strike  Stop Per Share]]),SnapshotTable[[#This Row],[SP Premium]] - ((SnapshotTable[[#This Row],[SP Strike Price]]-SnapshotTable[[#This Row],[SP Strike  Stop Per Share]]) *(SnapshotTable[[#This Row],[SP Qty]] * 100)),"")</f>
        <v/>
      </c>
      <c r="DA320" s="4" t="str">
        <f>IF(AND(ISNUMBER(SnapshotTable[[#This Row],[SP Premium]]),SnapshotTable[[#This Row],[SP Premium]]&gt;0), SnapshotTable[[#This Row],[SP Book Price]] * (1 + SP_MaxLoss_OptionPct), "")</f>
        <v/>
      </c>
      <c r="DB320" s="31" t="str">
        <f>IF(ISNUMBER(SnapshotTable[[#This Row],[SP Option  Stop Contract]]),(SnapshotTable[[#This Row],[SP Option  Stop Contract]] *(SnapshotTable[[#This Row],[SP Qty]] * 100) - SnapshotTable[[#This Row],[SP Premium]]),"")</f>
        <v/>
      </c>
      <c r="DC320" s="4"/>
      <c r="DD320" s="4"/>
      <c r="DE320" s="4" t="str">
        <f>IF(AND(SnapshotTable[[#This Row],[SP Qty]]&gt;0, SnapshotTable[[#This Row],[SP Stop To Use]]&gt;0),SnapshotTable[[#This Row],[SP Premium]] - ( SnapshotTable[[#This Row],[SP Qty]] * SnapshotTable[[#This Row],[SP Stop To Use]] * 100), "")</f>
        <v/>
      </c>
      <c r="DF320" s="31" t="str">
        <f>IF(AND(SnapshotTable[[#This Row],[SP Qty]]&gt;0,SnapshotTable[[#This Row],[SP Current Ask]]&gt;0), SnapshotTable[[#This Row],[SP Qty]] * SnapshotTable[[#This Row],[SP Current Ask]] * -100, "")</f>
        <v/>
      </c>
      <c r="DG320" s="31" t="str">
        <f>IF(ISNUMBER((SnapshotTable[[#This Row],[SP Total Value]])), SnapshotTable[[#This Row],[SP Premium]] + SnapshotTable[[#This Row],[SP Total Value]], "")</f>
        <v/>
      </c>
      <c r="DH320" s="294" t="str">
        <f>IF(ISNUMBER((SnapshotTable[[#This Row],[SP Total Value]])), SnapshotTable[[#This Row],[SP Gain Loss]] / SnapshotTable[[#This Row],[SP Premium]], "")</f>
        <v/>
      </c>
      <c r="DI320" s="406"/>
      <c r="DJ320" s="138"/>
      <c r="DK320" s="148"/>
      <c r="DL320" s="13"/>
      <c r="DM320" s="13"/>
      <c r="DO320" s="31">
        <f>IF(SnapshotTable[[#This Row],[LC Symbol Count]]=1, SnapshotTable[[#This Row],[LC Qty]] * SnapshotTable[[#This Row],[LC Book Price]] * 100, 0)</f>
        <v>0</v>
      </c>
      <c r="DP320" s="163" t="str">
        <f>IF(AND(SnapshotTable[[#This Row],[LC Exp Date]]&gt;0, SnapshotTable[[#This Row],[LC Strike Price]]&gt;0,SnapshotTable[[#This Row],[LC Qty]]&gt;0,SnapshotTable[[#This Row],[LC Book Date]]&gt;0,SnapshotTable[[#This Row],[LC Book Price]]&gt;0,SnapshotTable[[#This Row],[LC Fill Date]]=0),"Y","")</f>
        <v/>
      </c>
      <c r="DQ320" s="386" t="str">
        <f>IF(SnapshotTable[[#This Row],[LC Premium]] &gt; 0,SnapshotTable[[#This Row],[LC Exp Date]]-MAX(SnapshotTable[[#This Row],[LC Book Date]], SnapshotTable[[#This Row],[LC Fill Date]]),"")</f>
        <v/>
      </c>
      <c r="DR320" s="386" t="str">
        <f>IF(ISNUMBER(SnapshotTable[[#This Row],[LC Term]]), SnapshotTable[[#This Row],[LC Exp Date]] - MockToday, "")</f>
        <v/>
      </c>
      <c r="DS320" s="234" t="str">
        <f>IF(SnapshotTable[[#This Row],[LC Premium]]&gt;0,SnapshotTable[[#This Row],[LC Strike Price]] + SnapshotTable[[#This Row],[LC Book Price]],"")</f>
        <v/>
      </c>
      <c r="DU320" s="9" t="str">
        <f>IF(AND(SnapshotTable[[#This Row],[LC Symbol Count]]&gt;0, SnapshotTable[[#This Row],[LC Contract Value]]&gt;0), SnapshotTable[[#This Row],[LC Contract Value]] * SnapshotTable[[#This Row],[LC Qty]] * 100, "")</f>
        <v/>
      </c>
      <c r="DV320" s="9" t="str">
        <f>IF(AND(ISNUMBER(SnapshotTable[[#This Row],[LC Total Value]]), SnapshotTable[[#This Row],[LC Not Filled]]&lt;&gt;"Y"), SnapshotTable[[#This Row],[LC Total Value]]-SnapshotTable[[#This Row],[LC Premium]],"")</f>
        <v/>
      </c>
      <c r="DW320" s="240" t="str">
        <f>IF(ISNUMBER(SnapshotTable[[#This Row],[LC Actual Gain Loss]]), SnapshotTable[[#This Row],[LC Actual Gain Loss]] / SnapshotTable[[#This Row],[LC Premium]],"")</f>
        <v/>
      </c>
      <c r="DX320" s="284" t="str">
        <f>IF(ISNUMBER(SnapshotTable[[#This Row],[LC Book Price]]),SnapshotTable[[#This Row],[LC Book Price]] * 1.5,"")</f>
        <v/>
      </c>
      <c r="DY320" s="265" t="str">
        <f>IF(SnapshotTable[[#This Row],[LC Premium]]&gt;0, SnapshotTable[[#This Row],[LC Next Target]] * SnapshotTable[[#This Row],[LC Qty]] * 100,"")</f>
        <v/>
      </c>
      <c r="DZ320" s="265" t="str">
        <f>IF(ISNUMBER(SnapshotTable[[#This Row],[LC Target Gross]]), SnapshotTable[[#This Row],[LC Target Gross]] - SnapshotTable[[#This Row],[LC Premium]], "")</f>
        <v/>
      </c>
      <c r="EA320" s="305" t="str">
        <f>IF(ISNUMBER(SnapshotTable[[#This Row],[LC Target Gain Loss]]), SnapshotTable[[#This Row],[LC Target Gain Loss]]/SnapshotTable[[#This Row],[LC Premium]], "")</f>
        <v/>
      </c>
      <c r="EB320" s="262"/>
      <c r="EC320" s="283" t="str">
        <f>IF(SnapshotTable[[#This Row],[LC Premium]]&gt;0, SnapshotTable[[#This Row],[LC Book Price]] * (1 - LC_StopLoss_Pct),"")</f>
        <v/>
      </c>
      <c r="ED320" s="284"/>
      <c r="EE320" s="283" t="str">
        <f>IF(ISNUMBER(SnapshotTable[[#This Row],[LC Contract Value]]),IF(ISNUMBER(SnapshotTable[[#This Row],[LC Stop Loss Override]]), SnapshotTable[[#This Row],[LC Stop Loss Override]],SnapshotTable[[#This Row],[LC Stop Loss Calc Target]]),"")</f>
        <v/>
      </c>
      <c r="EF320" s="31" t="str">
        <f>IF(ISNUMBER(SnapshotTable[[#This Row],[LC Stop  To Use]]), (SnapshotTable[[#This Row],[LC Stop  To Use]] * SnapshotTable[[#This Row],[LC Qty]] * 100),"")</f>
        <v/>
      </c>
      <c r="EG320" s="9" t="str">
        <f>IF(ISNUMBER(SnapshotTable[[#This Row],[LC Total Value]]),SnapshotTable[[#This Row],[LC Stop Loss Amount]] - SnapshotTable[[#This Row],[LC Premium]],"")</f>
        <v/>
      </c>
      <c r="EH320" s="9">
        <f>IF(ISNUMBER(SnapshotTable[[#This Row],[LC Premium]]), SnapshotTable[[#This Row],[LC Qty]] * 100 * SnapshotTable[[#This Row],[LC Strike Price]], "")</f>
        <v>0</v>
      </c>
      <c r="EI320" s="240" t="str">
        <f>IF(AND(ISNUMBER(SnapshotTable[[#This Row],[LC Total Value]]),SnapshotTable[[#This Row],[LC Total Value]]&gt;0),SnapshotTable[[#This Row],[LC Stop Gain Loss]]  / SnapshotTable[[#This Row],[LC Premium]],"")</f>
        <v/>
      </c>
      <c r="EJ320" s="35">
        <f>IF(ISNUMBER(SnapshotTable[[#This Row],[Equity Shares]]),TRUNC(SnapshotTable[[#This Row],[Equity Shares]] / 100),0) + SnapshotTable[[#This Row],[LC Qty]]</f>
        <v>0</v>
      </c>
      <c r="EK320" s="147"/>
      <c r="EL320" s="138" t="str">
        <f>IF(SnapshotTable[[#This Row],[SC Exp Date]]&lt;&gt;"",TRUNC(SnapshotTable[[#This Row],[Last Price]]),"")</f>
        <v/>
      </c>
      <c r="EM320" s="148"/>
      <c r="EN320" s="147"/>
      <c r="EO320" s="147"/>
      <c r="EP320" s="138"/>
      <c r="EQ320" s="419" t="b">
        <f>AND(ISNUMBER(SnapshotTable[[#This Row],[SC Exp Date]]), ISNUMBER(SnapshotTable[[#This Row],[SC Strike Price]]), ISNUMBER(SnapshotTable[[#This Row],[SC Qty]]), ISNUMBER(SnapshotTable[[#This Row],[SC Book Date]]), ISNUMBER(SnapshotTable[[#This Row],[SC Book Price]]))</f>
        <v>0</v>
      </c>
      <c r="ER320" s="419" t="b">
        <f>AND(SnapshotTable[[#This Row],[SC Is Booked]], NOT(ISBLANK(SnapshotTable[[#This Row],[SC Fill Date]])))</f>
        <v>0</v>
      </c>
      <c r="ES320" s="370"/>
      <c r="ET320" s="34" t="str">
        <f>IF(AND(ISNUMBER(SnapshotTable[[#This Row],[SC Exp Date]]), ISNUMBER(SnapshotTable[[#This Row],[SC Book Date]])), SnapshotTable[[#This Row],[SC Exp Date]] - MAX(SnapshotTable[[#This Row],[SC Book Date]], SnapshotTable[[#This Row],[SC Fill Date]]) + 1, "")</f>
        <v/>
      </c>
      <c r="EU320" s="34" t="str">
        <f>IF(ISNUMBER(SnapshotTable[[#This Row],[SC Term]]), SnapshotTable[[#This Row],[SC Exp Date]]- MockToday, "")</f>
        <v/>
      </c>
      <c r="EV320" s="31">
        <f>IF(SnapshotTable[[#This Row],[SC Is Booked]], SnapshotTable[[#This Row],[SC Qty]] * SnapshotTable[[#This Row],[SC Book Price]] * 100, 0)</f>
        <v>0</v>
      </c>
      <c r="EW320" s="4" t="str">
        <f>IF(AND(ISNUMBER(SnapshotTable[[#This Row],[Last Price]]), ISNUMBER( SnapshotTable[[#This Row],[SC Book Price]])), SnapshotTable[[#This Row],[Last Price]] - SnapshotTable[[#This Row],[SC Book Price]],"")</f>
        <v/>
      </c>
      <c r="EX320" s="234" t="str">
        <f>IF(SnapshotTable[[#This Row],[SC Is Booked]],IF(SnapshotTable[[#This Row],[SC Intrinsic Value]] &gt; 0, SnapshotTable[[#This Row],[SC Strike Price]], SnapshotTable[[#This Row],[Last Price]]), "")</f>
        <v/>
      </c>
      <c r="EY320" s="4">
        <f>IF(SnapshotTable[[#This Row],[SC Is Booked]], (MinimumPremiumRequired * SnapshotTable[[#This Row],[SC Basis]] * SnapshotTable[[#This Row],[SC Term]]), 0)</f>
        <v>0</v>
      </c>
      <c r="EZ320" s="283"/>
      <c r="FA320" s="423"/>
      <c r="FB320" s="370">
        <v>0.98650000000000004</v>
      </c>
      <c r="FC320" s="4">
        <f>IF(SnapshotTable[[#This Row],[SC Is Filled]], btc_max_buyback_amount(SnapshotTable[[#This Row],[SC Fill Date]],SnapshotTable[[#This Row],[SC Exp Date]], SnapshotTable[[#This Row],[SC Book Price]]),0)</f>
        <v>0</v>
      </c>
      <c r="FD320" s="5"/>
      <c r="FE320" s="144" t="str">
        <f>IF(SnapshotTable[[#This Row],[SC Is Filled]], btc_next_cutoff_date(SnapshotTable[[#This Row],[SC Fill Date]],SnapshotTable[[#This Row],[SC Exp Date]]),"")</f>
        <v/>
      </c>
      <c r="FF320" s="4" t="str" cm="1">
        <f t="array" ref="FF320">IF(SnapshotTable[[#This Row],[SC Is Filled]], btc_should_buy_back(SnapshotTable[[#This Row],[SC Fill Date]], SnapshotTable[[#This Row],[SC Exp Date]], SnapshotTable[[#This Row],[SC Book Price]], SnapshotTable[[#This Row],[SC Current Ask]], MockToday, SnapshotTable[[#This Row],[SC Buyback Override]]),"")</f>
        <v/>
      </c>
      <c r="FG320" s="4">
        <f>IF(SnapshotTable[[#This Row],[SC Is Filled]], MAX(0,SnapshotTable[[#This Row],[Last Price]]  - SnapshotTable[[#This Row],[SC Strike Price]]), 0)</f>
        <v>0</v>
      </c>
      <c r="FH320" s="382">
        <f>IF(SnapshotTable[[#This Row],[SC Is Filled]], IF(ISNUMBER(SnapshotTable[[#This Row],[SC Current Ask]]), SnapshotTable[[#This Row],[SC Current Ask]], SnapshotTable[[#This Row],[SC Book Price]]) - SnapshotTable[[#This Row],[SC Intrinsic Value]], 0)</f>
        <v>0</v>
      </c>
      <c r="FI320" s="143"/>
      <c r="FJ320" s="32" t="str">
        <f>IF(SnapshotTable[[#This Row],[SC Is Filled]],100 * SnapshotTable[[#This Row],[SC Qty]] * IF(ISNUMBER(SnapshotTable[[#This Row],[SC Buyback Override]]), SnapshotTable[[#This Row],[SC Buyback Override]], SnapshotTable[[#This Row],[SC Current Ask]]), "")</f>
        <v/>
      </c>
      <c r="FK320" s="250" t="str">
        <f>IF(SnapshotTable[[#This Row],[SC Time Val]]&gt;0, SnapshotTable[[#This Row],[SC Time Val]] / SnapshotTable[[#This Row],[Last Price]],"")</f>
        <v/>
      </c>
      <c r="FL320" s="302" t="str">
        <f>IF(SnapshotTable[[#This Row],[SC Is Booked]], ((SnapshotTable[[#This Row],[Last Price]] -SnapshotTable[[#This Row],[SC Strike Price]]) / SnapshotTable[[#This Row],[Last Price]]) * -1, "")</f>
        <v/>
      </c>
      <c r="FM320" s="157" t="str">
        <f>IF(SnapshotTable[[#This Row],[SC Is Booked]],  (SnapshotTable[[#This Row],[SC Qty]] * 100 * SnapshotTable[[#This Row],[SC Strike Price]]) - SnapshotTable[[#This Row],[SC Current Ask]], "")</f>
        <v/>
      </c>
      <c r="FN32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0" s="31" t="str">
        <f>IF(AND(ISNUMBER(SnapshotTable[[#This Row],[SC Exercise Gross]]), ISNUMBER(SnapshotTable[[#This Row],[Equity Basis Per Share]] )), SnapshotTable[[#This Row],[SC Exercise Gross]] - SnapshotTable[[#This Row],[Equity Basis Total]] +  SnapshotTable[[#This Row],[SC Premium]], "")</f>
        <v/>
      </c>
      <c r="FP320" s="5" t="str">
        <f>IF(ISNUMBER(SnapshotTable[[#This Row],[SC Exercise Gross]]), (SnapshotTable[[#This Row],[SC Exercise Gross]]) / (SnapshotTable[[#This Row],[SC Qty]] * 100), "")</f>
        <v/>
      </c>
      <c r="FQ320" s="27" t="str">
        <f>IF(SnapshotTable[[#This Row],[SC Is Booked]],SnapshotTable[[#This Row],[SC Time Val]] /SnapshotTable[[#This Row],[SC Basis]], "")</f>
        <v/>
      </c>
      <c r="FR320" s="27" t="str" cm="1">
        <f t="array" ref="FR320">IF(AND(ISNUMBER(SnapshotTable[[#This Row],[SC Term]]),ISNUMBER(SnapshotTable[[#This Row],[SC Simple ROO]])), EllmanAnnualize(SnapshotTable[[#This Row],[SC DTE]], SnapshotTable[[#This Row],[SC Simple ROO]] ),"")</f>
        <v/>
      </c>
      <c r="FS320" s="4" t="e">
        <f>IF(SnapshotTable[[#This Row],[SC Strike Price]] &gt; SnapshotTable[[#This Row],[Last Price]], SnapshotTable[[#This Row],[SC Strike Price]] - SnapshotTable[[#This Row],[Last Price]],0)</f>
        <v>#VALUE!</v>
      </c>
      <c r="FT320" s="27" t="e">
        <f>IF(AND(ISNUMBER(SnapshotTable[[#This Row],[SC Upside Potential]]), SnapshotTable[[#This Row],[SC Upside Potential]] &gt; 0),(SnapshotTable[[#This Row],[SC Upside Potential]]/ SnapshotTable[[#This Row],[ACB]]),"")</f>
        <v>#VALUE!</v>
      </c>
      <c r="FU320" s="333" t="str">
        <f>IF(SnapshotTable[[#This Row],[SC Intrinsic Value]] &gt; 0,SnapshotTable[[#This Row],[SC Intrinsic Value]],"")</f>
        <v/>
      </c>
      <c r="FV320" s="27" t="str">
        <f>IF(AND( ISNUMBER( SnapshotTable[[#This Row],[ACB]]),ISNUMBER(SnapshotTable[[#This Row],[SC Downside Protect]])),SnapshotTable[[#This Row],[SC Downside Protect]] / SnapshotTable[[#This Row],[ACB]],"")</f>
        <v/>
      </c>
      <c r="FW320" s="236" t="str">
        <f>IF(AND(ISNUMBER(SnapshotTable[[#This Row],[SC Simple ROO]]),SnapshotTable[[#This Row],[SC Simple ROO]] &gt; 0), SnapshotTable[[#This Row],[SC Premium]] + (SnapshotTable[[#This Row],[SC Qty]] * SnapshotTable[[#This Row],[SC Upside Potential]]), "")</f>
        <v/>
      </c>
      <c r="FX320" s="302" t="str" cm="1">
        <f t="array" ref="FX320">IF(ISNUMBER(SnapshotTable[[#This Row],[SC Max Dollars]]), annualize(SnapshotTable[[#This Row],[SC Term]],(SnapshotTable[[#This Row],[SC Max Dollars]]/SnapshotTable[[#This Row],[SC Basis]])),"")</f>
        <v/>
      </c>
      <c r="FY320" s="236" t="str">
        <f>IF(AND(SnapshotTable[[#This Row],[SC Qty]]&gt;0,SnapshotTable[[#This Row],[SC Current Ask]]&gt;0), SnapshotTable[[#This Row],[SC Qty]] * SnapshotTable[[#This Row],[SC Current Ask]] * -100, "")</f>
        <v/>
      </c>
      <c r="FZ320" s="31" t="str">
        <f>IF(ISNUMBER((SnapshotTable[[#This Row],[SC Current Value]])), SnapshotTable[[#This Row],[SC Premium]] + SnapshotTable[[#This Row],[SC Current Value]], "")</f>
        <v/>
      </c>
      <c r="GA320" s="294" t="str">
        <f>IFERROR( IF(ISNUMBER((SnapshotTable[[#This Row],[SC Current Value]])), SnapshotTable[[#This Row],[SC Gain Loss]] / SnapshotTable[[#This Row],[SC Premium]], ""), "")</f>
        <v/>
      </c>
      <c r="GB320" s="42">
        <f>SnapshotTable[[#This Row],[Equity Shares]] * SaleSharesToConsiderPercentage</f>
        <v>0</v>
      </c>
      <c r="GC320" s="40">
        <f>SnapshotTable[[#This Row],[Long Term Target]] * SellingPriceToConsiderBasedOnTargetPercentage</f>
        <v>35.340000000000003</v>
      </c>
      <c r="GD320" s="40">
        <f>SnapshotTable[[#This Row],[Last Price]] * (1+ SellingPriceToConsiderBasedOnTargetPercentage)</f>
        <v>57.076499999999996</v>
      </c>
      <c r="GE320" s="41"/>
      <c r="GF320" s="40"/>
      <c r="GG320" s="31">
        <f>SnapshotTable[[#This Row],[Booked Sale Shares]] * SnapshotTable[[#This Row],[Booked Sale Price]]</f>
        <v>0</v>
      </c>
      <c r="GH320" s="31" t="str">
        <f>IF(SnapshotTable[[#This Row],[Equity Basis Total]] &gt; 0, SnapshotTable[[#This Row],[Equity Basis Per Share]] * SnapshotTable[[#This Row],[Booked Sale Shares]], "")</f>
        <v/>
      </c>
      <c r="GI320" s="31">
        <f>IF(SnapshotTable[[#This Row],[Sale Proceeds]]&gt;0, SnapshotTable[[#This Row],[Sale Proceeds]] - SnapshotTable[[#This Row],[Sale Basis]], 0)</f>
        <v>0</v>
      </c>
      <c r="GJ320" s="27" t="str">
        <f>IF(SnapshotTable[[#This Row],[Sale G/L]]&gt;0, SnapshotTable[[#This Row],[Sale G/L]] / SnapshotTable[[#This Row],[Sale Basis]], IF(ISNUMBER(SnapshotTable[[#This Row],[SC Exercise P&amp;L (TAX)]]), SnapshotTable[[#This Row],[SC Exercise P&amp;L (TAX)]] / SnapshotTable[[#This Row],[SC Basis]], ""))</f>
        <v/>
      </c>
      <c r="GK320" s="27"/>
      <c r="GL320" s="43" t="str">
        <f>IF(AND(SnapshotTable[[#This Row],[LP Exp Date]]&gt;0,SnapshotTable[[#This Row],[LP Strike Price]]&gt;0), [1]!ToOptionSymbol(SnapshotTable[[#This Row],[Symbol]], SnapshotTable[[#This Row],[LP Strike Price]],SnapshotTable[[#This Row],[LP Exp Date]],1), "")</f>
        <v/>
      </c>
      <c r="GM320" s="30" t="str">
        <f>IF(LEN(SnapshotTable[[#This Row],[LP Symbol]])&gt;0, 1, "")</f>
        <v/>
      </c>
      <c r="GN320" s="43" t="str">
        <f>IF(AND(SnapshotTable[[#This Row],[SP Exp Date]]&gt;0,SnapshotTable[[#This Row],[SP Strike Price]]&gt;0), [1]!ToOptionSymbol(SnapshotTable[[#This Row],[Symbol]], SnapshotTable[[#This Row],[SP Strike Price]],SnapshotTable[[#This Row],[SP Exp Date]],1), "")</f>
        <v/>
      </c>
      <c r="GO320" s="30" t="str">
        <f>IF(LEN(SnapshotTable[[#This Row],[SP Symbol]])&gt;0, 1, "")</f>
        <v/>
      </c>
      <c r="GP320" s="43" t="str">
        <f>IF(AND(SnapshotTable[[#This Row],[LC Exp Date]]&gt;0,SnapshotTable[[#This Row],[LC Strike Price]]&gt;0), [1]!ToOptionSymbol(SnapshotTable[[#This Row],[Symbol]], SnapshotTable[[#This Row],[LC Strike Price]],SnapshotTable[[#This Row],[LC Exp Date]],0), "")</f>
        <v/>
      </c>
      <c r="GQ320" s="30" t="str">
        <f>IF(LEN(SnapshotTable[[#This Row],[LC Symbol]])&gt;0, 1, "")</f>
        <v/>
      </c>
      <c r="GR320" s="43" t="str">
        <f>IF(AND(SnapshotTable[[#This Row],[SC Exp Date]]&gt;0,SnapshotTable[[#This Row],[SC Strike Price]]&gt;0), [1]!ToOptionSymbol(SnapshotTable[[#This Row],[Symbol]], SnapshotTable[[#This Row],[SC Strike Price]],SnapshotTable[[#This Row],[SC Exp Date]],0), "")</f>
        <v/>
      </c>
      <c r="GS320" s="30" t="str">
        <f>IF(LEN(SnapshotTable[[#This Row],[SC Symbol]])&gt;0, 1, "")</f>
        <v/>
      </c>
      <c r="GT320" s="29" t="str">
        <f>IF(COUNT(SnapshotTable[[#This Row],[LP Symbol Count]],SnapshotTable[[#This Row],[SP Symbol Count]],SnapshotTable[[#This Row],[LC Symbol Count]],SnapshotTable[[#This Row],[SC Symbol Count]])&gt;0, "Y", "")</f>
        <v/>
      </c>
      <c r="GU32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0" s="231" t="e">
        <f>MAX(SnapshotTable[[#This Row],[Equity Basis Total]],SnapshotTable[[#This Row],[Equity Value]]) + (SnapshotTable[[#This Row],[SP Potential Spend]]- SnapshotTable[[#This Row],[SP Premium]] + SnapshotTable[[#This Row],[LP Premium]])+ (SnapshotTable[[#This Row],[LC Premium]] - SnapshotTable[[#This Row],[SC Premium]])</f>
        <v>#VALUE!</v>
      </c>
      <c r="GW320" s="139" t="e">
        <f>IF(AND(SnapshotTable[[#This Row],[Exposure]] &lt;&gt; 0),SnapshotTable[[#This Row],[Exposure]] / SnapshotTable[[#Totals],[Exposure]], "")</f>
        <v>#VALUE!</v>
      </c>
      <c r="HK320" s="1"/>
      <c r="HL320" s="1"/>
      <c r="HM320" s="1"/>
      <c r="HN320" s="1"/>
      <c r="HO320" s="1"/>
      <c r="HP320" s="1"/>
    </row>
    <row r="321" spans="2:224" ht="12.75" hidden="1" customHeight="1" x14ac:dyDescent="0.25">
      <c r="B321" s="12" t="s">
        <v>35</v>
      </c>
      <c r="C321" s="422">
        <v>7.08</v>
      </c>
      <c r="D321" s="208"/>
      <c r="E321" s="39">
        <f>SnapshotTable[[#This Row],[Last Price]]*(1 -CrashDiscount)</f>
        <v>6.0179999999999998</v>
      </c>
      <c r="F321" s="26" t="s">
        <v>34</v>
      </c>
      <c r="G321" s="26" t="s">
        <v>17</v>
      </c>
      <c r="H321" s="149"/>
      <c r="I321" s="194">
        <v>44778.288194444445</v>
      </c>
      <c r="J321" s="195">
        <v>44778.288194444445</v>
      </c>
      <c r="K321" s="196"/>
      <c r="L321" s="326"/>
      <c r="M321" s="140"/>
      <c r="N321" s="140"/>
      <c r="O321" s="140"/>
      <c r="P321" s="22"/>
      <c r="Q321" s="25"/>
      <c r="R321" s="4" t="str">
        <f>IF(SnapshotTable[[#This Row],[Equity Basis Total]] &gt; 0, SnapshotTable[[#This Row],[Equity Basis Total]] / SnapshotTable[[#This Row],[Equity Shares]], "")</f>
        <v/>
      </c>
      <c r="S321" s="269">
        <f>SnapshotTable[[#This Row],[Last Price]] * SnapshotTable[[#This Row],[Equity Shares]]</f>
        <v>0</v>
      </c>
      <c r="T321" s="269">
        <f>SnapshotTable[[#This Row],[Equity Value]] - SnapshotTable[[#This Row],[Equity Basis Total]]</f>
        <v>0</v>
      </c>
      <c r="U321" s="270" t="str">
        <f>IF(SnapshotTable[[#This Row],[Equity Basis Total]] &gt; 0, SnapshotTable[[#This Row],[Equity G/L]] / SnapshotTable[[#This Row],[Equity Basis Total]], "")</f>
        <v/>
      </c>
      <c r="V321" s="268"/>
      <c r="W321" s="268"/>
      <c r="X321" s="4" t="str">
        <f>IF(AND(ISNUMBER(SnapshotTable[[#This Row],[Equity Basis Per Share]]),ISNUMBER(SnapshotTable[[#This Row],[Equity Target]])),SnapshotTable[[#This Row],[Equity Target]]-SnapshotTable[[#This Row],[Equity Basis Per Share]],"")</f>
        <v/>
      </c>
      <c r="Y321" s="4" t="str">
        <f>IF(AND(ISNUMBER(SnapshotTable[[#This Row],[Equity Basis Per Share]]),ISNUMBER(SnapshotTable[[#This Row],[Equity Stop Loss]])),SnapshotTable[[#This Row],[Equity Stop Loss]]-SnapshotTable[[#This Row],[Equity Basis Per Share]],"")</f>
        <v/>
      </c>
      <c r="Z321" s="275" t="str">
        <f>IFERROR( TEXT(SnapshotTable[[#This Row],[Equity Max Gain Per Share]] /ABS( SnapshotTable[[#This Row],[Equity Max Loss Per Share]]),"0.0 " ) &amp; " : 1", "")</f>
        <v/>
      </c>
      <c r="AA321" s="31" t="str">
        <f>IF(ISNUMBER(SnapshotTable[[#This Row],[Equity Max Gain Per Share]]),SnapshotTable[[#This Row],[Equity Max Gain Per Share]] * SnapshotTable[[#This Row],[Equity Shares]],"")</f>
        <v/>
      </c>
      <c r="AB321" s="31" t="str">
        <f>IF(ISNUMBER(SnapshotTable[[#This Row],[Equity Max Loss Per Share]]),SnapshotTable[[#This Row],[Equity Max Loss Per Share]] * SnapshotTable[[#This Row],[Equity Shares]],"")</f>
        <v/>
      </c>
      <c r="AC321" s="150">
        <v>0.3</v>
      </c>
      <c r="AD321" s="151">
        <v>42727</v>
      </c>
      <c r="AE321" s="31">
        <f>(SnapshotTable[[#This Row],[Annual Dividend Per Share]] / 4) * SnapshotTable[[#This Row],[Equity Shares]]</f>
        <v>0</v>
      </c>
      <c r="AF321" s="31">
        <f>SnapshotTable[[#This Row],[Quarterly Div $]] * 4</f>
        <v>0</v>
      </c>
      <c r="AG321" s="7">
        <f>IF(SnapshotTable[[#This Row],[Annual Dividend Per Share]]&gt;0, SnapshotTable[[#This Row],[Annual Dividend Per Share]]  / SnapshotTable[[#This Row],[Last Price]], 0)</f>
        <v>4.2372881355932202E-2</v>
      </c>
      <c r="AH321" s="151">
        <v>42703</v>
      </c>
      <c r="AI321" s="5"/>
      <c r="AJ321" s="138">
        <v>17.5</v>
      </c>
      <c r="AK321" s="152" t="str">
        <f>IF(ISNUMBER( SnapshotTable[[#This Row],[EBF Target]]),(SnapshotTable[[#This Row],[EBF Target]] - SnapshotTable[[#This Row],[Last Price]]) / SnapshotTable[[#This Row],[Last Price]], "")</f>
        <v/>
      </c>
      <c r="AL321" s="152" t="str">
        <f>IF(AND(SnapshotTable[[#This Row],[Equity Basis Total]] &gt; 0,ISNUMBER( SnapshotTable[[#This Row],[Long Term Target]])), SnapshotTable[[#This Row],[From Basis $]] / SnapshotTable[[#This Row],[Equity Basis Total]], "")</f>
        <v/>
      </c>
      <c r="AM321" s="9">
        <f>IF( AND(SnapshotTable[[#This Row],[Equity Shares]] &gt;0,ISNUMBER( SnapshotTable[[#This Row],[Long Term Target]])),(SnapshotTable[[#This Row],[Equity Shares]] * SnapshotTable[[#This Row],[Long Term Target]]) - SnapshotTable[[#This Row],[Equity Basis Total]],0)</f>
        <v>0</v>
      </c>
      <c r="AN321" s="9">
        <f>IF( AND(SnapshotTable[[#This Row],[Equity Shares]] &gt;0,ISNUMBER( SnapshotTable[[#This Row],[Long Term Target]])),(SnapshotTable[[#This Row],[Equity Shares]]*SnapshotTable[[#This Row],[Long Term Target]]) - SnapshotTable[[#This Row],[Equity Value]],0)</f>
        <v>0</v>
      </c>
      <c r="AO321" s="152">
        <f>IF(AND(ISNUMBER( SnapshotTable[[#This Row],[Long Term Target]]), ISNUMBER(SnapshotTable[[#This Row],[Last Price]])),(SnapshotTable[[#This Row],[Long Term Target]] - SnapshotTable[[#This Row],[Last Price]]) / SnapshotTable[[#This Row],[Last Price]], "")</f>
        <v>1.4717514124293785</v>
      </c>
      <c r="AP321" s="5"/>
      <c r="AQ321" s="38"/>
      <c r="AR321" s="5"/>
      <c r="AS321" s="38"/>
      <c r="AT321" s="146"/>
      <c r="AU321" s="187" t="str">
        <f>IF(OR(SnapshotTable[[#This Row],[LP No Fill]]="Y",SnapshotTable[[#This Row],[SP Is Filled]],SnapshotTable[[#This Row],[LC Not Filled]]="Y",SnapshotTable[[#This Row],[SC Is Filled]]),"Y","")</f>
        <v/>
      </c>
      <c r="AV321" s="219"/>
      <c r="AW321" s="225"/>
      <c r="AX321" s="220"/>
      <c r="AY321" s="219" t="str">
        <f>IF(SnapshotTable[[#This Row],[Implied Move]]&gt;0, SnapshotTable[[#This Row],[Last Price]]-SnapshotTable[[#This Row],[Implied Move]],"")</f>
        <v/>
      </c>
      <c r="AZ321" s="219" t="str">
        <f>IF(SnapshotTable[[#This Row],[Implied Move]]&gt;0, SnapshotTable[[#This Row],[Last Price]] + SnapshotTable[[#This Row],[Implied Move]],"")</f>
        <v/>
      </c>
      <c r="BA321" s="331"/>
      <c r="BB321" s="347"/>
      <c r="BC32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1" s="351"/>
      <c r="BE321" s="5"/>
      <c r="BF321" s="14"/>
      <c r="BG321" s="13"/>
      <c r="BH321" s="13"/>
      <c r="BI321" s="5"/>
      <c r="BJ321" s="136">
        <f>IF(SnapshotTable[[#This Row],[LP Qty]] &gt; 0, SnapshotTable[[#This Row],[LP Qty]] * SnapshotTable[[#This Row],[LP Book Price]] * 100,0)</f>
        <v>0</v>
      </c>
      <c r="BK321" s="136">
        <f>IF(SnapshotTable[[#This Row],[LP Premium]] &gt; 0, SnapshotTable[[#This Row],[LP Qty]] * SnapshotTable[[#This Row],[LP Strike Price]] * 100,0)</f>
        <v>0</v>
      </c>
      <c r="BL321" s="154"/>
      <c r="BM321" s="385" t="str">
        <f>IF(SnapshotTable[[#This Row],[LP Premium]] &gt; 0,SnapshotTable[[#This Row],[LP Exp Date]]-MAX(SnapshotTable[[#This Row],[LP Book Date]], SnapshotTable[[#This Row],[LP Fill Date]]),"")</f>
        <v/>
      </c>
      <c r="BN321" s="385" t="str">
        <f>IF(ISNUMBER( SnapshotTable[[#This Row],[LP Term]]), SnapshotTable[[#This Row],[LP Exp Date]] - MockToday,"")</f>
        <v/>
      </c>
      <c r="BO321" s="163" t="str">
        <f>IF(AND(SnapshotTable[[#This Row],[LP Exp Date]]&gt;0, SnapshotTable[[#This Row],[LP Strike Price]]&gt;0,SnapshotTable[[#This Row],[LP Qty]]&gt;0,SnapshotTable[[#This Row],[LP Book Date]]&gt;0,SnapshotTable[[#This Row],[LP Book Price]]&gt;0,SnapshotTable[[#This Row],[LP Fill Date]]=0),"Y","")</f>
        <v/>
      </c>
      <c r="BP321" s="31" t="str">
        <f>IF(AND(SnapshotTable[[#This Row],[LP No Fill]]&lt;&gt;"Y",SnapshotTable[[#This Row],[LP Contract Value]]&gt;0, SnapshotTable[[#This Row],[LP Qty]]&gt;0), SnapshotTable[[#This Row],[LP Contract Value]]*SnapshotTable[[#This Row],[LP Qty]]*100,"")</f>
        <v/>
      </c>
      <c r="BQ321" s="13"/>
      <c r="BR321" s="5" t="str">
        <f>IF(SnapshotTable[[#This Row],[SP Exp Date]]&lt;&gt;"",TRUNC(SnapshotTable[[#This Row],[Last Price]]),"")</f>
        <v/>
      </c>
      <c r="BS321" s="36"/>
      <c r="BT321" s="147"/>
      <c r="BU321" s="13"/>
      <c r="BV321" s="5"/>
      <c r="BW321" s="419" t="b">
        <f>AND(ISNUMBER(SnapshotTable[[#This Row],[SP Exp Date]]), ISNUMBER(SnapshotTable[[#This Row],[SP Strike Price]]), ISNUMBER(SnapshotTable[[#This Row],[SP Qty]]), ISNUMBER(SnapshotTable[[#This Row],[SP Book Date]]), ISNUMBER(SnapshotTable[[#This Row],[SP Book Price]]))</f>
        <v>0</v>
      </c>
      <c r="BX321" s="419" t="b">
        <f>AND(SnapshotTable[[#This Row],[SP Is Booked]], NOT(ISBLANK(SnapshotTable[[#This Row],[SP Fill Date]])))</f>
        <v>0</v>
      </c>
      <c r="BY321" s="33">
        <f>IF(SnapshotTable[[#This Row],[SP Is Booked]], SnapshotTable[[#This Row],[SP Qty]] * SnapshotTable[[#This Row],[SP Book Price]] * 100, 0)</f>
        <v>0</v>
      </c>
      <c r="BZ321" s="369"/>
      <c r="CA321" s="368">
        <f>SnapshotTable[[#This Row],[LP Qty]]</f>
        <v>0</v>
      </c>
      <c r="CB321" s="4" t="str">
        <f>IF(SnapshotTable[[#This Row],[SP Is Booked]], SnapshotTable[[#This Row],[SP Strike Price]] - SnapshotTable[[#This Row],[SP Book Price]], "")</f>
        <v/>
      </c>
      <c r="CC321" s="19" t="str">
        <f>IF(SnapshotTable[[#This Row],[SP Is Booked]],SnapshotTable[[#This Row],[SP Exp Date]]-MAX(SnapshotTable[[#This Row],[SP Book Date]], SnapshotTable[[#This Row],[SP Fill Date]]),"")</f>
        <v/>
      </c>
      <c r="CD321" s="7" t="str">
        <f>IF(SnapshotTable[[#This Row],[SP Is Booked]], SnapshotTable[[#This Row],[SP Book Price]]/SnapshotTable[[#This Row],[SP Strike Price]], "")</f>
        <v/>
      </c>
      <c r="CE321" s="7" t="str">
        <f>IF(ISNUMBER(SnapshotTable[[#This Row],[SP ROO Term]]),SnapshotTable[[#This Row],[SP ROO Term]]*(365/SnapshotTable[[#This Row],[SP Term]]),"")</f>
        <v/>
      </c>
      <c r="CF321" s="236">
        <f>SnapshotTable[[#This Row],[LP Strike Price]] * SnapshotTable[[#This Row],[LP Qty]] * 100</f>
        <v>0</v>
      </c>
      <c r="CG321" s="31" t="e">
        <f>IF(ISNUMBER(SnapshotTable[[#This Row],[SP Premium]]), (SnapshotTable[[#This Row],[SP Qty]] * SnapshotTable[[#This Row],[SP Strike Price]]* 100) - SnapshotTable[[#This Row],[LP Protection]], 0)</f>
        <v>#VALUE!</v>
      </c>
      <c r="CH321" s="7" t="str">
        <f>IF(ISNUMBER(SnapshotTable[[#This Row],[SP Break Even]]),-1 * (SnapshotTable[[#This Row],[SP Break Even]] - SnapshotTable[[#This Row],[Last Price]]) / SnapshotTable[[#This Row],[Last Price]], "")</f>
        <v/>
      </c>
      <c r="CI321" s="31">
        <f>IF(AND(ISNUMBER((SnapshotTable[[#This Row],[SP Potential Spend]])), SnapshotTable[[#This Row],[SP Strike Price]] &gt; SnapshotTable[[#This Row],[Last Price]], SnapshotTable[[#This Row],[SP Is Filled]]), SnapshotTable[[#This Row],[SP Potential Spend]] -  SnapshotTable[[#This Row],[LP Max Value]], 0)</f>
        <v>0</v>
      </c>
      <c r="CJ321" s="244"/>
      <c r="CK321" s="31" t="str">
        <f>IF(ISNUMBER(SnapshotTable[[#This Row],[SP Potential Spend]]),IF(ISNUMBER(SnapshotTable[[#This Row],[SP POW]]), SnapshotTable[[#This Row],[SP POW]] * SnapshotTable[[#This Row],[SP Potential Spend]], SnapshotTable[[#This Row],[SP Potential Spend]]), "")</f>
        <v/>
      </c>
      <c r="CL321" s="164" t="e">
        <f>IF(NOT(SnapshotTable[[#This Row],[SP Is Filled]]),(SnapshotTable[[#This Row],[SP Qty]] * SnapshotTable[[#This Row],[SP Strike Price]] * 100) - SnapshotTable[[#This Row],[LP Max Value]],"")</f>
        <v>#VALUE!</v>
      </c>
      <c r="CM321" s="31" t="str">
        <f>IF(SnapshotTable[[#This Row],[SP Actual Spend]]&lt;&gt;0, ((SnapshotTable[[#This Row],[SP Strike Price]]-SnapshotTable[[#This Row],[Last Price]]) *(SnapshotTable[[#This Row],[SP Qty]]*100) - SnapshotTable[[#This Row],[SP Premium]]) * - 1, "")</f>
        <v/>
      </c>
      <c r="CN321" s="78"/>
      <c r="CO321" s="369"/>
      <c r="CP321" s="4" t="str">
        <f>IF(SnapshotTable[[#This Row],[SP Is Filled]], btc_max_buyback_amount(SnapshotTable[[#This Row],[SP Fill Date]],SnapshotTable[[#This Row],[SP Exp Date]], SnapshotTable[[#This Row],[SP Book Price]]),"")</f>
        <v/>
      </c>
      <c r="CQ321" s="78"/>
      <c r="CR32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1" s="155" t="str">
        <f>IF(SnapshotTable[[#This Row],[SP Is Filled]], btc_next_cutoff_date(SnapshotTable[[#This Row],[SP Fill Date]],SnapshotTable[[#This Row],[SP Exp Date]]),"")</f>
        <v/>
      </c>
      <c r="CT321" s="235" t="str" cm="1">
        <f t="array" ref="CT321">IF(SnapshotTable[[#This Row],[SP Is Filled]], btc_should_buy_back(SnapshotTable[[#This Row],[SP Fill Date]], SnapshotTable[[#This Row],[SP Exp Date]], SnapshotTable[[#This Row],[SP Book Price]], SnapshotTable[[#This Row],[SP Current Ask]], MockToday, SnapshotTable[[#This Row],[SP Buyback Override]]),"")</f>
        <v/>
      </c>
      <c r="CU321" s="143"/>
      <c r="CV321" s="235"/>
      <c r="CW321" s="378" t="str">
        <f>IF(ISNUMBER( SnapshotTable[[#This Row],[SP Term]]), SnapshotTable[[#This Row],[SP Exp Date]] - MockToday,"")</f>
        <v/>
      </c>
      <c r="CX321" s="31" t="str">
        <f>IF(SnapshotTable[[#This Row],[SP Is Filled]],SnapshotTable[[#This Row],[SP Buyback Price to Use]] * 100 * SnapshotTable[[#This Row],[SP Qty]], "")</f>
        <v/>
      </c>
      <c r="CY321" s="4" t="str">
        <f>IF(ISNUMBER(SnapshotTable[[#This Row],[SP Strike Price]]), SnapshotTable[[#This Row],[SP Strike Price]] * (1 - SP_MaxLoss_StrikePct), "")</f>
        <v/>
      </c>
      <c r="CZ321" s="31" t="str">
        <f>IF(ISNUMBER(SnapshotTable[[#This Row],[SP Strike  Stop Per Share]]),SnapshotTable[[#This Row],[SP Premium]] - ((SnapshotTable[[#This Row],[SP Strike Price]]-SnapshotTable[[#This Row],[SP Strike  Stop Per Share]]) *(SnapshotTable[[#This Row],[SP Qty]] * 100)),"")</f>
        <v/>
      </c>
      <c r="DA321" s="4" t="str">
        <f>IF(AND(ISNUMBER(SnapshotTable[[#This Row],[SP Premium]]),SnapshotTable[[#This Row],[SP Premium]]&gt;0), SnapshotTable[[#This Row],[SP Book Price]] * (1 + SP_MaxLoss_OptionPct), "")</f>
        <v/>
      </c>
      <c r="DB321" s="31" t="str">
        <f>IF(ISNUMBER(SnapshotTable[[#This Row],[SP Option  Stop Contract]]),(SnapshotTable[[#This Row],[SP Option  Stop Contract]] *(SnapshotTable[[#This Row],[SP Qty]] * 100) - SnapshotTable[[#This Row],[SP Premium]]),"")</f>
        <v/>
      </c>
      <c r="DC321" s="4"/>
      <c r="DD321" s="4"/>
      <c r="DE321" s="4" t="str">
        <f>IF(AND(SnapshotTable[[#This Row],[SP Qty]]&gt;0, SnapshotTable[[#This Row],[SP Stop To Use]]&gt;0),SnapshotTable[[#This Row],[SP Premium]] - ( SnapshotTable[[#This Row],[SP Qty]] * SnapshotTable[[#This Row],[SP Stop To Use]] * 100), "")</f>
        <v/>
      </c>
      <c r="DF321" s="31" t="str">
        <f>IF(AND(SnapshotTable[[#This Row],[SP Qty]]&gt;0,SnapshotTable[[#This Row],[SP Current Ask]]&gt;0), SnapshotTable[[#This Row],[SP Qty]] * SnapshotTable[[#This Row],[SP Current Ask]] * -100, "")</f>
        <v/>
      </c>
      <c r="DG321" s="31" t="str">
        <f>IF(ISNUMBER((SnapshotTable[[#This Row],[SP Total Value]])), SnapshotTable[[#This Row],[SP Premium]] + SnapshotTable[[#This Row],[SP Total Value]], "")</f>
        <v/>
      </c>
      <c r="DH321" s="294" t="str">
        <f>IF(ISNUMBER((SnapshotTable[[#This Row],[SP Total Value]])), SnapshotTable[[#This Row],[SP Gain Loss]] / SnapshotTable[[#This Row],[SP Premium]], "")</f>
        <v/>
      </c>
      <c r="DI321" s="406"/>
      <c r="DJ321" s="138"/>
      <c r="DK321" s="148"/>
      <c r="DL321" s="13"/>
      <c r="DM321" s="13"/>
      <c r="DO321" s="31">
        <f>IF(SnapshotTable[[#This Row],[LC Symbol Count]]=1, SnapshotTable[[#This Row],[LC Qty]] * SnapshotTable[[#This Row],[LC Book Price]] * 100, 0)</f>
        <v>0</v>
      </c>
      <c r="DP321" s="163" t="str">
        <f>IF(AND(SnapshotTable[[#This Row],[LC Exp Date]]&gt;0, SnapshotTable[[#This Row],[LC Strike Price]]&gt;0,SnapshotTable[[#This Row],[LC Qty]]&gt;0,SnapshotTable[[#This Row],[LC Book Date]]&gt;0,SnapshotTable[[#This Row],[LC Book Price]]&gt;0,SnapshotTable[[#This Row],[LC Fill Date]]=0),"Y","")</f>
        <v/>
      </c>
      <c r="DQ321" s="386" t="str">
        <f>IF(SnapshotTable[[#This Row],[LC Premium]] &gt; 0,SnapshotTable[[#This Row],[LC Exp Date]]-MAX(SnapshotTable[[#This Row],[LC Book Date]], SnapshotTable[[#This Row],[LC Fill Date]]),"")</f>
        <v/>
      </c>
      <c r="DR321" s="386" t="str">
        <f>IF(ISNUMBER(SnapshotTable[[#This Row],[LC Term]]), SnapshotTable[[#This Row],[LC Exp Date]] - MockToday, "")</f>
        <v/>
      </c>
      <c r="DS321" s="234" t="str">
        <f>IF(SnapshotTable[[#This Row],[LC Premium]]&gt;0,SnapshotTable[[#This Row],[LC Strike Price]] + SnapshotTable[[#This Row],[LC Book Price]],"")</f>
        <v/>
      </c>
      <c r="DU321" s="9" t="str">
        <f>IF(AND(SnapshotTable[[#This Row],[LC Symbol Count]]&gt;0, SnapshotTable[[#This Row],[LC Contract Value]]&gt;0), SnapshotTable[[#This Row],[LC Contract Value]] * SnapshotTable[[#This Row],[LC Qty]] * 100, "")</f>
        <v/>
      </c>
      <c r="DV321" s="9" t="str">
        <f>IF(AND(ISNUMBER(SnapshotTable[[#This Row],[LC Total Value]]), SnapshotTable[[#This Row],[LC Not Filled]]&lt;&gt;"Y"), SnapshotTable[[#This Row],[LC Total Value]]-SnapshotTable[[#This Row],[LC Premium]],"")</f>
        <v/>
      </c>
      <c r="DW321" s="240" t="str">
        <f>IF(ISNUMBER(SnapshotTable[[#This Row],[LC Actual Gain Loss]]), SnapshotTable[[#This Row],[LC Actual Gain Loss]] / SnapshotTable[[#This Row],[LC Premium]],"")</f>
        <v/>
      </c>
      <c r="DX321" s="284" t="str">
        <f>IF(ISNUMBER(SnapshotTable[[#This Row],[LC Book Price]]),SnapshotTable[[#This Row],[LC Book Price]] * 1.5,"")</f>
        <v/>
      </c>
      <c r="DY321" s="265" t="str">
        <f>IF(SnapshotTable[[#This Row],[LC Premium]]&gt;0, SnapshotTable[[#This Row],[LC Next Target]] * SnapshotTable[[#This Row],[LC Qty]] * 100,"")</f>
        <v/>
      </c>
      <c r="DZ321" s="265" t="str">
        <f>IF(ISNUMBER(SnapshotTable[[#This Row],[LC Target Gross]]), SnapshotTable[[#This Row],[LC Target Gross]] - SnapshotTable[[#This Row],[LC Premium]], "")</f>
        <v/>
      </c>
      <c r="EA321" s="305" t="str">
        <f>IF(ISNUMBER(SnapshotTable[[#This Row],[LC Target Gain Loss]]), SnapshotTable[[#This Row],[LC Target Gain Loss]]/SnapshotTable[[#This Row],[LC Premium]], "")</f>
        <v/>
      </c>
      <c r="EB321" s="262"/>
      <c r="EC321" s="283" t="str">
        <f>IF(SnapshotTable[[#This Row],[LC Premium]]&gt;0, SnapshotTable[[#This Row],[LC Book Price]] * (1 - LC_StopLoss_Pct),"")</f>
        <v/>
      </c>
      <c r="ED321" s="284"/>
      <c r="EE321" s="283" t="str">
        <f>IF(ISNUMBER(SnapshotTable[[#This Row],[LC Contract Value]]),IF(ISNUMBER(SnapshotTable[[#This Row],[LC Stop Loss Override]]), SnapshotTable[[#This Row],[LC Stop Loss Override]],SnapshotTable[[#This Row],[LC Stop Loss Calc Target]]),"")</f>
        <v/>
      </c>
      <c r="EF321" s="31" t="str">
        <f>IF(ISNUMBER(SnapshotTable[[#This Row],[LC Stop  To Use]]), (SnapshotTable[[#This Row],[LC Stop  To Use]] * SnapshotTable[[#This Row],[LC Qty]] * 100),"")</f>
        <v/>
      </c>
      <c r="EG321" s="9" t="str">
        <f>IF(ISNUMBER(SnapshotTable[[#This Row],[LC Total Value]]),SnapshotTable[[#This Row],[LC Stop Loss Amount]] - SnapshotTable[[#This Row],[LC Premium]],"")</f>
        <v/>
      </c>
      <c r="EH321" s="9">
        <f>IF(ISNUMBER(SnapshotTable[[#This Row],[LC Premium]]), SnapshotTable[[#This Row],[LC Qty]] * 100 * SnapshotTable[[#This Row],[LC Strike Price]], "")</f>
        <v>0</v>
      </c>
      <c r="EI321" s="240" t="str">
        <f>IF(AND(ISNUMBER(SnapshotTable[[#This Row],[LC Total Value]]),SnapshotTable[[#This Row],[LC Total Value]]&gt;0),SnapshotTable[[#This Row],[LC Stop Gain Loss]]  / SnapshotTable[[#This Row],[LC Premium]],"")</f>
        <v/>
      </c>
      <c r="EJ321" s="35">
        <f>IF(ISNUMBER(SnapshotTable[[#This Row],[Equity Shares]]),TRUNC(SnapshotTable[[#This Row],[Equity Shares]] / 100),0) + SnapshotTable[[#This Row],[LC Qty]]</f>
        <v>0</v>
      </c>
      <c r="EK321" s="147"/>
      <c r="EL321" s="138" t="str">
        <f>IF(SnapshotTable[[#This Row],[SC Exp Date]]&lt;&gt;"",TRUNC(SnapshotTable[[#This Row],[Last Price]]),"")</f>
        <v/>
      </c>
      <c r="EM321" s="148"/>
      <c r="EN321" s="147"/>
      <c r="EO321" s="147"/>
      <c r="EP321" s="138"/>
      <c r="EQ321" s="419" t="b">
        <f>AND(ISNUMBER(SnapshotTable[[#This Row],[SC Exp Date]]), ISNUMBER(SnapshotTable[[#This Row],[SC Strike Price]]), ISNUMBER(SnapshotTable[[#This Row],[SC Qty]]), ISNUMBER(SnapshotTable[[#This Row],[SC Book Date]]), ISNUMBER(SnapshotTable[[#This Row],[SC Book Price]]))</f>
        <v>0</v>
      </c>
      <c r="ER321" s="419" t="b">
        <f>AND(SnapshotTable[[#This Row],[SC Is Booked]], NOT(ISBLANK(SnapshotTable[[#This Row],[SC Fill Date]])))</f>
        <v>0</v>
      </c>
      <c r="ES321" s="370"/>
      <c r="ET321" s="34" t="str">
        <f>IF(AND(ISNUMBER(SnapshotTable[[#This Row],[SC Exp Date]]), ISNUMBER(SnapshotTable[[#This Row],[SC Book Date]])), SnapshotTable[[#This Row],[SC Exp Date]] - MAX(SnapshotTable[[#This Row],[SC Book Date]], SnapshotTable[[#This Row],[SC Fill Date]]) + 1, "")</f>
        <v/>
      </c>
      <c r="EU321" s="34" t="str">
        <f>IF(ISNUMBER(SnapshotTable[[#This Row],[SC Term]]), SnapshotTable[[#This Row],[SC Exp Date]]- MockToday, "")</f>
        <v/>
      </c>
      <c r="EV321" s="31">
        <f>IF(SnapshotTable[[#This Row],[SC Is Booked]], SnapshotTable[[#This Row],[SC Qty]] * SnapshotTable[[#This Row],[SC Book Price]] * 100, 0)</f>
        <v>0</v>
      </c>
      <c r="EW321" s="4" t="str">
        <f>IF(AND(ISNUMBER(SnapshotTable[[#This Row],[Last Price]]), ISNUMBER( SnapshotTable[[#This Row],[SC Book Price]])), SnapshotTable[[#This Row],[Last Price]] - SnapshotTable[[#This Row],[SC Book Price]],"")</f>
        <v/>
      </c>
      <c r="EX321" s="234" t="str">
        <f>IF(SnapshotTable[[#This Row],[SC Is Booked]],IF(SnapshotTable[[#This Row],[SC Intrinsic Value]] &gt; 0, SnapshotTable[[#This Row],[SC Strike Price]], SnapshotTable[[#This Row],[Last Price]]), "")</f>
        <v/>
      </c>
      <c r="EY321" s="4">
        <f>IF(SnapshotTable[[#This Row],[SC Is Booked]], (MinimumPremiumRequired * SnapshotTable[[#This Row],[SC Basis]] * SnapshotTable[[#This Row],[SC Term]]), 0)</f>
        <v>0</v>
      </c>
      <c r="EZ321" s="283"/>
      <c r="FA321" s="218"/>
      <c r="FB321" s="370"/>
      <c r="FC321" s="4">
        <f>IF(SnapshotTable[[#This Row],[SC Is Filled]], btc_max_buyback_amount(SnapshotTable[[#This Row],[SC Fill Date]],SnapshotTable[[#This Row],[SC Exp Date]], SnapshotTable[[#This Row],[SC Book Price]]),0)</f>
        <v>0</v>
      </c>
      <c r="FD321" s="5"/>
      <c r="FE321" s="144" t="str">
        <f>IF(SnapshotTable[[#This Row],[SC Is Filled]], btc_next_cutoff_date(SnapshotTable[[#This Row],[SC Fill Date]],SnapshotTable[[#This Row],[SC Exp Date]]),"")</f>
        <v/>
      </c>
      <c r="FF321" s="4" t="str" cm="1">
        <f t="array" ref="FF321">IF(SnapshotTable[[#This Row],[SC Is Filled]], btc_should_buy_back(SnapshotTable[[#This Row],[SC Fill Date]], SnapshotTable[[#This Row],[SC Exp Date]], SnapshotTable[[#This Row],[SC Book Price]], SnapshotTable[[#This Row],[SC Current Ask]], MockToday, SnapshotTable[[#This Row],[SC Buyback Override]]),"")</f>
        <v/>
      </c>
      <c r="FG321" s="4">
        <f>IF(SnapshotTable[[#This Row],[SC Is Filled]], MAX(0,SnapshotTable[[#This Row],[Last Price]]  - SnapshotTable[[#This Row],[SC Strike Price]]), 0)</f>
        <v>0</v>
      </c>
      <c r="FH321" s="382">
        <f>IF(SnapshotTable[[#This Row],[SC Is Filled]], IF(ISNUMBER(SnapshotTable[[#This Row],[SC Current Ask]]), SnapshotTable[[#This Row],[SC Current Ask]], SnapshotTable[[#This Row],[SC Book Price]]) - SnapshotTable[[#This Row],[SC Intrinsic Value]], 0)</f>
        <v>0</v>
      </c>
      <c r="FI321" s="143"/>
      <c r="FJ321" s="32" t="str">
        <f>IF(SnapshotTable[[#This Row],[SC Is Filled]],100 * SnapshotTable[[#This Row],[SC Qty]] * IF(ISNUMBER(SnapshotTable[[#This Row],[SC Buyback Override]]), SnapshotTable[[#This Row],[SC Buyback Override]], SnapshotTable[[#This Row],[SC Current Ask]]), "")</f>
        <v/>
      </c>
      <c r="FK321" s="250" t="str">
        <f>IF(SnapshotTable[[#This Row],[SC Time Val]]&gt;0, SnapshotTable[[#This Row],[SC Time Val]] / SnapshotTable[[#This Row],[Last Price]],"")</f>
        <v/>
      </c>
      <c r="FL321" s="302" t="str">
        <f>IF(SnapshotTable[[#This Row],[SC Is Booked]], ((SnapshotTable[[#This Row],[Last Price]] -SnapshotTable[[#This Row],[SC Strike Price]]) / SnapshotTable[[#This Row],[Last Price]]) * -1, "")</f>
        <v/>
      </c>
      <c r="FM321" s="157" t="str">
        <f>IF(SnapshotTable[[#This Row],[SC Is Booked]],  (SnapshotTable[[#This Row],[SC Qty]] * 100 * SnapshotTable[[#This Row],[SC Strike Price]]) - SnapshotTable[[#This Row],[SC Current Ask]], "")</f>
        <v/>
      </c>
      <c r="FN32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1" s="31" t="str">
        <f>IF(AND(ISNUMBER(SnapshotTable[[#This Row],[SC Exercise Gross]]), ISNUMBER(SnapshotTable[[#This Row],[Equity Basis Per Share]] )), SnapshotTable[[#This Row],[SC Exercise Gross]] - SnapshotTable[[#This Row],[Equity Basis Total]] +  SnapshotTable[[#This Row],[SC Premium]], "")</f>
        <v/>
      </c>
      <c r="FP321" s="5" t="str">
        <f>IF(ISNUMBER(SnapshotTable[[#This Row],[SC Exercise Gross]]), (SnapshotTable[[#This Row],[SC Exercise Gross]]) / (SnapshotTable[[#This Row],[SC Qty]] * 100), "")</f>
        <v/>
      </c>
      <c r="FQ321" s="27" t="str">
        <f>IF(SnapshotTable[[#This Row],[SC Is Booked]],SnapshotTable[[#This Row],[SC Time Val]] /SnapshotTable[[#This Row],[SC Basis]], "")</f>
        <v/>
      </c>
      <c r="FR321" s="27" t="str" cm="1">
        <f t="array" ref="FR321">IF(AND(ISNUMBER(SnapshotTable[[#This Row],[SC Term]]),ISNUMBER(SnapshotTable[[#This Row],[SC Simple ROO]])), EllmanAnnualize(SnapshotTable[[#This Row],[SC DTE]], SnapshotTable[[#This Row],[SC Simple ROO]] ),"")</f>
        <v/>
      </c>
      <c r="FS321" s="4" t="e">
        <f>IF(SnapshotTable[[#This Row],[SC Strike Price]] &gt; SnapshotTable[[#This Row],[Last Price]], SnapshotTable[[#This Row],[SC Strike Price]] - SnapshotTable[[#This Row],[Last Price]],0)</f>
        <v>#VALUE!</v>
      </c>
      <c r="FT321" s="27" t="e">
        <f>IF(AND(ISNUMBER(SnapshotTable[[#This Row],[SC Upside Potential]]), SnapshotTable[[#This Row],[SC Upside Potential]] &gt; 0),(SnapshotTable[[#This Row],[SC Upside Potential]]/ SnapshotTable[[#This Row],[ACB]]),"")</f>
        <v>#VALUE!</v>
      </c>
      <c r="FU321" s="333" t="str">
        <f>IF(SnapshotTable[[#This Row],[SC Intrinsic Value]] &gt; 0,SnapshotTable[[#This Row],[SC Intrinsic Value]],"")</f>
        <v/>
      </c>
      <c r="FV321" s="27" t="str">
        <f>IF(AND( ISNUMBER( SnapshotTable[[#This Row],[ACB]]),ISNUMBER(SnapshotTable[[#This Row],[SC Downside Protect]])),SnapshotTable[[#This Row],[SC Downside Protect]] / SnapshotTable[[#This Row],[ACB]],"")</f>
        <v/>
      </c>
      <c r="FW321" s="236" t="str">
        <f>IF(AND(ISNUMBER(SnapshotTable[[#This Row],[SC Simple ROO]]),SnapshotTable[[#This Row],[SC Simple ROO]] &gt; 0), SnapshotTable[[#This Row],[SC Premium]] + (SnapshotTable[[#This Row],[SC Qty]] * SnapshotTable[[#This Row],[SC Upside Potential]]), "")</f>
        <v/>
      </c>
      <c r="FX321" s="302" t="str" cm="1">
        <f t="array" ref="FX321">IF(ISNUMBER(SnapshotTable[[#This Row],[SC Max Dollars]]), annualize(SnapshotTable[[#This Row],[SC Term]],(SnapshotTable[[#This Row],[SC Max Dollars]]/SnapshotTable[[#This Row],[SC Basis]])),"")</f>
        <v/>
      </c>
      <c r="FY321" s="236" t="str">
        <f>IF(AND(SnapshotTable[[#This Row],[SC Qty]]&gt;0,SnapshotTable[[#This Row],[SC Current Ask]]&gt;0), SnapshotTable[[#This Row],[SC Qty]] * SnapshotTable[[#This Row],[SC Current Ask]] * -100, "")</f>
        <v/>
      </c>
      <c r="FZ321" s="31" t="str">
        <f>IF(ISNUMBER((SnapshotTable[[#This Row],[SC Current Value]])), SnapshotTable[[#This Row],[SC Premium]] + SnapshotTable[[#This Row],[SC Current Value]], "")</f>
        <v/>
      </c>
      <c r="GA321" s="294" t="str">
        <f>IFERROR( IF(ISNUMBER((SnapshotTable[[#This Row],[SC Current Value]])), SnapshotTable[[#This Row],[SC Gain Loss]] / SnapshotTable[[#This Row],[SC Premium]], ""), "")</f>
        <v/>
      </c>
      <c r="GB321" s="42">
        <f>SnapshotTable[[#This Row],[Equity Shares]] * SaleSharesToConsiderPercentage</f>
        <v>0</v>
      </c>
      <c r="GC321" s="40">
        <f>SnapshotTable[[#This Row],[Long Term Target]] * SellingPriceToConsiderBasedOnTargetPercentage</f>
        <v>16.625</v>
      </c>
      <c r="GD321" s="40">
        <f>SnapshotTable[[#This Row],[Last Price]] * (1+ SellingPriceToConsiderBasedOnTargetPercentage)</f>
        <v>13.805999999999999</v>
      </c>
      <c r="GE321" s="41"/>
      <c r="GF321" s="40"/>
      <c r="GG321" s="31">
        <f>SnapshotTable[[#This Row],[Booked Sale Shares]] * SnapshotTable[[#This Row],[Booked Sale Price]]</f>
        <v>0</v>
      </c>
      <c r="GH321" s="31" t="str">
        <f>IF(SnapshotTable[[#This Row],[Equity Basis Total]] &gt; 0, SnapshotTable[[#This Row],[Equity Basis Per Share]] * SnapshotTable[[#This Row],[Booked Sale Shares]], "")</f>
        <v/>
      </c>
      <c r="GI321" s="31">
        <f>IF(SnapshotTable[[#This Row],[Sale Proceeds]]&gt;0, SnapshotTable[[#This Row],[Sale Proceeds]] - SnapshotTable[[#This Row],[Sale Basis]], 0)</f>
        <v>0</v>
      </c>
      <c r="GJ321" s="27" t="str">
        <f>IF(SnapshotTable[[#This Row],[Sale G/L]]&gt;0, SnapshotTable[[#This Row],[Sale G/L]] / SnapshotTable[[#This Row],[Sale Basis]], IF(ISNUMBER(SnapshotTable[[#This Row],[SC Exercise P&amp;L (TAX)]]), SnapshotTable[[#This Row],[SC Exercise P&amp;L (TAX)]] / SnapshotTable[[#This Row],[SC Basis]], ""))</f>
        <v/>
      </c>
      <c r="GK321" s="27" t="s">
        <v>778</v>
      </c>
      <c r="GL321" s="43" t="str">
        <f>IF(AND(SnapshotTable[[#This Row],[LP Exp Date]]&gt;0,SnapshotTable[[#This Row],[LP Strike Price]]&gt;0), [1]!ToOptionSymbol(SnapshotTable[[#This Row],[Symbol]], SnapshotTable[[#This Row],[LP Strike Price]],SnapshotTable[[#This Row],[LP Exp Date]],1), "")</f>
        <v/>
      </c>
      <c r="GM321" s="30" t="str">
        <f>IF(LEN(SnapshotTable[[#This Row],[LP Symbol]])&gt;0, 1, "")</f>
        <v/>
      </c>
      <c r="GN321" s="43" t="str">
        <f>IF(AND(SnapshotTable[[#This Row],[SP Exp Date]]&gt;0,SnapshotTable[[#This Row],[SP Strike Price]]&gt;0), [1]!ToOptionSymbol(SnapshotTable[[#This Row],[Symbol]], SnapshotTable[[#This Row],[SP Strike Price]],SnapshotTable[[#This Row],[SP Exp Date]],1), "")</f>
        <v/>
      </c>
      <c r="GO321" s="30" t="str">
        <f>IF(LEN(SnapshotTable[[#This Row],[SP Symbol]])&gt;0, 1, "")</f>
        <v/>
      </c>
      <c r="GP321" s="43" t="str">
        <f>IF(AND(SnapshotTable[[#This Row],[LC Exp Date]]&gt;0,SnapshotTable[[#This Row],[LC Strike Price]]&gt;0), [1]!ToOptionSymbol(SnapshotTable[[#This Row],[Symbol]], SnapshotTable[[#This Row],[LC Strike Price]],SnapshotTable[[#This Row],[LC Exp Date]],0), "")</f>
        <v/>
      </c>
      <c r="GQ321" s="30" t="str">
        <f>IF(LEN(SnapshotTable[[#This Row],[LC Symbol]])&gt;0, 1, "")</f>
        <v/>
      </c>
      <c r="GR321" s="43" t="str">
        <f>IF(AND(SnapshotTable[[#This Row],[SC Exp Date]]&gt;0,SnapshotTable[[#This Row],[SC Strike Price]]&gt;0), [1]!ToOptionSymbol(SnapshotTable[[#This Row],[Symbol]], SnapshotTable[[#This Row],[SC Strike Price]],SnapshotTable[[#This Row],[SC Exp Date]],0), "")</f>
        <v/>
      </c>
      <c r="GS321" s="30" t="str">
        <f>IF(LEN(SnapshotTable[[#This Row],[SC Symbol]])&gt;0, 1, "")</f>
        <v/>
      </c>
      <c r="GT321" s="29" t="str">
        <f>IF(COUNT(SnapshotTable[[#This Row],[LP Symbol Count]],SnapshotTable[[#This Row],[SP Symbol Count]],SnapshotTable[[#This Row],[LC Symbol Count]],SnapshotTable[[#This Row],[SC Symbol Count]])&gt;0, "Y", "")</f>
        <v/>
      </c>
      <c r="GU32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1" s="231" t="e">
        <f>MAX(SnapshotTable[[#This Row],[Equity Basis Total]],SnapshotTable[[#This Row],[Equity Value]]) + (SnapshotTable[[#This Row],[SP Potential Spend]]- SnapshotTable[[#This Row],[SP Premium]] + SnapshotTable[[#This Row],[LP Premium]])+ (SnapshotTable[[#This Row],[LC Premium]] - SnapshotTable[[#This Row],[SC Premium]])</f>
        <v>#VALUE!</v>
      </c>
      <c r="GW321" s="139" t="e">
        <f>IF(AND(SnapshotTable[[#This Row],[Exposure]] &lt;&gt; 0),SnapshotTable[[#This Row],[Exposure]] / SnapshotTable[[#Totals],[Exposure]], "")</f>
        <v>#VALUE!</v>
      </c>
      <c r="HK321" s="1"/>
      <c r="HL321" s="1"/>
      <c r="HM321" s="1"/>
      <c r="HN321" s="1"/>
      <c r="HO321" s="1"/>
      <c r="HP321" s="1"/>
    </row>
    <row r="322" spans="2:224" ht="12.75" hidden="1" customHeight="1" x14ac:dyDescent="0.25">
      <c r="B322" s="12" t="s">
        <v>528</v>
      </c>
      <c r="C322" s="422">
        <v>70.33</v>
      </c>
      <c r="D322" s="208" t="s">
        <v>885</v>
      </c>
      <c r="E322" s="39">
        <f>SnapshotTable[[#This Row],[Last Price]]*(1 -CrashDiscount)</f>
        <v>59.780499999999996</v>
      </c>
      <c r="F322" s="26" t="s">
        <v>613</v>
      </c>
      <c r="G322" s="26" t="s">
        <v>9</v>
      </c>
      <c r="H322" s="149"/>
      <c r="I322" s="194">
        <v>44776.291666666664</v>
      </c>
      <c r="J322" s="195">
        <v>44776.291666666664</v>
      </c>
      <c r="K322" s="196"/>
      <c r="L322" s="326"/>
      <c r="M322" s="140"/>
      <c r="N322" s="140"/>
      <c r="O322" s="140"/>
      <c r="P322" s="22"/>
      <c r="Q322" s="25"/>
      <c r="R322" s="4" t="str">
        <f>IF(SnapshotTable[[#This Row],[Equity Basis Total]] &gt; 0, SnapshotTable[[#This Row],[Equity Basis Total]] / SnapshotTable[[#This Row],[Equity Shares]], "")</f>
        <v/>
      </c>
      <c r="S322" s="269">
        <f>SnapshotTable[[#This Row],[Last Price]] * SnapshotTable[[#This Row],[Equity Shares]]</f>
        <v>0</v>
      </c>
      <c r="T322" s="269">
        <f>SnapshotTable[[#This Row],[Equity Value]] - SnapshotTable[[#This Row],[Equity Basis Total]]</f>
        <v>0</v>
      </c>
      <c r="U322" s="270" t="str">
        <f>IF(SnapshotTable[[#This Row],[Equity Basis Total]] &gt; 0, SnapshotTable[[#This Row],[Equity G/L]] / SnapshotTable[[#This Row],[Equity Basis Total]], "")</f>
        <v/>
      </c>
      <c r="V322" s="268">
        <v>65</v>
      </c>
      <c r="W322" s="268">
        <v>54.81</v>
      </c>
      <c r="X322" s="4" t="str">
        <f>IF(AND(ISNUMBER(SnapshotTable[[#This Row],[Equity Basis Per Share]]),ISNUMBER(SnapshotTable[[#This Row],[Equity Target]])),SnapshotTable[[#This Row],[Equity Target]]-SnapshotTable[[#This Row],[Equity Basis Per Share]],"")</f>
        <v/>
      </c>
      <c r="Y322" s="4" t="str">
        <f>IF(AND(ISNUMBER(SnapshotTable[[#This Row],[Equity Basis Per Share]]),ISNUMBER(SnapshotTable[[#This Row],[Equity Stop Loss]])),SnapshotTable[[#This Row],[Equity Stop Loss]]-SnapshotTable[[#This Row],[Equity Basis Per Share]],"")</f>
        <v/>
      </c>
      <c r="Z322" s="275" t="str">
        <f>IFERROR( TEXT(SnapshotTable[[#This Row],[Equity Max Gain Per Share]] /ABS( SnapshotTable[[#This Row],[Equity Max Loss Per Share]]),"0.0 " ) &amp; " : 1", "")</f>
        <v/>
      </c>
      <c r="AA322" s="31" t="str">
        <f>IF(ISNUMBER(SnapshotTable[[#This Row],[Equity Max Gain Per Share]]),SnapshotTable[[#This Row],[Equity Max Gain Per Share]] * SnapshotTable[[#This Row],[Equity Shares]],"")</f>
        <v/>
      </c>
      <c r="AB322" s="31" t="str">
        <f>IF(ISNUMBER(SnapshotTable[[#This Row],[Equity Max Loss Per Share]]),SnapshotTable[[#This Row],[Equity Max Loss Per Share]] * SnapshotTable[[#This Row],[Equity Shares]],"")</f>
        <v/>
      </c>
      <c r="AC322" s="150"/>
      <c r="AD322" s="151"/>
      <c r="AE322" s="31">
        <f>(SnapshotTable[[#This Row],[Annual Dividend Per Share]] / 4) * SnapshotTable[[#This Row],[Equity Shares]]</f>
        <v>0</v>
      </c>
      <c r="AF322" s="31">
        <f>SnapshotTable[[#This Row],[Quarterly Div $]] * 4</f>
        <v>0</v>
      </c>
      <c r="AG322" s="7">
        <f>IF(SnapshotTable[[#This Row],[Annual Dividend Per Share]]&gt;0, SnapshotTable[[#This Row],[Annual Dividend Per Share]]  / SnapshotTable[[#This Row],[Last Price]], 0)</f>
        <v>0</v>
      </c>
      <c r="AH322" s="151"/>
      <c r="AI322" s="5"/>
      <c r="AJ322" s="138">
        <v>57.25</v>
      </c>
      <c r="AK322" s="152" t="str">
        <f>IF(ISNUMBER( SnapshotTable[[#This Row],[EBF Target]]),(SnapshotTable[[#This Row],[EBF Target]] - SnapshotTable[[#This Row],[Last Price]]) / SnapshotTable[[#This Row],[Last Price]], "")</f>
        <v/>
      </c>
      <c r="AL322" s="152" t="str">
        <f>IF(AND(SnapshotTable[[#This Row],[Equity Basis Total]] &gt; 0,ISNUMBER( SnapshotTable[[#This Row],[Long Term Target]])), SnapshotTable[[#This Row],[From Basis $]] / SnapshotTable[[#This Row],[Equity Basis Total]], "")</f>
        <v/>
      </c>
      <c r="AM322" s="9">
        <f>IF( AND(SnapshotTable[[#This Row],[Equity Shares]] &gt;0,ISNUMBER( SnapshotTable[[#This Row],[Long Term Target]])),(SnapshotTable[[#This Row],[Equity Shares]] * SnapshotTable[[#This Row],[Long Term Target]]) - SnapshotTable[[#This Row],[Equity Basis Total]],0)</f>
        <v>0</v>
      </c>
      <c r="AN322" s="9">
        <f>IF( AND(SnapshotTable[[#This Row],[Equity Shares]] &gt;0,ISNUMBER( SnapshotTable[[#This Row],[Long Term Target]])),(SnapshotTable[[#This Row],[Equity Shares]]*SnapshotTable[[#This Row],[Long Term Target]]) - SnapshotTable[[#This Row],[Equity Value]],0)</f>
        <v>0</v>
      </c>
      <c r="AO322" s="152">
        <f>IF(AND(ISNUMBER( SnapshotTable[[#This Row],[Long Term Target]]), ISNUMBER(SnapshotTable[[#This Row],[Last Price]])),(SnapshotTable[[#This Row],[Long Term Target]] - SnapshotTable[[#This Row],[Last Price]]) / SnapshotTable[[#This Row],[Last Price]], "")</f>
        <v>-0.18598037821697708</v>
      </c>
      <c r="AP322" s="5">
        <v>65</v>
      </c>
      <c r="AQ322" s="38" t="s">
        <v>27</v>
      </c>
      <c r="AR322" s="5">
        <v>54</v>
      </c>
      <c r="AS322" s="38" t="s">
        <v>26</v>
      </c>
      <c r="AT322" s="146" t="s">
        <v>553</v>
      </c>
      <c r="AU322" s="187" t="str">
        <f>IF(OR(SnapshotTable[[#This Row],[LP No Fill]]="Y",SnapshotTable[[#This Row],[SP Is Filled]],SnapshotTable[[#This Row],[LC Not Filled]]="Y",SnapshotTable[[#This Row],[SC Is Filled]]),"Y","")</f>
        <v/>
      </c>
      <c r="AV322" s="219"/>
      <c r="AW322" s="225">
        <v>4.827</v>
      </c>
      <c r="AX322" s="220">
        <v>44239</v>
      </c>
      <c r="AY322" s="219">
        <f>IF(SnapshotTable[[#This Row],[Implied Move]]&gt;0, SnapshotTable[[#This Row],[Last Price]]-SnapshotTable[[#This Row],[Implied Move]],"")</f>
        <v>65.503</v>
      </c>
      <c r="AZ322" s="219">
        <f>IF(SnapshotTable[[#This Row],[Implied Move]]&gt;0, SnapshotTable[[#This Row],[Last Price]] + SnapshotTable[[#This Row],[Implied Move]],"")</f>
        <v>75.156999999999996</v>
      </c>
      <c r="BA322" s="331">
        <v>58.25</v>
      </c>
      <c r="BB322" s="347"/>
      <c r="BC32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2" s="351"/>
      <c r="BE322" s="5"/>
      <c r="BF322" s="14"/>
      <c r="BG322" s="13"/>
      <c r="BH322" s="13"/>
      <c r="BI322" s="5"/>
      <c r="BJ322" s="136">
        <f>IF(SnapshotTable[[#This Row],[LP Qty]] &gt; 0, SnapshotTable[[#This Row],[LP Qty]] * SnapshotTable[[#This Row],[LP Book Price]] * 100,0)</f>
        <v>0</v>
      </c>
      <c r="BK322" s="136">
        <f>IF(SnapshotTable[[#This Row],[LP Premium]] &gt; 0, SnapshotTable[[#This Row],[LP Qty]] * SnapshotTable[[#This Row],[LP Strike Price]] * 100,0)</f>
        <v>0</v>
      </c>
      <c r="BL322" s="154"/>
      <c r="BM322" s="385" t="str">
        <f>IF(SnapshotTable[[#This Row],[LP Premium]] &gt; 0,SnapshotTable[[#This Row],[LP Exp Date]]-MAX(SnapshotTable[[#This Row],[LP Book Date]], SnapshotTable[[#This Row],[LP Fill Date]]),"")</f>
        <v/>
      </c>
      <c r="BN322" s="385" t="str">
        <f>IF(ISNUMBER( SnapshotTable[[#This Row],[LP Term]]), SnapshotTable[[#This Row],[LP Exp Date]] - MockToday,"")</f>
        <v/>
      </c>
      <c r="BO322" s="163" t="str">
        <f>IF(AND(SnapshotTable[[#This Row],[LP Exp Date]]&gt;0, SnapshotTable[[#This Row],[LP Strike Price]]&gt;0,SnapshotTable[[#This Row],[LP Qty]]&gt;0,SnapshotTable[[#This Row],[LP Book Date]]&gt;0,SnapshotTable[[#This Row],[LP Book Price]]&gt;0,SnapshotTable[[#This Row],[LP Fill Date]]=0),"Y","")</f>
        <v/>
      </c>
      <c r="BP322" s="31" t="str">
        <f>IF(AND(SnapshotTable[[#This Row],[LP No Fill]]&lt;&gt;"Y",SnapshotTable[[#This Row],[LP Contract Value]]&gt;0, SnapshotTable[[#This Row],[LP Qty]]&gt;0), SnapshotTable[[#This Row],[LP Contract Value]]*SnapshotTable[[#This Row],[LP Qty]]*100,"")</f>
        <v/>
      </c>
      <c r="BQ322" s="13"/>
      <c r="BR322" s="5" t="str">
        <f>IF(SnapshotTable[[#This Row],[SP Exp Date]]&lt;&gt;"",TRUNC(SnapshotTable[[#This Row],[Last Price]]),"")</f>
        <v/>
      </c>
      <c r="BS322" s="36"/>
      <c r="BT322" s="147"/>
      <c r="BU322" s="13"/>
      <c r="BV322" s="5"/>
      <c r="BW322" s="419" t="b">
        <f>AND(ISNUMBER(SnapshotTable[[#This Row],[SP Exp Date]]), ISNUMBER(SnapshotTable[[#This Row],[SP Strike Price]]), ISNUMBER(SnapshotTable[[#This Row],[SP Qty]]), ISNUMBER(SnapshotTable[[#This Row],[SP Book Date]]), ISNUMBER(SnapshotTable[[#This Row],[SP Book Price]]))</f>
        <v>0</v>
      </c>
      <c r="BX322" s="419" t="b">
        <f>AND(SnapshotTable[[#This Row],[SP Is Booked]], NOT(ISBLANK(SnapshotTable[[#This Row],[SP Fill Date]])))</f>
        <v>0</v>
      </c>
      <c r="BY322" s="33">
        <f>IF(SnapshotTable[[#This Row],[SP Is Booked]], SnapshotTable[[#This Row],[SP Qty]] * SnapshotTable[[#This Row],[SP Book Price]] * 100, 0)</f>
        <v>0</v>
      </c>
      <c r="BZ322" s="369"/>
      <c r="CA322" s="368">
        <f>SnapshotTable[[#This Row],[LP Qty]]</f>
        <v>0</v>
      </c>
      <c r="CB322" s="4" t="str">
        <f>IF(SnapshotTable[[#This Row],[SP Is Booked]], SnapshotTable[[#This Row],[SP Strike Price]] - SnapshotTable[[#This Row],[SP Book Price]], "")</f>
        <v/>
      </c>
      <c r="CC322" s="19" t="str">
        <f>IF(SnapshotTable[[#This Row],[SP Is Booked]],SnapshotTable[[#This Row],[SP Exp Date]]-MAX(SnapshotTable[[#This Row],[SP Book Date]], SnapshotTable[[#This Row],[SP Fill Date]]),"")</f>
        <v/>
      </c>
      <c r="CD322" s="7" t="str">
        <f>IF(SnapshotTable[[#This Row],[SP Is Booked]], SnapshotTable[[#This Row],[SP Book Price]]/SnapshotTable[[#This Row],[SP Strike Price]], "")</f>
        <v/>
      </c>
      <c r="CE322" s="7" t="str">
        <f>IF(ISNUMBER(SnapshotTable[[#This Row],[SP ROO Term]]),SnapshotTable[[#This Row],[SP ROO Term]]*(365/SnapshotTable[[#This Row],[SP Term]]),"")</f>
        <v/>
      </c>
      <c r="CF322" s="236">
        <f>SnapshotTable[[#This Row],[LP Strike Price]] * SnapshotTable[[#This Row],[LP Qty]] * 100</f>
        <v>0</v>
      </c>
      <c r="CG322" s="31" t="e">
        <f>IF(ISNUMBER(SnapshotTable[[#This Row],[SP Premium]]), (SnapshotTable[[#This Row],[SP Qty]] * SnapshotTable[[#This Row],[SP Strike Price]]* 100) - SnapshotTable[[#This Row],[LP Protection]], 0)</f>
        <v>#VALUE!</v>
      </c>
      <c r="CH322" s="7" t="str">
        <f>IF(ISNUMBER(SnapshotTable[[#This Row],[SP Break Even]]),-1 * (SnapshotTable[[#This Row],[SP Break Even]] - SnapshotTable[[#This Row],[Last Price]]) / SnapshotTable[[#This Row],[Last Price]], "")</f>
        <v/>
      </c>
      <c r="CI322" s="31">
        <f>IF(AND(ISNUMBER((SnapshotTable[[#This Row],[SP Potential Spend]])), SnapshotTable[[#This Row],[SP Strike Price]] &gt; SnapshotTable[[#This Row],[Last Price]], SnapshotTable[[#This Row],[SP Is Filled]]), SnapshotTable[[#This Row],[SP Potential Spend]] -  SnapshotTable[[#This Row],[LP Max Value]], 0)</f>
        <v>0</v>
      </c>
      <c r="CJ322" s="244">
        <v>1</v>
      </c>
      <c r="CK322" s="31" t="str">
        <f>IF(ISNUMBER(SnapshotTable[[#This Row],[SP Potential Spend]]),IF(ISNUMBER(SnapshotTable[[#This Row],[SP POW]]), SnapshotTable[[#This Row],[SP POW]] * SnapshotTable[[#This Row],[SP Potential Spend]], SnapshotTable[[#This Row],[SP Potential Spend]]), "")</f>
        <v/>
      </c>
      <c r="CL322" s="164" t="e">
        <f>IF(NOT(SnapshotTable[[#This Row],[SP Is Filled]]),(SnapshotTable[[#This Row],[SP Qty]] * SnapshotTable[[#This Row],[SP Strike Price]] * 100) - SnapshotTable[[#This Row],[LP Max Value]],"")</f>
        <v>#VALUE!</v>
      </c>
      <c r="CM322" s="31" t="str">
        <f>IF(SnapshotTable[[#This Row],[SP Actual Spend]]&lt;&gt;0, ((SnapshotTable[[#This Row],[SP Strike Price]]-SnapshotTable[[#This Row],[Last Price]]) *(SnapshotTable[[#This Row],[SP Qty]]*100) - SnapshotTable[[#This Row],[SP Premium]]) * - 1, "")</f>
        <v/>
      </c>
      <c r="CN322" s="78"/>
      <c r="CO322" s="369"/>
      <c r="CP322" s="4" t="str">
        <f>IF(SnapshotTable[[#This Row],[SP Is Filled]], btc_max_buyback_amount(SnapshotTable[[#This Row],[SP Fill Date]],SnapshotTable[[#This Row],[SP Exp Date]], SnapshotTable[[#This Row],[SP Book Price]]),"")</f>
        <v/>
      </c>
      <c r="CQ322" s="78"/>
      <c r="CR32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2" s="155" t="str">
        <f>IF(SnapshotTable[[#This Row],[SP Is Filled]], btc_next_cutoff_date(SnapshotTable[[#This Row],[SP Fill Date]],SnapshotTable[[#This Row],[SP Exp Date]]),"")</f>
        <v/>
      </c>
      <c r="CT322" s="235" t="str" cm="1">
        <f t="array" ref="CT322">IF(SnapshotTable[[#This Row],[SP Is Filled]], btc_should_buy_back(SnapshotTable[[#This Row],[SP Fill Date]], SnapshotTable[[#This Row],[SP Exp Date]], SnapshotTable[[#This Row],[SP Book Price]], SnapshotTable[[#This Row],[SP Current Ask]], MockToday, SnapshotTable[[#This Row],[SP Buyback Override]]),"")</f>
        <v/>
      </c>
      <c r="CU322" s="143"/>
      <c r="CV322" s="235"/>
      <c r="CW322" s="378" t="str">
        <f>IF(ISNUMBER( SnapshotTable[[#This Row],[SP Term]]), SnapshotTable[[#This Row],[SP Exp Date]] - MockToday,"")</f>
        <v/>
      </c>
      <c r="CX322" s="31" t="str">
        <f>IF(SnapshotTable[[#This Row],[SP Is Filled]],SnapshotTable[[#This Row],[SP Buyback Price to Use]] * 100 * SnapshotTable[[#This Row],[SP Qty]], "")</f>
        <v/>
      </c>
      <c r="CY322" s="4" t="str">
        <f>IF(ISNUMBER(SnapshotTable[[#This Row],[SP Strike Price]]), SnapshotTable[[#This Row],[SP Strike Price]] * (1 - SP_MaxLoss_StrikePct), "")</f>
        <v/>
      </c>
      <c r="CZ322" s="31" t="str">
        <f>IF(ISNUMBER(SnapshotTable[[#This Row],[SP Strike  Stop Per Share]]),SnapshotTable[[#This Row],[SP Premium]] - ((SnapshotTable[[#This Row],[SP Strike Price]]-SnapshotTable[[#This Row],[SP Strike  Stop Per Share]]) *(SnapshotTable[[#This Row],[SP Qty]] * 100)),"")</f>
        <v/>
      </c>
      <c r="DA322" s="4" t="str">
        <f>IF(AND(ISNUMBER(SnapshotTable[[#This Row],[SP Premium]]),SnapshotTable[[#This Row],[SP Premium]]&gt;0), SnapshotTable[[#This Row],[SP Book Price]] * (1 + SP_MaxLoss_OptionPct), "")</f>
        <v/>
      </c>
      <c r="DB322" s="31" t="str">
        <f>IF(ISNUMBER(SnapshotTable[[#This Row],[SP Option  Stop Contract]]),(SnapshotTable[[#This Row],[SP Option  Stop Contract]] *(SnapshotTable[[#This Row],[SP Qty]] * 100) - SnapshotTable[[#This Row],[SP Premium]]),"")</f>
        <v/>
      </c>
      <c r="DC322" s="4"/>
      <c r="DD322" s="4"/>
      <c r="DE322" s="4" t="str">
        <f>IF(AND(SnapshotTable[[#This Row],[SP Qty]]&gt;0, SnapshotTable[[#This Row],[SP Stop To Use]]&gt;0),SnapshotTable[[#This Row],[SP Premium]] - ( SnapshotTable[[#This Row],[SP Qty]] * SnapshotTable[[#This Row],[SP Stop To Use]] * 100), "")</f>
        <v/>
      </c>
      <c r="DF322" s="31" t="str">
        <f>IF(AND(SnapshotTable[[#This Row],[SP Qty]]&gt;0,SnapshotTable[[#This Row],[SP Current Ask]]&gt;0), SnapshotTable[[#This Row],[SP Qty]] * SnapshotTable[[#This Row],[SP Current Ask]] * -100, "")</f>
        <v/>
      </c>
      <c r="DG322" s="31" t="str">
        <f>IF(ISNUMBER((SnapshotTable[[#This Row],[SP Total Value]])), SnapshotTable[[#This Row],[SP Premium]] + SnapshotTable[[#This Row],[SP Total Value]], "")</f>
        <v/>
      </c>
      <c r="DH322" s="294" t="str">
        <f>IF(ISNUMBER((SnapshotTable[[#This Row],[SP Total Value]])), SnapshotTable[[#This Row],[SP Gain Loss]] / SnapshotTable[[#This Row],[SP Premium]], "")</f>
        <v/>
      </c>
      <c r="DI322" s="406"/>
      <c r="DJ322" s="138"/>
      <c r="DK322" s="148"/>
      <c r="DL322" s="13"/>
      <c r="DM322" s="13"/>
      <c r="DO322" s="31">
        <f>IF(SnapshotTable[[#This Row],[LC Symbol Count]]=1, SnapshotTable[[#This Row],[LC Qty]] * SnapshotTable[[#This Row],[LC Book Price]] * 100, 0)</f>
        <v>0</v>
      </c>
      <c r="DP322" s="163" t="str">
        <f>IF(AND(SnapshotTable[[#This Row],[LC Exp Date]]&gt;0, SnapshotTable[[#This Row],[LC Strike Price]]&gt;0,SnapshotTable[[#This Row],[LC Qty]]&gt;0,SnapshotTable[[#This Row],[LC Book Date]]&gt;0,SnapshotTable[[#This Row],[LC Book Price]]&gt;0,SnapshotTable[[#This Row],[LC Fill Date]]=0),"Y","")</f>
        <v/>
      </c>
      <c r="DQ322" s="386" t="str">
        <f>IF(SnapshotTable[[#This Row],[LC Premium]] &gt; 0,SnapshotTable[[#This Row],[LC Exp Date]]-MAX(SnapshotTable[[#This Row],[LC Book Date]], SnapshotTable[[#This Row],[LC Fill Date]]),"")</f>
        <v/>
      </c>
      <c r="DR322" s="386" t="str">
        <f>IF(ISNUMBER(SnapshotTable[[#This Row],[LC Term]]), SnapshotTable[[#This Row],[LC Exp Date]] - MockToday, "")</f>
        <v/>
      </c>
      <c r="DS322" s="234" t="str">
        <f>IF(SnapshotTable[[#This Row],[LC Premium]]&gt;0,SnapshotTable[[#This Row],[LC Strike Price]] + SnapshotTable[[#This Row],[LC Book Price]],"")</f>
        <v/>
      </c>
      <c r="DU322" s="9" t="str">
        <f>IF(AND(SnapshotTable[[#This Row],[LC Symbol Count]]&gt;0, SnapshotTable[[#This Row],[LC Contract Value]]&gt;0), SnapshotTable[[#This Row],[LC Contract Value]] * SnapshotTable[[#This Row],[LC Qty]] * 100, "")</f>
        <v/>
      </c>
      <c r="DV322" s="9" t="str">
        <f>IF(AND(ISNUMBER(SnapshotTable[[#This Row],[LC Total Value]]), SnapshotTable[[#This Row],[LC Not Filled]]&lt;&gt;"Y"), SnapshotTable[[#This Row],[LC Total Value]]-SnapshotTable[[#This Row],[LC Premium]],"")</f>
        <v/>
      </c>
      <c r="DW322" s="240" t="str">
        <f>IF(ISNUMBER(SnapshotTable[[#This Row],[LC Actual Gain Loss]]), SnapshotTable[[#This Row],[LC Actual Gain Loss]] / SnapshotTable[[#This Row],[LC Premium]],"")</f>
        <v/>
      </c>
      <c r="DX322" s="284" t="str">
        <f>IF(ISNUMBER(SnapshotTable[[#This Row],[LC Book Price]]),SnapshotTable[[#This Row],[LC Book Price]] * 1.5,"")</f>
        <v/>
      </c>
      <c r="DY322" s="265" t="str">
        <f>IF(SnapshotTable[[#This Row],[LC Premium]]&gt;0, SnapshotTable[[#This Row],[LC Next Target]] * SnapshotTable[[#This Row],[LC Qty]] * 100,"")</f>
        <v/>
      </c>
      <c r="DZ322" s="265" t="str">
        <f>IF(ISNUMBER(SnapshotTable[[#This Row],[LC Target Gross]]), SnapshotTable[[#This Row],[LC Target Gross]] - SnapshotTable[[#This Row],[LC Premium]], "")</f>
        <v/>
      </c>
      <c r="EA322" s="305" t="str">
        <f>IF(ISNUMBER(SnapshotTable[[#This Row],[LC Target Gain Loss]]), SnapshotTable[[#This Row],[LC Target Gain Loss]]/SnapshotTable[[#This Row],[LC Premium]], "")</f>
        <v/>
      </c>
      <c r="EB322" s="262"/>
      <c r="EC322" s="283" t="str">
        <f>IF(SnapshotTable[[#This Row],[LC Premium]]&gt;0, SnapshotTable[[#This Row],[LC Book Price]] * (1 - LC_StopLoss_Pct),"")</f>
        <v/>
      </c>
      <c r="ED322" s="284"/>
      <c r="EE322" s="283" t="str">
        <f>IF(ISNUMBER(SnapshotTable[[#This Row],[LC Contract Value]]),IF(ISNUMBER(SnapshotTable[[#This Row],[LC Stop Loss Override]]), SnapshotTable[[#This Row],[LC Stop Loss Override]],SnapshotTable[[#This Row],[LC Stop Loss Calc Target]]),"")</f>
        <v/>
      </c>
      <c r="EF322" s="31" t="str">
        <f>IF(ISNUMBER(SnapshotTable[[#This Row],[LC Stop  To Use]]), (SnapshotTable[[#This Row],[LC Stop  To Use]] * SnapshotTable[[#This Row],[LC Qty]] * 100),"")</f>
        <v/>
      </c>
      <c r="EG322" s="9" t="str">
        <f>IF(ISNUMBER(SnapshotTable[[#This Row],[LC Total Value]]),SnapshotTable[[#This Row],[LC Stop Loss Amount]] - SnapshotTable[[#This Row],[LC Premium]],"")</f>
        <v/>
      </c>
      <c r="EH322" s="9">
        <f>IF(ISNUMBER(SnapshotTable[[#This Row],[LC Premium]]), SnapshotTable[[#This Row],[LC Qty]] * 100 * SnapshotTable[[#This Row],[LC Strike Price]], "")</f>
        <v>0</v>
      </c>
      <c r="EI322" s="240" t="str">
        <f>IF(AND(ISNUMBER(SnapshotTable[[#This Row],[LC Total Value]]),SnapshotTable[[#This Row],[LC Total Value]]&gt;0),SnapshotTable[[#This Row],[LC Stop Gain Loss]]  / SnapshotTable[[#This Row],[LC Premium]],"")</f>
        <v/>
      </c>
      <c r="EJ322" s="35">
        <f>IF(ISNUMBER(SnapshotTable[[#This Row],[Equity Shares]]),TRUNC(SnapshotTable[[#This Row],[Equity Shares]] / 100),0) + SnapshotTable[[#This Row],[LC Qty]]</f>
        <v>0</v>
      </c>
      <c r="EK322" s="147"/>
      <c r="EL322" s="138" t="str">
        <f>IF(SnapshotTable[[#This Row],[SC Exp Date]]&lt;&gt;"",TRUNC(SnapshotTable[[#This Row],[Last Price]]),"")</f>
        <v/>
      </c>
      <c r="EM322" s="148"/>
      <c r="EN322" s="147"/>
      <c r="EO322" s="147"/>
      <c r="EP322" s="138"/>
      <c r="EQ322" s="419" t="b">
        <f>AND(ISNUMBER(SnapshotTable[[#This Row],[SC Exp Date]]), ISNUMBER(SnapshotTable[[#This Row],[SC Strike Price]]), ISNUMBER(SnapshotTable[[#This Row],[SC Qty]]), ISNUMBER(SnapshotTable[[#This Row],[SC Book Date]]), ISNUMBER(SnapshotTable[[#This Row],[SC Book Price]]))</f>
        <v>0</v>
      </c>
      <c r="ER322" s="419" t="b">
        <f>AND(SnapshotTable[[#This Row],[SC Is Booked]], NOT(ISBLANK(SnapshotTable[[#This Row],[SC Fill Date]])))</f>
        <v>0</v>
      </c>
      <c r="ES322" s="370"/>
      <c r="ET322" s="34" t="str">
        <f>IF(AND(ISNUMBER(SnapshotTable[[#This Row],[SC Exp Date]]), ISNUMBER(SnapshotTable[[#This Row],[SC Book Date]])), SnapshotTable[[#This Row],[SC Exp Date]] - MAX(SnapshotTable[[#This Row],[SC Book Date]], SnapshotTable[[#This Row],[SC Fill Date]]) + 1, "")</f>
        <v/>
      </c>
      <c r="EU322" s="34" t="str">
        <f>IF(ISNUMBER(SnapshotTable[[#This Row],[SC Term]]), SnapshotTable[[#This Row],[SC Exp Date]]- MockToday, "")</f>
        <v/>
      </c>
      <c r="EV322" s="31">
        <f>IF(SnapshotTable[[#This Row],[SC Is Booked]], SnapshotTable[[#This Row],[SC Qty]] * SnapshotTable[[#This Row],[SC Book Price]] * 100, 0)</f>
        <v>0</v>
      </c>
      <c r="EW322" s="4" t="str">
        <f>IF(AND(ISNUMBER(SnapshotTable[[#This Row],[Last Price]]), ISNUMBER( SnapshotTable[[#This Row],[SC Book Price]])), SnapshotTable[[#This Row],[Last Price]] - SnapshotTable[[#This Row],[SC Book Price]],"")</f>
        <v/>
      </c>
      <c r="EX322" s="234" t="str">
        <f>IF(SnapshotTable[[#This Row],[SC Is Booked]],IF(SnapshotTable[[#This Row],[SC Intrinsic Value]] &gt; 0, SnapshotTable[[#This Row],[SC Strike Price]], SnapshotTable[[#This Row],[Last Price]]), "")</f>
        <v/>
      </c>
      <c r="EY322" s="4">
        <f>IF(SnapshotTable[[#This Row],[SC Is Booked]], (MinimumPremiumRequired * SnapshotTable[[#This Row],[SC Basis]] * SnapshotTable[[#This Row],[SC Term]]), 0)</f>
        <v>0</v>
      </c>
      <c r="EZ322" s="283"/>
      <c r="FA322" s="218"/>
      <c r="FB322" s="370"/>
      <c r="FC322" s="4">
        <f>IF(SnapshotTable[[#This Row],[SC Is Filled]], btc_max_buyback_amount(SnapshotTable[[#This Row],[SC Fill Date]],SnapshotTable[[#This Row],[SC Exp Date]], SnapshotTable[[#This Row],[SC Book Price]]),0)</f>
        <v>0</v>
      </c>
      <c r="FD322" s="5"/>
      <c r="FE322" s="144" t="str">
        <f>IF(SnapshotTable[[#This Row],[SC Is Filled]], btc_next_cutoff_date(SnapshotTable[[#This Row],[SC Fill Date]],SnapshotTable[[#This Row],[SC Exp Date]]),"")</f>
        <v/>
      </c>
      <c r="FF322" s="4" t="str" cm="1">
        <f t="array" ref="FF322">IF(SnapshotTable[[#This Row],[SC Is Filled]], btc_should_buy_back(SnapshotTable[[#This Row],[SC Fill Date]], SnapshotTable[[#This Row],[SC Exp Date]], SnapshotTable[[#This Row],[SC Book Price]], SnapshotTable[[#This Row],[SC Current Ask]], MockToday, SnapshotTable[[#This Row],[SC Buyback Override]]),"")</f>
        <v/>
      </c>
      <c r="FG322" s="4">
        <f>IF(SnapshotTable[[#This Row],[SC Is Filled]], MAX(0,SnapshotTable[[#This Row],[Last Price]]  - SnapshotTable[[#This Row],[SC Strike Price]]), 0)</f>
        <v>0</v>
      </c>
      <c r="FH322" s="382">
        <f>IF(SnapshotTable[[#This Row],[SC Is Filled]], IF(ISNUMBER(SnapshotTable[[#This Row],[SC Current Ask]]), SnapshotTable[[#This Row],[SC Current Ask]], SnapshotTable[[#This Row],[SC Book Price]]) - SnapshotTable[[#This Row],[SC Intrinsic Value]], 0)</f>
        <v>0</v>
      </c>
      <c r="FI322" s="143"/>
      <c r="FJ322" s="32" t="str">
        <f>IF(SnapshotTable[[#This Row],[SC Is Filled]],100 * SnapshotTable[[#This Row],[SC Qty]] * IF(ISNUMBER(SnapshotTable[[#This Row],[SC Buyback Override]]), SnapshotTable[[#This Row],[SC Buyback Override]], SnapshotTable[[#This Row],[SC Current Ask]]), "")</f>
        <v/>
      </c>
      <c r="FK322" s="250" t="str">
        <f>IF(SnapshotTable[[#This Row],[SC Time Val]]&gt;0, SnapshotTable[[#This Row],[SC Time Val]] / SnapshotTable[[#This Row],[Last Price]],"")</f>
        <v/>
      </c>
      <c r="FL322" s="302" t="str">
        <f>IF(SnapshotTable[[#This Row],[SC Is Booked]], ((SnapshotTable[[#This Row],[Last Price]] -SnapshotTable[[#This Row],[SC Strike Price]]) / SnapshotTable[[#This Row],[Last Price]]) * -1, "")</f>
        <v/>
      </c>
      <c r="FM322" s="157" t="str">
        <f>IF(SnapshotTable[[#This Row],[SC Is Booked]],  (SnapshotTable[[#This Row],[SC Qty]] * 100 * SnapshotTable[[#This Row],[SC Strike Price]]) - SnapshotTable[[#This Row],[SC Current Ask]], "")</f>
        <v/>
      </c>
      <c r="FN32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2" s="31" t="str">
        <f>IF(AND(ISNUMBER(SnapshotTable[[#This Row],[SC Exercise Gross]]), ISNUMBER(SnapshotTable[[#This Row],[Equity Basis Per Share]] )), SnapshotTable[[#This Row],[SC Exercise Gross]] - SnapshotTable[[#This Row],[Equity Basis Total]] +  SnapshotTable[[#This Row],[SC Premium]], "")</f>
        <v/>
      </c>
      <c r="FP322" s="5" t="str">
        <f>IF(ISNUMBER(SnapshotTable[[#This Row],[SC Exercise Gross]]), (SnapshotTable[[#This Row],[SC Exercise Gross]]) / (SnapshotTable[[#This Row],[SC Qty]] * 100), "")</f>
        <v/>
      </c>
      <c r="FQ322" s="27" t="str">
        <f>IF(SnapshotTable[[#This Row],[SC Is Booked]],SnapshotTable[[#This Row],[SC Time Val]] /SnapshotTable[[#This Row],[SC Basis]], "")</f>
        <v/>
      </c>
      <c r="FR322" s="27" t="str" cm="1">
        <f t="array" ref="FR322">IF(AND(ISNUMBER(SnapshotTable[[#This Row],[SC Term]]),ISNUMBER(SnapshotTable[[#This Row],[SC Simple ROO]])), EllmanAnnualize(SnapshotTable[[#This Row],[SC DTE]], SnapshotTable[[#This Row],[SC Simple ROO]] ),"")</f>
        <v/>
      </c>
      <c r="FS322" s="4" t="e">
        <f>IF(SnapshotTable[[#This Row],[SC Strike Price]] &gt; SnapshotTable[[#This Row],[Last Price]], SnapshotTable[[#This Row],[SC Strike Price]] - SnapshotTable[[#This Row],[Last Price]],0)</f>
        <v>#VALUE!</v>
      </c>
      <c r="FT322" s="27" t="e">
        <f>IF(AND(ISNUMBER(SnapshotTable[[#This Row],[SC Upside Potential]]), SnapshotTable[[#This Row],[SC Upside Potential]] &gt; 0),(SnapshotTable[[#This Row],[SC Upside Potential]]/ SnapshotTable[[#This Row],[ACB]]),"")</f>
        <v>#VALUE!</v>
      </c>
      <c r="FU322" s="333" t="str">
        <f>IF(SnapshotTable[[#This Row],[SC Intrinsic Value]] &gt; 0,SnapshotTable[[#This Row],[SC Intrinsic Value]],"")</f>
        <v/>
      </c>
      <c r="FV322" s="27" t="str">
        <f>IF(AND( ISNUMBER( SnapshotTable[[#This Row],[ACB]]),ISNUMBER(SnapshotTable[[#This Row],[SC Downside Protect]])),SnapshotTable[[#This Row],[SC Downside Protect]] / SnapshotTable[[#This Row],[ACB]],"")</f>
        <v/>
      </c>
      <c r="FW322" s="236" t="str">
        <f>IF(AND(ISNUMBER(SnapshotTable[[#This Row],[SC Simple ROO]]),SnapshotTable[[#This Row],[SC Simple ROO]] &gt; 0), SnapshotTable[[#This Row],[SC Premium]] + (SnapshotTable[[#This Row],[SC Qty]] * SnapshotTable[[#This Row],[SC Upside Potential]]), "")</f>
        <v/>
      </c>
      <c r="FX322" s="302" t="str" cm="1">
        <f t="array" ref="FX322">IF(ISNUMBER(SnapshotTable[[#This Row],[SC Max Dollars]]), annualize(SnapshotTable[[#This Row],[SC Term]],(SnapshotTable[[#This Row],[SC Max Dollars]]/SnapshotTable[[#This Row],[SC Basis]])),"")</f>
        <v/>
      </c>
      <c r="FY322" s="236" t="str">
        <f>IF(AND(SnapshotTable[[#This Row],[SC Qty]]&gt;0,SnapshotTable[[#This Row],[SC Current Ask]]&gt;0), SnapshotTable[[#This Row],[SC Qty]] * SnapshotTable[[#This Row],[SC Current Ask]] * -100, "")</f>
        <v/>
      </c>
      <c r="FZ322" s="31" t="str">
        <f>IF(ISNUMBER((SnapshotTable[[#This Row],[SC Current Value]])), SnapshotTable[[#This Row],[SC Premium]] + SnapshotTable[[#This Row],[SC Current Value]], "")</f>
        <v/>
      </c>
      <c r="GA322" s="294" t="str">
        <f>IFERROR( IF(ISNUMBER((SnapshotTable[[#This Row],[SC Current Value]])), SnapshotTable[[#This Row],[SC Gain Loss]] / SnapshotTable[[#This Row],[SC Premium]], ""), "")</f>
        <v/>
      </c>
      <c r="GB322" s="42">
        <f>SnapshotTable[[#This Row],[Equity Shares]] * SaleSharesToConsiderPercentage</f>
        <v>0</v>
      </c>
      <c r="GC322" s="40">
        <f>SnapshotTable[[#This Row],[Long Term Target]] * SellingPriceToConsiderBasedOnTargetPercentage</f>
        <v>54.387499999999996</v>
      </c>
      <c r="GD322" s="40">
        <f>SnapshotTable[[#This Row],[Last Price]] * (1+ SellingPriceToConsiderBasedOnTargetPercentage)</f>
        <v>137.14349999999999</v>
      </c>
      <c r="GE322" s="41"/>
      <c r="GF322" s="40"/>
      <c r="GG322" s="31">
        <f>SnapshotTable[[#This Row],[Booked Sale Shares]] * SnapshotTable[[#This Row],[Booked Sale Price]]</f>
        <v>0</v>
      </c>
      <c r="GH322" s="31" t="str">
        <f>IF(SnapshotTable[[#This Row],[Equity Basis Total]] &gt; 0, SnapshotTable[[#This Row],[Equity Basis Per Share]] * SnapshotTable[[#This Row],[Booked Sale Shares]], "")</f>
        <v/>
      </c>
      <c r="GI322" s="31">
        <f>IF(SnapshotTable[[#This Row],[Sale Proceeds]]&gt;0, SnapshotTable[[#This Row],[Sale Proceeds]] - SnapshotTable[[#This Row],[Sale Basis]], 0)</f>
        <v>0</v>
      </c>
      <c r="GJ322" s="27" t="str">
        <f>IF(SnapshotTable[[#This Row],[Sale G/L]]&gt;0, SnapshotTable[[#This Row],[Sale G/L]] / SnapshotTable[[#This Row],[Sale Basis]], IF(ISNUMBER(SnapshotTable[[#This Row],[SC Exercise P&amp;L (TAX)]]), SnapshotTable[[#This Row],[SC Exercise P&amp;L (TAX)]] / SnapshotTable[[#This Row],[SC Basis]], ""))</f>
        <v/>
      </c>
      <c r="GK322" s="27" t="s">
        <v>779</v>
      </c>
      <c r="GL322" s="43" t="str">
        <f>IF(AND(SnapshotTable[[#This Row],[LP Exp Date]]&gt;0,SnapshotTable[[#This Row],[LP Strike Price]]&gt;0), [1]!ToOptionSymbol(SnapshotTable[[#This Row],[Symbol]], SnapshotTable[[#This Row],[LP Strike Price]],SnapshotTable[[#This Row],[LP Exp Date]],1), "")</f>
        <v/>
      </c>
      <c r="GM322" s="30" t="str">
        <f>IF(LEN(SnapshotTable[[#This Row],[LP Symbol]])&gt;0, 1, "")</f>
        <v/>
      </c>
      <c r="GN322" s="43" t="str">
        <f>IF(AND(SnapshotTable[[#This Row],[SP Exp Date]]&gt;0,SnapshotTable[[#This Row],[SP Strike Price]]&gt;0), [1]!ToOptionSymbol(SnapshotTable[[#This Row],[Symbol]], SnapshotTable[[#This Row],[SP Strike Price]],SnapshotTable[[#This Row],[SP Exp Date]],1), "")</f>
        <v/>
      </c>
      <c r="GO322" s="30" t="str">
        <f>IF(LEN(SnapshotTable[[#This Row],[SP Symbol]])&gt;0, 1, "")</f>
        <v/>
      </c>
      <c r="GP322" s="43" t="str">
        <f>IF(AND(SnapshotTable[[#This Row],[LC Exp Date]]&gt;0,SnapshotTable[[#This Row],[LC Strike Price]]&gt;0), [1]!ToOptionSymbol(SnapshotTable[[#This Row],[Symbol]], SnapshotTable[[#This Row],[LC Strike Price]],SnapshotTable[[#This Row],[LC Exp Date]],0), "")</f>
        <v/>
      </c>
      <c r="GQ322" s="30" t="str">
        <f>IF(LEN(SnapshotTable[[#This Row],[LC Symbol]])&gt;0, 1, "")</f>
        <v/>
      </c>
      <c r="GR322" s="43" t="str">
        <f>IF(AND(SnapshotTable[[#This Row],[SC Exp Date]]&gt;0,SnapshotTable[[#This Row],[SC Strike Price]]&gt;0), [1]!ToOptionSymbol(SnapshotTable[[#This Row],[Symbol]], SnapshotTable[[#This Row],[SC Strike Price]],SnapshotTable[[#This Row],[SC Exp Date]],0), "")</f>
        <v/>
      </c>
      <c r="GS322" s="30" t="str">
        <f>IF(LEN(SnapshotTable[[#This Row],[SC Symbol]])&gt;0, 1, "")</f>
        <v/>
      </c>
      <c r="GT322" s="29" t="str">
        <f>IF(COUNT(SnapshotTable[[#This Row],[LP Symbol Count]],SnapshotTable[[#This Row],[SP Symbol Count]],SnapshotTable[[#This Row],[LC Symbol Count]],SnapshotTable[[#This Row],[SC Symbol Count]])&gt;0, "Y", "")</f>
        <v/>
      </c>
      <c r="GU32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2" s="231" t="e">
        <f>MAX(SnapshotTable[[#This Row],[Equity Basis Total]],SnapshotTable[[#This Row],[Equity Value]]) + (SnapshotTable[[#This Row],[SP Potential Spend]]- SnapshotTable[[#This Row],[SP Premium]] + SnapshotTable[[#This Row],[LP Premium]])+ (SnapshotTable[[#This Row],[LC Premium]] - SnapshotTable[[#This Row],[SC Premium]])</f>
        <v>#VALUE!</v>
      </c>
      <c r="GW322" s="139" t="e">
        <f>IF(AND(SnapshotTable[[#This Row],[Exposure]] &lt;&gt; 0),SnapshotTable[[#This Row],[Exposure]] / SnapshotTable[[#Totals],[Exposure]], "")</f>
        <v>#VALUE!</v>
      </c>
      <c r="HK322" s="1"/>
      <c r="HL322" s="1"/>
      <c r="HM322" s="1"/>
      <c r="HN322" s="1"/>
      <c r="HO322" s="1"/>
      <c r="HP322" s="1"/>
    </row>
    <row r="323" spans="2:224" ht="12.75" hidden="1" customHeight="1" x14ac:dyDescent="0.25">
      <c r="B323" s="12" t="s">
        <v>1135</v>
      </c>
      <c r="C323" s="422">
        <v>9.73</v>
      </c>
      <c r="D323" s="208"/>
      <c r="E323" s="39">
        <f>SnapshotTable[[#This Row],[Last Price]]*(1 -CrashDiscount)</f>
        <v>8.2705000000000002</v>
      </c>
      <c r="F323" s="26" t="s">
        <v>1029</v>
      </c>
      <c r="G323" s="26" t="s">
        <v>822</v>
      </c>
      <c r="H323" s="149"/>
      <c r="I323" s="194"/>
      <c r="J323" s="195"/>
      <c r="K323" s="196"/>
      <c r="L323" s="326"/>
      <c r="M323" s="140"/>
      <c r="N323" s="140"/>
      <c r="O323" s="140"/>
      <c r="P323" s="22"/>
      <c r="Q323" s="25"/>
      <c r="R323" s="4" t="str">
        <f>IF(SnapshotTable[[#This Row],[Equity Basis Total]] &gt; 0, SnapshotTable[[#This Row],[Equity Basis Total]] / SnapshotTable[[#This Row],[Equity Shares]], "")</f>
        <v/>
      </c>
      <c r="S323" s="269">
        <f>SnapshotTable[[#This Row],[Last Price]] * SnapshotTable[[#This Row],[Equity Shares]]</f>
        <v>0</v>
      </c>
      <c r="T323" s="269">
        <f>SnapshotTable[[#This Row],[Equity Value]] - SnapshotTable[[#This Row],[Equity Basis Total]]</f>
        <v>0</v>
      </c>
      <c r="U323" s="270" t="str">
        <f>IF(SnapshotTable[[#This Row],[Equity Basis Total]] &gt; 0, SnapshotTable[[#This Row],[Equity G/L]] / SnapshotTable[[#This Row],[Equity Basis Total]], "")</f>
        <v/>
      </c>
      <c r="V323" s="268">
        <v>5.35</v>
      </c>
      <c r="W323" s="268">
        <v>4.55</v>
      </c>
      <c r="X323" s="4" t="str">
        <f>IF(AND(ISNUMBER(SnapshotTable[[#This Row],[Equity Basis Per Share]]),ISNUMBER(SnapshotTable[[#This Row],[Equity Target]])),SnapshotTable[[#This Row],[Equity Target]]-SnapshotTable[[#This Row],[Equity Basis Per Share]],"")</f>
        <v/>
      </c>
      <c r="Y323" s="4" t="str">
        <f>IF(AND(ISNUMBER(SnapshotTable[[#This Row],[Equity Basis Per Share]]),ISNUMBER(SnapshotTable[[#This Row],[Equity Stop Loss]])),SnapshotTable[[#This Row],[Equity Stop Loss]]-SnapshotTable[[#This Row],[Equity Basis Per Share]],"")</f>
        <v/>
      </c>
      <c r="Z323" s="275" t="str">
        <f>IFERROR( TEXT(SnapshotTable[[#This Row],[Equity Max Gain Per Share]] /ABS( SnapshotTable[[#This Row],[Equity Max Loss Per Share]]),"0.0 " ) &amp; " : 1", "")</f>
        <v/>
      </c>
      <c r="AA323" s="31" t="str">
        <f>IF(ISNUMBER(SnapshotTable[[#This Row],[Equity Max Gain Per Share]]),SnapshotTable[[#This Row],[Equity Max Gain Per Share]] * SnapshotTable[[#This Row],[Equity Shares]],"")</f>
        <v/>
      </c>
      <c r="AB323" s="31" t="str">
        <f>IF(ISNUMBER(SnapshotTable[[#This Row],[Equity Max Loss Per Share]]),SnapshotTable[[#This Row],[Equity Max Loss Per Share]] * SnapshotTable[[#This Row],[Equity Shares]],"")</f>
        <v/>
      </c>
      <c r="AC323" s="150"/>
      <c r="AD323" s="151"/>
      <c r="AE323" s="31">
        <f>(SnapshotTable[[#This Row],[Annual Dividend Per Share]] / 4) * SnapshotTable[[#This Row],[Equity Shares]]</f>
        <v>0</v>
      </c>
      <c r="AF323" s="31">
        <f>SnapshotTable[[#This Row],[Quarterly Div $]] * 4</f>
        <v>0</v>
      </c>
      <c r="AG323" s="7">
        <f>IF(SnapshotTable[[#This Row],[Annual Dividend Per Share]]&gt;0, SnapshotTable[[#This Row],[Annual Dividend Per Share]]  / SnapshotTable[[#This Row],[Last Price]], 0)</f>
        <v>0</v>
      </c>
      <c r="AH323" s="151"/>
      <c r="AI323" s="5"/>
      <c r="AJ323" s="138"/>
      <c r="AK323" s="152" t="str">
        <f>IF(ISNUMBER( SnapshotTable[[#This Row],[EBF Target]]),(SnapshotTable[[#This Row],[EBF Target]] - SnapshotTable[[#This Row],[Last Price]]) / SnapshotTable[[#This Row],[Last Price]], "")</f>
        <v/>
      </c>
      <c r="AL323" s="152" t="str">
        <f>IF(AND(SnapshotTable[[#This Row],[Equity Basis Total]] &gt; 0,ISNUMBER( SnapshotTable[[#This Row],[Long Term Target]])), SnapshotTable[[#This Row],[From Basis $]] / SnapshotTable[[#This Row],[Equity Basis Total]], "")</f>
        <v/>
      </c>
      <c r="AM323" s="9">
        <f>IF( AND(SnapshotTable[[#This Row],[Equity Shares]] &gt;0,ISNUMBER( SnapshotTable[[#This Row],[Long Term Target]])),(SnapshotTable[[#This Row],[Equity Shares]] * SnapshotTable[[#This Row],[Long Term Target]]) - SnapshotTable[[#This Row],[Equity Basis Total]],0)</f>
        <v>0</v>
      </c>
      <c r="AN323" s="9">
        <f>IF( AND(SnapshotTable[[#This Row],[Equity Shares]] &gt;0,ISNUMBER( SnapshotTable[[#This Row],[Long Term Target]])),(SnapshotTable[[#This Row],[Equity Shares]]*SnapshotTable[[#This Row],[Long Term Target]]) - SnapshotTable[[#This Row],[Equity Value]],0)</f>
        <v>0</v>
      </c>
      <c r="AO323" s="152" t="str">
        <f>IF(AND(ISNUMBER( SnapshotTable[[#This Row],[Long Term Target]]), ISNUMBER(SnapshotTable[[#This Row],[Last Price]])),(SnapshotTable[[#This Row],[Long Term Target]] - SnapshotTable[[#This Row],[Last Price]]) / SnapshotTable[[#This Row],[Last Price]], "")</f>
        <v/>
      </c>
      <c r="AP323" s="5">
        <v>5.35</v>
      </c>
      <c r="AQ323" s="38" t="s">
        <v>89</v>
      </c>
      <c r="AR323" s="5">
        <v>5.1100000000000003</v>
      </c>
      <c r="AS323" s="38" t="s">
        <v>32</v>
      </c>
      <c r="AT323" s="146" t="s">
        <v>1132</v>
      </c>
      <c r="AU323" s="187" t="str">
        <f>IF(OR(SnapshotTable[[#This Row],[LP No Fill]]="Y",SnapshotTable[[#This Row],[SP Is Filled]],SnapshotTable[[#This Row],[LC Not Filled]]="Y",SnapshotTable[[#This Row],[SC Is Filled]]),"Y","")</f>
        <v/>
      </c>
      <c r="AV323" s="219"/>
      <c r="AW323" s="225"/>
      <c r="AX323" s="220"/>
      <c r="AY323" s="219" t="str">
        <f>IF(SnapshotTable[[#This Row],[Implied Move]]&gt;0, SnapshotTable[[#This Row],[Last Price]]-SnapshotTable[[#This Row],[Implied Move]],"")</f>
        <v/>
      </c>
      <c r="AZ323" s="219" t="str">
        <f>IF(SnapshotTable[[#This Row],[Implied Move]]&gt;0, SnapshotTable[[#This Row],[Last Price]] + SnapshotTable[[#This Row],[Implied Move]],"")</f>
        <v/>
      </c>
      <c r="BA323" s="331">
        <v>4.84</v>
      </c>
      <c r="BB323" s="347" t="s">
        <v>1139</v>
      </c>
      <c r="BC32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3" s="351"/>
      <c r="BE323" s="285"/>
      <c r="BF323" s="286"/>
      <c r="BG323" s="287"/>
      <c r="BH323" s="287"/>
      <c r="BI323" s="288"/>
      <c r="BJ323" s="153">
        <f>IF(SnapshotTable[[#This Row],[LP Qty]] &gt; 0, SnapshotTable[[#This Row],[LP Qty]] * SnapshotTable[[#This Row],[LP Book Price]] * 100,0)</f>
        <v>0</v>
      </c>
      <c r="BK323" s="136">
        <f>IF(SnapshotTable[[#This Row],[LP Premium]] &gt; 0, SnapshotTable[[#This Row],[LP Qty]] * SnapshotTable[[#This Row],[LP Strike Price]] * 100,0)</f>
        <v>0</v>
      </c>
      <c r="BL323" s="154"/>
      <c r="BM323" s="385" t="str">
        <f>IF(SnapshotTable[[#This Row],[LP Premium]] &gt; 0,SnapshotTable[[#This Row],[LP Exp Date]]-MAX(SnapshotTable[[#This Row],[LP Book Date]], SnapshotTable[[#This Row],[LP Fill Date]]),"")</f>
        <v/>
      </c>
      <c r="BN323" s="385" t="str">
        <f>IF(ISNUMBER( SnapshotTable[[#This Row],[LP Term]]), SnapshotTable[[#This Row],[LP Exp Date]] - MockToday,"")</f>
        <v/>
      </c>
      <c r="BO323" s="163" t="str">
        <f>IF(AND(SnapshotTable[[#This Row],[LP Exp Date]]&gt;0, SnapshotTable[[#This Row],[LP Strike Price]]&gt;0,SnapshotTable[[#This Row],[LP Qty]]&gt;0,SnapshotTable[[#This Row],[LP Book Date]]&gt;0,SnapshotTable[[#This Row],[LP Book Price]]&gt;0,SnapshotTable[[#This Row],[LP Fill Date]]=0),"Y","")</f>
        <v/>
      </c>
      <c r="BP323" s="31" t="str">
        <f>IF(AND(SnapshotTable[[#This Row],[LP No Fill]]&lt;&gt;"Y",SnapshotTable[[#This Row],[LP Contract Value]]&gt;0, SnapshotTable[[#This Row],[LP Qty]]&gt;0), SnapshotTable[[#This Row],[LP Contract Value]]*SnapshotTable[[#This Row],[LP Qty]]*100,"")</f>
        <v/>
      </c>
      <c r="BQ323" s="13"/>
      <c r="BR323" s="5" t="str">
        <f>IF(SnapshotTable[[#This Row],[SP Exp Date]]&lt;&gt;"",TRUNC(SnapshotTable[[#This Row],[Last Price]]),"")</f>
        <v/>
      </c>
      <c r="BS323" s="36"/>
      <c r="BT323" s="147"/>
      <c r="BU323" s="13"/>
      <c r="BV323" s="5"/>
      <c r="BW323" s="419" t="b">
        <f>AND(ISNUMBER(SnapshotTable[[#This Row],[SP Exp Date]]), ISNUMBER(SnapshotTable[[#This Row],[SP Strike Price]]), ISNUMBER(SnapshotTable[[#This Row],[SP Qty]]), ISNUMBER(SnapshotTable[[#This Row],[SP Book Date]]), ISNUMBER(SnapshotTable[[#This Row],[SP Book Price]]))</f>
        <v>0</v>
      </c>
      <c r="BX323" s="419" t="b">
        <f>AND(SnapshotTable[[#This Row],[SP Is Booked]], NOT(ISBLANK(SnapshotTable[[#This Row],[SP Fill Date]])))</f>
        <v>0</v>
      </c>
      <c r="BY323" s="33">
        <f>IF(SnapshotTable[[#This Row],[SP Is Booked]], SnapshotTable[[#This Row],[SP Qty]] * SnapshotTable[[#This Row],[SP Book Price]] * 100, 0)</f>
        <v>0</v>
      </c>
      <c r="BZ323" s="369"/>
      <c r="CA323" s="368">
        <f>SnapshotTable[[#This Row],[LP Qty]]</f>
        <v>0</v>
      </c>
      <c r="CB323" s="4" t="str">
        <f>IF(SnapshotTable[[#This Row],[SP Is Booked]], SnapshotTable[[#This Row],[SP Strike Price]] - SnapshotTable[[#This Row],[SP Book Price]], "")</f>
        <v/>
      </c>
      <c r="CC323" s="19" t="str">
        <f>IF(SnapshotTable[[#This Row],[SP Is Booked]],SnapshotTable[[#This Row],[SP Exp Date]]-MAX(SnapshotTable[[#This Row],[SP Book Date]], SnapshotTable[[#This Row],[SP Fill Date]]),"")</f>
        <v/>
      </c>
      <c r="CD323" s="7" t="str">
        <f>IF(SnapshotTable[[#This Row],[SP Is Booked]], SnapshotTable[[#This Row],[SP Book Price]]/SnapshotTable[[#This Row],[SP Strike Price]], "")</f>
        <v/>
      </c>
      <c r="CE323" s="7" t="str">
        <f>IF(ISNUMBER(SnapshotTable[[#This Row],[SP ROO Term]]),SnapshotTable[[#This Row],[SP ROO Term]]*(365/SnapshotTable[[#This Row],[SP Term]]),"")</f>
        <v/>
      </c>
      <c r="CF323" s="236">
        <f>SnapshotTable[[#This Row],[LP Strike Price]] * SnapshotTable[[#This Row],[LP Qty]] * 100</f>
        <v>0</v>
      </c>
      <c r="CG323" s="31" t="e">
        <f>IF(ISNUMBER(SnapshotTable[[#This Row],[SP Premium]]), (SnapshotTable[[#This Row],[SP Qty]] * SnapshotTable[[#This Row],[SP Strike Price]]* 100) - SnapshotTable[[#This Row],[LP Protection]], 0)</f>
        <v>#VALUE!</v>
      </c>
      <c r="CH323" s="7" t="str">
        <f>IF(ISNUMBER(SnapshotTable[[#This Row],[SP Break Even]]),-1 * (SnapshotTable[[#This Row],[SP Break Even]] - SnapshotTable[[#This Row],[Last Price]]) / SnapshotTable[[#This Row],[Last Price]], "")</f>
        <v/>
      </c>
      <c r="CI323" s="31">
        <f>IF(AND(ISNUMBER((SnapshotTable[[#This Row],[SP Potential Spend]])), SnapshotTable[[#This Row],[SP Strike Price]] &gt; SnapshotTable[[#This Row],[Last Price]], SnapshotTable[[#This Row],[SP Is Filled]]), SnapshotTable[[#This Row],[SP Potential Spend]] -  SnapshotTable[[#This Row],[LP Max Value]], 0)</f>
        <v>0</v>
      </c>
      <c r="CJ323" s="244"/>
      <c r="CK323" s="31" t="str">
        <f>IF(ISNUMBER(SnapshotTable[[#This Row],[SP Potential Spend]]),IF(ISNUMBER(SnapshotTable[[#This Row],[SP POW]]), SnapshotTable[[#This Row],[SP POW]] * SnapshotTable[[#This Row],[SP Potential Spend]], SnapshotTable[[#This Row],[SP Potential Spend]]), "")</f>
        <v/>
      </c>
      <c r="CL323" s="164" t="e">
        <f>IF(NOT(SnapshotTable[[#This Row],[SP Is Filled]]),(SnapshotTable[[#This Row],[SP Qty]] * SnapshotTable[[#This Row],[SP Strike Price]] * 100) - SnapshotTable[[#This Row],[LP Max Value]],"")</f>
        <v>#VALUE!</v>
      </c>
      <c r="CM323" s="31" t="str">
        <f>IF(SnapshotTable[[#This Row],[SP Actual Spend]]&lt;&gt;0, ((SnapshotTable[[#This Row],[SP Strike Price]]-SnapshotTable[[#This Row],[Last Price]]) *(SnapshotTable[[#This Row],[SP Qty]]*100) - SnapshotTable[[#This Row],[SP Premium]]) * - 1, "")</f>
        <v/>
      </c>
      <c r="CN323" s="154"/>
      <c r="CO323" s="369"/>
      <c r="CP323" s="4" t="str">
        <f>IF(SnapshotTable[[#This Row],[SP Is Filled]], btc_max_buyback_amount(SnapshotTable[[#This Row],[SP Fill Date]],SnapshotTable[[#This Row],[SP Exp Date]], SnapshotTable[[#This Row],[SP Book Price]]),"")</f>
        <v/>
      </c>
      <c r="CQ323" s="78"/>
      <c r="CR32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3" s="155" t="str">
        <f>IF(SnapshotTable[[#This Row],[SP Is Filled]], btc_next_cutoff_date(SnapshotTable[[#This Row],[SP Fill Date]],SnapshotTable[[#This Row],[SP Exp Date]]),"")</f>
        <v/>
      </c>
      <c r="CT323" s="235" t="str" cm="1">
        <f t="array" ref="CT323">IF(SnapshotTable[[#This Row],[SP Is Filled]], btc_should_buy_back(SnapshotTable[[#This Row],[SP Fill Date]], SnapshotTable[[#This Row],[SP Exp Date]], SnapshotTable[[#This Row],[SP Book Price]], SnapshotTable[[#This Row],[SP Current Ask]], MockToday, SnapshotTable[[#This Row],[SP Buyback Override]]),"")</f>
        <v/>
      </c>
      <c r="CU323" s="156"/>
      <c r="CV323" s="235"/>
      <c r="CW323" s="378" t="str">
        <f>IF(ISNUMBER( SnapshotTable[[#This Row],[SP Term]]), SnapshotTable[[#This Row],[SP Exp Date]] - MockToday,"")</f>
        <v/>
      </c>
      <c r="CX323" s="31" t="str">
        <f>IF(SnapshotTable[[#This Row],[SP Is Filled]],SnapshotTable[[#This Row],[SP Buyback Price to Use]] * 100 * SnapshotTable[[#This Row],[SP Qty]], "")</f>
        <v/>
      </c>
      <c r="CY323" s="4" t="str">
        <f>IF(ISNUMBER(SnapshotTable[[#This Row],[SP Strike Price]]), SnapshotTable[[#This Row],[SP Strike Price]] * (1 - SP_MaxLoss_StrikePct), "")</f>
        <v/>
      </c>
      <c r="CZ323" s="31" t="str">
        <f>IF(ISNUMBER(SnapshotTable[[#This Row],[SP Strike  Stop Per Share]]),SnapshotTable[[#This Row],[SP Premium]] - ((SnapshotTable[[#This Row],[SP Strike Price]]-SnapshotTable[[#This Row],[SP Strike  Stop Per Share]]) *(SnapshotTable[[#This Row],[SP Qty]] * 100)),"")</f>
        <v/>
      </c>
      <c r="DA323" s="4" t="str">
        <f>IF(AND(ISNUMBER(SnapshotTable[[#This Row],[SP Premium]]),SnapshotTable[[#This Row],[SP Premium]]&gt;0), SnapshotTable[[#This Row],[SP Book Price]] * (1 + SP_MaxLoss_OptionPct), "")</f>
        <v/>
      </c>
      <c r="DB323" s="31" t="str">
        <f>IF(ISNUMBER(SnapshotTable[[#This Row],[SP Option  Stop Contract]]),(SnapshotTable[[#This Row],[SP Option  Stop Contract]] *(SnapshotTable[[#This Row],[SP Qty]] * 100) - SnapshotTable[[#This Row],[SP Premium]]),"")</f>
        <v/>
      </c>
      <c r="DC323" s="4"/>
      <c r="DD323" s="4"/>
      <c r="DE323" s="4" t="str">
        <f>IF(AND(SnapshotTable[[#This Row],[SP Qty]]&gt;0, SnapshotTable[[#This Row],[SP Stop To Use]]&gt;0),SnapshotTable[[#This Row],[SP Premium]] - ( SnapshotTable[[#This Row],[SP Qty]] * SnapshotTable[[#This Row],[SP Stop To Use]] * 100), "")</f>
        <v/>
      </c>
      <c r="DF323" s="31" t="str">
        <f>IF(AND(SnapshotTable[[#This Row],[SP Qty]]&gt;0,SnapshotTable[[#This Row],[SP Current Ask]]&gt;0), SnapshotTable[[#This Row],[SP Qty]] * SnapshotTable[[#This Row],[SP Current Ask]] * -100, "")</f>
        <v/>
      </c>
      <c r="DG323" s="31" t="str">
        <f>IF(ISNUMBER((SnapshotTable[[#This Row],[SP Total Value]])), SnapshotTable[[#This Row],[SP Premium]] + SnapshotTable[[#This Row],[SP Total Value]], "")</f>
        <v/>
      </c>
      <c r="DH323" s="294" t="str">
        <f>IF(ISNUMBER((SnapshotTable[[#This Row],[SP Total Value]])), SnapshotTable[[#This Row],[SP Gain Loss]] / SnapshotTable[[#This Row],[SP Premium]], "")</f>
        <v/>
      </c>
      <c r="DI323" s="406"/>
      <c r="DJ323" s="138"/>
      <c r="DK323" s="148"/>
      <c r="DL323" s="147"/>
      <c r="DM323" s="147"/>
      <c r="DO323" s="31">
        <f>IF(SnapshotTable[[#This Row],[LC Symbol Count]]=1, SnapshotTable[[#This Row],[LC Qty]] * SnapshotTable[[#This Row],[LC Book Price]] * 100, 0)</f>
        <v>0</v>
      </c>
      <c r="DP323" s="289" t="str">
        <f>IF(AND(SnapshotTable[[#This Row],[LC Exp Date]]&gt;0, SnapshotTable[[#This Row],[LC Strike Price]]&gt;0,SnapshotTable[[#This Row],[LC Qty]]&gt;0,SnapshotTable[[#This Row],[LC Book Date]]&gt;0,SnapshotTable[[#This Row],[LC Book Price]]&gt;0,SnapshotTable[[#This Row],[LC Fill Date]]=0),"Y","")</f>
        <v/>
      </c>
      <c r="DQ323" s="386" t="str">
        <f>IF(SnapshotTable[[#This Row],[LC Premium]] &gt; 0,SnapshotTable[[#This Row],[LC Exp Date]]-MAX(SnapshotTable[[#This Row],[LC Book Date]], SnapshotTable[[#This Row],[LC Fill Date]]),"")</f>
        <v/>
      </c>
      <c r="DR323" s="386" t="str">
        <f>IF(ISNUMBER(SnapshotTable[[#This Row],[LC Term]]), SnapshotTable[[#This Row],[LC Exp Date]] - MockToday, "")</f>
        <v/>
      </c>
      <c r="DS323" s="234" t="str">
        <f>IF(SnapshotTable[[#This Row],[LC Premium]]&gt;0,SnapshotTable[[#This Row],[LC Strike Price]] + SnapshotTable[[#This Row],[LC Book Price]],"")</f>
        <v/>
      </c>
      <c r="DU323" s="9" t="str">
        <f>IF(AND(SnapshotTable[[#This Row],[LC Symbol Count]]&gt;0, SnapshotTable[[#This Row],[LC Contract Value]]&gt;0), SnapshotTable[[#This Row],[LC Contract Value]] * SnapshotTable[[#This Row],[LC Qty]] * 100, "")</f>
        <v/>
      </c>
      <c r="DV323" s="9" t="str">
        <f>IF(AND(ISNUMBER(SnapshotTable[[#This Row],[LC Total Value]]), SnapshotTable[[#This Row],[LC Not Filled]]&lt;&gt;"Y"), SnapshotTable[[#This Row],[LC Total Value]]-SnapshotTable[[#This Row],[LC Premium]],"")</f>
        <v/>
      </c>
      <c r="DW323" s="240" t="str">
        <f>IF(ISNUMBER(SnapshotTable[[#This Row],[LC Actual Gain Loss]]), SnapshotTable[[#This Row],[LC Actual Gain Loss]] / SnapshotTable[[#This Row],[LC Premium]],"")</f>
        <v/>
      </c>
      <c r="DX323" s="284" t="str">
        <f>IF(ISNUMBER(SnapshotTable[[#This Row],[LC Book Price]]),SnapshotTable[[#This Row],[LC Book Price]] * 1.5,"")</f>
        <v/>
      </c>
      <c r="DY323" s="265" t="str">
        <f>IF(SnapshotTable[[#This Row],[LC Premium]]&gt;0, SnapshotTable[[#This Row],[LC Next Target]] * SnapshotTable[[#This Row],[LC Qty]] * 100,"")</f>
        <v/>
      </c>
      <c r="DZ323" s="265" t="str">
        <f>IF(ISNUMBER(SnapshotTable[[#This Row],[LC Target Gross]]), SnapshotTable[[#This Row],[LC Target Gross]] - SnapshotTable[[#This Row],[LC Premium]], "")</f>
        <v/>
      </c>
      <c r="EA323" s="305" t="str">
        <f>IF(ISNUMBER(SnapshotTable[[#This Row],[LC Target Gain Loss]]), SnapshotTable[[#This Row],[LC Target Gain Loss]]/SnapshotTable[[#This Row],[LC Premium]], "")</f>
        <v/>
      </c>
      <c r="EB323" s="262"/>
      <c r="EC323" s="283" t="str">
        <f>IF(SnapshotTable[[#This Row],[LC Premium]]&gt;0, SnapshotTable[[#This Row],[LC Book Price]] * (1 - LC_StopLoss_Pct),"")</f>
        <v/>
      </c>
      <c r="ED323" s="284"/>
      <c r="EE323" s="283" t="str">
        <f>IF(ISNUMBER(SnapshotTable[[#This Row],[LC Contract Value]]),IF(ISNUMBER(SnapshotTable[[#This Row],[LC Stop Loss Override]]), SnapshotTable[[#This Row],[LC Stop Loss Override]],SnapshotTable[[#This Row],[LC Stop Loss Calc Target]]),"")</f>
        <v/>
      </c>
      <c r="EF323" s="31" t="str">
        <f>IF(ISNUMBER(SnapshotTable[[#This Row],[LC Stop  To Use]]), (SnapshotTable[[#This Row],[LC Stop  To Use]] * SnapshotTable[[#This Row],[LC Qty]] * 100),"")</f>
        <v/>
      </c>
      <c r="EG323" s="9" t="str">
        <f>IF(ISNUMBER(SnapshotTable[[#This Row],[LC Total Value]]),SnapshotTable[[#This Row],[LC Stop Loss Amount]] - SnapshotTable[[#This Row],[LC Premium]],"")</f>
        <v/>
      </c>
      <c r="EH323" s="9">
        <f>IF(ISNUMBER(SnapshotTable[[#This Row],[LC Premium]]), SnapshotTable[[#This Row],[LC Qty]] * 100 * SnapshotTable[[#This Row],[LC Strike Price]], "")</f>
        <v>0</v>
      </c>
      <c r="EI323" s="240" t="str">
        <f>IF(AND(ISNUMBER(SnapshotTable[[#This Row],[LC Total Value]]),SnapshotTable[[#This Row],[LC Total Value]]&gt;0),SnapshotTable[[#This Row],[LC Stop Gain Loss]]  / SnapshotTable[[#This Row],[LC Premium]],"")</f>
        <v/>
      </c>
      <c r="EJ323" s="35">
        <f>IF(ISNUMBER(SnapshotTable[[#This Row],[Equity Shares]]),TRUNC(SnapshotTable[[#This Row],[Equity Shares]] / 100),0) + SnapshotTable[[#This Row],[LC Qty]]</f>
        <v>0</v>
      </c>
      <c r="EK323" s="147"/>
      <c r="EL323" s="138" t="str">
        <f>IF(SnapshotTable[[#This Row],[SC Exp Date]]&lt;&gt;"",TRUNC(SnapshotTable[[#This Row],[Last Price]]),"")</f>
        <v/>
      </c>
      <c r="EM323" s="148"/>
      <c r="EN323" s="147"/>
      <c r="EO323" s="147"/>
      <c r="EP323" s="138"/>
      <c r="EQ323" s="419" t="b">
        <f>AND(ISNUMBER(SnapshotTable[[#This Row],[SC Exp Date]]), ISNUMBER(SnapshotTable[[#This Row],[SC Strike Price]]), ISNUMBER(SnapshotTable[[#This Row],[SC Qty]]), ISNUMBER(SnapshotTable[[#This Row],[SC Book Date]]), ISNUMBER(SnapshotTable[[#This Row],[SC Book Price]]))</f>
        <v>0</v>
      </c>
      <c r="ER323" s="419" t="b">
        <f>AND(SnapshotTable[[#This Row],[SC Is Booked]], NOT(ISBLANK(SnapshotTable[[#This Row],[SC Fill Date]])))</f>
        <v>0</v>
      </c>
      <c r="ES323" s="370"/>
      <c r="ET323" s="34" t="str">
        <f>IF(AND(ISNUMBER(SnapshotTable[[#This Row],[SC Exp Date]]), ISNUMBER(SnapshotTable[[#This Row],[SC Book Date]])), SnapshotTable[[#This Row],[SC Exp Date]] - MAX(SnapshotTable[[#This Row],[SC Book Date]], SnapshotTable[[#This Row],[SC Fill Date]]) + 1, "")</f>
        <v/>
      </c>
      <c r="EU323" s="34" t="str">
        <f>IF(ISNUMBER(SnapshotTable[[#This Row],[SC Term]]), SnapshotTable[[#This Row],[SC Exp Date]]- MockToday, "")</f>
        <v/>
      </c>
      <c r="EV323" s="31">
        <f>IF(SnapshotTable[[#This Row],[SC Is Booked]], SnapshotTable[[#This Row],[SC Qty]] * SnapshotTable[[#This Row],[SC Book Price]] * 100, 0)</f>
        <v>0</v>
      </c>
      <c r="EW323" s="4" t="str">
        <f>IF(AND(ISNUMBER(SnapshotTable[[#This Row],[Last Price]]), ISNUMBER( SnapshotTable[[#This Row],[SC Book Price]])), SnapshotTable[[#This Row],[Last Price]] - SnapshotTable[[#This Row],[SC Book Price]],"")</f>
        <v/>
      </c>
      <c r="EX323" s="234" t="str">
        <f>IF(SnapshotTable[[#This Row],[SC Is Booked]],IF(SnapshotTable[[#This Row],[SC Intrinsic Value]] &gt; 0, SnapshotTable[[#This Row],[SC Strike Price]], SnapshotTable[[#This Row],[Last Price]]), "")</f>
        <v/>
      </c>
      <c r="EY323" s="4">
        <f>IF(SnapshotTable[[#This Row],[SC Is Booked]], (MinimumPremiumRequired * SnapshotTable[[#This Row],[SC Basis]] * SnapshotTable[[#This Row],[SC Term]]), 0)</f>
        <v>0</v>
      </c>
      <c r="EZ323" s="283"/>
      <c r="FA323" s="218"/>
      <c r="FB323" s="370"/>
      <c r="FC323" s="4">
        <f>IF(SnapshotTable[[#This Row],[SC Is Filled]], btc_max_buyback_amount(SnapshotTable[[#This Row],[SC Fill Date]],SnapshotTable[[#This Row],[SC Exp Date]], SnapshotTable[[#This Row],[SC Book Price]]),0)</f>
        <v>0</v>
      </c>
      <c r="FD323" s="5"/>
      <c r="FE323" s="144" t="str">
        <f>IF(SnapshotTable[[#This Row],[SC Is Filled]], btc_next_cutoff_date(SnapshotTable[[#This Row],[SC Fill Date]],SnapshotTable[[#This Row],[SC Exp Date]]),"")</f>
        <v/>
      </c>
      <c r="FF323" s="4" t="str" cm="1">
        <f t="array" ref="FF323">IF(SnapshotTable[[#This Row],[SC Is Filled]], btc_should_buy_back(SnapshotTable[[#This Row],[SC Fill Date]], SnapshotTable[[#This Row],[SC Exp Date]], SnapshotTable[[#This Row],[SC Book Price]], SnapshotTable[[#This Row],[SC Current Ask]], MockToday, SnapshotTable[[#This Row],[SC Buyback Override]]),"")</f>
        <v/>
      </c>
      <c r="FG323" s="4">
        <f>IF(SnapshotTable[[#This Row],[SC Is Filled]], MAX(0,SnapshotTable[[#This Row],[Last Price]]  - SnapshotTable[[#This Row],[SC Strike Price]]), 0)</f>
        <v>0</v>
      </c>
      <c r="FH323" s="382">
        <f>IF(SnapshotTable[[#This Row],[SC Is Filled]], IF(ISNUMBER(SnapshotTable[[#This Row],[SC Current Ask]]), SnapshotTable[[#This Row],[SC Current Ask]], SnapshotTable[[#This Row],[SC Book Price]]) - SnapshotTable[[#This Row],[SC Intrinsic Value]], 0)</f>
        <v>0</v>
      </c>
      <c r="FI323" s="143"/>
      <c r="FJ323" s="32" t="str">
        <f>IF(SnapshotTable[[#This Row],[SC Is Filled]],100 * SnapshotTable[[#This Row],[SC Qty]] * IF(ISNUMBER(SnapshotTable[[#This Row],[SC Buyback Override]]), SnapshotTable[[#This Row],[SC Buyback Override]], SnapshotTable[[#This Row],[SC Current Ask]]), "")</f>
        <v/>
      </c>
      <c r="FK323" s="250" t="str">
        <f>IF(SnapshotTable[[#This Row],[SC Time Val]]&gt;0, SnapshotTable[[#This Row],[SC Time Val]] / SnapshotTable[[#This Row],[Last Price]],"")</f>
        <v/>
      </c>
      <c r="FL323" s="302" t="str">
        <f>IF(SnapshotTable[[#This Row],[SC Is Booked]], ((SnapshotTable[[#This Row],[Last Price]] -SnapshotTable[[#This Row],[SC Strike Price]]) / SnapshotTable[[#This Row],[Last Price]]) * -1, "")</f>
        <v/>
      </c>
      <c r="FM323" s="157" t="str">
        <f>IF(SnapshotTable[[#This Row],[SC Is Booked]],  (SnapshotTable[[#This Row],[SC Qty]] * 100 * SnapshotTable[[#This Row],[SC Strike Price]]) - SnapshotTable[[#This Row],[SC Current Ask]], "")</f>
        <v/>
      </c>
      <c r="FN323"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3" s="157" t="str">
        <f>IF(AND(ISNUMBER(SnapshotTable[[#This Row],[SC Exercise Gross]]), ISNUMBER(SnapshotTable[[#This Row],[Equity Basis Per Share]] )), SnapshotTable[[#This Row],[SC Exercise Gross]] - SnapshotTable[[#This Row],[Equity Basis Total]] +  SnapshotTable[[#This Row],[SC Premium]], "")</f>
        <v/>
      </c>
      <c r="FP323" s="5" t="str">
        <f>IF(ISNUMBER(SnapshotTable[[#This Row],[SC Exercise Gross]]), (SnapshotTable[[#This Row],[SC Exercise Gross]]) / (SnapshotTable[[#This Row],[SC Qty]] * 100), "")</f>
        <v/>
      </c>
      <c r="FQ323" s="27" t="str">
        <f>IF(SnapshotTable[[#This Row],[SC Is Booked]],SnapshotTable[[#This Row],[SC Time Val]] /SnapshotTable[[#This Row],[SC Basis]], "")</f>
        <v/>
      </c>
      <c r="FR323" s="27" t="str" cm="1">
        <f t="array" ref="FR323">IF(AND(ISNUMBER(SnapshotTable[[#This Row],[SC Term]]),ISNUMBER(SnapshotTable[[#This Row],[SC Simple ROO]])), EllmanAnnualize(SnapshotTable[[#This Row],[SC DTE]], SnapshotTable[[#This Row],[SC Simple ROO]] ),"")</f>
        <v/>
      </c>
      <c r="FS323" s="4" t="e">
        <f>IF(SnapshotTable[[#This Row],[SC Strike Price]] &gt; SnapshotTable[[#This Row],[Last Price]], SnapshotTable[[#This Row],[SC Strike Price]] - SnapshotTable[[#This Row],[Last Price]],0)</f>
        <v>#VALUE!</v>
      </c>
      <c r="FT323" s="27" t="e">
        <f>IF(AND(ISNUMBER(SnapshotTable[[#This Row],[SC Upside Potential]]), SnapshotTable[[#This Row],[SC Upside Potential]] &gt; 0),(SnapshotTable[[#This Row],[SC Upside Potential]]/ SnapshotTable[[#This Row],[ACB]]),"")</f>
        <v>#VALUE!</v>
      </c>
      <c r="FU323" s="333" t="str">
        <f>IF(SnapshotTable[[#This Row],[SC Intrinsic Value]] &gt; 0,SnapshotTable[[#This Row],[SC Intrinsic Value]],"")</f>
        <v/>
      </c>
      <c r="FV323" s="27" t="str">
        <f>IF(AND( ISNUMBER( SnapshotTable[[#This Row],[ACB]]),ISNUMBER(SnapshotTable[[#This Row],[SC Downside Protect]])),SnapshotTable[[#This Row],[SC Downside Protect]] / SnapshotTable[[#This Row],[ACB]],"")</f>
        <v/>
      </c>
      <c r="FW323" s="236" t="str">
        <f>IF(AND(ISNUMBER(SnapshotTable[[#This Row],[SC Simple ROO]]),SnapshotTable[[#This Row],[SC Simple ROO]] &gt; 0), SnapshotTable[[#This Row],[SC Premium]] + (SnapshotTable[[#This Row],[SC Qty]] * SnapshotTable[[#This Row],[SC Upside Potential]]), "")</f>
        <v/>
      </c>
      <c r="FX323" s="302" t="str" cm="1">
        <f t="array" ref="FX323">IF(ISNUMBER(SnapshotTable[[#This Row],[SC Max Dollars]]), annualize(SnapshotTable[[#This Row],[SC Term]],(SnapshotTable[[#This Row],[SC Max Dollars]]/SnapshotTable[[#This Row],[SC Basis]])),"")</f>
        <v/>
      </c>
      <c r="FY323" s="236" t="str">
        <f>IF(AND(SnapshotTable[[#This Row],[SC Qty]]&gt;0,SnapshotTable[[#This Row],[SC Current Ask]]&gt;0), SnapshotTable[[#This Row],[SC Qty]] * SnapshotTable[[#This Row],[SC Current Ask]] * -100, "")</f>
        <v/>
      </c>
      <c r="FZ323" s="235" t="str">
        <f>IF(ISNUMBER((SnapshotTable[[#This Row],[SC Current Value]])), SnapshotTable[[#This Row],[SC Premium]] + SnapshotTable[[#This Row],[SC Current Value]], "")</f>
        <v/>
      </c>
      <c r="GA323" s="294" t="str">
        <f>IFERROR( IF(ISNUMBER((SnapshotTable[[#This Row],[SC Current Value]])), SnapshotTable[[#This Row],[SC Gain Loss]] / SnapshotTable[[#This Row],[SC Premium]], ""), "")</f>
        <v/>
      </c>
      <c r="GB323" s="291">
        <f>SnapshotTable[[#This Row],[Equity Shares]] * SaleSharesToConsiderPercentage</f>
        <v>0</v>
      </c>
      <c r="GC323" s="292">
        <f>SnapshotTable[[#This Row],[Long Term Target]] * SellingPriceToConsiderBasedOnTargetPercentage</f>
        <v>0</v>
      </c>
      <c r="GD323" s="292">
        <f>SnapshotTable[[#This Row],[Last Price]] * (1+ SellingPriceToConsiderBasedOnTargetPercentage)</f>
        <v>18.973500000000001</v>
      </c>
      <c r="GE323" s="293"/>
      <c r="GF323" s="292"/>
      <c r="GG323" s="31">
        <f>SnapshotTable[[#This Row],[Booked Sale Shares]] * SnapshotTable[[#This Row],[Booked Sale Price]]</f>
        <v>0</v>
      </c>
      <c r="GH323" s="31" t="str">
        <f>IF(SnapshotTable[[#This Row],[Equity Basis Total]] &gt; 0, SnapshotTable[[#This Row],[Equity Basis Per Share]] * SnapshotTable[[#This Row],[Booked Sale Shares]], "")</f>
        <v/>
      </c>
      <c r="GI323" s="31">
        <f>IF(SnapshotTable[[#This Row],[Sale Proceeds]]&gt;0, SnapshotTable[[#This Row],[Sale Proceeds]] - SnapshotTable[[#This Row],[Sale Basis]], 0)</f>
        <v>0</v>
      </c>
      <c r="GJ323" s="158" t="str">
        <f>IF(SnapshotTable[[#This Row],[Sale G/L]]&gt;0, SnapshotTable[[#This Row],[Sale G/L]] / SnapshotTable[[#This Row],[Sale Basis]], IF(ISNUMBER(SnapshotTable[[#This Row],[SC Exercise P&amp;L (TAX)]]), SnapshotTable[[#This Row],[SC Exercise P&amp;L (TAX)]] / SnapshotTable[[#This Row],[SC Basis]], ""))</f>
        <v/>
      </c>
      <c r="GK323" s="158"/>
      <c r="GL323" s="159" t="str">
        <f>IF(AND(SnapshotTable[[#This Row],[LP Exp Date]]&gt;0,SnapshotTable[[#This Row],[LP Strike Price]]&gt;0), [1]!ToOptionSymbol(SnapshotTable[[#This Row],[Symbol]], SnapshotTable[[#This Row],[LP Strike Price]],SnapshotTable[[#This Row],[LP Exp Date]],1), "")</f>
        <v/>
      </c>
      <c r="GM323" s="30" t="str">
        <f>IF(LEN(SnapshotTable[[#This Row],[LP Symbol]])&gt;0, 1, "")</f>
        <v/>
      </c>
      <c r="GN323" s="43" t="str">
        <f>IF(AND(SnapshotTable[[#This Row],[SP Exp Date]]&gt;0,SnapshotTable[[#This Row],[SP Strike Price]]&gt;0), [1]!ToOptionSymbol(SnapshotTable[[#This Row],[Symbol]], SnapshotTable[[#This Row],[SP Strike Price]],SnapshotTable[[#This Row],[SP Exp Date]],1), "")</f>
        <v/>
      </c>
      <c r="GO323" s="30" t="str">
        <f>IF(LEN(SnapshotTable[[#This Row],[SP Symbol]])&gt;0, 1, "")</f>
        <v/>
      </c>
      <c r="GP323" s="159" t="str">
        <f>IF(AND(SnapshotTable[[#This Row],[LC Exp Date]]&gt;0,SnapshotTable[[#This Row],[LC Strike Price]]&gt;0), [1]!ToOptionSymbol(SnapshotTable[[#This Row],[Symbol]], SnapshotTable[[#This Row],[LC Strike Price]],SnapshotTable[[#This Row],[LC Exp Date]],0), "")</f>
        <v/>
      </c>
      <c r="GQ323" s="160" t="str">
        <f>IF(LEN(SnapshotTable[[#This Row],[LC Symbol]])&gt;0, 1, "")</f>
        <v/>
      </c>
      <c r="GR323" s="159" t="str">
        <f>IF(AND(SnapshotTable[[#This Row],[SC Exp Date]]&gt;0,SnapshotTable[[#This Row],[SC Strike Price]]&gt;0), [1]!ToOptionSymbol(SnapshotTable[[#This Row],[Symbol]], SnapshotTable[[#This Row],[SC Strike Price]],SnapshotTable[[#This Row],[SC Exp Date]],0), "")</f>
        <v/>
      </c>
      <c r="GS323" s="160" t="str">
        <f>IF(LEN(SnapshotTable[[#This Row],[SC Symbol]])&gt;0, 1, "")</f>
        <v/>
      </c>
      <c r="GT323" s="161" t="str">
        <f>IF(COUNT(SnapshotTable[[#This Row],[LP Symbol Count]],SnapshotTable[[#This Row],[SP Symbol Count]],SnapshotTable[[#This Row],[LC Symbol Count]],SnapshotTable[[#This Row],[SC Symbol Count]])&gt;0, "Y", "")</f>
        <v/>
      </c>
      <c r="GU32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3" s="231" t="e">
        <f>MAX(SnapshotTable[[#This Row],[Equity Basis Total]],SnapshotTable[[#This Row],[Equity Value]]) + (SnapshotTable[[#This Row],[SP Potential Spend]]- SnapshotTable[[#This Row],[SP Premium]] + SnapshotTable[[#This Row],[LP Premium]])+ (SnapshotTable[[#This Row],[LC Premium]] - SnapshotTable[[#This Row],[SC Premium]])</f>
        <v>#VALUE!</v>
      </c>
      <c r="GW323" s="139" t="e">
        <f>IF(AND(SnapshotTable[[#This Row],[Exposure]] &lt;&gt; 0),SnapshotTable[[#This Row],[Exposure]] / SnapshotTable[[#Totals],[Exposure]], "")</f>
        <v>#VALUE!</v>
      </c>
      <c r="HK323" s="1"/>
      <c r="HL323" s="1"/>
      <c r="HM323" s="1"/>
      <c r="HN323" s="1"/>
      <c r="HO323" s="1"/>
      <c r="HP323" s="1"/>
    </row>
    <row r="324" spans="2:224" ht="12.75" hidden="1" customHeight="1" x14ac:dyDescent="0.25">
      <c r="B324" s="12" t="s">
        <v>19</v>
      </c>
      <c r="C324" s="422">
        <v>26.29</v>
      </c>
      <c r="D324" s="208"/>
      <c r="E324" s="39">
        <f>SnapshotTable[[#This Row],[Last Price]]*(1 -CrashDiscount)</f>
        <v>22.346499999999999</v>
      </c>
      <c r="F324" s="26" t="s">
        <v>18</v>
      </c>
      <c r="G324" s="26" t="s">
        <v>17</v>
      </c>
      <c r="H324" s="149"/>
      <c r="I324" s="194">
        <v>44776.291666666664</v>
      </c>
      <c r="J324" s="195">
        <v>44776.291666666664</v>
      </c>
      <c r="K324" s="196"/>
      <c r="L324" s="326"/>
      <c r="M324" s="140"/>
      <c r="N324" s="140"/>
      <c r="O324" s="140"/>
      <c r="P324" s="22"/>
      <c r="Q324" s="25"/>
      <c r="R324" s="4" t="str">
        <f>IF(SnapshotTable[[#This Row],[Equity Basis Total]] &gt; 0, SnapshotTable[[#This Row],[Equity Basis Total]] / SnapshotTable[[#This Row],[Equity Shares]], "")</f>
        <v/>
      </c>
      <c r="S324" s="269">
        <f>SnapshotTable[[#This Row],[Last Price]] * SnapshotTable[[#This Row],[Equity Shares]]</f>
        <v>0</v>
      </c>
      <c r="T324" s="269">
        <f>SnapshotTable[[#This Row],[Equity Value]] - SnapshotTable[[#This Row],[Equity Basis Total]]</f>
        <v>0</v>
      </c>
      <c r="U324" s="270" t="str">
        <f>IF(SnapshotTable[[#This Row],[Equity Basis Total]] &gt; 0, SnapshotTable[[#This Row],[Equity G/L]] / SnapshotTable[[#This Row],[Equity Basis Total]], "")</f>
        <v/>
      </c>
      <c r="V324" s="268"/>
      <c r="W324" s="268"/>
      <c r="X324" s="4" t="str">
        <f>IF(AND(ISNUMBER(SnapshotTable[[#This Row],[Equity Basis Per Share]]),ISNUMBER(SnapshotTable[[#This Row],[Equity Target]])),SnapshotTable[[#This Row],[Equity Target]]-SnapshotTable[[#This Row],[Equity Basis Per Share]],"")</f>
        <v/>
      </c>
      <c r="Y324" s="4" t="str">
        <f>IF(AND(ISNUMBER(SnapshotTable[[#This Row],[Equity Basis Per Share]]),ISNUMBER(SnapshotTable[[#This Row],[Equity Stop Loss]])),SnapshotTable[[#This Row],[Equity Stop Loss]]-SnapshotTable[[#This Row],[Equity Basis Per Share]],"")</f>
        <v/>
      </c>
      <c r="Z324" s="275" t="str">
        <f>IFERROR( TEXT(SnapshotTable[[#This Row],[Equity Max Gain Per Share]] /ABS( SnapshotTable[[#This Row],[Equity Max Loss Per Share]]),"0.0 " ) &amp; " : 1", "")</f>
        <v/>
      </c>
      <c r="AA324" s="31" t="str">
        <f>IF(ISNUMBER(SnapshotTable[[#This Row],[Equity Max Gain Per Share]]),SnapshotTable[[#This Row],[Equity Max Gain Per Share]] * SnapshotTable[[#This Row],[Equity Shares]],"")</f>
        <v/>
      </c>
      <c r="AB324" s="31" t="str">
        <f>IF(ISNUMBER(SnapshotTable[[#This Row],[Equity Max Loss Per Share]]),SnapshotTable[[#This Row],[Equity Max Loss Per Share]] * SnapshotTable[[#This Row],[Equity Shares]],"")</f>
        <v/>
      </c>
      <c r="AC324" s="150">
        <v>0.3</v>
      </c>
      <c r="AD324" s="151">
        <v>42727</v>
      </c>
      <c r="AE324" s="31">
        <f>(SnapshotTable[[#This Row],[Annual Dividend Per Share]] / 4) * SnapshotTable[[#This Row],[Equity Shares]]</f>
        <v>0</v>
      </c>
      <c r="AF324" s="31">
        <f>SnapshotTable[[#This Row],[Quarterly Div $]] * 4</f>
        <v>0</v>
      </c>
      <c r="AG324" s="7">
        <f>IF(SnapshotTable[[#This Row],[Annual Dividend Per Share]]&gt;0, SnapshotTable[[#This Row],[Annual Dividend Per Share]]  / SnapshotTable[[#This Row],[Last Price]], 0)</f>
        <v>1.1411182959300114E-2</v>
      </c>
      <c r="AH324" s="151">
        <v>42703</v>
      </c>
      <c r="AI324" s="5"/>
      <c r="AJ324" s="138">
        <v>62</v>
      </c>
      <c r="AK324" s="152" t="str">
        <f>IF(ISNUMBER( SnapshotTable[[#This Row],[EBF Target]]),(SnapshotTable[[#This Row],[EBF Target]] - SnapshotTable[[#This Row],[Last Price]]) / SnapshotTable[[#This Row],[Last Price]], "")</f>
        <v/>
      </c>
      <c r="AL324" s="152" t="str">
        <f>IF(AND(SnapshotTable[[#This Row],[Equity Basis Total]] &gt; 0,ISNUMBER( SnapshotTable[[#This Row],[Long Term Target]])), SnapshotTable[[#This Row],[From Basis $]] / SnapshotTable[[#This Row],[Equity Basis Total]], "")</f>
        <v/>
      </c>
      <c r="AM324" s="9">
        <f>IF( AND(SnapshotTable[[#This Row],[Equity Shares]] &gt;0,ISNUMBER( SnapshotTable[[#This Row],[Long Term Target]])),(SnapshotTable[[#This Row],[Equity Shares]] * SnapshotTable[[#This Row],[Long Term Target]]) - SnapshotTable[[#This Row],[Equity Basis Total]],0)</f>
        <v>0</v>
      </c>
      <c r="AN324" s="9">
        <f>IF( AND(SnapshotTable[[#This Row],[Equity Shares]] &gt;0,ISNUMBER( SnapshotTable[[#This Row],[Long Term Target]])),(SnapshotTable[[#This Row],[Equity Shares]]*SnapshotTable[[#This Row],[Long Term Target]]) - SnapshotTable[[#This Row],[Equity Value]],0)</f>
        <v>0</v>
      </c>
      <c r="AO324" s="152">
        <f>IF(AND(ISNUMBER( SnapshotTable[[#This Row],[Long Term Target]]), ISNUMBER(SnapshotTable[[#This Row],[Last Price]])),(SnapshotTable[[#This Row],[Long Term Target]] - SnapshotTable[[#This Row],[Last Price]]) / SnapshotTable[[#This Row],[Last Price]], "")</f>
        <v>1.3583111449220238</v>
      </c>
      <c r="AP324" s="5"/>
      <c r="AQ324" s="38"/>
      <c r="AR324" s="5"/>
      <c r="AS324" s="38"/>
      <c r="AT324" s="146"/>
      <c r="AU324" s="187" t="str">
        <f>IF(OR(SnapshotTable[[#This Row],[LP No Fill]]="Y",SnapshotTable[[#This Row],[SP Is Filled]],SnapshotTable[[#This Row],[LC Not Filled]]="Y",SnapshotTable[[#This Row],[SC Is Filled]]),"Y","")</f>
        <v/>
      </c>
      <c r="AV324" s="219"/>
      <c r="AW324" s="225"/>
      <c r="AX324" s="220"/>
      <c r="AY324" s="219" t="str">
        <f>IF(SnapshotTable[[#This Row],[Implied Move]]&gt;0, SnapshotTable[[#This Row],[Last Price]]-SnapshotTable[[#This Row],[Implied Move]],"")</f>
        <v/>
      </c>
      <c r="AZ324" s="219" t="str">
        <f>IF(SnapshotTable[[#This Row],[Implied Move]]&gt;0, SnapshotTable[[#This Row],[Last Price]] + SnapshotTable[[#This Row],[Implied Move]],"")</f>
        <v/>
      </c>
      <c r="BA324" s="331"/>
      <c r="BB324" s="347"/>
      <c r="BC32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4" s="351"/>
      <c r="BE324" s="5"/>
      <c r="BF324" s="14"/>
      <c r="BG324" s="13"/>
      <c r="BH324" s="13"/>
      <c r="BI324" s="5"/>
      <c r="BJ324" s="136">
        <f>IF(SnapshotTable[[#This Row],[LP Qty]] &gt; 0, SnapshotTable[[#This Row],[LP Qty]] * SnapshotTable[[#This Row],[LP Book Price]] * 100,0)</f>
        <v>0</v>
      </c>
      <c r="BK324" s="136">
        <f>IF(SnapshotTable[[#This Row],[LP Premium]] &gt; 0, SnapshotTable[[#This Row],[LP Qty]] * SnapshotTable[[#This Row],[LP Strike Price]] * 100,0)</f>
        <v>0</v>
      </c>
      <c r="BL324" s="154"/>
      <c r="BM324" s="385" t="str">
        <f>IF(SnapshotTable[[#This Row],[LP Premium]] &gt; 0,SnapshotTable[[#This Row],[LP Exp Date]]-MAX(SnapshotTable[[#This Row],[LP Book Date]], SnapshotTable[[#This Row],[LP Fill Date]]),"")</f>
        <v/>
      </c>
      <c r="BN324" s="385" t="str">
        <f>IF(ISNUMBER( SnapshotTable[[#This Row],[LP Term]]), SnapshotTable[[#This Row],[LP Exp Date]] - MockToday,"")</f>
        <v/>
      </c>
      <c r="BO324" s="163" t="str">
        <f>IF(AND(SnapshotTable[[#This Row],[LP Exp Date]]&gt;0, SnapshotTable[[#This Row],[LP Strike Price]]&gt;0,SnapshotTable[[#This Row],[LP Qty]]&gt;0,SnapshotTable[[#This Row],[LP Book Date]]&gt;0,SnapshotTable[[#This Row],[LP Book Price]]&gt;0,SnapshotTable[[#This Row],[LP Fill Date]]=0),"Y","")</f>
        <v/>
      </c>
      <c r="BP324" s="31" t="str">
        <f>IF(AND(SnapshotTable[[#This Row],[LP No Fill]]&lt;&gt;"Y",SnapshotTable[[#This Row],[LP Contract Value]]&gt;0, SnapshotTable[[#This Row],[LP Qty]]&gt;0), SnapshotTable[[#This Row],[LP Contract Value]]*SnapshotTable[[#This Row],[LP Qty]]*100,"")</f>
        <v/>
      </c>
      <c r="BQ324" s="13"/>
      <c r="BR324" s="5" t="str">
        <f>IF(SnapshotTable[[#This Row],[SP Exp Date]]&lt;&gt;"",TRUNC(SnapshotTable[[#This Row],[Last Price]]),"")</f>
        <v/>
      </c>
      <c r="BS324" s="36"/>
      <c r="BT324" s="147"/>
      <c r="BU324" s="13"/>
      <c r="BV324" s="5"/>
      <c r="BW324" s="419" t="b">
        <f>AND(ISNUMBER(SnapshotTable[[#This Row],[SP Exp Date]]), ISNUMBER(SnapshotTable[[#This Row],[SP Strike Price]]), ISNUMBER(SnapshotTable[[#This Row],[SP Qty]]), ISNUMBER(SnapshotTable[[#This Row],[SP Book Date]]), ISNUMBER(SnapshotTable[[#This Row],[SP Book Price]]))</f>
        <v>0</v>
      </c>
      <c r="BX324" s="419" t="b">
        <f>AND(SnapshotTable[[#This Row],[SP Is Booked]], NOT(ISBLANK(SnapshotTable[[#This Row],[SP Fill Date]])))</f>
        <v>0</v>
      </c>
      <c r="BY324" s="33">
        <f>IF(SnapshotTable[[#This Row],[SP Is Booked]], SnapshotTable[[#This Row],[SP Qty]] * SnapshotTable[[#This Row],[SP Book Price]] * 100, 0)</f>
        <v>0</v>
      </c>
      <c r="BZ324" s="369"/>
      <c r="CA324" s="368">
        <f>SnapshotTable[[#This Row],[LP Qty]]</f>
        <v>0</v>
      </c>
      <c r="CB324" s="4" t="str">
        <f>IF(SnapshotTable[[#This Row],[SP Is Booked]], SnapshotTable[[#This Row],[SP Strike Price]] - SnapshotTable[[#This Row],[SP Book Price]], "")</f>
        <v/>
      </c>
      <c r="CC324" s="19" t="str">
        <f>IF(SnapshotTable[[#This Row],[SP Is Booked]],SnapshotTable[[#This Row],[SP Exp Date]]-MAX(SnapshotTable[[#This Row],[SP Book Date]], SnapshotTable[[#This Row],[SP Fill Date]]),"")</f>
        <v/>
      </c>
      <c r="CD324" s="7" t="str">
        <f>IF(SnapshotTable[[#This Row],[SP Is Booked]], SnapshotTable[[#This Row],[SP Book Price]]/SnapshotTable[[#This Row],[SP Strike Price]], "")</f>
        <v/>
      </c>
      <c r="CE324" s="7" t="str">
        <f>IF(ISNUMBER(SnapshotTable[[#This Row],[SP ROO Term]]),SnapshotTable[[#This Row],[SP ROO Term]]*(365/SnapshotTable[[#This Row],[SP Term]]),"")</f>
        <v/>
      </c>
      <c r="CF324" s="236">
        <f>SnapshotTable[[#This Row],[LP Strike Price]] * SnapshotTable[[#This Row],[LP Qty]] * 100</f>
        <v>0</v>
      </c>
      <c r="CG324" s="31" t="e">
        <f>IF(ISNUMBER(SnapshotTable[[#This Row],[SP Premium]]), (SnapshotTable[[#This Row],[SP Qty]] * SnapshotTable[[#This Row],[SP Strike Price]]* 100) - SnapshotTable[[#This Row],[LP Protection]], 0)</f>
        <v>#VALUE!</v>
      </c>
      <c r="CH324" s="7" t="str">
        <f>IF(ISNUMBER(SnapshotTable[[#This Row],[SP Break Even]]),-1 * (SnapshotTable[[#This Row],[SP Break Even]] - SnapshotTable[[#This Row],[Last Price]]) / SnapshotTable[[#This Row],[Last Price]], "")</f>
        <v/>
      </c>
      <c r="CI324" s="31">
        <f>IF(AND(ISNUMBER((SnapshotTable[[#This Row],[SP Potential Spend]])), SnapshotTable[[#This Row],[SP Strike Price]] &gt; SnapshotTable[[#This Row],[Last Price]], SnapshotTable[[#This Row],[SP Is Filled]]), SnapshotTable[[#This Row],[SP Potential Spend]] -  SnapshotTable[[#This Row],[LP Max Value]], 0)</f>
        <v>0</v>
      </c>
      <c r="CJ324" s="244"/>
      <c r="CK324" s="31" t="str">
        <f>IF(ISNUMBER(SnapshotTable[[#This Row],[SP Potential Spend]]),IF(ISNUMBER(SnapshotTable[[#This Row],[SP POW]]), SnapshotTable[[#This Row],[SP POW]] * SnapshotTable[[#This Row],[SP Potential Spend]], SnapshotTable[[#This Row],[SP Potential Spend]]), "")</f>
        <v/>
      </c>
      <c r="CL324" s="164" t="e">
        <f>IF(NOT(SnapshotTable[[#This Row],[SP Is Filled]]),(SnapshotTable[[#This Row],[SP Qty]] * SnapshotTable[[#This Row],[SP Strike Price]] * 100) - SnapshotTable[[#This Row],[LP Max Value]],"")</f>
        <v>#VALUE!</v>
      </c>
      <c r="CM324" s="31" t="str">
        <f>IF(SnapshotTable[[#This Row],[SP Actual Spend]]&lt;&gt;0, ((SnapshotTable[[#This Row],[SP Strike Price]]-SnapshotTable[[#This Row],[Last Price]]) *(SnapshotTable[[#This Row],[SP Qty]]*100) - SnapshotTable[[#This Row],[SP Premium]]) * - 1, "")</f>
        <v/>
      </c>
      <c r="CN324" s="78"/>
      <c r="CO324" s="369"/>
      <c r="CP324" s="4" t="str">
        <f>IF(SnapshotTable[[#This Row],[SP Is Filled]], btc_max_buyback_amount(SnapshotTable[[#This Row],[SP Fill Date]],SnapshotTable[[#This Row],[SP Exp Date]], SnapshotTable[[#This Row],[SP Book Price]]),"")</f>
        <v/>
      </c>
      <c r="CQ324" s="78"/>
      <c r="CR32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4" s="155" t="str">
        <f>IF(SnapshotTable[[#This Row],[SP Is Filled]], btc_next_cutoff_date(SnapshotTable[[#This Row],[SP Fill Date]],SnapshotTable[[#This Row],[SP Exp Date]]),"")</f>
        <v/>
      </c>
      <c r="CT324" s="235" t="str" cm="1">
        <f t="array" ref="CT324">IF(SnapshotTable[[#This Row],[SP Is Filled]], btc_should_buy_back(SnapshotTable[[#This Row],[SP Fill Date]], SnapshotTable[[#This Row],[SP Exp Date]], SnapshotTable[[#This Row],[SP Book Price]], SnapshotTable[[#This Row],[SP Current Ask]], MockToday, SnapshotTable[[#This Row],[SP Buyback Override]]),"")</f>
        <v/>
      </c>
      <c r="CU324" s="143"/>
      <c r="CV324" s="235"/>
      <c r="CW324" s="378" t="str">
        <f>IF(ISNUMBER( SnapshotTable[[#This Row],[SP Term]]), SnapshotTable[[#This Row],[SP Exp Date]] - MockToday,"")</f>
        <v/>
      </c>
      <c r="CX324" s="31" t="str">
        <f>IF(SnapshotTable[[#This Row],[SP Is Filled]],SnapshotTable[[#This Row],[SP Buyback Price to Use]] * 100 * SnapshotTable[[#This Row],[SP Qty]], "")</f>
        <v/>
      </c>
      <c r="CY324" s="4" t="str">
        <f>IF(ISNUMBER(SnapshotTable[[#This Row],[SP Strike Price]]), SnapshotTable[[#This Row],[SP Strike Price]] * (1 - SP_MaxLoss_StrikePct), "")</f>
        <v/>
      </c>
      <c r="CZ324" s="31" t="str">
        <f>IF(ISNUMBER(SnapshotTable[[#This Row],[SP Strike  Stop Per Share]]),SnapshotTable[[#This Row],[SP Premium]] - ((SnapshotTable[[#This Row],[SP Strike Price]]-SnapshotTable[[#This Row],[SP Strike  Stop Per Share]]) *(SnapshotTable[[#This Row],[SP Qty]] * 100)),"")</f>
        <v/>
      </c>
      <c r="DA324" s="4" t="str">
        <f>IF(AND(ISNUMBER(SnapshotTable[[#This Row],[SP Premium]]),SnapshotTable[[#This Row],[SP Premium]]&gt;0), SnapshotTable[[#This Row],[SP Book Price]] * (1 + SP_MaxLoss_OptionPct), "")</f>
        <v/>
      </c>
      <c r="DB324" s="31" t="str">
        <f>IF(ISNUMBER(SnapshotTable[[#This Row],[SP Option  Stop Contract]]),(SnapshotTable[[#This Row],[SP Option  Stop Contract]] *(SnapshotTable[[#This Row],[SP Qty]] * 100) - SnapshotTable[[#This Row],[SP Premium]]),"")</f>
        <v/>
      </c>
      <c r="DC324" s="4"/>
      <c r="DD324" s="4"/>
      <c r="DE324" s="4" t="str">
        <f>IF(AND(SnapshotTable[[#This Row],[SP Qty]]&gt;0, SnapshotTable[[#This Row],[SP Stop To Use]]&gt;0),SnapshotTable[[#This Row],[SP Premium]] - ( SnapshotTable[[#This Row],[SP Qty]] * SnapshotTable[[#This Row],[SP Stop To Use]] * 100), "")</f>
        <v/>
      </c>
      <c r="DF324" s="31" t="str">
        <f>IF(AND(SnapshotTable[[#This Row],[SP Qty]]&gt;0,SnapshotTable[[#This Row],[SP Current Ask]]&gt;0), SnapshotTable[[#This Row],[SP Qty]] * SnapshotTable[[#This Row],[SP Current Ask]] * -100, "")</f>
        <v/>
      </c>
      <c r="DG324" s="31" t="str">
        <f>IF(ISNUMBER((SnapshotTable[[#This Row],[SP Total Value]])), SnapshotTable[[#This Row],[SP Premium]] + SnapshotTable[[#This Row],[SP Total Value]], "")</f>
        <v/>
      </c>
      <c r="DH324" s="294" t="str">
        <f>IF(ISNUMBER((SnapshotTable[[#This Row],[SP Total Value]])), SnapshotTable[[#This Row],[SP Gain Loss]] / SnapshotTable[[#This Row],[SP Premium]], "")</f>
        <v/>
      </c>
      <c r="DI324" s="406"/>
      <c r="DJ324" s="138"/>
      <c r="DK324" s="148"/>
      <c r="DL324" s="13"/>
      <c r="DM324" s="13"/>
      <c r="DO324" s="31">
        <f>IF(SnapshotTable[[#This Row],[LC Symbol Count]]=1, SnapshotTable[[#This Row],[LC Qty]] * SnapshotTable[[#This Row],[LC Book Price]] * 100, 0)</f>
        <v>0</v>
      </c>
      <c r="DP324" s="163" t="str">
        <f>IF(AND(SnapshotTable[[#This Row],[LC Exp Date]]&gt;0, SnapshotTable[[#This Row],[LC Strike Price]]&gt;0,SnapshotTable[[#This Row],[LC Qty]]&gt;0,SnapshotTable[[#This Row],[LC Book Date]]&gt;0,SnapshotTable[[#This Row],[LC Book Price]]&gt;0,SnapshotTable[[#This Row],[LC Fill Date]]=0),"Y","")</f>
        <v/>
      </c>
      <c r="DQ324" s="386" t="str">
        <f>IF(SnapshotTable[[#This Row],[LC Premium]] &gt; 0,SnapshotTable[[#This Row],[LC Exp Date]]-MAX(SnapshotTable[[#This Row],[LC Book Date]], SnapshotTable[[#This Row],[LC Fill Date]]),"")</f>
        <v/>
      </c>
      <c r="DR324" s="386" t="str">
        <f>IF(ISNUMBER(SnapshotTable[[#This Row],[LC Term]]), SnapshotTable[[#This Row],[LC Exp Date]] - MockToday, "")</f>
        <v/>
      </c>
      <c r="DS324" s="234" t="str">
        <f>IF(SnapshotTable[[#This Row],[LC Premium]]&gt;0,SnapshotTable[[#This Row],[LC Strike Price]] + SnapshotTable[[#This Row],[LC Book Price]],"")</f>
        <v/>
      </c>
      <c r="DU324" s="9" t="str">
        <f>IF(AND(SnapshotTable[[#This Row],[LC Symbol Count]]&gt;0, SnapshotTable[[#This Row],[LC Contract Value]]&gt;0), SnapshotTable[[#This Row],[LC Contract Value]] * SnapshotTable[[#This Row],[LC Qty]] * 100, "")</f>
        <v/>
      </c>
      <c r="DV324" s="9" t="str">
        <f>IF(AND(ISNUMBER(SnapshotTable[[#This Row],[LC Total Value]]), SnapshotTable[[#This Row],[LC Not Filled]]&lt;&gt;"Y"), SnapshotTable[[#This Row],[LC Total Value]]-SnapshotTable[[#This Row],[LC Premium]],"")</f>
        <v/>
      </c>
      <c r="DW324" s="240" t="str">
        <f>IF(ISNUMBER(SnapshotTable[[#This Row],[LC Actual Gain Loss]]), SnapshotTable[[#This Row],[LC Actual Gain Loss]] / SnapshotTable[[#This Row],[LC Premium]],"")</f>
        <v/>
      </c>
      <c r="DX324" s="284" t="str">
        <f>IF(ISNUMBER(SnapshotTable[[#This Row],[LC Book Price]]),SnapshotTable[[#This Row],[LC Book Price]] * 1.5,"")</f>
        <v/>
      </c>
      <c r="DY324" s="265" t="str">
        <f>IF(SnapshotTable[[#This Row],[LC Premium]]&gt;0, SnapshotTable[[#This Row],[LC Next Target]] * SnapshotTable[[#This Row],[LC Qty]] * 100,"")</f>
        <v/>
      </c>
      <c r="DZ324" s="265" t="str">
        <f>IF(ISNUMBER(SnapshotTable[[#This Row],[LC Target Gross]]), SnapshotTable[[#This Row],[LC Target Gross]] - SnapshotTable[[#This Row],[LC Premium]], "")</f>
        <v/>
      </c>
      <c r="EA324" s="305" t="str">
        <f>IF(ISNUMBER(SnapshotTable[[#This Row],[LC Target Gain Loss]]), SnapshotTable[[#This Row],[LC Target Gain Loss]]/SnapshotTable[[#This Row],[LC Premium]], "")</f>
        <v/>
      </c>
      <c r="EB324" s="262"/>
      <c r="EC324" s="283" t="str">
        <f>IF(SnapshotTable[[#This Row],[LC Premium]]&gt;0, SnapshotTable[[#This Row],[LC Book Price]] * (1 - LC_StopLoss_Pct),"")</f>
        <v/>
      </c>
      <c r="ED324" s="284"/>
      <c r="EE324" s="283" t="str">
        <f>IF(ISNUMBER(SnapshotTable[[#This Row],[LC Contract Value]]),IF(ISNUMBER(SnapshotTable[[#This Row],[LC Stop Loss Override]]), SnapshotTable[[#This Row],[LC Stop Loss Override]],SnapshotTable[[#This Row],[LC Stop Loss Calc Target]]),"")</f>
        <v/>
      </c>
      <c r="EF324" s="31" t="str">
        <f>IF(ISNUMBER(SnapshotTable[[#This Row],[LC Stop  To Use]]), (SnapshotTable[[#This Row],[LC Stop  To Use]] * SnapshotTable[[#This Row],[LC Qty]] * 100),"")</f>
        <v/>
      </c>
      <c r="EG324" s="9" t="str">
        <f>IF(ISNUMBER(SnapshotTable[[#This Row],[LC Total Value]]),SnapshotTable[[#This Row],[LC Stop Loss Amount]] - SnapshotTable[[#This Row],[LC Premium]],"")</f>
        <v/>
      </c>
      <c r="EH324" s="9">
        <f>IF(ISNUMBER(SnapshotTable[[#This Row],[LC Premium]]), SnapshotTable[[#This Row],[LC Qty]] * 100 * SnapshotTable[[#This Row],[LC Strike Price]], "")</f>
        <v>0</v>
      </c>
      <c r="EI324" s="240" t="str">
        <f>IF(AND(ISNUMBER(SnapshotTable[[#This Row],[LC Total Value]]),SnapshotTable[[#This Row],[LC Total Value]]&gt;0),SnapshotTable[[#This Row],[LC Stop Gain Loss]]  / SnapshotTable[[#This Row],[LC Premium]],"")</f>
        <v/>
      </c>
      <c r="EJ324" s="35">
        <f>IF(ISNUMBER(SnapshotTable[[#This Row],[Equity Shares]]),TRUNC(SnapshotTable[[#This Row],[Equity Shares]] / 100),0) + SnapshotTable[[#This Row],[LC Qty]]</f>
        <v>0</v>
      </c>
      <c r="EK324" s="147"/>
      <c r="EL324" s="138" t="str">
        <f>IF(SnapshotTable[[#This Row],[SC Exp Date]]&lt;&gt;"",TRUNC(SnapshotTable[[#This Row],[Last Price]]),"")</f>
        <v/>
      </c>
      <c r="EM324" s="148"/>
      <c r="EN324" s="147"/>
      <c r="EO324" s="147"/>
      <c r="EP324" s="138"/>
      <c r="EQ324" s="419" t="b">
        <f>AND(ISNUMBER(SnapshotTable[[#This Row],[SC Exp Date]]), ISNUMBER(SnapshotTable[[#This Row],[SC Strike Price]]), ISNUMBER(SnapshotTable[[#This Row],[SC Qty]]), ISNUMBER(SnapshotTable[[#This Row],[SC Book Date]]), ISNUMBER(SnapshotTable[[#This Row],[SC Book Price]]))</f>
        <v>0</v>
      </c>
      <c r="ER324" s="419" t="b">
        <f>AND(SnapshotTable[[#This Row],[SC Is Booked]], NOT(ISBLANK(SnapshotTable[[#This Row],[SC Fill Date]])))</f>
        <v>0</v>
      </c>
      <c r="ES324" s="370"/>
      <c r="ET324" s="34" t="str">
        <f>IF(AND(ISNUMBER(SnapshotTable[[#This Row],[SC Exp Date]]), ISNUMBER(SnapshotTable[[#This Row],[SC Book Date]])), SnapshotTable[[#This Row],[SC Exp Date]] - MAX(SnapshotTable[[#This Row],[SC Book Date]], SnapshotTable[[#This Row],[SC Fill Date]]) + 1, "")</f>
        <v/>
      </c>
      <c r="EU324" s="34" t="str">
        <f>IF(ISNUMBER(SnapshotTable[[#This Row],[SC Term]]), SnapshotTable[[#This Row],[SC Exp Date]]- MockToday, "")</f>
        <v/>
      </c>
      <c r="EV324" s="31">
        <f>IF(SnapshotTable[[#This Row],[SC Is Booked]], SnapshotTable[[#This Row],[SC Qty]] * SnapshotTable[[#This Row],[SC Book Price]] * 100, 0)</f>
        <v>0</v>
      </c>
      <c r="EW324" s="4" t="str">
        <f>IF(AND(ISNUMBER(SnapshotTable[[#This Row],[Last Price]]), ISNUMBER( SnapshotTable[[#This Row],[SC Book Price]])), SnapshotTable[[#This Row],[Last Price]] - SnapshotTable[[#This Row],[SC Book Price]],"")</f>
        <v/>
      </c>
      <c r="EX324" s="234" t="str">
        <f>IF(SnapshotTable[[#This Row],[SC Is Booked]],IF(SnapshotTable[[#This Row],[SC Intrinsic Value]] &gt; 0, SnapshotTable[[#This Row],[SC Strike Price]], SnapshotTable[[#This Row],[Last Price]]), "")</f>
        <v/>
      </c>
      <c r="EY324" s="4">
        <f>IF(SnapshotTable[[#This Row],[SC Is Booked]], (MinimumPremiumRequired * SnapshotTable[[#This Row],[SC Basis]] * SnapshotTable[[#This Row],[SC Term]]), 0)</f>
        <v>0</v>
      </c>
      <c r="EZ324" s="283"/>
      <c r="FA324" s="218"/>
      <c r="FB324" s="370"/>
      <c r="FC324" s="4">
        <f>IF(SnapshotTable[[#This Row],[SC Is Filled]], btc_max_buyback_amount(SnapshotTable[[#This Row],[SC Fill Date]],SnapshotTable[[#This Row],[SC Exp Date]], SnapshotTable[[#This Row],[SC Book Price]]),0)</f>
        <v>0</v>
      </c>
      <c r="FD324" s="5"/>
      <c r="FE324" s="144" t="str">
        <f>IF(SnapshotTable[[#This Row],[SC Is Filled]], btc_next_cutoff_date(SnapshotTable[[#This Row],[SC Fill Date]],SnapshotTable[[#This Row],[SC Exp Date]]),"")</f>
        <v/>
      </c>
      <c r="FF324" s="4" t="str" cm="1">
        <f t="array" ref="FF324">IF(SnapshotTable[[#This Row],[SC Is Filled]], btc_should_buy_back(SnapshotTable[[#This Row],[SC Fill Date]], SnapshotTable[[#This Row],[SC Exp Date]], SnapshotTable[[#This Row],[SC Book Price]], SnapshotTable[[#This Row],[SC Current Ask]], MockToday, SnapshotTable[[#This Row],[SC Buyback Override]]),"")</f>
        <v/>
      </c>
      <c r="FG324" s="4">
        <f>IF(SnapshotTable[[#This Row],[SC Is Filled]], MAX(0,SnapshotTable[[#This Row],[Last Price]]  - SnapshotTable[[#This Row],[SC Strike Price]]), 0)</f>
        <v>0</v>
      </c>
      <c r="FH324" s="382">
        <f>IF(SnapshotTable[[#This Row],[SC Is Filled]], IF(ISNUMBER(SnapshotTable[[#This Row],[SC Current Ask]]), SnapshotTable[[#This Row],[SC Current Ask]], SnapshotTable[[#This Row],[SC Book Price]]) - SnapshotTable[[#This Row],[SC Intrinsic Value]], 0)</f>
        <v>0</v>
      </c>
      <c r="FI324" s="143"/>
      <c r="FJ324" s="32" t="str">
        <f>IF(SnapshotTable[[#This Row],[SC Is Filled]],100 * SnapshotTable[[#This Row],[SC Qty]] * IF(ISNUMBER(SnapshotTable[[#This Row],[SC Buyback Override]]), SnapshotTable[[#This Row],[SC Buyback Override]], SnapshotTable[[#This Row],[SC Current Ask]]), "")</f>
        <v/>
      </c>
      <c r="FK324" s="250" t="str">
        <f>IF(SnapshotTable[[#This Row],[SC Time Val]]&gt;0, SnapshotTable[[#This Row],[SC Time Val]] / SnapshotTable[[#This Row],[Last Price]],"")</f>
        <v/>
      </c>
      <c r="FL324" s="302" t="str">
        <f>IF(SnapshotTable[[#This Row],[SC Is Booked]], ((SnapshotTable[[#This Row],[Last Price]] -SnapshotTable[[#This Row],[SC Strike Price]]) / SnapshotTable[[#This Row],[Last Price]]) * -1, "")</f>
        <v/>
      </c>
      <c r="FM324" s="157" t="str">
        <f>IF(SnapshotTable[[#This Row],[SC Is Booked]],  (SnapshotTable[[#This Row],[SC Qty]] * 100 * SnapshotTable[[#This Row],[SC Strike Price]]) - SnapshotTable[[#This Row],[SC Current Ask]], "")</f>
        <v/>
      </c>
      <c r="FN32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4" s="31" t="str">
        <f>IF(AND(ISNUMBER(SnapshotTable[[#This Row],[SC Exercise Gross]]), ISNUMBER(SnapshotTable[[#This Row],[Equity Basis Per Share]] )), SnapshotTable[[#This Row],[SC Exercise Gross]] - SnapshotTable[[#This Row],[Equity Basis Total]] +  SnapshotTable[[#This Row],[SC Premium]], "")</f>
        <v/>
      </c>
      <c r="FP324" s="5" t="str">
        <f>IF(ISNUMBER(SnapshotTable[[#This Row],[SC Exercise Gross]]), (SnapshotTable[[#This Row],[SC Exercise Gross]]) / (SnapshotTable[[#This Row],[SC Qty]] * 100), "")</f>
        <v/>
      </c>
      <c r="FQ324" s="27" t="str">
        <f>IF(SnapshotTable[[#This Row],[SC Is Booked]],SnapshotTable[[#This Row],[SC Time Val]] /SnapshotTable[[#This Row],[SC Basis]], "")</f>
        <v/>
      </c>
      <c r="FR324" s="27" t="str" cm="1">
        <f t="array" ref="FR324">IF(AND(ISNUMBER(SnapshotTable[[#This Row],[SC Term]]),ISNUMBER(SnapshotTable[[#This Row],[SC Simple ROO]])), EllmanAnnualize(SnapshotTable[[#This Row],[SC DTE]], SnapshotTable[[#This Row],[SC Simple ROO]] ),"")</f>
        <v/>
      </c>
      <c r="FS324" s="4" t="e">
        <f>IF(SnapshotTable[[#This Row],[SC Strike Price]] &gt; SnapshotTable[[#This Row],[Last Price]], SnapshotTable[[#This Row],[SC Strike Price]] - SnapshotTable[[#This Row],[Last Price]],0)</f>
        <v>#VALUE!</v>
      </c>
      <c r="FT324" s="27" t="e">
        <f>IF(AND(ISNUMBER(SnapshotTable[[#This Row],[SC Upside Potential]]), SnapshotTable[[#This Row],[SC Upside Potential]] &gt; 0),(SnapshotTable[[#This Row],[SC Upside Potential]]/ SnapshotTable[[#This Row],[ACB]]),"")</f>
        <v>#VALUE!</v>
      </c>
      <c r="FU324" s="333" t="str">
        <f>IF(SnapshotTable[[#This Row],[SC Intrinsic Value]] &gt; 0,SnapshotTable[[#This Row],[SC Intrinsic Value]],"")</f>
        <v/>
      </c>
      <c r="FV324" s="27" t="str">
        <f>IF(AND( ISNUMBER( SnapshotTable[[#This Row],[ACB]]),ISNUMBER(SnapshotTable[[#This Row],[SC Downside Protect]])),SnapshotTable[[#This Row],[SC Downside Protect]] / SnapshotTable[[#This Row],[ACB]],"")</f>
        <v/>
      </c>
      <c r="FW324" s="236" t="str">
        <f>IF(AND(ISNUMBER(SnapshotTable[[#This Row],[SC Simple ROO]]),SnapshotTable[[#This Row],[SC Simple ROO]] &gt; 0), SnapshotTable[[#This Row],[SC Premium]] + (SnapshotTable[[#This Row],[SC Qty]] * SnapshotTable[[#This Row],[SC Upside Potential]]), "")</f>
        <v/>
      </c>
      <c r="FX324" s="302" t="str" cm="1">
        <f t="array" ref="FX324">IF(ISNUMBER(SnapshotTable[[#This Row],[SC Max Dollars]]), annualize(SnapshotTable[[#This Row],[SC Term]],(SnapshotTable[[#This Row],[SC Max Dollars]]/SnapshotTable[[#This Row],[SC Basis]])),"")</f>
        <v/>
      </c>
      <c r="FY324" s="236" t="str">
        <f>IF(AND(SnapshotTable[[#This Row],[SC Qty]]&gt;0,SnapshotTable[[#This Row],[SC Current Ask]]&gt;0), SnapshotTable[[#This Row],[SC Qty]] * SnapshotTable[[#This Row],[SC Current Ask]] * -100, "")</f>
        <v/>
      </c>
      <c r="FZ324" s="31" t="str">
        <f>IF(ISNUMBER((SnapshotTable[[#This Row],[SC Current Value]])), SnapshotTable[[#This Row],[SC Premium]] + SnapshotTable[[#This Row],[SC Current Value]], "")</f>
        <v/>
      </c>
      <c r="GA324" s="294" t="str">
        <f>IFERROR( IF(ISNUMBER((SnapshotTable[[#This Row],[SC Current Value]])), SnapshotTable[[#This Row],[SC Gain Loss]] / SnapshotTable[[#This Row],[SC Premium]], ""), "")</f>
        <v/>
      </c>
      <c r="GB324" s="42">
        <f>SnapshotTable[[#This Row],[Equity Shares]] * SaleSharesToConsiderPercentage</f>
        <v>0</v>
      </c>
      <c r="GC324" s="40">
        <f>SnapshotTable[[#This Row],[Long Term Target]] * SellingPriceToConsiderBasedOnTargetPercentage</f>
        <v>58.9</v>
      </c>
      <c r="GD324" s="40">
        <f>SnapshotTable[[#This Row],[Last Price]] * (1+ SellingPriceToConsiderBasedOnTargetPercentage)</f>
        <v>51.265499999999996</v>
      </c>
      <c r="GE324" s="41"/>
      <c r="GF324" s="40"/>
      <c r="GG324" s="31">
        <f>SnapshotTable[[#This Row],[Booked Sale Shares]] * SnapshotTable[[#This Row],[Booked Sale Price]]</f>
        <v>0</v>
      </c>
      <c r="GH324" s="31" t="str">
        <f>IF(SnapshotTable[[#This Row],[Equity Basis Total]] &gt; 0, SnapshotTable[[#This Row],[Equity Basis Per Share]] * SnapshotTable[[#This Row],[Booked Sale Shares]], "")</f>
        <v/>
      </c>
      <c r="GI324" s="31">
        <f>IF(SnapshotTable[[#This Row],[Sale Proceeds]]&gt;0, SnapshotTable[[#This Row],[Sale Proceeds]] - SnapshotTable[[#This Row],[Sale Basis]], 0)</f>
        <v>0</v>
      </c>
      <c r="GJ324" s="27" t="str">
        <f>IF(SnapshotTable[[#This Row],[Sale G/L]]&gt;0, SnapshotTable[[#This Row],[Sale G/L]] / SnapshotTable[[#This Row],[Sale Basis]], IF(ISNUMBER(SnapshotTable[[#This Row],[SC Exercise P&amp;L (TAX)]]), SnapshotTable[[#This Row],[SC Exercise P&amp;L (TAX)]] / SnapshotTable[[#This Row],[SC Basis]], ""))</f>
        <v/>
      </c>
      <c r="GK324" s="27" t="s">
        <v>780</v>
      </c>
      <c r="GL324" s="43" t="str">
        <f>IF(AND(SnapshotTable[[#This Row],[LP Exp Date]]&gt;0,SnapshotTable[[#This Row],[LP Strike Price]]&gt;0), [1]!ToOptionSymbol(SnapshotTable[[#This Row],[Symbol]], SnapshotTable[[#This Row],[LP Strike Price]],SnapshotTable[[#This Row],[LP Exp Date]],1), "")</f>
        <v/>
      </c>
      <c r="GM324" s="30" t="str">
        <f>IF(LEN(SnapshotTable[[#This Row],[LP Symbol]])&gt;0, 1, "")</f>
        <v/>
      </c>
      <c r="GN324" s="43" t="str">
        <f>IF(AND(SnapshotTable[[#This Row],[SP Exp Date]]&gt;0,SnapshotTable[[#This Row],[SP Strike Price]]&gt;0), [1]!ToOptionSymbol(SnapshotTable[[#This Row],[Symbol]], SnapshotTable[[#This Row],[SP Strike Price]],SnapshotTable[[#This Row],[SP Exp Date]],1), "")</f>
        <v/>
      </c>
      <c r="GO324" s="30" t="str">
        <f>IF(LEN(SnapshotTable[[#This Row],[SP Symbol]])&gt;0, 1, "")</f>
        <v/>
      </c>
      <c r="GP324" s="43" t="str">
        <f>IF(AND(SnapshotTable[[#This Row],[LC Exp Date]]&gt;0,SnapshotTable[[#This Row],[LC Strike Price]]&gt;0), [1]!ToOptionSymbol(SnapshotTable[[#This Row],[Symbol]], SnapshotTable[[#This Row],[LC Strike Price]],SnapshotTable[[#This Row],[LC Exp Date]],0), "")</f>
        <v/>
      </c>
      <c r="GQ324" s="30" t="str">
        <f>IF(LEN(SnapshotTable[[#This Row],[LC Symbol]])&gt;0, 1, "")</f>
        <v/>
      </c>
      <c r="GR324" s="43" t="str">
        <f>IF(AND(SnapshotTable[[#This Row],[SC Exp Date]]&gt;0,SnapshotTable[[#This Row],[SC Strike Price]]&gt;0), [1]!ToOptionSymbol(SnapshotTable[[#This Row],[Symbol]], SnapshotTable[[#This Row],[SC Strike Price]],SnapshotTable[[#This Row],[SC Exp Date]],0), "")</f>
        <v/>
      </c>
      <c r="GS324" s="30" t="str">
        <f>IF(LEN(SnapshotTable[[#This Row],[SC Symbol]])&gt;0, 1, "")</f>
        <v/>
      </c>
      <c r="GT324" s="29" t="str">
        <f>IF(COUNT(SnapshotTable[[#This Row],[LP Symbol Count]],SnapshotTable[[#This Row],[SP Symbol Count]],SnapshotTable[[#This Row],[LC Symbol Count]],SnapshotTable[[#This Row],[SC Symbol Count]])&gt;0, "Y", "")</f>
        <v/>
      </c>
      <c r="GU32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4" s="231" t="e">
        <f>MAX(SnapshotTable[[#This Row],[Equity Basis Total]],SnapshotTable[[#This Row],[Equity Value]]) + (SnapshotTable[[#This Row],[SP Potential Spend]]- SnapshotTable[[#This Row],[SP Premium]] + SnapshotTable[[#This Row],[LP Premium]])+ (SnapshotTable[[#This Row],[LC Premium]] - SnapshotTable[[#This Row],[SC Premium]])</f>
        <v>#VALUE!</v>
      </c>
      <c r="GW324" s="139" t="e">
        <f>IF(AND(SnapshotTable[[#This Row],[Exposure]] &lt;&gt; 0),SnapshotTable[[#This Row],[Exposure]] / SnapshotTable[[#Totals],[Exposure]], "")</f>
        <v>#VALUE!</v>
      </c>
      <c r="HK324" s="1"/>
      <c r="HL324" s="1"/>
      <c r="HM324" s="1"/>
      <c r="HN324" s="1"/>
      <c r="HO324" s="1"/>
      <c r="HP324" s="1"/>
    </row>
    <row r="325" spans="2:224" ht="12.75" hidden="1" customHeight="1" x14ac:dyDescent="0.25">
      <c r="B325" s="12" t="s">
        <v>853</v>
      </c>
      <c r="C325" s="422">
        <v>10.6</v>
      </c>
      <c r="D325" s="208" t="s">
        <v>885</v>
      </c>
      <c r="E325" s="39">
        <f>SnapshotTable[[#This Row],[Last Price]]*(1 -CrashDiscount)</f>
        <v>9.01</v>
      </c>
      <c r="F325" s="26" t="s">
        <v>891</v>
      </c>
      <c r="G325" s="26" t="s">
        <v>822</v>
      </c>
      <c r="H325" s="149"/>
      <c r="I325" s="194">
        <v>44776.291666666664</v>
      </c>
      <c r="J325" s="195">
        <v>44776.291666666664</v>
      </c>
      <c r="K325" s="196"/>
      <c r="L325" s="326"/>
      <c r="M325" s="140"/>
      <c r="N325" s="140"/>
      <c r="O325" s="140"/>
      <c r="P325" s="22"/>
      <c r="Q325" s="25"/>
      <c r="R325" s="4" t="str">
        <f>IF(SnapshotTable[[#This Row],[Equity Basis Total]] &gt; 0, SnapshotTable[[#This Row],[Equity Basis Total]] / SnapshotTable[[#This Row],[Equity Shares]], "")</f>
        <v/>
      </c>
      <c r="S325" s="269">
        <f>SnapshotTable[[#This Row],[Last Price]] * SnapshotTable[[#This Row],[Equity Shares]]</f>
        <v>0</v>
      </c>
      <c r="T325" s="269">
        <f>SnapshotTable[[#This Row],[Equity Value]] - SnapshotTable[[#This Row],[Equity Basis Total]]</f>
        <v>0</v>
      </c>
      <c r="U325" s="270" t="str">
        <f>IF(SnapshotTable[[#This Row],[Equity Basis Total]] &gt; 0, SnapshotTable[[#This Row],[Equity G/L]] / SnapshotTable[[#This Row],[Equity Basis Total]], "")</f>
        <v/>
      </c>
      <c r="V325" s="268"/>
      <c r="W325" s="268"/>
      <c r="X325" s="4" t="str">
        <f>IF(AND(ISNUMBER(SnapshotTable[[#This Row],[Equity Basis Per Share]]),ISNUMBER(SnapshotTable[[#This Row],[Equity Target]])),SnapshotTable[[#This Row],[Equity Target]]-SnapshotTable[[#This Row],[Equity Basis Per Share]],"")</f>
        <v/>
      </c>
      <c r="Y325" s="4" t="str">
        <f>IF(AND(ISNUMBER(SnapshotTable[[#This Row],[Equity Basis Per Share]]),ISNUMBER(SnapshotTable[[#This Row],[Equity Stop Loss]])),SnapshotTable[[#This Row],[Equity Stop Loss]]-SnapshotTable[[#This Row],[Equity Basis Per Share]],"")</f>
        <v/>
      </c>
      <c r="Z325" s="275" t="str">
        <f>IFERROR( TEXT(SnapshotTable[[#This Row],[Equity Max Gain Per Share]] /ABS( SnapshotTable[[#This Row],[Equity Max Loss Per Share]]),"0.0 " ) &amp; " : 1", "")</f>
        <v/>
      </c>
      <c r="AA325" s="31" t="str">
        <f>IF(ISNUMBER(SnapshotTable[[#This Row],[Equity Max Gain Per Share]]),SnapshotTable[[#This Row],[Equity Max Gain Per Share]] * SnapshotTable[[#This Row],[Equity Shares]],"")</f>
        <v/>
      </c>
      <c r="AB325" s="31" t="str">
        <f>IF(ISNUMBER(SnapshotTable[[#This Row],[Equity Max Loss Per Share]]),SnapshotTable[[#This Row],[Equity Max Loss Per Share]] * SnapshotTable[[#This Row],[Equity Shares]],"")</f>
        <v/>
      </c>
      <c r="AC325" s="150"/>
      <c r="AD325" s="151"/>
      <c r="AE325" s="31">
        <f>(SnapshotTable[[#This Row],[Annual Dividend Per Share]] / 4) * SnapshotTable[[#This Row],[Equity Shares]]</f>
        <v>0</v>
      </c>
      <c r="AF325" s="31">
        <f>SnapshotTable[[#This Row],[Quarterly Div $]] * 4</f>
        <v>0</v>
      </c>
      <c r="AG325" s="7">
        <f>IF(SnapshotTable[[#This Row],[Annual Dividend Per Share]]&gt;0, SnapshotTable[[#This Row],[Annual Dividend Per Share]]  / SnapshotTable[[#This Row],[Last Price]], 0)</f>
        <v>0</v>
      </c>
      <c r="AH325" s="151"/>
      <c r="AI325" s="5"/>
      <c r="AJ325" s="138" t="s">
        <v>164</v>
      </c>
      <c r="AK325" s="152" t="str">
        <f>IF(ISNUMBER( SnapshotTable[[#This Row],[EBF Target]]),(SnapshotTable[[#This Row],[EBF Target]] - SnapshotTable[[#This Row],[Last Price]]) / SnapshotTable[[#This Row],[Last Price]], "")</f>
        <v/>
      </c>
      <c r="AL325" s="152" t="str">
        <f>IF(AND(SnapshotTable[[#This Row],[Equity Basis Total]] &gt; 0,ISNUMBER( SnapshotTable[[#This Row],[Long Term Target]])), SnapshotTable[[#This Row],[From Basis $]] / SnapshotTable[[#This Row],[Equity Basis Total]], "")</f>
        <v/>
      </c>
      <c r="AM325" s="9">
        <f>IF( AND(SnapshotTable[[#This Row],[Equity Shares]] &gt;0,ISNUMBER( SnapshotTable[[#This Row],[Long Term Target]])),(SnapshotTable[[#This Row],[Equity Shares]] * SnapshotTable[[#This Row],[Long Term Target]]) - SnapshotTable[[#This Row],[Equity Basis Total]],0)</f>
        <v>0</v>
      </c>
      <c r="AN325" s="9">
        <f>IF( AND(SnapshotTable[[#This Row],[Equity Shares]] &gt;0,ISNUMBER( SnapshotTable[[#This Row],[Long Term Target]])),(SnapshotTable[[#This Row],[Equity Shares]]*SnapshotTable[[#This Row],[Long Term Target]]) - SnapshotTable[[#This Row],[Equity Value]],0)</f>
        <v>0</v>
      </c>
      <c r="AO325" s="152" t="str">
        <f>IF(AND(ISNUMBER( SnapshotTable[[#This Row],[Long Term Target]]), ISNUMBER(SnapshotTable[[#This Row],[Last Price]])),(SnapshotTable[[#This Row],[Long Term Target]] - SnapshotTable[[#This Row],[Last Price]]) / SnapshotTable[[#This Row],[Last Price]], "")</f>
        <v/>
      </c>
      <c r="AP325" s="5"/>
      <c r="AQ325" s="38"/>
      <c r="AR325" s="5"/>
      <c r="AS325" s="38"/>
      <c r="AT325" s="146"/>
      <c r="AU325" s="187" t="str">
        <f>IF(OR(SnapshotTable[[#This Row],[LP No Fill]]="Y",SnapshotTable[[#This Row],[SP Is Filled]],SnapshotTable[[#This Row],[LC Not Filled]]="Y",SnapshotTable[[#This Row],[SC Is Filled]]),"Y","")</f>
        <v/>
      </c>
      <c r="AV325" s="219"/>
      <c r="AW325" s="225"/>
      <c r="AX325" s="220"/>
      <c r="AY325" s="219" t="str">
        <f>IF(SnapshotTable[[#This Row],[Implied Move]]&gt;0, SnapshotTable[[#This Row],[Last Price]]-SnapshotTable[[#This Row],[Implied Move]],"")</f>
        <v/>
      </c>
      <c r="AZ325" s="219" t="str">
        <f>IF(SnapshotTable[[#This Row],[Implied Move]]&gt;0, SnapshotTable[[#This Row],[Last Price]] + SnapshotTable[[#This Row],[Implied Move]],"")</f>
        <v/>
      </c>
      <c r="BA325" s="331"/>
      <c r="BB325" s="347"/>
      <c r="BC32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5" s="351"/>
      <c r="BE325" s="138"/>
      <c r="BF325" s="166"/>
      <c r="BG325" s="167"/>
      <c r="BH325" s="167"/>
      <c r="BI325" s="221"/>
      <c r="BJ325" s="153">
        <f>IF(SnapshotTable[[#This Row],[LP Qty]] &gt; 0, SnapshotTable[[#This Row],[LP Qty]] * SnapshotTable[[#This Row],[LP Book Price]] * 100,0)</f>
        <v>0</v>
      </c>
      <c r="BK325" s="136">
        <f>IF(SnapshotTable[[#This Row],[LP Premium]] &gt; 0, SnapshotTable[[#This Row],[LP Qty]] * SnapshotTable[[#This Row],[LP Strike Price]] * 100,0)</f>
        <v>0</v>
      </c>
      <c r="BL325" s="154"/>
      <c r="BM325" s="385" t="str">
        <f>IF(SnapshotTable[[#This Row],[LP Premium]] &gt; 0,SnapshotTable[[#This Row],[LP Exp Date]]-MAX(SnapshotTable[[#This Row],[LP Book Date]], SnapshotTable[[#This Row],[LP Fill Date]]),"")</f>
        <v/>
      </c>
      <c r="BN325" s="385" t="str">
        <f>IF(ISNUMBER( SnapshotTable[[#This Row],[LP Term]]), SnapshotTable[[#This Row],[LP Exp Date]] - MockToday,"")</f>
        <v/>
      </c>
      <c r="BO325" s="163" t="str">
        <f>IF(AND(SnapshotTable[[#This Row],[LP Exp Date]]&gt;0, SnapshotTable[[#This Row],[LP Strike Price]]&gt;0,SnapshotTable[[#This Row],[LP Qty]]&gt;0,SnapshotTable[[#This Row],[LP Book Date]]&gt;0,SnapshotTable[[#This Row],[LP Book Price]]&gt;0,SnapshotTable[[#This Row],[LP Fill Date]]=0),"Y","")</f>
        <v/>
      </c>
      <c r="BP325" s="31" t="str">
        <f>IF(AND(SnapshotTable[[#This Row],[LP No Fill]]&lt;&gt;"Y",SnapshotTable[[#This Row],[LP Contract Value]]&gt;0, SnapshotTable[[#This Row],[LP Qty]]&gt;0), SnapshotTable[[#This Row],[LP Contract Value]]*SnapshotTable[[#This Row],[LP Qty]]*100,"")</f>
        <v/>
      </c>
      <c r="BQ325" s="13"/>
      <c r="BR325" s="5" t="str">
        <f>IF(SnapshotTable[[#This Row],[SP Exp Date]]&lt;&gt;"",TRUNC(SnapshotTable[[#This Row],[Last Price]]),"")</f>
        <v/>
      </c>
      <c r="BS325" s="36"/>
      <c r="BT325" s="147"/>
      <c r="BU325" s="13"/>
      <c r="BV325" s="5"/>
      <c r="BW325" s="419" t="b">
        <f>AND(ISNUMBER(SnapshotTable[[#This Row],[SP Exp Date]]), ISNUMBER(SnapshotTable[[#This Row],[SP Strike Price]]), ISNUMBER(SnapshotTable[[#This Row],[SP Qty]]), ISNUMBER(SnapshotTable[[#This Row],[SP Book Date]]), ISNUMBER(SnapshotTable[[#This Row],[SP Book Price]]))</f>
        <v>0</v>
      </c>
      <c r="BX325" s="419" t="b">
        <f>AND(SnapshotTable[[#This Row],[SP Is Booked]], NOT(ISBLANK(SnapshotTable[[#This Row],[SP Fill Date]])))</f>
        <v>0</v>
      </c>
      <c r="BY325" s="33">
        <f>IF(SnapshotTable[[#This Row],[SP Is Booked]], SnapshotTable[[#This Row],[SP Qty]] * SnapshotTable[[#This Row],[SP Book Price]] * 100, 0)</f>
        <v>0</v>
      </c>
      <c r="BZ325" s="369"/>
      <c r="CA325" s="368">
        <f>SnapshotTable[[#This Row],[LP Qty]]</f>
        <v>0</v>
      </c>
      <c r="CB325" s="4" t="str">
        <f>IF(SnapshotTable[[#This Row],[SP Is Booked]], SnapshotTable[[#This Row],[SP Strike Price]] - SnapshotTable[[#This Row],[SP Book Price]], "")</f>
        <v/>
      </c>
      <c r="CC325" s="19" t="str">
        <f>IF(SnapshotTable[[#This Row],[SP Is Booked]],SnapshotTable[[#This Row],[SP Exp Date]]-MAX(SnapshotTable[[#This Row],[SP Book Date]], SnapshotTable[[#This Row],[SP Fill Date]]),"")</f>
        <v/>
      </c>
      <c r="CD325" s="7" t="str">
        <f>IF(SnapshotTable[[#This Row],[SP Is Booked]], SnapshotTable[[#This Row],[SP Book Price]]/SnapshotTable[[#This Row],[SP Strike Price]], "")</f>
        <v/>
      </c>
      <c r="CE325" s="7" t="str">
        <f>IF(ISNUMBER(SnapshotTable[[#This Row],[SP ROO Term]]),SnapshotTable[[#This Row],[SP ROO Term]]*(365/SnapshotTable[[#This Row],[SP Term]]),"")</f>
        <v/>
      </c>
      <c r="CF325" s="236">
        <f>SnapshotTable[[#This Row],[LP Strike Price]] * SnapshotTable[[#This Row],[LP Qty]] * 100</f>
        <v>0</v>
      </c>
      <c r="CG325" s="31" t="e">
        <f>IF(ISNUMBER(SnapshotTable[[#This Row],[SP Premium]]), (SnapshotTable[[#This Row],[SP Qty]] * SnapshotTable[[#This Row],[SP Strike Price]]* 100) - SnapshotTable[[#This Row],[LP Protection]], 0)</f>
        <v>#VALUE!</v>
      </c>
      <c r="CH325" s="7" t="str">
        <f>IF(ISNUMBER(SnapshotTable[[#This Row],[SP Break Even]]),-1 * (SnapshotTable[[#This Row],[SP Break Even]] - SnapshotTable[[#This Row],[Last Price]]) / SnapshotTable[[#This Row],[Last Price]], "")</f>
        <v/>
      </c>
      <c r="CI325" s="31">
        <f>IF(AND(ISNUMBER((SnapshotTable[[#This Row],[SP Potential Spend]])), SnapshotTable[[#This Row],[SP Strike Price]] &gt; SnapshotTable[[#This Row],[Last Price]], SnapshotTable[[#This Row],[SP Is Filled]]), SnapshotTable[[#This Row],[SP Potential Spend]] -  SnapshotTable[[#This Row],[LP Max Value]], 0)</f>
        <v>0</v>
      </c>
      <c r="CJ325" s="244"/>
      <c r="CK325" s="31" t="str">
        <f>IF(ISNUMBER(SnapshotTable[[#This Row],[SP Potential Spend]]),IF(ISNUMBER(SnapshotTable[[#This Row],[SP POW]]), SnapshotTable[[#This Row],[SP POW]] * SnapshotTable[[#This Row],[SP Potential Spend]], SnapshotTable[[#This Row],[SP Potential Spend]]), "")</f>
        <v/>
      </c>
      <c r="CL325" s="164" t="e">
        <f>IF(NOT(SnapshotTable[[#This Row],[SP Is Filled]]),(SnapshotTable[[#This Row],[SP Qty]] * SnapshotTable[[#This Row],[SP Strike Price]] * 100) - SnapshotTable[[#This Row],[LP Max Value]],"")</f>
        <v>#VALUE!</v>
      </c>
      <c r="CM325" s="31" t="str">
        <f>IF(SnapshotTable[[#This Row],[SP Actual Spend]]&lt;&gt;0, ((SnapshotTable[[#This Row],[SP Strike Price]]-SnapshotTable[[#This Row],[Last Price]]) *(SnapshotTable[[#This Row],[SP Qty]]*100) - SnapshotTable[[#This Row],[SP Premium]]) * - 1, "")</f>
        <v/>
      </c>
      <c r="CN325" s="154"/>
      <c r="CO325" s="369"/>
      <c r="CP325" s="4" t="str">
        <f>IF(SnapshotTable[[#This Row],[SP Is Filled]], btc_max_buyback_amount(SnapshotTable[[#This Row],[SP Fill Date]],SnapshotTable[[#This Row],[SP Exp Date]], SnapshotTable[[#This Row],[SP Book Price]]),"")</f>
        <v/>
      </c>
      <c r="CQ325" s="78"/>
      <c r="CR32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5" s="155" t="str">
        <f>IF(SnapshotTable[[#This Row],[SP Is Filled]], btc_next_cutoff_date(SnapshotTable[[#This Row],[SP Fill Date]],SnapshotTable[[#This Row],[SP Exp Date]]),"")</f>
        <v/>
      </c>
      <c r="CT325" s="235" t="str" cm="1">
        <f t="array" ref="CT325">IF(SnapshotTable[[#This Row],[SP Is Filled]], btc_should_buy_back(SnapshotTable[[#This Row],[SP Fill Date]], SnapshotTable[[#This Row],[SP Exp Date]], SnapshotTable[[#This Row],[SP Book Price]], SnapshotTable[[#This Row],[SP Current Ask]], MockToday, SnapshotTable[[#This Row],[SP Buyback Override]]),"")</f>
        <v/>
      </c>
      <c r="CU325" s="156"/>
      <c r="CV325" s="235"/>
      <c r="CW325" s="378" t="str">
        <f>IF(ISNUMBER( SnapshotTable[[#This Row],[SP Term]]), SnapshotTable[[#This Row],[SP Exp Date]] - MockToday,"")</f>
        <v/>
      </c>
      <c r="CX325" s="31" t="str">
        <f>IF(SnapshotTable[[#This Row],[SP Is Filled]],SnapshotTable[[#This Row],[SP Buyback Price to Use]] * 100 * SnapshotTable[[#This Row],[SP Qty]], "")</f>
        <v/>
      </c>
      <c r="CY325" s="4" t="str">
        <f>IF(ISNUMBER(SnapshotTable[[#This Row],[SP Strike Price]]), SnapshotTable[[#This Row],[SP Strike Price]] * (1 - SP_MaxLoss_StrikePct), "")</f>
        <v/>
      </c>
      <c r="CZ325" s="31" t="str">
        <f>IF(ISNUMBER(SnapshotTable[[#This Row],[SP Strike  Stop Per Share]]),SnapshotTable[[#This Row],[SP Premium]] - ((SnapshotTable[[#This Row],[SP Strike Price]]-SnapshotTable[[#This Row],[SP Strike  Stop Per Share]]) *(SnapshotTable[[#This Row],[SP Qty]] * 100)),"")</f>
        <v/>
      </c>
      <c r="DA325" s="4" t="str">
        <f>IF(AND(ISNUMBER(SnapshotTable[[#This Row],[SP Premium]]),SnapshotTable[[#This Row],[SP Premium]]&gt;0), SnapshotTable[[#This Row],[SP Book Price]] * (1 + SP_MaxLoss_OptionPct), "")</f>
        <v/>
      </c>
      <c r="DB325" s="31" t="str">
        <f>IF(ISNUMBER(SnapshotTable[[#This Row],[SP Option  Stop Contract]]),(SnapshotTable[[#This Row],[SP Option  Stop Contract]] *(SnapshotTable[[#This Row],[SP Qty]] * 100) - SnapshotTable[[#This Row],[SP Premium]]),"")</f>
        <v/>
      </c>
      <c r="DC325" s="4"/>
      <c r="DD325" s="4"/>
      <c r="DE325" s="4" t="str">
        <f>IF(AND(SnapshotTable[[#This Row],[SP Qty]]&gt;0, SnapshotTable[[#This Row],[SP Stop To Use]]&gt;0),SnapshotTable[[#This Row],[SP Premium]] - ( SnapshotTable[[#This Row],[SP Qty]] * SnapshotTable[[#This Row],[SP Stop To Use]] * 100), "")</f>
        <v/>
      </c>
      <c r="DF325" s="31" t="str">
        <f>IF(AND(SnapshotTable[[#This Row],[SP Qty]]&gt;0,SnapshotTable[[#This Row],[SP Current Ask]]&gt;0), SnapshotTable[[#This Row],[SP Qty]] * SnapshotTable[[#This Row],[SP Current Ask]] * -100, "")</f>
        <v/>
      </c>
      <c r="DG325" s="31" t="str">
        <f>IF(ISNUMBER((SnapshotTable[[#This Row],[SP Total Value]])), SnapshotTable[[#This Row],[SP Premium]] + SnapshotTable[[#This Row],[SP Total Value]], "")</f>
        <v/>
      </c>
      <c r="DH325" s="294" t="str">
        <f>IF(ISNUMBER((SnapshotTable[[#This Row],[SP Total Value]])), SnapshotTable[[#This Row],[SP Gain Loss]] / SnapshotTable[[#This Row],[SP Premium]], "")</f>
        <v/>
      </c>
      <c r="DI325" s="406"/>
      <c r="DJ325" s="138"/>
      <c r="DK325" s="148"/>
      <c r="DL325" s="147"/>
      <c r="DM325" s="147"/>
      <c r="DO325" s="31">
        <f>IF(SnapshotTable[[#This Row],[LC Symbol Count]]=1, SnapshotTable[[#This Row],[LC Qty]] * SnapshotTable[[#This Row],[LC Book Price]] * 100, 0)</f>
        <v>0</v>
      </c>
      <c r="DP325" s="163" t="str">
        <f>IF(AND(SnapshotTable[[#This Row],[LC Exp Date]]&gt;0, SnapshotTable[[#This Row],[LC Strike Price]]&gt;0,SnapshotTable[[#This Row],[LC Qty]]&gt;0,SnapshotTable[[#This Row],[LC Book Date]]&gt;0,SnapshotTable[[#This Row],[LC Book Price]]&gt;0,SnapshotTable[[#This Row],[LC Fill Date]]=0),"Y","")</f>
        <v/>
      </c>
      <c r="DQ325" s="386" t="str">
        <f>IF(SnapshotTable[[#This Row],[LC Premium]] &gt; 0,SnapshotTable[[#This Row],[LC Exp Date]]-MAX(SnapshotTable[[#This Row],[LC Book Date]], SnapshotTable[[#This Row],[LC Fill Date]]),"")</f>
        <v/>
      </c>
      <c r="DR325" s="386" t="str">
        <f>IF(ISNUMBER(SnapshotTable[[#This Row],[LC Term]]), SnapshotTable[[#This Row],[LC Exp Date]] - MockToday, "")</f>
        <v/>
      </c>
      <c r="DS325" s="234" t="str">
        <f>IF(SnapshotTable[[#This Row],[LC Premium]]&gt;0,SnapshotTable[[#This Row],[LC Strike Price]] + SnapshotTable[[#This Row],[LC Book Price]],"")</f>
        <v/>
      </c>
      <c r="DU325" s="9" t="str">
        <f>IF(AND(SnapshotTable[[#This Row],[LC Symbol Count]]&gt;0, SnapshotTable[[#This Row],[LC Contract Value]]&gt;0), SnapshotTable[[#This Row],[LC Contract Value]] * SnapshotTable[[#This Row],[LC Qty]] * 100, "")</f>
        <v/>
      </c>
      <c r="DV325" s="9" t="str">
        <f>IF(AND(ISNUMBER(SnapshotTable[[#This Row],[LC Total Value]]), SnapshotTable[[#This Row],[LC Not Filled]]&lt;&gt;"Y"), SnapshotTable[[#This Row],[LC Total Value]]-SnapshotTable[[#This Row],[LC Premium]],"")</f>
        <v/>
      </c>
      <c r="DW325" s="240" t="str">
        <f>IF(ISNUMBER(SnapshotTable[[#This Row],[LC Actual Gain Loss]]), SnapshotTable[[#This Row],[LC Actual Gain Loss]] / SnapshotTable[[#This Row],[LC Premium]],"")</f>
        <v/>
      </c>
      <c r="DX325" s="284" t="str">
        <f>IF(ISNUMBER(SnapshotTable[[#This Row],[LC Book Price]]),SnapshotTable[[#This Row],[LC Book Price]] * 1.5,"")</f>
        <v/>
      </c>
      <c r="DY325" s="265" t="str">
        <f>IF(SnapshotTable[[#This Row],[LC Premium]]&gt;0, SnapshotTable[[#This Row],[LC Next Target]] * SnapshotTable[[#This Row],[LC Qty]] * 100,"")</f>
        <v/>
      </c>
      <c r="DZ325" s="265" t="str">
        <f>IF(ISNUMBER(SnapshotTable[[#This Row],[LC Target Gross]]), SnapshotTable[[#This Row],[LC Target Gross]] - SnapshotTable[[#This Row],[LC Premium]], "")</f>
        <v/>
      </c>
      <c r="EA325" s="305" t="str">
        <f>IF(ISNUMBER(SnapshotTable[[#This Row],[LC Target Gain Loss]]), SnapshotTable[[#This Row],[LC Target Gain Loss]]/SnapshotTable[[#This Row],[LC Premium]], "")</f>
        <v/>
      </c>
      <c r="EB325" s="262"/>
      <c r="EC325" s="283" t="str">
        <f>IF(SnapshotTable[[#This Row],[LC Premium]]&gt;0, SnapshotTable[[#This Row],[LC Book Price]] * (1 - LC_StopLoss_Pct),"")</f>
        <v/>
      </c>
      <c r="ED325" s="284"/>
      <c r="EE325" s="283" t="str">
        <f>IF(ISNUMBER(SnapshotTable[[#This Row],[LC Contract Value]]),IF(ISNUMBER(SnapshotTable[[#This Row],[LC Stop Loss Override]]), SnapshotTable[[#This Row],[LC Stop Loss Override]],SnapshotTable[[#This Row],[LC Stop Loss Calc Target]]),"")</f>
        <v/>
      </c>
      <c r="EF325" s="31" t="str">
        <f>IF(ISNUMBER(SnapshotTable[[#This Row],[LC Stop  To Use]]), (SnapshotTable[[#This Row],[LC Stop  To Use]] * SnapshotTable[[#This Row],[LC Qty]] * 100),"")</f>
        <v/>
      </c>
      <c r="EG325" s="9" t="str">
        <f>IF(ISNUMBER(SnapshotTable[[#This Row],[LC Total Value]]),SnapshotTable[[#This Row],[LC Stop Loss Amount]] - SnapshotTable[[#This Row],[LC Premium]],"")</f>
        <v/>
      </c>
      <c r="EH325" s="9">
        <f>IF(ISNUMBER(SnapshotTable[[#This Row],[LC Premium]]), SnapshotTable[[#This Row],[LC Qty]] * 100 * SnapshotTable[[#This Row],[LC Strike Price]], "")</f>
        <v>0</v>
      </c>
      <c r="EI325" s="240" t="str">
        <f>IF(AND(ISNUMBER(SnapshotTable[[#This Row],[LC Total Value]]),SnapshotTable[[#This Row],[LC Total Value]]&gt;0),SnapshotTable[[#This Row],[LC Stop Gain Loss]]  / SnapshotTable[[#This Row],[LC Premium]],"")</f>
        <v/>
      </c>
      <c r="EJ325" s="35">
        <f>IF(ISNUMBER(SnapshotTable[[#This Row],[Equity Shares]]),TRUNC(SnapshotTable[[#This Row],[Equity Shares]] / 100),0) + SnapshotTable[[#This Row],[LC Qty]]</f>
        <v>0</v>
      </c>
      <c r="EK325" s="147"/>
      <c r="EL325" s="138" t="str">
        <f>IF(SnapshotTable[[#This Row],[SC Exp Date]]&lt;&gt;"",TRUNC(SnapshotTable[[#This Row],[Last Price]]),"")</f>
        <v/>
      </c>
      <c r="EM325" s="148"/>
      <c r="EN325" s="147"/>
      <c r="EO325" s="147"/>
      <c r="EP325" s="138"/>
      <c r="EQ325" s="419" t="b">
        <f>AND(ISNUMBER(SnapshotTable[[#This Row],[SC Exp Date]]), ISNUMBER(SnapshotTable[[#This Row],[SC Strike Price]]), ISNUMBER(SnapshotTable[[#This Row],[SC Qty]]), ISNUMBER(SnapshotTable[[#This Row],[SC Book Date]]), ISNUMBER(SnapshotTable[[#This Row],[SC Book Price]]))</f>
        <v>0</v>
      </c>
      <c r="ER325" s="419" t="b">
        <f>AND(SnapshotTable[[#This Row],[SC Is Booked]], NOT(ISBLANK(SnapshotTable[[#This Row],[SC Fill Date]])))</f>
        <v>0</v>
      </c>
      <c r="ES325" s="370"/>
      <c r="ET325" s="34" t="str">
        <f>IF(AND(ISNUMBER(SnapshotTable[[#This Row],[SC Exp Date]]), ISNUMBER(SnapshotTable[[#This Row],[SC Book Date]])), SnapshotTable[[#This Row],[SC Exp Date]] - MAX(SnapshotTable[[#This Row],[SC Book Date]], SnapshotTable[[#This Row],[SC Fill Date]]) + 1, "")</f>
        <v/>
      </c>
      <c r="EU325" s="34" t="str">
        <f>IF(ISNUMBER(SnapshotTable[[#This Row],[SC Term]]), SnapshotTable[[#This Row],[SC Exp Date]]- MockToday, "")</f>
        <v/>
      </c>
      <c r="EV325" s="31">
        <f>IF(SnapshotTable[[#This Row],[SC Is Booked]], SnapshotTable[[#This Row],[SC Qty]] * SnapshotTable[[#This Row],[SC Book Price]] * 100, 0)</f>
        <v>0</v>
      </c>
      <c r="EW325" s="4" t="str">
        <f>IF(AND(ISNUMBER(SnapshotTable[[#This Row],[Last Price]]), ISNUMBER( SnapshotTable[[#This Row],[SC Book Price]])), SnapshotTable[[#This Row],[Last Price]] - SnapshotTable[[#This Row],[SC Book Price]],"")</f>
        <v/>
      </c>
      <c r="EX325" s="234" t="str">
        <f>IF(SnapshotTable[[#This Row],[SC Is Booked]],IF(SnapshotTable[[#This Row],[SC Intrinsic Value]] &gt; 0, SnapshotTable[[#This Row],[SC Strike Price]], SnapshotTable[[#This Row],[Last Price]]), "")</f>
        <v/>
      </c>
      <c r="EY325" s="4">
        <f>IF(SnapshotTable[[#This Row],[SC Is Booked]], (MinimumPremiumRequired * SnapshotTable[[#This Row],[SC Basis]] * SnapshotTable[[#This Row],[SC Term]]), 0)</f>
        <v>0</v>
      </c>
      <c r="EZ325" s="283"/>
      <c r="FA325" s="218"/>
      <c r="FB325" s="370"/>
      <c r="FC325" s="4">
        <f>IF(SnapshotTable[[#This Row],[SC Is Filled]], btc_max_buyback_amount(SnapshotTable[[#This Row],[SC Fill Date]],SnapshotTable[[#This Row],[SC Exp Date]], SnapshotTable[[#This Row],[SC Book Price]]),0)</f>
        <v>0</v>
      </c>
      <c r="FD325" s="5"/>
      <c r="FE325" s="144" t="str">
        <f>IF(SnapshotTable[[#This Row],[SC Is Filled]], btc_next_cutoff_date(SnapshotTable[[#This Row],[SC Fill Date]],SnapshotTable[[#This Row],[SC Exp Date]]),"")</f>
        <v/>
      </c>
      <c r="FF325" s="4" t="str" cm="1">
        <f t="array" ref="FF325">IF(SnapshotTable[[#This Row],[SC Is Filled]], btc_should_buy_back(SnapshotTable[[#This Row],[SC Fill Date]], SnapshotTable[[#This Row],[SC Exp Date]], SnapshotTable[[#This Row],[SC Book Price]], SnapshotTable[[#This Row],[SC Current Ask]], MockToday, SnapshotTable[[#This Row],[SC Buyback Override]]),"")</f>
        <v/>
      </c>
      <c r="FG325" s="4">
        <f>IF(SnapshotTable[[#This Row],[SC Is Filled]], MAX(0,SnapshotTable[[#This Row],[Last Price]]  - SnapshotTable[[#This Row],[SC Strike Price]]), 0)</f>
        <v>0</v>
      </c>
      <c r="FH325" s="382">
        <f>IF(SnapshotTable[[#This Row],[SC Is Filled]], IF(ISNUMBER(SnapshotTable[[#This Row],[SC Current Ask]]), SnapshotTable[[#This Row],[SC Current Ask]], SnapshotTable[[#This Row],[SC Book Price]]) - SnapshotTable[[#This Row],[SC Intrinsic Value]], 0)</f>
        <v>0</v>
      </c>
      <c r="FI325" s="143"/>
      <c r="FJ325" s="32" t="str">
        <f>IF(SnapshotTable[[#This Row],[SC Is Filled]],100 * SnapshotTable[[#This Row],[SC Qty]] * IF(ISNUMBER(SnapshotTable[[#This Row],[SC Buyback Override]]), SnapshotTable[[#This Row],[SC Buyback Override]], SnapshotTable[[#This Row],[SC Current Ask]]), "")</f>
        <v/>
      </c>
      <c r="FK325" s="250" t="str">
        <f>IF(SnapshotTable[[#This Row],[SC Time Val]]&gt;0, SnapshotTable[[#This Row],[SC Time Val]] / SnapshotTable[[#This Row],[Last Price]],"")</f>
        <v/>
      </c>
      <c r="FL325" s="302" t="str">
        <f>IF(SnapshotTable[[#This Row],[SC Is Booked]], ((SnapshotTable[[#This Row],[Last Price]] -SnapshotTable[[#This Row],[SC Strike Price]]) / SnapshotTable[[#This Row],[Last Price]]) * -1, "")</f>
        <v/>
      </c>
      <c r="FM325" s="157" t="str">
        <f>IF(SnapshotTable[[#This Row],[SC Is Booked]],  (SnapshotTable[[#This Row],[SC Qty]] * 100 * SnapshotTable[[#This Row],[SC Strike Price]]) - SnapshotTable[[#This Row],[SC Current Ask]], "")</f>
        <v/>
      </c>
      <c r="FN325"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5" s="157" t="str">
        <f>IF(AND(ISNUMBER(SnapshotTable[[#This Row],[SC Exercise Gross]]), ISNUMBER(SnapshotTable[[#This Row],[Equity Basis Per Share]] )), SnapshotTable[[#This Row],[SC Exercise Gross]] - SnapshotTable[[#This Row],[Equity Basis Total]] +  SnapshotTable[[#This Row],[SC Premium]], "")</f>
        <v/>
      </c>
      <c r="FP325" s="5" t="str">
        <f>IF(ISNUMBER(SnapshotTable[[#This Row],[SC Exercise Gross]]), (SnapshotTable[[#This Row],[SC Exercise Gross]]) / (SnapshotTable[[#This Row],[SC Qty]] * 100), "")</f>
        <v/>
      </c>
      <c r="FQ325" s="27" t="str">
        <f>IF(SnapshotTable[[#This Row],[SC Is Booked]],SnapshotTable[[#This Row],[SC Time Val]] /SnapshotTable[[#This Row],[SC Basis]], "")</f>
        <v/>
      </c>
      <c r="FR325" s="27" t="str" cm="1">
        <f t="array" ref="FR325">IF(AND(ISNUMBER(SnapshotTable[[#This Row],[SC Term]]),ISNUMBER(SnapshotTable[[#This Row],[SC Simple ROO]])), EllmanAnnualize(SnapshotTable[[#This Row],[SC DTE]], SnapshotTable[[#This Row],[SC Simple ROO]] ),"")</f>
        <v/>
      </c>
      <c r="FS325" s="4" t="e">
        <f>IF(SnapshotTable[[#This Row],[SC Strike Price]] &gt; SnapshotTable[[#This Row],[Last Price]], SnapshotTable[[#This Row],[SC Strike Price]] - SnapshotTable[[#This Row],[Last Price]],0)</f>
        <v>#VALUE!</v>
      </c>
      <c r="FT325" s="27" t="e">
        <f>IF(AND(ISNUMBER(SnapshotTable[[#This Row],[SC Upside Potential]]), SnapshotTable[[#This Row],[SC Upside Potential]] &gt; 0),(SnapshotTable[[#This Row],[SC Upside Potential]]/ SnapshotTable[[#This Row],[ACB]]),"")</f>
        <v>#VALUE!</v>
      </c>
      <c r="FU325" s="333" t="str">
        <f>IF(SnapshotTable[[#This Row],[SC Intrinsic Value]] &gt; 0,SnapshotTable[[#This Row],[SC Intrinsic Value]],"")</f>
        <v/>
      </c>
      <c r="FV325" s="27" t="str">
        <f>IF(AND( ISNUMBER( SnapshotTable[[#This Row],[ACB]]),ISNUMBER(SnapshotTable[[#This Row],[SC Downside Protect]])),SnapshotTable[[#This Row],[SC Downside Protect]] / SnapshotTable[[#This Row],[ACB]],"")</f>
        <v/>
      </c>
      <c r="FW325" s="236" t="str">
        <f>IF(AND(ISNUMBER(SnapshotTable[[#This Row],[SC Simple ROO]]),SnapshotTable[[#This Row],[SC Simple ROO]] &gt; 0), SnapshotTable[[#This Row],[SC Premium]] + (SnapshotTable[[#This Row],[SC Qty]] * SnapshotTable[[#This Row],[SC Upside Potential]]), "")</f>
        <v/>
      </c>
      <c r="FX325" s="302" t="str" cm="1">
        <f t="array" ref="FX325">IF(ISNUMBER(SnapshotTable[[#This Row],[SC Max Dollars]]), annualize(SnapshotTable[[#This Row],[SC Term]],(SnapshotTable[[#This Row],[SC Max Dollars]]/SnapshotTable[[#This Row],[SC Basis]])),"")</f>
        <v/>
      </c>
      <c r="FY325" s="236" t="str">
        <f>IF(AND(SnapshotTable[[#This Row],[SC Qty]]&gt;0,SnapshotTable[[#This Row],[SC Current Ask]]&gt;0), SnapshotTable[[#This Row],[SC Qty]] * SnapshotTable[[#This Row],[SC Current Ask]] * -100, "")</f>
        <v/>
      </c>
      <c r="FZ325" s="235" t="str">
        <f>IF(ISNUMBER((SnapshotTable[[#This Row],[SC Current Value]])), SnapshotTable[[#This Row],[SC Premium]] + SnapshotTable[[#This Row],[SC Current Value]], "")</f>
        <v/>
      </c>
      <c r="GA325" s="294" t="str">
        <f>IFERROR( IF(ISNUMBER((SnapshotTable[[#This Row],[SC Current Value]])), SnapshotTable[[#This Row],[SC Gain Loss]] / SnapshotTable[[#This Row],[SC Premium]], ""), "")</f>
        <v/>
      </c>
      <c r="GB325" s="42">
        <f>SnapshotTable[[#This Row],[Equity Shares]] * SaleSharesToConsiderPercentage</f>
        <v>0</v>
      </c>
      <c r="GC325" s="40" t="e">
        <f>SnapshotTable[[#This Row],[Long Term Target]] * SellingPriceToConsiderBasedOnTargetPercentage</f>
        <v>#VALUE!</v>
      </c>
      <c r="GD325" s="40">
        <f>SnapshotTable[[#This Row],[Last Price]] * (1+ SellingPriceToConsiderBasedOnTargetPercentage)</f>
        <v>20.669999999999998</v>
      </c>
      <c r="GE325" s="41"/>
      <c r="GF325" s="40"/>
      <c r="GG325" s="31">
        <f>SnapshotTable[[#This Row],[Booked Sale Shares]] * SnapshotTable[[#This Row],[Booked Sale Price]]</f>
        <v>0</v>
      </c>
      <c r="GH325" s="31" t="str">
        <f>IF(SnapshotTable[[#This Row],[Equity Basis Total]] &gt; 0, SnapshotTable[[#This Row],[Equity Basis Per Share]] * SnapshotTable[[#This Row],[Booked Sale Shares]], "")</f>
        <v/>
      </c>
      <c r="GI325" s="31">
        <f>IF(SnapshotTable[[#This Row],[Sale Proceeds]]&gt;0, SnapshotTable[[#This Row],[Sale Proceeds]] - SnapshotTable[[#This Row],[Sale Basis]], 0)</f>
        <v>0</v>
      </c>
      <c r="GJ325" s="158" t="str">
        <f>IF(SnapshotTable[[#This Row],[Sale G/L]]&gt;0, SnapshotTable[[#This Row],[Sale G/L]] / SnapshotTable[[#This Row],[Sale Basis]], IF(ISNUMBER(SnapshotTable[[#This Row],[SC Exercise P&amp;L (TAX)]]), SnapshotTable[[#This Row],[SC Exercise P&amp;L (TAX)]] / SnapshotTable[[#This Row],[SC Basis]], ""))</f>
        <v/>
      </c>
      <c r="GK325" s="27"/>
      <c r="GL325" s="159" t="str">
        <f>IF(AND(SnapshotTable[[#This Row],[LP Exp Date]]&gt;0,SnapshotTable[[#This Row],[LP Strike Price]]&gt;0), [1]!ToOptionSymbol(SnapshotTable[[#This Row],[Symbol]], SnapshotTable[[#This Row],[LP Strike Price]],SnapshotTable[[#This Row],[LP Exp Date]],1), "")</f>
        <v/>
      </c>
      <c r="GM325" s="30" t="str">
        <f>IF(LEN(SnapshotTable[[#This Row],[LP Symbol]])&gt;0, 1, "")</f>
        <v/>
      </c>
      <c r="GN325" s="43" t="str">
        <f>IF(AND(SnapshotTable[[#This Row],[SP Exp Date]]&gt;0,SnapshotTable[[#This Row],[SP Strike Price]]&gt;0), [1]!ToOptionSymbol(SnapshotTable[[#This Row],[Symbol]], SnapshotTable[[#This Row],[SP Strike Price]],SnapshotTable[[#This Row],[SP Exp Date]],1), "")</f>
        <v/>
      </c>
      <c r="GO325" s="30" t="str">
        <f>IF(LEN(SnapshotTable[[#This Row],[SP Symbol]])&gt;0, 1, "")</f>
        <v/>
      </c>
      <c r="GP325" s="159" t="str">
        <f>IF(AND(SnapshotTable[[#This Row],[LC Exp Date]]&gt;0,SnapshotTable[[#This Row],[LC Strike Price]]&gt;0), [1]!ToOptionSymbol(SnapshotTable[[#This Row],[Symbol]], SnapshotTable[[#This Row],[LC Strike Price]],SnapshotTable[[#This Row],[LC Exp Date]],0), "")</f>
        <v/>
      </c>
      <c r="GQ325" s="160" t="str">
        <f>IF(LEN(SnapshotTable[[#This Row],[LC Symbol]])&gt;0, 1, "")</f>
        <v/>
      </c>
      <c r="GR325" s="159" t="str">
        <f>IF(AND(SnapshotTable[[#This Row],[SC Exp Date]]&gt;0,SnapshotTable[[#This Row],[SC Strike Price]]&gt;0), [1]!ToOptionSymbol(SnapshotTable[[#This Row],[Symbol]], SnapshotTable[[#This Row],[SC Strike Price]],SnapshotTable[[#This Row],[SC Exp Date]],0), "")</f>
        <v/>
      </c>
      <c r="GS325" s="160" t="str">
        <f>IF(LEN(SnapshotTable[[#This Row],[SC Symbol]])&gt;0, 1, "")</f>
        <v/>
      </c>
      <c r="GT325" s="161" t="str">
        <f>IF(COUNT(SnapshotTable[[#This Row],[LP Symbol Count]],SnapshotTable[[#This Row],[SP Symbol Count]],SnapshotTable[[#This Row],[LC Symbol Count]],SnapshotTable[[#This Row],[SC Symbol Count]])&gt;0, "Y", "")</f>
        <v/>
      </c>
      <c r="GU32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5" s="231" t="e">
        <f>MAX(SnapshotTable[[#This Row],[Equity Basis Total]],SnapshotTable[[#This Row],[Equity Value]]) + (SnapshotTable[[#This Row],[SP Potential Spend]]- SnapshotTable[[#This Row],[SP Premium]] + SnapshotTable[[#This Row],[LP Premium]])+ (SnapshotTable[[#This Row],[LC Premium]] - SnapshotTable[[#This Row],[SC Premium]])</f>
        <v>#VALUE!</v>
      </c>
      <c r="GW325" s="139" t="e">
        <f>IF(AND(SnapshotTable[[#This Row],[Exposure]] &lt;&gt; 0),SnapshotTable[[#This Row],[Exposure]] / SnapshotTable[[#Totals],[Exposure]], "")</f>
        <v>#VALUE!</v>
      </c>
      <c r="HK325" s="1"/>
      <c r="HL325" s="1"/>
      <c r="HM325" s="1"/>
      <c r="HN325" s="1"/>
      <c r="HO325" s="1"/>
      <c r="HP325" s="1"/>
    </row>
    <row r="326" spans="2:224" ht="12.75" hidden="1" customHeight="1" x14ac:dyDescent="0.25">
      <c r="B326" s="12" t="s">
        <v>255</v>
      </c>
      <c r="C326" s="422">
        <v>431.31</v>
      </c>
      <c r="D326" s="208"/>
      <c r="E326" s="39">
        <f>SnapshotTable[[#This Row],[Last Price]]*(1 -CrashDiscount)</f>
        <v>366.61349999999999</v>
      </c>
      <c r="F326" s="26" t="s">
        <v>148</v>
      </c>
      <c r="G326" s="26" t="s">
        <v>49</v>
      </c>
      <c r="H326" s="149"/>
      <c r="I326" s="194">
        <v>44757.246527777781</v>
      </c>
      <c r="J326" s="195">
        <v>44757.246527777781</v>
      </c>
      <c r="K326" s="196" t="s">
        <v>3</v>
      </c>
      <c r="L326" s="326"/>
      <c r="M326" s="140"/>
      <c r="N326" s="140" t="b">
        <v>1</v>
      </c>
      <c r="O326" s="140"/>
      <c r="P326" s="22"/>
      <c r="Q326" s="25"/>
      <c r="R326" s="4" t="str">
        <f>IF(SnapshotTable[[#This Row],[Equity Basis Total]] &gt; 0, SnapshotTable[[#This Row],[Equity Basis Total]] / SnapshotTable[[#This Row],[Equity Shares]], "")</f>
        <v/>
      </c>
      <c r="S326" s="269">
        <f>SnapshotTable[[#This Row],[Last Price]] * SnapshotTable[[#This Row],[Equity Shares]]</f>
        <v>0</v>
      </c>
      <c r="T326" s="269">
        <f>SnapshotTable[[#This Row],[Equity Value]] - SnapshotTable[[#This Row],[Equity Basis Total]]</f>
        <v>0</v>
      </c>
      <c r="U326" s="270" t="str">
        <f>IF(SnapshotTable[[#This Row],[Equity Basis Total]] &gt; 0, SnapshotTable[[#This Row],[Equity G/L]] / SnapshotTable[[#This Row],[Equity Basis Total]], "")</f>
        <v/>
      </c>
      <c r="V326" s="268"/>
      <c r="W326" s="268"/>
      <c r="X326" s="4" t="str">
        <f>IF(AND(ISNUMBER(SnapshotTable[[#This Row],[Equity Basis Per Share]]),ISNUMBER(SnapshotTable[[#This Row],[Equity Target]])),SnapshotTable[[#This Row],[Equity Target]]-SnapshotTable[[#This Row],[Equity Basis Per Share]],"")</f>
        <v/>
      </c>
      <c r="Y326" s="4" t="str">
        <f>IF(AND(ISNUMBER(SnapshotTable[[#This Row],[Equity Basis Per Share]]),ISNUMBER(SnapshotTable[[#This Row],[Equity Stop Loss]])),SnapshotTable[[#This Row],[Equity Stop Loss]]-SnapshotTable[[#This Row],[Equity Basis Per Share]],"")</f>
        <v/>
      </c>
      <c r="Z326" s="275" t="str">
        <f>IFERROR( TEXT(SnapshotTable[[#This Row],[Equity Max Gain Per Share]] /ABS( SnapshotTable[[#This Row],[Equity Max Loss Per Share]]),"0.0 " ) &amp; " : 1", "")</f>
        <v/>
      </c>
      <c r="AA326" s="31" t="str">
        <f>IF(ISNUMBER(SnapshotTable[[#This Row],[Equity Max Gain Per Share]]),SnapshotTable[[#This Row],[Equity Max Gain Per Share]] * SnapshotTable[[#This Row],[Equity Shares]],"")</f>
        <v/>
      </c>
      <c r="AB326" s="31" t="str">
        <f>IF(ISNUMBER(SnapshotTable[[#This Row],[Equity Max Loss Per Share]]),SnapshotTable[[#This Row],[Equity Max Loss Per Share]] * SnapshotTable[[#This Row],[Equity Shares]],"")</f>
        <v/>
      </c>
      <c r="AC326" s="150">
        <v>4.32</v>
      </c>
      <c r="AD326" s="151">
        <v>43823</v>
      </c>
      <c r="AE326" s="31">
        <f>(SnapshotTable[[#This Row],[Annual Dividend Per Share]] / 4) * SnapshotTable[[#This Row],[Equity Shares]]</f>
        <v>0</v>
      </c>
      <c r="AF326" s="31">
        <f>SnapshotTable[[#This Row],[Quarterly Div $]] * 4</f>
        <v>0</v>
      </c>
      <c r="AG326" s="7">
        <f>IF(SnapshotTable[[#This Row],[Annual Dividend Per Share]]&gt;0, SnapshotTable[[#This Row],[Annual Dividend Per Share]]  / SnapshotTable[[#This Row],[Last Price]], 0)</f>
        <v>1.0015997774222718E-2</v>
      </c>
      <c r="AH326" s="151">
        <v>43812</v>
      </c>
      <c r="AI326" s="5">
        <v>305</v>
      </c>
      <c r="AJ326" s="138">
        <v>331.96</v>
      </c>
      <c r="AK326" s="152">
        <f>IF(ISNUMBER( SnapshotTable[[#This Row],[EBF Target]]),(SnapshotTable[[#This Row],[EBF Target]] - SnapshotTable[[#This Row],[Last Price]]) / SnapshotTable[[#This Row],[Last Price]], "")</f>
        <v>-0.29285200899584984</v>
      </c>
      <c r="AL326" s="152" t="str">
        <f>IF(AND(SnapshotTable[[#This Row],[Equity Basis Total]] &gt; 0,ISNUMBER( SnapshotTable[[#This Row],[Long Term Target]])), SnapshotTable[[#This Row],[From Basis $]] / SnapshotTable[[#This Row],[Equity Basis Total]], "")</f>
        <v/>
      </c>
      <c r="AM326" s="9">
        <f>IF( AND(SnapshotTable[[#This Row],[Equity Shares]] &gt;0,ISNUMBER( SnapshotTable[[#This Row],[Long Term Target]])),(SnapshotTable[[#This Row],[Equity Shares]] * SnapshotTable[[#This Row],[Long Term Target]]) - SnapshotTable[[#This Row],[Equity Basis Total]],0)</f>
        <v>0</v>
      </c>
      <c r="AN326" s="9">
        <f>IF( AND(SnapshotTable[[#This Row],[Equity Shares]] &gt;0,ISNUMBER( SnapshotTable[[#This Row],[Long Term Target]])),(SnapshotTable[[#This Row],[Equity Shares]]*SnapshotTable[[#This Row],[Long Term Target]]) - SnapshotTable[[#This Row],[Equity Value]],0)</f>
        <v>0</v>
      </c>
      <c r="AO326" s="152">
        <f>IF(AND(ISNUMBER( SnapshotTable[[#This Row],[Long Term Target]]), ISNUMBER(SnapshotTable[[#This Row],[Last Price]])),(SnapshotTable[[#This Row],[Long Term Target]] - SnapshotTable[[#This Row],[Last Price]]) / SnapshotTable[[#This Row],[Last Price]], "")</f>
        <v>-0.23034476362708961</v>
      </c>
      <c r="AP326" s="5"/>
      <c r="AQ326" s="38"/>
      <c r="AR326" s="5"/>
      <c r="AS326" s="38"/>
      <c r="AT326" s="146"/>
      <c r="AU326" s="187" t="str">
        <f>IF(OR(SnapshotTable[[#This Row],[LP No Fill]]="Y",SnapshotTable[[#This Row],[SP Is Filled]],SnapshotTable[[#This Row],[LC Not Filled]]="Y",SnapshotTable[[#This Row],[SC Is Filled]]),"Y","")</f>
        <v/>
      </c>
      <c r="AV326" s="219"/>
      <c r="AW326" s="225"/>
      <c r="AX326" s="220"/>
      <c r="AY326" s="219" t="str">
        <f>IF(SnapshotTable[[#This Row],[Implied Move]]&gt;0, SnapshotTable[[#This Row],[Last Price]]-SnapshotTable[[#This Row],[Implied Move]],"")</f>
        <v/>
      </c>
      <c r="AZ326" s="219" t="str">
        <f>IF(SnapshotTable[[#This Row],[Implied Move]]&gt;0, SnapshotTable[[#This Row],[Last Price]] + SnapshotTable[[#This Row],[Implied Move]],"")</f>
        <v/>
      </c>
      <c r="BA326" s="331">
        <v>239.78</v>
      </c>
      <c r="BB326" s="347"/>
      <c r="BC32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6" s="351"/>
      <c r="BE326" s="5"/>
      <c r="BF326" s="14"/>
      <c r="BG326" s="13"/>
      <c r="BH326" s="13"/>
      <c r="BI326" s="5"/>
      <c r="BJ326" s="136">
        <f>IF(SnapshotTable[[#This Row],[LP Qty]] &gt; 0, SnapshotTable[[#This Row],[LP Qty]] * SnapshotTable[[#This Row],[LP Book Price]] * 100,0)</f>
        <v>0</v>
      </c>
      <c r="BK326" s="136">
        <f>IF(SnapshotTable[[#This Row],[LP Premium]] &gt; 0, SnapshotTable[[#This Row],[LP Qty]] * SnapshotTable[[#This Row],[LP Strike Price]] * 100,0)</f>
        <v>0</v>
      </c>
      <c r="BL326" s="154"/>
      <c r="BM326" s="385" t="str">
        <f>IF(SnapshotTable[[#This Row],[LP Premium]] &gt; 0,SnapshotTable[[#This Row],[LP Exp Date]]-MAX(SnapshotTable[[#This Row],[LP Book Date]], SnapshotTable[[#This Row],[LP Fill Date]]),"")</f>
        <v/>
      </c>
      <c r="BN326" s="385" t="str">
        <f>IF(ISNUMBER( SnapshotTable[[#This Row],[LP Term]]), SnapshotTable[[#This Row],[LP Exp Date]] - MockToday,"")</f>
        <v/>
      </c>
      <c r="BO326" s="163" t="str">
        <f>IF(AND(SnapshotTable[[#This Row],[LP Exp Date]]&gt;0, SnapshotTable[[#This Row],[LP Strike Price]]&gt;0,SnapshotTable[[#This Row],[LP Qty]]&gt;0,SnapshotTable[[#This Row],[LP Book Date]]&gt;0,SnapshotTable[[#This Row],[LP Book Price]]&gt;0,SnapshotTable[[#This Row],[LP Fill Date]]=0),"Y","")</f>
        <v/>
      </c>
      <c r="BP326" s="31" t="str">
        <f>IF(AND(SnapshotTable[[#This Row],[LP No Fill]]&lt;&gt;"Y",SnapshotTable[[#This Row],[LP Contract Value]]&gt;0, SnapshotTable[[#This Row],[LP Qty]]&gt;0), SnapshotTable[[#This Row],[LP Contract Value]]*SnapshotTable[[#This Row],[LP Qty]]*100,"")</f>
        <v/>
      </c>
      <c r="BQ326" s="13"/>
      <c r="BR326" s="5" t="str">
        <f>IF(SnapshotTable[[#This Row],[SP Exp Date]]&lt;&gt;"",TRUNC(SnapshotTable[[#This Row],[Last Price]]),"")</f>
        <v/>
      </c>
      <c r="BS326" s="36"/>
      <c r="BT326" s="147"/>
      <c r="BU326" s="13"/>
      <c r="BV326" s="5"/>
      <c r="BW326" s="419" t="b">
        <f>AND(ISNUMBER(SnapshotTable[[#This Row],[SP Exp Date]]), ISNUMBER(SnapshotTable[[#This Row],[SP Strike Price]]), ISNUMBER(SnapshotTable[[#This Row],[SP Qty]]), ISNUMBER(SnapshotTable[[#This Row],[SP Book Date]]), ISNUMBER(SnapshotTable[[#This Row],[SP Book Price]]))</f>
        <v>0</v>
      </c>
      <c r="BX326" s="419" t="b">
        <f>AND(SnapshotTable[[#This Row],[SP Is Booked]], NOT(ISBLANK(SnapshotTable[[#This Row],[SP Fill Date]])))</f>
        <v>0</v>
      </c>
      <c r="BY326" s="33">
        <f>IF(SnapshotTable[[#This Row],[SP Is Booked]], SnapshotTable[[#This Row],[SP Qty]] * SnapshotTable[[#This Row],[SP Book Price]] * 100, 0)</f>
        <v>0</v>
      </c>
      <c r="BZ326" s="369"/>
      <c r="CA326" s="368">
        <f>SnapshotTable[[#This Row],[LP Qty]]</f>
        <v>0</v>
      </c>
      <c r="CB326" s="4" t="str">
        <f>IF(SnapshotTable[[#This Row],[SP Is Booked]], SnapshotTable[[#This Row],[SP Strike Price]] - SnapshotTable[[#This Row],[SP Book Price]], "")</f>
        <v/>
      </c>
      <c r="CC326" s="19" t="str">
        <f>IF(SnapshotTable[[#This Row],[SP Is Booked]],SnapshotTable[[#This Row],[SP Exp Date]]-MAX(SnapshotTable[[#This Row],[SP Book Date]], SnapshotTable[[#This Row],[SP Fill Date]]),"")</f>
        <v/>
      </c>
      <c r="CD326" s="7" t="str">
        <f>IF(SnapshotTable[[#This Row],[SP Is Booked]], SnapshotTable[[#This Row],[SP Book Price]]/SnapshotTable[[#This Row],[SP Strike Price]], "")</f>
        <v/>
      </c>
      <c r="CE326" s="7" t="str">
        <f>IF(ISNUMBER(SnapshotTable[[#This Row],[SP ROO Term]]),SnapshotTable[[#This Row],[SP ROO Term]]*(365/SnapshotTable[[#This Row],[SP Term]]),"")</f>
        <v/>
      </c>
      <c r="CF326" s="236">
        <f>SnapshotTable[[#This Row],[LP Strike Price]] * SnapshotTable[[#This Row],[LP Qty]] * 100</f>
        <v>0</v>
      </c>
      <c r="CG326" s="31" t="e">
        <f>IF(ISNUMBER(SnapshotTable[[#This Row],[SP Premium]]), (SnapshotTable[[#This Row],[SP Qty]] * SnapshotTable[[#This Row],[SP Strike Price]]* 100) - SnapshotTable[[#This Row],[LP Protection]], 0)</f>
        <v>#VALUE!</v>
      </c>
      <c r="CH326" s="7" t="str">
        <f>IF(ISNUMBER(SnapshotTable[[#This Row],[SP Break Even]]),-1 * (SnapshotTable[[#This Row],[SP Break Even]] - SnapshotTable[[#This Row],[Last Price]]) / SnapshotTable[[#This Row],[Last Price]], "")</f>
        <v/>
      </c>
      <c r="CI326" s="31">
        <f>IF(AND(ISNUMBER((SnapshotTable[[#This Row],[SP Potential Spend]])), SnapshotTable[[#This Row],[SP Strike Price]] &gt; SnapshotTable[[#This Row],[Last Price]], SnapshotTable[[#This Row],[SP Is Filled]]), SnapshotTable[[#This Row],[SP Potential Spend]] -  SnapshotTable[[#This Row],[LP Max Value]], 0)</f>
        <v>0</v>
      </c>
      <c r="CJ326" s="244"/>
      <c r="CK326" s="31" t="str">
        <f>IF(ISNUMBER(SnapshotTable[[#This Row],[SP Potential Spend]]),IF(ISNUMBER(SnapshotTable[[#This Row],[SP POW]]), SnapshotTable[[#This Row],[SP POW]] * SnapshotTable[[#This Row],[SP Potential Spend]], SnapshotTable[[#This Row],[SP Potential Spend]]), "")</f>
        <v/>
      </c>
      <c r="CL326" s="164" t="e">
        <f>IF(NOT(SnapshotTable[[#This Row],[SP Is Filled]]),(SnapshotTable[[#This Row],[SP Qty]] * SnapshotTable[[#This Row],[SP Strike Price]] * 100) - SnapshotTable[[#This Row],[LP Max Value]],"")</f>
        <v>#VALUE!</v>
      </c>
      <c r="CM326" s="31" t="str">
        <f>IF(SnapshotTable[[#This Row],[SP Actual Spend]]&lt;&gt;0, ((SnapshotTable[[#This Row],[SP Strike Price]]-SnapshotTable[[#This Row],[Last Price]]) *(SnapshotTable[[#This Row],[SP Qty]]*100) - SnapshotTable[[#This Row],[SP Premium]]) * - 1, "")</f>
        <v/>
      </c>
      <c r="CN326" s="78"/>
      <c r="CO326" s="369"/>
      <c r="CP326" s="4" t="str">
        <f>IF(SnapshotTable[[#This Row],[SP Is Filled]], btc_max_buyback_amount(SnapshotTable[[#This Row],[SP Fill Date]],SnapshotTable[[#This Row],[SP Exp Date]], SnapshotTable[[#This Row],[SP Book Price]]),"")</f>
        <v/>
      </c>
      <c r="CQ326" s="78"/>
      <c r="CR32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6" s="155" t="str">
        <f>IF(SnapshotTable[[#This Row],[SP Is Filled]], btc_next_cutoff_date(SnapshotTable[[#This Row],[SP Fill Date]],SnapshotTable[[#This Row],[SP Exp Date]]),"")</f>
        <v/>
      </c>
      <c r="CT326" s="235" t="str" cm="1">
        <f t="array" ref="CT326">IF(SnapshotTable[[#This Row],[SP Is Filled]], btc_should_buy_back(SnapshotTable[[#This Row],[SP Fill Date]], SnapshotTable[[#This Row],[SP Exp Date]], SnapshotTable[[#This Row],[SP Book Price]], SnapshotTable[[#This Row],[SP Current Ask]], MockToday, SnapshotTable[[#This Row],[SP Buyback Override]]),"")</f>
        <v/>
      </c>
      <c r="CU326" s="143"/>
      <c r="CV326" s="235"/>
      <c r="CW326" s="378" t="str">
        <f>IF(ISNUMBER( SnapshotTable[[#This Row],[SP Term]]), SnapshotTable[[#This Row],[SP Exp Date]] - MockToday,"")</f>
        <v/>
      </c>
      <c r="CX326" s="31" t="str">
        <f>IF(SnapshotTable[[#This Row],[SP Is Filled]],SnapshotTable[[#This Row],[SP Buyback Price to Use]] * 100 * SnapshotTable[[#This Row],[SP Qty]], "")</f>
        <v/>
      </c>
      <c r="CY326" s="4" t="str">
        <f>IF(ISNUMBER(SnapshotTable[[#This Row],[SP Strike Price]]), SnapshotTable[[#This Row],[SP Strike Price]] * (1 - SP_MaxLoss_StrikePct), "")</f>
        <v/>
      </c>
      <c r="CZ326" s="31" t="str">
        <f>IF(ISNUMBER(SnapshotTable[[#This Row],[SP Strike  Stop Per Share]]),SnapshotTable[[#This Row],[SP Premium]] - ((SnapshotTable[[#This Row],[SP Strike Price]]-SnapshotTable[[#This Row],[SP Strike  Stop Per Share]]) *(SnapshotTable[[#This Row],[SP Qty]] * 100)),"")</f>
        <v/>
      </c>
      <c r="DA326" s="4" t="str">
        <f>IF(AND(ISNUMBER(SnapshotTable[[#This Row],[SP Premium]]),SnapshotTable[[#This Row],[SP Premium]]&gt;0), SnapshotTable[[#This Row],[SP Book Price]] * (1 + SP_MaxLoss_OptionPct), "")</f>
        <v/>
      </c>
      <c r="DB326" s="31" t="str">
        <f>IF(ISNUMBER(SnapshotTable[[#This Row],[SP Option  Stop Contract]]),(SnapshotTable[[#This Row],[SP Option  Stop Contract]] *(SnapshotTable[[#This Row],[SP Qty]] * 100) - SnapshotTable[[#This Row],[SP Premium]]),"")</f>
        <v/>
      </c>
      <c r="DC326" s="4"/>
      <c r="DD326" s="4"/>
      <c r="DE326" s="4" t="str">
        <f>IF(AND(SnapshotTable[[#This Row],[SP Qty]]&gt;0, SnapshotTable[[#This Row],[SP Stop To Use]]&gt;0),SnapshotTable[[#This Row],[SP Premium]] - ( SnapshotTable[[#This Row],[SP Qty]] * SnapshotTable[[#This Row],[SP Stop To Use]] * 100), "")</f>
        <v/>
      </c>
      <c r="DF326" s="31" t="str">
        <f>IF(AND(SnapshotTable[[#This Row],[SP Qty]]&gt;0,SnapshotTable[[#This Row],[SP Current Ask]]&gt;0), SnapshotTable[[#This Row],[SP Qty]] * SnapshotTable[[#This Row],[SP Current Ask]] * -100, "")</f>
        <v/>
      </c>
      <c r="DG326" s="31" t="str">
        <f>IF(ISNUMBER((SnapshotTable[[#This Row],[SP Total Value]])), SnapshotTable[[#This Row],[SP Premium]] + SnapshotTable[[#This Row],[SP Total Value]], "")</f>
        <v/>
      </c>
      <c r="DH326" s="294" t="str">
        <f>IF(ISNUMBER((SnapshotTable[[#This Row],[SP Total Value]])), SnapshotTable[[#This Row],[SP Gain Loss]] / SnapshotTable[[#This Row],[SP Premium]], "")</f>
        <v/>
      </c>
      <c r="DI326" s="406"/>
      <c r="DJ326" s="138"/>
      <c r="DK326" s="148"/>
      <c r="DL326" s="13"/>
      <c r="DM326" s="13"/>
      <c r="DO326" s="31">
        <f>IF(SnapshotTable[[#This Row],[LC Symbol Count]]=1, SnapshotTable[[#This Row],[LC Qty]] * SnapshotTable[[#This Row],[LC Book Price]] * 100, 0)</f>
        <v>0</v>
      </c>
      <c r="DP326" s="163" t="str">
        <f>IF(AND(SnapshotTable[[#This Row],[LC Exp Date]]&gt;0, SnapshotTable[[#This Row],[LC Strike Price]]&gt;0,SnapshotTable[[#This Row],[LC Qty]]&gt;0,SnapshotTable[[#This Row],[LC Book Date]]&gt;0,SnapshotTable[[#This Row],[LC Book Price]]&gt;0,SnapshotTable[[#This Row],[LC Fill Date]]=0),"Y","")</f>
        <v/>
      </c>
      <c r="DQ326" s="386" t="str">
        <f>IF(SnapshotTable[[#This Row],[LC Premium]] &gt; 0,SnapshotTable[[#This Row],[LC Exp Date]]-MAX(SnapshotTable[[#This Row],[LC Book Date]], SnapshotTable[[#This Row],[LC Fill Date]]),"")</f>
        <v/>
      </c>
      <c r="DR326" s="386" t="str">
        <f>IF(ISNUMBER(SnapshotTable[[#This Row],[LC Term]]), SnapshotTable[[#This Row],[LC Exp Date]] - MockToday, "")</f>
        <v/>
      </c>
      <c r="DS326" s="234" t="str">
        <f>IF(SnapshotTable[[#This Row],[LC Premium]]&gt;0,SnapshotTable[[#This Row],[LC Strike Price]] + SnapshotTable[[#This Row],[LC Book Price]],"")</f>
        <v/>
      </c>
      <c r="DU326" s="9" t="str">
        <f>IF(AND(SnapshotTable[[#This Row],[LC Symbol Count]]&gt;0, SnapshotTable[[#This Row],[LC Contract Value]]&gt;0), SnapshotTable[[#This Row],[LC Contract Value]] * SnapshotTable[[#This Row],[LC Qty]] * 100, "")</f>
        <v/>
      </c>
      <c r="DV326" s="9" t="str">
        <f>IF(AND(ISNUMBER(SnapshotTable[[#This Row],[LC Total Value]]), SnapshotTable[[#This Row],[LC Not Filled]]&lt;&gt;"Y"), SnapshotTable[[#This Row],[LC Total Value]]-SnapshotTable[[#This Row],[LC Premium]],"")</f>
        <v/>
      </c>
      <c r="DW326" s="240" t="str">
        <f>IF(ISNUMBER(SnapshotTable[[#This Row],[LC Actual Gain Loss]]), SnapshotTable[[#This Row],[LC Actual Gain Loss]] / SnapshotTable[[#This Row],[LC Premium]],"")</f>
        <v/>
      </c>
      <c r="DX326" s="284" t="str">
        <f>IF(ISNUMBER(SnapshotTable[[#This Row],[LC Book Price]]),SnapshotTable[[#This Row],[LC Book Price]] * 1.5,"")</f>
        <v/>
      </c>
      <c r="DY326" s="265" t="str">
        <f>IF(SnapshotTable[[#This Row],[LC Premium]]&gt;0, SnapshotTable[[#This Row],[LC Next Target]] * SnapshotTable[[#This Row],[LC Qty]] * 100,"")</f>
        <v/>
      </c>
      <c r="DZ326" s="265" t="str">
        <f>IF(ISNUMBER(SnapshotTable[[#This Row],[LC Target Gross]]), SnapshotTable[[#This Row],[LC Target Gross]] - SnapshotTable[[#This Row],[LC Premium]], "")</f>
        <v/>
      </c>
      <c r="EA326" s="305" t="str">
        <f>IF(ISNUMBER(SnapshotTable[[#This Row],[LC Target Gain Loss]]), SnapshotTable[[#This Row],[LC Target Gain Loss]]/SnapshotTable[[#This Row],[LC Premium]], "")</f>
        <v/>
      </c>
      <c r="EB326" s="262"/>
      <c r="EC326" s="283" t="str">
        <f>IF(SnapshotTable[[#This Row],[LC Premium]]&gt;0, SnapshotTable[[#This Row],[LC Book Price]] * (1 - LC_StopLoss_Pct),"")</f>
        <v/>
      </c>
      <c r="ED326" s="284"/>
      <c r="EE326" s="283" t="str">
        <f>IF(ISNUMBER(SnapshotTable[[#This Row],[LC Contract Value]]),IF(ISNUMBER(SnapshotTable[[#This Row],[LC Stop Loss Override]]), SnapshotTable[[#This Row],[LC Stop Loss Override]],SnapshotTable[[#This Row],[LC Stop Loss Calc Target]]),"")</f>
        <v/>
      </c>
      <c r="EF326" s="31" t="str">
        <f>IF(ISNUMBER(SnapshotTable[[#This Row],[LC Stop  To Use]]), (SnapshotTable[[#This Row],[LC Stop  To Use]] * SnapshotTable[[#This Row],[LC Qty]] * 100),"")</f>
        <v/>
      </c>
      <c r="EG326" s="9" t="str">
        <f>IF(ISNUMBER(SnapshotTable[[#This Row],[LC Total Value]]),SnapshotTable[[#This Row],[LC Stop Loss Amount]] - SnapshotTable[[#This Row],[LC Premium]],"")</f>
        <v/>
      </c>
      <c r="EH326" s="9">
        <f>IF(ISNUMBER(SnapshotTable[[#This Row],[LC Premium]]), SnapshotTable[[#This Row],[LC Qty]] * 100 * SnapshotTable[[#This Row],[LC Strike Price]], "")</f>
        <v>0</v>
      </c>
      <c r="EI326" s="240" t="str">
        <f>IF(AND(ISNUMBER(SnapshotTable[[#This Row],[LC Total Value]]),SnapshotTable[[#This Row],[LC Total Value]]&gt;0),SnapshotTable[[#This Row],[LC Stop Gain Loss]]  / SnapshotTable[[#This Row],[LC Premium]],"")</f>
        <v/>
      </c>
      <c r="EJ326" s="35">
        <f>IF(ISNUMBER(SnapshotTable[[#This Row],[Equity Shares]]),TRUNC(SnapshotTable[[#This Row],[Equity Shares]] / 100),0) + SnapshotTable[[#This Row],[LC Qty]]</f>
        <v>0</v>
      </c>
      <c r="EK326" s="147"/>
      <c r="EL326" s="138" t="str">
        <f>IF(SnapshotTable[[#This Row],[SC Exp Date]]&lt;&gt;"",TRUNC(SnapshotTable[[#This Row],[Last Price]]),"")</f>
        <v/>
      </c>
      <c r="EM326" s="148"/>
      <c r="EN326" s="147"/>
      <c r="EO326" s="147"/>
      <c r="EP326" s="138"/>
      <c r="EQ326" s="419" t="b">
        <f>AND(ISNUMBER(SnapshotTable[[#This Row],[SC Exp Date]]), ISNUMBER(SnapshotTable[[#This Row],[SC Strike Price]]), ISNUMBER(SnapshotTable[[#This Row],[SC Qty]]), ISNUMBER(SnapshotTable[[#This Row],[SC Book Date]]), ISNUMBER(SnapshotTable[[#This Row],[SC Book Price]]))</f>
        <v>0</v>
      </c>
      <c r="ER326" s="419" t="b">
        <f>AND(SnapshotTable[[#This Row],[SC Is Booked]], NOT(ISBLANK(SnapshotTable[[#This Row],[SC Fill Date]])))</f>
        <v>0</v>
      </c>
      <c r="ES326" s="370"/>
      <c r="ET326" s="34" t="str">
        <f>IF(AND(ISNUMBER(SnapshotTable[[#This Row],[SC Exp Date]]), ISNUMBER(SnapshotTable[[#This Row],[SC Book Date]])), SnapshotTable[[#This Row],[SC Exp Date]] - MAX(SnapshotTable[[#This Row],[SC Book Date]], SnapshotTable[[#This Row],[SC Fill Date]]) + 1, "")</f>
        <v/>
      </c>
      <c r="EU326" s="34" t="str">
        <f>IF(ISNUMBER(SnapshotTable[[#This Row],[SC Term]]), SnapshotTable[[#This Row],[SC Exp Date]]- MockToday, "")</f>
        <v/>
      </c>
      <c r="EV326" s="31">
        <f>IF(SnapshotTable[[#This Row],[SC Is Booked]], SnapshotTable[[#This Row],[SC Qty]] * SnapshotTable[[#This Row],[SC Book Price]] * 100, 0)</f>
        <v>0</v>
      </c>
      <c r="EW326" s="4" t="str">
        <f>IF(AND(ISNUMBER(SnapshotTable[[#This Row],[Last Price]]), ISNUMBER( SnapshotTable[[#This Row],[SC Book Price]])), SnapshotTable[[#This Row],[Last Price]] - SnapshotTable[[#This Row],[SC Book Price]],"")</f>
        <v/>
      </c>
      <c r="EX326" s="234" t="str">
        <f>IF(SnapshotTable[[#This Row],[SC Is Booked]],IF(SnapshotTable[[#This Row],[SC Intrinsic Value]] &gt; 0, SnapshotTable[[#This Row],[SC Strike Price]], SnapshotTable[[#This Row],[Last Price]]), "")</f>
        <v/>
      </c>
      <c r="EY326" s="4">
        <f>IF(SnapshotTable[[#This Row],[SC Is Booked]], (MinimumPremiumRequired * SnapshotTable[[#This Row],[SC Basis]] * SnapshotTable[[#This Row],[SC Term]]), 0)</f>
        <v>0</v>
      </c>
      <c r="EZ326" s="283"/>
      <c r="FA326" s="218"/>
      <c r="FB326" s="370"/>
      <c r="FC326" s="4">
        <f>IF(SnapshotTable[[#This Row],[SC Is Filled]], btc_max_buyback_amount(SnapshotTable[[#This Row],[SC Fill Date]],SnapshotTable[[#This Row],[SC Exp Date]], SnapshotTable[[#This Row],[SC Book Price]]),0)</f>
        <v>0</v>
      </c>
      <c r="FD326" s="5"/>
      <c r="FE326" s="144" t="str">
        <f>IF(SnapshotTable[[#This Row],[SC Is Filled]], btc_next_cutoff_date(SnapshotTable[[#This Row],[SC Fill Date]],SnapshotTable[[#This Row],[SC Exp Date]]),"")</f>
        <v/>
      </c>
      <c r="FF326" s="4" t="str" cm="1">
        <f t="array" ref="FF326">IF(SnapshotTable[[#This Row],[SC Is Filled]], btc_should_buy_back(SnapshotTable[[#This Row],[SC Fill Date]], SnapshotTable[[#This Row],[SC Exp Date]], SnapshotTable[[#This Row],[SC Book Price]], SnapshotTable[[#This Row],[SC Current Ask]], MockToday, SnapshotTable[[#This Row],[SC Buyback Override]]),"")</f>
        <v/>
      </c>
      <c r="FG326" s="4">
        <f>IF(SnapshotTable[[#This Row],[SC Is Filled]], MAX(0,SnapshotTable[[#This Row],[Last Price]]  - SnapshotTable[[#This Row],[SC Strike Price]]), 0)</f>
        <v>0</v>
      </c>
      <c r="FH326" s="382">
        <f>IF(SnapshotTable[[#This Row],[SC Is Filled]], IF(ISNUMBER(SnapshotTable[[#This Row],[SC Current Ask]]), SnapshotTable[[#This Row],[SC Current Ask]], SnapshotTable[[#This Row],[SC Book Price]]) - SnapshotTable[[#This Row],[SC Intrinsic Value]], 0)</f>
        <v>0</v>
      </c>
      <c r="FI326" s="143"/>
      <c r="FJ326" s="32" t="str">
        <f>IF(SnapshotTable[[#This Row],[SC Is Filled]],100 * SnapshotTable[[#This Row],[SC Qty]] * IF(ISNUMBER(SnapshotTable[[#This Row],[SC Buyback Override]]), SnapshotTable[[#This Row],[SC Buyback Override]], SnapshotTable[[#This Row],[SC Current Ask]]), "")</f>
        <v/>
      </c>
      <c r="FK326" s="250" t="str">
        <f>IF(SnapshotTable[[#This Row],[SC Time Val]]&gt;0, SnapshotTable[[#This Row],[SC Time Val]] / SnapshotTable[[#This Row],[Last Price]],"")</f>
        <v/>
      </c>
      <c r="FL326" s="302" t="str">
        <f>IF(SnapshotTable[[#This Row],[SC Is Booked]], ((SnapshotTable[[#This Row],[Last Price]] -SnapshotTable[[#This Row],[SC Strike Price]]) / SnapshotTable[[#This Row],[Last Price]]) * -1, "")</f>
        <v/>
      </c>
      <c r="FM326" s="157" t="str">
        <f>IF(SnapshotTable[[#This Row],[SC Is Booked]],  (SnapshotTable[[#This Row],[SC Qty]] * 100 * SnapshotTable[[#This Row],[SC Strike Price]]) - SnapshotTable[[#This Row],[SC Current Ask]], "")</f>
        <v/>
      </c>
      <c r="FN32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6" s="31" t="str">
        <f>IF(AND(ISNUMBER(SnapshotTable[[#This Row],[SC Exercise Gross]]), ISNUMBER(SnapshotTable[[#This Row],[Equity Basis Per Share]] )), SnapshotTable[[#This Row],[SC Exercise Gross]] - SnapshotTable[[#This Row],[Equity Basis Total]] +  SnapshotTable[[#This Row],[SC Premium]], "")</f>
        <v/>
      </c>
      <c r="FP326" s="5" t="str">
        <f>IF(ISNUMBER(SnapshotTable[[#This Row],[SC Exercise Gross]]), (SnapshotTable[[#This Row],[SC Exercise Gross]]) / (SnapshotTable[[#This Row],[SC Qty]] * 100), "")</f>
        <v/>
      </c>
      <c r="FQ326" s="27" t="str">
        <f>IF(SnapshotTable[[#This Row],[SC Is Booked]],SnapshotTable[[#This Row],[SC Time Val]] /SnapshotTable[[#This Row],[SC Basis]], "")</f>
        <v/>
      </c>
      <c r="FR326" s="27" t="str" cm="1">
        <f t="array" ref="FR326">IF(AND(ISNUMBER(SnapshotTable[[#This Row],[SC Term]]),ISNUMBER(SnapshotTable[[#This Row],[SC Simple ROO]])), EllmanAnnualize(SnapshotTable[[#This Row],[SC DTE]], SnapshotTable[[#This Row],[SC Simple ROO]] ),"")</f>
        <v/>
      </c>
      <c r="FS326" s="4" t="e">
        <f>IF(SnapshotTable[[#This Row],[SC Strike Price]] &gt; SnapshotTable[[#This Row],[Last Price]], SnapshotTable[[#This Row],[SC Strike Price]] - SnapshotTable[[#This Row],[Last Price]],0)</f>
        <v>#VALUE!</v>
      </c>
      <c r="FT326" s="27" t="e">
        <f>IF(AND(ISNUMBER(SnapshotTable[[#This Row],[SC Upside Potential]]), SnapshotTable[[#This Row],[SC Upside Potential]] &gt; 0),(SnapshotTable[[#This Row],[SC Upside Potential]]/ SnapshotTable[[#This Row],[ACB]]),"")</f>
        <v>#VALUE!</v>
      </c>
      <c r="FU326" s="333" t="str">
        <f>IF(SnapshotTable[[#This Row],[SC Intrinsic Value]] &gt; 0,SnapshotTable[[#This Row],[SC Intrinsic Value]],"")</f>
        <v/>
      </c>
      <c r="FV326" s="27" t="str">
        <f>IF(AND( ISNUMBER( SnapshotTable[[#This Row],[ACB]]),ISNUMBER(SnapshotTable[[#This Row],[SC Downside Protect]])),SnapshotTable[[#This Row],[SC Downside Protect]] / SnapshotTable[[#This Row],[ACB]],"")</f>
        <v/>
      </c>
      <c r="FW326" s="236" t="str">
        <f>IF(AND(ISNUMBER(SnapshotTable[[#This Row],[SC Simple ROO]]),SnapshotTable[[#This Row],[SC Simple ROO]] &gt; 0), SnapshotTable[[#This Row],[SC Premium]] + (SnapshotTable[[#This Row],[SC Qty]] * SnapshotTable[[#This Row],[SC Upside Potential]]), "")</f>
        <v/>
      </c>
      <c r="FX326" s="302" t="str" cm="1">
        <f t="array" ref="FX326">IF(ISNUMBER(SnapshotTable[[#This Row],[SC Max Dollars]]), annualize(SnapshotTable[[#This Row],[SC Term]],(SnapshotTable[[#This Row],[SC Max Dollars]]/SnapshotTable[[#This Row],[SC Basis]])),"")</f>
        <v/>
      </c>
      <c r="FY326" s="236" t="str">
        <f>IF(AND(SnapshotTable[[#This Row],[SC Qty]]&gt;0,SnapshotTable[[#This Row],[SC Current Ask]]&gt;0), SnapshotTable[[#This Row],[SC Qty]] * SnapshotTable[[#This Row],[SC Current Ask]] * -100, "")</f>
        <v/>
      </c>
      <c r="FZ326" s="31" t="str">
        <f>IF(ISNUMBER((SnapshotTable[[#This Row],[SC Current Value]])), SnapshotTable[[#This Row],[SC Premium]] + SnapshotTable[[#This Row],[SC Current Value]], "")</f>
        <v/>
      </c>
      <c r="GA326" s="294" t="str">
        <f>IFERROR( IF(ISNUMBER((SnapshotTable[[#This Row],[SC Current Value]])), SnapshotTable[[#This Row],[SC Gain Loss]] / SnapshotTable[[#This Row],[SC Premium]], ""), "")</f>
        <v/>
      </c>
      <c r="GB326" s="42">
        <f>SnapshotTable[[#This Row],[Equity Shares]] * SaleSharesToConsiderPercentage</f>
        <v>0</v>
      </c>
      <c r="GC326" s="40">
        <f>SnapshotTable[[#This Row],[Long Term Target]] * SellingPriceToConsiderBasedOnTargetPercentage</f>
        <v>315.36199999999997</v>
      </c>
      <c r="GD326" s="40">
        <f>SnapshotTable[[#This Row],[Last Price]] * (1+ SellingPriceToConsiderBasedOnTargetPercentage)</f>
        <v>841.05449999999996</v>
      </c>
      <c r="GE326" s="41"/>
      <c r="GF326" s="40"/>
      <c r="GG326" s="31">
        <f>SnapshotTable[[#This Row],[Booked Sale Shares]] * SnapshotTable[[#This Row],[Booked Sale Price]]</f>
        <v>0</v>
      </c>
      <c r="GH326" s="31" t="str">
        <f>IF(SnapshotTable[[#This Row],[Equity Basis Total]] &gt; 0, SnapshotTable[[#This Row],[Equity Basis Per Share]] * SnapshotTable[[#This Row],[Booked Sale Shares]], "")</f>
        <v/>
      </c>
      <c r="GI326" s="31">
        <f>IF(SnapshotTable[[#This Row],[Sale Proceeds]]&gt;0, SnapshotTable[[#This Row],[Sale Proceeds]] - SnapshotTable[[#This Row],[Sale Basis]], 0)</f>
        <v>0</v>
      </c>
      <c r="GJ326" s="27" t="str">
        <f>IF(SnapshotTable[[#This Row],[Sale G/L]]&gt;0, SnapshotTable[[#This Row],[Sale G/L]] / SnapshotTable[[#This Row],[Sale Basis]], IF(ISNUMBER(SnapshotTable[[#This Row],[SC Exercise P&amp;L (TAX)]]), SnapshotTable[[#This Row],[SC Exercise P&amp;L (TAX)]] / SnapshotTable[[#This Row],[SC Basis]], ""))</f>
        <v/>
      </c>
      <c r="GK326" s="27" t="s">
        <v>781</v>
      </c>
      <c r="GL326" s="43" t="str">
        <f>IF(AND(SnapshotTable[[#This Row],[LP Exp Date]]&gt;0,SnapshotTable[[#This Row],[LP Strike Price]]&gt;0), [1]!ToOptionSymbol(SnapshotTable[[#This Row],[Symbol]], SnapshotTable[[#This Row],[LP Strike Price]],SnapshotTable[[#This Row],[LP Exp Date]],1), "")</f>
        <v/>
      </c>
      <c r="GM326" s="30" t="str">
        <f>IF(LEN(SnapshotTable[[#This Row],[LP Symbol]])&gt;0, 1, "")</f>
        <v/>
      </c>
      <c r="GN326" s="43" t="str">
        <f>IF(AND(SnapshotTable[[#This Row],[SP Exp Date]]&gt;0,SnapshotTable[[#This Row],[SP Strike Price]]&gt;0), [1]!ToOptionSymbol(SnapshotTable[[#This Row],[Symbol]], SnapshotTable[[#This Row],[SP Strike Price]],SnapshotTable[[#This Row],[SP Exp Date]],1), "")</f>
        <v/>
      </c>
      <c r="GO326" s="30" t="str">
        <f>IF(LEN(SnapshotTable[[#This Row],[SP Symbol]])&gt;0, 1, "")</f>
        <v/>
      </c>
      <c r="GP326" s="43" t="str">
        <f>IF(AND(SnapshotTable[[#This Row],[LC Exp Date]]&gt;0,SnapshotTable[[#This Row],[LC Strike Price]]&gt;0), [1]!ToOptionSymbol(SnapshotTable[[#This Row],[Symbol]], SnapshotTable[[#This Row],[LC Strike Price]],SnapshotTable[[#This Row],[LC Exp Date]],0), "")</f>
        <v/>
      </c>
      <c r="GQ326" s="30" t="str">
        <f>IF(LEN(SnapshotTable[[#This Row],[LC Symbol]])&gt;0, 1, "")</f>
        <v/>
      </c>
      <c r="GR326" s="43" t="str">
        <f>IF(AND(SnapshotTable[[#This Row],[SC Exp Date]]&gt;0,SnapshotTable[[#This Row],[SC Strike Price]]&gt;0), [1]!ToOptionSymbol(SnapshotTable[[#This Row],[Symbol]], SnapshotTable[[#This Row],[SC Strike Price]],SnapshotTable[[#This Row],[SC Exp Date]],0), "")</f>
        <v/>
      </c>
      <c r="GS326" s="30" t="str">
        <f>IF(LEN(SnapshotTable[[#This Row],[SC Symbol]])&gt;0, 1, "")</f>
        <v/>
      </c>
      <c r="GT326" s="29" t="str">
        <f>IF(COUNT(SnapshotTable[[#This Row],[LP Symbol Count]],SnapshotTable[[#This Row],[SP Symbol Count]],SnapshotTable[[#This Row],[LC Symbol Count]],SnapshotTable[[#This Row],[SC Symbol Count]])&gt;0, "Y", "")</f>
        <v/>
      </c>
      <c r="GU32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6" s="231" t="e">
        <f>MAX(SnapshotTable[[#This Row],[Equity Basis Total]],SnapshotTable[[#This Row],[Equity Value]]) + (SnapshotTable[[#This Row],[SP Potential Spend]]- SnapshotTable[[#This Row],[SP Premium]] + SnapshotTable[[#This Row],[LP Premium]])+ (SnapshotTable[[#This Row],[LC Premium]] - SnapshotTable[[#This Row],[SC Premium]])</f>
        <v>#VALUE!</v>
      </c>
      <c r="GW326" s="139" t="e">
        <f>IF(AND(SnapshotTable[[#This Row],[Exposure]] &lt;&gt; 0),SnapshotTable[[#This Row],[Exposure]] / SnapshotTable[[#Totals],[Exposure]], "")</f>
        <v>#VALUE!</v>
      </c>
      <c r="HK326" s="1"/>
      <c r="HL326" s="1"/>
      <c r="HM326" s="1"/>
      <c r="HN326" s="1"/>
      <c r="HO326" s="1"/>
      <c r="HP326" s="1"/>
    </row>
    <row r="327" spans="2:224" ht="12.75" hidden="1" customHeight="1" x14ac:dyDescent="0.25">
      <c r="B327" s="12" t="s">
        <v>16</v>
      </c>
      <c r="C327" s="422">
        <v>115.84</v>
      </c>
      <c r="D327" s="208" t="s">
        <v>586</v>
      </c>
      <c r="E327" s="39">
        <f>SnapshotTable[[#This Row],[Last Price]]*(1 -CrashDiscount)</f>
        <v>98.463999999999999</v>
      </c>
      <c r="F327" s="26" t="s">
        <v>15</v>
      </c>
      <c r="G327" s="26" t="s">
        <v>14</v>
      </c>
      <c r="H327" s="149"/>
      <c r="I327" s="194">
        <v>44768.25</v>
      </c>
      <c r="J327" s="195">
        <v>44768.25</v>
      </c>
      <c r="K327" s="196"/>
      <c r="L327" s="326"/>
      <c r="M327" s="140"/>
      <c r="N327" s="140"/>
      <c r="O327" s="140"/>
      <c r="P327" s="22"/>
      <c r="Q327" s="25"/>
      <c r="R327" s="4" t="str">
        <f>IF(SnapshotTable[[#This Row],[Equity Basis Total]] &gt; 0, SnapshotTable[[#This Row],[Equity Basis Total]] / SnapshotTable[[#This Row],[Equity Shares]], "")</f>
        <v/>
      </c>
      <c r="S327" s="269">
        <f>SnapshotTable[[#This Row],[Last Price]] * SnapshotTable[[#This Row],[Equity Shares]]</f>
        <v>0</v>
      </c>
      <c r="T327" s="269">
        <f>SnapshotTable[[#This Row],[Equity Value]] - SnapshotTable[[#This Row],[Equity Basis Total]]</f>
        <v>0</v>
      </c>
      <c r="U327" s="270" t="str">
        <f>IF(SnapshotTable[[#This Row],[Equity Basis Total]] &gt; 0, SnapshotTable[[#This Row],[Equity G/L]] / SnapshotTable[[#This Row],[Equity Basis Total]], "")</f>
        <v/>
      </c>
      <c r="V327" s="268"/>
      <c r="W327" s="268"/>
      <c r="X327" s="4" t="str">
        <f>IF(AND(ISNUMBER(SnapshotTable[[#This Row],[Equity Basis Per Share]]),ISNUMBER(SnapshotTable[[#This Row],[Equity Target]])),SnapshotTable[[#This Row],[Equity Target]]-SnapshotTable[[#This Row],[Equity Basis Per Share]],"")</f>
        <v/>
      </c>
      <c r="Y327" s="4" t="str">
        <f>IF(AND(ISNUMBER(SnapshotTable[[#This Row],[Equity Basis Per Share]]),ISNUMBER(SnapshotTable[[#This Row],[Equity Stop Loss]])),SnapshotTable[[#This Row],[Equity Stop Loss]]-SnapshotTable[[#This Row],[Equity Basis Per Share]],"")</f>
        <v/>
      </c>
      <c r="Z327" s="275" t="str">
        <f>IFERROR( TEXT(SnapshotTable[[#This Row],[Equity Max Gain Per Share]] /ABS( SnapshotTable[[#This Row],[Equity Max Loss Per Share]]),"0.0 " ) &amp; " : 1", "")</f>
        <v/>
      </c>
      <c r="AA327" s="31" t="str">
        <f>IF(ISNUMBER(SnapshotTable[[#This Row],[Equity Max Gain Per Share]]),SnapshotTable[[#This Row],[Equity Max Gain Per Share]] * SnapshotTable[[#This Row],[Equity Shares]],"")</f>
        <v/>
      </c>
      <c r="AB327" s="31" t="str">
        <f>IF(ISNUMBER(SnapshotTable[[#This Row],[Equity Max Loss Per Share]]),SnapshotTable[[#This Row],[Equity Max Loss Per Share]] * SnapshotTable[[#This Row],[Equity Shares]],"")</f>
        <v/>
      </c>
      <c r="AC327" s="150">
        <v>0.3</v>
      </c>
      <c r="AD327" s="151">
        <v>42727</v>
      </c>
      <c r="AE327" s="31">
        <f>(SnapshotTable[[#This Row],[Annual Dividend Per Share]] / 4) * SnapshotTable[[#This Row],[Equity Shares]]</f>
        <v>0</v>
      </c>
      <c r="AF327" s="31">
        <f>SnapshotTable[[#This Row],[Quarterly Div $]] * 4</f>
        <v>0</v>
      </c>
      <c r="AG327" s="7">
        <f>IF(SnapshotTable[[#This Row],[Annual Dividend Per Share]]&gt;0, SnapshotTable[[#This Row],[Annual Dividend Per Share]]  / SnapshotTable[[#This Row],[Last Price]], 0)</f>
        <v>2.5897790055248618E-3</v>
      </c>
      <c r="AH327" s="151">
        <v>42703</v>
      </c>
      <c r="AI327" s="5"/>
      <c r="AJ327" s="138">
        <v>172.44</v>
      </c>
      <c r="AK327" s="152" t="str">
        <f>IF(ISNUMBER( SnapshotTable[[#This Row],[EBF Target]]),(SnapshotTable[[#This Row],[EBF Target]] - SnapshotTable[[#This Row],[Last Price]]) / SnapshotTable[[#This Row],[Last Price]], "")</f>
        <v/>
      </c>
      <c r="AL327" s="152" t="str">
        <f>IF(AND(SnapshotTable[[#This Row],[Equity Basis Total]] &gt; 0,ISNUMBER( SnapshotTable[[#This Row],[Long Term Target]])), SnapshotTable[[#This Row],[From Basis $]] / SnapshotTable[[#This Row],[Equity Basis Total]], "")</f>
        <v/>
      </c>
      <c r="AM327" s="9">
        <f>IF( AND(SnapshotTable[[#This Row],[Equity Shares]] &gt;0,ISNUMBER( SnapshotTable[[#This Row],[Long Term Target]])),(SnapshotTable[[#This Row],[Equity Shares]] * SnapshotTable[[#This Row],[Long Term Target]]) - SnapshotTable[[#This Row],[Equity Basis Total]],0)</f>
        <v>0</v>
      </c>
      <c r="AN327" s="9">
        <f>IF( AND(SnapshotTable[[#This Row],[Equity Shares]] &gt;0,ISNUMBER( SnapshotTable[[#This Row],[Long Term Target]])),(SnapshotTable[[#This Row],[Equity Shares]]*SnapshotTable[[#This Row],[Long Term Target]]) - SnapshotTable[[#This Row],[Equity Value]],0)</f>
        <v>0</v>
      </c>
      <c r="AO327" s="152">
        <f>IF(AND(ISNUMBER( SnapshotTable[[#This Row],[Long Term Target]]), ISNUMBER(SnapshotTable[[#This Row],[Last Price]])),(SnapshotTable[[#This Row],[Long Term Target]] - SnapshotTable[[#This Row],[Last Price]]) / SnapshotTable[[#This Row],[Last Price]], "")</f>
        <v>0.48860497237569056</v>
      </c>
      <c r="AP327" s="5">
        <v>170</v>
      </c>
      <c r="AQ327" s="38" t="s">
        <v>27</v>
      </c>
      <c r="AR327" s="5">
        <v>170</v>
      </c>
      <c r="AS327" s="38" t="s">
        <v>38</v>
      </c>
      <c r="AT327" s="146" t="s">
        <v>542</v>
      </c>
      <c r="AU327" s="187" t="str">
        <f>IF(OR(SnapshotTable[[#This Row],[LP No Fill]]="Y",SnapshotTable[[#This Row],[SP Is Filled]],SnapshotTable[[#This Row],[LC Not Filled]]="Y",SnapshotTable[[#This Row],[SC Is Filled]]),"Y","")</f>
        <v/>
      </c>
      <c r="AV327" s="219"/>
      <c r="AW327" s="225">
        <v>4.5030000000000001</v>
      </c>
      <c r="AX327" s="220">
        <v>44287</v>
      </c>
      <c r="AY327" s="219">
        <f>IF(SnapshotTable[[#This Row],[Implied Move]]&gt;0, SnapshotTable[[#This Row],[Last Price]]-SnapshotTable[[#This Row],[Implied Move]],"")</f>
        <v>111.337</v>
      </c>
      <c r="AZ327" s="219">
        <f>IF(SnapshotTable[[#This Row],[Implied Move]]&gt;0, SnapshotTable[[#This Row],[Last Price]] + SnapshotTable[[#This Row],[Implied Move]],"")</f>
        <v>120.343</v>
      </c>
      <c r="BA327" s="331">
        <v>161.91</v>
      </c>
      <c r="BB327" s="347"/>
      <c r="BC32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7" s="351"/>
      <c r="BE327" s="5"/>
      <c r="BF327" s="14"/>
      <c r="BG327" s="13"/>
      <c r="BH327" s="13"/>
      <c r="BI327" s="5"/>
      <c r="BJ327" s="136">
        <f>IF(SnapshotTable[[#This Row],[LP Qty]] &gt; 0, SnapshotTable[[#This Row],[LP Qty]] * SnapshotTable[[#This Row],[LP Book Price]] * 100,0)</f>
        <v>0</v>
      </c>
      <c r="BK327" s="136">
        <f>IF(SnapshotTable[[#This Row],[LP Premium]] &gt; 0, SnapshotTable[[#This Row],[LP Qty]] * SnapshotTable[[#This Row],[LP Strike Price]] * 100,0)</f>
        <v>0</v>
      </c>
      <c r="BL327" s="154"/>
      <c r="BM327" s="385" t="str">
        <f>IF(SnapshotTable[[#This Row],[LP Premium]] &gt; 0,SnapshotTable[[#This Row],[LP Exp Date]]-MAX(SnapshotTable[[#This Row],[LP Book Date]], SnapshotTable[[#This Row],[LP Fill Date]]),"")</f>
        <v/>
      </c>
      <c r="BN327" s="385" t="str">
        <f>IF(ISNUMBER( SnapshotTable[[#This Row],[LP Term]]), SnapshotTable[[#This Row],[LP Exp Date]] - MockToday,"")</f>
        <v/>
      </c>
      <c r="BO327" s="163" t="str">
        <f>IF(AND(SnapshotTable[[#This Row],[LP Exp Date]]&gt;0, SnapshotTable[[#This Row],[LP Strike Price]]&gt;0,SnapshotTable[[#This Row],[LP Qty]]&gt;0,SnapshotTable[[#This Row],[LP Book Date]]&gt;0,SnapshotTable[[#This Row],[LP Book Price]]&gt;0,SnapshotTable[[#This Row],[LP Fill Date]]=0),"Y","")</f>
        <v/>
      </c>
      <c r="BP327" s="31" t="str">
        <f>IF(AND(SnapshotTable[[#This Row],[LP No Fill]]&lt;&gt;"Y",SnapshotTable[[#This Row],[LP Contract Value]]&gt;0, SnapshotTable[[#This Row],[LP Qty]]&gt;0), SnapshotTable[[#This Row],[LP Contract Value]]*SnapshotTable[[#This Row],[LP Qty]]*100,"")</f>
        <v/>
      </c>
      <c r="BQ327" s="13"/>
      <c r="BR327" s="5" t="str">
        <f>IF(SnapshotTable[[#This Row],[SP Exp Date]]&lt;&gt;"",TRUNC(SnapshotTable[[#This Row],[Last Price]]),"")</f>
        <v/>
      </c>
      <c r="BS327" s="36"/>
      <c r="BT327" s="147"/>
      <c r="BU327" s="13"/>
      <c r="BV327" s="5"/>
      <c r="BW327" s="419" t="b">
        <f>AND(ISNUMBER(SnapshotTable[[#This Row],[SP Exp Date]]), ISNUMBER(SnapshotTable[[#This Row],[SP Strike Price]]), ISNUMBER(SnapshotTable[[#This Row],[SP Qty]]), ISNUMBER(SnapshotTable[[#This Row],[SP Book Date]]), ISNUMBER(SnapshotTable[[#This Row],[SP Book Price]]))</f>
        <v>0</v>
      </c>
      <c r="BX327" s="419" t="b">
        <f>AND(SnapshotTable[[#This Row],[SP Is Booked]], NOT(ISBLANK(SnapshotTable[[#This Row],[SP Fill Date]])))</f>
        <v>0</v>
      </c>
      <c r="BY327" s="33">
        <f>IF(SnapshotTable[[#This Row],[SP Is Booked]], SnapshotTable[[#This Row],[SP Qty]] * SnapshotTable[[#This Row],[SP Book Price]] * 100, 0)</f>
        <v>0</v>
      </c>
      <c r="BZ327" s="369"/>
      <c r="CA327" s="368">
        <f>SnapshotTable[[#This Row],[LP Qty]]</f>
        <v>0</v>
      </c>
      <c r="CB327" s="4" t="str">
        <f>IF(SnapshotTable[[#This Row],[SP Is Booked]], SnapshotTable[[#This Row],[SP Strike Price]] - SnapshotTable[[#This Row],[SP Book Price]], "")</f>
        <v/>
      </c>
      <c r="CC327" s="19" t="str">
        <f>IF(SnapshotTable[[#This Row],[SP Is Booked]],SnapshotTable[[#This Row],[SP Exp Date]]-MAX(SnapshotTable[[#This Row],[SP Book Date]], SnapshotTable[[#This Row],[SP Fill Date]]),"")</f>
        <v/>
      </c>
      <c r="CD327" s="7" t="str">
        <f>IF(SnapshotTable[[#This Row],[SP Is Booked]], SnapshotTable[[#This Row],[SP Book Price]]/SnapshotTable[[#This Row],[SP Strike Price]], "")</f>
        <v/>
      </c>
      <c r="CE327" s="7" t="str">
        <f>IF(ISNUMBER(SnapshotTable[[#This Row],[SP ROO Term]]),SnapshotTable[[#This Row],[SP ROO Term]]*(365/SnapshotTable[[#This Row],[SP Term]]),"")</f>
        <v/>
      </c>
      <c r="CF327" s="236">
        <f>SnapshotTable[[#This Row],[LP Strike Price]] * SnapshotTable[[#This Row],[LP Qty]] * 100</f>
        <v>0</v>
      </c>
      <c r="CG327" s="31" t="e">
        <f>IF(ISNUMBER(SnapshotTable[[#This Row],[SP Premium]]), (SnapshotTable[[#This Row],[SP Qty]] * SnapshotTable[[#This Row],[SP Strike Price]]* 100) - SnapshotTable[[#This Row],[LP Protection]], 0)</f>
        <v>#VALUE!</v>
      </c>
      <c r="CH327" s="7" t="str">
        <f>IF(ISNUMBER(SnapshotTable[[#This Row],[SP Break Even]]),-1 * (SnapshotTable[[#This Row],[SP Break Even]] - SnapshotTable[[#This Row],[Last Price]]) / SnapshotTable[[#This Row],[Last Price]], "")</f>
        <v/>
      </c>
      <c r="CI327" s="31">
        <f>IF(AND(ISNUMBER((SnapshotTable[[#This Row],[SP Potential Spend]])), SnapshotTable[[#This Row],[SP Strike Price]] &gt; SnapshotTable[[#This Row],[Last Price]], SnapshotTable[[#This Row],[SP Is Filled]]), SnapshotTable[[#This Row],[SP Potential Spend]] -  SnapshotTable[[#This Row],[LP Max Value]], 0)</f>
        <v>0</v>
      </c>
      <c r="CJ327" s="244"/>
      <c r="CK327" s="31" t="str">
        <f>IF(ISNUMBER(SnapshotTable[[#This Row],[SP Potential Spend]]),IF(ISNUMBER(SnapshotTable[[#This Row],[SP POW]]), SnapshotTable[[#This Row],[SP POW]] * SnapshotTable[[#This Row],[SP Potential Spend]], SnapshotTable[[#This Row],[SP Potential Spend]]), "")</f>
        <v/>
      </c>
      <c r="CL327" s="164" t="e">
        <f>IF(NOT(SnapshotTable[[#This Row],[SP Is Filled]]),(SnapshotTable[[#This Row],[SP Qty]] * SnapshotTable[[#This Row],[SP Strike Price]] * 100) - SnapshotTable[[#This Row],[LP Max Value]],"")</f>
        <v>#VALUE!</v>
      </c>
      <c r="CM327" s="31" t="str">
        <f>IF(SnapshotTable[[#This Row],[SP Actual Spend]]&lt;&gt;0, ((SnapshotTable[[#This Row],[SP Strike Price]]-SnapshotTable[[#This Row],[Last Price]]) *(SnapshotTable[[#This Row],[SP Qty]]*100) - SnapshotTable[[#This Row],[SP Premium]]) * - 1, "")</f>
        <v/>
      </c>
      <c r="CN327" s="78"/>
      <c r="CO327" s="369"/>
      <c r="CP327" s="4" t="str">
        <f>IF(SnapshotTable[[#This Row],[SP Is Filled]], btc_max_buyback_amount(SnapshotTable[[#This Row],[SP Fill Date]],SnapshotTable[[#This Row],[SP Exp Date]], SnapshotTable[[#This Row],[SP Book Price]]),"")</f>
        <v/>
      </c>
      <c r="CQ327" s="78"/>
      <c r="CR32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7" s="155" t="str">
        <f>IF(SnapshotTable[[#This Row],[SP Is Filled]], btc_next_cutoff_date(SnapshotTable[[#This Row],[SP Fill Date]],SnapshotTable[[#This Row],[SP Exp Date]]),"")</f>
        <v/>
      </c>
      <c r="CT327" s="235" t="str" cm="1">
        <f t="array" ref="CT327">IF(SnapshotTable[[#This Row],[SP Is Filled]], btc_should_buy_back(SnapshotTable[[#This Row],[SP Fill Date]], SnapshotTable[[#This Row],[SP Exp Date]], SnapshotTable[[#This Row],[SP Book Price]], SnapshotTable[[#This Row],[SP Current Ask]], MockToday, SnapshotTable[[#This Row],[SP Buyback Override]]),"")</f>
        <v/>
      </c>
      <c r="CU327" s="143"/>
      <c r="CV327" s="235"/>
      <c r="CW327" s="378" t="str">
        <f>IF(ISNUMBER( SnapshotTable[[#This Row],[SP Term]]), SnapshotTable[[#This Row],[SP Exp Date]] - MockToday,"")</f>
        <v/>
      </c>
      <c r="CX327" s="31" t="str">
        <f>IF(SnapshotTable[[#This Row],[SP Is Filled]],SnapshotTable[[#This Row],[SP Buyback Price to Use]] * 100 * SnapshotTable[[#This Row],[SP Qty]], "")</f>
        <v/>
      </c>
      <c r="CY327" s="4" t="str">
        <f>IF(ISNUMBER(SnapshotTable[[#This Row],[SP Strike Price]]), SnapshotTable[[#This Row],[SP Strike Price]] * (1 - SP_MaxLoss_StrikePct), "")</f>
        <v/>
      </c>
      <c r="CZ327" s="31" t="str">
        <f>IF(ISNUMBER(SnapshotTable[[#This Row],[SP Strike  Stop Per Share]]),SnapshotTable[[#This Row],[SP Premium]] - ((SnapshotTable[[#This Row],[SP Strike Price]]-SnapshotTable[[#This Row],[SP Strike  Stop Per Share]]) *(SnapshotTable[[#This Row],[SP Qty]] * 100)),"")</f>
        <v/>
      </c>
      <c r="DA327" s="4" t="str">
        <f>IF(AND(ISNUMBER(SnapshotTable[[#This Row],[SP Premium]]),SnapshotTable[[#This Row],[SP Premium]]&gt;0), SnapshotTable[[#This Row],[SP Book Price]] * (1 + SP_MaxLoss_OptionPct), "")</f>
        <v/>
      </c>
      <c r="DB327" s="31" t="str">
        <f>IF(ISNUMBER(SnapshotTable[[#This Row],[SP Option  Stop Contract]]),(SnapshotTable[[#This Row],[SP Option  Stop Contract]] *(SnapshotTable[[#This Row],[SP Qty]] * 100) - SnapshotTable[[#This Row],[SP Premium]]),"")</f>
        <v/>
      </c>
      <c r="DC327" s="4"/>
      <c r="DD327" s="4"/>
      <c r="DE327" s="4" t="str">
        <f>IF(AND(SnapshotTable[[#This Row],[SP Qty]]&gt;0, SnapshotTable[[#This Row],[SP Stop To Use]]&gt;0),SnapshotTable[[#This Row],[SP Premium]] - ( SnapshotTable[[#This Row],[SP Qty]] * SnapshotTable[[#This Row],[SP Stop To Use]] * 100), "")</f>
        <v/>
      </c>
      <c r="DF327" s="31" t="str">
        <f>IF(AND(SnapshotTable[[#This Row],[SP Qty]]&gt;0,SnapshotTable[[#This Row],[SP Current Ask]]&gt;0), SnapshotTable[[#This Row],[SP Qty]] * SnapshotTable[[#This Row],[SP Current Ask]] * -100, "")</f>
        <v/>
      </c>
      <c r="DG327" s="31" t="str">
        <f>IF(ISNUMBER((SnapshotTable[[#This Row],[SP Total Value]])), SnapshotTable[[#This Row],[SP Premium]] + SnapshotTable[[#This Row],[SP Total Value]], "")</f>
        <v/>
      </c>
      <c r="DH327" s="294" t="str">
        <f>IF(ISNUMBER((SnapshotTable[[#This Row],[SP Total Value]])), SnapshotTable[[#This Row],[SP Gain Loss]] / SnapshotTable[[#This Row],[SP Premium]], "")</f>
        <v/>
      </c>
      <c r="DI327" s="406"/>
      <c r="DJ327" s="138"/>
      <c r="DK327" s="148"/>
      <c r="DL327" s="13"/>
      <c r="DM327" s="13"/>
      <c r="DO327" s="31">
        <f>IF(SnapshotTable[[#This Row],[LC Symbol Count]]=1, SnapshotTable[[#This Row],[LC Qty]] * SnapshotTable[[#This Row],[LC Book Price]] * 100, 0)</f>
        <v>0</v>
      </c>
      <c r="DP327" s="163" t="str">
        <f>IF(AND(SnapshotTable[[#This Row],[LC Exp Date]]&gt;0, SnapshotTable[[#This Row],[LC Strike Price]]&gt;0,SnapshotTable[[#This Row],[LC Qty]]&gt;0,SnapshotTable[[#This Row],[LC Book Date]]&gt;0,SnapshotTable[[#This Row],[LC Book Price]]&gt;0,SnapshotTable[[#This Row],[LC Fill Date]]=0),"Y","")</f>
        <v/>
      </c>
      <c r="DQ327" s="386" t="str">
        <f>IF(SnapshotTable[[#This Row],[LC Premium]] &gt; 0,SnapshotTable[[#This Row],[LC Exp Date]]-MAX(SnapshotTable[[#This Row],[LC Book Date]], SnapshotTable[[#This Row],[LC Fill Date]]),"")</f>
        <v/>
      </c>
      <c r="DR327" s="386" t="str">
        <f>IF(ISNUMBER(SnapshotTable[[#This Row],[LC Term]]), SnapshotTable[[#This Row],[LC Exp Date]] - MockToday, "")</f>
        <v/>
      </c>
      <c r="DS327" s="234" t="str">
        <f>IF(SnapshotTable[[#This Row],[LC Premium]]&gt;0,SnapshotTable[[#This Row],[LC Strike Price]] + SnapshotTable[[#This Row],[LC Book Price]],"")</f>
        <v/>
      </c>
      <c r="DU327" s="9" t="str">
        <f>IF(AND(SnapshotTable[[#This Row],[LC Symbol Count]]&gt;0, SnapshotTable[[#This Row],[LC Contract Value]]&gt;0), SnapshotTable[[#This Row],[LC Contract Value]] * SnapshotTable[[#This Row],[LC Qty]] * 100, "")</f>
        <v/>
      </c>
      <c r="DV327" s="9" t="str">
        <f>IF(AND(ISNUMBER(SnapshotTable[[#This Row],[LC Total Value]]), SnapshotTable[[#This Row],[LC Not Filled]]&lt;&gt;"Y"), SnapshotTable[[#This Row],[LC Total Value]]-SnapshotTable[[#This Row],[LC Premium]],"")</f>
        <v/>
      </c>
      <c r="DW327" s="240" t="str">
        <f>IF(ISNUMBER(SnapshotTable[[#This Row],[LC Actual Gain Loss]]), SnapshotTable[[#This Row],[LC Actual Gain Loss]] / SnapshotTable[[#This Row],[LC Premium]],"")</f>
        <v/>
      </c>
      <c r="DX327" s="284" t="str">
        <f>IF(ISNUMBER(SnapshotTable[[#This Row],[LC Book Price]]),SnapshotTable[[#This Row],[LC Book Price]] * 1.5,"")</f>
        <v/>
      </c>
      <c r="DY327" s="265" t="str">
        <f>IF(SnapshotTable[[#This Row],[LC Premium]]&gt;0, SnapshotTable[[#This Row],[LC Next Target]] * SnapshotTable[[#This Row],[LC Qty]] * 100,"")</f>
        <v/>
      </c>
      <c r="DZ327" s="265" t="str">
        <f>IF(ISNUMBER(SnapshotTable[[#This Row],[LC Target Gross]]), SnapshotTable[[#This Row],[LC Target Gross]] - SnapshotTable[[#This Row],[LC Premium]], "")</f>
        <v/>
      </c>
      <c r="EA327" s="305" t="str">
        <f>IF(ISNUMBER(SnapshotTable[[#This Row],[LC Target Gain Loss]]), SnapshotTable[[#This Row],[LC Target Gain Loss]]/SnapshotTable[[#This Row],[LC Premium]], "")</f>
        <v/>
      </c>
      <c r="EB327" s="262"/>
      <c r="EC327" s="283" t="str">
        <f>IF(SnapshotTable[[#This Row],[LC Premium]]&gt;0, SnapshotTable[[#This Row],[LC Book Price]] * (1 - LC_StopLoss_Pct),"")</f>
        <v/>
      </c>
      <c r="ED327" s="284"/>
      <c r="EE327" s="283" t="str">
        <f>IF(ISNUMBER(SnapshotTable[[#This Row],[LC Contract Value]]),IF(ISNUMBER(SnapshotTable[[#This Row],[LC Stop Loss Override]]), SnapshotTable[[#This Row],[LC Stop Loss Override]],SnapshotTable[[#This Row],[LC Stop Loss Calc Target]]),"")</f>
        <v/>
      </c>
      <c r="EF327" s="31" t="str">
        <f>IF(ISNUMBER(SnapshotTable[[#This Row],[LC Stop  To Use]]), (SnapshotTable[[#This Row],[LC Stop  To Use]] * SnapshotTable[[#This Row],[LC Qty]] * 100),"")</f>
        <v/>
      </c>
      <c r="EG327" s="9" t="str">
        <f>IF(ISNUMBER(SnapshotTable[[#This Row],[LC Total Value]]),SnapshotTable[[#This Row],[LC Stop Loss Amount]] - SnapshotTable[[#This Row],[LC Premium]],"")</f>
        <v/>
      </c>
      <c r="EH327" s="9">
        <f>IF(ISNUMBER(SnapshotTable[[#This Row],[LC Premium]]), SnapshotTable[[#This Row],[LC Qty]] * 100 * SnapshotTable[[#This Row],[LC Strike Price]], "")</f>
        <v>0</v>
      </c>
      <c r="EI327" s="240" t="str">
        <f>IF(AND(ISNUMBER(SnapshotTable[[#This Row],[LC Total Value]]),SnapshotTable[[#This Row],[LC Total Value]]&gt;0),SnapshotTable[[#This Row],[LC Stop Gain Loss]]  / SnapshotTable[[#This Row],[LC Premium]],"")</f>
        <v/>
      </c>
      <c r="EJ327" s="35">
        <f>IF(ISNUMBER(SnapshotTable[[#This Row],[Equity Shares]]),TRUNC(SnapshotTable[[#This Row],[Equity Shares]] / 100),0) + SnapshotTable[[#This Row],[LC Qty]]</f>
        <v>0</v>
      </c>
      <c r="EK327" s="147"/>
      <c r="EL327" s="138" t="str">
        <f>IF(SnapshotTable[[#This Row],[SC Exp Date]]&lt;&gt;"",TRUNC(SnapshotTable[[#This Row],[Last Price]]),"")</f>
        <v/>
      </c>
      <c r="EM327" s="148"/>
      <c r="EN327" s="147"/>
      <c r="EO327" s="147"/>
      <c r="EP327" s="138"/>
      <c r="EQ327" s="419" t="b">
        <f>AND(ISNUMBER(SnapshotTable[[#This Row],[SC Exp Date]]), ISNUMBER(SnapshotTable[[#This Row],[SC Strike Price]]), ISNUMBER(SnapshotTable[[#This Row],[SC Qty]]), ISNUMBER(SnapshotTable[[#This Row],[SC Book Date]]), ISNUMBER(SnapshotTable[[#This Row],[SC Book Price]]))</f>
        <v>0</v>
      </c>
      <c r="ER327" s="419" t="b">
        <f>AND(SnapshotTable[[#This Row],[SC Is Booked]], NOT(ISBLANK(SnapshotTable[[#This Row],[SC Fill Date]])))</f>
        <v>0</v>
      </c>
      <c r="ES327" s="370"/>
      <c r="ET327" s="34" t="str">
        <f>IF(AND(ISNUMBER(SnapshotTable[[#This Row],[SC Exp Date]]), ISNUMBER(SnapshotTable[[#This Row],[SC Book Date]])), SnapshotTable[[#This Row],[SC Exp Date]] - MAX(SnapshotTable[[#This Row],[SC Book Date]], SnapshotTable[[#This Row],[SC Fill Date]]) + 1, "")</f>
        <v/>
      </c>
      <c r="EU327" s="34" t="str">
        <f>IF(ISNUMBER(SnapshotTable[[#This Row],[SC Term]]), SnapshotTable[[#This Row],[SC Exp Date]]- MockToday, "")</f>
        <v/>
      </c>
      <c r="EV327" s="31">
        <f>IF(SnapshotTable[[#This Row],[SC Is Booked]], SnapshotTable[[#This Row],[SC Qty]] * SnapshotTable[[#This Row],[SC Book Price]] * 100, 0)</f>
        <v>0</v>
      </c>
      <c r="EW327" s="4" t="str">
        <f>IF(AND(ISNUMBER(SnapshotTable[[#This Row],[Last Price]]), ISNUMBER( SnapshotTable[[#This Row],[SC Book Price]])), SnapshotTable[[#This Row],[Last Price]] - SnapshotTable[[#This Row],[SC Book Price]],"")</f>
        <v/>
      </c>
      <c r="EX327" s="234" t="str">
        <f>IF(SnapshotTable[[#This Row],[SC Is Booked]],IF(SnapshotTable[[#This Row],[SC Intrinsic Value]] &gt; 0, SnapshotTable[[#This Row],[SC Strike Price]], SnapshotTable[[#This Row],[Last Price]]), "")</f>
        <v/>
      </c>
      <c r="EY327" s="4">
        <f>IF(SnapshotTable[[#This Row],[SC Is Booked]], (MinimumPremiumRequired * SnapshotTable[[#This Row],[SC Basis]] * SnapshotTable[[#This Row],[SC Term]]), 0)</f>
        <v>0</v>
      </c>
      <c r="EZ327" s="283"/>
      <c r="FA327" s="218"/>
      <c r="FB327" s="370"/>
      <c r="FC327" s="4">
        <f>IF(SnapshotTable[[#This Row],[SC Is Filled]], btc_max_buyback_amount(SnapshotTable[[#This Row],[SC Fill Date]],SnapshotTable[[#This Row],[SC Exp Date]], SnapshotTable[[#This Row],[SC Book Price]]),0)</f>
        <v>0</v>
      </c>
      <c r="FD327" s="5"/>
      <c r="FE327" s="144" t="str">
        <f>IF(SnapshotTable[[#This Row],[SC Is Filled]], btc_next_cutoff_date(SnapshotTable[[#This Row],[SC Fill Date]],SnapshotTable[[#This Row],[SC Exp Date]]),"")</f>
        <v/>
      </c>
      <c r="FF327" s="4" t="str" cm="1">
        <f t="array" ref="FF327">IF(SnapshotTable[[#This Row],[SC Is Filled]], btc_should_buy_back(SnapshotTable[[#This Row],[SC Fill Date]], SnapshotTable[[#This Row],[SC Exp Date]], SnapshotTable[[#This Row],[SC Book Price]], SnapshotTable[[#This Row],[SC Current Ask]], MockToday, SnapshotTable[[#This Row],[SC Buyback Override]]),"")</f>
        <v/>
      </c>
      <c r="FG327" s="4">
        <f>IF(SnapshotTable[[#This Row],[SC Is Filled]], MAX(0,SnapshotTable[[#This Row],[Last Price]]  - SnapshotTable[[#This Row],[SC Strike Price]]), 0)</f>
        <v>0</v>
      </c>
      <c r="FH327" s="382">
        <f>IF(SnapshotTable[[#This Row],[SC Is Filled]], IF(ISNUMBER(SnapshotTable[[#This Row],[SC Current Ask]]), SnapshotTable[[#This Row],[SC Current Ask]], SnapshotTable[[#This Row],[SC Book Price]]) - SnapshotTable[[#This Row],[SC Intrinsic Value]], 0)</f>
        <v>0</v>
      </c>
      <c r="FI327" s="143"/>
      <c r="FJ327" s="32" t="str">
        <f>IF(SnapshotTable[[#This Row],[SC Is Filled]],100 * SnapshotTable[[#This Row],[SC Qty]] * IF(ISNUMBER(SnapshotTable[[#This Row],[SC Buyback Override]]), SnapshotTable[[#This Row],[SC Buyback Override]], SnapshotTable[[#This Row],[SC Current Ask]]), "")</f>
        <v/>
      </c>
      <c r="FK327" s="250" t="str">
        <f>IF(SnapshotTable[[#This Row],[SC Time Val]]&gt;0, SnapshotTable[[#This Row],[SC Time Val]] / SnapshotTable[[#This Row],[Last Price]],"")</f>
        <v/>
      </c>
      <c r="FL327" s="302" t="str">
        <f>IF(SnapshotTable[[#This Row],[SC Is Booked]], ((SnapshotTable[[#This Row],[Last Price]] -SnapshotTable[[#This Row],[SC Strike Price]]) / SnapshotTable[[#This Row],[Last Price]]) * -1, "")</f>
        <v/>
      </c>
      <c r="FM327" s="157" t="str">
        <f>IF(SnapshotTable[[#This Row],[SC Is Booked]],  (SnapshotTable[[#This Row],[SC Qty]] * 100 * SnapshotTable[[#This Row],[SC Strike Price]]) - SnapshotTable[[#This Row],[SC Current Ask]], "")</f>
        <v/>
      </c>
      <c r="FN32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7" s="31" t="str">
        <f>IF(AND(ISNUMBER(SnapshotTable[[#This Row],[SC Exercise Gross]]), ISNUMBER(SnapshotTable[[#This Row],[Equity Basis Per Share]] )), SnapshotTable[[#This Row],[SC Exercise Gross]] - SnapshotTable[[#This Row],[Equity Basis Total]] +  SnapshotTable[[#This Row],[SC Premium]], "")</f>
        <v/>
      </c>
      <c r="FP327" s="5" t="str">
        <f>IF(ISNUMBER(SnapshotTable[[#This Row],[SC Exercise Gross]]), (SnapshotTable[[#This Row],[SC Exercise Gross]]) / (SnapshotTable[[#This Row],[SC Qty]] * 100), "")</f>
        <v/>
      </c>
      <c r="FQ327" s="27" t="str">
        <f>IF(SnapshotTable[[#This Row],[SC Is Booked]],SnapshotTable[[#This Row],[SC Time Val]] /SnapshotTable[[#This Row],[SC Basis]], "")</f>
        <v/>
      </c>
      <c r="FR327" s="27" t="str" cm="1">
        <f t="array" ref="FR327">IF(AND(ISNUMBER(SnapshotTable[[#This Row],[SC Term]]),ISNUMBER(SnapshotTable[[#This Row],[SC Simple ROO]])), EllmanAnnualize(SnapshotTable[[#This Row],[SC DTE]], SnapshotTable[[#This Row],[SC Simple ROO]] ),"")</f>
        <v/>
      </c>
      <c r="FS327" s="4" t="e">
        <f>IF(SnapshotTable[[#This Row],[SC Strike Price]] &gt; SnapshotTable[[#This Row],[Last Price]], SnapshotTable[[#This Row],[SC Strike Price]] - SnapshotTable[[#This Row],[Last Price]],0)</f>
        <v>#VALUE!</v>
      </c>
      <c r="FT327" s="27" t="e">
        <f>IF(AND(ISNUMBER(SnapshotTable[[#This Row],[SC Upside Potential]]), SnapshotTable[[#This Row],[SC Upside Potential]] &gt; 0),(SnapshotTable[[#This Row],[SC Upside Potential]]/ SnapshotTable[[#This Row],[ACB]]),"")</f>
        <v>#VALUE!</v>
      </c>
      <c r="FU327" s="333" t="str">
        <f>IF(SnapshotTable[[#This Row],[SC Intrinsic Value]] &gt; 0,SnapshotTable[[#This Row],[SC Intrinsic Value]],"")</f>
        <v/>
      </c>
      <c r="FV327" s="27" t="str">
        <f>IF(AND( ISNUMBER( SnapshotTable[[#This Row],[ACB]]),ISNUMBER(SnapshotTable[[#This Row],[SC Downside Protect]])),SnapshotTable[[#This Row],[SC Downside Protect]] / SnapshotTable[[#This Row],[ACB]],"")</f>
        <v/>
      </c>
      <c r="FW327" s="236" t="str">
        <f>IF(AND(ISNUMBER(SnapshotTable[[#This Row],[SC Simple ROO]]),SnapshotTable[[#This Row],[SC Simple ROO]] &gt; 0), SnapshotTable[[#This Row],[SC Premium]] + (SnapshotTable[[#This Row],[SC Qty]] * SnapshotTable[[#This Row],[SC Upside Potential]]), "")</f>
        <v/>
      </c>
      <c r="FX327" s="302" t="str" cm="1">
        <f t="array" ref="FX327">IF(ISNUMBER(SnapshotTable[[#This Row],[SC Max Dollars]]), annualize(SnapshotTable[[#This Row],[SC Term]],(SnapshotTable[[#This Row],[SC Max Dollars]]/SnapshotTable[[#This Row],[SC Basis]])),"")</f>
        <v/>
      </c>
      <c r="FY327" s="236" t="str">
        <f>IF(AND(SnapshotTable[[#This Row],[SC Qty]]&gt;0,SnapshotTable[[#This Row],[SC Current Ask]]&gt;0), SnapshotTable[[#This Row],[SC Qty]] * SnapshotTable[[#This Row],[SC Current Ask]] * -100, "")</f>
        <v/>
      </c>
      <c r="FZ327" s="31" t="str">
        <f>IF(ISNUMBER((SnapshotTable[[#This Row],[SC Current Value]])), SnapshotTable[[#This Row],[SC Premium]] + SnapshotTable[[#This Row],[SC Current Value]], "")</f>
        <v/>
      </c>
      <c r="GA327" s="294" t="str">
        <f>IFERROR( IF(ISNUMBER((SnapshotTable[[#This Row],[SC Current Value]])), SnapshotTable[[#This Row],[SC Gain Loss]] / SnapshotTable[[#This Row],[SC Premium]], ""), "")</f>
        <v/>
      </c>
      <c r="GB327" s="42">
        <f>SnapshotTable[[#This Row],[Equity Shares]] * SaleSharesToConsiderPercentage</f>
        <v>0</v>
      </c>
      <c r="GC327" s="40">
        <f>SnapshotTable[[#This Row],[Long Term Target]] * SellingPriceToConsiderBasedOnTargetPercentage</f>
        <v>163.81799999999998</v>
      </c>
      <c r="GD327" s="40">
        <f>SnapshotTable[[#This Row],[Last Price]] * (1+ SellingPriceToConsiderBasedOnTargetPercentage)</f>
        <v>225.88800000000001</v>
      </c>
      <c r="GE327" s="41"/>
      <c r="GF327" s="40"/>
      <c r="GG327" s="31">
        <f>SnapshotTable[[#This Row],[Booked Sale Shares]] * SnapshotTable[[#This Row],[Booked Sale Price]]</f>
        <v>0</v>
      </c>
      <c r="GH327" s="31" t="str">
        <f>IF(SnapshotTable[[#This Row],[Equity Basis Total]] &gt; 0, SnapshotTable[[#This Row],[Equity Basis Per Share]] * SnapshotTable[[#This Row],[Booked Sale Shares]], "")</f>
        <v/>
      </c>
      <c r="GI327" s="31">
        <f>IF(SnapshotTable[[#This Row],[Sale Proceeds]]&gt;0, SnapshotTable[[#This Row],[Sale Proceeds]] - SnapshotTable[[#This Row],[Sale Basis]], 0)</f>
        <v>0</v>
      </c>
      <c r="GJ327" s="27" t="str">
        <f>IF(SnapshotTable[[#This Row],[Sale G/L]]&gt;0, SnapshotTable[[#This Row],[Sale G/L]] / SnapshotTable[[#This Row],[Sale Basis]], IF(ISNUMBER(SnapshotTable[[#This Row],[SC Exercise P&amp;L (TAX)]]), SnapshotTable[[#This Row],[SC Exercise P&amp;L (TAX)]] / SnapshotTable[[#This Row],[SC Basis]], ""))</f>
        <v/>
      </c>
      <c r="GK327" s="27" t="s">
        <v>782</v>
      </c>
      <c r="GL327" s="43" t="str">
        <f>IF(AND(SnapshotTable[[#This Row],[LP Exp Date]]&gt;0,SnapshotTable[[#This Row],[LP Strike Price]]&gt;0), [1]!ToOptionSymbol(SnapshotTable[[#This Row],[Symbol]], SnapshotTable[[#This Row],[LP Strike Price]],SnapshotTable[[#This Row],[LP Exp Date]],1), "")</f>
        <v/>
      </c>
      <c r="GM327" s="30" t="str">
        <f>IF(LEN(SnapshotTable[[#This Row],[LP Symbol]])&gt;0, 1, "")</f>
        <v/>
      </c>
      <c r="GN327" s="43" t="str">
        <f>IF(AND(SnapshotTable[[#This Row],[SP Exp Date]]&gt;0,SnapshotTable[[#This Row],[SP Strike Price]]&gt;0), [1]!ToOptionSymbol(SnapshotTable[[#This Row],[Symbol]], SnapshotTable[[#This Row],[SP Strike Price]],SnapshotTable[[#This Row],[SP Exp Date]],1), "")</f>
        <v/>
      </c>
      <c r="GO327" s="30" t="str">
        <f>IF(LEN(SnapshotTable[[#This Row],[SP Symbol]])&gt;0, 1, "")</f>
        <v/>
      </c>
      <c r="GP327" s="43" t="str">
        <f>IF(AND(SnapshotTable[[#This Row],[LC Exp Date]]&gt;0,SnapshotTable[[#This Row],[LC Strike Price]]&gt;0), [1]!ToOptionSymbol(SnapshotTable[[#This Row],[Symbol]], SnapshotTable[[#This Row],[LC Strike Price]],SnapshotTable[[#This Row],[LC Exp Date]],0), "")</f>
        <v/>
      </c>
      <c r="GQ327" s="30" t="str">
        <f>IF(LEN(SnapshotTable[[#This Row],[LC Symbol]])&gt;0, 1, "")</f>
        <v/>
      </c>
      <c r="GR327" s="43" t="str">
        <f>IF(AND(SnapshotTable[[#This Row],[SC Exp Date]]&gt;0,SnapshotTable[[#This Row],[SC Strike Price]]&gt;0), [1]!ToOptionSymbol(SnapshotTable[[#This Row],[Symbol]], SnapshotTable[[#This Row],[SC Strike Price]],SnapshotTable[[#This Row],[SC Exp Date]],0), "")</f>
        <v/>
      </c>
      <c r="GS327" s="30" t="str">
        <f>IF(LEN(SnapshotTable[[#This Row],[SC Symbol]])&gt;0, 1, "")</f>
        <v/>
      </c>
      <c r="GT327" s="29" t="str">
        <f>IF(COUNT(SnapshotTable[[#This Row],[LP Symbol Count]],SnapshotTable[[#This Row],[SP Symbol Count]],SnapshotTable[[#This Row],[LC Symbol Count]],SnapshotTable[[#This Row],[SC Symbol Count]])&gt;0, "Y", "")</f>
        <v/>
      </c>
      <c r="GU32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7" s="231" t="e">
        <f>MAX(SnapshotTable[[#This Row],[Equity Basis Total]],SnapshotTable[[#This Row],[Equity Value]]) + (SnapshotTable[[#This Row],[SP Potential Spend]]- SnapshotTable[[#This Row],[SP Premium]] + SnapshotTable[[#This Row],[LP Premium]])+ (SnapshotTable[[#This Row],[LC Premium]] - SnapshotTable[[#This Row],[SC Premium]])</f>
        <v>#VALUE!</v>
      </c>
      <c r="GW327" s="139" t="e">
        <f>IF(AND(SnapshotTable[[#This Row],[Exposure]] &lt;&gt; 0),SnapshotTable[[#This Row],[Exposure]] / SnapshotTable[[#Totals],[Exposure]], "")</f>
        <v>#VALUE!</v>
      </c>
      <c r="HK327" s="1"/>
      <c r="HL327" s="1"/>
      <c r="HM327" s="1"/>
      <c r="HN327" s="1"/>
      <c r="HO327" s="1"/>
      <c r="HP327" s="1"/>
    </row>
    <row r="328" spans="2:224" ht="12.75" hidden="1" customHeight="1" x14ac:dyDescent="0.25">
      <c r="B328" s="12" t="s">
        <v>1205</v>
      </c>
      <c r="C328" s="422">
        <v>40.97</v>
      </c>
      <c r="D328" s="208"/>
      <c r="E328" s="39">
        <f>SnapshotTable[[#This Row],[Last Price]]*(1 -CrashDiscount)</f>
        <v>34.8245</v>
      </c>
      <c r="F328" s="325" t="s">
        <v>5</v>
      </c>
      <c r="G328" s="325" t="s">
        <v>4</v>
      </c>
      <c r="H328" s="149"/>
      <c r="I328" s="194"/>
      <c r="J328" s="195"/>
      <c r="K328" s="196"/>
      <c r="L328" s="326"/>
      <c r="M328" s="140"/>
      <c r="N328" s="140"/>
      <c r="O328" s="140"/>
      <c r="P328" s="22"/>
      <c r="Q328" s="25"/>
      <c r="R328" s="4" t="str">
        <f>IF(SnapshotTable[[#This Row],[Equity Basis Total]] &gt; 0, SnapshotTable[[#This Row],[Equity Basis Total]] / SnapshotTable[[#This Row],[Equity Shares]], "")</f>
        <v/>
      </c>
      <c r="S328" s="269">
        <f>SnapshotTable[[#This Row],[Last Price]] * SnapshotTable[[#This Row],[Equity Shares]]</f>
        <v>0</v>
      </c>
      <c r="T328" s="269">
        <f>SnapshotTable[[#This Row],[Equity Value]] - SnapshotTable[[#This Row],[Equity Basis Total]]</f>
        <v>0</v>
      </c>
      <c r="U328" s="270" t="str">
        <f>IF(SnapshotTable[[#This Row],[Equity Basis Total]] &gt; 0, SnapshotTable[[#This Row],[Equity G/L]] / SnapshotTable[[#This Row],[Equity Basis Total]], "")</f>
        <v/>
      </c>
      <c r="V328" s="268"/>
      <c r="W328" s="268"/>
      <c r="X328" s="4" t="str">
        <f>IF(AND(ISNUMBER(SnapshotTable[[#This Row],[Equity Basis Per Share]]),ISNUMBER(SnapshotTable[[#This Row],[Equity Target]])),SnapshotTable[[#This Row],[Equity Target]]-SnapshotTable[[#This Row],[Equity Basis Per Share]],"")</f>
        <v/>
      </c>
      <c r="Y328" s="4" t="str">
        <f>IF(AND(ISNUMBER(SnapshotTable[[#This Row],[Equity Basis Per Share]]),ISNUMBER(SnapshotTable[[#This Row],[Equity Stop Loss]])),SnapshotTable[[#This Row],[Equity Stop Loss]]-SnapshotTable[[#This Row],[Equity Basis Per Share]],"")</f>
        <v/>
      </c>
      <c r="Z328" s="275" t="str">
        <f>IFERROR( TEXT(SnapshotTable[[#This Row],[Equity Max Gain Per Share]] /ABS( SnapshotTable[[#This Row],[Equity Max Loss Per Share]]),"0.0 " ) &amp; " : 1", "")</f>
        <v/>
      </c>
      <c r="AA328" s="31" t="str">
        <f>IF(ISNUMBER(SnapshotTable[[#This Row],[Equity Max Gain Per Share]]),SnapshotTable[[#This Row],[Equity Max Gain Per Share]] * SnapshotTable[[#This Row],[Equity Shares]],"")</f>
        <v/>
      </c>
      <c r="AB328" s="31" t="str">
        <f>IF(ISNUMBER(SnapshotTable[[#This Row],[Equity Max Loss Per Share]]),SnapshotTable[[#This Row],[Equity Max Loss Per Share]] * SnapshotTable[[#This Row],[Equity Shares]],"")</f>
        <v/>
      </c>
      <c r="AC328" s="150"/>
      <c r="AD328" s="151"/>
      <c r="AE328" s="31">
        <f>(SnapshotTable[[#This Row],[Annual Dividend Per Share]] / 4) * SnapshotTable[[#This Row],[Equity Shares]]</f>
        <v>0</v>
      </c>
      <c r="AF328" s="31">
        <f>SnapshotTable[[#This Row],[Quarterly Div $]] * 4</f>
        <v>0</v>
      </c>
      <c r="AG328" s="7">
        <f>IF(SnapshotTable[[#This Row],[Annual Dividend Per Share]]&gt;0, SnapshotTable[[#This Row],[Annual Dividend Per Share]]  / SnapshotTable[[#This Row],[Last Price]], 0)</f>
        <v>0</v>
      </c>
      <c r="AH328" s="151"/>
      <c r="AI328" s="5"/>
      <c r="AJ328" s="138"/>
      <c r="AK328" s="152" t="str">
        <f>IF(ISNUMBER( SnapshotTable[[#This Row],[EBF Target]]),(SnapshotTable[[#This Row],[EBF Target]] - SnapshotTable[[#This Row],[Last Price]]) / SnapshotTable[[#This Row],[Last Price]], "")</f>
        <v/>
      </c>
      <c r="AL328" s="152" t="str">
        <f>IF(AND(SnapshotTable[[#This Row],[Equity Basis Total]] &gt; 0,ISNUMBER( SnapshotTable[[#This Row],[Long Term Target]])), SnapshotTable[[#This Row],[From Basis $]] / SnapshotTable[[#This Row],[Equity Basis Total]], "")</f>
        <v/>
      </c>
      <c r="AM328" s="9">
        <f>IF( AND(SnapshotTable[[#This Row],[Equity Shares]] &gt;0,ISNUMBER( SnapshotTable[[#This Row],[Long Term Target]])),(SnapshotTable[[#This Row],[Equity Shares]] * SnapshotTable[[#This Row],[Long Term Target]]) - SnapshotTable[[#This Row],[Equity Basis Total]],0)</f>
        <v>0</v>
      </c>
      <c r="AN328" s="9">
        <f>IF( AND(SnapshotTable[[#This Row],[Equity Shares]] &gt;0,ISNUMBER( SnapshotTable[[#This Row],[Long Term Target]])),(SnapshotTable[[#This Row],[Equity Shares]]*SnapshotTable[[#This Row],[Long Term Target]]) - SnapshotTable[[#This Row],[Equity Value]],0)</f>
        <v>0</v>
      </c>
      <c r="AO328" s="152" t="str">
        <f>IF(AND(ISNUMBER( SnapshotTable[[#This Row],[Long Term Target]]), ISNUMBER(SnapshotTable[[#This Row],[Last Price]])),(SnapshotTable[[#This Row],[Long Term Target]] - SnapshotTable[[#This Row],[Last Price]]) / SnapshotTable[[#This Row],[Last Price]], "")</f>
        <v/>
      </c>
      <c r="AP328" s="5">
        <v>26.25</v>
      </c>
      <c r="AQ328" s="38" t="s">
        <v>46</v>
      </c>
      <c r="AR328" s="5">
        <v>26.24</v>
      </c>
      <c r="AS328" s="38" t="s">
        <v>45</v>
      </c>
      <c r="AT328" s="146" t="s">
        <v>575</v>
      </c>
      <c r="AU328" s="187" t="str">
        <f>IF(OR(SnapshotTable[[#This Row],[LP No Fill]]="Y",SnapshotTable[[#This Row],[SP Is Filled]],SnapshotTable[[#This Row],[LC Not Filled]]="Y",SnapshotTable[[#This Row],[SC Is Filled]]),"Y","")</f>
        <v/>
      </c>
      <c r="AV328" s="219"/>
      <c r="AW328" s="225"/>
      <c r="AX328" s="220"/>
      <c r="AY328" s="219" t="str">
        <f>IF(SnapshotTable[[#This Row],[Implied Move]]&gt;0, SnapshotTable[[#This Row],[Last Price]]-SnapshotTable[[#This Row],[Implied Move]],"")</f>
        <v/>
      </c>
      <c r="AZ328" s="219" t="str">
        <f>IF(SnapshotTable[[#This Row],[Implied Move]]&gt;0, SnapshotTable[[#This Row],[Last Price]] + SnapshotTable[[#This Row],[Implied Move]],"")</f>
        <v/>
      </c>
      <c r="BA328" s="331">
        <v>24.81</v>
      </c>
      <c r="BB328" s="347"/>
      <c r="BC32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8" s="351"/>
      <c r="BE328" s="5"/>
      <c r="BF328" s="14"/>
      <c r="BG328" s="13"/>
      <c r="BH328" s="13"/>
      <c r="BI328" s="5"/>
      <c r="BJ328" s="136">
        <f>IF(SnapshotTable[[#This Row],[LP Qty]] &gt; 0, SnapshotTable[[#This Row],[LP Qty]] * SnapshotTable[[#This Row],[LP Book Price]] * 100,0)</f>
        <v>0</v>
      </c>
      <c r="BK328" s="136">
        <f>IF(SnapshotTable[[#This Row],[LP Premium]] &gt; 0, SnapshotTable[[#This Row],[LP Qty]] * SnapshotTable[[#This Row],[LP Strike Price]] * 100,0)</f>
        <v>0</v>
      </c>
      <c r="BL328" s="154"/>
      <c r="BM328" s="385" t="str">
        <f>IF(SnapshotTable[[#This Row],[LP Premium]] &gt; 0,SnapshotTable[[#This Row],[LP Exp Date]]-MAX(SnapshotTable[[#This Row],[LP Book Date]], SnapshotTable[[#This Row],[LP Fill Date]]),"")</f>
        <v/>
      </c>
      <c r="BN328" s="385" t="str">
        <f>IF(ISNUMBER( SnapshotTable[[#This Row],[LP Term]]), SnapshotTable[[#This Row],[LP Exp Date]] - MockToday,"")</f>
        <v/>
      </c>
      <c r="BO328" s="163" t="str">
        <f>IF(AND(SnapshotTable[[#This Row],[LP Exp Date]]&gt;0, SnapshotTable[[#This Row],[LP Strike Price]]&gt;0,SnapshotTable[[#This Row],[LP Qty]]&gt;0,SnapshotTable[[#This Row],[LP Book Date]]&gt;0,SnapshotTable[[#This Row],[LP Book Price]]&gt;0,SnapshotTable[[#This Row],[LP Fill Date]]=0),"Y","")</f>
        <v/>
      </c>
      <c r="BP328" s="31" t="str">
        <f>IF(AND(SnapshotTable[[#This Row],[LP No Fill]]&lt;&gt;"Y",SnapshotTable[[#This Row],[LP Contract Value]]&gt;0, SnapshotTable[[#This Row],[LP Qty]]&gt;0), SnapshotTable[[#This Row],[LP Contract Value]]*SnapshotTable[[#This Row],[LP Qty]]*100,"")</f>
        <v/>
      </c>
      <c r="BQ328" s="13"/>
      <c r="BR328" s="5" t="str">
        <f>IF(SnapshotTable[[#This Row],[SP Exp Date]]&lt;&gt;"",TRUNC(SnapshotTable[[#This Row],[Last Price]]),"")</f>
        <v/>
      </c>
      <c r="BS328" s="36"/>
      <c r="BT328" s="147"/>
      <c r="BU328" s="13"/>
      <c r="BV328" s="5"/>
      <c r="BW328" s="419" t="b">
        <f>AND(ISNUMBER(SnapshotTable[[#This Row],[SP Exp Date]]), ISNUMBER(SnapshotTable[[#This Row],[SP Strike Price]]), ISNUMBER(SnapshotTable[[#This Row],[SP Qty]]), ISNUMBER(SnapshotTable[[#This Row],[SP Book Date]]), ISNUMBER(SnapshotTable[[#This Row],[SP Book Price]]))</f>
        <v>0</v>
      </c>
      <c r="BX328" s="419" t="b">
        <f>AND(SnapshotTable[[#This Row],[SP Is Booked]], NOT(ISBLANK(SnapshotTable[[#This Row],[SP Fill Date]])))</f>
        <v>0</v>
      </c>
      <c r="BY328" s="33">
        <f>IF(SnapshotTable[[#This Row],[SP Is Booked]], SnapshotTable[[#This Row],[SP Qty]] * SnapshotTable[[#This Row],[SP Book Price]] * 100, 0)</f>
        <v>0</v>
      </c>
      <c r="BZ328" s="369"/>
      <c r="CA328" s="368">
        <f>SnapshotTable[[#This Row],[LP Qty]]</f>
        <v>0</v>
      </c>
      <c r="CB328" s="4" t="str">
        <f>IF(SnapshotTable[[#This Row],[SP Is Booked]], SnapshotTable[[#This Row],[SP Strike Price]] - SnapshotTable[[#This Row],[SP Book Price]], "")</f>
        <v/>
      </c>
      <c r="CC328" s="19" t="str">
        <f>IF(SnapshotTable[[#This Row],[SP Is Booked]],SnapshotTable[[#This Row],[SP Exp Date]]-MAX(SnapshotTable[[#This Row],[SP Book Date]], SnapshotTable[[#This Row],[SP Fill Date]]),"")</f>
        <v/>
      </c>
      <c r="CD328" s="7" t="str">
        <f>IF(SnapshotTable[[#This Row],[SP Is Booked]], SnapshotTable[[#This Row],[SP Book Price]]/SnapshotTable[[#This Row],[SP Strike Price]], "")</f>
        <v/>
      </c>
      <c r="CE328" s="7" t="str">
        <f>IF(ISNUMBER(SnapshotTable[[#This Row],[SP ROO Term]]),SnapshotTable[[#This Row],[SP ROO Term]]*(365/SnapshotTable[[#This Row],[SP Term]]),"")</f>
        <v/>
      </c>
      <c r="CF328" s="236">
        <f>SnapshotTable[[#This Row],[LP Strike Price]] * SnapshotTable[[#This Row],[LP Qty]] * 100</f>
        <v>0</v>
      </c>
      <c r="CG328" s="31" t="e">
        <f>IF(ISNUMBER(SnapshotTable[[#This Row],[SP Premium]]), (SnapshotTable[[#This Row],[SP Qty]] * SnapshotTable[[#This Row],[SP Strike Price]]* 100) - SnapshotTable[[#This Row],[LP Protection]], 0)</f>
        <v>#VALUE!</v>
      </c>
      <c r="CH328" s="7" t="str">
        <f>IF(ISNUMBER(SnapshotTable[[#This Row],[SP Break Even]]),-1 * (SnapshotTable[[#This Row],[SP Break Even]] - SnapshotTable[[#This Row],[Last Price]]) / SnapshotTable[[#This Row],[Last Price]], "")</f>
        <v/>
      </c>
      <c r="CI328" s="31">
        <f>IF(AND(ISNUMBER((SnapshotTable[[#This Row],[SP Potential Spend]])), SnapshotTable[[#This Row],[SP Strike Price]] &gt; SnapshotTable[[#This Row],[Last Price]], SnapshotTable[[#This Row],[SP Is Filled]]), SnapshotTable[[#This Row],[SP Potential Spend]] -  SnapshotTable[[#This Row],[LP Max Value]], 0)</f>
        <v>0</v>
      </c>
      <c r="CJ328" s="244"/>
      <c r="CK328" s="31" t="str">
        <f>IF(ISNUMBER(SnapshotTable[[#This Row],[SP Potential Spend]]),IF(ISNUMBER(SnapshotTable[[#This Row],[SP POW]]), SnapshotTable[[#This Row],[SP POW]] * SnapshotTable[[#This Row],[SP Potential Spend]], SnapshotTable[[#This Row],[SP Potential Spend]]), "")</f>
        <v/>
      </c>
      <c r="CL328" s="164" t="e">
        <f>IF(NOT(SnapshotTable[[#This Row],[SP Is Filled]]),(SnapshotTable[[#This Row],[SP Qty]] * SnapshotTable[[#This Row],[SP Strike Price]] * 100) - SnapshotTable[[#This Row],[LP Max Value]],"")</f>
        <v>#VALUE!</v>
      </c>
      <c r="CM328" s="31" t="str">
        <f>IF(SnapshotTable[[#This Row],[SP Actual Spend]]&lt;&gt;0, ((SnapshotTable[[#This Row],[SP Strike Price]]-SnapshotTable[[#This Row],[Last Price]]) *(SnapshotTable[[#This Row],[SP Qty]]*100) - SnapshotTable[[#This Row],[SP Premium]]) * - 1, "")</f>
        <v/>
      </c>
      <c r="CN328" s="78"/>
      <c r="CO328" s="369"/>
      <c r="CP328" s="4" t="str">
        <f>IF(SnapshotTable[[#This Row],[SP Is Filled]], btc_max_buyback_amount(SnapshotTable[[#This Row],[SP Fill Date]],SnapshotTable[[#This Row],[SP Exp Date]], SnapshotTable[[#This Row],[SP Book Price]]),"")</f>
        <v/>
      </c>
      <c r="CQ328" s="78"/>
      <c r="CR32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8" s="155" t="str">
        <f>IF(SnapshotTable[[#This Row],[SP Is Filled]], btc_next_cutoff_date(SnapshotTable[[#This Row],[SP Fill Date]],SnapshotTable[[#This Row],[SP Exp Date]]),"")</f>
        <v/>
      </c>
      <c r="CT328" s="235" t="str" cm="1">
        <f t="array" ref="CT328">IF(SnapshotTable[[#This Row],[SP Is Filled]], btc_should_buy_back(SnapshotTable[[#This Row],[SP Fill Date]], SnapshotTable[[#This Row],[SP Exp Date]], SnapshotTable[[#This Row],[SP Book Price]], SnapshotTable[[#This Row],[SP Current Ask]], MockToday, SnapshotTable[[#This Row],[SP Buyback Override]]),"")</f>
        <v/>
      </c>
      <c r="CU328" s="143"/>
      <c r="CV328" s="235"/>
      <c r="CW328" s="378" t="str">
        <f>IF(ISNUMBER( SnapshotTable[[#This Row],[SP Term]]), SnapshotTable[[#This Row],[SP Exp Date]] - MockToday,"")</f>
        <v/>
      </c>
      <c r="CX328" s="31" t="str">
        <f>IF(SnapshotTable[[#This Row],[SP Is Filled]],SnapshotTable[[#This Row],[SP Buyback Price to Use]] * 100 * SnapshotTable[[#This Row],[SP Qty]], "")</f>
        <v/>
      </c>
      <c r="CY328" s="4" t="str">
        <f>IF(ISNUMBER(SnapshotTable[[#This Row],[SP Strike Price]]), SnapshotTable[[#This Row],[SP Strike Price]] * (1 - SP_MaxLoss_StrikePct), "")</f>
        <v/>
      </c>
      <c r="CZ328" s="31" t="str">
        <f>IF(ISNUMBER(SnapshotTable[[#This Row],[SP Strike  Stop Per Share]]),SnapshotTable[[#This Row],[SP Premium]] - ((SnapshotTable[[#This Row],[SP Strike Price]]-SnapshotTable[[#This Row],[SP Strike  Stop Per Share]]) *(SnapshotTable[[#This Row],[SP Qty]] * 100)),"")</f>
        <v/>
      </c>
      <c r="DA328" s="4" t="str">
        <f>IF(AND(ISNUMBER(SnapshotTable[[#This Row],[SP Premium]]),SnapshotTable[[#This Row],[SP Premium]]&gt;0), SnapshotTable[[#This Row],[SP Book Price]] * (1 + SP_MaxLoss_OptionPct), "")</f>
        <v/>
      </c>
      <c r="DB328" s="31" t="str">
        <f>IF(ISNUMBER(SnapshotTable[[#This Row],[SP Option  Stop Contract]]),(SnapshotTable[[#This Row],[SP Option  Stop Contract]] *(SnapshotTable[[#This Row],[SP Qty]] * 100) - SnapshotTable[[#This Row],[SP Premium]]),"")</f>
        <v/>
      </c>
      <c r="DC328" s="4"/>
      <c r="DD328" s="4"/>
      <c r="DE328" s="4" t="str">
        <f>IF(AND(SnapshotTable[[#This Row],[SP Qty]]&gt;0, SnapshotTable[[#This Row],[SP Stop To Use]]&gt;0),SnapshotTable[[#This Row],[SP Premium]] - ( SnapshotTable[[#This Row],[SP Qty]] * SnapshotTable[[#This Row],[SP Stop To Use]] * 100), "")</f>
        <v/>
      </c>
      <c r="DF328" s="31" t="str">
        <f>IF(AND(SnapshotTable[[#This Row],[SP Qty]]&gt;0,SnapshotTable[[#This Row],[SP Current Ask]]&gt;0), SnapshotTable[[#This Row],[SP Qty]] * SnapshotTable[[#This Row],[SP Current Ask]] * -100, "")</f>
        <v/>
      </c>
      <c r="DG328" s="31" t="str">
        <f>IF(ISNUMBER((SnapshotTable[[#This Row],[SP Total Value]])), SnapshotTable[[#This Row],[SP Premium]] + SnapshotTable[[#This Row],[SP Total Value]], "")</f>
        <v/>
      </c>
      <c r="DH328" s="294" t="str">
        <f>IF(ISNUMBER((SnapshotTable[[#This Row],[SP Total Value]])), SnapshotTable[[#This Row],[SP Gain Loss]] / SnapshotTable[[#This Row],[SP Premium]], "")</f>
        <v/>
      </c>
      <c r="DI328" s="406"/>
      <c r="DJ328" s="138"/>
      <c r="DK328" s="148"/>
      <c r="DL328" s="13"/>
      <c r="DM328" s="13"/>
      <c r="DO328" s="31">
        <f>IF(SnapshotTable[[#This Row],[LC Symbol Count]]=1, SnapshotTable[[#This Row],[LC Qty]] * SnapshotTable[[#This Row],[LC Book Price]] * 100, 0)</f>
        <v>0</v>
      </c>
      <c r="DP328" s="163" t="str">
        <f>IF(AND(SnapshotTable[[#This Row],[LC Exp Date]]&gt;0, SnapshotTable[[#This Row],[LC Strike Price]]&gt;0,SnapshotTable[[#This Row],[LC Qty]]&gt;0,SnapshotTable[[#This Row],[LC Book Date]]&gt;0,SnapshotTable[[#This Row],[LC Book Price]]&gt;0,SnapshotTable[[#This Row],[LC Fill Date]]=0),"Y","")</f>
        <v/>
      </c>
      <c r="DQ328" s="386" t="str">
        <f>IF(SnapshotTable[[#This Row],[LC Premium]] &gt; 0,SnapshotTable[[#This Row],[LC Exp Date]]-MAX(SnapshotTable[[#This Row],[LC Book Date]], SnapshotTable[[#This Row],[LC Fill Date]]),"")</f>
        <v/>
      </c>
      <c r="DR328" s="386" t="str">
        <f>IF(ISNUMBER(SnapshotTable[[#This Row],[LC Term]]), SnapshotTable[[#This Row],[LC Exp Date]] - MockToday, "")</f>
        <v/>
      </c>
      <c r="DS328" s="234" t="str">
        <f>IF(SnapshotTable[[#This Row],[LC Premium]]&gt;0,SnapshotTable[[#This Row],[LC Strike Price]] + SnapshotTable[[#This Row],[LC Book Price]],"")</f>
        <v/>
      </c>
      <c r="DU328" s="9" t="str">
        <f>IF(AND(SnapshotTable[[#This Row],[LC Symbol Count]]&gt;0, SnapshotTable[[#This Row],[LC Contract Value]]&gt;0), SnapshotTable[[#This Row],[LC Contract Value]] * SnapshotTable[[#This Row],[LC Qty]] * 100, "")</f>
        <v/>
      </c>
      <c r="DV328" s="9" t="str">
        <f>IF(AND(ISNUMBER(SnapshotTable[[#This Row],[LC Total Value]]), SnapshotTable[[#This Row],[LC Not Filled]]&lt;&gt;"Y"), SnapshotTable[[#This Row],[LC Total Value]]-SnapshotTable[[#This Row],[LC Premium]],"")</f>
        <v/>
      </c>
      <c r="DW328" s="240" t="str">
        <f>IF(ISNUMBER(SnapshotTable[[#This Row],[LC Actual Gain Loss]]), SnapshotTable[[#This Row],[LC Actual Gain Loss]] / SnapshotTable[[#This Row],[LC Premium]],"")</f>
        <v/>
      </c>
      <c r="DX328" s="284" t="str">
        <f>IF(ISNUMBER(SnapshotTable[[#This Row],[LC Book Price]]),SnapshotTable[[#This Row],[LC Book Price]] * 1.5,"")</f>
        <v/>
      </c>
      <c r="DY328" s="265" t="str">
        <f>IF(SnapshotTable[[#This Row],[LC Premium]]&gt;0, SnapshotTable[[#This Row],[LC Next Target]] * SnapshotTable[[#This Row],[LC Qty]] * 100,"")</f>
        <v/>
      </c>
      <c r="DZ328" s="265" t="str">
        <f>IF(ISNUMBER(SnapshotTable[[#This Row],[LC Target Gross]]), SnapshotTable[[#This Row],[LC Target Gross]] - SnapshotTable[[#This Row],[LC Premium]], "")</f>
        <v/>
      </c>
      <c r="EA328" s="305" t="str">
        <f>IF(ISNUMBER(SnapshotTable[[#This Row],[LC Target Gain Loss]]), SnapshotTable[[#This Row],[LC Target Gain Loss]]/SnapshotTable[[#This Row],[LC Premium]], "")</f>
        <v/>
      </c>
      <c r="EB328" s="262"/>
      <c r="EC328" s="283" t="str">
        <f>IF(SnapshotTable[[#This Row],[LC Premium]]&gt;0, SnapshotTable[[#This Row],[LC Book Price]] * (1 - LC_StopLoss_Pct),"")</f>
        <v/>
      </c>
      <c r="ED328" s="284"/>
      <c r="EE328" s="283" t="str">
        <f>IF(ISNUMBER(SnapshotTable[[#This Row],[LC Contract Value]]),IF(ISNUMBER(SnapshotTable[[#This Row],[LC Stop Loss Override]]), SnapshotTable[[#This Row],[LC Stop Loss Override]],SnapshotTable[[#This Row],[LC Stop Loss Calc Target]]),"")</f>
        <v/>
      </c>
      <c r="EF328" s="31" t="str">
        <f>IF(ISNUMBER(SnapshotTable[[#This Row],[LC Stop  To Use]]), (SnapshotTable[[#This Row],[LC Stop  To Use]] * SnapshotTable[[#This Row],[LC Qty]] * 100),"")</f>
        <v/>
      </c>
      <c r="EG328" s="9" t="str">
        <f>IF(ISNUMBER(SnapshotTable[[#This Row],[LC Total Value]]),SnapshotTable[[#This Row],[LC Stop Loss Amount]] - SnapshotTable[[#This Row],[LC Premium]],"")</f>
        <v/>
      </c>
      <c r="EH328" s="9">
        <f>IF(ISNUMBER(SnapshotTable[[#This Row],[LC Premium]]), SnapshotTable[[#This Row],[LC Qty]] * 100 * SnapshotTable[[#This Row],[LC Strike Price]], "")</f>
        <v>0</v>
      </c>
      <c r="EI328" s="240" t="str">
        <f>IF(AND(ISNUMBER(SnapshotTable[[#This Row],[LC Total Value]]),SnapshotTable[[#This Row],[LC Total Value]]&gt;0),SnapshotTable[[#This Row],[LC Stop Gain Loss]]  / SnapshotTable[[#This Row],[LC Premium]],"")</f>
        <v/>
      </c>
      <c r="EJ328" s="35">
        <f>IF(ISNUMBER(SnapshotTable[[#This Row],[Equity Shares]]),TRUNC(SnapshotTable[[#This Row],[Equity Shares]] / 100),0) + SnapshotTable[[#This Row],[LC Qty]]</f>
        <v>0</v>
      </c>
      <c r="EK328" s="147"/>
      <c r="EL328" s="138" t="str">
        <f>IF(SnapshotTable[[#This Row],[SC Exp Date]]&lt;&gt;"",TRUNC(SnapshotTable[[#This Row],[Last Price]]),"")</f>
        <v/>
      </c>
      <c r="EM328" s="148"/>
      <c r="EN328" s="147"/>
      <c r="EO328" s="147"/>
      <c r="EP328" s="138"/>
      <c r="EQ328" s="419" t="b">
        <f>AND(ISNUMBER(SnapshotTable[[#This Row],[SC Exp Date]]), ISNUMBER(SnapshotTable[[#This Row],[SC Strike Price]]), ISNUMBER(SnapshotTable[[#This Row],[SC Qty]]), ISNUMBER(SnapshotTable[[#This Row],[SC Book Date]]), ISNUMBER(SnapshotTable[[#This Row],[SC Book Price]]))</f>
        <v>0</v>
      </c>
      <c r="ER328" s="419" t="b">
        <f>AND(SnapshotTable[[#This Row],[SC Is Booked]], NOT(ISBLANK(SnapshotTable[[#This Row],[SC Fill Date]])))</f>
        <v>0</v>
      </c>
      <c r="ES328" s="370"/>
      <c r="ET328" s="34" t="str">
        <f>IF(AND(ISNUMBER(SnapshotTable[[#This Row],[SC Exp Date]]), ISNUMBER(SnapshotTable[[#This Row],[SC Book Date]])), SnapshotTable[[#This Row],[SC Exp Date]] - MAX(SnapshotTable[[#This Row],[SC Book Date]], SnapshotTable[[#This Row],[SC Fill Date]]) + 1, "")</f>
        <v/>
      </c>
      <c r="EU328" s="34" t="str">
        <f>IF(ISNUMBER(SnapshotTable[[#This Row],[SC Term]]), SnapshotTable[[#This Row],[SC Exp Date]]- MockToday, "")</f>
        <v/>
      </c>
      <c r="EV328" s="31">
        <f>IF(SnapshotTable[[#This Row],[SC Is Booked]], SnapshotTable[[#This Row],[SC Qty]] * SnapshotTable[[#This Row],[SC Book Price]] * 100, 0)</f>
        <v>0</v>
      </c>
      <c r="EW328" s="4" t="str">
        <f>IF(AND(ISNUMBER(SnapshotTable[[#This Row],[Last Price]]), ISNUMBER( SnapshotTable[[#This Row],[SC Book Price]])), SnapshotTable[[#This Row],[Last Price]] - SnapshotTable[[#This Row],[SC Book Price]],"")</f>
        <v/>
      </c>
      <c r="EX328" s="234" t="str">
        <f>IF(SnapshotTable[[#This Row],[SC Is Booked]],IF(SnapshotTable[[#This Row],[SC Intrinsic Value]] &gt; 0, SnapshotTable[[#This Row],[SC Strike Price]], SnapshotTable[[#This Row],[Last Price]]), "")</f>
        <v/>
      </c>
      <c r="EY328" s="4">
        <f>IF(SnapshotTable[[#This Row],[SC Is Booked]], (MinimumPremiumRequired * SnapshotTable[[#This Row],[SC Basis]] * SnapshotTable[[#This Row],[SC Term]]), 0)</f>
        <v>0</v>
      </c>
      <c r="EZ328" s="283"/>
      <c r="FA328" s="218"/>
      <c r="FB328" s="370"/>
      <c r="FC328" s="4">
        <f>IF(SnapshotTable[[#This Row],[SC Is Filled]], btc_max_buyback_amount(SnapshotTable[[#This Row],[SC Fill Date]],SnapshotTable[[#This Row],[SC Exp Date]], SnapshotTable[[#This Row],[SC Book Price]]),0)</f>
        <v>0</v>
      </c>
      <c r="FD328" s="5"/>
      <c r="FE328" s="144" t="str">
        <f>IF(SnapshotTable[[#This Row],[SC Is Filled]], btc_next_cutoff_date(SnapshotTable[[#This Row],[SC Fill Date]],SnapshotTable[[#This Row],[SC Exp Date]]),"")</f>
        <v/>
      </c>
      <c r="FF328" s="4" t="str" cm="1">
        <f t="array" ref="FF328">IF(SnapshotTable[[#This Row],[SC Is Filled]], btc_should_buy_back(SnapshotTable[[#This Row],[SC Fill Date]], SnapshotTable[[#This Row],[SC Exp Date]], SnapshotTable[[#This Row],[SC Book Price]], SnapshotTable[[#This Row],[SC Current Ask]], MockToday, SnapshotTable[[#This Row],[SC Buyback Override]]),"")</f>
        <v/>
      </c>
      <c r="FG328" s="4">
        <f>IF(SnapshotTable[[#This Row],[SC Is Filled]], MAX(0,SnapshotTable[[#This Row],[Last Price]]  - SnapshotTable[[#This Row],[SC Strike Price]]), 0)</f>
        <v>0</v>
      </c>
      <c r="FH328" s="382">
        <f>IF(SnapshotTable[[#This Row],[SC Is Filled]], IF(ISNUMBER(SnapshotTable[[#This Row],[SC Current Ask]]), SnapshotTable[[#This Row],[SC Current Ask]], SnapshotTable[[#This Row],[SC Book Price]]) - SnapshotTable[[#This Row],[SC Intrinsic Value]], 0)</f>
        <v>0</v>
      </c>
      <c r="FI328" s="143"/>
      <c r="FJ328" s="32" t="str">
        <f>IF(SnapshotTable[[#This Row],[SC Is Filled]],100 * SnapshotTable[[#This Row],[SC Qty]] * IF(ISNUMBER(SnapshotTable[[#This Row],[SC Buyback Override]]), SnapshotTable[[#This Row],[SC Buyback Override]], SnapshotTable[[#This Row],[SC Current Ask]]), "")</f>
        <v/>
      </c>
      <c r="FK328" s="250" t="str">
        <f>IF(SnapshotTable[[#This Row],[SC Time Val]]&gt;0, SnapshotTable[[#This Row],[SC Time Val]] / SnapshotTable[[#This Row],[Last Price]],"")</f>
        <v/>
      </c>
      <c r="FL328" s="302" t="str">
        <f>IF(SnapshotTable[[#This Row],[SC Is Booked]], ((SnapshotTable[[#This Row],[Last Price]] -SnapshotTable[[#This Row],[SC Strike Price]]) / SnapshotTable[[#This Row],[Last Price]]) * -1, "")</f>
        <v/>
      </c>
      <c r="FM328" s="157" t="str">
        <f>IF(SnapshotTable[[#This Row],[SC Is Booked]],  (SnapshotTable[[#This Row],[SC Qty]] * 100 * SnapshotTable[[#This Row],[SC Strike Price]]) - SnapshotTable[[#This Row],[SC Current Ask]], "")</f>
        <v/>
      </c>
      <c r="FN32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8" s="31" t="str">
        <f>IF(AND(ISNUMBER(SnapshotTable[[#This Row],[SC Exercise Gross]]), ISNUMBER(SnapshotTable[[#This Row],[Equity Basis Per Share]] )), SnapshotTable[[#This Row],[SC Exercise Gross]] - SnapshotTable[[#This Row],[Equity Basis Total]] +  SnapshotTable[[#This Row],[SC Premium]], "")</f>
        <v/>
      </c>
      <c r="FP328" s="5" t="str">
        <f>IF(ISNUMBER(SnapshotTable[[#This Row],[SC Exercise Gross]]), (SnapshotTable[[#This Row],[SC Exercise Gross]]) / (SnapshotTable[[#This Row],[SC Qty]] * 100), "")</f>
        <v/>
      </c>
      <c r="FQ328" s="27" t="str">
        <f>IF(SnapshotTable[[#This Row],[SC Is Booked]],SnapshotTable[[#This Row],[SC Time Val]] /SnapshotTable[[#This Row],[SC Basis]], "")</f>
        <v/>
      </c>
      <c r="FR328" s="27" t="str" cm="1">
        <f t="array" ref="FR328">IF(AND(ISNUMBER(SnapshotTable[[#This Row],[SC Term]]),ISNUMBER(SnapshotTable[[#This Row],[SC Simple ROO]])), EllmanAnnualize(SnapshotTable[[#This Row],[SC DTE]], SnapshotTable[[#This Row],[SC Simple ROO]] ),"")</f>
        <v/>
      </c>
      <c r="FS328" s="4" t="e">
        <f>IF(SnapshotTable[[#This Row],[SC Strike Price]] &gt; SnapshotTable[[#This Row],[Last Price]], SnapshotTable[[#This Row],[SC Strike Price]] - SnapshotTable[[#This Row],[Last Price]],0)</f>
        <v>#VALUE!</v>
      </c>
      <c r="FT328" s="27" t="e">
        <f>IF(AND(ISNUMBER(SnapshotTable[[#This Row],[SC Upside Potential]]), SnapshotTable[[#This Row],[SC Upside Potential]] &gt; 0),(SnapshotTable[[#This Row],[SC Upside Potential]]/ SnapshotTable[[#This Row],[ACB]]),"")</f>
        <v>#VALUE!</v>
      </c>
      <c r="FU328" s="333" t="str">
        <f>IF(SnapshotTable[[#This Row],[SC Intrinsic Value]] &gt; 0,SnapshotTable[[#This Row],[SC Intrinsic Value]],"")</f>
        <v/>
      </c>
      <c r="FV328" s="27" t="str">
        <f>IF(AND( ISNUMBER( SnapshotTable[[#This Row],[ACB]]),ISNUMBER(SnapshotTable[[#This Row],[SC Downside Protect]])),SnapshotTable[[#This Row],[SC Downside Protect]] / SnapshotTable[[#This Row],[ACB]],"")</f>
        <v/>
      </c>
      <c r="FW328" s="236" t="str">
        <f>IF(AND(ISNUMBER(SnapshotTable[[#This Row],[SC Simple ROO]]),SnapshotTable[[#This Row],[SC Simple ROO]] &gt; 0), SnapshotTable[[#This Row],[SC Premium]] + (SnapshotTable[[#This Row],[SC Qty]] * SnapshotTable[[#This Row],[SC Upside Potential]]), "")</f>
        <v/>
      </c>
      <c r="FX328" s="302" t="str" cm="1">
        <f t="array" ref="FX328">IF(ISNUMBER(SnapshotTable[[#This Row],[SC Max Dollars]]), annualize(SnapshotTable[[#This Row],[SC Term]],(SnapshotTable[[#This Row],[SC Max Dollars]]/SnapshotTable[[#This Row],[SC Basis]])),"")</f>
        <v/>
      </c>
      <c r="FY328" s="236" t="str">
        <f>IF(AND(SnapshotTable[[#This Row],[SC Qty]]&gt;0,SnapshotTable[[#This Row],[SC Current Ask]]&gt;0), SnapshotTable[[#This Row],[SC Qty]] * SnapshotTable[[#This Row],[SC Current Ask]] * -100, "")</f>
        <v/>
      </c>
      <c r="FZ328" s="31" t="str">
        <f>IF(ISNUMBER((SnapshotTable[[#This Row],[SC Current Value]])), SnapshotTable[[#This Row],[SC Premium]] + SnapshotTable[[#This Row],[SC Current Value]], "")</f>
        <v/>
      </c>
      <c r="GA328" s="294" t="str">
        <f>IFERROR( IF(ISNUMBER((SnapshotTable[[#This Row],[SC Current Value]])), SnapshotTable[[#This Row],[SC Gain Loss]] / SnapshotTable[[#This Row],[SC Premium]], ""), "")</f>
        <v/>
      </c>
      <c r="GB328" s="42">
        <f>SnapshotTable[[#This Row],[Equity Shares]] * SaleSharesToConsiderPercentage</f>
        <v>0</v>
      </c>
      <c r="GC328" s="40">
        <f>SnapshotTable[[#This Row],[Long Term Target]] * SellingPriceToConsiderBasedOnTargetPercentage</f>
        <v>0</v>
      </c>
      <c r="GD328" s="40">
        <f>SnapshotTable[[#This Row],[Last Price]] * (1+ SellingPriceToConsiderBasedOnTargetPercentage)</f>
        <v>79.891499999999994</v>
      </c>
      <c r="GE328" s="41"/>
      <c r="GF328" s="40"/>
      <c r="GG328" s="31">
        <f>SnapshotTable[[#This Row],[Booked Sale Shares]] * SnapshotTable[[#This Row],[Booked Sale Price]]</f>
        <v>0</v>
      </c>
      <c r="GH328" s="31" t="str">
        <f>IF(SnapshotTable[[#This Row],[Equity Basis Total]] &gt; 0, SnapshotTable[[#This Row],[Equity Basis Per Share]] * SnapshotTable[[#This Row],[Booked Sale Shares]], "")</f>
        <v/>
      </c>
      <c r="GI328" s="31">
        <f>IF(SnapshotTable[[#This Row],[Sale Proceeds]]&gt;0, SnapshotTable[[#This Row],[Sale Proceeds]] - SnapshotTable[[#This Row],[Sale Basis]], 0)</f>
        <v>0</v>
      </c>
      <c r="GJ328" s="27" t="str">
        <f>IF(SnapshotTable[[#This Row],[Sale G/L]]&gt;0, SnapshotTable[[#This Row],[Sale G/L]] / SnapshotTable[[#This Row],[Sale Basis]], IF(ISNUMBER(SnapshotTable[[#This Row],[SC Exercise P&amp;L (TAX)]]), SnapshotTable[[#This Row],[SC Exercise P&amp;L (TAX)]] / SnapshotTable[[#This Row],[SC Basis]], ""))</f>
        <v/>
      </c>
      <c r="GK328" s="27"/>
      <c r="GL328" s="43" t="str">
        <f>IF(AND(SnapshotTable[[#This Row],[LP Exp Date]]&gt;0,SnapshotTable[[#This Row],[LP Strike Price]]&gt;0), [1]!ToOptionSymbol(SnapshotTable[[#This Row],[Symbol]], SnapshotTable[[#This Row],[LP Strike Price]],SnapshotTable[[#This Row],[LP Exp Date]],1), "")</f>
        <v/>
      </c>
      <c r="GM328" s="30" t="str">
        <f>IF(LEN(SnapshotTable[[#This Row],[LP Symbol]])&gt;0, 1, "")</f>
        <v/>
      </c>
      <c r="GN328" s="43" t="str">
        <f>IF(AND(SnapshotTable[[#This Row],[SP Exp Date]]&gt;0,SnapshotTable[[#This Row],[SP Strike Price]]&gt;0), [1]!ToOptionSymbol(SnapshotTable[[#This Row],[Symbol]], SnapshotTable[[#This Row],[SP Strike Price]],SnapshotTable[[#This Row],[SP Exp Date]],1), "")</f>
        <v/>
      </c>
      <c r="GO328" s="30" t="str">
        <f>IF(LEN(SnapshotTable[[#This Row],[SP Symbol]])&gt;0, 1, "")</f>
        <v/>
      </c>
      <c r="GP328" s="43" t="str">
        <f>IF(AND(SnapshotTable[[#This Row],[LC Exp Date]]&gt;0,SnapshotTable[[#This Row],[LC Strike Price]]&gt;0), [1]!ToOptionSymbol(SnapshotTable[[#This Row],[Symbol]], SnapshotTable[[#This Row],[LC Strike Price]],SnapshotTable[[#This Row],[LC Exp Date]],0), "")</f>
        <v/>
      </c>
      <c r="GQ328" s="30" t="str">
        <f>IF(LEN(SnapshotTable[[#This Row],[LC Symbol]])&gt;0, 1, "")</f>
        <v/>
      </c>
      <c r="GR328" s="43" t="str">
        <f>IF(AND(SnapshotTable[[#This Row],[SC Exp Date]]&gt;0,SnapshotTable[[#This Row],[SC Strike Price]]&gt;0), [1]!ToOptionSymbol(SnapshotTable[[#This Row],[Symbol]], SnapshotTable[[#This Row],[SC Strike Price]],SnapshotTable[[#This Row],[SC Exp Date]],0), "")</f>
        <v/>
      </c>
      <c r="GS328" s="30" t="str">
        <f>IF(LEN(SnapshotTable[[#This Row],[SC Symbol]])&gt;0, 1, "")</f>
        <v/>
      </c>
      <c r="GT328" s="29" t="str">
        <f>IF(COUNT(SnapshotTable[[#This Row],[LP Symbol Count]],SnapshotTable[[#This Row],[SP Symbol Count]],SnapshotTable[[#This Row],[LC Symbol Count]],SnapshotTable[[#This Row],[SC Symbol Count]])&gt;0, "Y", "")</f>
        <v/>
      </c>
      <c r="GU32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8" s="231" t="e">
        <f>MAX(SnapshotTable[[#This Row],[Equity Basis Total]],SnapshotTable[[#This Row],[Equity Value]]) + (SnapshotTable[[#This Row],[SP Potential Spend]]- SnapshotTable[[#This Row],[SP Premium]] + SnapshotTable[[#This Row],[LP Premium]])+ (SnapshotTable[[#This Row],[LC Premium]] - SnapshotTable[[#This Row],[SC Premium]])</f>
        <v>#VALUE!</v>
      </c>
      <c r="GW328" s="139" t="e">
        <f>IF(AND(SnapshotTable[[#This Row],[Exposure]] &lt;&gt; 0),SnapshotTable[[#This Row],[Exposure]] / SnapshotTable[[#Totals],[Exposure]], "")</f>
        <v>#VALUE!</v>
      </c>
      <c r="HK328" s="1"/>
      <c r="HL328" s="1"/>
      <c r="HM328" s="1"/>
      <c r="HN328" s="1"/>
      <c r="HO328" s="1"/>
      <c r="HP328" s="1"/>
    </row>
    <row r="329" spans="2:224" ht="12.75" hidden="1" customHeight="1" x14ac:dyDescent="0.25">
      <c r="B329" s="12" t="s">
        <v>871</v>
      </c>
      <c r="C329" s="422">
        <v>1035.06</v>
      </c>
      <c r="D329" s="208" t="s">
        <v>578</v>
      </c>
      <c r="E329" s="39">
        <f>SnapshotTable[[#This Row],[Last Price]]*(1 -CrashDiscount)</f>
        <v>879.80099999999993</v>
      </c>
      <c r="F329" s="26" t="s">
        <v>66</v>
      </c>
      <c r="G329" s="26" t="s">
        <v>872</v>
      </c>
      <c r="H329" s="149"/>
      <c r="I329" s="194">
        <v>44769.677083333336</v>
      </c>
      <c r="J329" s="195">
        <v>44769.677083333336</v>
      </c>
      <c r="K329" s="196"/>
      <c r="L329" s="326"/>
      <c r="M329" s="140"/>
      <c r="N329" s="140"/>
      <c r="O329" s="140"/>
      <c r="P329" s="22"/>
      <c r="Q329" s="25"/>
      <c r="R329" s="4" t="str">
        <f>IF(SnapshotTable[[#This Row],[Equity Basis Total]] &gt; 0, SnapshotTable[[#This Row],[Equity Basis Total]] / SnapshotTable[[#This Row],[Equity Shares]], "")</f>
        <v/>
      </c>
      <c r="S329" s="269">
        <f>SnapshotTable[[#This Row],[Last Price]] * SnapshotTable[[#This Row],[Equity Shares]]</f>
        <v>0</v>
      </c>
      <c r="T329" s="269">
        <f>SnapshotTable[[#This Row],[Equity Value]] - SnapshotTable[[#This Row],[Equity Basis Total]]</f>
        <v>0</v>
      </c>
      <c r="U329" s="270" t="str">
        <f>IF(SnapshotTable[[#This Row],[Equity Basis Total]] &gt; 0, SnapshotTable[[#This Row],[Equity G/L]] / SnapshotTable[[#This Row],[Equity Basis Total]], "")</f>
        <v/>
      </c>
      <c r="V329" s="268"/>
      <c r="W329" s="268"/>
      <c r="X329" s="4" t="str">
        <f>IF(AND(ISNUMBER(SnapshotTable[[#This Row],[Equity Basis Per Share]]),ISNUMBER(SnapshotTable[[#This Row],[Equity Target]])),SnapshotTable[[#This Row],[Equity Target]]-SnapshotTable[[#This Row],[Equity Basis Per Share]],"")</f>
        <v/>
      </c>
      <c r="Y329" s="4" t="str">
        <f>IF(AND(ISNUMBER(SnapshotTable[[#This Row],[Equity Basis Per Share]]),ISNUMBER(SnapshotTable[[#This Row],[Equity Stop Loss]])),SnapshotTable[[#This Row],[Equity Stop Loss]]-SnapshotTable[[#This Row],[Equity Basis Per Share]],"")</f>
        <v/>
      </c>
      <c r="Z329" s="275" t="str">
        <f>IFERROR( TEXT(SnapshotTable[[#This Row],[Equity Max Gain Per Share]] /ABS( SnapshotTable[[#This Row],[Equity Max Loss Per Share]]),"0.0 " ) &amp; " : 1", "")</f>
        <v/>
      </c>
      <c r="AA329" s="31" t="str">
        <f>IF(ISNUMBER(SnapshotTable[[#This Row],[Equity Max Gain Per Share]]),SnapshotTable[[#This Row],[Equity Max Gain Per Share]] * SnapshotTable[[#This Row],[Equity Shares]],"")</f>
        <v/>
      </c>
      <c r="AB329" s="31" t="str">
        <f>IF(ISNUMBER(SnapshotTable[[#This Row],[Equity Max Loss Per Share]]),SnapshotTable[[#This Row],[Equity Max Loss Per Share]] * SnapshotTable[[#This Row],[Equity Shares]],"")</f>
        <v/>
      </c>
      <c r="AC329" s="150"/>
      <c r="AD329" s="151"/>
      <c r="AE329" s="31">
        <f>(SnapshotTable[[#This Row],[Annual Dividend Per Share]] / 4) * SnapshotTable[[#This Row],[Equity Shares]]</f>
        <v>0</v>
      </c>
      <c r="AF329" s="31">
        <f>SnapshotTable[[#This Row],[Quarterly Div $]] * 4</f>
        <v>0</v>
      </c>
      <c r="AG329" s="7">
        <f>IF(SnapshotTable[[#This Row],[Annual Dividend Per Share]]&gt;0, SnapshotTable[[#This Row],[Annual Dividend Per Share]]  / SnapshotTable[[#This Row],[Last Price]], 0)</f>
        <v>0</v>
      </c>
      <c r="AH329" s="151"/>
      <c r="AI329" s="5"/>
      <c r="AJ329" s="138">
        <v>164.29</v>
      </c>
      <c r="AK329" s="152" t="str">
        <f>IF(ISNUMBER( SnapshotTable[[#This Row],[EBF Target]]),(SnapshotTable[[#This Row],[EBF Target]] - SnapshotTable[[#This Row],[Last Price]]) / SnapshotTable[[#This Row],[Last Price]], "")</f>
        <v/>
      </c>
      <c r="AL329" s="152" t="str">
        <f>IF(AND(SnapshotTable[[#This Row],[Equity Basis Total]] &gt; 0,ISNUMBER( SnapshotTable[[#This Row],[Long Term Target]])), SnapshotTable[[#This Row],[From Basis $]] / SnapshotTable[[#This Row],[Equity Basis Total]], "")</f>
        <v/>
      </c>
      <c r="AM329" s="9">
        <f>IF( AND(SnapshotTable[[#This Row],[Equity Shares]] &gt;0,ISNUMBER( SnapshotTable[[#This Row],[Long Term Target]])),(SnapshotTable[[#This Row],[Equity Shares]] * SnapshotTable[[#This Row],[Long Term Target]]) - SnapshotTable[[#This Row],[Equity Basis Total]],0)</f>
        <v>0</v>
      </c>
      <c r="AN329" s="9">
        <f>IF( AND(SnapshotTable[[#This Row],[Equity Shares]] &gt;0,ISNUMBER( SnapshotTable[[#This Row],[Long Term Target]])),(SnapshotTable[[#This Row],[Equity Shares]]*SnapshotTable[[#This Row],[Long Term Target]]) - SnapshotTable[[#This Row],[Equity Value]],0)</f>
        <v>0</v>
      </c>
      <c r="AO329" s="152">
        <f>IF(AND(ISNUMBER( SnapshotTable[[#This Row],[Long Term Target]]), ISNUMBER(SnapshotTable[[#This Row],[Last Price]])),(SnapshotTable[[#This Row],[Long Term Target]] - SnapshotTable[[#This Row],[Last Price]]) / SnapshotTable[[#This Row],[Last Price]], "")</f>
        <v>-0.84127490193805188</v>
      </c>
      <c r="AP329" s="5">
        <v>170</v>
      </c>
      <c r="AQ329" s="38" t="s">
        <v>38</v>
      </c>
      <c r="AR329" s="5">
        <v>170</v>
      </c>
      <c r="AS329" s="38" t="s">
        <v>26</v>
      </c>
      <c r="AT329" s="146" t="s">
        <v>538</v>
      </c>
      <c r="AU329" s="187" t="str">
        <f>IF(OR(SnapshotTable[[#This Row],[LP No Fill]]="Y",SnapshotTable[[#This Row],[SP Is Filled]],SnapshotTable[[#This Row],[LC Not Filled]]="Y",SnapshotTable[[#This Row],[SC Is Filled]]),"Y","")</f>
        <v/>
      </c>
      <c r="AV329" s="219"/>
      <c r="AW329" s="225"/>
      <c r="AX329" s="220"/>
      <c r="AY329" s="219" t="str">
        <f>IF(SnapshotTable[[#This Row],[Implied Move]]&gt;0, SnapshotTable[[#This Row],[Last Price]]-SnapshotTable[[#This Row],[Implied Move]],"")</f>
        <v/>
      </c>
      <c r="AZ329" s="219" t="str">
        <f>IF(SnapshotTable[[#This Row],[Implied Move]]&gt;0, SnapshotTable[[#This Row],[Last Price]] + SnapshotTable[[#This Row],[Implied Move]],"")</f>
        <v/>
      </c>
      <c r="BA329" s="331"/>
      <c r="BB329" s="347"/>
      <c r="BC32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9" s="351"/>
      <c r="BE329" s="138"/>
      <c r="BF329" s="166"/>
      <c r="BG329" s="167"/>
      <c r="BH329" s="167"/>
      <c r="BI329" s="221"/>
      <c r="BJ329" s="153">
        <f>IF(SnapshotTable[[#This Row],[LP Qty]] &gt; 0, SnapshotTable[[#This Row],[LP Qty]] * SnapshotTable[[#This Row],[LP Book Price]] * 100,0)</f>
        <v>0</v>
      </c>
      <c r="BK329" s="136">
        <f>IF(SnapshotTable[[#This Row],[LP Premium]] &gt; 0, SnapshotTable[[#This Row],[LP Qty]] * SnapshotTable[[#This Row],[LP Strike Price]] * 100,0)</f>
        <v>0</v>
      </c>
      <c r="BL329" s="154"/>
      <c r="BM329" s="385" t="str">
        <f>IF(SnapshotTable[[#This Row],[LP Premium]] &gt; 0,SnapshotTable[[#This Row],[LP Exp Date]]-MAX(SnapshotTable[[#This Row],[LP Book Date]], SnapshotTable[[#This Row],[LP Fill Date]]),"")</f>
        <v/>
      </c>
      <c r="BN329" s="385" t="str">
        <f>IF(ISNUMBER( SnapshotTable[[#This Row],[LP Term]]), SnapshotTable[[#This Row],[LP Exp Date]] - MockToday,"")</f>
        <v/>
      </c>
      <c r="BO329" s="163" t="str">
        <f>IF(AND(SnapshotTable[[#This Row],[LP Exp Date]]&gt;0, SnapshotTable[[#This Row],[LP Strike Price]]&gt;0,SnapshotTable[[#This Row],[LP Qty]]&gt;0,SnapshotTable[[#This Row],[LP Book Date]]&gt;0,SnapshotTable[[#This Row],[LP Book Price]]&gt;0,SnapshotTable[[#This Row],[LP Fill Date]]=0),"Y","")</f>
        <v/>
      </c>
      <c r="BP329" s="31" t="str">
        <f>IF(AND(SnapshotTable[[#This Row],[LP No Fill]]&lt;&gt;"Y",SnapshotTable[[#This Row],[LP Contract Value]]&gt;0, SnapshotTable[[#This Row],[LP Qty]]&gt;0), SnapshotTable[[#This Row],[LP Contract Value]]*SnapshotTable[[#This Row],[LP Qty]]*100,"")</f>
        <v/>
      </c>
      <c r="BQ329" s="13"/>
      <c r="BR329" s="5" t="str">
        <f>IF(SnapshotTable[[#This Row],[SP Exp Date]]&lt;&gt;"",TRUNC(SnapshotTable[[#This Row],[Last Price]]),"")</f>
        <v/>
      </c>
      <c r="BS329" s="36"/>
      <c r="BT329" s="147"/>
      <c r="BU329" s="13"/>
      <c r="BV329" s="5"/>
      <c r="BW329" s="419" t="b">
        <f>AND(ISNUMBER(SnapshotTable[[#This Row],[SP Exp Date]]), ISNUMBER(SnapshotTable[[#This Row],[SP Strike Price]]), ISNUMBER(SnapshotTable[[#This Row],[SP Qty]]), ISNUMBER(SnapshotTable[[#This Row],[SP Book Date]]), ISNUMBER(SnapshotTable[[#This Row],[SP Book Price]]))</f>
        <v>0</v>
      </c>
      <c r="BX329" s="419" t="b">
        <f>AND(SnapshotTable[[#This Row],[SP Is Booked]], NOT(ISBLANK(SnapshotTable[[#This Row],[SP Fill Date]])))</f>
        <v>0</v>
      </c>
      <c r="BY329" s="33">
        <f>IF(SnapshotTable[[#This Row],[SP Is Booked]], SnapshotTable[[#This Row],[SP Qty]] * SnapshotTable[[#This Row],[SP Book Price]] * 100, 0)</f>
        <v>0</v>
      </c>
      <c r="BZ329" s="369"/>
      <c r="CA329" s="368">
        <f>SnapshotTable[[#This Row],[LP Qty]]</f>
        <v>0</v>
      </c>
      <c r="CB329" s="4" t="str">
        <f>IF(SnapshotTable[[#This Row],[SP Is Booked]], SnapshotTable[[#This Row],[SP Strike Price]] - SnapshotTable[[#This Row],[SP Book Price]], "")</f>
        <v/>
      </c>
      <c r="CC329" s="19" t="str">
        <f>IF(SnapshotTable[[#This Row],[SP Is Booked]],SnapshotTable[[#This Row],[SP Exp Date]]-MAX(SnapshotTable[[#This Row],[SP Book Date]], SnapshotTable[[#This Row],[SP Fill Date]]),"")</f>
        <v/>
      </c>
      <c r="CD329" s="7" t="str">
        <f>IF(SnapshotTable[[#This Row],[SP Is Booked]], SnapshotTable[[#This Row],[SP Book Price]]/SnapshotTable[[#This Row],[SP Strike Price]], "")</f>
        <v/>
      </c>
      <c r="CE329" s="7" t="str">
        <f>IF(ISNUMBER(SnapshotTable[[#This Row],[SP ROO Term]]),SnapshotTable[[#This Row],[SP ROO Term]]*(365/SnapshotTable[[#This Row],[SP Term]]),"")</f>
        <v/>
      </c>
      <c r="CF329" s="236">
        <f>SnapshotTable[[#This Row],[LP Strike Price]] * SnapshotTable[[#This Row],[LP Qty]] * 100</f>
        <v>0</v>
      </c>
      <c r="CG329" s="31" t="e">
        <f>IF(ISNUMBER(SnapshotTable[[#This Row],[SP Premium]]), (SnapshotTable[[#This Row],[SP Qty]] * SnapshotTable[[#This Row],[SP Strike Price]]* 100) - SnapshotTable[[#This Row],[LP Protection]], 0)</f>
        <v>#VALUE!</v>
      </c>
      <c r="CH329" s="7" t="str">
        <f>IF(ISNUMBER(SnapshotTable[[#This Row],[SP Break Even]]),-1 * (SnapshotTable[[#This Row],[SP Break Even]] - SnapshotTable[[#This Row],[Last Price]]) / SnapshotTable[[#This Row],[Last Price]], "")</f>
        <v/>
      </c>
      <c r="CI329" s="31">
        <f>IF(AND(ISNUMBER((SnapshotTable[[#This Row],[SP Potential Spend]])), SnapshotTable[[#This Row],[SP Strike Price]] &gt; SnapshotTable[[#This Row],[Last Price]], SnapshotTable[[#This Row],[SP Is Filled]]), SnapshotTable[[#This Row],[SP Potential Spend]] -  SnapshotTable[[#This Row],[LP Max Value]], 0)</f>
        <v>0</v>
      </c>
      <c r="CJ329" s="244"/>
      <c r="CK329" s="31" t="str">
        <f>IF(ISNUMBER(SnapshotTable[[#This Row],[SP Potential Spend]]),IF(ISNUMBER(SnapshotTable[[#This Row],[SP POW]]), SnapshotTable[[#This Row],[SP POW]] * SnapshotTable[[#This Row],[SP Potential Spend]], SnapshotTable[[#This Row],[SP Potential Spend]]), "")</f>
        <v/>
      </c>
      <c r="CL329" s="164" t="e">
        <f>IF(NOT(SnapshotTable[[#This Row],[SP Is Filled]]),(SnapshotTable[[#This Row],[SP Qty]] * SnapshotTable[[#This Row],[SP Strike Price]] * 100) - SnapshotTable[[#This Row],[LP Max Value]],"")</f>
        <v>#VALUE!</v>
      </c>
      <c r="CM329" s="31" t="str">
        <f>IF(SnapshotTable[[#This Row],[SP Actual Spend]]&lt;&gt;0, ((SnapshotTable[[#This Row],[SP Strike Price]]-SnapshotTable[[#This Row],[Last Price]]) *(SnapshotTable[[#This Row],[SP Qty]]*100) - SnapshotTable[[#This Row],[SP Premium]]) * - 1, "")</f>
        <v/>
      </c>
      <c r="CN329" s="154"/>
      <c r="CO329" s="369"/>
      <c r="CP329" s="4" t="str">
        <f>IF(SnapshotTable[[#This Row],[SP Is Filled]], btc_max_buyback_amount(SnapshotTable[[#This Row],[SP Fill Date]],SnapshotTable[[#This Row],[SP Exp Date]], SnapshotTable[[#This Row],[SP Book Price]]),"")</f>
        <v/>
      </c>
      <c r="CQ329" s="78"/>
      <c r="CR32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9" s="155" t="str">
        <f>IF(SnapshotTable[[#This Row],[SP Is Filled]], btc_next_cutoff_date(SnapshotTable[[#This Row],[SP Fill Date]],SnapshotTable[[#This Row],[SP Exp Date]]),"")</f>
        <v/>
      </c>
      <c r="CT329" s="235" t="str" cm="1">
        <f t="array" ref="CT329">IF(SnapshotTable[[#This Row],[SP Is Filled]], btc_should_buy_back(SnapshotTable[[#This Row],[SP Fill Date]], SnapshotTable[[#This Row],[SP Exp Date]], SnapshotTable[[#This Row],[SP Book Price]], SnapshotTable[[#This Row],[SP Current Ask]], MockToday, SnapshotTable[[#This Row],[SP Buyback Override]]),"")</f>
        <v/>
      </c>
      <c r="CU329" s="156"/>
      <c r="CV329" s="235"/>
      <c r="CW329" s="378" t="str">
        <f>IF(ISNUMBER( SnapshotTable[[#This Row],[SP Term]]), SnapshotTable[[#This Row],[SP Exp Date]] - MockToday,"")</f>
        <v/>
      </c>
      <c r="CX329" s="31" t="str">
        <f>IF(SnapshotTable[[#This Row],[SP Is Filled]],SnapshotTable[[#This Row],[SP Buyback Price to Use]] * 100 * SnapshotTable[[#This Row],[SP Qty]], "")</f>
        <v/>
      </c>
      <c r="CY329" s="4" t="str">
        <f>IF(ISNUMBER(SnapshotTable[[#This Row],[SP Strike Price]]), SnapshotTable[[#This Row],[SP Strike Price]] * (1 - SP_MaxLoss_StrikePct), "")</f>
        <v/>
      </c>
      <c r="CZ329" s="31" t="str">
        <f>IF(ISNUMBER(SnapshotTable[[#This Row],[SP Strike  Stop Per Share]]),SnapshotTable[[#This Row],[SP Premium]] - ((SnapshotTable[[#This Row],[SP Strike Price]]-SnapshotTable[[#This Row],[SP Strike  Stop Per Share]]) *(SnapshotTable[[#This Row],[SP Qty]] * 100)),"")</f>
        <v/>
      </c>
      <c r="DA329" s="4" t="str">
        <f>IF(AND(ISNUMBER(SnapshotTable[[#This Row],[SP Premium]]),SnapshotTable[[#This Row],[SP Premium]]&gt;0), SnapshotTable[[#This Row],[SP Book Price]] * (1 + SP_MaxLoss_OptionPct), "")</f>
        <v/>
      </c>
      <c r="DB329" s="31" t="str">
        <f>IF(ISNUMBER(SnapshotTable[[#This Row],[SP Option  Stop Contract]]),(SnapshotTable[[#This Row],[SP Option  Stop Contract]] *(SnapshotTable[[#This Row],[SP Qty]] * 100) - SnapshotTable[[#This Row],[SP Premium]]),"")</f>
        <v/>
      </c>
      <c r="DC329" s="4"/>
      <c r="DD329" s="4"/>
      <c r="DE329" s="4" t="str">
        <f>IF(AND(SnapshotTable[[#This Row],[SP Qty]]&gt;0, SnapshotTable[[#This Row],[SP Stop To Use]]&gt;0),SnapshotTable[[#This Row],[SP Premium]] - ( SnapshotTable[[#This Row],[SP Qty]] * SnapshotTable[[#This Row],[SP Stop To Use]] * 100), "")</f>
        <v/>
      </c>
      <c r="DF329" s="31" t="str">
        <f>IF(AND(SnapshotTable[[#This Row],[SP Qty]]&gt;0,SnapshotTable[[#This Row],[SP Current Ask]]&gt;0), SnapshotTable[[#This Row],[SP Qty]] * SnapshotTable[[#This Row],[SP Current Ask]] * -100, "")</f>
        <v/>
      </c>
      <c r="DG329" s="31" t="str">
        <f>IF(ISNUMBER((SnapshotTable[[#This Row],[SP Total Value]])), SnapshotTable[[#This Row],[SP Premium]] + SnapshotTable[[#This Row],[SP Total Value]], "")</f>
        <v/>
      </c>
      <c r="DH329" s="294" t="str">
        <f>IF(ISNUMBER((SnapshotTable[[#This Row],[SP Total Value]])), SnapshotTable[[#This Row],[SP Gain Loss]] / SnapshotTable[[#This Row],[SP Premium]], "")</f>
        <v/>
      </c>
      <c r="DI329" s="406"/>
      <c r="DJ329" s="138"/>
      <c r="DK329" s="148"/>
      <c r="DL329" s="147"/>
      <c r="DM329" s="147"/>
      <c r="DO329" s="31">
        <f>IF(SnapshotTable[[#This Row],[LC Symbol Count]]=1, SnapshotTable[[#This Row],[LC Qty]] * SnapshotTable[[#This Row],[LC Book Price]] * 100, 0)</f>
        <v>0</v>
      </c>
      <c r="DP329" s="163" t="str">
        <f>IF(AND(SnapshotTable[[#This Row],[LC Exp Date]]&gt;0, SnapshotTable[[#This Row],[LC Strike Price]]&gt;0,SnapshotTable[[#This Row],[LC Qty]]&gt;0,SnapshotTable[[#This Row],[LC Book Date]]&gt;0,SnapshotTable[[#This Row],[LC Book Price]]&gt;0,SnapshotTable[[#This Row],[LC Fill Date]]=0),"Y","")</f>
        <v/>
      </c>
      <c r="DQ329" s="386" t="str">
        <f>IF(SnapshotTable[[#This Row],[LC Premium]] &gt; 0,SnapshotTable[[#This Row],[LC Exp Date]]-MAX(SnapshotTable[[#This Row],[LC Book Date]], SnapshotTable[[#This Row],[LC Fill Date]]),"")</f>
        <v/>
      </c>
      <c r="DR329" s="386" t="str">
        <f>IF(ISNUMBER(SnapshotTable[[#This Row],[LC Term]]), SnapshotTable[[#This Row],[LC Exp Date]] - MockToday, "")</f>
        <v/>
      </c>
      <c r="DS329" s="234" t="str">
        <f>IF(SnapshotTable[[#This Row],[LC Premium]]&gt;0,SnapshotTable[[#This Row],[LC Strike Price]] + SnapshotTable[[#This Row],[LC Book Price]],"")</f>
        <v/>
      </c>
      <c r="DU329" s="9" t="str">
        <f>IF(AND(SnapshotTable[[#This Row],[LC Symbol Count]]&gt;0, SnapshotTable[[#This Row],[LC Contract Value]]&gt;0), SnapshotTable[[#This Row],[LC Contract Value]] * SnapshotTable[[#This Row],[LC Qty]] * 100, "")</f>
        <v/>
      </c>
      <c r="DV329" s="9" t="str">
        <f>IF(AND(ISNUMBER(SnapshotTable[[#This Row],[LC Total Value]]), SnapshotTable[[#This Row],[LC Not Filled]]&lt;&gt;"Y"), SnapshotTable[[#This Row],[LC Total Value]]-SnapshotTable[[#This Row],[LC Premium]],"")</f>
        <v/>
      </c>
      <c r="DW329" s="240" t="str">
        <f>IF(ISNUMBER(SnapshotTable[[#This Row],[LC Actual Gain Loss]]), SnapshotTable[[#This Row],[LC Actual Gain Loss]] / SnapshotTable[[#This Row],[LC Premium]],"")</f>
        <v/>
      </c>
      <c r="DX329" s="284" t="str">
        <f>IF(ISNUMBER(SnapshotTable[[#This Row],[LC Book Price]]),SnapshotTable[[#This Row],[LC Book Price]] * 1.5,"")</f>
        <v/>
      </c>
      <c r="DY329" s="265" t="str">
        <f>IF(SnapshotTable[[#This Row],[LC Premium]]&gt;0, SnapshotTable[[#This Row],[LC Next Target]] * SnapshotTable[[#This Row],[LC Qty]] * 100,"")</f>
        <v/>
      </c>
      <c r="DZ329" s="265" t="str">
        <f>IF(ISNUMBER(SnapshotTable[[#This Row],[LC Target Gross]]), SnapshotTable[[#This Row],[LC Target Gross]] - SnapshotTable[[#This Row],[LC Premium]], "")</f>
        <v/>
      </c>
      <c r="EA329" s="305" t="str">
        <f>IF(ISNUMBER(SnapshotTable[[#This Row],[LC Target Gain Loss]]), SnapshotTable[[#This Row],[LC Target Gain Loss]]/SnapshotTable[[#This Row],[LC Premium]], "")</f>
        <v/>
      </c>
      <c r="EB329" s="262"/>
      <c r="EC329" s="283" t="str">
        <f>IF(SnapshotTable[[#This Row],[LC Premium]]&gt;0, SnapshotTable[[#This Row],[LC Book Price]] * (1 - LC_StopLoss_Pct),"")</f>
        <v/>
      </c>
      <c r="ED329" s="284"/>
      <c r="EE329" s="283" t="str">
        <f>IF(ISNUMBER(SnapshotTable[[#This Row],[LC Contract Value]]),IF(ISNUMBER(SnapshotTable[[#This Row],[LC Stop Loss Override]]), SnapshotTable[[#This Row],[LC Stop Loss Override]],SnapshotTable[[#This Row],[LC Stop Loss Calc Target]]),"")</f>
        <v/>
      </c>
      <c r="EF329" s="31" t="str">
        <f>IF(ISNUMBER(SnapshotTable[[#This Row],[LC Stop  To Use]]), (SnapshotTable[[#This Row],[LC Stop  To Use]] * SnapshotTable[[#This Row],[LC Qty]] * 100),"")</f>
        <v/>
      </c>
      <c r="EG329" s="9" t="str">
        <f>IF(ISNUMBER(SnapshotTable[[#This Row],[LC Total Value]]),SnapshotTable[[#This Row],[LC Stop Loss Amount]] - SnapshotTable[[#This Row],[LC Premium]],"")</f>
        <v/>
      </c>
      <c r="EH329" s="9">
        <f>IF(ISNUMBER(SnapshotTable[[#This Row],[LC Premium]]), SnapshotTable[[#This Row],[LC Qty]] * 100 * SnapshotTable[[#This Row],[LC Strike Price]], "")</f>
        <v>0</v>
      </c>
      <c r="EI329" s="240" t="str">
        <f>IF(AND(ISNUMBER(SnapshotTable[[#This Row],[LC Total Value]]),SnapshotTable[[#This Row],[LC Total Value]]&gt;0),SnapshotTable[[#This Row],[LC Stop Gain Loss]]  / SnapshotTable[[#This Row],[LC Premium]],"")</f>
        <v/>
      </c>
      <c r="EJ329" s="35">
        <f>IF(ISNUMBER(SnapshotTable[[#This Row],[Equity Shares]]),TRUNC(SnapshotTable[[#This Row],[Equity Shares]] / 100),0) + SnapshotTable[[#This Row],[LC Qty]]</f>
        <v>0</v>
      </c>
      <c r="EK329" s="147"/>
      <c r="EL329" s="138" t="str">
        <f>IF(SnapshotTable[[#This Row],[SC Exp Date]]&lt;&gt;"",TRUNC(SnapshotTable[[#This Row],[Last Price]]),"")</f>
        <v/>
      </c>
      <c r="EM329" s="148"/>
      <c r="EN329" s="147"/>
      <c r="EO329" s="147"/>
      <c r="EP329" s="138"/>
      <c r="EQ329" s="419" t="b">
        <f>AND(ISNUMBER(SnapshotTable[[#This Row],[SC Exp Date]]), ISNUMBER(SnapshotTable[[#This Row],[SC Strike Price]]), ISNUMBER(SnapshotTable[[#This Row],[SC Qty]]), ISNUMBER(SnapshotTable[[#This Row],[SC Book Date]]), ISNUMBER(SnapshotTable[[#This Row],[SC Book Price]]))</f>
        <v>0</v>
      </c>
      <c r="ER329" s="419" t="b">
        <f>AND(SnapshotTable[[#This Row],[SC Is Booked]], NOT(ISBLANK(SnapshotTable[[#This Row],[SC Fill Date]])))</f>
        <v>0</v>
      </c>
      <c r="ES329" s="370"/>
      <c r="ET329" s="34" t="str">
        <f>IF(AND(ISNUMBER(SnapshotTable[[#This Row],[SC Exp Date]]), ISNUMBER(SnapshotTable[[#This Row],[SC Book Date]])), SnapshotTable[[#This Row],[SC Exp Date]] - MAX(SnapshotTable[[#This Row],[SC Book Date]], SnapshotTable[[#This Row],[SC Fill Date]]) + 1, "")</f>
        <v/>
      </c>
      <c r="EU329" s="34" t="str">
        <f>IF(ISNUMBER(SnapshotTable[[#This Row],[SC Term]]), SnapshotTable[[#This Row],[SC Exp Date]]- MockToday, "")</f>
        <v/>
      </c>
      <c r="EV329" s="31">
        <f>IF(SnapshotTable[[#This Row],[SC Is Booked]], SnapshotTable[[#This Row],[SC Qty]] * SnapshotTable[[#This Row],[SC Book Price]] * 100, 0)</f>
        <v>0</v>
      </c>
      <c r="EW329" s="4" t="str">
        <f>IF(AND(ISNUMBER(SnapshotTable[[#This Row],[Last Price]]), ISNUMBER( SnapshotTable[[#This Row],[SC Book Price]])), SnapshotTable[[#This Row],[Last Price]] - SnapshotTable[[#This Row],[SC Book Price]],"")</f>
        <v/>
      </c>
      <c r="EX329" s="234" t="str">
        <f>IF(SnapshotTable[[#This Row],[SC Is Booked]],IF(SnapshotTable[[#This Row],[SC Intrinsic Value]] &gt; 0, SnapshotTable[[#This Row],[SC Strike Price]], SnapshotTable[[#This Row],[Last Price]]), "")</f>
        <v/>
      </c>
      <c r="EY329" s="4">
        <f>IF(SnapshotTable[[#This Row],[SC Is Booked]], (MinimumPremiumRequired * SnapshotTable[[#This Row],[SC Basis]] * SnapshotTable[[#This Row],[SC Term]]), 0)</f>
        <v>0</v>
      </c>
      <c r="EZ329" s="283"/>
      <c r="FA329" s="218"/>
      <c r="FB329" s="370"/>
      <c r="FC329" s="4">
        <f>IF(SnapshotTable[[#This Row],[SC Is Filled]], btc_max_buyback_amount(SnapshotTable[[#This Row],[SC Fill Date]],SnapshotTable[[#This Row],[SC Exp Date]], SnapshotTable[[#This Row],[SC Book Price]]),0)</f>
        <v>0</v>
      </c>
      <c r="FD329" s="5"/>
      <c r="FE329" s="144" t="str">
        <f>IF(SnapshotTable[[#This Row],[SC Is Filled]], btc_next_cutoff_date(SnapshotTable[[#This Row],[SC Fill Date]],SnapshotTable[[#This Row],[SC Exp Date]]),"")</f>
        <v/>
      </c>
      <c r="FF329" s="4" t="str" cm="1">
        <f t="array" ref="FF329">IF(SnapshotTable[[#This Row],[SC Is Filled]], btc_should_buy_back(SnapshotTable[[#This Row],[SC Fill Date]], SnapshotTable[[#This Row],[SC Exp Date]], SnapshotTable[[#This Row],[SC Book Price]], SnapshotTable[[#This Row],[SC Current Ask]], MockToday, SnapshotTable[[#This Row],[SC Buyback Override]]),"")</f>
        <v/>
      </c>
      <c r="FG329" s="4">
        <f>IF(SnapshotTable[[#This Row],[SC Is Filled]], MAX(0,SnapshotTable[[#This Row],[Last Price]]  - SnapshotTable[[#This Row],[SC Strike Price]]), 0)</f>
        <v>0</v>
      </c>
      <c r="FH329" s="382">
        <f>IF(SnapshotTable[[#This Row],[SC Is Filled]], IF(ISNUMBER(SnapshotTable[[#This Row],[SC Current Ask]]), SnapshotTable[[#This Row],[SC Current Ask]], SnapshotTable[[#This Row],[SC Book Price]]) - SnapshotTable[[#This Row],[SC Intrinsic Value]], 0)</f>
        <v>0</v>
      </c>
      <c r="FI329" s="143"/>
      <c r="FJ329" s="32" t="str">
        <f>IF(SnapshotTable[[#This Row],[SC Is Filled]],100 * SnapshotTable[[#This Row],[SC Qty]] * IF(ISNUMBER(SnapshotTable[[#This Row],[SC Buyback Override]]), SnapshotTable[[#This Row],[SC Buyback Override]], SnapshotTable[[#This Row],[SC Current Ask]]), "")</f>
        <v/>
      </c>
      <c r="FK329" s="250" t="str">
        <f>IF(SnapshotTable[[#This Row],[SC Time Val]]&gt;0, SnapshotTable[[#This Row],[SC Time Val]] / SnapshotTable[[#This Row],[Last Price]],"")</f>
        <v/>
      </c>
      <c r="FL329" s="302" t="str">
        <f>IF(SnapshotTable[[#This Row],[SC Is Booked]], ((SnapshotTable[[#This Row],[Last Price]] -SnapshotTable[[#This Row],[SC Strike Price]]) / SnapshotTable[[#This Row],[Last Price]]) * -1, "")</f>
        <v/>
      </c>
      <c r="FM329" s="157" t="str">
        <f>IF(SnapshotTable[[#This Row],[SC Is Booked]],  (SnapshotTable[[#This Row],[SC Qty]] * 100 * SnapshotTable[[#This Row],[SC Strike Price]]) - SnapshotTable[[#This Row],[SC Current Ask]], "")</f>
        <v/>
      </c>
      <c r="FN329"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9" s="157" t="str">
        <f>IF(AND(ISNUMBER(SnapshotTable[[#This Row],[SC Exercise Gross]]), ISNUMBER(SnapshotTable[[#This Row],[Equity Basis Per Share]] )), SnapshotTable[[#This Row],[SC Exercise Gross]] - SnapshotTable[[#This Row],[Equity Basis Total]] +  SnapshotTable[[#This Row],[SC Premium]], "")</f>
        <v/>
      </c>
      <c r="FP329" s="5" t="str">
        <f>IF(ISNUMBER(SnapshotTable[[#This Row],[SC Exercise Gross]]), (SnapshotTable[[#This Row],[SC Exercise Gross]]) / (SnapshotTable[[#This Row],[SC Qty]] * 100), "")</f>
        <v/>
      </c>
      <c r="FQ329" s="27" t="str">
        <f>IF(SnapshotTable[[#This Row],[SC Is Booked]],SnapshotTable[[#This Row],[SC Time Val]] /SnapshotTable[[#This Row],[SC Basis]], "")</f>
        <v/>
      </c>
      <c r="FR329" s="27" t="str" cm="1">
        <f t="array" ref="FR329">IF(AND(ISNUMBER(SnapshotTable[[#This Row],[SC Term]]),ISNUMBER(SnapshotTable[[#This Row],[SC Simple ROO]])), EllmanAnnualize(SnapshotTable[[#This Row],[SC DTE]], SnapshotTable[[#This Row],[SC Simple ROO]] ),"")</f>
        <v/>
      </c>
      <c r="FS329" s="4" t="e">
        <f>IF(SnapshotTable[[#This Row],[SC Strike Price]] &gt; SnapshotTable[[#This Row],[Last Price]], SnapshotTable[[#This Row],[SC Strike Price]] - SnapshotTable[[#This Row],[Last Price]],0)</f>
        <v>#VALUE!</v>
      </c>
      <c r="FT329" s="27" t="e">
        <f>IF(AND(ISNUMBER(SnapshotTable[[#This Row],[SC Upside Potential]]), SnapshotTable[[#This Row],[SC Upside Potential]] &gt; 0),(SnapshotTable[[#This Row],[SC Upside Potential]]/ SnapshotTable[[#This Row],[ACB]]),"")</f>
        <v>#VALUE!</v>
      </c>
      <c r="FU329" s="333" t="str">
        <f>IF(SnapshotTable[[#This Row],[SC Intrinsic Value]] &gt; 0,SnapshotTable[[#This Row],[SC Intrinsic Value]],"")</f>
        <v/>
      </c>
      <c r="FV329" s="27" t="str">
        <f>IF(AND( ISNUMBER( SnapshotTable[[#This Row],[ACB]]),ISNUMBER(SnapshotTable[[#This Row],[SC Downside Protect]])),SnapshotTable[[#This Row],[SC Downside Protect]] / SnapshotTable[[#This Row],[ACB]],"")</f>
        <v/>
      </c>
      <c r="FW329" s="236" t="str">
        <f>IF(AND(ISNUMBER(SnapshotTable[[#This Row],[SC Simple ROO]]),SnapshotTable[[#This Row],[SC Simple ROO]] &gt; 0), SnapshotTable[[#This Row],[SC Premium]] + (SnapshotTable[[#This Row],[SC Qty]] * SnapshotTable[[#This Row],[SC Upside Potential]]), "")</f>
        <v/>
      </c>
      <c r="FX329" s="302" t="str" cm="1">
        <f t="array" ref="FX329">IF(ISNUMBER(SnapshotTable[[#This Row],[SC Max Dollars]]), annualize(SnapshotTable[[#This Row],[SC Term]],(SnapshotTable[[#This Row],[SC Max Dollars]]/SnapshotTable[[#This Row],[SC Basis]])),"")</f>
        <v/>
      </c>
      <c r="FY329" s="236" t="str">
        <f>IF(AND(SnapshotTable[[#This Row],[SC Qty]]&gt;0,SnapshotTable[[#This Row],[SC Current Ask]]&gt;0), SnapshotTable[[#This Row],[SC Qty]] * SnapshotTable[[#This Row],[SC Current Ask]] * -100, "")</f>
        <v/>
      </c>
      <c r="FZ329" s="235" t="str">
        <f>IF(ISNUMBER((SnapshotTable[[#This Row],[SC Current Value]])), SnapshotTable[[#This Row],[SC Premium]] + SnapshotTable[[#This Row],[SC Current Value]], "")</f>
        <v/>
      </c>
      <c r="GA329" s="294" t="str">
        <f>IFERROR( IF(ISNUMBER((SnapshotTable[[#This Row],[SC Current Value]])), SnapshotTable[[#This Row],[SC Gain Loss]] / SnapshotTable[[#This Row],[SC Premium]], ""), "")</f>
        <v/>
      </c>
      <c r="GB329" s="42">
        <f>SnapshotTable[[#This Row],[Equity Shares]] * SaleSharesToConsiderPercentage</f>
        <v>0</v>
      </c>
      <c r="GC329" s="40">
        <f>SnapshotTable[[#This Row],[Long Term Target]] * SellingPriceToConsiderBasedOnTargetPercentage</f>
        <v>156.07549999999998</v>
      </c>
      <c r="GD329" s="40">
        <f>SnapshotTable[[#This Row],[Last Price]] * (1+ SellingPriceToConsiderBasedOnTargetPercentage)</f>
        <v>2018.3669999999997</v>
      </c>
      <c r="GE329" s="41"/>
      <c r="GF329" s="40"/>
      <c r="GG329" s="31">
        <f>SnapshotTable[[#This Row],[Booked Sale Shares]] * SnapshotTable[[#This Row],[Booked Sale Price]]</f>
        <v>0</v>
      </c>
      <c r="GH329" s="31" t="str">
        <f>IF(SnapshotTable[[#This Row],[Equity Basis Total]] &gt; 0, SnapshotTable[[#This Row],[Equity Basis Per Share]] * SnapshotTable[[#This Row],[Booked Sale Shares]], "")</f>
        <v/>
      </c>
      <c r="GI329" s="31">
        <f>IF(SnapshotTable[[#This Row],[Sale Proceeds]]&gt;0, SnapshotTable[[#This Row],[Sale Proceeds]] - SnapshotTable[[#This Row],[Sale Basis]], 0)</f>
        <v>0</v>
      </c>
      <c r="GJ329" s="158" t="str">
        <f>IF(SnapshotTable[[#This Row],[Sale G/L]]&gt;0, SnapshotTable[[#This Row],[Sale G/L]] / SnapshotTable[[#This Row],[Sale Basis]], IF(ISNUMBER(SnapshotTable[[#This Row],[SC Exercise P&amp;L (TAX)]]), SnapshotTable[[#This Row],[SC Exercise P&amp;L (TAX)]] / SnapshotTable[[#This Row],[SC Basis]], ""))</f>
        <v/>
      </c>
      <c r="GK329" s="27"/>
      <c r="GL329" s="159" t="str">
        <f>IF(AND(SnapshotTable[[#This Row],[LP Exp Date]]&gt;0,SnapshotTable[[#This Row],[LP Strike Price]]&gt;0), [1]!ToOptionSymbol(SnapshotTable[[#This Row],[Symbol]], SnapshotTable[[#This Row],[LP Strike Price]],SnapshotTable[[#This Row],[LP Exp Date]],1), "")</f>
        <v/>
      </c>
      <c r="GM329" s="30" t="str">
        <f>IF(LEN(SnapshotTable[[#This Row],[LP Symbol]])&gt;0, 1, "")</f>
        <v/>
      </c>
      <c r="GN329" s="43" t="str">
        <f>IF(AND(SnapshotTable[[#This Row],[SP Exp Date]]&gt;0,SnapshotTable[[#This Row],[SP Strike Price]]&gt;0), [1]!ToOptionSymbol(SnapshotTable[[#This Row],[Symbol]], SnapshotTable[[#This Row],[SP Strike Price]],SnapshotTable[[#This Row],[SP Exp Date]],1), "")</f>
        <v/>
      </c>
      <c r="GO329" s="30" t="str">
        <f>IF(LEN(SnapshotTable[[#This Row],[SP Symbol]])&gt;0, 1, "")</f>
        <v/>
      </c>
      <c r="GP329" s="159" t="str">
        <f>IF(AND(SnapshotTable[[#This Row],[LC Exp Date]]&gt;0,SnapshotTable[[#This Row],[LC Strike Price]]&gt;0), [1]!ToOptionSymbol(SnapshotTable[[#This Row],[Symbol]], SnapshotTable[[#This Row],[LC Strike Price]],SnapshotTable[[#This Row],[LC Exp Date]],0), "")</f>
        <v/>
      </c>
      <c r="GQ329" s="160" t="str">
        <f>IF(LEN(SnapshotTable[[#This Row],[LC Symbol]])&gt;0, 1, "")</f>
        <v/>
      </c>
      <c r="GR329" s="159" t="str">
        <f>IF(AND(SnapshotTable[[#This Row],[SC Exp Date]]&gt;0,SnapshotTable[[#This Row],[SC Strike Price]]&gt;0), [1]!ToOptionSymbol(SnapshotTable[[#This Row],[Symbol]], SnapshotTable[[#This Row],[SC Strike Price]],SnapshotTable[[#This Row],[SC Exp Date]],0), "")</f>
        <v/>
      </c>
      <c r="GS329" s="160" t="str">
        <f>IF(LEN(SnapshotTable[[#This Row],[SC Symbol]])&gt;0, 1, "")</f>
        <v/>
      </c>
      <c r="GT329" s="161" t="str">
        <f>IF(COUNT(SnapshotTable[[#This Row],[LP Symbol Count]],SnapshotTable[[#This Row],[SP Symbol Count]],SnapshotTable[[#This Row],[LC Symbol Count]],SnapshotTable[[#This Row],[SC Symbol Count]])&gt;0, "Y", "")</f>
        <v/>
      </c>
      <c r="GU32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9" s="231" t="e">
        <f>MAX(SnapshotTable[[#This Row],[Equity Basis Total]],SnapshotTable[[#This Row],[Equity Value]]) + (SnapshotTable[[#This Row],[SP Potential Spend]]- SnapshotTable[[#This Row],[SP Premium]] + SnapshotTable[[#This Row],[LP Premium]])+ (SnapshotTable[[#This Row],[LC Premium]] - SnapshotTable[[#This Row],[SC Premium]])</f>
        <v>#VALUE!</v>
      </c>
      <c r="GW329" s="139" t="e">
        <f>IF(AND(SnapshotTable[[#This Row],[Exposure]] &lt;&gt; 0),SnapshotTable[[#This Row],[Exposure]] / SnapshotTable[[#Totals],[Exposure]], "")</f>
        <v>#VALUE!</v>
      </c>
      <c r="HK329" s="1"/>
      <c r="HL329" s="1"/>
      <c r="HM329" s="1"/>
      <c r="HN329" s="1"/>
      <c r="HO329" s="1"/>
      <c r="HP329" s="1"/>
    </row>
    <row r="330" spans="2:224" ht="12.75" hidden="1" customHeight="1" x14ac:dyDescent="0.25">
      <c r="B330" s="12" t="s">
        <v>13</v>
      </c>
      <c r="C330" s="422">
        <v>64.47</v>
      </c>
      <c r="D330" s="208"/>
      <c r="E330" s="39">
        <f>SnapshotTable[[#This Row],[Last Price]]*(1 -CrashDiscount)</f>
        <v>54.799499999999995</v>
      </c>
      <c r="F330" s="26" t="s">
        <v>12</v>
      </c>
      <c r="G330" s="26" t="s">
        <v>4</v>
      </c>
      <c r="H330" s="149"/>
      <c r="I330" s="194">
        <v>44756.28125</v>
      </c>
      <c r="J330" s="195">
        <v>44756.28125</v>
      </c>
      <c r="K330" s="196"/>
      <c r="L330" s="326"/>
      <c r="M330" s="140"/>
      <c r="N330" s="140"/>
      <c r="O330" s="140"/>
      <c r="P330" s="22"/>
      <c r="Q330" s="25"/>
      <c r="R330" s="4" t="str">
        <f>IF(SnapshotTable[[#This Row],[Equity Basis Total]] &gt; 0, SnapshotTable[[#This Row],[Equity Basis Total]] / SnapshotTable[[#This Row],[Equity Shares]], "")</f>
        <v/>
      </c>
      <c r="S330" s="269">
        <f>SnapshotTable[[#This Row],[Last Price]] * SnapshotTable[[#This Row],[Equity Shares]]</f>
        <v>0</v>
      </c>
      <c r="T330" s="269">
        <f>SnapshotTable[[#This Row],[Equity Value]] - SnapshotTable[[#This Row],[Equity Basis Total]]</f>
        <v>0</v>
      </c>
      <c r="U330" s="270" t="str">
        <f>IF(SnapshotTable[[#This Row],[Equity Basis Total]] &gt; 0, SnapshotTable[[#This Row],[Equity G/L]] / SnapshotTable[[#This Row],[Equity Basis Total]], "")</f>
        <v/>
      </c>
      <c r="V330" s="268"/>
      <c r="W330" s="268"/>
      <c r="X330" s="4" t="str">
        <f>IF(AND(ISNUMBER(SnapshotTable[[#This Row],[Equity Basis Per Share]]),ISNUMBER(SnapshotTable[[#This Row],[Equity Target]])),SnapshotTable[[#This Row],[Equity Target]]-SnapshotTable[[#This Row],[Equity Basis Per Share]],"")</f>
        <v/>
      </c>
      <c r="Y330" s="4" t="str">
        <f>IF(AND(ISNUMBER(SnapshotTable[[#This Row],[Equity Basis Per Share]]),ISNUMBER(SnapshotTable[[#This Row],[Equity Stop Loss]])),SnapshotTable[[#This Row],[Equity Stop Loss]]-SnapshotTable[[#This Row],[Equity Basis Per Share]],"")</f>
        <v/>
      </c>
      <c r="Z330" s="275" t="str">
        <f>IFERROR( TEXT(SnapshotTable[[#This Row],[Equity Max Gain Per Share]] /ABS( SnapshotTable[[#This Row],[Equity Max Loss Per Share]]),"0.0 " ) &amp; " : 1", "")</f>
        <v/>
      </c>
      <c r="AA330" s="31" t="str">
        <f>IF(ISNUMBER(SnapshotTable[[#This Row],[Equity Max Gain Per Share]]),SnapshotTable[[#This Row],[Equity Max Gain Per Share]] * SnapshotTable[[#This Row],[Equity Shares]],"")</f>
        <v/>
      </c>
      <c r="AB330" s="31" t="str">
        <f>IF(ISNUMBER(SnapshotTable[[#This Row],[Equity Max Loss Per Share]]),SnapshotTable[[#This Row],[Equity Max Loss Per Share]] * SnapshotTable[[#This Row],[Equity Shares]],"")</f>
        <v/>
      </c>
      <c r="AC330" s="150">
        <v>0.3</v>
      </c>
      <c r="AD330" s="151">
        <v>42727</v>
      </c>
      <c r="AE330" s="31">
        <f>(SnapshotTable[[#This Row],[Annual Dividend Per Share]] / 4) * SnapshotTable[[#This Row],[Equity Shares]]</f>
        <v>0</v>
      </c>
      <c r="AF330" s="31">
        <f>SnapshotTable[[#This Row],[Quarterly Div $]] * 4</f>
        <v>0</v>
      </c>
      <c r="AG330" s="7">
        <f>IF(SnapshotTable[[#This Row],[Annual Dividend Per Share]]&gt;0, SnapshotTable[[#This Row],[Annual Dividend Per Share]]  / SnapshotTable[[#This Row],[Last Price]], 0)</f>
        <v>4.6533271288971617E-3</v>
      </c>
      <c r="AH330" s="151">
        <v>42703</v>
      </c>
      <c r="AI330" s="5"/>
      <c r="AJ330" s="138">
        <v>42</v>
      </c>
      <c r="AK330" s="152" t="str">
        <f>IF(ISNUMBER( SnapshotTable[[#This Row],[EBF Target]]),(SnapshotTable[[#This Row],[EBF Target]] - SnapshotTable[[#This Row],[Last Price]]) / SnapshotTable[[#This Row],[Last Price]], "")</f>
        <v/>
      </c>
      <c r="AL330" s="152" t="str">
        <f>IF(AND(SnapshotTable[[#This Row],[Equity Basis Total]] &gt; 0,ISNUMBER( SnapshotTable[[#This Row],[Long Term Target]])), SnapshotTable[[#This Row],[From Basis $]] / SnapshotTable[[#This Row],[Equity Basis Total]], "")</f>
        <v/>
      </c>
      <c r="AM330" s="9">
        <f>IF( AND(SnapshotTable[[#This Row],[Equity Shares]] &gt;0,ISNUMBER( SnapshotTable[[#This Row],[Long Term Target]])),(SnapshotTable[[#This Row],[Equity Shares]] * SnapshotTable[[#This Row],[Long Term Target]]) - SnapshotTable[[#This Row],[Equity Basis Total]],0)</f>
        <v>0</v>
      </c>
      <c r="AN330" s="9">
        <f>IF( AND(SnapshotTable[[#This Row],[Equity Shares]] &gt;0,ISNUMBER( SnapshotTable[[#This Row],[Long Term Target]])),(SnapshotTable[[#This Row],[Equity Shares]]*SnapshotTable[[#This Row],[Long Term Target]]) - SnapshotTable[[#This Row],[Equity Value]],0)</f>
        <v>0</v>
      </c>
      <c r="AO330" s="152">
        <f>IF(AND(ISNUMBER( SnapshotTable[[#This Row],[Long Term Target]]), ISNUMBER(SnapshotTable[[#This Row],[Last Price]])),(SnapshotTable[[#This Row],[Long Term Target]] - SnapshotTable[[#This Row],[Last Price]]) / SnapshotTable[[#This Row],[Last Price]], "")</f>
        <v>-0.34853420195439738</v>
      </c>
      <c r="AP330" s="5"/>
      <c r="AQ330" s="38"/>
      <c r="AR330" s="5"/>
      <c r="AS330" s="38"/>
      <c r="AT330" s="146"/>
      <c r="AU330" s="187" t="str">
        <f>IF(OR(SnapshotTable[[#This Row],[LP No Fill]]="Y",SnapshotTable[[#This Row],[SP Is Filled]],SnapshotTable[[#This Row],[LC Not Filled]]="Y",SnapshotTable[[#This Row],[SC Is Filled]]),"Y","")</f>
        <v/>
      </c>
      <c r="AV330" s="219"/>
      <c r="AW330" s="225"/>
      <c r="AX330" s="220"/>
      <c r="AY330" s="219" t="str">
        <f>IF(SnapshotTable[[#This Row],[Implied Move]]&gt;0, SnapshotTable[[#This Row],[Last Price]]-SnapshotTable[[#This Row],[Implied Move]],"")</f>
        <v/>
      </c>
      <c r="AZ330" s="219" t="str">
        <f>IF(SnapshotTable[[#This Row],[Implied Move]]&gt;0, SnapshotTable[[#This Row],[Last Price]] + SnapshotTable[[#This Row],[Implied Move]],"")</f>
        <v/>
      </c>
      <c r="BA330" s="331"/>
      <c r="BB330" s="347"/>
      <c r="BC33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0" s="351"/>
      <c r="BE330" s="5"/>
      <c r="BF330" s="14"/>
      <c r="BG330" s="13"/>
      <c r="BH330" s="13"/>
      <c r="BI330" s="5"/>
      <c r="BJ330" s="136">
        <f>IF(SnapshotTable[[#This Row],[LP Qty]] &gt; 0, SnapshotTable[[#This Row],[LP Qty]] * SnapshotTable[[#This Row],[LP Book Price]] * 100,0)</f>
        <v>0</v>
      </c>
      <c r="BK330" s="136">
        <f>IF(SnapshotTable[[#This Row],[LP Premium]] &gt; 0, SnapshotTable[[#This Row],[LP Qty]] * SnapshotTable[[#This Row],[LP Strike Price]] * 100,0)</f>
        <v>0</v>
      </c>
      <c r="BL330" s="154"/>
      <c r="BM330" s="385" t="str">
        <f>IF(SnapshotTable[[#This Row],[LP Premium]] &gt; 0,SnapshotTable[[#This Row],[LP Exp Date]]-MAX(SnapshotTable[[#This Row],[LP Book Date]], SnapshotTable[[#This Row],[LP Fill Date]]),"")</f>
        <v/>
      </c>
      <c r="BN330" s="385" t="str">
        <f>IF(ISNUMBER( SnapshotTable[[#This Row],[LP Term]]), SnapshotTable[[#This Row],[LP Exp Date]] - MockToday,"")</f>
        <v/>
      </c>
      <c r="BO330" s="163" t="str">
        <f>IF(AND(SnapshotTable[[#This Row],[LP Exp Date]]&gt;0, SnapshotTable[[#This Row],[LP Strike Price]]&gt;0,SnapshotTable[[#This Row],[LP Qty]]&gt;0,SnapshotTable[[#This Row],[LP Book Date]]&gt;0,SnapshotTable[[#This Row],[LP Book Price]]&gt;0,SnapshotTable[[#This Row],[LP Fill Date]]=0),"Y","")</f>
        <v/>
      </c>
      <c r="BP330" s="31" t="str">
        <f>IF(AND(SnapshotTable[[#This Row],[LP No Fill]]&lt;&gt;"Y",SnapshotTable[[#This Row],[LP Contract Value]]&gt;0, SnapshotTable[[#This Row],[LP Qty]]&gt;0), SnapshotTable[[#This Row],[LP Contract Value]]*SnapshotTable[[#This Row],[LP Qty]]*100,"")</f>
        <v/>
      </c>
      <c r="BQ330" s="13"/>
      <c r="BR330" s="5" t="str">
        <f>IF(SnapshotTable[[#This Row],[SP Exp Date]]&lt;&gt;"",TRUNC(SnapshotTable[[#This Row],[Last Price]]),"")</f>
        <v/>
      </c>
      <c r="BS330" s="36"/>
      <c r="BT330" s="147"/>
      <c r="BU330" s="13"/>
      <c r="BV330" s="5"/>
      <c r="BW330" s="419" t="b">
        <f>AND(ISNUMBER(SnapshotTable[[#This Row],[SP Exp Date]]), ISNUMBER(SnapshotTable[[#This Row],[SP Strike Price]]), ISNUMBER(SnapshotTable[[#This Row],[SP Qty]]), ISNUMBER(SnapshotTable[[#This Row],[SP Book Date]]), ISNUMBER(SnapshotTable[[#This Row],[SP Book Price]]))</f>
        <v>0</v>
      </c>
      <c r="BX330" s="419" t="b">
        <f>AND(SnapshotTable[[#This Row],[SP Is Booked]], NOT(ISBLANK(SnapshotTable[[#This Row],[SP Fill Date]])))</f>
        <v>0</v>
      </c>
      <c r="BY330" s="33">
        <f>IF(SnapshotTable[[#This Row],[SP Is Booked]], SnapshotTable[[#This Row],[SP Qty]] * SnapshotTable[[#This Row],[SP Book Price]] * 100, 0)</f>
        <v>0</v>
      </c>
      <c r="BZ330" s="369"/>
      <c r="CA330" s="368">
        <f>SnapshotTable[[#This Row],[LP Qty]]</f>
        <v>0</v>
      </c>
      <c r="CB330" s="4" t="str">
        <f>IF(SnapshotTable[[#This Row],[SP Is Booked]], SnapshotTable[[#This Row],[SP Strike Price]] - SnapshotTable[[#This Row],[SP Book Price]], "")</f>
        <v/>
      </c>
      <c r="CC330" s="19" t="str">
        <f>IF(SnapshotTable[[#This Row],[SP Is Booked]],SnapshotTable[[#This Row],[SP Exp Date]]-MAX(SnapshotTable[[#This Row],[SP Book Date]], SnapshotTable[[#This Row],[SP Fill Date]]),"")</f>
        <v/>
      </c>
      <c r="CD330" s="7" t="str">
        <f>IF(SnapshotTable[[#This Row],[SP Is Booked]], SnapshotTable[[#This Row],[SP Book Price]]/SnapshotTable[[#This Row],[SP Strike Price]], "")</f>
        <v/>
      </c>
      <c r="CE330" s="7" t="str">
        <f>IF(ISNUMBER(SnapshotTable[[#This Row],[SP ROO Term]]),SnapshotTable[[#This Row],[SP ROO Term]]*(365/SnapshotTable[[#This Row],[SP Term]]),"")</f>
        <v/>
      </c>
      <c r="CF330" s="236">
        <f>SnapshotTable[[#This Row],[LP Strike Price]] * SnapshotTable[[#This Row],[LP Qty]] * 100</f>
        <v>0</v>
      </c>
      <c r="CG330" s="31" t="e">
        <f>IF(ISNUMBER(SnapshotTable[[#This Row],[SP Premium]]), (SnapshotTable[[#This Row],[SP Qty]] * SnapshotTable[[#This Row],[SP Strike Price]]* 100) - SnapshotTable[[#This Row],[LP Protection]], 0)</f>
        <v>#VALUE!</v>
      </c>
      <c r="CH330" s="7" t="str">
        <f>IF(ISNUMBER(SnapshotTable[[#This Row],[SP Break Even]]),-1 * (SnapshotTable[[#This Row],[SP Break Even]] - SnapshotTable[[#This Row],[Last Price]]) / SnapshotTable[[#This Row],[Last Price]], "")</f>
        <v/>
      </c>
      <c r="CI330" s="31">
        <f>IF(AND(ISNUMBER((SnapshotTable[[#This Row],[SP Potential Spend]])), SnapshotTable[[#This Row],[SP Strike Price]] &gt; SnapshotTable[[#This Row],[Last Price]], SnapshotTable[[#This Row],[SP Is Filled]]), SnapshotTable[[#This Row],[SP Potential Spend]] -  SnapshotTable[[#This Row],[LP Max Value]], 0)</f>
        <v>0</v>
      </c>
      <c r="CJ330" s="244"/>
      <c r="CK330" s="31" t="str">
        <f>IF(ISNUMBER(SnapshotTable[[#This Row],[SP Potential Spend]]),IF(ISNUMBER(SnapshotTable[[#This Row],[SP POW]]), SnapshotTable[[#This Row],[SP POW]] * SnapshotTable[[#This Row],[SP Potential Spend]], SnapshotTable[[#This Row],[SP Potential Spend]]), "")</f>
        <v/>
      </c>
      <c r="CL330" s="164" t="e">
        <f>IF(NOT(SnapshotTable[[#This Row],[SP Is Filled]]),(SnapshotTable[[#This Row],[SP Qty]] * SnapshotTable[[#This Row],[SP Strike Price]] * 100) - SnapshotTable[[#This Row],[LP Max Value]],"")</f>
        <v>#VALUE!</v>
      </c>
      <c r="CM330" s="31" t="str">
        <f>IF(SnapshotTable[[#This Row],[SP Actual Spend]]&lt;&gt;0, ((SnapshotTable[[#This Row],[SP Strike Price]]-SnapshotTable[[#This Row],[Last Price]]) *(SnapshotTable[[#This Row],[SP Qty]]*100) - SnapshotTable[[#This Row],[SP Premium]]) * - 1, "")</f>
        <v/>
      </c>
      <c r="CN330" s="78"/>
      <c r="CO330" s="369"/>
      <c r="CP330" s="4" t="str">
        <f>IF(SnapshotTable[[#This Row],[SP Is Filled]], btc_max_buyback_amount(SnapshotTable[[#This Row],[SP Fill Date]],SnapshotTable[[#This Row],[SP Exp Date]], SnapshotTable[[#This Row],[SP Book Price]]),"")</f>
        <v/>
      </c>
      <c r="CQ330" s="78"/>
      <c r="CR33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0" s="155" t="str">
        <f>IF(SnapshotTable[[#This Row],[SP Is Filled]], btc_next_cutoff_date(SnapshotTable[[#This Row],[SP Fill Date]],SnapshotTable[[#This Row],[SP Exp Date]]),"")</f>
        <v/>
      </c>
      <c r="CT330" s="235" t="str" cm="1">
        <f t="array" ref="CT330">IF(SnapshotTable[[#This Row],[SP Is Filled]], btc_should_buy_back(SnapshotTable[[#This Row],[SP Fill Date]], SnapshotTable[[#This Row],[SP Exp Date]], SnapshotTable[[#This Row],[SP Book Price]], SnapshotTable[[#This Row],[SP Current Ask]], MockToday, SnapshotTable[[#This Row],[SP Buyback Override]]),"")</f>
        <v/>
      </c>
      <c r="CU330" s="143"/>
      <c r="CV330" s="235"/>
      <c r="CW330" s="378" t="str">
        <f>IF(ISNUMBER( SnapshotTable[[#This Row],[SP Term]]), SnapshotTable[[#This Row],[SP Exp Date]] - MockToday,"")</f>
        <v/>
      </c>
      <c r="CX330" s="31" t="str">
        <f>IF(SnapshotTable[[#This Row],[SP Is Filled]],SnapshotTable[[#This Row],[SP Buyback Price to Use]] * 100 * SnapshotTable[[#This Row],[SP Qty]], "")</f>
        <v/>
      </c>
      <c r="CY330" s="4" t="str">
        <f>IF(ISNUMBER(SnapshotTable[[#This Row],[SP Strike Price]]), SnapshotTable[[#This Row],[SP Strike Price]] * (1 - SP_MaxLoss_StrikePct), "")</f>
        <v/>
      </c>
      <c r="CZ330" s="31" t="str">
        <f>IF(ISNUMBER(SnapshotTable[[#This Row],[SP Strike  Stop Per Share]]),SnapshotTable[[#This Row],[SP Premium]] - ((SnapshotTable[[#This Row],[SP Strike Price]]-SnapshotTable[[#This Row],[SP Strike  Stop Per Share]]) *(SnapshotTable[[#This Row],[SP Qty]] * 100)),"")</f>
        <v/>
      </c>
      <c r="DA330" s="4" t="str">
        <f>IF(AND(ISNUMBER(SnapshotTable[[#This Row],[SP Premium]]),SnapshotTable[[#This Row],[SP Premium]]&gt;0), SnapshotTable[[#This Row],[SP Book Price]] * (1 + SP_MaxLoss_OptionPct), "")</f>
        <v/>
      </c>
      <c r="DB330" s="31" t="str">
        <f>IF(ISNUMBER(SnapshotTable[[#This Row],[SP Option  Stop Contract]]),(SnapshotTable[[#This Row],[SP Option  Stop Contract]] *(SnapshotTable[[#This Row],[SP Qty]] * 100) - SnapshotTable[[#This Row],[SP Premium]]),"")</f>
        <v/>
      </c>
      <c r="DC330" s="4"/>
      <c r="DD330" s="4"/>
      <c r="DE330" s="4" t="str">
        <f>IF(AND(SnapshotTable[[#This Row],[SP Qty]]&gt;0, SnapshotTable[[#This Row],[SP Stop To Use]]&gt;0),SnapshotTable[[#This Row],[SP Premium]] - ( SnapshotTable[[#This Row],[SP Qty]] * SnapshotTable[[#This Row],[SP Stop To Use]] * 100), "")</f>
        <v/>
      </c>
      <c r="DF330" s="31" t="str">
        <f>IF(AND(SnapshotTable[[#This Row],[SP Qty]]&gt;0,SnapshotTable[[#This Row],[SP Current Ask]]&gt;0), SnapshotTable[[#This Row],[SP Qty]] * SnapshotTable[[#This Row],[SP Current Ask]] * -100, "")</f>
        <v/>
      </c>
      <c r="DG330" s="31" t="str">
        <f>IF(ISNUMBER((SnapshotTable[[#This Row],[SP Total Value]])), SnapshotTable[[#This Row],[SP Premium]] + SnapshotTable[[#This Row],[SP Total Value]], "")</f>
        <v/>
      </c>
      <c r="DH330" s="294" t="str">
        <f>IF(ISNUMBER((SnapshotTable[[#This Row],[SP Total Value]])), SnapshotTable[[#This Row],[SP Gain Loss]] / SnapshotTable[[#This Row],[SP Premium]], "")</f>
        <v/>
      </c>
      <c r="DI330" s="406"/>
      <c r="DJ330" s="138"/>
      <c r="DK330" s="148"/>
      <c r="DL330" s="13"/>
      <c r="DM330" s="13"/>
      <c r="DO330" s="31">
        <f>IF(SnapshotTable[[#This Row],[LC Symbol Count]]=1, SnapshotTable[[#This Row],[LC Qty]] * SnapshotTable[[#This Row],[LC Book Price]] * 100, 0)</f>
        <v>0</v>
      </c>
      <c r="DP330" s="163" t="str">
        <f>IF(AND(SnapshotTable[[#This Row],[LC Exp Date]]&gt;0, SnapshotTable[[#This Row],[LC Strike Price]]&gt;0,SnapshotTable[[#This Row],[LC Qty]]&gt;0,SnapshotTable[[#This Row],[LC Book Date]]&gt;0,SnapshotTable[[#This Row],[LC Book Price]]&gt;0,SnapshotTable[[#This Row],[LC Fill Date]]=0),"Y","")</f>
        <v/>
      </c>
      <c r="DQ330" s="386" t="str">
        <f>IF(SnapshotTable[[#This Row],[LC Premium]] &gt; 0,SnapshotTable[[#This Row],[LC Exp Date]]-MAX(SnapshotTable[[#This Row],[LC Book Date]], SnapshotTable[[#This Row],[LC Fill Date]]),"")</f>
        <v/>
      </c>
      <c r="DR330" s="386" t="str">
        <f>IF(ISNUMBER(SnapshotTable[[#This Row],[LC Term]]), SnapshotTable[[#This Row],[LC Exp Date]] - MockToday, "")</f>
        <v/>
      </c>
      <c r="DS330" s="234" t="str">
        <f>IF(SnapshotTable[[#This Row],[LC Premium]]&gt;0,SnapshotTable[[#This Row],[LC Strike Price]] + SnapshotTable[[#This Row],[LC Book Price]],"")</f>
        <v/>
      </c>
      <c r="DU330" s="9" t="str">
        <f>IF(AND(SnapshotTable[[#This Row],[LC Symbol Count]]&gt;0, SnapshotTable[[#This Row],[LC Contract Value]]&gt;0), SnapshotTable[[#This Row],[LC Contract Value]] * SnapshotTable[[#This Row],[LC Qty]] * 100, "")</f>
        <v/>
      </c>
      <c r="DV330" s="9" t="str">
        <f>IF(AND(ISNUMBER(SnapshotTable[[#This Row],[LC Total Value]]), SnapshotTable[[#This Row],[LC Not Filled]]&lt;&gt;"Y"), SnapshotTable[[#This Row],[LC Total Value]]-SnapshotTable[[#This Row],[LC Premium]],"")</f>
        <v/>
      </c>
      <c r="DW330" s="240" t="str">
        <f>IF(ISNUMBER(SnapshotTable[[#This Row],[LC Actual Gain Loss]]), SnapshotTable[[#This Row],[LC Actual Gain Loss]] / SnapshotTable[[#This Row],[LC Premium]],"")</f>
        <v/>
      </c>
      <c r="DX330" s="284" t="str">
        <f>IF(ISNUMBER(SnapshotTable[[#This Row],[LC Book Price]]),SnapshotTable[[#This Row],[LC Book Price]] * 1.5,"")</f>
        <v/>
      </c>
      <c r="DY330" s="265" t="str">
        <f>IF(SnapshotTable[[#This Row],[LC Premium]]&gt;0, SnapshotTable[[#This Row],[LC Next Target]] * SnapshotTable[[#This Row],[LC Qty]] * 100,"")</f>
        <v/>
      </c>
      <c r="DZ330" s="265" t="str">
        <f>IF(ISNUMBER(SnapshotTable[[#This Row],[LC Target Gross]]), SnapshotTable[[#This Row],[LC Target Gross]] - SnapshotTable[[#This Row],[LC Premium]], "")</f>
        <v/>
      </c>
      <c r="EA330" s="305" t="str">
        <f>IF(ISNUMBER(SnapshotTable[[#This Row],[LC Target Gain Loss]]), SnapshotTable[[#This Row],[LC Target Gain Loss]]/SnapshotTable[[#This Row],[LC Premium]], "")</f>
        <v/>
      </c>
      <c r="EB330" s="262"/>
      <c r="EC330" s="283" t="str">
        <f>IF(SnapshotTable[[#This Row],[LC Premium]]&gt;0, SnapshotTable[[#This Row],[LC Book Price]] * (1 - LC_StopLoss_Pct),"")</f>
        <v/>
      </c>
      <c r="ED330" s="284"/>
      <c r="EE330" s="283" t="str">
        <f>IF(ISNUMBER(SnapshotTable[[#This Row],[LC Contract Value]]),IF(ISNUMBER(SnapshotTable[[#This Row],[LC Stop Loss Override]]), SnapshotTable[[#This Row],[LC Stop Loss Override]],SnapshotTable[[#This Row],[LC Stop Loss Calc Target]]),"")</f>
        <v/>
      </c>
      <c r="EF330" s="31" t="str">
        <f>IF(ISNUMBER(SnapshotTable[[#This Row],[LC Stop  To Use]]), (SnapshotTable[[#This Row],[LC Stop  To Use]] * SnapshotTable[[#This Row],[LC Qty]] * 100),"")</f>
        <v/>
      </c>
      <c r="EG330" s="9" t="str">
        <f>IF(ISNUMBER(SnapshotTable[[#This Row],[LC Total Value]]),SnapshotTable[[#This Row],[LC Stop Loss Amount]] - SnapshotTable[[#This Row],[LC Premium]],"")</f>
        <v/>
      </c>
      <c r="EH330" s="9">
        <f>IF(ISNUMBER(SnapshotTable[[#This Row],[LC Premium]]), SnapshotTable[[#This Row],[LC Qty]] * 100 * SnapshotTable[[#This Row],[LC Strike Price]], "")</f>
        <v>0</v>
      </c>
      <c r="EI330" s="240" t="str">
        <f>IF(AND(ISNUMBER(SnapshotTable[[#This Row],[LC Total Value]]),SnapshotTable[[#This Row],[LC Total Value]]&gt;0),SnapshotTable[[#This Row],[LC Stop Gain Loss]]  / SnapshotTable[[#This Row],[LC Premium]],"")</f>
        <v/>
      </c>
      <c r="EJ330" s="35">
        <f>IF(ISNUMBER(SnapshotTable[[#This Row],[Equity Shares]]),TRUNC(SnapshotTable[[#This Row],[Equity Shares]] / 100),0) + SnapshotTable[[#This Row],[LC Qty]]</f>
        <v>0</v>
      </c>
      <c r="EK330" s="147"/>
      <c r="EL330" s="138" t="str">
        <f>IF(SnapshotTable[[#This Row],[SC Exp Date]]&lt;&gt;"",TRUNC(SnapshotTable[[#This Row],[Last Price]]),"")</f>
        <v/>
      </c>
      <c r="EM330" s="148"/>
      <c r="EN330" s="147"/>
      <c r="EO330" s="147"/>
      <c r="EP330" s="138"/>
      <c r="EQ330" s="419" t="b">
        <f>AND(ISNUMBER(SnapshotTable[[#This Row],[SC Exp Date]]), ISNUMBER(SnapshotTable[[#This Row],[SC Strike Price]]), ISNUMBER(SnapshotTable[[#This Row],[SC Qty]]), ISNUMBER(SnapshotTable[[#This Row],[SC Book Date]]), ISNUMBER(SnapshotTable[[#This Row],[SC Book Price]]))</f>
        <v>0</v>
      </c>
      <c r="ER330" s="419" t="b">
        <f>AND(SnapshotTable[[#This Row],[SC Is Booked]], NOT(ISBLANK(SnapshotTable[[#This Row],[SC Fill Date]])))</f>
        <v>0</v>
      </c>
      <c r="ES330" s="370"/>
      <c r="ET330" s="34" t="str">
        <f>IF(AND(ISNUMBER(SnapshotTable[[#This Row],[SC Exp Date]]), ISNUMBER(SnapshotTable[[#This Row],[SC Book Date]])), SnapshotTable[[#This Row],[SC Exp Date]] - MAX(SnapshotTable[[#This Row],[SC Book Date]], SnapshotTable[[#This Row],[SC Fill Date]]) + 1, "")</f>
        <v/>
      </c>
      <c r="EU330" s="34" t="str">
        <f>IF(ISNUMBER(SnapshotTable[[#This Row],[SC Term]]), SnapshotTable[[#This Row],[SC Exp Date]]- MockToday, "")</f>
        <v/>
      </c>
      <c r="EV330" s="31">
        <f>IF(SnapshotTable[[#This Row],[SC Is Booked]], SnapshotTable[[#This Row],[SC Qty]] * SnapshotTable[[#This Row],[SC Book Price]] * 100, 0)</f>
        <v>0</v>
      </c>
      <c r="EW330" s="4" t="str">
        <f>IF(AND(ISNUMBER(SnapshotTable[[#This Row],[Last Price]]), ISNUMBER( SnapshotTable[[#This Row],[SC Book Price]])), SnapshotTable[[#This Row],[Last Price]] - SnapshotTable[[#This Row],[SC Book Price]],"")</f>
        <v/>
      </c>
      <c r="EX330" s="234" t="str">
        <f>IF(SnapshotTable[[#This Row],[SC Is Booked]],IF(SnapshotTable[[#This Row],[SC Intrinsic Value]] &gt; 0, SnapshotTable[[#This Row],[SC Strike Price]], SnapshotTable[[#This Row],[Last Price]]), "")</f>
        <v/>
      </c>
      <c r="EY330" s="4">
        <f>IF(SnapshotTable[[#This Row],[SC Is Booked]], (MinimumPremiumRequired * SnapshotTable[[#This Row],[SC Basis]] * SnapshotTable[[#This Row],[SC Term]]), 0)</f>
        <v>0</v>
      </c>
      <c r="EZ330" s="283"/>
      <c r="FA330" s="218"/>
      <c r="FB330" s="370"/>
      <c r="FC330" s="4">
        <f>IF(SnapshotTable[[#This Row],[SC Is Filled]], btc_max_buyback_amount(SnapshotTable[[#This Row],[SC Fill Date]],SnapshotTable[[#This Row],[SC Exp Date]], SnapshotTable[[#This Row],[SC Book Price]]),0)</f>
        <v>0</v>
      </c>
      <c r="FD330" s="5"/>
      <c r="FE330" s="144" t="str">
        <f>IF(SnapshotTable[[#This Row],[SC Is Filled]], btc_next_cutoff_date(SnapshotTable[[#This Row],[SC Fill Date]],SnapshotTable[[#This Row],[SC Exp Date]]),"")</f>
        <v/>
      </c>
      <c r="FF330" s="4" t="str" cm="1">
        <f t="array" ref="FF330">IF(SnapshotTable[[#This Row],[SC Is Filled]], btc_should_buy_back(SnapshotTable[[#This Row],[SC Fill Date]], SnapshotTable[[#This Row],[SC Exp Date]], SnapshotTable[[#This Row],[SC Book Price]], SnapshotTable[[#This Row],[SC Current Ask]], MockToday, SnapshotTable[[#This Row],[SC Buyback Override]]),"")</f>
        <v/>
      </c>
      <c r="FG330" s="4">
        <f>IF(SnapshotTable[[#This Row],[SC Is Filled]], MAX(0,SnapshotTable[[#This Row],[Last Price]]  - SnapshotTable[[#This Row],[SC Strike Price]]), 0)</f>
        <v>0</v>
      </c>
      <c r="FH330" s="382">
        <f>IF(SnapshotTable[[#This Row],[SC Is Filled]], IF(ISNUMBER(SnapshotTable[[#This Row],[SC Current Ask]]), SnapshotTable[[#This Row],[SC Current Ask]], SnapshotTable[[#This Row],[SC Book Price]]) - SnapshotTable[[#This Row],[SC Intrinsic Value]], 0)</f>
        <v>0</v>
      </c>
      <c r="FI330" s="143"/>
      <c r="FJ330" s="32" t="str">
        <f>IF(SnapshotTable[[#This Row],[SC Is Filled]],100 * SnapshotTable[[#This Row],[SC Qty]] * IF(ISNUMBER(SnapshotTable[[#This Row],[SC Buyback Override]]), SnapshotTable[[#This Row],[SC Buyback Override]], SnapshotTable[[#This Row],[SC Current Ask]]), "")</f>
        <v/>
      </c>
      <c r="FK330" s="250" t="str">
        <f>IF(SnapshotTable[[#This Row],[SC Time Val]]&gt;0, SnapshotTable[[#This Row],[SC Time Val]] / SnapshotTable[[#This Row],[Last Price]],"")</f>
        <v/>
      </c>
      <c r="FL330" s="302" t="str">
        <f>IF(SnapshotTable[[#This Row],[SC Is Booked]], ((SnapshotTable[[#This Row],[Last Price]] -SnapshotTable[[#This Row],[SC Strike Price]]) / SnapshotTable[[#This Row],[Last Price]]) * -1, "")</f>
        <v/>
      </c>
      <c r="FM330" s="157" t="str">
        <f>IF(SnapshotTable[[#This Row],[SC Is Booked]],  (SnapshotTable[[#This Row],[SC Qty]] * 100 * SnapshotTable[[#This Row],[SC Strike Price]]) - SnapshotTable[[#This Row],[SC Current Ask]], "")</f>
        <v/>
      </c>
      <c r="FN33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0" s="31" t="str">
        <f>IF(AND(ISNUMBER(SnapshotTable[[#This Row],[SC Exercise Gross]]), ISNUMBER(SnapshotTable[[#This Row],[Equity Basis Per Share]] )), SnapshotTable[[#This Row],[SC Exercise Gross]] - SnapshotTable[[#This Row],[Equity Basis Total]] +  SnapshotTable[[#This Row],[SC Premium]], "")</f>
        <v/>
      </c>
      <c r="FP330" s="5" t="str">
        <f>IF(ISNUMBER(SnapshotTable[[#This Row],[SC Exercise Gross]]), (SnapshotTable[[#This Row],[SC Exercise Gross]]) / (SnapshotTable[[#This Row],[SC Qty]] * 100), "")</f>
        <v/>
      </c>
      <c r="FQ330" s="27" t="str">
        <f>IF(SnapshotTable[[#This Row],[SC Is Booked]],SnapshotTable[[#This Row],[SC Time Val]] /SnapshotTable[[#This Row],[SC Basis]], "")</f>
        <v/>
      </c>
      <c r="FR330" s="27" t="str" cm="1">
        <f t="array" ref="FR330">IF(AND(ISNUMBER(SnapshotTable[[#This Row],[SC Term]]),ISNUMBER(SnapshotTable[[#This Row],[SC Simple ROO]])), EllmanAnnualize(SnapshotTable[[#This Row],[SC DTE]], SnapshotTable[[#This Row],[SC Simple ROO]] ),"")</f>
        <v/>
      </c>
      <c r="FS330" s="4" t="e">
        <f>IF(SnapshotTable[[#This Row],[SC Strike Price]] &gt; SnapshotTable[[#This Row],[Last Price]], SnapshotTable[[#This Row],[SC Strike Price]] - SnapshotTable[[#This Row],[Last Price]],0)</f>
        <v>#VALUE!</v>
      </c>
      <c r="FT330" s="27" t="e">
        <f>IF(AND(ISNUMBER(SnapshotTable[[#This Row],[SC Upside Potential]]), SnapshotTable[[#This Row],[SC Upside Potential]] &gt; 0),(SnapshotTable[[#This Row],[SC Upside Potential]]/ SnapshotTable[[#This Row],[ACB]]),"")</f>
        <v>#VALUE!</v>
      </c>
      <c r="FU330" s="333" t="str">
        <f>IF(SnapshotTable[[#This Row],[SC Intrinsic Value]] &gt; 0,SnapshotTable[[#This Row],[SC Intrinsic Value]],"")</f>
        <v/>
      </c>
      <c r="FV330" s="27" t="str">
        <f>IF(AND( ISNUMBER( SnapshotTable[[#This Row],[ACB]]),ISNUMBER(SnapshotTable[[#This Row],[SC Downside Protect]])),SnapshotTable[[#This Row],[SC Downside Protect]] / SnapshotTable[[#This Row],[ACB]],"")</f>
        <v/>
      </c>
      <c r="FW330" s="236" t="str">
        <f>IF(AND(ISNUMBER(SnapshotTable[[#This Row],[SC Simple ROO]]),SnapshotTable[[#This Row],[SC Simple ROO]] &gt; 0), SnapshotTable[[#This Row],[SC Premium]] + (SnapshotTable[[#This Row],[SC Qty]] * SnapshotTable[[#This Row],[SC Upside Potential]]), "")</f>
        <v/>
      </c>
      <c r="FX330" s="302" t="str" cm="1">
        <f t="array" ref="FX330">IF(ISNUMBER(SnapshotTable[[#This Row],[SC Max Dollars]]), annualize(SnapshotTable[[#This Row],[SC Term]],(SnapshotTable[[#This Row],[SC Max Dollars]]/SnapshotTable[[#This Row],[SC Basis]])),"")</f>
        <v/>
      </c>
      <c r="FY330" s="236" t="str">
        <f>IF(AND(SnapshotTable[[#This Row],[SC Qty]]&gt;0,SnapshotTable[[#This Row],[SC Current Ask]]&gt;0), SnapshotTable[[#This Row],[SC Qty]] * SnapshotTable[[#This Row],[SC Current Ask]] * -100, "")</f>
        <v/>
      </c>
      <c r="FZ330" s="31" t="str">
        <f>IF(ISNUMBER((SnapshotTable[[#This Row],[SC Current Value]])), SnapshotTable[[#This Row],[SC Premium]] + SnapshotTable[[#This Row],[SC Current Value]], "")</f>
        <v/>
      </c>
      <c r="GA330" s="294" t="str">
        <f>IFERROR( IF(ISNUMBER((SnapshotTable[[#This Row],[SC Current Value]])), SnapshotTable[[#This Row],[SC Gain Loss]] / SnapshotTable[[#This Row],[SC Premium]], ""), "")</f>
        <v/>
      </c>
      <c r="GB330" s="42">
        <f>SnapshotTable[[#This Row],[Equity Shares]] * SaleSharesToConsiderPercentage</f>
        <v>0</v>
      </c>
      <c r="GC330" s="40">
        <f>SnapshotTable[[#This Row],[Long Term Target]] * SellingPriceToConsiderBasedOnTargetPercentage</f>
        <v>39.9</v>
      </c>
      <c r="GD330" s="40">
        <f>SnapshotTable[[#This Row],[Last Price]] * (1+ SellingPriceToConsiderBasedOnTargetPercentage)</f>
        <v>125.7165</v>
      </c>
      <c r="GE330" s="41"/>
      <c r="GF330" s="40">
        <v>47.18</v>
      </c>
      <c r="GG330" s="31">
        <f>SnapshotTable[[#This Row],[Booked Sale Shares]] * SnapshotTable[[#This Row],[Booked Sale Price]]</f>
        <v>0</v>
      </c>
      <c r="GH330" s="31" t="str">
        <f>IF(SnapshotTable[[#This Row],[Equity Basis Total]] &gt; 0, SnapshotTable[[#This Row],[Equity Basis Per Share]] * SnapshotTable[[#This Row],[Booked Sale Shares]], "")</f>
        <v/>
      </c>
      <c r="GI330" s="31">
        <f>IF(SnapshotTable[[#This Row],[Sale Proceeds]]&gt;0, SnapshotTable[[#This Row],[Sale Proceeds]] - SnapshotTable[[#This Row],[Sale Basis]], 0)</f>
        <v>0</v>
      </c>
      <c r="GJ330" s="27" t="str">
        <f>IF(SnapshotTable[[#This Row],[Sale G/L]]&gt;0, SnapshotTable[[#This Row],[Sale G/L]] / SnapshotTable[[#This Row],[Sale Basis]], IF(ISNUMBER(SnapshotTable[[#This Row],[SC Exercise P&amp;L (TAX)]]), SnapshotTable[[#This Row],[SC Exercise P&amp;L (TAX)]] / SnapshotTable[[#This Row],[SC Basis]], ""))</f>
        <v/>
      </c>
      <c r="GK330" s="27" t="s">
        <v>783</v>
      </c>
      <c r="GL330" s="43" t="str">
        <f>IF(AND(SnapshotTable[[#This Row],[LP Exp Date]]&gt;0,SnapshotTable[[#This Row],[LP Strike Price]]&gt;0), [1]!ToOptionSymbol(SnapshotTable[[#This Row],[Symbol]], SnapshotTable[[#This Row],[LP Strike Price]],SnapshotTable[[#This Row],[LP Exp Date]],1), "")</f>
        <v/>
      </c>
      <c r="GM330" s="30" t="str">
        <f>IF(LEN(SnapshotTable[[#This Row],[LP Symbol]])&gt;0, 1, "")</f>
        <v/>
      </c>
      <c r="GN330" s="43" t="str">
        <f>IF(AND(SnapshotTable[[#This Row],[SP Exp Date]]&gt;0,SnapshotTable[[#This Row],[SP Strike Price]]&gt;0), [1]!ToOptionSymbol(SnapshotTable[[#This Row],[Symbol]], SnapshotTable[[#This Row],[SP Strike Price]],SnapshotTable[[#This Row],[SP Exp Date]],1), "")</f>
        <v/>
      </c>
      <c r="GO330" s="30" t="str">
        <f>IF(LEN(SnapshotTable[[#This Row],[SP Symbol]])&gt;0, 1, "")</f>
        <v/>
      </c>
      <c r="GP330" s="43" t="str">
        <f>IF(AND(SnapshotTable[[#This Row],[LC Exp Date]]&gt;0,SnapshotTable[[#This Row],[LC Strike Price]]&gt;0), [1]!ToOptionSymbol(SnapshotTable[[#This Row],[Symbol]], SnapshotTable[[#This Row],[LC Strike Price]],SnapshotTable[[#This Row],[LC Exp Date]],0), "")</f>
        <v/>
      </c>
      <c r="GQ330" s="30" t="str">
        <f>IF(LEN(SnapshotTable[[#This Row],[LC Symbol]])&gt;0, 1, "")</f>
        <v/>
      </c>
      <c r="GR330" s="43" t="str">
        <f>IF(AND(SnapshotTable[[#This Row],[SC Exp Date]]&gt;0,SnapshotTable[[#This Row],[SC Strike Price]]&gt;0), [1]!ToOptionSymbol(SnapshotTable[[#This Row],[Symbol]], SnapshotTable[[#This Row],[SC Strike Price]],SnapshotTable[[#This Row],[SC Exp Date]],0), "")</f>
        <v/>
      </c>
      <c r="GS330" s="30" t="str">
        <f>IF(LEN(SnapshotTable[[#This Row],[SC Symbol]])&gt;0, 1, "")</f>
        <v/>
      </c>
      <c r="GT330" s="29" t="str">
        <f>IF(COUNT(SnapshotTable[[#This Row],[LP Symbol Count]],SnapshotTable[[#This Row],[SP Symbol Count]],SnapshotTable[[#This Row],[LC Symbol Count]],SnapshotTable[[#This Row],[SC Symbol Count]])&gt;0, "Y", "")</f>
        <v/>
      </c>
      <c r="GU33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0" s="231" t="e">
        <f>MAX(SnapshotTable[[#This Row],[Equity Basis Total]],SnapshotTable[[#This Row],[Equity Value]]) + (SnapshotTable[[#This Row],[SP Potential Spend]]- SnapshotTable[[#This Row],[SP Premium]] + SnapshotTable[[#This Row],[LP Premium]])+ (SnapshotTable[[#This Row],[LC Premium]] - SnapshotTable[[#This Row],[SC Premium]])</f>
        <v>#VALUE!</v>
      </c>
      <c r="GW330" s="139" t="e">
        <f>IF(AND(SnapshotTable[[#This Row],[Exposure]] &lt;&gt; 0),SnapshotTable[[#This Row],[Exposure]] / SnapshotTable[[#Totals],[Exposure]], "")</f>
        <v>#VALUE!</v>
      </c>
      <c r="HK330" s="1"/>
      <c r="HL330" s="1"/>
      <c r="HM330" s="1"/>
      <c r="HN330" s="1"/>
      <c r="HO330" s="1"/>
      <c r="HP330" s="1"/>
    </row>
    <row r="331" spans="2:224" ht="12.75" hidden="1" customHeight="1" x14ac:dyDescent="0.25">
      <c r="B331" s="12" t="s">
        <v>510</v>
      </c>
      <c r="C331" s="422">
        <v>131.68</v>
      </c>
      <c r="D331" s="208"/>
      <c r="E331" s="39">
        <f>SnapshotTable[[#This Row],[Last Price]]*(1 -CrashDiscount)</f>
        <v>111.928</v>
      </c>
      <c r="F331" s="26" t="s">
        <v>5</v>
      </c>
      <c r="G331" s="26" t="s">
        <v>4</v>
      </c>
      <c r="H331" s="149"/>
      <c r="I331" s="194">
        <v>44596</v>
      </c>
      <c r="J331" s="195">
        <v>44596</v>
      </c>
      <c r="K331" s="196"/>
      <c r="L331" s="326"/>
      <c r="M331" s="140"/>
      <c r="N331" s="140"/>
      <c r="O331" s="140"/>
      <c r="P331" s="22"/>
      <c r="Q331" s="25"/>
      <c r="R331" s="4" t="str">
        <f>IF(SnapshotTable[[#This Row],[Equity Basis Total]] &gt; 0, SnapshotTable[[#This Row],[Equity Basis Total]] / SnapshotTable[[#This Row],[Equity Shares]], "")</f>
        <v/>
      </c>
      <c r="S331" s="269">
        <f>SnapshotTable[[#This Row],[Last Price]] * SnapshotTable[[#This Row],[Equity Shares]]</f>
        <v>0</v>
      </c>
      <c r="T331" s="269">
        <f>SnapshotTable[[#This Row],[Equity Value]] - SnapshotTable[[#This Row],[Equity Basis Total]]</f>
        <v>0</v>
      </c>
      <c r="U331" s="270" t="str">
        <f>IF(SnapshotTable[[#This Row],[Equity Basis Total]] &gt; 0, SnapshotTable[[#This Row],[Equity G/L]] / SnapshotTable[[#This Row],[Equity Basis Total]], "")</f>
        <v/>
      </c>
      <c r="V331" s="268"/>
      <c r="W331" s="268"/>
      <c r="X331" s="4" t="str">
        <f>IF(AND(ISNUMBER(SnapshotTable[[#This Row],[Equity Basis Per Share]]),ISNUMBER(SnapshotTable[[#This Row],[Equity Target]])),SnapshotTable[[#This Row],[Equity Target]]-SnapshotTable[[#This Row],[Equity Basis Per Share]],"")</f>
        <v/>
      </c>
      <c r="Y331" s="4" t="str">
        <f>IF(AND(ISNUMBER(SnapshotTable[[#This Row],[Equity Basis Per Share]]),ISNUMBER(SnapshotTable[[#This Row],[Equity Stop Loss]])),SnapshotTable[[#This Row],[Equity Stop Loss]]-SnapshotTable[[#This Row],[Equity Basis Per Share]],"")</f>
        <v/>
      </c>
      <c r="Z331" s="275" t="str">
        <f>IFERROR( TEXT(SnapshotTable[[#This Row],[Equity Max Gain Per Share]] /ABS( SnapshotTable[[#This Row],[Equity Max Loss Per Share]]),"0.0 " ) &amp; " : 1", "")</f>
        <v/>
      </c>
      <c r="AA331" s="31" t="str">
        <f>IF(ISNUMBER(SnapshotTable[[#This Row],[Equity Max Gain Per Share]]),SnapshotTable[[#This Row],[Equity Max Gain Per Share]] * SnapshotTable[[#This Row],[Equity Shares]],"")</f>
        <v/>
      </c>
      <c r="AB331" s="31" t="str">
        <f>IF(ISNUMBER(SnapshotTable[[#This Row],[Equity Max Loss Per Share]]),SnapshotTable[[#This Row],[Equity Max Loss Per Share]] * SnapshotTable[[#This Row],[Equity Shares]],"")</f>
        <v/>
      </c>
      <c r="AC331" s="150"/>
      <c r="AD331" s="151"/>
      <c r="AE331" s="31">
        <f>(SnapshotTable[[#This Row],[Annual Dividend Per Share]] / 4) * SnapshotTable[[#This Row],[Equity Shares]]</f>
        <v>0</v>
      </c>
      <c r="AF331" s="31">
        <f>SnapshotTable[[#This Row],[Quarterly Div $]] * 4</f>
        <v>0</v>
      </c>
      <c r="AG331" s="7">
        <f>IF(SnapshotTable[[#This Row],[Annual Dividend Per Share]]&gt;0, SnapshotTable[[#This Row],[Annual Dividend Per Share]]  / SnapshotTable[[#This Row],[Last Price]], 0)</f>
        <v>0</v>
      </c>
      <c r="AH331" s="151"/>
      <c r="AI331" s="5"/>
      <c r="AJ331" s="138" t="s">
        <v>164</v>
      </c>
      <c r="AK331" s="152" t="str">
        <f>IF(ISNUMBER( SnapshotTable[[#This Row],[EBF Target]]),(SnapshotTable[[#This Row],[EBF Target]] - SnapshotTable[[#This Row],[Last Price]]) / SnapshotTable[[#This Row],[Last Price]], "")</f>
        <v/>
      </c>
      <c r="AL331" s="152" t="str">
        <f>IF(AND(SnapshotTable[[#This Row],[Equity Basis Total]] &gt; 0,ISNUMBER( SnapshotTable[[#This Row],[Long Term Target]])), SnapshotTable[[#This Row],[From Basis $]] / SnapshotTable[[#This Row],[Equity Basis Total]], "")</f>
        <v/>
      </c>
      <c r="AM331" s="9">
        <f>IF( AND(SnapshotTable[[#This Row],[Equity Shares]] &gt;0,ISNUMBER( SnapshotTable[[#This Row],[Long Term Target]])),(SnapshotTable[[#This Row],[Equity Shares]] * SnapshotTable[[#This Row],[Long Term Target]]) - SnapshotTable[[#This Row],[Equity Basis Total]],0)</f>
        <v>0</v>
      </c>
      <c r="AN331" s="9">
        <f>IF( AND(SnapshotTable[[#This Row],[Equity Shares]] &gt;0,ISNUMBER( SnapshotTable[[#This Row],[Long Term Target]])),(SnapshotTable[[#This Row],[Equity Shares]]*SnapshotTable[[#This Row],[Long Term Target]]) - SnapshotTable[[#This Row],[Equity Value]],0)</f>
        <v>0</v>
      </c>
      <c r="AO331" s="152" t="str">
        <f>IF(AND(ISNUMBER( SnapshotTable[[#This Row],[Long Term Target]]), ISNUMBER(SnapshotTable[[#This Row],[Last Price]])),(SnapshotTable[[#This Row],[Long Term Target]] - SnapshotTable[[#This Row],[Last Price]]) / SnapshotTable[[#This Row],[Last Price]], "")</f>
        <v/>
      </c>
      <c r="AP331" s="5">
        <v>13.5</v>
      </c>
      <c r="AQ331" s="38" t="s">
        <v>46</v>
      </c>
      <c r="AR331" s="5">
        <v>13.5</v>
      </c>
      <c r="AS331" s="38" t="s">
        <v>45</v>
      </c>
      <c r="AT331" s="146"/>
      <c r="AU331" s="187" t="str">
        <f>IF(OR(SnapshotTable[[#This Row],[LP No Fill]]="Y",SnapshotTable[[#This Row],[SP Is Filled]],SnapshotTable[[#This Row],[LC Not Filled]]="Y",SnapshotTable[[#This Row],[SC Is Filled]]),"Y","")</f>
        <v/>
      </c>
      <c r="AV331" s="219"/>
      <c r="AW331" s="225"/>
      <c r="AX331" s="220"/>
      <c r="AY331" s="219" t="str">
        <f>IF(SnapshotTable[[#This Row],[Implied Move]]&gt;0, SnapshotTable[[#This Row],[Last Price]]-SnapshotTable[[#This Row],[Implied Move]],"")</f>
        <v/>
      </c>
      <c r="AZ331" s="219" t="str">
        <f>IF(SnapshotTable[[#This Row],[Implied Move]]&gt;0, SnapshotTable[[#This Row],[Last Price]] + SnapshotTable[[#This Row],[Implied Move]],"")</f>
        <v/>
      </c>
      <c r="BA331" s="331"/>
      <c r="BB331" s="347"/>
      <c r="BC33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1" s="351"/>
      <c r="BE331" s="5"/>
      <c r="BF331" s="14"/>
      <c r="BG331" s="13"/>
      <c r="BH331" s="13"/>
      <c r="BI331" s="5"/>
      <c r="BJ331" s="136">
        <f>IF(SnapshotTable[[#This Row],[LP Qty]] &gt; 0, SnapshotTable[[#This Row],[LP Qty]] * SnapshotTable[[#This Row],[LP Book Price]] * 100,0)</f>
        <v>0</v>
      </c>
      <c r="BK331" s="136">
        <f>IF(SnapshotTable[[#This Row],[LP Premium]] &gt; 0, SnapshotTable[[#This Row],[LP Qty]] * SnapshotTable[[#This Row],[LP Strike Price]] * 100,0)</f>
        <v>0</v>
      </c>
      <c r="BL331" s="154"/>
      <c r="BM331" s="385" t="str">
        <f>IF(SnapshotTable[[#This Row],[LP Premium]] &gt; 0,SnapshotTable[[#This Row],[LP Exp Date]]-MAX(SnapshotTable[[#This Row],[LP Book Date]], SnapshotTable[[#This Row],[LP Fill Date]]),"")</f>
        <v/>
      </c>
      <c r="BN331" s="385" t="str">
        <f>IF(ISNUMBER( SnapshotTable[[#This Row],[LP Term]]), SnapshotTable[[#This Row],[LP Exp Date]] - MockToday,"")</f>
        <v/>
      </c>
      <c r="BO331" s="163" t="str">
        <f>IF(AND(SnapshotTable[[#This Row],[LP Exp Date]]&gt;0, SnapshotTable[[#This Row],[LP Strike Price]]&gt;0,SnapshotTable[[#This Row],[LP Qty]]&gt;0,SnapshotTable[[#This Row],[LP Book Date]]&gt;0,SnapshotTable[[#This Row],[LP Book Price]]&gt;0,SnapshotTable[[#This Row],[LP Fill Date]]=0),"Y","")</f>
        <v/>
      </c>
      <c r="BP331" s="31" t="str">
        <f>IF(AND(SnapshotTable[[#This Row],[LP No Fill]]&lt;&gt;"Y",SnapshotTable[[#This Row],[LP Contract Value]]&gt;0, SnapshotTable[[#This Row],[LP Qty]]&gt;0), SnapshotTable[[#This Row],[LP Contract Value]]*SnapshotTable[[#This Row],[LP Qty]]*100,"")</f>
        <v/>
      </c>
      <c r="BQ331" s="13"/>
      <c r="BR331" s="5" t="str">
        <f>IF(SnapshotTable[[#This Row],[SP Exp Date]]&lt;&gt;"",TRUNC(SnapshotTable[[#This Row],[Last Price]]),"")</f>
        <v/>
      </c>
      <c r="BS331" s="36"/>
      <c r="BT331" s="147"/>
      <c r="BU331" s="13"/>
      <c r="BV331" s="5"/>
      <c r="BW331" s="419" t="b">
        <f>AND(ISNUMBER(SnapshotTable[[#This Row],[SP Exp Date]]), ISNUMBER(SnapshotTable[[#This Row],[SP Strike Price]]), ISNUMBER(SnapshotTable[[#This Row],[SP Qty]]), ISNUMBER(SnapshotTable[[#This Row],[SP Book Date]]), ISNUMBER(SnapshotTable[[#This Row],[SP Book Price]]))</f>
        <v>0</v>
      </c>
      <c r="BX331" s="419" t="b">
        <f>AND(SnapshotTable[[#This Row],[SP Is Booked]], NOT(ISBLANK(SnapshotTable[[#This Row],[SP Fill Date]])))</f>
        <v>0</v>
      </c>
      <c r="BY331" s="33">
        <f>IF(SnapshotTable[[#This Row],[SP Is Booked]], SnapshotTable[[#This Row],[SP Qty]] * SnapshotTable[[#This Row],[SP Book Price]] * 100, 0)</f>
        <v>0</v>
      </c>
      <c r="BZ331" s="369"/>
      <c r="CA331" s="368">
        <f>SnapshotTable[[#This Row],[LP Qty]]</f>
        <v>0</v>
      </c>
      <c r="CB331" s="4" t="str">
        <f>IF(SnapshotTable[[#This Row],[SP Is Booked]], SnapshotTable[[#This Row],[SP Strike Price]] - SnapshotTable[[#This Row],[SP Book Price]], "")</f>
        <v/>
      </c>
      <c r="CC331" s="19" t="str">
        <f>IF(SnapshotTable[[#This Row],[SP Is Booked]],SnapshotTable[[#This Row],[SP Exp Date]]-MAX(SnapshotTable[[#This Row],[SP Book Date]], SnapshotTable[[#This Row],[SP Fill Date]]),"")</f>
        <v/>
      </c>
      <c r="CD331" s="7" t="str">
        <f>IF(SnapshotTable[[#This Row],[SP Is Booked]], SnapshotTable[[#This Row],[SP Book Price]]/SnapshotTable[[#This Row],[SP Strike Price]], "")</f>
        <v/>
      </c>
      <c r="CE331" s="7" t="str">
        <f>IF(ISNUMBER(SnapshotTable[[#This Row],[SP ROO Term]]),SnapshotTable[[#This Row],[SP ROO Term]]*(365/SnapshotTable[[#This Row],[SP Term]]),"")</f>
        <v/>
      </c>
      <c r="CF331" s="236">
        <f>SnapshotTable[[#This Row],[LP Strike Price]] * SnapshotTable[[#This Row],[LP Qty]] * 100</f>
        <v>0</v>
      </c>
      <c r="CG331" s="31" t="e">
        <f>IF(ISNUMBER(SnapshotTable[[#This Row],[SP Premium]]), (SnapshotTable[[#This Row],[SP Qty]] * SnapshotTable[[#This Row],[SP Strike Price]]* 100) - SnapshotTable[[#This Row],[LP Protection]], 0)</f>
        <v>#VALUE!</v>
      </c>
      <c r="CH331" s="7" t="str">
        <f>IF(ISNUMBER(SnapshotTable[[#This Row],[SP Break Even]]),-1 * (SnapshotTable[[#This Row],[SP Break Even]] - SnapshotTable[[#This Row],[Last Price]]) / SnapshotTable[[#This Row],[Last Price]], "")</f>
        <v/>
      </c>
      <c r="CI331" s="31">
        <f>IF(AND(ISNUMBER((SnapshotTable[[#This Row],[SP Potential Spend]])), SnapshotTable[[#This Row],[SP Strike Price]] &gt; SnapshotTable[[#This Row],[Last Price]], SnapshotTable[[#This Row],[SP Is Filled]]), SnapshotTable[[#This Row],[SP Potential Spend]] -  SnapshotTable[[#This Row],[LP Max Value]], 0)</f>
        <v>0</v>
      </c>
      <c r="CJ331" s="244"/>
      <c r="CK331" s="31" t="str">
        <f>IF(ISNUMBER(SnapshotTable[[#This Row],[SP Potential Spend]]),IF(ISNUMBER(SnapshotTable[[#This Row],[SP POW]]), SnapshotTable[[#This Row],[SP POW]] * SnapshotTable[[#This Row],[SP Potential Spend]], SnapshotTable[[#This Row],[SP Potential Spend]]), "")</f>
        <v/>
      </c>
      <c r="CL331" s="164" t="e">
        <f>IF(NOT(SnapshotTable[[#This Row],[SP Is Filled]]),(SnapshotTable[[#This Row],[SP Qty]] * SnapshotTable[[#This Row],[SP Strike Price]] * 100) - SnapshotTable[[#This Row],[LP Max Value]],"")</f>
        <v>#VALUE!</v>
      </c>
      <c r="CM331" s="31" t="str">
        <f>IF(SnapshotTable[[#This Row],[SP Actual Spend]]&lt;&gt;0, ((SnapshotTable[[#This Row],[SP Strike Price]]-SnapshotTable[[#This Row],[Last Price]]) *(SnapshotTable[[#This Row],[SP Qty]]*100) - SnapshotTable[[#This Row],[SP Premium]]) * - 1, "")</f>
        <v/>
      </c>
      <c r="CN331" s="78"/>
      <c r="CO331" s="369"/>
      <c r="CP331" s="4" t="str">
        <f>IF(SnapshotTable[[#This Row],[SP Is Filled]], btc_max_buyback_amount(SnapshotTable[[#This Row],[SP Fill Date]],SnapshotTable[[#This Row],[SP Exp Date]], SnapshotTable[[#This Row],[SP Book Price]]),"")</f>
        <v/>
      </c>
      <c r="CQ331" s="78"/>
      <c r="CR33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1" s="155" t="str">
        <f>IF(SnapshotTable[[#This Row],[SP Is Filled]], btc_next_cutoff_date(SnapshotTable[[#This Row],[SP Fill Date]],SnapshotTable[[#This Row],[SP Exp Date]]),"")</f>
        <v/>
      </c>
      <c r="CT331" s="235" t="str" cm="1">
        <f t="array" ref="CT331">IF(SnapshotTable[[#This Row],[SP Is Filled]], btc_should_buy_back(SnapshotTable[[#This Row],[SP Fill Date]], SnapshotTable[[#This Row],[SP Exp Date]], SnapshotTable[[#This Row],[SP Book Price]], SnapshotTable[[#This Row],[SP Current Ask]], MockToday, SnapshotTable[[#This Row],[SP Buyback Override]]),"")</f>
        <v/>
      </c>
      <c r="CU331" s="143"/>
      <c r="CV331" s="235"/>
      <c r="CW331" s="378" t="str">
        <f>IF(ISNUMBER( SnapshotTable[[#This Row],[SP Term]]), SnapshotTable[[#This Row],[SP Exp Date]] - MockToday,"")</f>
        <v/>
      </c>
      <c r="CX331" s="31" t="str">
        <f>IF(SnapshotTable[[#This Row],[SP Is Filled]],SnapshotTable[[#This Row],[SP Buyback Price to Use]] * 100 * SnapshotTable[[#This Row],[SP Qty]], "")</f>
        <v/>
      </c>
      <c r="CY331" s="4" t="str">
        <f>IF(ISNUMBER(SnapshotTable[[#This Row],[SP Strike Price]]), SnapshotTable[[#This Row],[SP Strike Price]] * (1 - SP_MaxLoss_StrikePct), "")</f>
        <v/>
      </c>
      <c r="CZ331" s="31" t="str">
        <f>IF(ISNUMBER(SnapshotTable[[#This Row],[SP Strike  Stop Per Share]]),SnapshotTable[[#This Row],[SP Premium]] - ((SnapshotTable[[#This Row],[SP Strike Price]]-SnapshotTable[[#This Row],[SP Strike  Stop Per Share]]) *(SnapshotTable[[#This Row],[SP Qty]] * 100)),"")</f>
        <v/>
      </c>
      <c r="DA331" s="4" t="str">
        <f>IF(AND(ISNUMBER(SnapshotTable[[#This Row],[SP Premium]]),SnapshotTable[[#This Row],[SP Premium]]&gt;0), SnapshotTable[[#This Row],[SP Book Price]] * (1 + SP_MaxLoss_OptionPct), "")</f>
        <v/>
      </c>
      <c r="DB331" s="31" t="str">
        <f>IF(ISNUMBER(SnapshotTable[[#This Row],[SP Option  Stop Contract]]),(SnapshotTable[[#This Row],[SP Option  Stop Contract]] *(SnapshotTable[[#This Row],[SP Qty]] * 100) - SnapshotTable[[#This Row],[SP Premium]]),"")</f>
        <v/>
      </c>
      <c r="DC331" s="4"/>
      <c r="DD331" s="4"/>
      <c r="DE331" s="4" t="str">
        <f>IF(AND(SnapshotTable[[#This Row],[SP Qty]]&gt;0, SnapshotTable[[#This Row],[SP Stop To Use]]&gt;0),SnapshotTable[[#This Row],[SP Premium]] - ( SnapshotTable[[#This Row],[SP Qty]] * SnapshotTable[[#This Row],[SP Stop To Use]] * 100), "")</f>
        <v/>
      </c>
      <c r="DF331" s="31" t="str">
        <f>IF(AND(SnapshotTable[[#This Row],[SP Qty]]&gt;0,SnapshotTable[[#This Row],[SP Current Ask]]&gt;0), SnapshotTable[[#This Row],[SP Qty]] * SnapshotTable[[#This Row],[SP Current Ask]] * -100, "")</f>
        <v/>
      </c>
      <c r="DG331" s="31" t="str">
        <f>IF(ISNUMBER((SnapshotTable[[#This Row],[SP Total Value]])), SnapshotTable[[#This Row],[SP Premium]] + SnapshotTable[[#This Row],[SP Total Value]], "")</f>
        <v/>
      </c>
      <c r="DH331" s="294" t="str">
        <f>IF(ISNUMBER((SnapshotTable[[#This Row],[SP Total Value]])), SnapshotTable[[#This Row],[SP Gain Loss]] / SnapshotTable[[#This Row],[SP Premium]], "")</f>
        <v/>
      </c>
      <c r="DI331" s="406"/>
      <c r="DJ331" s="138"/>
      <c r="DK331" s="148"/>
      <c r="DL331" s="13"/>
      <c r="DM331" s="13"/>
      <c r="DO331" s="31">
        <f>IF(SnapshotTable[[#This Row],[LC Symbol Count]]=1, SnapshotTable[[#This Row],[LC Qty]] * SnapshotTable[[#This Row],[LC Book Price]] * 100, 0)</f>
        <v>0</v>
      </c>
      <c r="DP331" s="163" t="str">
        <f>IF(AND(SnapshotTable[[#This Row],[LC Exp Date]]&gt;0, SnapshotTable[[#This Row],[LC Strike Price]]&gt;0,SnapshotTable[[#This Row],[LC Qty]]&gt;0,SnapshotTable[[#This Row],[LC Book Date]]&gt;0,SnapshotTable[[#This Row],[LC Book Price]]&gt;0,SnapshotTable[[#This Row],[LC Fill Date]]=0),"Y","")</f>
        <v/>
      </c>
      <c r="DQ331" s="386" t="str">
        <f>IF(SnapshotTable[[#This Row],[LC Premium]] &gt; 0,SnapshotTable[[#This Row],[LC Exp Date]]-MAX(SnapshotTable[[#This Row],[LC Book Date]], SnapshotTable[[#This Row],[LC Fill Date]]),"")</f>
        <v/>
      </c>
      <c r="DR331" s="386" t="str">
        <f>IF(ISNUMBER(SnapshotTable[[#This Row],[LC Term]]), SnapshotTable[[#This Row],[LC Exp Date]] - MockToday, "")</f>
        <v/>
      </c>
      <c r="DS331" s="234" t="str">
        <f>IF(SnapshotTable[[#This Row],[LC Premium]]&gt;0,SnapshotTable[[#This Row],[LC Strike Price]] + SnapshotTable[[#This Row],[LC Book Price]],"")</f>
        <v/>
      </c>
      <c r="DU331" s="9" t="str">
        <f>IF(AND(SnapshotTable[[#This Row],[LC Symbol Count]]&gt;0, SnapshotTable[[#This Row],[LC Contract Value]]&gt;0), SnapshotTable[[#This Row],[LC Contract Value]] * SnapshotTable[[#This Row],[LC Qty]] * 100, "")</f>
        <v/>
      </c>
      <c r="DV331" s="9" t="str">
        <f>IF(AND(ISNUMBER(SnapshotTable[[#This Row],[LC Total Value]]), SnapshotTable[[#This Row],[LC Not Filled]]&lt;&gt;"Y"), SnapshotTable[[#This Row],[LC Total Value]]-SnapshotTable[[#This Row],[LC Premium]],"")</f>
        <v/>
      </c>
      <c r="DW331" s="240" t="str">
        <f>IF(ISNUMBER(SnapshotTable[[#This Row],[LC Actual Gain Loss]]), SnapshotTable[[#This Row],[LC Actual Gain Loss]] / SnapshotTable[[#This Row],[LC Premium]],"")</f>
        <v/>
      </c>
      <c r="DX331" s="284" t="str">
        <f>IF(ISNUMBER(SnapshotTable[[#This Row],[LC Book Price]]),SnapshotTable[[#This Row],[LC Book Price]] * 1.5,"")</f>
        <v/>
      </c>
      <c r="DY331" s="265" t="str">
        <f>IF(SnapshotTable[[#This Row],[LC Premium]]&gt;0, SnapshotTable[[#This Row],[LC Next Target]] * SnapshotTable[[#This Row],[LC Qty]] * 100,"")</f>
        <v/>
      </c>
      <c r="DZ331" s="265" t="str">
        <f>IF(ISNUMBER(SnapshotTable[[#This Row],[LC Target Gross]]), SnapshotTable[[#This Row],[LC Target Gross]] - SnapshotTable[[#This Row],[LC Premium]], "")</f>
        <v/>
      </c>
      <c r="EA331" s="305" t="str">
        <f>IF(ISNUMBER(SnapshotTable[[#This Row],[LC Target Gain Loss]]), SnapshotTable[[#This Row],[LC Target Gain Loss]]/SnapshotTable[[#This Row],[LC Premium]], "")</f>
        <v/>
      </c>
      <c r="EB331" s="262"/>
      <c r="EC331" s="283" t="str">
        <f>IF(SnapshotTable[[#This Row],[LC Premium]]&gt;0, SnapshotTable[[#This Row],[LC Book Price]] * (1 - LC_StopLoss_Pct),"")</f>
        <v/>
      </c>
      <c r="ED331" s="284"/>
      <c r="EE331" s="283" t="str">
        <f>IF(ISNUMBER(SnapshotTable[[#This Row],[LC Contract Value]]),IF(ISNUMBER(SnapshotTable[[#This Row],[LC Stop Loss Override]]), SnapshotTable[[#This Row],[LC Stop Loss Override]],SnapshotTable[[#This Row],[LC Stop Loss Calc Target]]),"")</f>
        <v/>
      </c>
      <c r="EF331" s="31" t="str">
        <f>IF(ISNUMBER(SnapshotTable[[#This Row],[LC Stop  To Use]]), (SnapshotTable[[#This Row],[LC Stop  To Use]] * SnapshotTable[[#This Row],[LC Qty]] * 100),"")</f>
        <v/>
      </c>
      <c r="EG331" s="9" t="str">
        <f>IF(ISNUMBER(SnapshotTable[[#This Row],[LC Total Value]]),SnapshotTable[[#This Row],[LC Stop Loss Amount]] - SnapshotTable[[#This Row],[LC Premium]],"")</f>
        <v/>
      </c>
      <c r="EH331" s="9">
        <f>IF(ISNUMBER(SnapshotTable[[#This Row],[LC Premium]]), SnapshotTable[[#This Row],[LC Qty]] * 100 * SnapshotTable[[#This Row],[LC Strike Price]], "")</f>
        <v>0</v>
      </c>
      <c r="EI331" s="240" t="str">
        <f>IF(AND(ISNUMBER(SnapshotTable[[#This Row],[LC Total Value]]),SnapshotTable[[#This Row],[LC Total Value]]&gt;0),SnapshotTable[[#This Row],[LC Stop Gain Loss]]  / SnapshotTable[[#This Row],[LC Premium]],"")</f>
        <v/>
      </c>
      <c r="EJ331" s="35">
        <f>IF(ISNUMBER(SnapshotTable[[#This Row],[Equity Shares]]),TRUNC(SnapshotTable[[#This Row],[Equity Shares]] / 100),0) + SnapshotTable[[#This Row],[LC Qty]]</f>
        <v>0</v>
      </c>
      <c r="EK331" s="147"/>
      <c r="EL331" s="138" t="str">
        <f>IF(SnapshotTable[[#This Row],[SC Exp Date]]&lt;&gt;"",TRUNC(SnapshotTable[[#This Row],[Last Price]]),"")</f>
        <v/>
      </c>
      <c r="EM331" s="148"/>
      <c r="EN331" s="147"/>
      <c r="EO331" s="147"/>
      <c r="EP331" s="138"/>
      <c r="EQ331" s="419" t="b">
        <f>AND(ISNUMBER(SnapshotTable[[#This Row],[SC Exp Date]]), ISNUMBER(SnapshotTable[[#This Row],[SC Strike Price]]), ISNUMBER(SnapshotTable[[#This Row],[SC Qty]]), ISNUMBER(SnapshotTable[[#This Row],[SC Book Date]]), ISNUMBER(SnapshotTable[[#This Row],[SC Book Price]]))</f>
        <v>0</v>
      </c>
      <c r="ER331" s="419" t="b">
        <f>AND(SnapshotTable[[#This Row],[SC Is Booked]], NOT(ISBLANK(SnapshotTable[[#This Row],[SC Fill Date]])))</f>
        <v>0</v>
      </c>
      <c r="ES331" s="370"/>
      <c r="ET331" s="34" t="str">
        <f>IF(AND(ISNUMBER(SnapshotTable[[#This Row],[SC Exp Date]]), ISNUMBER(SnapshotTable[[#This Row],[SC Book Date]])), SnapshotTable[[#This Row],[SC Exp Date]] - MAX(SnapshotTable[[#This Row],[SC Book Date]], SnapshotTable[[#This Row],[SC Fill Date]]) + 1, "")</f>
        <v/>
      </c>
      <c r="EU331" s="34" t="str">
        <f>IF(ISNUMBER(SnapshotTable[[#This Row],[SC Term]]), SnapshotTable[[#This Row],[SC Exp Date]]- MockToday, "")</f>
        <v/>
      </c>
      <c r="EV331" s="31">
        <f>IF(SnapshotTable[[#This Row],[SC Is Booked]], SnapshotTable[[#This Row],[SC Qty]] * SnapshotTable[[#This Row],[SC Book Price]] * 100, 0)</f>
        <v>0</v>
      </c>
      <c r="EW331" s="4" t="str">
        <f>IF(AND(ISNUMBER(SnapshotTable[[#This Row],[Last Price]]), ISNUMBER( SnapshotTable[[#This Row],[SC Book Price]])), SnapshotTable[[#This Row],[Last Price]] - SnapshotTable[[#This Row],[SC Book Price]],"")</f>
        <v/>
      </c>
      <c r="EX331" s="234" t="str">
        <f>IF(SnapshotTable[[#This Row],[SC Is Booked]],IF(SnapshotTable[[#This Row],[SC Intrinsic Value]] &gt; 0, SnapshotTable[[#This Row],[SC Strike Price]], SnapshotTable[[#This Row],[Last Price]]), "")</f>
        <v/>
      </c>
      <c r="EY331" s="4">
        <f>IF(SnapshotTable[[#This Row],[SC Is Booked]], (MinimumPremiumRequired * SnapshotTable[[#This Row],[SC Basis]] * SnapshotTable[[#This Row],[SC Term]]), 0)</f>
        <v>0</v>
      </c>
      <c r="EZ331" s="283"/>
      <c r="FA331" s="218"/>
      <c r="FB331" s="370"/>
      <c r="FC331" s="4">
        <f>IF(SnapshotTable[[#This Row],[SC Is Filled]], btc_max_buyback_amount(SnapshotTable[[#This Row],[SC Fill Date]],SnapshotTable[[#This Row],[SC Exp Date]], SnapshotTable[[#This Row],[SC Book Price]]),0)</f>
        <v>0</v>
      </c>
      <c r="FD331" s="5"/>
      <c r="FE331" s="144" t="str">
        <f>IF(SnapshotTable[[#This Row],[SC Is Filled]], btc_next_cutoff_date(SnapshotTable[[#This Row],[SC Fill Date]],SnapshotTable[[#This Row],[SC Exp Date]]),"")</f>
        <v/>
      </c>
      <c r="FF331" s="4" t="str" cm="1">
        <f t="array" ref="FF331">IF(SnapshotTable[[#This Row],[SC Is Filled]], btc_should_buy_back(SnapshotTable[[#This Row],[SC Fill Date]], SnapshotTable[[#This Row],[SC Exp Date]], SnapshotTable[[#This Row],[SC Book Price]], SnapshotTable[[#This Row],[SC Current Ask]], MockToday, SnapshotTable[[#This Row],[SC Buyback Override]]),"")</f>
        <v/>
      </c>
      <c r="FG331" s="4">
        <f>IF(SnapshotTable[[#This Row],[SC Is Filled]], MAX(0,SnapshotTable[[#This Row],[Last Price]]  - SnapshotTable[[#This Row],[SC Strike Price]]), 0)</f>
        <v>0</v>
      </c>
      <c r="FH331" s="382">
        <f>IF(SnapshotTable[[#This Row],[SC Is Filled]], IF(ISNUMBER(SnapshotTable[[#This Row],[SC Current Ask]]), SnapshotTable[[#This Row],[SC Current Ask]], SnapshotTable[[#This Row],[SC Book Price]]) - SnapshotTable[[#This Row],[SC Intrinsic Value]], 0)</f>
        <v>0</v>
      </c>
      <c r="FI331" s="143"/>
      <c r="FJ331" s="32" t="str">
        <f>IF(SnapshotTable[[#This Row],[SC Is Filled]],100 * SnapshotTable[[#This Row],[SC Qty]] * IF(ISNUMBER(SnapshotTable[[#This Row],[SC Buyback Override]]), SnapshotTable[[#This Row],[SC Buyback Override]], SnapshotTable[[#This Row],[SC Current Ask]]), "")</f>
        <v/>
      </c>
      <c r="FK331" s="250" t="str">
        <f>IF(SnapshotTable[[#This Row],[SC Time Val]]&gt;0, SnapshotTable[[#This Row],[SC Time Val]] / SnapshotTable[[#This Row],[Last Price]],"")</f>
        <v/>
      </c>
      <c r="FL331" s="302" t="str">
        <f>IF(SnapshotTable[[#This Row],[SC Is Booked]], ((SnapshotTable[[#This Row],[Last Price]] -SnapshotTable[[#This Row],[SC Strike Price]]) / SnapshotTable[[#This Row],[Last Price]]) * -1, "")</f>
        <v/>
      </c>
      <c r="FM331" s="157" t="str">
        <f>IF(SnapshotTable[[#This Row],[SC Is Booked]],  (SnapshotTable[[#This Row],[SC Qty]] * 100 * SnapshotTable[[#This Row],[SC Strike Price]]) - SnapshotTable[[#This Row],[SC Current Ask]], "")</f>
        <v/>
      </c>
      <c r="FN33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1" s="31" t="str">
        <f>IF(AND(ISNUMBER(SnapshotTable[[#This Row],[SC Exercise Gross]]), ISNUMBER(SnapshotTable[[#This Row],[Equity Basis Per Share]] )), SnapshotTable[[#This Row],[SC Exercise Gross]] - SnapshotTable[[#This Row],[Equity Basis Total]] +  SnapshotTable[[#This Row],[SC Premium]], "")</f>
        <v/>
      </c>
      <c r="FP331" s="5" t="str">
        <f>IF(ISNUMBER(SnapshotTable[[#This Row],[SC Exercise Gross]]), (SnapshotTable[[#This Row],[SC Exercise Gross]]) / (SnapshotTable[[#This Row],[SC Qty]] * 100), "")</f>
        <v/>
      </c>
      <c r="FQ331" s="27" t="str">
        <f>IF(SnapshotTable[[#This Row],[SC Is Booked]],SnapshotTable[[#This Row],[SC Time Val]] /SnapshotTable[[#This Row],[SC Basis]], "")</f>
        <v/>
      </c>
      <c r="FR331" s="27" t="str" cm="1">
        <f t="array" ref="FR331">IF(AND(ISNUMBER(SnapshotTable[[#This Row],[SC Term]]),ISNUMBER(SnapshotTable[[#This Row],[SC Simple ROO]])), EllmanAnnualize(SnapshotTable[[#This Row],[SC DTE]], SnapshotTable[[#This Row],[SC Simple ROO]] ),"")</f>
        <v/>
      </c>
      <c r="FS331" s="4" t="e">
        <f>IF(SnapshotTable[[#This Row],[SC Strike Price]] &gt; SnapshotTable[[#This Row],[Last Price]], SnapshotTable[[#This Row],[SC Strike Price]] - SnapshotTable[[#This Row],[Last Price]],0)</f>
        <v>#VALUE!</v>
      </c>
      <c r="FT331" s="27" t="e">
        <f>IF(AND(ISNUMBER(SnapshotTable[[#This Row],[SC Upside Potential]]), SnapshotTable[[#This Row],[SC Upside Potential]] &gt; 0),(SnapshotTable[[#This Row],[SC Upside Potential]]/ SnapshotTable[[#This Row],[ACB]]),"")</f>
        <v>#VALUE!</v>
      </c>
      <c r="FU331" s="333" t="str">
        <f>IF(SnapshotTable[[#This Row],[SC Intrinsic Value]] &gt; 0,SnapshotTable[[#This Row],[SC Intrinsic Value]],"")</f>
        <v/>
      </c>
      <c r="FV331" s="27" t="str">
        <f>IF(AND( ISNUMBER( SnapshotTable[[#This Row],[ACB]]),ISNUMBER(SnapshotTable[[#This Row],[SC Downside Protect]])),SnapshotTable[[#This Row],[SC Downside Protect]] / SnapshotTable[[#This Row],[ACB]],"")</f>
        <v/>
      </c>
      <c r="FW331" s="236" t="str">
        <f>IF(AND(ISNUMBER(SnapshotTable[[#This Row],[SC Simple ROO]]),SnapshotTable[[#This Row],[SC Simple ROO]] &gt; 0), SnapshotTable[[#This Row],[SC Premium]] + (SnapshotTable[[#This Row],[SC Qty]] * SnapshotTable[[#This Row],[SC Upside Potential]]), "")</f>
        <v/>
      </c>
      <c r="FX331" s="302" t="str" cm="1">
        <f t="array" ref="FX331">IF(ISNUMBER(SnapshotTable[[#This Row],[SC Max Dollars]]), annualize(SnapshotTable[[#This Row],[SC Term]],(SnapshotTable[[#This Row],[SC Max Dollars]]/SnapshotTable[[#This Row],[SC Basis]])),"")</f>
        <v/>
      </c>
      <c r="FY331" s="236" t="str">
        <f>IF(AND(SnapshotTable[[#This Row],[SC Qty]]&gt;0,SnapshotTable[[#This Row],[SC Current Ask]]&gt;0), SnapshotTable[[#This Row],[SC Qty]] * SnapshotTable[[#This Row],[SC Current Ask]] * -100, "")</f>
        <v/>
      </c>
      <c r="FZ331" s="31" t="str">
        <f>IF(ISNUMBER((SnapshotTable[[#This Row],[SC Current Value]])), SnapshotTable[[#This Row],[SC Premium]] + SnapshotTable[[#This Row],[SC Current Value]], "")</f>
        <v/>
      </c>
      <c r="GA331" s="294" t="str">
        <f>IFERROR( IF(ISNUMBER((SnapshotTable[[#This Row],[SC Current Value]])), SnapshotTable[[#This Row],[SC Gain Loss]] / SnapshotTable[[#This Row],[SC Premium]], ""), "")</f>
        <v/>
      </c>
      <c r="GB331" s="42">
        <f>SnapshotTable[[#This Row],[Equity Shares]] * SaleSharesToConsiderPercentage</f>
        <v>0</v>
      </c>
      <c r="GC331" s="40" t="e">
        <f>SnapshotTable[[#This Row],[Long Term Target]] * SellingPriceToConsiderBasedOnTargetPercentage</f>
        <v>#VALUE!</v>
      </c>
      <c r="GD331" s="40">
        <f>SnapshotTable[[#This Row],[Last Price]] * (1+ SellingPriceToConsiderBasedOnTargetPercentage)</f>
        <v>256.77600000000001</v>
      </c>
      <c r="GE331" s="41"/>
      <c r="GF331" s="40"/>
      <c r="GG331" s="31">
        <f>SnapshotTable[[#This Row],[Booked Sale Shares]] * SnapshotTable[[#This Row],[Booked Sale Price]]</f>
        <v>0</v>
      </c>
      <c r="GH331" s="31" t="str">
        <f>IF(SnapshotTable[[#This Row],[Equity Basis Total]] &gt; 0, SnapshotTable[[#This Row],[Equity Basis Per Share]] * SnapshotTable[[#This Row],[Booked Sale Shares]], "")</f>
        <v/>
      </c>
      <c r="GI331" s="31">
        <f>IF(SnapshotTable[[#This Row],[Sale Proceeds]]&gt;0, SnapshotTable[[#This Row],[Sale Proceeds]] - SnapshotTable[[#This Row],[Sale Basis]], 0)</f>
        <v>0</v>
      </c>
      <c r="GJ331" s="27" t="str">
        <f>IF(SnapshotTable[[#This Row],[Sale G/L]]&gt;0, SnapshotTable[[#This Row],[Sale G/L]] / SnapshotTable[[#This Row],[Sale Basis]], IF(ISNUMBER(SnapshotTable[[#This Row],[SC Exercise P&amp;L (TAX)]]), SnapshotTable[[#This Row],[SC Exercise P&amp;L (TAX)]] / SnapshotTable[[#This Row],[SC Basis]], ""))</f>
        <v/>
      </c>
      <c r="GK331" s="27" t="s">
        <v>784</v>
      </c>
      <c r="GL331" s="43" t="str">
        <f>IF(AND(SnapshotTable[[#This Row],[LP Exp Date]]&gt;0,SnapshotTable[[#This Row],[LP Strike Price]]&gt;0), [1]!ToOptionSymbol(SnapshotTable[[#This Row],[Symbol]], SnapshotTable[[#This Row],[LP Strike Price]],SnapshotTable[[#This Row],[LP Exp Date]],1), "")</f>
        <v/>
      </c>
      <c r="GM331" s="30" t="str">
        <f>IF(LEN(SnapshotTable[[#This Row],[LP Symbol]])&gt;0, 1, "")</f>
        <v/>
      </c>
      <c r="GN331" s="43" t="str">
        <f>IF(AND(SnapshotTable[[#This Row],[SP Exp Date]]&gt;0,SnapshotTable[[#This Row],[SP Strike Price]]&gt;0), [1]!ToOptionSymbol(SnapshotTable[[#This Row],[Symbol]], SnapshotTable[[#This Row],[SP Strike Price]],SnapshotTable[[#This Row],[SP Exp Date]],1), "")</f>
        <v/>
      </c>
      <c r="GO331" s="30" t="str">
        <f>IF(LEN(SnapshotTable[[#This Row],[SP Symbol]])&gt;0, 1, "")</f>
        <v/>
      </c>
      <c r="GP331" s="43" t="str">
        <f>IF(AND(SnapshotTable[[#This Row],[LC Exp Date]]&gt;0,SnapshotTable[[#This Row],[LC Strike Price]]&gt;0), [1]!ToOptionSymbol(SnapshotTable[[#This Row],[Symbol]], SnapshotTable[[#This Row],[LC Strike Price]],SnapshotTable[[#This Row],[LC Exp Date]],0), "")</f>
        <v/>
      </c>
      <c r="GQ331" s="30" t="str">
        <f>IF(LEN(SnapshotTable[[#This Row],[LC Symbol]])&gt;0, 1, "")</f>
        <v/>
      </c>
      <c r="GR331" s="43" t="str">
        <f>IF(AND(SnapshotTable[[#This Row],[SC Exp Date]]&gt;0,SnapshotTable[[#This Row],[SC Strike Price]]&gt;0), [1]!ToOptionSymbol(SnapshotTable[[#This Row],[Symbol]], SnapshotTable[[#This Row],[SC Strike Price]],SnapshotTable[[#This Row],[SC Exp Date]],0), "")</f>
        <v/>
      </c>
      <c r="GS331" s="30" t="str">
        <f>IF(LEN(SnapshotTable[[#This Row],[SC Symbol]])&gt;0, 1, "")</f>
        <v/>
      </c>
      <c r="GT331" s="29" t="str">
        <f>IF(COUNT(SnapshotTable[[#This Row],[LP Symbol Count]],SnapshotTable[[#This Row],[SP Symbol Count]],SnapshotTable[[#This Row],[LC Symbol Count]],SnapshotTable[[#This Row],[SC Symbol Count]])&gt;0, "Y", "")</f>
        <v/>
      </c>
      <c r="GU33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1" s="231" t="e">
        <f>MAX(SnapshotTable[[#This Row],[Equity Basis Total]],SnapshotTable[[#This Row],[Equity Value]]) + (SnapshotTable[[#This Row],[SP Potential Spend]]- SnapshotTable[[#This Row],[SP Premium]] + SnapshotTable[[#This Row],[LP Premium]])+ (SnapshotTable[[#This Row],[LC Premium]] - SnapshotTable[[#This Row],[SC Premium]])</f>
        <v>#VALUE!</v>
      </c>
      <c r="GW331" s="139" t="e">
        <f>IF(AND(SnapshotTable[[#This Row],[Exposure]] &lt;&gt; 0),SnapshotTable[[#This Row],[Exposure]] / SnapshotTable[[#Totals],[Exposure]], "")</f>
        <v>#VALUE!</v>
      </c>
      <c r="HK331" s="1"/>
      <c r="HL331" s="1"/>
      <c r="HM331" s="1"/>
      <c r="HN331" s="1"/>
      <c r="HO331" s="1"/>
      <c r="HP331" s="1"/>
    </row>
    <row r="332" spans="2:224" ht="12.75" hidden="1" customHeight="1" x14ac:dyDescent="0.25">
      <c r="B332" s="12" t="s">
        <v>251</v>
      </c>
      <c r="C332" s="422">
        <v>131.24</v>
      </c>
      <c r="D332" s="208"/>
      <c r="E332" s="39">
        <f>SnapshotTable[[#This Row],[Last Price]]*(1 -CrashDiscount)</f>
        <v>111.554</v>
      </c>
      <c r="F332" s="26" t="s">
        <v>135</v>
      </c>
      <c r="G332" s="26" t="s">
        <v>20</v>
      </c>
      <c r="H332" s="149"/>
      <c r="I332" s="194">
        <v>44596</v>
      </c>
      <c r="J332" s="195">
        <v>44596</v>
      </c>
      <c r="K332" s="196"/>
      <c r="L332" s="326"/>
      <c r="M332" s="140"/>
      <c r="N332" s="140"/>
      <c r="O332" s="140">
        <v>1</v>
      </c>
      <c r="P332" s="22"/>
      <c r="Q332" s="25"/>
      <c r="R332" s="4" t="str">
        <f>IF(SnapshotTable[[#This Row],[Equity Basis Total]] &gt; 0, SnapshotTable[[#This Row],[Equity Basis Total]] / SnapshotTable[[#This Row],[Equity Shares]], "")</f>
        <v/>
      </c>
      <c r="S332" s="269">
        <f>SnapshotTable[[#This Row],[Last Price]] * SnapshotTable[[#This Row],[Equity Shares]]</f>
        <v>0</v>
      </c>
      <c r="T332" s="269">
        <f>SnapshotTable[[#This Row],[Equity Value]] - SnapshotTable[[#This Row],[Equity Basis Total]]</f>
        <v>0</v>
      </c>
      <c r="U332" s="270" t="str">
        <f>IF(SnapshotTable[[#This Row],[Equity Basis Total]] &gt; 0, SnapshotTable[[#This Row],[Equity G/L]] / SnapshotTable[[#This Row],[Equity Basis Total]], "")</f>
        <v/>
      </c>
      <c r="V332" s="268"/>
      <c r="W332" s="268"/>
      <c r="X332" s="4" t="str">
        <f>IF(AND(ISNUMBER(SnapshotTable[[#This Row],[Equity Basis Per Share]]),ISNUMBER(SnapshotTable[[#This Row],[Equity Target]])),SnapshotTable[[#This Row],[Equity Target]]-SnapshotTable[[#This Row],[Equity Basis Per Share]],"")</f>
        <v/>
      </c>
      <c r="Y332" s="4" t="str">
        <f>IF(AND(ISNUMBER(SnapshotTable[[#This Row],[Equity Basis Per Share]]),ISNUMBER(SnapshotTable[[#This Row],[Equity Stop Loss]])),SnapshotTable[[#This Row],[Equity Stop Loss]]-SnapshotTable[[#This Row],[Equity Basis Per Share]],"")</f>
        <v/>
      </c>
      <c r="Z332" s="275" t="str">
        <f>IFERROR( TEXT(SnapshotTable[[#This Row],[Equity Max Gain Per Share]] /ABS( SnapshotTable[[#This Row],[Equity Max Loss Per Share]]),"0.0 " ) &amp; " : 1", "")</f>
        <v/>
      </c>
      <c r="AA332" s="31" t="str">
        <f>IF(ISNUMBER(SnapshotTable[[#This Row],[Equity Max Gain Per Share]]),SnapshotTable[[#This Row],[Equity Max Gain Per Share]] * SnapshotTable[[#This Row],[Equity Shares]],"")</f>
        <v/>
      </c>
      <c r="AB332" s="31" t="str">
        <f>IF(ISNUMBER(SnapshotTable[[#This Row],[Equity Max Loss Per Share]]),SnapshotTable[[#This Row],[Equity Max Loss Per Share]] * SnapshotTable[[#This Row],[Equity Shares]],"")</f>
        <v/>
      </c>
      <c r="AC332" s="150">
        <v>2.8</v>
      </c>
      <c r="AD332" s="151">
        <v>42988</v>
      </c>
      <c r="AE332" s="31">
        <f>(SnapshotTable[[#This Row],[Annual Dividend Per Share]] / 4) * SnapshotTable[[#This Row],[Equity Shares]]</f>
        <v>0</v>
      </c>
      <c r="AF332" s="31">
        <f>SnapshotTable[[#This Row],[Quarterly Div $]] * 4</f>
        <v>0</v>
      </c>
      <c r="AG332" s="7">
        <f>IF(SnapshotTable[[#This Row],[Annual Dividend Per Share]]&gt;0, SnapshotTable[[#This Row],[Annual Dividend Per Share]]  / SnapshotTable[[#This Row],[Last Price]], 0)</f>
        <v>2.1334958854007921E-2</v>
      </c>
      <c r="AH332" s="151">
        <v>42963</v>
      </c>
      <c r="AI332" s="5"/>
      <c r="AJ332" s="138">
        <v>198.76</v>
      </c>
      <c r="AK332" s="152" t="str">
        <f>IF(ISNUMBER( SnapshotTable[[#This Row],[EBF Target]]),(SnapshotTable[[#This Row],[EBF Target]] - SnapshotTable[[#This Row],[Last Price]]) / SnapshotTable[[#This Row],[Last Price]], "")</f>
        <v/>
      </c>
      <c r="AL332" s="152" t="str">
        <f>IF(AND(SnapshotTable[[#This Row],[Equity Basis Total]] &gt; 0,ISNUMBER( SnapshotTable[[#This Row],[Long Term Target]])), SnapshotTable[[#This Row],[From Basis $]] / SnapshotTable[[#This Row],[Equity Basis Total]], "")</f>
        <v/>
      </c>
      <c r="AM332" s="9">
        <f>IF( AND(SnapshotTable[[#This Row],[Equity Shares]] &gt;0,ISNUMBER( SnapshotTable[[#This Row],[Long Term Target]])),(SnapshotTable[[#This Row],[Equity Shares]] * SnapshotTable[[#This Row],[Long Term Target]]) - SnapshotTable[[#This Row],[Equity Basis Total]],0)</f>
        <v>0</v>
      </c>
      <c r="AN332" s="9">
        <f>IF( AND(SnapshotTable[[#This Row],[Equity Shares]] &gt;0,ISNUMBER( SnapshotTable[[#This Row],[Long Term Target]])),(SnapshotTable[[#This Row],[Equity Shares]]*SnapshotTable[[#This Row],[Long Term Target]]) - SnapshotTable[[#This Row],[Equity Value]],0)</f>
        <v>0</v>
      </c>
      <c r="AO332" s="152">
        <f>IF(AND(ISNUMBER( SnapshotTable[[#This Row],[Long Term Target]]), ISNUMBER(SnapshotTable[[#This Row],[Last Price]])),(SnapshotTable[[#This Row],[Long Term Target]] - SnapshotTable[[#This Row],[Last Price]]) / SnapshotTable[[#This Row],[Last Price]], "")</f>
        <v>0.51447729350807658</v>
      </c>
      <c r="AP332" s="5"/>
      <c r="AQ332" s="38"/>
      <c r="AR332" s="5"/>
      <c r="AS332" s="38"/>
      <c r="AT332" s="146"/>
      <c r="AU332" s="187" t="str">
        <f>IF(OR(SnapshotTable[[#This Row],[LP No Fill]]="Y",SnapshotTable[[#This Row],[SP Is Filled]],SnapshotTable[[#This Row],[LC Not Filled]]="Y",SnapshotTable[[#This Row],[SC Is Filled]]),"Y","")</f>
        <v/>
      </c>
      <c r="AV332" s="219"/>
      <c r="AW332" s="225"/>
      <c r="AX332" s="220"/>
      <c r="AY332" s="219" t="str">
        <f>IF(SnapshotTable[[#This Row],[Implied Move]]&gt;0, SnapshotTable[[#This Row],[Last Price]]-SnapshotTable[[#This Row],[Implied Move]],"")</f>
        <v/>
      </c>
      <c r="AZ332" s="219" t="str">
        <f>IF(SnapshotTable[[#This Row],[Implied Move]]&gt;0, SnapshotTable[[#This Row],[Last Price]] + SnapshotTable[[#This Row],[Implied Move]],"")</f>
        <v/>
      </c>
      <c r="BA332" s="331"/>
      <c r="BB332" s="347"/>
      <c r="BC33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2" s="351"/>
      <c r="BE332" s="5"/>
      <c r="BF332" s="14"/>
      <c r="BG332" s="13"/>
      <c r="BH332" s="13"/>
      <c r="BI332" s="5"/>
      <c r="BJ332" s="136">
        <f>IF(SnapshotTable[[#This Row],[LP Qty]] &gt; 0, SnapshotTable[[#This Row],[LP Qty]] * SnapshotTable[[#This Row],[LP Book Price]] * 100,0)</f>
        <v>0</v>
      </c>
      <c r="BK332" s="136">
        <f>IF(SnapshotTable[[#This Row],[LP Premium]] &gt; 0, SnapshotTable[[#This Row],[LP Qty]] * SnapshotTable[[#This Row],[LP Strike Price]] * 100,0)</f>
        <v>0</v>
      </c>
      <c r="BL332" s="154"/>
      <c r="BM332" s="385" t="str">
        <f>IF(SnapshotTable[[#This Row],[LP Premium]] &gt; 0,SnapshotTable[[#This Row],[LP Exp Date]]-MAX(SnapshotTable[[#This Row],[LP Book Date]], SnapshotTable[[#This Row],[LP Fill Date]]),"")</f>
        <v/>
      </c>
      <c r="BN332" s="385" t="str">
        <f>IF(ISNUMBER( SnapshotTable[[#This Row],[LP Term]]), SnapshotTable[[#This Row],[LP Exp Date]] - MockToday,"")</f>
        <v/>
      </c>
      <c r="BO332" s="163" t="str">
        <f>IF(AND(SnapshotTable[[#This Row],[LP Exp Date]]&gt;0, SnapshotTable[[#This Row],[LP Strike Price]]&gt;0,SnapshotTable[[#This Row],[LP Qty]]&gt;0,SnapshotTable[[#This Row],[LP Book Date]]&gt;0,SnapshotTable[[#This Row],[LP Book Price]]&gt;0,SnapshotTable[[#This Row],[LP Fill Date]]=0),"Y","")</f>
        <v/>
      </c>
      <c r="BP332" s="31" t="str">
        <f>IF(AND(SnapshotTable[[#This Row],[LP No Fill]]&lt;&gt;"Y",SnapshotTable[[#This Row],[LP Contract Value]]&gt;0, SnapshotTable[[#This Row],[LP Qty]]&gt;0), SnapshotTable[[#This Row],[LP Contract Value]]*SnapshotTable[[#This Row],[LP Qty]]*100,"")</f>
        <v/>
      </c>
      <c r="BQ332" s="13"/>
      <c r="BR332" s="5" t="str">
        <f>IF(SnapshotTable[[#This Row],[SP Exp Date]]&lt;&gt;"",TRUNC(SnapshotTable[[#This Row],[Last Price]]),"")</f>
        <v/>
      </c>
      <c r="BS332" s="36"/>
      <c r="BT332" s="147"/>
      <c r="BU332" s="13"/>
      <c r="BV332" s="5"/>
      <c r="BW332" s="419" t="b">
        <f>AND(ISNUMBER(SnapshotTable[[#This Row],[SP Exp Date]]), ISNUMBER(SnapshotTable[[#This Row],[SP Strike Price]]), ISNUMBER(SnapshotTable[[#This Row],[SP Qty]]), ISNUMBER(SnapshotTable[[#This Row],[SP Book Date]]), ISNUMBER(SnapshotTable[[#This Row],[SP Book Price]]))</f>
        <v>0</v>
      </c>
      <c r="BX332" s="419" t="b">
        <f>AND(SnapshotTable[[#This Row],[SP Is Booked]], NOT(ISBLANK(SnapshotTable[[#This Row],[SP Fill Date]])))</f>
        <v>0</v>
      </c>
      <c r="BY332" s="33">
        <f>IF(SnapshotTable[[#This Row],[SP Is Booked]], SnapshotTable[[#This Row],[SP Qty]] * SnapshotTable[[#This Row],[SP Book Price]] * 100, 0)</f>
        <v>0</v>
      </c>
      <c r="BZ332" s="369"/>
      <c r="CA332" s="368">
        <f>SnapshotTable[[#This Row],[LP Qty]]</f>
        <v>0</v>
      </c>
      <c r="CB332" s="4" t="str">
        <f>IF(SnapshotTable[[#This Row],[SP Is Booked]], SnapshotTable[[#This Row],[SP Strike Price]] - SnapshotTable[[#This Row],[SP Book Price]], "")</f>
        <v/>
      </c>
      <c r="CC332" s="19" t="str">
        <f>IF(SnapshotTable[[#This Row],[SP Is Booked]],SnapshotTable[[#This Row],[SP Exp Date]]-MAX(SnapshotTable[[#This Row],[SP Book Date]], SnapshotTable[[#This Row],[SP Fill Date]]),"")</f>
        <v/>
      </c>
      <c r="CD332" s="7" t="str">
        <f>IF(SnapshotTable[[#This Row],[SP Is Booked]], SnapshotTable[[#This Row],[SP Book Price]]/SnapshotTable[[#This Row],[SP Strike Price]], "")</f>
        <v/>
      </c>
      <c r="CE332" s="7" t="str">
        <f>IF(ISNUMBER(SnapshotTable[[#This Row],[SP ROO Term]]),SnapshotTable[[#This Row],[SP ROO Term]]*(365/SnapshotTable[[#This Row],[SP Term]]),"")</f>
        <v/>
      </c>
      <c r="CF332" s="236">
        <f>SnapshotTable[[#This Row],[LP Strike Price]] * SnapshotTable[[#This Row],[LP Qty]] * 100</f>
        <v>0</v>
      </c>
      <c r="CG332" s="31" t="e">
        <f>IF(ISNUMBER(SnapshotTable[[#This Row],[SP Premium]]), (SnapshotTable[[#This Row],[SP Qty]] * SnapshotTable[[#This Row],[SP Strike Price]]* 100) - SnapshotTable[[#This Row],[LP Protection]], 0)</f>
        <v>#VALUE!</v>
      </c>
      <c r="CH332" s="7" t="str">
        <f>IF(ISNUMBER(SnapshotTable[[#This Row],[SP Break Even]]),-1 * (SnapshotTable[[#This Row],[SP Break Even]] - SnapshotTable[[#This Row],[Last Price]]) / SnapshotTable[[#This Row],[Last Price]], "")</f>
        <v/>
      </c>
      <c r="CI332" s="31">
        <f>IF(AND(ISNUMBER((SnapshotTable[[#This Row],[SP Potential Spend]])), SnapshotTable[[#This Row],[SP Strike Price]] &gt; SnapshotTable[[#This Row],[Last Price]], SnapshotTable[[#This Row],[SP Is Filled]]), SnapshotTable[[#This Row],[SP Potential Spend]] -  SnapshotTable[[#This Row],[LP Max Value]], 0)</f>
        <v>0</v>
      </c>
      <c r="CJ332" s="244"/>
      <c r="CK332" s="31" t="str">
        <f>IF(ISNUMBER(SnapshotTable[[#This Row],[SP Potential Spend]]),IF(ISNUMBER(SnapshotTable[[#This Row],[SP POW]]), SnapshotTable[[#This Row],[SP POW]] * SnapshotTable[[#This Row],[SP Potential Spend]], SnapshotTable[[#This Row],[SP Potential Spend]]), "")</f>
        <v/>
      </c>
      <c r="CL332" s="164" t="e">
        <f>IF(NOT(SnapshotTable[[#This Row],[SP Is Filled]]),(SnapshotTable[[#This Row],[SP Qty]] * SnapshotTable[[#This Row],[SP Strike Price]] * 100) - SnapshotTable[[#This Row],[LP Max Value]],"")</f>
        <v>#VALUE!</v>
      </c>
      <c r="CM332" s="31" t="str">
        <f>IF(SnapshotTable[[#This Row],[SP Actual Spend]]&lt;&gt;0, ((SnapshotTable[[#This Row],[SP Strike Price]]-SnapshotTable[[#This Row],[Last Price]]) *(SnapshotTable[[#This Row],[SP Qty]]*100) - SnapshotTable[[#This Row],[SP Premium]]) * - 1, "")</f>
        <v/>
      </c>
      <c r="CN332" s="78"/>
      <c r="CO332" s="369"/>
      <c r="CP332" s="4" t="str">
        <f>IF(SnapshotTable[[#This Row],[SP Is Filled]], btc_max_buyback_amount(SnapshotTable[[#This Row],[SP Fill Date]],SnapshotTable[[#This Row],[SP Exp Date]], SnapshotTable[[#This Row],[SP Book Price]]),"")</f>
        <v/>
      </c>
      <c r="CQ332" s="78"/>
      <c r="CR33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2" s="155" t="str">
        <f>IF(SnapshotTable[[#This Row],[SP Is Filled]], btc_next_cutoff_date(SnapshotTable[[#This Row],[SP Fill Date]],SnapshotTable[[#This Row],[SP Exp Date]]),"")</f>
        <v/>
      </c>
      <c r="CT332" s="235" t="str" cm="1">
        <f t="array" ref="CT332">IF(SnapshotTable[[#This Row],[SP Is Filled]], btc_should_buy_back(SnapshotTable[[#This Row],[SP Fill Date]], SnapshotTable[[#This Row],[SP Exp Date]], SnapshotTable[[#This Row],[SP Book Price]], SnapshotTable[[#This Row],[SP Current Ask]], MockToday, SnapshotTable[[#This Row],[SP Buyback Override]]),"")</f>
        <v/>
      </c>
      <c r="CU332" s="143"/>
      <c r="CV332" s="235"/>
      <c r="CW332" s="378" t="str">
        <f>IF(ISNUMBER( SnapshotTable[[#This Row],[SP Term]]), SnapshotTable[[#This Row],[SP Exp Date]] - MockToday,"")</f>
        <v/>
      </c>
      <c r="CX332" s="31" t="str">
        <f>IF(SnapshotTable[[#This Row],[SP Is Filled]],SnapshotTable[[#This Row],[SP Buyback Price to Use]] * 100 * SnapshotTable[[#This Row],[SP Qty]], "")</f>
        <v/>
      </c>
      <c r="CY332" s="4" t="str">
        <f>IF(ISNUMBER(SnapshotTable[[#This Row],[SP Strike Price]]), SnapshotTable[[#This Row],[SP Strike Price]] * (1 - SP_MaxLoss_StrikePct), "")</f>
        <v/>
      </c>
      <c r="CZ332" s="31" t="str">
        <f>IF(ISNUMBER(SnapshotTable[[#This Row],[SP Strike  Stop Per Share]]),SnapshotTable[[#This Row],[SP Premium]] - ((SnapshotTable[[#This Row],[SP Strike Price]]-SnapshotTable[[#This Row],[SP Strike  Stop Per Share]]) *(SnapshotTable[[#This Row],[SP Qty]] * 100)),"")</f>
        <v/>
      </c>
      <c r="DA332" s="4" t="str">
        <f>IF(AND(ISNUMBER(SnapshotTable[[#This Row],[SP Premium]]),SnapshotTable[[#This Row],[SP Premium]]&gt;0), SnapshotTable[[#This Row],[SP Book Price]] * (1 + SP_MaxLoss_OptionPct), "")</f>
        <v/>
      </c>
      <c r="DB332" s="31" t="str">
        <f>IF(ISNUMBER(SnapshotTable[[#This Row],[SP Option  Stop Contract]]),(SnapshotTable[[#This Row],[SP Option  Stop Contract]] *(SnapshotTable[[#This Row],[SP Qty]] * 100) - SnapshotTable[[#This Row],[SP Premium]]),"")</f>
        <v/>
      </c>
      <c r="DC332" s="4"/>
      <c r="DD332" s="4"/>
      <c r="DE332" s="4" t="str">
        <f>IF(AND(SnapshotTable[[#This Row],[SP Qty]]&gt;0, SnapshotTable[[#This Row],[SP Stop To Use]]&gt;0),SnapshotTable[[#This Row],[SP Premium]] - ( SnapshotTable[[#This Row],[SP Qty]] * SnapshotTable[[#This Row],[SP Stop To Use]] * 100), "")</f>
        <v/>
      </c>
      <c r="DF332" s="31" t="str">
        <f>IF(AND(SnapshotTable[[#This Row],[SP Qty]]&gt;0,SnapshotTable[[#This Row],[SP Current Ask]]&gt;0), SnapshotTable[[#This Row],[SP Qty]] * SnapshotTable[[#This Row],[SP Current Ask]] * -100, "")</f>
        <v/>
      </c>
      <c r="DG332" s="31" t="str">
        <f>IF(ISNUMBER((SnapshotTable[[#This Row],[SP Total Value]])), SnapshotTable[[#This Row],[SP Premium]] + SnapshotTable[[#This Row],[SP Total Value]], "")</f>
        <v/>
      </c>
      <c r="DH332" s="294" t="str">
        <f>IF(ISNUMBER((SnapshotTable[[#This Row],[SP Total Value]])), SnapshotTable[[#This Row],[SP Gain Loss]] / SnapshotTable[[#This Row],[SP Premium]], "")</f>
        <v/>
      </c>
      <c r="DI332" s="406"/>
      <c r="DJ332" s="138"/>
      <c r="DK332" s="148"/>
      <c r="DL332" s="13"/>
      <c r="DM332" s="13"/>
      <c r="DO332" s="31">
        <f>IF(SnapshotTable[[#This Row],[LC Symbol Count]]=1, SnapshotTable[[#This Row],[LC Qty]] * SnapshotTable[[#This Row],[LC Book Price]] * 100, 0)</f>
        <v>0</v>
      </c>
      <c r="DP332" s="163" t="str">
        <f>IF(AND(SnapshotTable[[#This Row],[LC Exp Date]]&gt;0, SnapshotTable[[#This Row],[LC Strike Price]]&gt;0,SnapshotTable[[#This Row],[LC Qty]]&gt;0,SnapshotTable[[#This Row],[LC Book Date]]&gt;0,SnapshotTable[[#This Row],[LC Book Price]]&gt;0,SnapshotTable[[#This Row],[LC Fill Date]]=0),"Y","")</f>
        <v/>
      </c>
      <c r="DQ332" s="386" t="str">
        <f>IF(SnapshotTable[[#This Row],[LC Premium]] &gt; 0,SnapshotTable[[#This Row],[LC Exp Date]]-MAX(SnapshotTable[[#This Row],[LC Book Date]], SnapshotTable[[#This Row],[LC Fill Date]]),"")</f>
        <v/>
      </c>
      <c r="DR332" s="386" t="str">
        <f>IF(ISNUMBER(SnapshotTable[[#This Row],[LC Term]]), SnapshotTable[[#This Row],[LC Exp Date]] - MockToday, "")</f>
        <v/>
      </c>
      <c r="DS332" s="234" t="str">
        <f>IF(SnapshotTable[[#This Row],[LC Premium]]&gt;0,SnapshotTable[[#This Row],[LC Strike Price]] + SnapshotTable[[#This Row],[LC Book Price]],"")</f>
        <v/>
      </c>
      <c r="DU332" s="9" t="str">
        <f>IF(AND(SnapshotTable[[#This Row],[LC Symbol Count]]&gt;0, SnapshotTable[[#This Row],[LC Contract Value]]&gt;0), SnapshotTable[[#This Row],[LC Contract Value]] * SnapshotTable[[#This Row],[LC Qty]] * 100, "")</f>
        <v/>
      </c>
      <c r="DV332" s="9" t="str">
        <f>IF(AND(ISNUMBER(SnapshotTable[[#This Row],[LC Total Value]]), SnapshotTable[[#This Row],[LC Not Filled]]&lt;&gt;"Y"), SnapshotTable[[#This Row],[LC Total Value]]-SnapshotTable[[#This Row],[LC Premium]],"")</f>
        <v/>
      </c>
      <c r="DW332" s="240" t="str">
        <f>IF(ISNUMBER(SnapshotTable[[#This Row],[LC Actual Gain Loss]]), SnapshotTable[[#This Row],[LC Actual Gain Loss]] / SnapshotTable[[#This Row],[LC Premium]],"")</f>
        <v/>
      </c>
      <c r="DX332" s="284" t="str">
        <f>IF(ISNUMBER(SnapshotTable[[#This Row],[LC Book Price]]),SnapshotTable[[#This Row],[LC Book Price]] * 1.5,"")</f>
        <v/>
      </c>
      <c r="DY332" s="265" t="str">
        <f>IF(SnapshotTable[[#This Row],[LC Premium]]&gt;0, SnapshotTable[[#This Row],[LC Next Target]] * SnapshotTable[[#This Row],[LC Qty]] * 100,"")</f>
        <v/>
      </c>
      <c r="DZ332" s="265" t="str">
        <f>IF(ISNUMBER(SnapshotTable[[#This Row],[LC Target Gross]]), SnapshotTable[[#This Row],[LC Target Gross]] - SnapshotTable[[#This Row],[LC Premium]], "")</f>
        <v/>
      </c>
      <c r="EA332" s="305" t="str">
        <f>IF(ISNUMBER(SnapshotTable[[#This Row],[LC Target Gain Loss]]), SnapshotTable[[#This Row],[LC Target Gain Loss]]/SnapshotTable[[#This Row],[LC Premium]], "")</f>
        <v/>
      </c>
      <c r="EB332" s="262"/>
      <c r="EC332" s="283" t="str">
        <f>IF(SnapshotTable[[#This Row],[LC Premium]]&gt;0, SnapshotTable[[#This Row],[LC Book Price]] * (1 - LC_StopLoss_Pct),"")</f>
        <v/>
      </c>
      <c r="ED332" s="284"/>
      <c r="EE332" s="283" t="str">
        <f>IF(ISNUMBER(SnapshotTable[[#This Row],[LC Contract Value]]),IF(ISNUMBER(SnapshotTable[[#This Row],[LC Stop Loss Override]]), SnapshotTable[[#This Row],[LC Stop Loss Override]],SnapshotTable[[#This Row],[LC Stop Loss Calc Target]]),"")</f>
        <v/>
      </c>
      <c r="EF332" s="31" t="str">
        <f>IF(ISNUMBER(SnapshotTable[[#This Row],[LC Stop  To Use]]), (SnapshotTable[[#This Row],[LC Stop  To Use]] * SnapshotTable[[#This Row],[LC Qty]] * 100),"")</f>
        <v/>
      </c>
      <c r="EG332" s="9" t="str">
        <f>IF(ISNUMBER(SnapshotTable[[#This Row],[LC Total Value]]),SnapshotTable[[#This Row],[LC Stop Loss Amount]] - SnapshotTable[[#This Row],[LC Premium]],"")</f>
        <v/>
      </c>
      <c r="EH332" s="9">
        <f>IF(ISNUMBER(SnapshotTable[[#This Row],[LC Premium]]), SnapshotTable[[#This Row],[LC Qty]] * 100 * SnapshotTable[[#This Row],[LC Strike Price]], "")</f>
        <v>0</v>
      </c>
      <c r="EI332" s="240" t="str">
        <f>IF(AND(ISNUMBER(SnapshotTable[[#This Row],[LC Total Value]]),SnapshotTable[[#This Row],[LC Total Value]]&gt;0),SnapshotTable[[#This Row],[LC Stop Gain Loss]]  / SnapshotTable[[#This Row],[LC Premium]],"")</f>
        <v/>
      </c>
      <c r="EJ332" s="35">
        <f>IF(ISNUMBER(SnapshotTable[[#This Row],[Equity Shares]]),TRUNC(SnapshotTable[[#This Row],[Equity Shares]] / 100),0) + SnapshotTable[[#This Row],[LC Qty]]</f>
        <v>0</v>
      </c>
      <c r="EK332" s="147"/>
      <c r="EL332" s="138" t="str">
        <f>IF(SnapshotTable[[#This Row],[SC Exp Date]]&lt;&gt;"",TRUNC(SnapshotTable[[#This Row],[Last Price]]),"")</f>
        <v/>
      </c>
      <c r="EM332" s="148"/>
      <c r="EN332" s="147"/>
      <c r="EO332" s="147"/>
      <c r="EP332" s="138"/>
      <c r="EQ332" s="419" t="b">
        <f>AND(ISNUMBER(SnapshotTable[[#This Row],[SC Exp Date]]), ISNUMBER(SnapshotTable[[#This Row],[SC Strike Price]]), ISNUMBER(SnapshotTable[[#This Row],[SC Qty]]), ISNUMBER(SnapshotTable[[#This Row],[SC Book Date]]), ISNUMBER(SnapshotTable[[#This Row],[SC Book Price]]))</f>
        <v>0</v>
      </c>
      <c r="ER332" s="419" t="b">
        <f>AND(SnapshotTable[[#This Row],[SC Is Booked]], NOT(ISBLANK(SnapshotTable[[#This Row],[SC Fill Date]])))</f>
        <v>0</v>
      </c>
      <c r="ES332" s="370"/>
      <c r="ET332" s="34" t="str">
        <f>IF(AND(ISNUMBER(SnapshotTable[[#This Row],[SC Exp Date]]), ISNUMBER(SnapshotTable[[#This Row],[SC Book Date]])), SnapshotTable[[#This Row],[SC Exp Date]] - MAX(SnapshotTable[[#This Row],[SC Book Date]], SnapshotTable[[#This Row],[SC Fill Date]]) + 1, "")</f>
        <v/>
      </c>
      <c r="EU332" s="34" t="str">
        <f>IF(ISNUMBER(SnapshotTable[[#This Row],[SC Term]]), SnapshotTable[[#This Row],[SC Exp Date]]- MockToday, "")</f>
        <v/>
      </c>
      <c r="EV332" s="31">
        <f>IF(SnapshotTable[[#This Row],[SC Is Booked]], SnapshotTable[[#This Row],[SC Qty]] * SnapshotTable[[#This Row],[SC Book Price]] * 100, 0)</f>
        <v>0</v>
      </c>
      <c r="EW332" s="4" t="str">
        <f>IF(AND(ISNUMBER(SnapshotTable[[#This Row],[Last Price]]), ISNUMBER( SnapshotTable[[#This Row],[SC Book Price]])), SnapshotTable[[#This Row],[Last Price]] - SnapshotTable[[#This Row],[SC Book Price]],"")</f>
        <v/>
      </c>
      <c r="EX332" s="234" t="str">
        <f>IF(SnapshotTable[[#This Row],[SC Is Booked]],IF(SnapshotTable[[#This Row],[SC Intrinsic Value]] &gt; 0, SnapshotTable[[#This Row],[SC Strike Price]], SnapshotTable[[#This Row],[Last Price]]), "")</f>
        <v/>
      </c>
      <c r="EY332" s="4">
        <f>IF(SnapshotTable[[#This Row],[SC Is Booked]], (MinimumPremiumRequired * SnapshotTable[[#This Row],[SC Basis]] * SnapshotTable[[#This Row],[SC Term]]), 0)</f>
        <v>0</v>
      </c>
      <c r="EZ332" s="283"/>
      <c r="FA332" s="218"/>
      <c r="FB332" s="370"/>
      <c r="FC332" s="4">
        <f>IF(SnapshotTable[[#This Row],[SC Is Filled]], btc_max_buyback_amount(SnapshotTable[[#This Row],[SC Fill Date]],SnapshotTable[[#This Row],[SC Exp Date]], SnapshotTable[[#This Row],[SC Book Price]]),0)</f>
        <v>0</v>
      </c>
      <c r="FD332" s="5"/>
      <c r="FE332" s="144" t="str">
        <f>IF(SnapshotTable[[#This Row],[SC Is Filled]], btc_next_cutoff_date(SnapshotTable[[#This Row],[SC Fill Date]],SnapshotTable[[#This Row],[SC Exp Date]]),"")</f>
        <v/>
      </c>
      <c r="FF332" s="4" t="str" cm="1">
        <f t="array" ref="FF332">IF(SnapshotTable[[#This Row],[SC Is Filled]], btc_should_buy_back(SnapshotTable[[#This Row],[SC Fill Date]], SnapshotTable[[#This Row],[SC Exp Date]], SnapshotTable[[#This Row],[SC Book Price]], SnapshotTable[[#This Row],[SC Current Ask]], MockToday, SnapshotTable[[#This Row],[SC Buyback Override]]),"")</f>
        <v/>
      </c>
      <c r="FG332" s="4">
        <f>IF(SnapshotTable[[#This Row],[SC Is Filled]], MAX(0,SnapshotTable[[#This Row],[Last Price]]  - SnapshotTable[[#This Row],[SC Strike Price]]), 0)</f>
        <v>0</v>
      </c>
      <c r="FH332" s="382">
        <f>IF(SnapshotTable[[#This Row],[SC Is Filled]], IF(ISNUMBER(SnapshotTable[[#This Row],[SC Current Ask]]), SnapshotTable[[#This Row],[SC Current Ask]], SnapshotTable[[#This Row],[SC Book Price]]) - SnapshotTable[[#This Row],[SC Intrinsic Value]], 0)</f>
        <v>0</v>
      </c>
      <c r="FI332" s="143"/>
      <c r="FJ332" s="32" t="str">
        <f>IF(SnapshotTable[[#This Row],[SC Is Filled]],100 * SnapshotTable[[#This Row],[SC Qty]] * IF(ISNUMBER(SnapshotTable[[#This Row],[SC Buyback Override]]), SnapshotTable[[#This Row],[SC Buyback Override]], SnapshotTable[[#This Row],[SC Current Ask]]), "")</f>
        <v/>
      </c>
      <c r="FK332" s="250" t="str">
        <f>IF(SnapshotTable[[#This Row],[SC Time Val]]&gt;0, SnapshotTable[[#This Row],[SC Time Val]] / SnapshotTable[[#This Row],[Last Price]],"")</f>
        <v/>
      </c>
      <c r="FL332" s="302" t="str">
        <f>IF(SnapshotTable[[#This Row],[SC Is Booked]], ((SnapshotTable[[#This Row],[Last Price]] -SnapshotTable[[#This Row],[SC Strike Price]]) / SnapshotTable[[#This Row],[Last Price]]) * -1, "")</f>
        <v/>
      </c>
      <c r="FM332" s="157" t="str">
        <f>IF(SnapshotTable[[#This Row],[SC Is Booked]],  (SnapshotTable[[#This Row],[SC Qty]] * 100 * SnapshotTable[[#This Row],[SC Strike Price]]) - SnapshotTable[[#This Row],[SC Current Ask]], "")</f>
        <v/>
      </c>
      <c r="FN33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2" s="31" t="str">
        <f>IF(AND(ISNUMBER(SnapshotTable[[#This Row],[SC Exercise Gross]]), ISNUMBER(SnapshotTable[[#This Row],[Equity Basis Per Share]] )), SnapshotTable[[#This Row],[SC Exercise Gross]] - SnapshotTable[[#This Row],[Equity Basis Total]] +  SnapshotTable[[#This Row],[SC Premium]], "")</f>
        <v/>
      </c>
      <c r="FP332" s="5" t="str">
        <f>IF(ISNUMBER(SnapshotTable[[#This Row],[SC Exercise Gross]]), (SnapshotTable[[#This Row],[SC Exercise Gross]]) / (SnapshotTable[[#This Row],[SC Qty]] * 100), "")</f>
        <v/>
      </c>
      <c r="FQ332" s="27" t="str">
        <f>IF(SnapshotTable[[#This Row],[SC Is Booked]],SnapshotTable[[#This Row],[SC Time Val]] /SnapshotTable[[#This Row],[SC Basis]], "")</f>
        <v/>
      </c>
      <c r="FR332" s="27" t="str" cm="1">
        <f t="array" ref="FR332">IF(AND(ISNUMBER(SnapshotTable[[#This Row],[SC Term]]),ISNUMBER(SnapshotTable[[#This Row],[SC Simple ROO]])), EllmanAnnualize(SnapshotTable[[#This Row],[SC DTE]], SnapshotTable[[#This Row],[SC Simple ROO]] ),"")</f>
        <v/>
      </c>
      <c r="FS332" s="4" t="e">
        <f>IF(SnapshotTable[[#This Row],[SC Strike Price]] &gt; SnapshotTable[[#This Row],[Last Price]], SnapshotTable[[#This Row],[SC Strike Price]] - SnapshotTable[[#This Row],[Last Price]],0)</f>
        <v>#VALUE!</v>
      </c>
      <c r="FT332" s="27" t="e">
        <f>IF(AND(ISNUMBER(SnapshotTable[[#This Row],[SC Upside Potential]]), SnapshotTable[[#This Row],[SC Upside Potential]] &gt; 0),(SnapshotTable[[#This Row],[SC Upside Potential]]/ SnapshotTable[[#This Row],[ACB]]),"")</f>
        <v>#VALUE!</v>
      </c>
      <c r="FU332" s="333" t="str">
        <f>IF(SnapshotTable[[#This Row],[SC Intrinsic Value]] &gt; 0,SnapshotTable[[#This Row],[SC Intrinsic Value]],"")</f>
        <v/>
      </c>
      <c r="FV332" s="27" t="str">
        <f>IF(AND( ISNUMBER( SnapshotTable[[#This Row],[ACB]]),ISNUMBER(SnapshotTable[[#This Row],[SC Downside Protect]])),SnapshotTable[[#This Row],[SC Downside Protect]] / SnapshotTable[[#This Row],[ACB]],"")</f>
        <v/>
      </c>
      <c r="FW332" s="236" t="str">
        <f>IF(AND(ISNUMBER(SnapshotTable[[#This Row],[SC Simple ROO]]),SnapshotTable[[#This Row],[SC Simple ROO]] &gt; 0), SnapshotTable[[#This Row],[SC Premium]] + (SnapshotTable[[#This Row],[SC Qty]] * SnapshotTable[[#This Row],[SC Upside Potential]]), "")</f>
        <v/>
      </c>
      <c r="FX332" s="302" t="str" cm="1">
        <f t="array" ref="FX332">IF(ISNUMBER(SnapshotTable[[#This Row],[SC Max Dollars]]), annualize(SnapshotTable[[#This Row],[SC Term]],(SnapshotTable[[#This Row],[SC Max Dollars]]/SnapshotTable[[#This Row],[SC Basis]])),"")</f>
        <v/>
      </c>
      <c r="FY332" s="236" t="str">
        <f>IF(AND(SnapshotTable[[#This Row],[SC Qty]]&gt;0,SnapshotTable[[#This Row],[SC Current Ask]]&gt;0), SnapshotTable[[#This Row],[SC Qty]] * SnapshotTable[[#This Row],[SC Current Ask]] * -100, "")</f>
        <v/>
      </c>
      <c r="FZ332" s="31" t="str">
        <f>IF(ISNUMBER((SnapshotTable[[#This Row],[SC Current Value]])), SnapshotTable[[#This Row],[SC Premium]] + SnapshotTable[[#This Row],[SC Current Value]], "")</f>
        <v/>
      </c>
      <c r="GA332" s="294" t="str">
        <f>IFERROR( IF(ISNUMBER((SnapshotTable[[#This Row],[SC Current Value]])), SnapshotTable[[#This Row],[SC Gain Loss]] / SnapshotTable[[#This Row],[SC Premium]], ""), "")</f>
        <v/>
      </c>
      <c r="GB332" s="42">
        <f>SnapshotTable[[#This Row],[Equity Shares]] * SaleSharesToConsiderPercentage</f>
        <v>0</v>
      </c>
      <c r="GC332" s="40">
        <f>SnapshotTable[[#This Row],[Long Term Target]] * SellingPriceToConsiderBasedOnTargetPercentage</f>
        <v>188.82199999999997</v>
      </c>
      <c r="GD332" s="40">
        <f>SnapshotTable[[#This Row],[Last Price]] * (1+ SellingPriceToConsiderBasedOnTargetPercentage)</f>
        <v>255.91800000000001</v>
      </c>
      <c r="GE332" s="41"/>
      <c r="GF332" s="40">
        <v>128.88</v>
      </c>
      <c r="GG332" s="31">
        <f>SnapshotTable[[#This Row],[Booked Sale Shares]] * SnapshotTable[[#This Row],[Booked Sale Price]]</f>
        <v>0</v>
      </c>
      <c r="GH332" s="31" t="str">
        <f>IF(SnapshotTable[[#This Row],[Equity Basis Total]] &gt; 0, SnapshotTable[[#This Row],[Equity Basis Per Share]] * SnapshotTable[[#This Row],[Booked Sale Shares]], "")</f>
        <v/>
      </c>
      <c r="GI332" s="31">
        <f>IF(SnapshotTable[[#This Row],[Sale Proceeds]]&gt;0, SnapshotTable[[#This Row],[Sale Proceeds]] - SnapshotTable[[#This Row],[Sale Basis]], 0)</f>
        <v>0</v>
      </c>
      <c r="GJ332" s="27" t="str">
        <f>IF(SnapshotTable[[#This Row],[Sale G/L]]&gt;0, SnapshotTable[[#This Row],[Sale G/L]] / SnapshotTable[[#This Row],[Sale Basis]], IF(ISNUMBER(SnapshotTable[[#This Row],[SC Exercise P&amp;L (TAX)]]), SnapshotTable[[#This Row],[SC Exercise P&amp;L (TAX)]] / SnapshotTable[[#This Row],[SC Basis]], ""))</f>
        <v/>
      </c>
      <c r="GK332" s="27" t="s">
        <v>785</v>
      </c>
      <c r="GL332" s="43" t="str">
        <f>IF(AND(SnapshotTable[[#This Row],[LP Exp Date]]&gt;0,SnapshotTable[[#This Row],[LP Strike Price]]&gt;0), [1]!ToOptionSymbol(SnapshotTable[[#This Row],[Symbol]], SnapshotTable[[#This Row],[LP Strike Price]],SnapshotTable[[#This Row],[LP Exp Date]],1), "")</f>
        <v/>
      </c>
      <c r="GM332" s="30" t="str">
        <f>IF(LEN(SnapshotTable[[#This Row],[LP Symbol]])&gt;0, 1, "")</f>
        <v/>
      </c>
      <c r="GN332" s="43" t="str">
        <f>IF(AND(SnapshotTable[[#This Row],[SP Exp Date]]&gt;0,SnapshotTable[[#This Row],[SP Strike Price]]&gt;0), [1]!ToOptionSymbol(SnapshotTable[[#This Row],[Symbol]], SnapshotTable[[#This Row],[SP Strike Price]],SnapshotTable[[#This Row],[SP Exp Date]],1), "")</f>
        <v/>
      </c>
      <c r="GO332" s="30" t="str">
        <f>IF(LEN(SnapshotTable[[#This Row],[SP Symbol]])&gt;0, 1, "")</f>
        <v/>
      </c>
      <c r="GP332" s="43" t="str">
        <f>IF(AND(SnapshotTable[[#This Row],[LC Exp Date]]&gt;0,SnapshotTable[[#This Row],[LC Strike Price]]&gt;0), [1]!ToOptionSymbol(SnapshotTable[[#This Row],[Symbol]], SnapshotTable[[#This Row],[LC Strike Price]],SnapshotTable[[#This Row],[LC Exp Date]],0), "")</f>
        <v/>
      </c>
      <c r="GQ332" s="30" t="str">
        <f>IF(LEN(SnapshotTable[[#This Row],[LC Symbol]])&gt;0, 1, "")</f>
        <v/>
      </c>
      <c r="GR332" s="43" t="str">
        <f>IF(AND(SnapshotTable[[#This Row],[SC Exp Date]]&gt;0,SnapshotTable[[#This Row],[SC Strike Price]]&gt;0), [1]!ToOptionSymbol(SnapshotTable[[#This Row],[Symbol]], SnapshotTable[[#This Row],[SC Strike Price]],SnapshotTable[[#This Row],[SC Exp Date]],0), "")</f>
        <v/>
      </c>
      <c r="GS332" s="30" t="str">
        <f>IF(LEN(SnapshotTable[[#This Row],[SC Symbol]])&gt;0, 1, "")</f>
        <v/>
      </c>
      <c r="GT332" s="29" t="str">
        <f>IF(COUNT(SnapshotTable[[#This Row],[LP Symbol Count]],SnapshotTable[[#This Row],[SP Symbol Count]],SnapshotTable[[#This Row],[LC Symbol Count]],SnapshotTable[[#This Row],[SC Symbol Count]])&gt;0, "Y", "")</f>
        <v/>
      </c>
      <c r="GU33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2" s="231" t="e">
        <f>MAX(SnapshotTable[[#This Row],[Equity Basis Total]],SnapshotTable[[#This Row],[Equity Value]]) + (SnapshotTable[[#This Row],[SP Potential Spend]]- SnapshotTable[[#This Row],[SP Premium]] + SnapshotTable[[#This Row],[LP Premium]])+ (SnapshotTable[[#This Row],[LC Premium]] - SnapshotTable[[#This Row],[SC Premium]])</f>
        <v>#VALUE!</v>
      </c>
      <c r="GW332" s="139" t="e">
        <f>IF(AND(SnapshotTable[[#This Row],[Exposure]] &lt;&gt; 0),SnapshotTable[[#This Row],[Exposure]] / SnapshotTable[[#Totals],[Exposure]], "")</f>
        <v>#VALUE!</v>
      </c>
      <c r="HK332" s="1"/>
      <c r="HL332" s="1"/>
      <c r="HM332" s="1"/>
      <c r="HN332" s="1"/>
      <c r="HO332" s="1"/>
      <c r="HP332" s="1"/>
    </row>
    <row r="333" spans="2:224" ht="12.75" hidden="1" customHeight="1" x14ac:dyDescent="0.25">
      <c r="B333" s="12" t="s">
        <v>1220</v>
      </c>
      <c r="C333" s="422">
        <v>28.45</v>
      </c>
      <c r="D333" s="208"/>
      <c r="E333" s="39">
        <f>SnapshotTable[[#This Row],[Last Price]]*(1 -CrashDiscount)</f>
        <v>24.182499999999997</v>
      </c>
      <c r="F333" s="26"/>
      <c r="G333" s="26"/>
      <c r="H333" s="149"/>
      <c r="I333" s="194"/>
      <c r="J333" s="195"/>
      <c r="K333" s="196"/>
      <c r="L333" s="326"/>
      <c r="M333" s="140"/>
      <c r="N333" s="140"/>
      <c r="O333" s="140"/>
      <c r="P333" s="22"/>
      <c r="Q333" s="25"/>
      <c r="R333" s="4" t="str">
        <f>IF(SnapshotTable[[#This Row],[Equity Basis Total]] &gt; 0, SnapshotTable[[#This Row],[Equity Basis Total]] / SnapshotTable[[#This Row],[Equity Shares]], "")</f>
        <v/>
      </c>
      <c r="S333" s="269">
        <f>SnapshotTable[[#This Row],[Last Price]] * SnapshotTable[[#This Row],[Equity Shares]]</f>
        <v>0</v>
      </c>
      <c r="T333" s="269">
        <f>SnapshotTable[[#This Row],[Equity Value]] - SnapshotTable[[#This Row],[Equity Basis Total]]</f>
        <v>0</v>
      </c>
      <c r="U333" s="270" t="str">
        <f>IF(SnapshotTable[[#This Row],[Equity Basis Total]] &gt; 0, SnapshotTable[[#This Row],[Equity G/L]] / SnapshotTable[[#This Row],[Equity Basis Total]], "")</f>
        <v/>
      </c>
      <c r="V333" s="268"/>
      <c r="W333" s="268"/>
      <c r="X333" s="4" t="str">
        <f>IF(AND(ISNUMBER(SnapshotTable[[#This Row],[Equity Basis Per Share]]),ISNUMBER(SnapshotTable[[#This Row],[Equity Target]])),SnapshotTable[[#This Row],[Equity Target]]-SnapshotTable[[#This Row],[Equity Basis Per Share]],"")</f>
        <v/>
      </c>
      <c r="Y333" s="4" t="str">
        <f>IF(AND(ISNUMBER(SnapshotTable[[#This Row],[Equity Basis Per Share]]),ISNUMBER(SnapshotTable[[#This Row],[Equity Stop Loss]])),SnapshotTable[[#This Row],[Equity Stop Loss]]-SnapshotTable[[#This Row],[Equity Basis Per Share]],"")</f>
        <v/>
      </c>
      <c r="Z333" s="275" t="str">
        <f>IFERROR( TEXT(SnapshotTable[[#This Row],[Equity Max Gain Per Share]] /ABS( SnapshotTable[[#This Row],[Equity Max Loss Per Share]]),"0.0 " ) &amp; " : 1", "")</f>
        <v/>
      </c>
      <c r="AA333" s="31" t="str">
        <f>IF(ISNUMBER(SnapshotTable[[#This Row],[Equity Max Gain Per Share]]),SnapshotTable[[#This Row],[Equity Max Gain Per Share]] * SnapshotTable[[#This Row],[Equity Shares]],"")</f>
        <v/>
      </c>
      <c r="AB333" s="31" t="str">
        <f>IF(ISNUMBER(SnapshotTable[[#This Row],[Equity Max Loss Per Share]]),SnapshotTable[[#This Row],[Equity Max Loss Per Share]] * SnapshotTable[[#This Row],[Equity Shares]],"")</f>
        <v/>
      </c>
      <c r="AC333" s="150"/>
      <c r="AD333" s="151"/>
      <c r="AE333" s="31">
        <f>(SnapshotTable[[#This Row],[Annual Dividend Per Share]] / 4) * SnapshotTable[[#This Row],[Equity Shares]]</f>
        <v>0</v>
      </c>
      <c r="AF333" s="31">
        <f>SnapshotTable[[#This Row],[Quarterly Div $]] * 4</f>
        <v>0</v>
      </c>
      <c r="AG333" s="7">
        <f>IF(SnapshotTable[[#This Row],[Annual Dividend Per Share]]&gt;0, SnapshotTable[[#This Row],[Annual Dividend Per Share]]  / SnapshotTable[[#This Row],[Last Price]], 0)</f>
        <v>0</v>
      </c>
      <c r="AH333" s="151"/>
      <c r="AI333" s="5"/>
      <c r="AJ333" s="138"/>
      <c r="AK333" s="152" t="str">
        <f>IF(ISNUMBER( SnapshotTable[[#This Row],[EBF Target]]),(SnapshotTable[[#This Row],[EBF Target]] - SnapshotTable[[#This Row],[Last Price]]) / SnapshotTable[[#This Row],[Last Price]], "")</f>
        <v/>
      </c>
      <c r="AL333" s="152" t="str">
        <f>IF(AND(SnapshotTable[[#This Row],[Equity Basis Total]] &gt; 0,ISNUMBER( SnapshotTable[[#This Row],[Long Term Target]])), SnapshotTable[[#This Row],[From Basis $]] / SnapshotTable[[#This Row],[Equity Basis Total]], "")</f>
        <v/>
      </c>
      <c r="AM333" s="9">
        <f>IF( AND(SnapshotTable[[#This Row],[Equity Shares]] &gt;0,ISNUMBER( SnapshotTable[[#This Row],[Long Term Target]])),(SnapshotTable[[#This Row],[Equity Shares]] * SnapshotTable[[#This Row],[Long Term Target]]) - SnapshotTable[[#This Row],[Equity Basis Total]],0)</f>
        <v>0</v>
      </c>
      <c r="AN333" s="9">
        <f>IF( AND(SnapshotTable[[#This Row],[Equity Shares]] &gt;0,ISNUMBER( SnapshotTable[[#This Row],[Long Term Target]])),(SnapshotTable[[#This Row],[Equity Shares]]*SnapshotTable[[#This Row],[Long Term Target]]) - SnapshotTable[[#This Row],[Equity Value]],0)</f>
        <v>0</v>
      </c>
      <c r="AO333" s="152" t="str">
        <f>IF(AND(ISNUMBER( SnapshotTable[[#This Row],[Long Term Target]]), ISNUMBER(SnapshotTable[[#This Row],[Last Price]])),(SnapshotTable[[#This Row],[Long Term Target]] - SnapshotTable[[#This Row],[Last Price]]) / SnapshotTable[[#This Row],[Last Price]], "")</f>
        <v/>
      </c>
      <c r="AP333" s="5"/>
      <c r="AQ333" s="38"/>
      <c r="AR333" s="5"/>
      <c r="AS333" s="38"/>
      <c r="AT333" s="146"/>
      <c r="AU333" s="187" t="str">
        <f>IF(OR(SnapshotTable[[#This Row],[LP No Fill]]="Y",SnapshotTable[[#This Row],[SP Is Filled]],SnapshotTable[[#This Row],[LC Not Filled]]="Y",SnapshotTable[[#This Row],[SC Is Filled]]),"Y","")</f>
        <v/>
      </c>
      <c r="AV333" s="219"/>
      <c r="AW333" s="225"/>
      <c r="AX333" s="220"/>
      <c r="AY333" s="219" t="str">
        <f>IF(SnapshotTable[[#This Row],[Implied Move]]&gt;0, SnapshotTable[[#This Row],[Last Price]]-SnapshotTable[[#This Row],[Implied Move]],"")</f>
        <v/>
      </c>
      <c r="AZ333" s="219" t="str">
        <f>IF(SnapshotTable[[#This Row],[Implied Move]]&gt;0, SnapshotTable[[#This Row],[Last Price]] + SnapshotTable[[#This Row],[Implied Move]],"")</f>
        <v/>
      </c>
      <c r="BA333" s="331">
        <v>0.86</v>
      </c>
      <c r="BB333" s="347"/>
      <c r="BC33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3" s="351"/>
      <c r="BE333" s="5"/>
      <c r="BF333" s="14"/>
      <c r="BG333" s="13"/>
      <c r="BH333" s="13"/>
      <c r="BI333" s="5"/>
      <c r="BJ333" s="136">
        <f>IF(SnapshotTable[[#This Row],[LP Qty]] &gt; 0, SnapshotTable[[#This Row],[LP Qty]] * SnapshotTable[[#This Row],[LP Book Price]] * 100,0)</f>
        <v>0</v>
      </c>
      <c r="BK333" s="136">
        <f>IF(SnapshotTable[[#This Row],[LP Premium]] &gt; 0, SnapshotTable[[#This Row],[LP Qty]] * SnapshotTable[[#This Row],[LP Strike Price]] * 100,0)</f>
        <v>0</v>
      </c>
      <c r="BL333" s="154"/>
      <c r="BM333" s="385" t="str">
        <f>IF(SnapshotTable[[#This Row],[LP Premium]] &gt; 0,SnapshotTable[[#This Row],[LP Exp Date]]-MAX(SnapshotTable[[#This Row],[LP Book Date]], SnapshotTable[[#This Row],[LP Fill Date]]),"")</f>
        <v/>
      </c>
      <c r="BN333" s="385" t="str">
        <f>IF(ISNUMBER( SnapshotTable[[#This Row],[LP Term]]), SnapshotTable[[#This Row],[LP Exp Date]] - MockToday,"")</f>
        <v/>
      </c>
      <c r="BO333" s="163" t="str">
        <f>IF(AND(SnapshotTable[[#This Row],[LP Exp Date]]&gt;0, SnapshotTable[[#This Row],[LP Strike Price]]&gt;0,SnapshotTable[[#This Row],[LP Qty]]&gt;0,SnapshotTable[[#This Row],[LP Book Date]]&gt;0,SnapshotTable[[#This Row],[LP Book Price]]&gt;0,SnapshotTable[[#This Row],[LP Fill Date]]=0),"Y","")</f>
        <v/>
      </c>
      <c r="BP333" s="31" t="str">
        <f>IF(AND(SnapshotTable[[#This Row],[LP No Fill]]&lt;&gt;"Y",SnapshotTable[[#This Row],[LP Contract Value]]&gt;0, SnapshotTable[[#This Row],[LP Qty]]&gt;0), SnapshotTable[[#This Row],[LP Contract Value]]*SnapshotTable[[#This Row],[LP Qty]]*100,"")</f>
        <v/>
      </c>
      <c r="BQ333" s="13"/>
      <c r="BR333" s="5" t="str">
        <f>IF(SnapshotTable[[#This Row],[SP Exp Date]]&lt;&gt;"",TRUNC(SnapshotTable[[#This Row],[Last Price]]),"")</f>
        <v/>
      </c>
      <c r="BS333" s="36"/>
      <c r="BT333" s="147"/>
      <c r="BU333" s="13"/>
      <c r="BV333" s="5"/>
      <c r="BW333" s="419" t="b">
        <f>AND(ISNUMBER(SnapshotTable[[#This Row],[SP Exp Date]]), ISNUMBER(SnapshotTable[[#This Row],[SP Strike Price]]), ISNUMBER(SnapshotTable[[#This Row],[SP Qty]]), ISNUMBER(SnapshotTable[[#This Row],[SP Book Date]]), ISNUMBER(SnapshotTable[[#This Row],[SP Book Price]]))</f>
        <v>0</v>
      </c>
      <c r="BX333" s="419" t="b">
        <f>AND(SnapshotTable[[#This Row],[SP Is Booked]], NOT(ISBLANK(SnapshotTable[[#This Row],[SP Fill Date]])))</f>
        <v>0</v>
      </c>
      <c r="BY333" s="33">
        <f>IF(SnapshotTable[[#This Row],[SP Is Booked]], SnapshotTable[[#This Row],[SP Qty]] * SnapshotTable[[#This Row],[SP Book Price]] * 100, 0)</f>
        <v>0</v>
      </c>
      <c r="BZ333" s="369"/>
      <c r="CA333" s="368">
        <f>SnapshotTable[[#This Row],[LP Qty]]</f>
        <v>0</v>
      </c>
      <c r="CB333" s="4" t="str">
        <f>IF(SnapshotTable[[#This Row],[SP Is Booked]], SnapshotTable[[#This Row],[SP Strike Price]] - SnapshotTable[[#This Row],[SP Book Price]], "")</f>
        <v/>
      </c>
      <c r="CC333" s="19" t="str">
        <f>IF(SnapshotTable[[#This Row],[SP Is Booked]],SnapshotTable[[#This Row],[SP Exp Date]]-MAX(SnapshotTable[[#This Row],[SP Book Date]], SnapshotTable[[#This Row],[SP Fill Date]]),"")</f>
        <v/>
      </c>
      <c r="CD333" s="7" t="str">
        <f>IF(SnapshotTable[[#This Row],[SP Is Booked]], SnapshotTable[[#This Row],[SP Book Price]]/SnapshotTable[[#This Row],[SP Strike Price]], "")</f>
        <v/>
      </c>
      <c r="CE333" s="7" t="str">
        <f>IF(ISNUMBER(SnapshotTable[[#This Row],[SP ROO Term]]),SnapshotTable[[#This Row],[SP ROO Term]]*(365/SnapshotTable[[#This Row],[SP Term]]),"")</f>
        <v/>
      </c>
      <c r="CF333" s="236">
        <f>SnapshotTable[[#This Row],[LP Strike Price]] * SnapshotTable[[#This Row],[LP Qty]] * 100</f>
        <v>0</v>
      </c>
      <c r="CG333" s="31" t="e">
        <f>IF(ISNUMBER(SnapshotTable[[#This Row],[SP Premium]]), (SnapshotTable[[#This Row],[SP Qty]] * SnapshotTable[[#This Row],[SP Strike Price]]* 100) - SnapshotTable[[#This Row],[LP Protection]], 0)</f>
        <v>#VALUE!</v>
      </c>
      <c r="CH333" s="7" t="str">
        <f>IF(ISNUMBER(SnapshotTable[[#This Row],[SP Break Even]]),-1 * (SnapshotTable[[#This Row],[SP Break Even]] - SnapshotTable[[#This Row],[Last Price]]) / SnapshotTable[[#This Row],[Last Price]], "")</f>
        <v/>
      </c>
      <c r="CI333" s="31">
        <f>IF(AND(ISNUMBER((SnapshotTable[[#This Row],[SP Potential Spend]])), SnapshotTable[[#This Row],[SP Strike Price]] &gt; SnapshotTable[[#This Row],[Last Price]], SnapshotTable[[#This Row],[SP Is Filled]]), SnapshotTable[[#This Row],[SP Potential Spend]] -  SnapshotTable[[#This Row],[LP Max Value]], 0)</f>
        <v>0</v>
      </c>
      <c r="CJ333" s="244"/>
      <c r="CK333" s="31" t="str">
        <f>IF(ISNUMBER(SnapshotTable[[#This Row],[SP Potential Spend]]),IF(ISNUMBER(SnapshotTable[[#This Row],[SP POW]]), SnapshotTable[[#This Row],[SP POW]] * SnapshotTable[[#This Row],[SP Potential Spend]], SnapshotTable[[#This Row],[SP Potential Spend]]), "")</f>
        <v/>
      </c>
      <c r="CL333" s="164" t="e">
        <f>IF(NOT(SnapshotTable[[#This Row],[SP Is Filled]]),(SnapshotTable[[#This Row],[SP Qty]] * SnapshotTable[[#This Row],[SP Strike Price]] * 100) - SnapshotTable[[#This Row],[LP Max Value]],"")</f>
        <v>#VALUE!</v>
      </c>
      <c r="CM333" s="31" t="str">
        <f>IF(SnapshotTable[[#This Row],[SP Actual Spend]]&lt;&gt;0, ((SnapshotTable[[#This Row],[SP Strike Price]]-SnapshotTable[[#This Row],[Last Price]]) *(SnapshotTable[[#This Row],[SP Qty]]*100) - SnapshotTable[[#This Row],[SP Premium]]) * - 1, "")</f>
        <v/>
      </c>
      <c r="CN333" s="78"/>
      <c r="CO333" s="369"/>
      <c r="CP333" s="4" t="str">
        <f>IF(SnapshotTable[[#This Row],[SP Is Filled]], btc_max_buyback_amount(SnapshotTable[[#This Row],[SP Fill Date]],SnapshotTable[[#This Row],[SP Exp Date]], SnapshotTable[[#This Row],[SP Book Price]]),"")</f>
        <v/>
      </c>
      <c r="CQ333" s="78"/>
      <c r="CR33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3" s="155" t="str">
        <f>IF(SnapshotTable[[#This Row],[SP Is Filled]], btc_next_cutoff_date(SnapshotTable[[#This Row],[SP Fill Date]],SnapshotTable[[#This Row],[SP Exp Date]]),"")</f>
        <v/>
      </c>
      <c r="CT333" s="235" t="str" cm="1">
        <f t="array" ref="CT333">IF(SnapshotTable[[#This Row],[SP Is Filled]], btc_should_buy_back(SnapshotTable[[#This Row],[SP Fill Date]], SnapshotTable[[#This Row],[SP Exp Date]], SnapshotTable[[#This Row],[SP Book Price]], SnapshotTable[[#This Row],[SP Current Ask]], MockToday, SnapshotTable[[#This Row],[SP Buyback Override]]),"")</f>
        <v/>
      </c>
      <c r="CU333" s="143"/>
      <c r="CV333" s="235"/>
      <c r="CW333" s="378" t="str">
        <f>IF(ISNUMBER( SnapshotTable[[#This Row],[SP Term]]), SnapshotTable[[#This Row],[SP Exp Date]] - MockToday,"")</f>
        <v/>
      </c>
      <c r="CX333" s="31" t="str">
        <f>IF(SnapshotTable[[#This Row],[SP Is Filled]],SnapshotTable[[#This Row],[SP Buyback Price to Use]] * 100 * SnapshotTable[[#This Row],[SP Qty]], "")</f>
        <v/>
      </c>
      <c r="CY333" s="4" t="str">
        <f>IF(ISNUMBER(SnapshotTable[[#This Row],[SP Strike Price]]), SnapshotTable[[#This Row],[SP Strike Price]] * (1 - SP_MaxLoss_StrikePct), "")</f>
        <v/>
      </c>
      <c r="CZ333" s="31" t="str">
        <f>IF(ISNUMBER(SnapshotTable[[#This Row],[SP Strike  Stop Per Share]]),SnapshotTable[[#This Row],[SP Premium]] - ((SnapshotTable[[#This Row],[SP Strike Price]]-SnapshotTable[[#This Row],[SP Strike  Stop Per Share]]) *(SnapshotTable[[#This Row],[SP Qty]] * 100)),"")</f>
        <v/>
      </c>
      <c r="DA333" s="4" t="str">
        <f>IF(AND(ISNUMBER(SnapshotTable[[#This Row],[SP Premium]]),SnapshotTable[[#This Row],[SP Premium]]&gt;0), SnapshotTable[[#This Row],[SP Book Price]] * (1 + SP_MaxLoss_OptionPct), "")</f>
        <v/>
      </c>
      <c r="DB333" s="31" t="str">
        <f>IF(ISNUMBER(SnapshotTable[[#This Row],[SP Option  Stop Contract]]),(SnapshotTable[[#This Row],[SP Option  Stop Contract]] *(SnapshotTable[[#This Row],[SP Qty]] * 100) - SnapshotTable[[#This Row],[SP Premium]]),"")</f>
        <v/>
      </c>
      <c r="DC333" s="4"/>
      <c r="DD333" s="4"/>
      <c r="DE333" s="4" t="str">
        <f>IF(AND(SnapshotTable[[#This Row],[SP Qty]]&gt;0, SnapshotTable[[#This Row],[SP Stop To Use]]&gt;0),SnapshotTable[[#This Row],[SP Premium]] - ( SnapshotTable[[#This Row],[SP Qty]] * SnapshotTable[[#This Row],[SP Stop To Use]] * 100), "")</f>
        <v/>
      </c>
      <c r="DF333" s="31" t="str">
        <f>IF(AND(SnapshotTable[[#This Row],[SP Qty]]&gt;0,SnapshotTable[[#This Row],[SP Current Ask]]&gt;0), SnapshotTable[[#This Row],[SP Qty]] * SnapshotTable[[#This Row],[SP Current Ask]] * -100, "")</f>
        <v/>
      </c>
      <c r="DG333" s="31" t="str">
        <f>IF(ISNUMBER((SnapshotTable[[#This Row],[SP Total Value]])), SnapshotTable[[#This Row],[SP Premium]] + SnapshotTable[[#This Row],[SP Total Value]], "")</f>
        <v/>
      </c>
      <c r="DH333" s="294" t="str">
        <f>IF(ISNUMBER((SnapshotTable[[#This Row],[SP Total Value]])), SnapshotTable[[#This Row],[SP Gain Loss]] / SnapshotTable[[#This Row],[SP Premium]], "")</f>
        <v/>
      </c>
      <c r="DI333" s="406"/>
      <c r="DJ333" s="138"/>
      <c r="DK333" s="148"/>
      <c r="DL333" s="13"/>
      <c r="DM333" s="13"/>
      <c r="DO333" s="31">
        <f>IF(SnapshotTable[[#This Row],[LC Symbol Count]]=1, SnapshotTable[[#This Row],[LC Qty]] * SnapshotTable[[#This Row],[LC Book Price]] * 100, 0)</f>
        <v>0</v>
      </c>
      <c r="DP333" s="163" t="str">
        <f>IF(AND(SnapshotTable[[#This Row],[LC Exp Date]]&gt;0, SnapshotTable[[#This Row],[LC Strike Price]]&gt;0,SnapshotTable[[#This Row],[LC Qty]]&gt;0,SnapshotTable[[#This Row],[LC Book Date]]&gt;0,SnapshotTable[[#This Row],[LC Book Price]]&gt;0,SnapshotTable[[#This Row],[LC Fill Date]]=0),"Y","")</f>
        <v/>
      </c>
      <c r="DQ333" s="386" t="str">
        <f>IF(SnapshotTable[[#This Row],[LC Premium]] &gt; 0,SnapshotTable[[#This Row],[LC Exp Date]]-MAX(SnapshotTable[[#This Row],[LC Book Date]], SnapshotTable[[#This Row],[LC Fill Date]]),"")</f>
        <v/>
      </c>
      <c r="DR333" s="386" t="str">
        <f>IF(ISNUMBER(SnapshotTable[[#This Row],[LC Term]]), SnapshotTable[[#This Row],[LC Exp Date]] - MockToday, "")</f>
        <v/>
      </c>
      <c r="DS333" s="234" t="str">
        <f>IF(SnapshotTable[[#This Row],[LC Premium]]&gt;0,SnapshotTable[[#This Row],[LC Strike Price]] + SnapshotTable[[#This Row],[LC Book Price]],"")</f>
        <v/>
      </c>
      <c r="DU333" s="9" t="str">
        <f>IF(AND(SnapshotTable[[#This Row],[LC Symbol Count]]&gt;0, SnapshotTable[[#This Row],[LC Contract Value]]&gt;0), SnapshotTable[[#This Row],[LC Contract Value]] * SnapshotTable[[#This Row],[LC Qty]] * 100, "")</f>
        <v/>
      </c>
      <c r="DV333" s="9" t="str">
        <f>IF(AND(ISNUMBER(SnapshotTable[[#This Row],[LC Total Value]]), SnapshotTable[[#This Row],[LC Not Filled]]&lt;&gt;"Y"), SnapshotTable[[#This Row],[LC Total Value]]-SnapshotTable[[#This Row],[LC Premium]],"")</f>
        <v/>
      </c>
      <c r="DW333" s="240" t="str">
        <f>IF(ISNUMBER(SnapshotTable[[#This Row],[LC Actual Gain Loss]]), SnapshotTable[[#This Row],[LC Actual Gain Loss]] / SnapshotTable[[#This Row],[LC Premium]],"")</f>
        <v/>
      </c>
      <c r="DX333" s="284" t="str">
        <f>IF(ISNUMBER(SnapshotTable[[#This Row],[LC Book Price]]),SnapshotTable[[#This Row],[LC Book Price]] * 1.5,"")</f>
        <v/>
      </c>
      <c r="DY333" s="265" t="str">
        <f>IF(SnapshotTable[[#This Row],[LC Premium]]&gt;0, SnapshotTable[[#This Row],[LC Next Target]] * SnapshotTable[[#This Row],[LC Qty]] * 100,"")</f>
        <v/>
      </c>
      <c r="DZ333" s="265" t="str">
        <f>IF(ISNUMBER(SnapshotTable[[#This Row],[LC Target Gross]]), SnapshotTable[[#This Row],[LC Target Gross]] - SnapshotTable[[#This Row],[LC Premium]], "")</f>
        <v/>
      </c>
      <c r="EA333" s="305" t="str">
        <f>IF(ISNUMBER(SnapshotTable[[#This Row],[LC Target Gain Loss]]), SnapshotTable[[#This Row],[LC Target Gain Loss]]/SnapshotTable[[#This Row],[LC Premium]], "")</f>
        <v/>
      </c>
      <c r="EB333" s="262"/>
      <c r="EC333" s="283" t="str">
        <f>IF(SnapshotTable[[#This Row],[LC Premium]]&gt;0, SnapshotTable[[#This Row],[LC Book Price]] * (1 - LC_StopLoss_Pct),"")</f>
        <v/>
      </c>
      <c r="ED333" s="284"/>
      <c r="EE333" s="283" t="str">
        <f>IF(ISNUMBER(SnapshotTable[[#This Row],[LC Contract Value]]),IF(ISNUMBER(SnapshotTable[[#This Row],[LC Stop Loss Override]]), SnapshotTable[[#This Row],[LC Stop Loss Override]],SnapshotTable[[#This Row],[LC Stop Loss Calc Target]]),"")</f>
        <v/>
      </c>
      <c r="EF333" s="31" t="str">
        <f>IF(ISNUMBER(SnapshotTable[[#This Row],[LC Stop  To Use]]), (SnapshotTable[[#This Row],[LC Stop  To Use]] * SnapshotTable[[#This Row],[LC Qty]] * 100),"")</f>
        <v/>
      </c>
      <c r="EG333" s="9" t="str">
        <f>IF(ISNUMBER(SnapshotTable[[#This Row],[LC Total Value]]),SnapshotTable[[#This Row],[LC Stop Loss Amount]] - SnapshotTable[[#This Row],[LC Premium]],"")</f>
        <v/>
      </c>
      <c r="EH333" s="9">
        <f>IF(ISNUMBER(SnapshotTable[[#This Row],[LC Premium]]), SnapshotTable[[#This Row],[LC Qty]] * 100 * SnapshotTable[[#This Row],[LC Strike Price]], "")</f>
        <v>0</v>
      </c>
      <c r="EI333" s="240" t="str">
        <f>IF(AND(ISNUMBER(SnapshotTable[[#This Row],[LC Total Value]]),SnapshotTable[[#This Row],[LC Total Value]]&gt;0),SnapshotTable[[#This Row],[LC Stop Gain Loss]]  / SnapshotTable[[#This Row],[LC Premium]],"")</f>
        <v/>
      </c>
      <c r="EJ333" s="35">
        <f>IF(ISNUMBER(SnapshotTable[[#This Row],[Equity Shares]]),TRUNC(SnapshotTable[[#This Row],[Equity Shares]] / 100),0) + SnapshotTable[[#This Row],[LC Qty]]</f>
        <v>0</v>
      </c>
      <c r="EK333" s="147"/>
      <c r="EL333" s="138" t="str">
        <f>IF(SnapshotTable[[#This Row],[SC Exp Date]]&lt;&gt;"",TRUNC(SnapshotTable[[#This Row],[Last Price]]),"")</f>
        <v/>
      </c>
      <c r="EM333" s="148"/>
      <c r="EN333" s="147"/>
      <c r="EO333" s="147"/>
      <c r="EP333" s="138"/>
      <c r="EQ333" s="419" t="b">
        <f>AND(ISNUMBER(SnapshotTable[[#This Row],[SC Exp Date]]), ISNUMBER(SnapshotTable[[#This Row],[SC Strike Price]]), ISNUMBER(SnapshotTable[[#This Row],[SC Qty]]), ISNUMBER(SnapshotTable[[#This Row],[SC Book Date]]), ISNUMBER(SnapshotTable[[#This Row],[SC Book Price]]))</f>
        <v>0</v>
      </c>
      <c r="ER333" s="419" t="b">
        <f>AND(SnapshotTable[[#This Row],[SC Is Booked]], NOT(ISBLANK(SnapshotTable[[#This Row],[SC Fill Date]])))</f>
        <v>0</v>
      </c>
      <c r="ES333" s="370"/>
      <c r="ET333" s="34" t="str">
        <f>IF(AND(ISNUMBER(SnapshotTable[[#This Row],[SC Exp Date]]), ISNUMBER(SnapshotTable[[#This Row],[SC Book Date]])), SnapshotTable[[#This Row],[SC Exp Date]] - MAX(SnapshotTable[[#This Row],[SC Book Date]], SnapshotTable[[#This Row],[SC Fill Date]]) + 1, "")</f>
        <v/>
      </c>
      <c r="EU333" s="34" t="str">
        <f>IF(ISNUMBER(SnapshotTable[[#This Row],[SC Term]]), SnapshotTable[[#This Row],[SC Exp Date]]- MockToday, "")</f>
        <v/>
      </c>
      <c r="EV333" s="31">
        <f>IF(SnapshotTable[[#This Row],[SC Is Booked]], SnapshotTable[[#This Row],[SC Qty]] * SnapshotTable[[#This Row],[SC Book Price]] * 100, 0)</f>
        <v>0</v>
      </c>
      <c r="EW333" s="4" t="str">
        <f>IF(AND(ISNUMBER(SnapshotTable[[#This Row],[Last Price]]), ISNUMBER( SnapshotTable[[#This Row],[SC Book Price]])), SnapshotTable[[#This Row],[Last Price]] - SnapshotTable[[#This Row],[SC Book Price]],"")</f>
        <v/>
      </c>
      <c r="EX333" s="234" t="str">
        <f>IF(SnapshotTable[[#This Row],[SC Is Booked]],IF(SnapshotTable[[#This Row],[SC Intrinsic Value]] &gt; 0, SnapshotTable[[#This Row],[SC Strike Price]], SnapshotTable[[#This Row],[Last Price]]), "")</f>
        <v/>
      </c>
      <c r="EY333" s="4">
        <f>IF(SnapshotTable[[#This Row],[SC Is Booked]], (MinimumPremiumRequired * SnapshotTable[[#This Row],[SC Basis]] * SnapshotTable[[#This Row],[SC Term]]), 0)</f>
        <v>0</v>
      </c>
      <c r="EZ333" s="283"/>
      <c r="FA333" s="218"/>
      <c r="FB333" s="370"/>
      <c r="FC333" s="4">
        <f>IF(SnapshotTable[[#This Row],[SC Is Filled]], btc_max_buyback_amount(SnapshotTable[[#This Row],[SC Fill Date]],SnapshotTable[[#This Row],[SC Exp Date]], SnapshotTable[[#This Row],[SC Book Price]]),0)</f>
        <v>0</v>
      </c>
      <c r="FD333" s="5"/>
      <c r="FE333" s="144" t="str">
        <f>IF(SnapshotTable[[#This Row],[SC Is Filled]], btc_next_cutoff_date(SnapshotTable[[#This Row],[SC Fill Date]],SnapshotTable[[#This Row],[SC Exp Date]]),"")</f>
        <v/>
      </c>
      <c r="FF333" s="4" t="str" cm="1">
        <f t="array" ref="FF333">IF(SnapshotTable[[#This Row],[SC Is Filled]], btc_should_buy_back(SnapshotTable[[#This Row],[SC Fill Date]], SnapshotTable[[#This Row],[SC Exp Date]], SnapshotTable[[#This Row],[SC Book Price]], SnapshotTable[[#This Row],[SC Current Ask]], MockToday, SnapshotTable[[#This Row],[SC Buyback Override]]),"")</f>
        <v/>
      </c>
      <c r="FG333" s="4">
        <f>IF(SnapshotTable[[#This Row],[SC Is Filled]], MAX(0,SnapshotTable[[#This Row],[Last Price]]  - SnapshotTable[[#This Row],[SC Strike Price]]), 0)</f>
        <v>0</v>
      </c>
      <c r="FH333" s="382">
        <f>IF(SnapshotTable[[#This Row],[SC Is Filled]], IF(ISNUMBER(SnapshotTable[[#This Row],[SC Current Ask]]), SnapshotTable[[#This Row],[SC Current Ask]], SnapshotTable[[#This Row],[SC Book Price]]) - SnapshotTable[[#This Row],[SC Intrinsic Value]], 0)</f>
        <v>0</v>
      </c>
      <c r="FI333" s="143"/>
      <c r="FJ333" s="32" t="str">
        <f>IF(SnapshotTable[[#This Row],[SC Is Filled]],100 * SnapshotTable[[#This Row],[SC Qty]] * IF(ISNUMBER(SnapshotTable[[#This Row],[SC Buyback Override]]), SnapshotTable[[#This Row],[SC Buyback Override]], SnapshotTable[[#This Row],[SC Current Ask]]), "")</f>
        <v/>
      </c>
      <c r="FK333" s="250" t="str">
        <f>IF(SnapshotTable[[#This Row],[SC Time Val]]&gt;0, SnapshotTable[[#This Row],[SC Time Val]] / SnapshotTable[[#This Row],[Last Price]],"")</f>
        <v/>
      </c>
      <c r="FL333" s="302" t="str">
        <f>IF(SnapshotTable[[#This Row],[SC Is Booked]], ((SnapshotTable[[#This Row],[Last Price]] -SnapshotTable[[#This Row],[SC Strike Price]]) / SnapshotTable[[#This Row],[Last Price]]) * -1, "")</f>
        <v/>
      </c>
      <c r="FM333" s="157" t="str">
        <f>IF(SnapshotTable[[#This Row],[SC Is Booked]],  (SnapshotTable[[#This Row],[SC Qty]] * 100 * SnapshotTable[[#This Row],[SC Strike Price]]) - SnapshotTable[[#This Row],[SC Current Ask]], "")</f>
        <v/>
      </c>
      <c r="FN33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3" s="31" t="str">
        <f>IF(AND(ISNUMBER(SnapshotTable[[#This Row],[SC Exercise Gross]]), ISNUMBER(SnapshotTable[[#This Row],[Equity Basis Per Share]] )), SnapshotTable[[#This Row],[SC Exercise Gross]] - SnapshotTable[[#This Row],[Equity Basis Total]] +  SnapshotTable[[#This Row],[SC Premium]], "")</f>
        <v/>
      </c>
      <c r="FP333" s="5" t="str">
        <f>IF(ISNUMBER(SnapshotTable[[#This Row],[SC Exercise Gross]]), (SnapshotTable[[#This Row],[SC Exercise Gross]]) / (SnapshotTable[[#This Row],[SC Qty]] * 100), "")</f>
        <v/>
      </c>
      <c r="FQ333" s="27" t="str">
        <f>IF(SnapshotTable[[#This Row],[SC Is Booked]],SnapshotTable[[#This Row],[SC Time Val]] /SnapshotTable[[#This Row],[SC Basis]], "")</f>
        <v/>
      </c>
      <c r="FR333" s="27" t="str" cm="1">
        <f t="array" ref="FR333">IF(AND(ISNUMBER(SnapshotTable[[#This Row],[SC Term]]),ISNUMBER(SnapshotTable[[#This Row],[SC Simple ROO]])), EllmanAnnualize(SnapshotTable[[#This Row],[SC DTE]], SnapshotTable[[#This Row],[SC Simple ROO]] ),"")</f>
        <v/>
      </c>
      <c r="FS333" s="4" t="e">
        <f>IF(SnapshotTable[[#This Row],[SC Strike Price]] &gt; SnapshotTable[[#This Row],[Last Price]], SnapshotTable[[#This Row],[SC Strike Price]] - SnapshotTable[[#This Row],[Last Price]],0)</f>
        <v>#VALUE!</v>
      </c>
      <c r="FT333" s="27" t="e">
        <f>IF(AND(ISNUMBER(SnapshotTable[[#This Row],[SC Upside Potential]]), SnapshotTable[[#This Row],[SC Upside Potential]] &gt; 0),(SnapshotTable[[#This Row],[SC Upside Potential]]/ SnapshotTable[[#This Row],[ACB]]),"")</f>
        <v>#VALUE!</v>
      </c>
      <c r="FU333" s="333" t="str">
        <f>IF(SnapshotTable[[#This Row],[SC Intrinsic Value]] &gt; 0,SnapshotTable[[#This Row],[SC Intrinsic Value]],"")</f>
        <v/>
      </c>
      <c r="FV333" s="27" t="str">
        <f>IF(AND( ISNUMBER( SnapshotTable[[#This Row],[ACB]]),ISNUMBER(SnapshotTable[[#This Row],[SC Downside Protect]])),SnapshotTable[[#This Row],[SC Downside Protect]] / SnapshotTable[[#This Row],[ACB]],"")</f>
        <v/>
      </c>
      <c r="FW333" s="236" t="str">
        <f>IF(AND(ISNUMBER(SnapshotTable[[#This Row],[SC Simple ROO]]),SnapshotTable[[#This Row],[SC Simple ROO]] &gt; 0), SnapshotTable[[#This Row],[SC Premium]] + (SnapshotTable[[#This Row],[SC Qty]] * SnapshotTable[[#This Row],[SC Upside Potential]]), "")</f>
        <v/>
      </c>
      <c r="FX333" s="302" t="str" cm="1">
        <f t="array" ref="FX333">IF(ISNUMBER(SnapshotTable[[#This Row],[SC Max Dollars]]), annualize(SnapshotTable[[#This Row],[SC Term]],(SnapshotTable[[#This Row],[SC Max Dollars]]/SnapshotTable[[#This Row],[SC Basis]])),"")</f>
        <v/>
      </c>
      <c r="FY333" s="236" t="str">
        <f>IF(AND(SnapshotTable[[#This Row],[SC Qty]]&gt;0,SnapshotTable[[#This Row],[SC Current Ask]]&gt;0), SnapshotTable[[#This Row],[SC Qty]] * SnapshotTable[[#This Row],[SC Current Ask]] * -100, "")</f>
        <v/>
      </c>
      <c r="FZ333" s="31" t="str">
        <f>IF(ISNUMBER((SnapshotTable[[#This Row],[SC Current Value]])), SnapshotTable[[#This Row],[SC Premium]] + SnapshotTable[[#This Row],[SC Current Value]], "")</f>
        <v/>
      </c>
      <c r="GA333" s="294" t="str">
        <f>IFERROR( IF(ISNUMBER((SnapshotTable[[#This Row],[SC Current Value]])), SnapshotTable[[#This Row],[SC Gain Loss]] / SnapshotTable[[#This Row],[SC Premium]], ""), "")</f>
        <v/>
      </c>
      <c r="GB333" s="42">
        <f>SnapshotTable[[#This Row],[Equity Shares]] * SaleSharesToConsiderPercentage</f>
        <v>0</v>
      </c>
      <c r="GC333" s="40">
        <f>SnapshotTable[[#This Row],[Long Term Target]] * SellingPriceToConsiderBasedOnTargetPercentage</f>
        <v>0</v>
      </c>
      <c r="GD333" s="40">
        <f>SnapshotTable[[#This Row],[Last Price]] * (1+ SellingPriceToConsiderBasedOnTargetPercentage)</f>
        <v>55.477499999999999</v>
      </c>
      <c r="GE333" s="41"/>
      <c r="GF333" s="40"/>
      <c r="GG333" s="31">
        <f>SnapshotTable[[#This Row],[Booked Sale Shares]] * SnapshotTable[[#This Row],[Booked Sale Price]]</f>
        <v>0</v>
      </c>
      <c r="GH333" s="31" t="str">
        <f>IF(SnapshotTable[[#This Row],[Equity Basis Total]] &gt; 0, SnapshotTable[[#This Row],[Equity Basis Per Share]] * SnapshotTable[[#This Row],[Booked Sale Shares]], "")</f>
        <v/>
      </c>
      <c r="GI333" s="31">
        <f>IF(SnapshotTable[[#This Row],[Sale Proceeds]]&gt;0, SnapshotTable[[#This Row],[Sale Proceeds]] - SnapshotTable[[#This Row],[Sale Basis]], 0)</f>
        <v>0</v>
      </c>
      <c r="GJ333" s="27" t="str">
        <f>IF(SnapshotTable[[#This Row],[Sale G/L]]&gt;0, SnapshotTable[[#This Row],[Sale G/L]] / SnapshotTable[[#This Row],[Sale Basis]], IF(ISNUMBER(SnapshotTable[[#This Row],[SC Exercise P&amp;L (TAX)]]), SnapshotTable[[#This Row],[SC Exercise P&amp;L (TAX)]] / SnapshotTable[[#This Row],[SC Basis]], ""))</f>
        <v/>
      </c>
      <c r="GK333" s="27"/>
      <c r="GL333" s="43" t="str">
        <f>IF(AND(SnapshotTable[[#This Row],[LP Exp Date]]&gt;0,SnapshotTable[[#This Row],[LP Strike Price]]&gt;0), [1]!ToOptionSymbol(SnapshotTable[[#This Row],[Symbol]], SnapshotTable[[#This Row],[LP Strike Price]],SnapshotTable[[#This Row],[LP Exp Date]],1), "")</f>
        <v/>
      </c>
      <c r="GM333" s="30" t="str">
        <f>IF(LEN(SnapshotTable[[#This Row],[LP Symbol]])&gt;0, 1, "")</f>
        <v/>
      </c>
      <c r="GN333" s="43" t="str">
        <f>IF(AND(SnapshotTable[[#This Row],[SP Exp Date]]&gt;0,SnapshotTable[[#This Row],[SP Strike Price]]&gt;0), [1]!ToOptionSymbol(SnapshotTable[[#This Row],[Symbol]], SnapshotTable[[#This Row],[SP Strike Price]],SnapshotTable[[#This Row],[SP Exp Date]],1), "")</f>
        <v/>
      </c>
      <c r="GO333" s="30" t="str">
        <f>IF(LEN(SnapshotTable[[#This Row],[SP Symbol]])&gt;0, 1, "")</f>
        <v/>
      </c>
      <c r="GP333" s="43" t="str">
        <f>IF(AND(SnapshotTable[[#This Row],[LC Exp Date]]&gt;0,SnapshotTable[[#This Row],[LC Strike Price]]&gt;0), [1]!ToOptionSymbol(SnapshotTable[[#This Row],[Symbol]], SnapshotTable[[#This Row],[LC Strike Price]],SnapshotTable[[#This Row],[LC Exp Date]],0), "")</f>
        <v/>
      </c>
      <c r="GQ333" s="30" t="str">
        <f>IF(LEN(SnapshotTable[[#This Row],[LC Symbol]])&gt;0, 1, "")</f>
        <v/>
      </c>
      <c r="GR333" s="43" t="str">
        <f>IF(AND(SnapshotTable[[#This Row],[SC Exp Date]]&gt;0,SnapshotTable[[#This Row],[SC Strike Price]]&gt;0), [1]!ToOptionSymbol(SnapshotTable[[#This Row],[Symbol]], SnapshotTable[[#This Row],[SC Strike Price]],SnapshotTable[[#This Row],[SC Exp Date]],0), "")</f>
        <v/>
      </c>
      <c r="GS333" s="30" t="str">
        <f>IF(LEN(SnapshotTable[[#This Row],[SC Symbol]])&gt;0, 1, "")</f>
        <v/>
      </c>
      <c r="GT333" s="29" t="str">
        <f>IF(COUNT(SnapshotTable[[#This Row],[LP Symbol Count]],SnapshotTable[[#This Row],[SP Symbol Count]],SnapshotTable[[#This Row],[LC Symbol Count]],SnapshotTable[[#This Row],[SC Symbol Count]])&gt;0, "Y", "")</f>
        <v/>
      </c>
      <c r="GU33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3" s="231" t="e">
        <f>MAX(SnapshotTable[[#This Row],[Equity Basis Total]],SnapshotTable[[#This Row],[Equity Value]]) + (SnapshotTable[[#This Row],[SP Potential Spend]]- SnapshotTable[[#This Row],[SP Premium]] + SnapshotTable[[#This Row],[LP Premium]])+ (SnapshotTable[[#This Row],[LC Premium]] - SnapshotTable[[#This Row],[SC Premium]])</f>
        <v>#VALUE!</v>
      </c>
      <c r="GW333" s="139" t="e">
        <f>IF(AND(SnapshotTable[[#This Row],[Exposure]] &lt;&gt; 0),SnapshotTable[[#This Row],[Exposure]] / SnapshotTable[[#Totals],[Exposure]], "")</f>
        <v>#VALUE!</v>
      </c>
      <c r="HK333" s="1"/>
      <c r="HL333" s="1"/>
      <c r="HM333" s="1"/>
      <c r="HN333" s="1"/>
      <c r="HO333" s="1"/>
      <c r="HP333" s="1"/>
    </row>
    <row r="334" spans="2:224" ht="12.75" hidden="1" customHeight="1" x14ac:dyDescent="0.25">
      <c r="B334" s="12" t="s">
        <v>1269</v>
      </c>
      <c r="C334" s="422">
        <v>29.97</v>
      </c>
      <c r="D334" s="208"/>
      <c r="E334" s="39">
        <f>SnapshotTable[[#This Row],[Last Price]]*(1 -CrashDiscount)</f>
        <v>25.474499999999999</v>
      </c>
      <c r="F334" s="325" t="s">
        <v>223</v>
      </c>
      <c r="G334" s="325" t="s">
        <v>49</v>
      </c>
      <c r="H334" s="149"/>
      <c r="I334" s="194"/>
      <c r="J334" s="195"/>
      <c r="K334" s="196"/>
      <c r="L334" s="326"/>
      <c r="M334" s="140"/>
      <c r="N334" s="140"/>
      <c r="O334" s="140"/>
      <c r="P334" s="22"/>
      <c r="Q334" s="25"/>
      <c r="R334" s="4" t="str">
        <f>IF(SnapshotTable[[#This Row],[Equity Basis Total]] &gt; 0, SnapshotTable[[#This Row],[Equity Basis Total]] / SnapshotTable[[#This Row],[Equity Shares]], "")</f>
        <v/>
      </c>
      <c r="S334" s="269">
        <f>SnapshotTable[[#This Row],[Last Price]] * SnapshotTable[[#This Row],[Equity Shares]]</f>
        <v>0</v>
      </c>
      <c r="T334" s="269">
        <f>SnapshotTable[[#This Row],[Equity Value]] - SnapshotTable[[#This Row],[Equity Basis Total]]</f>
        <v>0</v>
      </c>
      <c r="U334" s="270" t="str">
        <f>IF(SnapshotTable[[#This Row],[Equity Basis Total]] &gt; 0, SnapshotTable[[#This Row],[Equity G/L]] / SnapshotTable[[#This Row],[Equity Basis Total]], "")</f>
        <v/>
      </c>
      <c r="V334" s="268">
        <v>30</v>
      </c>
      <c r="W334" s="268">
        <v>26.95</v>
      </c>
      <c r="X334" s="4" t="str">
        <f>IF(AND(ISNUMBER(SnapshotTable[[#This Row],[Equity Basis Per Share]]),ISNUMBER(SnapshotTable[[#This Row],[Equity Target]])),SnapshotTable[[#This Row],[Equity Target]]-SnapshotTable[[#This Row],[Equity Basis Per Share]],"")</f>
        <v/>
      </c>
      <c r="Y334" s="4" t="str">
        <f>IF(AND(ISNUMBER(SnapshotTable[[#This Row],[Equity Basis Per Share]]),ISNUMBER(SnapshotTable[[#This Row],[Equity Stop Loss]])),SnapshotTable[[#This Row],[Equity Stop Loss]]-SnapshotTable[[#This Row],[Equity Basis Per Share]],"")</f>
        <v/>
      </c>
      <c r="Z334" s="275" t="str">
        <f>IFERROR( TEXT(SnapshotTable[[#This Row],[Equity Max Gain Per Share]] /ABS( SnapshotTable[[#This Row],[Equity Max Loss Per Share]]),"0.0 " ) &amp; " : 1", "")</f>
        <v/>
      </c>
      <c r="AA334" s="31" t="str">
        <f>IF(ISNUMBER(SnapshotTable[[#This Row],[Equity Max Gain Per Share]]),SnapshotTable[[#This Row],[Equity Max Gain Per Share]] * SnapshotTable[[#This Row],[Equity Shares]],"")</f>
        <v/>
      </c>
      <c r="AB334" s="31" t="str">
        <f>IF(ISNUMBER(SnapshotTable[[#This Row],[Equity Max Loss Per Share]]),SnapshotTable[[#This Row],[Equity Max Loss Per Share]] * SnapshotTable[[#This Row],[Equity Shares]],"")</f>
        <v/>
      </c>
      <c r="AC334" s="150"/>
      <c r="AD334" s="151"/>
      <c r="AE334" s="31">
        <f>(SnapshotTable[[#This Row],[Annual Dividend Per Share]] / 4) * SnapshotTable[[#This Row],[Equity Shares]]</f>
        <v>0</v>
      </c>
      <c r="AF334" s="31">
        <f>SnapshotTable[[#This Row],[Quarterly Div $]] * 4</f>
        <v>0</v>
      </c>
      <c r="AG334" s="7">
        <f>IF(SnapshotTable[[#This Row],[Annual Dividend Per Share]]&gt;0, SnapshotTable[[#This Row],[Annual Dividend Per Share]]  / SnapshotTable[[#This Row],[Last Price]], 0)</f>
        <v>0</v>
      </c>
      <c r="AH334" s="151"/>
      <c r="AI334" s="5"/>
      <c r="AJ334" s="138"/>
      <c r="AK334" s="152" t="str">
        <f>IF(ISNUMBER( SnapshotTable[[#This Row],[EBF Target]]),(SnapshotTable[[#This Row],[EBF Target]] - SnapshotTable[[#This Row],[Last Price]]) / SnapshotTable[[#This Row],[Last Price]], "")</f>
        <v/>
      </c>
      <c r="AL334" s="152" t="str">
        <f>IF(AND(SnapshotTable[[#This Row],[Equity Basis Total]] &gt; 0,ISNUMBER( SnapshotTable[[#This Row],[Long Term Target]])), SnapshotTable[[#This Row],[From Basis $]] / SnapshotTable[[#This Row],[Equity Basis Total]], "")</f>
        <v/>
      </c>
      <c r="AM334" s="9">
        <f>IF( AND(SnapshotTable[[#This Row],[Equity Shares]] &gt;0,ISNUMBER( SnapshotTable[[#This Row],[Long Term Target]])),(SnapshotTable[[#This Row],[Equity Shares]] * SnapshotTable[[#This Row],[Long Term Target]]) - SnapshotTable[[#This Row],[Equity Basis Total]],0)</f>
        <v>0</v>
      </c>
      <c r="AN334" s="9">
        <f>IF( AND(SnapshotTable[[#This Row],[Equity Shares]] &gt;0,ISNUMBER( SnapshotTable[[#This Row],[Long Term Target]])),(SnapshotTable[[#This Row],[Equity Shares]]*SnapshotTable[[#This Row],[Long Term Target]]) - SnapshotTable[[#This Row],[Equity Value]],0)</f>
        <v>0</v>
      </c>
      <c r="AO334" s="152" t="str">
        <f>IF(AND(ISNUMBER( SnapshotTable[[#This Row],[Long Term Target]]), ISNUMBER(SnapshotTable[[#This Row],[Last Price]])),(SnapshotTable[[#This Row],[Long Term Target]] - SnapshotTable[[#This Row],[Last Price]]) / SnapshotTable[[#This Row],[Last Price]], "")</f>
        <v/>
      </c>
      <c r="AP334" s="5"/>
      <c r="AQ334" s="38"/>
      <c r="AR334" s="5"/>
      <c r="AS334" s="38"/>
      <c r="AT334" s="146"/>
      <c r="AU334" s="187" t="str">
        <f>IF(OR(SnapshotTable[[#This Row],[LP No Fill]]="Y",SnapshotTable[[#This Row],[SP Is Filled]],SnapshotTable[[#This Row],[LC Not Filled]]="Y",SnapshotTable[[#This Row],[SC Is Filled]]),"Y","")</f>
        <v/>
      </c>
      <c r="AV334" s="219"/>
      <c r="AW334" s="225"/>
      <c r="AX334" s="220"/>
      <c r="AY334" s="219" t="str">
        <f>IF(SnapshotTable[[#This Row],[Implied Move]]&gt;0, SnapshotTable[[#This Row],[Last Price]]-SnapshotTable[[#This Row],[Implied Move]],"")</f>
        <v/>
      </c>
      <c r="AZ334" s="219" t="str">
        <f>IF(SnapshotTable[[#This Row],[Implied Move]]&gt;0, SnapshotTable[[#This Row],[Last Price]] + SnapshotTable[[#This Row],[Implied Move]],"")</f>
        <v/>
      </c>
      <c r="BA334" s="331">
        <v>24.7</v>
      </c>
      <c r="BB334" s="404"/>
      <c r="BC33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4" s="351"/>
      <c r="BE334" s="5"/>
      <c r="BF334" s="14"/>
      <c r="BG334" s="13"/>
      <c r="BH334" s="13"/>
      <c r="BI334" s="5"/>
      <c r="BJ334" s="136">
        <f>IF(SnapshotTable[[#This Row],[LP Qty]] &gt; 0, SnapshotTable[[#This Row],[LP Qty]] * SnapshotTable[[#This Row],[LP Book Price]] * 100,0)</f>
        <v>0</v>
      </c>
      <c r="BK334" s="136">
        <f>IF(SnapshotTable[[#This Row],[LP Premium]] &gt; 0, SnapshotTable[[#This Row],[LP Qty]] * SnapshotTable[[#This Row],[LP Strike Price]] * 100,0)</f>
        <v>0</v>
      </c>
      <c r="BL334" s="154"/>
      <c r="BM334" s="385" t="str">
        <f>IF(SnapshotTable[[#This Row],[LP Premium]] &gt; 0,SnapshotTable[[#This Row],[LP Exp Date]]-MAX(SnapshotTable[[#This Row],[LP Book Date]], SnapshotTable[[#This Row],[LP Fill Date]]),"")</f>
        <v/>
      </c>
      <c r="BN334" s="385" t="str">
        <f>IF(ISNUMBER( SnapshotTable[[#This Row],[LP Term]]), SnapshotTable[[#This Row],[LP Exp Date]] - MockToday,"")</f>
        <v/>
      </c>
      <c r="BO334" s="163" t="str">
        <f>IF(AND(SnapshotTable[[#This Row],[LP Exp Date]]&gt;0, SnapshotTable[[#This Row],[LP Strike Price]]&gt;0,SnapshotTable[[#This Row],[LP Qty]]&gt;0,SnapshotTable[[#This Row],[LP Book Date]]&gt;0,SnapshotTable[[#This Row],[LP Book Price]]&gt;0,SnapshotTable[[#This Row],[LP Fill Date]]=0),"Y","")</f>
        <v/>
      </c>
      <c r="BP334" s="31" t="str">
        <f>IF(AND(SnapshotTable[[#This Row],[LP No Fill]]&lt;&gt;"Y",SnapshotTable[[#This Row],[LP Contract Value]]&gt;0, SnapshotTable[[#This Row],[LP Qty]]&gt;0), SnapshotTable[[#This Row],[LP Contract Value]]*SnapshotTable[[#This Row],[LP Qty]]*100,"")</f>
        <v/>
      </c>
      <c r="BQ334" s="13"/>
      <c r="BR334" s="5" t="str">
        <f>IF(SnapshotTable[[#This Row],[SP Exp Date]]&lt;&gt;"",TRUNC(SnapshotTable[[#This Row],[Last Price]]),"")</f>
        <v/>
      </c>
      <c r="BS334" s="36"/>
      <c r="BT334" s="147"/>
      <c r="BU334" s="13"/>
      <c r="BV334" s="5"/>
      <c r="BW334" s="419" t="b">
        <f>AND(ISNUMBER(SnapshotTable[[#This Row],[SP Exp Date]]), ISNUMBER(SnapshotTable[[#This Row],[SP Strike Price]]), ISNUMBER(SnapshotTable[[#This Row],[SP Qty]]), ISNUMBER(SnapshotTable[[#This Row],[SP Book Date]]), ISNUMBER(SnapshotTable[[#This Row],[SP Book Price]]))</f>
        <v>0</v>
      </c>
      <c r="BX334" s="419" t="b">
        <f>AND(SnapshotTable[[#This Row],[SP Is Booked]], NOT(ISBLANK(SnapshotTable[[#This Row],[SP Fill Date]])))</f>
        <v>0</v>
      </c>
      <c r="BY334" s="33">
        <f>IF(SnapshotTable[[#This Row],[SP Is Booked]], SnapshotTable[[#This Row],[SP Qty]] * SnapshotTable[[#This Row],[SP Book Price]] * 100, 0)</f>
        <v>0</v>
      </c>
      <c r="BZ334" s="369"/>
      <c r="CA334" s="368">
        <f>SnapshotTable[[#This Row],[LP Qty]]</f>
        <v>0</v>
      </c>
      <c r="CB334" s="4" t="str">
        <f>IF(SnapshotTable[[#This Row],[SP Is Booked]], SnapshotTable[[#This Row],[SP Strike Price]] - SnapshotTable[[#This Row],[SP Book Price]], "")</f>
        <v/>
      </c>
      <c r="CC334" s="19" t="str">
        <f>IF(SnapshotTable[[#This Row],[SP Is Booked]],SnapshotTable[[#This Row],[SP Exp Date]]-MAX(SnapshotTable[[#This Row],[SP Book Date]], SnapshotTable[[#This Row],[SP Fill Date]]),"")</f>
        <v/>
      </c>
      <c r="CD334" s="7" t="str">
        <f>IF(SnapshotTable[[#This Row],[SP Is Booked]], SnapshotTable[[#This Row],[SP Book Price]]/SnapshotTable[[#This Row],[SP Strike Price]], "")</f>
        <v/>
      </c>
      <c r="CE334" s="7" t="str">
        <f>IF(ISNUMBER(SnapshotTable[[#This Row],[SP ROO Term]]),SnapshotTable[[#This Row],[SP ROO Term]]*(365/SnapshotTable[[#This Row],[SP Term]]),"")</f>
        <v/>
      </c>
      <c r="CF334" s="236">
        <f>SnapshotTable[[#This Row],[LP Strike Price]] * SnapshotTable[[#This Row],[LP Qty]] * 100</f>
        <v>0</v>
      </c>
      <c r="CG334" s="31" t="e">
        <f>IF(ISNUMBER(SnapshotTable[[#This Row],[SP Premium]]), (SnapshotTable[[#This Row],[SP Qty]] * SnapshotTable[[#This Row],[SP Strike Price]]* 100) - SnapshotTable[[#This Row],[LP Protection]], 0)</f>
        <v>#VALUE!</v>
      </c>
      <c r="CH334" s="7" t="str">
        <f>IF(ISNUMBER(SnapshotTable[[#This Row],[SP Break Even]]),-1 * (SnapshotTable[[#This Row],[SP Break Even]] - SnapshotTable[[#This Row],[Last Price]]) / SnapshotTable[[#This Row],[Last Price]], "")</f>
        <v/>
      </c>
      <c r="CI334" s="31">
        <f>IF(AND(ISNUMBER((SnapshotTable[[#This Row],[SP Potential Spend]])), SnapshotTable[[#This Row],[SP Strike Price]] &gt; SnapshotTable[[#This Row],[Last Price]], SnapshotTable[[#This Row],[SP Is Filled]]), SnapshotTable[[#This Row],[SP Potential Spend]] -  SnapshotTable[[#This Row],[LP Max Value]], 0)</f>
        <v>0</v>
      </c>
      <c r="CJ334" s="244"/>
      <c r="CK334" s="31" t="str">
        <f>IF(ISNUMBER(SnapshotTable[[#This Row],[SP Potential Spend]]),IF(ISNUMBER(SnapshotTable[[#This Row],[SP POW]]), SnapshotTable[[#This Row],[SP POW]] * SnapshotTable[[#This Row],[SP Potential Spend]], SnapshotTable[[#This Row],[SP Potential Spend]]), "")</f>
        <v/>
      </c>
      <c r="CL334" s="164" t="e">
        <f>IF(NOT(SnapshotTable[[#This Row],[SP Is Filled]]),(SnapshotTable[[#This Row],[SP Qty]] * SnapshotTable[[#This Row],[SP Strike Price]] * 100) - SnapshotTable[[#This Row],[LP Max Value]],"")</f>
        <v>#VALUE!</v>
      </c>
      <c r="CM334" s="31" t="str">
        <f>IF(SnapshotTable[[#This Row],[SP Actual Spend]]&lt;&gt;0, ((SnapshotTable[[#This Row],[SP Strike Price]]-SnapshotTable[[#This Row],[Last Price]]) *(SnapshotTable[[#This Row],[SP Qty]]*100) - SnapshotTable[[#This Row],[SP Premium]]) * - 1, "")</f>
        <v/>
      </c>
      <c r="CN334" s="78"/>
      <c r="CO334" s="369"/>
      <c r="CP334" s="4" t="str">
        <f>IF(SnapshotTable[[#This Row],[SP Is Filled]], btc_max_buyback_amount(SnapshotTable[[#This Row],[SP Fill Date]],SnapshotTable[[#This Row],[SP Exp Date]], SnapshotTable[[#This Row],[SP Book Price]]),"")</f>
        <v/>
      </c>
      <c r="CQ334" s="78"/>
      <c r="CR33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4" s="155" t="str">
        <f>IF(SnapshotTable[[#This Row],[SP Is Filled]], btc_next_cutoff_date(SnapshotTable[[#This Row],[SP Fill Date]],SnapshotTable[[#This Row],[SP Exp Date]]),"")</f>
        <v/>
      </c>
      <c r="CT334" s="235" t="str" cm="1">
        <f t="array" ref="CT334">IF(SnapshotTable[[#This Row],[SP Is Filled]], btc_should_buy_back(SnapshotTable[[#This Row],[SP Fill Date]], SnapshotTable[[#This Row],[SP Exp Date]], SnapshotTable[[#This Row],[SP Book Price]], SnapshotTable[[#This Row],[SP Current Ask]], MockToday, SnapshotTable[[#This Row],[SP Buyback Override]]),"")</f>
        <v/>
      </c>
      <c r="CU334" s="143"/>
      <c r="CV334" s="235"/>
      <c r="CW334" s="378" t="str">
        <f>IF(ISNUMBER( SnapshotTable[[#This Row],[SP Term]]), SnapshotTable[[#This Row],[SP Exp Date]] - MockToday,"")</f>
        <v/>
      </c>
      <c r="CX334" s="31" t="str">
        <f>IF(SnapshotTable[[#This Row],[SP Is Filled]],SnapshotTable[[#This Row],[SP Buyback Price to Use]] * 100 * SnapshotTable[[#This Row],[SP Qty]], "")</f>
        <v/>
      </c>
      <c r="CY334" s="4" t="str">
        <f>IF(ISNUMBER(SnapshotTable[[#This Row],[SP Strike Price]]), SnapshotTable[[#This Row],[SP Strike Price]] * (1 - SP_MaxLoss_StrikePct), "")</f>
        <v/>
      </c>
      <c r="CZ334" s="31" t="str">
        <f>IF(ISNUMBER(SnapshotTable[[#This Row],[SP Strike  Stop Per Share]]),SnapshotTable[[#This Row],[SP Premium]] - ((SnapshotTable[[#This Row],[SP Strike Price]]-SnapshotTable[[#This Row],[SP Strike  Stop Per Share]]) *(SnapshotTable[[#This Row],[SP Qty]] * 100)),"")</f>
        <v/>
      </c>
      <c r="DA334" s="4" t="str">
        <f>IF(AND(ISNUMBER(SnapshotTable[[#This Row],[SP Premium]]),SnapshotTable[[#This Row],[SP Premium]]&gt;0), SnapshotTable[[#This Row],[SP Book Price]] * (1 + SP_MaxLoss_OptionPct), "")</f>
        <v/>
      </c>
      <c r="DB334" s="31" t="str">
        <f>IF(ISNUMBER(SnapshotTable[[#This Row],[SP Option  Stop Contract]]),(SnapshotTable[[#This Row],[SP Option  Stop Contract]] *(SnapshotTable[[#This Row],[SP Qty]] * 100) - SnapshotTable[[#This Row],[SP Premium]]),"")</f>
        <v/>
      </c>
      <c r="DC334" s="4"/>
      <c r="DD334" s="4"/>
      <c r="DE334" s="4" t="str">
        <f>IF(AND(SnapshotTable[[#This Row],[SP Qty]]&gt;0, SnapshotTable[[#This Row],[SP Stop To Use]]&gt;0),SnapshotTable[[#This Row],[SP Premium]] - ( SnapshotTable[[#This Row],[SP Qty]] * SnapshotTable[[#This Row],[SP Stop To Use]] * 100), "")</f>
        <v/>
      </c>
      <c r="DF334" s="31" t="str">
        <f>IF(AND(SnapshotTable[[#This Row],[SP Qty]]&gt;0,SnapshotTable[[#This Row],[SP Current Ask]]&gt;0), SnapshotTable[[#This Row],[SP Qty]] * SnapshotTable[[#This Row],[SP Current Ask]] * -100, "")</f>
        <v/>
      </c>
      <c r="DG334" s="31" t="str">
        <f>IF(ISNUMBER((SnapshotTable[[#This Row],[SP Total Value]])), SnapshotTable[[#This Row],[SP Premium]] + SnapshotTable[[#This Row],[SP Total Value]], "")</f>
        <v/>
      </c>
      <c r="DH334" s="294" t="str">
        <f>IF(ISNUMBER((SnapshotTable[[#This Row],[SP Total Value]])), SnapshotTable[[#This Row],[SP Gain Loss]] / SnapshotTable[[#This Row],[SP Premium]], "")</f>
        <v/>
      </c>
      <c r="DI334" s="406"/>
      <c r="DJ334" s="138"/>
      <c r="DK334" s="148"/>
      <c r="DL334" s="13"/>
      <c r="DM334" s="13"/>
      <c r="DO334" s="31">
        <f>IF(SnapshotTable[[#This Row],[LC Symbol Count]]=1, SnapshotTable[[#This Row],[LC Qty]] * SnapshotTable[[#This Row],[LC Book Price]] * 100, 0)</f>
        <v>0</v>
      </c>
      <c r="DP334" s="163" t="str">
        <f>IF(AND(SnapshotTable[[#This Row],[LC Exp Date]]&gt;0, SnapshotTable[[#This Row],[LC Strike Price]]&gt;0,SnapshotTable[[#This Row],[LC Qty]]&gt;0,SnapshotTable[[#This Row],[LC Book Date]]&gt;0,SnapshotTable[[#This Row],[LC Book Price]]&gt;0,SnapshotTable[[#This Row],[LC Fill Date]]=0),"Y","")</f>
        <v/>
      </c>
      <c r="DQ334" s="386" t="str">
        <f>IF(SnapshotTable[[#This Row],[LC Premium]] &gt; 0,SnapshotTable[[#This Row],[LC Exp Date]]-MAX(SnapshotTable[[#This Row],[LC Book Date]], SnapshotTable[[#This Row],[LC Fill Date]]),"")</f>
        <v/>
      </c>
      <c r="DR334" s="386" t="str">
        <f>IF(ISNUMBER(SnapshotTable[[#This Row],[LC Term]]), SnapshotTable[[#This Row],[LC Exp Date]] - MockToday, "")</f>
        <v/>
      </c>
      <c r="DS334" s="234" t="str">
        <f>IF(SnapshotTable[[#This Row],[LC Premium]]&gt;0,SnapshotTable[[#This Row],[LC Strike Price]] + SnapshotTable[[#This Row],[LC Book Price]],"")</f>
        <v/>
      </c>
      <c r="DU334" s="9" t="str">
        <f>IF(AND(SnapshotTable[[#This Row],[LC Symbol Count]]&gt;0, SnapshotTable[[#This Row],[LC Contract Value]]&gt;0), SnapshotTable[[#This Row],[LC Contract Value]] * SnapshotTable[[#This Row],[LC Qty]] * 100, "")</f>
        <v/>
      </c>
      <c r="DV334" s="9" t="str">
        <f>IF(AND(ISNUMBER(SnapshotTable[[#This Row],[LC Total Value]]), SnapshotTable[[#This Row],[LC Not Filled]]&lt;&gt;"Y"), SnapshotTable[[#This Row],[LC Total Value]]-SnapshotTable[[#This Row],[LC Premium]],"")</f>
        <v/>
      </c>
      <c r="DW334" s="240" t="str">
        <f>IF(ISNUMBER(SnapshotTable[[#This Row],[LC Actual Gain Loss]]), SnapshotTable[[#This Row],[LC Actual Gain Loss]] / SnapshotTable[[#This Row],[LC Premium]],"")</f>
        <v/>
      </c>
      <c r="DX334" s="284" t="str">
        <f>IF(ISNUMBER(SnapshotTable[[#This Row],[LC Book Price]]),SnapshotTable[[#This Row],[LC Book Price]] * 1.5,"")</f>
        <v/>
      </c>
      <c r="DY334" s="265" t="str">
        <f>IF(SnapshotTable[[#This Row],[LC Premium]]&gt;0, SnapshotTable[[#This Row],[LC Next Target]] * SnapshotTable[[#This Row],[LC Qty]] * 100,"")</f>
        <v/>
      </c>
      <c r="DZ334" s="265" t="str">
        <f>IF(ISNUMBER(SnapshotTable[[#This Row],[LC Target Gross]]), SnapshotTable[[#This Row],[LC Target Gross]] - SnapshotTable[[#This Row],[LC Premium]], "")</f>
        <v/>
      </c>
      <c r="EA334" s="305" t="str">
        <f>IF(ISNUMBER(SnapshotTable[[#This Row],[LC Target Gain Loss]]), SnapshotTable[[#This Row],[LC Target Gain Loss]]/SnapshotTable[[#This Row],[LC Premium]], "")</f>
        <v/>
      </c>
      <c r="EB334" s="262"/>
      <c r="EC334" s="283" t="str">
        <f>IF(SnapshotTable[[#This Row],[LC Premium]]&gt;0, SnapshotTable[[#This Row],[LC Book Price]] * (1 - LC_StopLoss_Pct),"")</f>
        <v/>
      </c>
      <c r="ED334" s="284"/>
      <c r="EE334" s="283" t="str">
        <f>IF(ISNUMBER(SnapshotTable[[#This Row],[LC Contract Value]]),IF(ISNUMBER(SnapshotTable[[#This Row],[LC Stop Loss Override]]), SnapshotTable[[#This Row],[LC Stop Loss Override]],SnapshotTable[[#This Row],[LC Stop Loss Calc Target]]),"")</f>
        <v/>
      </c>
      <c r="EF334" s="31" t="str">
        <f>IF(ISNUMBER(SnapshotTable[[#This Row],[LC Stop  To Use]]), (SnapshotTable[[#This Row],[LC Stop  To Use]] * SnapshotTable[[#This Row],[LC Qty]] * 100),"")</f>
        <v/>
      </c>
      <c r="EG334" s="9" t="str">
        <f>IF(ISNUMBER(SnapshotTable[[#This Row],[LC Total Value]]),SnapshotTable[[#This Row],[LC Stop Loss Amount]] - SnapshotTable[[#This Row],[LC Premium]],"")</f>
        <v/>
      </c>
      <c r="EH334" s="9">
        <f>IF(ISNUMBER(SnapshotTable[[#This Row],[LC Premium]]), SnapshotTable[[#This Row],[LC Qty]] * 100 * SnapshotTable[[#This Row],[LC Strike Price]], "")</f>
        <v>0</v>
      </c>
      <c r="EI334" s="240" t="str">
        <f>IF(AND(ISNUMBER(SnapshotTable[[#This Row],[LC Total Value]]),SnapshotTable[[#This Row],[LC Total Value]]&gt;0),SnapshotTable[[#This Row],[LC Stop Gain Loss]]  / SnapshotTable[[#This Row],[LC Premium]],"")</f>
        <v/>
      </c>
      <c r="EJ334" s="35">
        <f>IF(ISNUMBER(SnapshotTable[[#This Row],[Equity Shares]]),TRUNC(SnapshotTable[[#This Row],[Equity Shares]] / 100),0) + SnapshotTable[[#This Row],[LC Qty]]</f>
        <v>0</v>
      </c>
      <c r="EK334" s="147"/>
      <c r="EL334" s="138" t="str">
        <f>IF(SnapshotTable[[#This Row],[SC Exp Date]]&lt;&gt;"",TRUNC(SnapshotTable[[#This Row],[Last Price]]),"")</f>
        <v/>
      </c>
      <c r="EM334" s="148"/>
      <c r="EN334" s="147"/>
      <c r="EO334" s="147"/>
      <c r="EP334" s="138"/>
      <c r="EQ334" s="419" t="b">
        <f>AND(ISNUMBER(SnapshotTable[[#This Row],[SC Exp Date]]), ISNUMBER(SnapshotTable[[#This Row],[SC Strike Price]]), ISNUMBER(SnapshotTable[[#This Row],[SC Qty]]), ISNUMBER(SnapshotTable[[#This Row],[SC Book Date]]), ISNUMBER(SnapshotTable[[#This Row],[SC Book Price]]))</f>
        <v>0</v>
      </c>
      <c r="ER334" s="419" t="b">
        <f>AND(SnapshotTable[[#This Row],[SC Is Booked]], NOT(ISBLANK(SnapshotTable[[#This Row],[SC Fill Date]])))</f>
        <v>0</v>
      </c>
      <c r="ES334" s="370"/>
      <c r="ET334" s="34" t="str">
        <f>IF(AND(ISNUMBER(SnapshotTable[[#This Row],[SC Exp Date]]), ISNUMBER(SnapshotTable[[#This Row],[SC Book Date]])), SnapshotTable[[#This Row],[SC Exp Date]] - MAX(SnapshotTable[[#This Row],[SC Book Date]], SnapshotTable[[#This Row],[SC Fill Date]]) + 1, "")</f>
        <v/>
      </c>
      <c r="EU334" s="34" t="str">
        <f>IF(ISNUMBER(SnapshotTable[[#This Row],[SC Term]]), SnapshotTable[[#This Row],[SC Exp Date]]- MockToday, "")</f>
        <v/>
      </c>
      <c r="EV334" s="31">
        <f>IF(SnapshotTable[[#This Row],[SC Is Booked]], SnapshotTable[[#This Row],[SC Qty]] * SnapshotTable[[#This Row],[SC Book Price]] * 100, 0)</f>
        <v>0</v>
      </c>
      <c r="EW334" s="4" t="str">
        <f>IF(AND(ISNUMBER(SnapshotTable[[#This Row],[Last Price]]), ISNUMBER( SnapshotTable[[#This Row],[SC Book Price]])), SnapshotTable[[#This Row],[Last Price]] - SnapshotTable[[#This Row],[SC Book Price]],"")</f>
        <v/>
      </c>
      <c r="EX334" s="234" t="str">
        <f>IF(SnapshotTable[[#This Row],[SC Is Booked]],IF(SnapshotTable[[#This Row],[SC Intrinsic Value]] &gt; 0, SnapshotTable[[#This Row],[SC Strike Price]], SnapshotTable[[#This Row],[Last Price]]), "")</f>
        <v/>
      </c>
      <c r="EY334" s="4">
        <f>IF(SnapshotTable[[#This Row],[SC Is Booked]], (MinimumPremiumRequired * SnapshotTable[[#This Row],[SC Basis]] * SnapshotTable[[#This Row],[SC Term]]), 0)</f>
        <v>0</v>
      </c>
      <c r="EZ334" s="283"/>
      <c r="FA334" s="218"/>
      <c r="FB334" s="370"/>
      <c r="FC334" s="4">
        <f>IF(SnapshotTable[[#This Row],[SC Is Filled]], btc_max_buyback_amount(SnapshotTable[[#This Row],[SC Fill Date]],SnapshotTable[[#This Row],[SC Exp Date]], SnapshotTable[[#This Row],[SC Book Price]]),0)</f>
        <v>0</v>
      </c>
      <c r="FD334" s="5"/>
      <c r="FE334" s="144" t="str">
        <f>IF(SnapshotTable[[#This Row],[SC Is Filled]], btc_next_cutoff_date(SnapshotTable[[#This Row],[SC Fill Date]],SnapshotTable[[#This Row],[SC Exp Date]]),"")</f>
        <v/>
      </c>
      <c r="FF334" s="4" t="str" cm="1">
        <f t="array" ref="FF334">IF(SnapshotTable[[#This Row],[SC Is Filled]], btc_should_buy_back(SnapshotTable[[#This Row],[SC Fill Date]], SnapshotTable[[#This Row],[SC Exp Date]], SnapshotTable[[#This Row],[SC Book Price]], SnapshotTable[[#This Row],[SC Current Ask]], MockToday, SnapshotTable[[#This Row],[SC Buyback Override]]),"")</f>
        <v/>
      </c>
      <c r="FG334" s="4">
        <f>IF(SnapshotTable[[#This Row],[SC Is Filled]], MAX(0,SnapshotTable[[#This Row],[Last Price]]  - SnapshotTable[[#This Row],[SC Strike Price]]), 0)</f>
        <v>0</v>
      </c>
      <c r="FH334" s="382">
        <f>IF(SnapshotTable[[#This Row],[SC Is Filled]], IF(ISNUMBER(SnapshotTable[[#This Row],[SC Current Ask]]), SnapshotTable[[#This Row],[SC Current Ask]], SnapshotTable[[#This Row],[SC Book Price]]) - SnapshotTable[[#This Row],[SC Intrinsic Value]], 0)</f>
        <v>0</v>
      </c>
      <c r="FI334" s="143"/>
      <c r="FJ334" s="32" t="str">
        <f>IF(SnapshotTable[[#This Row],[SC Is Filled]],100 * SnapshotTable[[#This Row],[SC Qty]] * IF(ISNUMBER(SnapshotTable[[#This Row],[SC Buyback Override]]), SnapshotTable[[#This Row],[SC Buyback Override]], SnapshotTable[[#This Row],[SC Current Ask]]), "")</f>
        <v/>
      </c>
      <c r="FK334" s="250" t="str">
        <f>IF(SnapshotTable[[#This Row],[SC Time Val]]&gt;0, SnapshotTable[[#This Row],[SC Time Val]] / SnapshotTable[[#This Row],[Last Price]],"")</f>
        <v/>
      </c>
      <c r="FL334" s="302" t="str">
        <f>IF(SnapshotTable[[#This Row],[SC Is Booked]], ((SnapshotTable[[#This Row],[Last Price]] -SnapshotTable[[#This Row],[SC Strike Price]]) / SnapshotTable[[#This Row],[Last Price]]) * -1, "")</f>
        <v/>
      </c>
      <c r="FM334" s="157" t="str">
        <f>IF(SnapshotTable[[#This Row],[SC Is Booked]],  (SnapshotTable[[#This Row],[SC Qty]] * 100 * SnapshotTable[[#This Row],[SC Strike Price]]) - SnapshotTable[[#This Row],[SC Current Ask]], "")</f>
        <v/>
      </c>
      <c r="FN33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4" s="31" t="str">
        <f>IF(AND(ISNUMBER(SnapshotTable[[#This Row],[SC Exercise Gross]]), ISNUMBER(SnapshotTable[[#This Row],[Equity Basis Per Share]] )), SnapshotTable[[#This Row],[SC Exercise Gross]] - SnapshotTable[[#This Row],[Equity Basis Total]] +  SnapshotTable[[#This Row],[SC Premium]], "")</f>
        <v/>
      </c>
      <c r="FP334" s="5" t="str">
        <f>IF(ISNUMBER(SnapshotTable[[#This Row],[SC Exercise Gross]]), (SnapshotTable[[#This Row],[SC Exercise Gross]]) / (SnapshotTable[[#This Row],[SC Qty]] * 100), "")</f>
        <v/>
      </c>
      <c r="FQ334" s="27" t="str">
        <f>IF(SnapshotTable[[#This Row],[SC Is Booked]],SnapshotTable[[#This Row],[SC Time Val]] /SnapshotTable[[#This Row],[SC Basis]], "")</f>
        <v/>
      </c>
      <c r="FR334" s="27" t="str" cm="1">
        <f t="array" ref="FR334">IF(AND(ISNUMBER(SnapshotTable[[#This Row],[SC Term]]),ISNUMBER(SnapshotTable[[#This Row],[SC Simple ROO]])), EllmanAnnualize(SnapshotTable[[#This Row],[SC DTE]], SnapshotTable[[#This Row],[SC Simple ROO]] ),"")</f>
        <v/>
      </c>
      <c r="FS334" s="4" t="e">
        <f>IF(SnapshotTable[[#This Row],[SC Strike Price]] &gt; SnapshotTable[[#This Row],[Last Price]], SnapshotTable[[#This Row],[SC Strike Price]] - SnapshotTable[[#This Row],[Last Price]],0)</f>
        <v>#VALUE!</v>
      </c>
      <c r="FT334" s="27" t="e">
        <f>IF(AND(ISNUMBER(SnapshotTable[[#This Row],[SC Upside Potential]]), SnapshotTable[[#This Row],[SC Upside Potential]] &gt; 0),(SnapshotTable[[#This Row],[SC Upside Potential]]/ SnapshotTable[[#This Row],[ACB]]),"")</f>
        <v>#VALUE!</v>
      </c>
      <c r="FU334" s="333" t="str">
        <f>IF(SnapshotTable[[#This Row],[SC Intrinsic Value]] &gt; 0,SnapshotTable[[#This Row],[SC Intrinsic Value]],"")</f>
        <v/>
      </c>
      <c r="FV334" s="27" t="str">
        <f>IF(AND( ISNUMBER( SnapshotTable[[#This Row],[ACB]]),ISNUMBER(SnapshotTable[[#This Row],[SC Downside Protect]])),SnapshotTable[[#This Row],[SC Downside Protect]] / SnapshotTable[[#This Row],[ACB]],"")</f>
        <v/>
      </c>
      <c r="FW334" s="236" t="str">
        <f>IF(AND(ISNUMBER(SnapshotTable[[#This Row],[SC Simple ROO]]),SnapshotTable[[#This Row],[SC Simple ROO]] &gt; 0), SnapshotTable[[#This Row],[SC Premium]] + (SnapshotTable[[#This Row],[SC Qty]] * SnapshotTable[[#This Row],[SC Upside Potential]]), "")</f>
        <v/>
      </c>
      <c r="FX334" s="302" t="str" cm="1">
        <f t="array" ref="FX334">IF(ISNUMBER(SnapshotTable[[#This Row],[SC Max Dollars]]), annualize(SnapshotTable[[#This Row],[SC Term]],(SnapshotTable[[#This Row],[SC Max Dollars]]/SnapshotTable[[#This Row],[SC Basis]])),"")</f>
        <v/>
      </c>
      <c r="FY334" s="236" t="str">
        <f>IF(AND(SnapshotTable[[#This Row],[SC Qty]]&gt;0,SnapshotTable[[#This Row],[SC Current Ask]]&gt;0), SnapshotTable[[#This Row],[SC Qty]] * SnapshotTable[[#This Row],[SC Current Ask]] * -100, "")</f>
        <v/>
      </c>
      <c r="FZ334" s="31" t="str">
        <f>IF(ISNUMBER((SnapshotTable[[#This Row],[SC Current Value]])), SnapshotTable[[#This Row],[SC Premium]] + SnapshotTable[[#This Row],[SC Current Value]], "")</f>
        <v/>
      </c>
      <c r="GA334" s="294" t="str">
        <f>IFERROR( IF(ISNUMBER((SnapshotTable[[#This Row],[SC Current Value]])), SnapshotTable[[#This Row],[SC Gain Loss]] / SnapshotTable[[#This Row],[SC Premium]], ""), "")</f>
        <v/>
      </c>
      <c r="GB334" s="42">
        <f>SnapshotTable[[#This Row],[Equity Shares]] * SaleSharesToConsiderPercentage</f>
        <v>0</v>
      </c>
      <c r="GC334" s="40">
        <f>SnapshotTable[[#This Row],[Long Term Target]] * SellingPriceToConsiderBasedOnTargetPercentage</f>
        <v>0</v>
      </c>
      <c r="GD334" s="40">
        <f>SnapshotTable[[#This Row],[Last Price]] * (1+ SellingPriceToConsiderBasedOnTargetPercentage)</f>
        <v>58.441499999999998</v>
      </c>
      <c r="GE334" s="41"/>
      <c r="GF334" s="40"/>
      <c r="GG334" s="31">
        <f>SnapshotTable[[#This Row],[Booked Sale Shares]] * SnapshotTable[[#This Row],[Booked Sale Price]]</f>
        <v>0</v>
      </c>
      <c r="GH334" s="31" t="str">
        <f>IF(SnapshotTable[[#This Row],[Equity Basis Total]] &gt; 0, SnapshotTable[[#This Row],[Equity Basis Per Share]] * SnapshotTable[[#This Row],[Booked Sale Shares]], "")</f>
        <v/>
      </c>
      <c r="GI334" s="31">
        <f>IF(SnapshotTable[[#This Row],[Sale Proceeds]]&gt;0, SnapshotTable[[#This Row],[Sale Proceeds]] - SnapshotTable[[#This Row],[Sale Basis]], 0)</f>
        <v>0</v>
      </c>
      <c r="GJ334" s="27" t="str">
        <f>IF(SnapshotTable[[#This Row],[Sale G/L]]&gt;0, SnapshotTable[[#This Row],[Sale G/L]] / SnapshotTable[[#This Row],[Sale Basis]], IF(ISNUMBER(SnapshotTable[[#This Row],[SC Exercise P&amp;L (TAX)]]), SnapshotTable[[#This Row],[SC Exercise P&amp;L (TAX)]] / SnapshotTable[[#This Row],[SC Basis]], ""))</f>
        <v/>
      </c>
      <c r="GK334" s="27"/>
      <c r="GL334" s="43" t="str">
        <f>IF(AND(SnapshotTable[[#This Row],[LP Exp Date]]&gt;0,SnapshotTable[[#This Row],[LP Strike Price]]&gt;0), [1]!ToOptionSymbol(SnapshotTable[[#This Row],[Symbol]], SnapshotTable[[#This Row],[LP Strike Price]],SnapshotTable[[#This Row],[LP Exp Date]],1), "")</f>
        <v/>
      </c>
      <c r="GM334" s="30" t="str">
        <f>IF(LEN(SnapshotTable[[#This Row],[LP Symbol]])&gt;0, 1, "")</f>
        <v/>
      </c>
      <c r="GN334" s="43" t="str">
        <f>IF(AND(SnapshotTable[[#This Row],[SP Exp Date]]&gt;0,SnapshotTable[[#This Row],[SP Strike Price]]&gt;0), [1]!ToOptionSymbol(SnapshotTable[[#This Row],[Symbol]], SnapshotTable[[#This Row],[SP Strike Price]],SnapshotTable[[#This Row],[SP Exp Date]],1), "")</f>
        <v/>
      </c>
      <c r="GO334" s="30" t="str">
        <f>IF(LEN(SnapshotTable[[#This Row],[SP Symbol]])&gt;0, 1, "")</f>
        <v/>
      </c>
      <c r="GP334" s="43" t="str">
        <f>IF(AND(SnapshotTable[[#This Row],[LC Exp Date]]&gt;0,SnapshotTable[[#This Row],[LC Strike Price]]&gt;0), [1]!ToOptionSymbol(SnapshotTable[[#This Row],[Symbol]], SnapshotTable[[#This Row],[LC Strike Price]],SnapshotTable[[#This Row],[LC Exp Date]],0), "")</f>
        <v/>
      </c>
      <c r="GQ334" s="30" t="str">
        <f>IF(LEN(SnapshotTable[[#This Row],[LC Symbol]])&gt;0, 1, "")</f>
        <v/>
      </c>
      <c r="GR334" s="43" t="str">
        <f>IF(AND(SnapshotTable[[#This Row],[SC Exp Date]]&gt;0,SnapshotTable[[#This Row],[SC Strike Price]]&gt;0), [1]!ToOptionSymbol(SnapshotTable[[#This Row],[Symbol]], SnapshotTable[[#This Row],[SC Strike Price]],SnapshotTable[[#This Row],[SC Exp Date]],0), "")</f>
        <v/>
      </c>
      <c r="GS334" s="30" t="str">
        <f>IF(LEN(SnapshotTable[[#This Row],[SC Symbol]])&gt;0, 1, "")</f>
        <v/>
      </c>
      <c r="GT334" s="29" t="str">
        <f>IF(COUNT(SnapshotTable[[#This Row],[LP Symbol Count]],SnapshotTable[[#This Row],[SP Symbol Count]],SnapshotTable[[#This Row],[LC Symbol Count]],SnapshotTable[[#This Row],[SC Symbol Count]])&gt;0, "Y", "")</f>
        <v/>
      </c>
      <c r="GU33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4" s="231" t="e">
        <f>MAX(SnapshotTable[[#This Row],[Equity Basis Total]],SnapshotTable[[#This Row],[Equity Value]]) + (SnapshotTable[[#This Row],[SP Potential Spend]]- SnapshotTable[[#This Row],[SP Premium]] + SnapshotTable[[#This Row],[LP Premium]])+ (SnapshotTable[[#This Row],[LC Premium]] - SnapshotTable[[#This Row],[SC Premium]])</f>
        <v>#VALUE!</v>
      </c>
      <c r="GW334" s="139" t="e">
        <f>IF(AND(SnapshotTable[[#This Row],[Exposure]] &lt;&gt; 0),SnapshotTable[[#This Row],[Exposure]] / SnapshotTable[[#Totals],[Exposure]], "")</f>
        <v>#VALUE!</v>
      </c>
      <c r="HK334" s="1"/>
      <c r="HL334" s="1"/>
      <c r="HM334" s="1"/>
      <c r="HN334" s="1"/>
      <c r="HO334" s="1"/>
      <c r="HP334" s="1"/>
    </row>
    <row r="335" spans="2:224" ht="12.75" hidden="1" customHeight="1" x14ac:dyDescent="0.25">
      <c r="B335" s="12" t="s">
        <v>204</v>
      </c>
      <c r="C335" s="422">
        <v>353.42</v>
      </c>
      <c r="D335" s="208"/>
      <c r="E335" s="39">
        <f>SnapshotTable[[#This Row],[Last Price]]*(1 -CrashDiscount)</f>
        <v>300.40699999999998</v>
      </c>
      <c r="F335" s="26" t="s">
        <v>183</v>
      </c>
      <c r="G335" s="26" t="s">
        <v>4</v>
      </c>
      <c r="H335" s="149"/>
      <c r="I335" s="194">
        <v>44768.670138888891</v>
      </c>
      <c r="J335" s="195">
        <v>44768.670138888891</v>
      </c>
      <c r="K335" s="196"/>
      <c r="L335" s="326"/>
      <c r="M335" s="140"/>
      <c r="N335" s="140"/>
      <c r="O335" s="140"/>
      <c r="P335" s="22"/>
      <c r="Q335" s="25"/>
      <c r="R335" s="4" t="str">
        <f>IF(SnapshotTable[[#This Row],[Equity Basis Total]] &gt; 0, SnapshotTable[[#This Row],[Equity Basis Total]] / SnapshotTable[[#This Row],[Equity Shares]], "")</f>
        <v/>
      </c>
      <c r="S335" s="269">
        <f>SnapshotTable[[#This Row],[Last Price]] * SnapshotTable[[#This Row],[Equity Shares]]</f>
        <v>0</v>
      </c>
      <c r="T335" s="269">
        <f>SnapshotTable[[#This Row],[Equity Value]] - SnapshotTable[[#This Row],[Equity Basis Total]]</f>
        <v>0</v>
      </c>
      <c r="U335" s="270" t="str">
        <f>IF(SnapshotTable[[#This Row],[Equity Basis Total]] &gt; 0, SnapshotTable[[#This Row],[Equity G/L]] / SnapshotTable[[#This Row],[Equity Basis Total]], "")</f>
        <v/>
      </c>
      <c r="V335" s="268"/>
      <c r="W335" s="268"/>
      <c r="X335" s="4" t="str">
        <f>IF(AND(ISNUMBER(SnapshotTable[[#This Row],[Equity Basis Per Share]]),ISNUMBER(SnapshotTable[[#This Row],[Equity Target]])),SnapshotTable[[#This Row],[Equity Target]]-SnapshotTable[[#This Row],[Equity Basis Per Share]],"")</f>
        <v/>
      </c>
      <c r="Y335" s="4" t="str">
        <f>IF(AND(ISNUMBER(SnapshotTable[[#This Row],[Equity Basis Per Share]]),ISNUMBER(SnapshotTable[[#This Row],[Equity Stop Loss]])),SnapshotTable[[#This Row],[Equity Stop Loss]]-SnapshotTable[[#This Row],[Equity Basis Per Share]],"")</f>
        <v/>
      </c>
      <c r="Z335" s="275" t="str">
        <f>IFERROR( TEXT(SnapshotTable[[#This Row],[Equity Max Gain Per Share]] /ABS( SnapshotTable[[#This Row],[Equity Max Loss Per Share]]),"0.0 " ) &amp; " : 1", "")</f>
        <v/>
      </c>
      <c r="AA335" s="31" t="str">
        <f>IF(ISNUMBER(SnapshotTable[[#This Row],[Equity Max Gain Per Share]]),SnapshotTable[[#This Row],[Equity Max Gain Per Share]] * SnapshotTable[[#This Row],[Equity Shares]],"")</f>
        <v/>
      </c>
      <c r="AB335" s="31" t="str">
        <f>IF(ISNUMBER(SnapshotTable[[#This Row],[Equity Max Loss Per Share]]),SnapshotTable[[#This Row],[Equity Max Loss Per Share]] * SnapshotTable[[#This Row],[Equity Shares]],"")</f>
        <v/>
      </c>
      <c r="AC335" s="150">
        <v>0.66</v>
      </c>
      <c r="AD335" s="151">
        <v>42801</v>
      </c>
      <c r="AE335" s="31">
        <f>(SnapshotTable[[#This Row],[Annual Dividend Per Share]] / 4) * SnapshotTable[[#This Row],[Equity Shares]]</f>
        <v>0</v>
      </c>
      <c r="AF335" s="31">
        <f>SnapshotTable[[#This Row],[Quarterly Div $]] * 4</f>
        <v>0</v>
      </c>
      <c r="AG335" s="7">
        <f>IF(SnapshotTable[[#This Row],[Annual Dividend Per Share]]&gt;0, SnapshotTable[[#This Row],[Annual Dividend Per Share]]  / SnapshotTable[[#This Row],[Last Price]], 0)</f>
        <v>1.8674664704883708E-3</v>
      </c>
      <c r="AH335" s="151">
        <v>42866</v>
      </c>
      <c r="AI335" s="5"/>
      <c r="AJ335" s="138">
        <v>198.76</v>
      </c>
      <c r="AK335" s="152" t="str">
        <f>IF(ISNUMBER( SnapshotTable[[#This Row],[EBF Target]]),(SnapshotTable[[#This Row],[EBF Target]] - SnapshotTable[[#This Row],[Last Price]]) / SnapshotTable[[#This Row],[Last Price]], "")</f>
        <v/>
      </c>
      <c r="AL335" s="152" t="str">
        <f>IF(AND(SnapshotTable[[#This Row],[Equity Basis Total]] &gt; 0,ISNUMBER( SnapshotTable[[#This Row],[Long Term Target]])), SnapshotTable[[#This Row],[From Basis $]] / SnapshotTable[[#This Row],[Equity Basis Total]], "")</f>
        <v/>
      </c>
      <c r="AM335" s="9">
        <f>IF( AND(SnapshotTable[[#This Row],[Equity Shares]] &gt;0,ISNUMBER( SnapshotTable[[#This Row],[Long Term Target]])),(SnapshotTable[[#This Row],[Equity Shares]] * SnapshotTable[[#This Row],[Long Term Target]]) - SnapshotTable[[#This Row],[Equity Basis Total]],0)</f>
        <v>0</v>
      </c>
      <c r="AN335" s="9">
        <f>IF( AND(SnapshotTable[[#This Row],[Equity Shares]] &gt;0,ISNUMBER( SnapshotTable[[#This Row],[Long Term Target]])),(SnapshotTable[[#This Row],[Equity Shares]]*SnapshotTable[[#This Row],[Long Term Target]]) - SnapshotTable[[#This Row],[Equity Value]],0)</f>
        <v>0</v>
      </c>
      <c r="AO335" s="152">
        <f>IF(AND(ISNUMBER( SnapshotTable[[#This Row],[Long Term Target]]), ISNUMBER(SnapshotTable[[#This Row],[Last Price]])),(SnapshotTable[[#This Row],[Long Term Target]] - SnapshotTable[[#This Row],[Last Price]]) / SnapshotTable[[#This Row],[Last Price]], "")</f>
        <v>-0.43760964291777493</v>
      </c>
      <c r="AP335" s="5">
        <v>187.5</v>
      </c>
      <c r="AQ335" s="38" t="s">
        <v>110</v>
      </c>
      <c r="AR335" s="5">
        <v>181.06</v>
      </c>
      <c r="AS335" s="38" t="s">
        <v>45</v>
      </c>
      <c r="AT335" s="146" t="s">
        <v>533</v>
      </c>
      <c r="AU335" s="187" t="str">
        <f>IF(OR(SnapshotTable[[#This Row],[LP No Fill]]="Y",SnapshotTable[[#This Row],[SP Is Filled]],SnapshotTable[[#This Row],[LC Not Filled]]="Y",SnapshotTable[[#This Row],[SC Is Filled]]),"Y","")</f>
        <v/>
      </c>
      <c r="AV335" s="219"/>
      <c r="AW335" s="225"/>
      <c r="AX335" s="220"/>
      <c r="AY335" s="219" t="str">
        <f>IF(SnapshotTable[[#This Row],[Implied Move]]&gt;0, SnapshotTable[[#This Row],[Last Price]]-SnapshotTable[[#This Row],[Implied Move]],"")</f>
        <v/>
      </c>
      <c r="AZ335" s="219" t="str">
        <f>IF(SnapshotTable[[#This Row],[Implied Move]]&gt;0, SnapshotTable[[#This Row],[Last Price]] + SnapshotTable[[#This Row],[Implied Move]],"")</f>
        <v/>
      </c>
      <c r="BA335" s="331"/>
      <c r="BB335" s="347"/>
      <c r="BC33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5" s="351"/>
      <c r="BE335" s="5"/>
      <c r="BF335" s="14"/>
      <c r="BG335" s="13"/>
      <c r="BH335" s="13"/>
      <c r="BI335" s="5"/>
      <c r="BJ335" s="136">
        <f>IF(SnapshotTable[[#This Row],[LP Qty]] &gt; 0, SnapshotTable[[#This Row],[LP Qty]] * SnapshotTable[[#This Row],[LP Book Price]] * 100,0)</f>
        <v>0</v>
      </c>
      <c r="BK335" s="136">
        <f>IF(SnapshotTable[[#This Row],[LP Premium]] &gt; 0, SnapshotTable[[#This Row],[LP Qty]] * SnapshotTable[[#This Row],[LP Strike Price]] * 100,0)</f>
        <v>0</v>
      </c>
      <c r="BL335" s="154"/>
      <c r="BM335" s="385" t="str">
        <f>IF(SnapshotTable[[#This Row],[LP Premium]] &gt; 0,SnapshotTable[[#This Row],[LP Exp Date]]-MAX(SnapshotTable[[#This Row],[LP Book Date]], SnapshotTable[[#This Row],[LP Fill Date]]),"")</f>
        <v/>
      </c>
      <c r="BN335" s="385" t="str">
        <f>IF(ISNUMBER( SnapshotTable[[#This Row],[LP Term]]), SnapshotTable[[#This Row],[LP Exp Date]] - MockToday,"")</f>
        <v/>
      </c>
      <c r="BO335" s="163" t="str">
        <f>IF(AND(SnapshotTable[[#This Row],[LP Exp Date]]&gt;0, SnapshotTable[[#This Row],[LP Strike Price]]&gt;0,SnapshotTable[[#This Row],[LP Qty]]&gt;0,SnapshotTable[[#This Row],[LP Book Date]]&gt;0,SnapshotTable[[#This Row],[LP Book Price]]&gt;0,SnapshotTable[[#This Row],[LP Fill Date]]=0),"Y","")</f>
        <v/>
      </c>
      <c r="BP335" s="31" t="str">
        <f>IF(AND(SnapshotTable[[#This Row],[LP No Fill]]&lt;&gt;"Y",SnapshotTable[[#This Row],[LP Contract Value]]&gt;0, SnapshotTable[[#This Row],[LP Qty]]&gt;0), SnapshotTable[[#This Row],[LP Contract Value]]*SnapshotTable[[#This Row],[LP Qty]]*100,"")</f>
        <v/>
      </c>
      <c r="BQ335" s="13"/>
      <c r="BR335" s="5" t="str">
        <f>IF(SnapshotTable[[#This Row],[SP Exp Date]]&lt;&gt;"",TRUNC(SnapshotTable[[#This Row],[Last Price]]),"")</f>
        <v/>
      </c>
      <c r="BS335" s="36"/>
      <c r="BT335" s="147"/>
      <c r="BU335" s="13"/>
      <c r="BV335" s="5"/>
      <c r="BW335" s="419" t="b">
        <f>AND(ISNUMBER(SnapshotTable[[#This Row],[SP Exp Date]]), ISNUMBER(SnapshotTable[[#This Row],[SP Strike Price]]), ISNUMBER(SnapshotTable[[#This Row],[SP Qty]]), ISNUMBER(SnapshotTable[[#This Row],[SP Book Date]]), ISNUMBER(SnapshotTable[[#This Row],[SP Book Price]]))</f>
        <v>0</v>
      </c>
      <c r="BX335" s="419" t="b">
        <f>AND(SnapshotTable[[#This Row],[SP Is Booked]], NOT(ISBLANK(SnapshotTable[[#This Row],[SP Fill Date]])))</f>
        <v>0</v>
      </c>
      <c r="BY335" s="33">
        <f>IF(SnapshotTable[[#This Row],[SP Is Booked]], SnapshotTable[[#This Row],[SP Qty]] * SnapshotTable[[#This Row],[SP Book Price]] * 100, 0)</f>
        <v>0</v>
      </c>
      <c r="BZ335" s="369"/>
      <c r="CA335" s="368">
        <f>SnapshotTable[[#This Row],[LP Qty]]</f>
        <v>0</v>
      </c>
      <c r="CB335" s="4" t="str">
        <f>IF(SnapshotTable[[#This Row],[SP Is Booked]], SnapshotTable[[#This Row],[SP Strike Price]] - SnapshotTable[[#This Row],[SP Book Price]], "")</f>
        <v/>
      </c>
      <c r="CC335" s="19" t="str">
        <f>IF(SnapshotTable[[#This Row],[SP Is Booked]],SnapshotTable[[#This Row],[SP Exp Date]]-MAX(SnapshotTable[[#This Row],[SP Book Date]], SnapshotTable[[#This Row],[SP Fill Date]]),"")</f>
        <v/>
      </c>
      <c r="CD335" s="7" t="str">
        <f>IF(SnapshotTable[[#This Row],[SP Is Booked]], SnapshotTable[[#This Row],[SP Book Price]]/SnapshotTable[[#This Row],[SP Strike Price]], "")</f>
        <v/>
      </c>
      <c r="CE335" s="7" t="str">
        <f>IF(ISNUMBER(SnapshotTable[[#This Row],[SP ROO Term]]),SnapshotTable[[#This Row],[SP ROO Term]]*(365/SnapshotTable[[#This Row],[SP Term]]),"")</f>
        <v/>
      </c>
      <c r="CF335" s="236">
        <f>SnapshotTable[[#This Row],[LP Strike Price]] * SnapshotTable[[#This Row],[LP Qty]] * 100</f>
        <v>0</v>
      </c>
      <c r="CG335" s="31" t="e">
        <f>IF(ISNUMBER(SnapshotTable[[#This Row],[SP Premium]]), (SnapshotTable[[#This Row],[SP Qty]] * SnapshotTable[[#This Row],[SP Strike Price]]* 100) - SnapshotTable[[#This Row],[LP Protection]], 0)</f>
        <v>#VALUE!</v>
      </c>
      <c r="CH335" s="7" t="str">
        <f>IF(ISNUMBER(SnapshotTable[[#This Row],[SP Break Even]]),-1 * (SnapshotTable[[#This Row],[SP Break Even]] - SnapshotTable[[#This Row],[Last Price]]) / SnapshotTable[[#This Row],[Last Price]], "")</f>
        <v/>
      </c>
      <c r="CI335" s="31">
        <f>IF(AND(ISNUMBER((SnapshotTable[[#This Row],[SP Potential Spend]])), SnapshotTable[[#This Row],[SP Strike Price]] &gt; SnapshotTable[[#This Row],[Last Price]], SnapshotTable[[#This Row],[SP Is Filled]]), SnapshotTable[[#This Row],[SP Potential Spend]] -  SnapshotTable[[#This Row],[LP Max Value]], 0)</f>
        <v>0</v>
      </c>
      <c r="CJ335" s="244"/>
      <c r="CK335" s="31" t="str">
        <f>IF(ISNUMBER(SnapshotTable[[#This Row],[SP Potential Spend]]),IF(ISNUMBER(SnapshotTable[[#This Row],[SP POW]]), SnapshotTable[[#This Row],[SP POW]] * SnapshotTable[[#This Row],[SP Potential Spend]], SnapshotTable[[#This Row],[SP Potential Spend]]), "")</f>
        <v/>
      </c>
      <c r="CL335" s="164" t="e">
        <f>IF(NOT(SnapshotTable[[#This Row],[SP Is Filled]]),(SnapshotTable[[#This Row],[SP Qty]] * SnapshotTable[[#This Row],[SP Strike Price]] * 100) - SnapshotTable[[#This Row],[LP Max Value]],"")</f>
        <v>#VALUE!</v>
      </c>
      <c r="CM335" s="31" t="str">
        <f>IF(SnapshotTable[[#This Row],[SP Actual Spend]]&lt;&gt;0, ((SnapshotTable[[#This Row],[SP Strike Price]]-SnapshotTable[[#This Row],[Last Price]]) *(SnapshotTable[[#This Row],[SP Qty]]*100) - SnapshotTable[[#This Row],[SP Premium]]) * - 1, "")</f>
        <v/>
      </c>
      <c r="CN335" s="78"/>
      <c r="CO335" s="369"/>
      <c r="CP335" s="4" t="str">
        <f>IF(SnapshotTable[[#This Row],[SP Is Filled]], btc_max_buyback_amount(SnapshotTable[[#This Row],[SP Fill Date]],SnapshotTable[[#This Row],[SP Exp Date]], SnapshotTable[[#This Row],[SP Book Price]]),"")</f>
        <v/>
      </c>
      <c r="CQ335" s="78"/>
      <c r="CR33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5" s="155" t="str">
        <f>IF(SnapshotTable[[#This Row],[SP Is Filled]], btc_next_cutoff_date(SnapshotTable[[#This Row],[SP Fill Date]],SnapshotTable[[#This Row],[SP Exp Date]]),"")</f>
        <v/>
      </c>
      <c r="CT335" s="235" t="str" cm="1">
        <f t="array" ref="CT335">IF(SnapshotTable[[#This Row],[SP Is Filled]], btc_should_buy_back(SnapshotTable[[#This Row],[SP Fill Date]], SnapshotTable[[#This Row],[SP Exp Date]], SnapshotTable[[#This Row],[SP Book Price]], SnapshotTable[[#This Row],[SP Current Ask]], MockToday, SnapshotTable[[#This Row],[SP Buyback Override]]),"")</f>
        <v/>
      </c>
      <c r="CU335" s="143"/>
      <c r="CV335" s="235"/>
      <c r="CW335" s="378" t="str">
        <f>IF(ISNUMBER( SnapshotTable[[#This Row],[SP Term]]), SnapshotTable[[#This Row],[SP Exp Date]] - MockToday,"")</f>
        <v/>
      </c>
      <c r="CX335" s="31" t="str">
        <f>IF(SnapshotTable[[#This Row],[SP Is Filled]],SnapshotTable[[#This Row],[SP Buyback Price to Use]] * 100 * SnapshotTable[[#This Row],[SP Qty]], "")</f>
        <v/>
      </c>
      <c r="CY335" s="4" t="str">
        <f>IF(ISNUMBER(SnapshotTable[[#This Row],[SP Strike Price]]), SnapshotTable[[#This Row],[SP Strike Price]] * (1 - SP_MaxLoss_StrikePct), "")</f>
        <v/>
      </c>
      <c r="CZ335" s="31" t="str">
        <f>IF(ISNUMBER(SnapshotTable[[#This Row],[SP Strike  Stop Per Share]]),SnapshotTable[[#This Row],[SP Premium]] - ((SnapshotTable[[#This Row],[SP Strike Price]]-SnapshotTable[[#This Row],[SP Strike  Stop Per Share]]) *(SnapshotTable[[#This Row],[SP Qty]] * 100)),"")</f>
        <v/>
      </c>
      <c r="DA335" s="4" t="str">
        <f>IF(AND(ISNUMBER(SnapshotTable[[#This Row],[SP Premium]]),SnapshotTable[[#This Row],[SP Premium]]&gt;0), SnapshotTable[[#This Row],[SP Book Price]] * (1 + SP_MaxLoss_OptionPct), "")</f>
        <v/>
      </c>
      <c r="DB335" s="31" t="str">
        <f>IF(ISNUMBER(SnapshotTable[[#This Row],[SP Option  Stop Contract]]),(SnapshotTable[[#This Row],[SP Option  Stop Contract]] *(SnapshotTable[[#This Row],[SP Qty]] * 100) - SnapshotTable[[#This Row],[SP Premium]]),"")</f>
        <v/>
      </c>
      <c r="DC335" s="4"/>
      <c r="DD335" s="4"/>
      <c r="DE335" s="4" t="str">
        <f>IF(AND(SnapshotTable[[#This Row],[SP Qty]]&gt;0, SnapshotTable[[#This Row],[SP Stop To Use]]&gt;0),SnapshotTable[[#This Row],[SP Premium]] - ( SnapshotTable[[#This Row],[SP Qty]] * SnapshotTable[[#This Row],[SP Stop To Use]] * 100), "")</f>
        <v/>
      </c>
      <c r="DF335" s="31" t="str">
        <f>IF(AND(SnapshotTable[[#This Row],[SP Qty]]&gt;0,SnapshotTable[[#This Row],[SP Current Ask]]&gt;0), SnapshotTable[[#This Row],[SP Qty]] * SnapshotTable[[#This Row],[SP Current Ask]] * -100, "")</f>
        <v/>
      </c>
      <c r="DG335" s="31" t="str">
        <f>IF(ISNUMBER((SnapshotTable[[#This Row],[SP Total Value]])), SnapshotTable[[#This Row],[SP Premium]] + SnapshotTable[[#This Row],[SP Total Value]], "")</f>
        <v/>
      </c>
      <c r="DH335" s="294" t="str">
        <f>IF(ISNUMBER((SnapshotTable[[#This Row],[SP Total Value]])), SnapshotTable[[#This Row],[SP Gain Loss]] / SnapshotTable[[#This Row],[SP Premium]], "")</f>
        <v/>
      </c>
      <c r="DI335" s="406"/>
      <c r="DJ335" s="138"/>
      <c r="DK335" s="148"/>
      <c r="DL335" s="13"/>
      <c r="DM335" s="13"/>
      <c r="DO335" s="31">
        <f>IF(SnapshotTable[[#This Row],[LC Symbol Count]]=1, SnapshotTable[[#This Row],[LC Qty]] * SnapshotTable[[#This Row],[LC Book Price]] * 100, 0)</f>
        <v>0</v>
      </c>
      <c r="DP335" s="163" t="str">
        <f>IF(AND(SnapshotTable[[#This Row],[LC Exp Date]]&gt;0, SnapshotTable[[#This Row],[LC Strike Price]]&gt;0,SnapshotTable[[#This Row],[LC Qty]]&gt;0,SnapshotTable[[#This Row],[LC Book Date]]&gt;0,SnapshotTable[[#This Row],[LC Book Price]]&gt;0,SnapshotTable[[#This Row],[LC Fill Date]]=0),"Y","")</f>
        <v/>
      </c>
      <c r="DQ335" s="386" t="str">
        <f>IF(SnapshotTable[[#This Row],[LC Premium]] &gt; 0,SnapshotTable[[#This Row],[LC Exp Date]]-MAX(SnapshotTable[[#This Row],[LC Book Date]], SnapshotTable[[#This Row],[LC Fill Date]]),"")</f>
        <v/>
      </c>
      <c r="DR335" s="386" t="str">
        <f>IF(ISNUMBER(SnapshotTable[[#This Row],[LC Term]]), SnapshotTable[[#This Row],[LC Exp Date]] - MockToday, "")</f>
        <v/>
      </c>
      <c r="DS335" s="234" t="str">
        <f>IF(SnapshotTable[[#This Row],[LC Premium]]&gt;0,SnapshotTable[[#This Row],[LC Strike Price]] + SnapshotTable[[#This Row],[LC Book Price]],"")</f>
        <v/>
      </c>
      <c r="DU335" s="9" t="str">
        <f>IF(AND(SnapshotTable[[#This Row],[LC Symbol Count]]&gt;0, SnapshotTable[[#This Row],[LC Contract Value]]&gt;0), SnapshotTable[[#This Row],[LC Contract Value]] * SnapshotTable[[#This Row],[LC Qty]] * 100, "")</f>
        <v/>
      </c>
      <c r="DV335" s="9" t="str">
        <f>IF(AND(ISNUMBER(SnapshotTable[[#This Row],[LC Total Value]]), SnapshotTable[[#This Row],[LC Not Filled]]&lt;&gt;"Y"), SnapshotTable[[#This Row],[LC Total Value]]-SnapshotTable[[#This Row],[LC Premium]],"")</f>
        <v/>
      </c>
      <c r="DW335" s="240" t="str">
        <f>IF(ISNUMBER(SnapshotTable[[#This Row],[LC Actual Gain Loss]]), SnapshotTable[[#This Row],[LC Actual Gain Loss]] / SnapshotTable[[#This Row],[LC Premium]],"")</f>
        <v/>
      </c>
      <c r="DX335" s="284" t="str">
        <f>IF(ISNUMBER(SnapshotTable[[#This Row],[LC Book Price]]),SnapshotTable[[#This Row],[LC Book Price]] * 1.5,"")</f>
        <v/>
      </c>
      <c r="DY335" s="265" t="str">
        <f>IF(SnapshotTable[[#This Row],[LC Premium]]&gt;0, SnapshotTable[[#This Row],[LC Next Target]] * SnapshotTable[[#This Row],[LC Qty]] * 100,"")</f>
        <v/>
      </c>
      <c r="DZ335" s="265" t="str">
        <f>IF(ISNUMBER(SnapshotTable[[#This Row],[LC Target Gross]]), SnapshotTable[[#This Row],[LC Target Gross]] - SnapshotTable[[#This Row],[LC Premium]], "")</f>
        <v/>
      </c>
      <c r="EA335" s="305" t="str">
        <f>IF(ISNUMBER(SnapshotTable[[#This Row],[LC Target Gain Loss]]), SnapshotTable[[#This Row],[LC Target Gain Loss]]/SnapshotTable[[#This Row],[LC Premium]], "")</f>
        <v/>
      </c>
      <c r="EB335" s="262"/>
      <c r="EC335" s="283" t="str">
        <f>IF(SnapshotTable[[#This Row],[LC Premium]]&gt;0, SnapshotTable[[#This Row],[LC Book Price]] * (1 - LC_StopLoss_Pct),"")</f>
        <v/>
      </c>
      <c r="ED335" s="284"/>
      <c r="EE335" s="283" t="str">
        <f>IF(ISNUMBER(SnapshotTable[[#This Row],[LC Contract Value]]),IF(ISNUMBER(SnapshotTable[[#This Row],[LC Stop Loss Override]]), SnapshotTable[[#This Row],[LC Stop Loss Override]],SnapshotTable[[#This Row],[LC Stop Loss Calc Target]]),"")</f>
        <v/>
      </c>
      <c r="EF335" s="31" t="str">
        <f>IF(ISNUMBER(SnapshotTable[[#This Row],[LC Stop  To Use]]), (SnapshotTable[[#This Row],[LC Stop  To Use]] * SnapshotTable[[#This Row],[LC Qty]] * 100),"")</f>
        <v/>
      </c>
      <c r="EG335" s="9" t="str">
        <f>IF(ISNUMBER(SnapshotTable[[#This Row],[LC Total Value]]),SnapshotTable[[#This Row],[LC Stop Loss Amount]] - SnapshotTable[[#This Row],[LC Premium]],"")</f>
        <v/>
      </c>
      <c r="EH335" s="9">
        <f>IF(ISNUMBER(SnapshotTable[[#This Row],[LC Premium]]), SnapshotTable[[#This Row],[LC Qty]] * 100 * SnapshotTable[[#This Row],[LC Strike Price]], "")</f>
        <v>0</v>
      </c>
      <c r="EI335" s="240" t="str">
        <f>IF(AND(ISNUMBER(SnapshotTable[[#This Row],[LC Total Value]]),SnapshotTable[[#This Row],[LC Total Value]]&gt;0),SnapshotTable[[#This Row],[LC Stop Gain Loss]]  / SnapshotTable[[#This Row],[LC Premium]],"")</f>
        <v/>
      </c>
      <c r="EJ335" s="35">
        <f>IF(ISNUMBER(SnapshotTable[[#This Row],[Equity Shares]]),TRUNC(SnapshotTable[[#This Row],[Equity Shares]] / 100),0) + SnapshotTable[[#This Row],[LC Qty]]</f>
        <v>0</v>
      </c>
      <c r="EK335" s="147"/>
      <c r="EL335" s="138" t="str">
        <f>IF(SnapshotTable[[#This Row],[SC Exp Date]]&lt;&gt;"",TRUNC(SnapshotTable[[#This Row],[Last Price]]),"")</f>
        <v/>
      </c>
      <c r="EM335" s="148"/>
      <c r="EN335" s="147"/>
      <c r="EO335" s="147"/>
      <c r="EP335" s="138"/>
      <c r="EQ335" s="419" t="b">
        <f>AND(ISNUMBER(SnapshotTable[[#This Row],[SC Exp Date]]), ISNUMBER(SnapshotTable[[#This Row],[SC Strike Price]]), ISNUMBER(SnapshotTable[[#This Row],[SC Qty]]), ISNUMBER(SnapshotTable[[#This Row],[SC Book Date]]), ISNUMBER(SnapshotTable[[#This Row],[SC Book Price]]))</f>
        <v>0</v>
      </c>
      <c r="ER335" s="419" t="b">
        <f>AND(SnapshotTable[[#This Row],[SC Is Booked]], NOT(ISBLANK(SnapshotTable[[#This Row],[SC Fill Date]])))</f>
        <v>0</v>
      </c>
      <c r="ES335" s="370"/>
      <c r="ET335" s="34" t="str">
        <f>IF(AND(ISNUMBER(SnapshotTable[[#This Row],[SC Exp Date]]), ISNUMBER(SnapshotTable[[#This Row],[SC Book Date]])), SnapshotTable[[#This Row],[SC Exp Date]] - MAX(SnapshotTable[[#This Row],[SC Book Date]], SnapshotTable[[#This Row],[SC Fill Date]]) + 1, "")</f>
        <v/>
      </c>
      <c r="EU335" s="34" t="str">
        <f>IF(ISNUMBER(SnapshotTable[[#This Row],[SC Term]]), SnapshotTable[[#This Row],[SC Exp Date]]- MockToday, "")</f>
        <v/>
      </c>
      <c r="EV335" s="31">
        <f>IF(SnapshotTable[[#This Row],[SC Is Booked]], SnapshotTable[[#This Row],[SC Qty]] * SnapshotTable[[#This Row],[SC Book Price]] * 100, 0)</f>
        <v>0</v>
      </c>
      <c r="EW335" s="4" t="str">
        <f>IF(AND(ISNUMBER(SnapshotTable[[#This Row],[Last Price]]), ISNUMBER( SnapshotTable[[#This Row],[SC Book Price]])), SnapshotTable[[#This Row],[Last Price]] - SnapshotTable[[#This Row],[SC Book Price]],"")</f>
        <v/>
      </c>
      <c r="EX335" s="234" t="str">
        <f>IF(SnapshotTable[[#This Row],[SC Is Booked]],IF(SnapshotTable[[#This Row],[SC Intrinsic Value]] &gt; 0, SnapshotTable[[#This Row],[SC Strike Price]], SnapshotTable[[#This Row],[Last Price]]), "")</f>
        <v/>
      </c>
      <c r="EY335" s="4">
        <f>IF(SnapshotTable[[#This Row],[SC Is Booked]], (MinimumPremiumRequired * SnapshotTable[[#This Row],[SC Basis]] * SnapshotTable[[#This Row],[SC Term]]), 0)</f>
        <v>0</v>
      </c>
      <c r="EZ335" s="283"/>
      <c r="FA335" s="218"/>
      <c r="FB335" s="370"/>
      <c r="FC335" s="4">
        <f>IF(SnapshotTable[[#This Row],[SC Is Filled]], btc_max_buyback_amount(SnapshotTable[[#This Row],[SC Fill Date]],SnapshotTable[[#This Row],[SC Exp Date]], SnapshotTable[[#This Row],[SC Book Price]]),0)</f>
        <v>0</v>
      </c>
      <c r="FD335" s="5"/>
      <c r="FE335" s="144" t="str">
        <f>IF(SnapshotTable[[#This Row],[SC Is Filled]], btc_next_cutoff_date(SnapshotTable[[#This Row],[SC Fill Date]],SnapshotTable[[#This Row],[SC Exp Date]]),"")</f>
        <v/>
      </c>
      <c r="FF335" s="4" t="str" cm="1">
        <f t="array" ref="FF335">IF(SnapshotTable[[#This Row],[SC Is Filled]], btc_should_buy_back(SnapshotTable[[#This Row],[SC Fill Date]], SnapshotTable[[#This Row],[SC Exp Date]], SnapshotTable[[#This Row],[SC Book Price]], SnapshotTable[[#This Row],[SC Current Ask]], MockToday, SnapshotTable[[#This Row],[SC Buyback Override]]),"")</f>
        <v/>
      </c>
      <c r="FG335" s="4">
        <f>IF(SnapshotTable[[#This Row],[SC Is Filled]], MAX(0,SnapshotTable[[#This Row],[Last Price]]  - SnapshotTable[[#This Row],[SC Strike Price]]), 0)</f>
        <v>0</v>
      </c>
      <c r="FH335" s="382">
        <f>IF(SnapshotTable[[#This Row],[SC Is Filled]], IF(ISNUMBER(SnapshotTable[[#This Row],[SC Current Ask]]), SnapshotTable[[#This Row],[SC Current Ask]], SnapshotTable[[#This Row],[SC Book Price]]) - SnapshotTable[[#This Row],[SC Intrinsic Value]], 0)</f>
        <v>0</v>
      </c>
      <c r="FI335" s="143"/>
      <c r="FJ335" s="32" t="str">
        <f>IF(SnapshotTable[[#This Row],[SC Is Filled]],100 * SnapshotTable[[#This Row],[SC Qty]] * IF(ISNUMBER(SnapshotTable[[#This Row],[SC Buyback Override]]), SnapshotTable[[#This Row],[SC Buyback Override]], SnapshotTable[[#This Row],[SC Current Ask]]), "")</f>
        <v/>
      </c>
      <c r="FK335" s="250" t="str">
        <f>IF(SnapshotTable[[#This Row],[SC Time Val]]&gt;0, SnapshotTable[[#This Row],[SC Time Val]] / SnapshotTable[[#This Row],[Last Price]],"")</f>
        <v/>
      </c>
      <c r="FL335" s="302" t="str">
        <f>IF(SnapshotTable[[#This Row],[SC Is Booked]], ((SnapshotTable[[#This Row],[Last Price]] -SnapshotTable[[#This Row],[SC Strike Price]]) / SnapshotTable[[#This Row],[Last Price]]) * -1, "")</f>
        <v/>
      </c>
      <c r="FM335" s="157" t="str">
        <f>IF(SnapshotTable[[#This Row],[SC Is Booked]],  (SnapshotTable[[#This Row],[SC Qty]] * 100 * SnapshotTable[[#This Row],[SC Strike Price]]) - SnapshotTable[[#This Row],[SC Current Ask]], "")</f>
        <v/>
      </c>
      <c r="FN33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5" s="31" t="str">
        <f>IF(AND(ISNUMBER(SnapshotTable[[#This Row],[SC Exercise Gross]]), ISNUMBER(SnapshotTable[[#This Row],[Equity Basis Per Share]] )), SnapshotTable[[#This Row],[SC Exercise Gross]] - SnapshotTable[[#This Row],[Equity Basis Total]] +  SnapshotTable[[#This Row],[SC Premium]], "")</f>
        <v/>
      </c>
      <c r="FP335" s="5" t="str">
        <f>IF(ISNUMBER(SnapshotTable[[#This Row],[SC Exercise Gross]]), (SnapshotTable[[#This Row],[SC Exercise Gross]]) / (SnapshotTable[[#This Row],[SC Qty]] * 100), "")</f>
        <v/>
      </c>
      <c r="FQ335" s="27" t="str">
        <f>IF(SnapshotTable[[#This Row],[SC Is Booked]],SnapshotTable[[#This Row],[SC Time Val]] /SnapshotTable[[#This Row],[SC Basis]], "")</f>
        <v/>
      </c>
      <c r="FR335" s="27" t="str" cm="1">
        <f t="array" ref="FR335">IF(AND(ISNUMBER(SnapshotTable[[#This Row],[SC Term]]),ISNUMBER(SnapshotTable[[#This Row],[SC Simple ROO]])), EllmanAnnualize(SnapshotTable[[#This Row],[SC DTE]], SnapshotTable[[#This Row],[SC Simple ROO]] ),"")</f>
        <v/>
      </c>
      <c r="FS335" s="4" t="e">
        <f>IF(SnapshotTable[[#This Row],[SC Strike Price]] &gt; SnapshotTable[[#This Row],[Last Price]], SnapshotTable[[#This Row],[SC Strike Price]] - SnapshotTable[[#This Row],[Last Price]],0)</f>
        <v>#VALUE!</v>
      </c>
      <c r="FT335" s="27" t="e">
        <f>IF(AND(ISNUMBER(SnapshotTable[[#This Row],[SC Upside Potential]]), SnapshotTable[[#This Row],[SC Upside Potential]] &gt; 0),(SnapshotTable[[#This Row],[SC Upside Potential]]/ SnapshotTable[[#This Row],[ACB]]),"")</f>
        <v>#VALUE!</v>
      </c>
      <c r="FU335" s="333" t="str">
        <f>IF(SnapshotTable[[#This Row],[SC Intrinsic Value]] &gt; 0,SnapshotTable[[#This Row],[SC Intrinsic Value]],"")</f>
        <v/>
      </c>
      <c r="FV335" s="27" t="str">
        <f>IF(AND( ISNUMBER( SnapshotTable[[#This Row],[ACB]]),ISNUMBER(SnapshotTable[[#This Row],[SC Downside Protect]])),SnapshotTable[[#This Row],[SC Downside Protect]] / SnapshotTable[[#This Row],[ACB]],"")</f>
        <v/>
      </c>
      <c r="FW335" s="236" t="str">
        <f>IF(AND(ISNUMBER(SnapshotTable[[#This Row],[SC Simple ROO]]),SnapshotTable[[#This Row],[SC Simple ROO]] &gt; 0), SnapshotTable[[#This Row],[SC Premium]] + (SnapshotTable[[#This Row],[SC Qty]] * SnapshotTable[[#This Row],[SC Upside Potential]]), "")</f>
        <v/>
      </c>
      <c r="FX335" s="302" t="str" cm="1">
        <f t="array" ref="FX335">IF(ISNUMBER(SnapshotTable[[#This Row],[SC Max Dollars]]), annualize(SnapshotTable[[#This Row],[SC Term]],(SnapshotTable[[#This Row],[SC Max Dollars]]/SnapshotTable[[#This Row],[SC Basis]])),"")</f>
        <v/>
      </c>
      <c r="FY335" s="236" t="str">
        <f>IF(AND(SnapshotTable[[#This Row],[SC Qty]]&gt;0,SnapshotTable[[#This Row],[SC Current Ask]]&gt;0), SnapshotTable[[#This Row],[SC Qty]] * SnapshotTable[[#This Row],[SC Current Ask]] * -100, "")</f>
        <v/>
      </c>
      <c r="FZ335" s="31" t="str">
        <f>IF(ISNUMBER((SnapshotTable[[#This Row],[SC Current Value]])), SnapshotTable[[#This Row],[SC Premium]] + SnapshotTable[[#This Row],[SC Current Value]], "")</f>
        <v/>
      </c>
      <c r="GA335" s="294" t="str">
        <f>IFERROR( IF(ISNUMBER((SnapshotTable[[#This Row],[SC Current Value]])), SnapshotTable[[#This Row],[SC Gain Loss]] / SnapshotTable[[#This Row],[SC Premium]], ""), "")</f>
        <v/>
      </c>
      <c r="GB335" s="42">
        <f>SnapshotTable[[#This Row],[Equity Shares]] * SaleSharesToConsiderPercentage</f>
        <v>0</v>
      </c>
      <c r="GC335" s="40">
        <f>SnapshotTable[[#This Row],[Long Term Target]] * SellingPriceToConsiderBasedOnTargetPercentage</f>
        <v>188.82199999999997</v>
      </c>
      <c r="GD335" s="40">
        <f>SnapshotTable[[#This Row],[Last Price]] * (1+ SellingPriceToConsiderBasedOnTargetPercentage)</f>
        <v>689.16899999999998</v>
      </c>
      <c r="GE335" s="41"/>
      <c r="GF335" s="40"/>
      <c r="GG335" s="31">
        <f>SnapshotTable[[#This Row],[Booked Sale Shares]] * SnapshotTable[[#This Row],[Booked Sale Price]]</f>
        <v>0</v>
      </c>
      <c r="GH335" s="31" t="str">
        <f>IF(SnapshotTable[[#This Row],[Equity Basis Total]] &gt; 0, SnapshotTable[[#This Row],[Equity Basis Per Share]] * SnapshotTable[[#This Row],[Booked Sale Shares]], "")</f>
        <v/>
      </c>
      <c r="GI335" s="31">
        <f>IF(SnapshotTable[[#This Row],[Sale Proceeds]]&gt;0, SnapshotTable[[#This Row],[Sale Proceeds]] - SnapshotTable[[#This Row],[Sale Basis]], 0)</f>
        <v>0</v>
      </c>
      <c r="GJ335" s="27" t="str">
        <f>IF(SnapshotTable[[#This Row],[Sale G/L]]&gt;0, SnapshotTable[[#This Row],[Sale G/L]] / SnapshotTable[[#This Row],[Sale Basis]], IF(ISNUMBER(SnapshotTable[[#This Row],[SC Exercise P&amp;L (TAX)]]), SnapshotTable[[#This Row],[SC Exercise P&amp;L (TAX)]] / SnapshotTable[[#This Row],[SC Basis]], ""))</f>
        <v/>
      </c>
      <c r="GK335" s="27" t="s">
        <v>786</v>
      </c>
      <c r="GL335" s="43" t="str">
        <f>IF(AND(SnapshotTable[[#This Row],[LP Exp Date]]&gt;0,SnapshotTable[[#This Row],[LP Strike Price]]&gt;0), [1]!ToOptionSymbol(SnapshotTable[[#This Row],[Symbol]], SnapshotTable[[#This Row],[LP Strike Price]],SnapshotTable[[#This Row],[LP Exp Date]],1), "")</f>
        <v/>
      </c>
      <c r="GM335" s="30" t="str">
        <f>IF(LEN(SnapshotTable[[#This Row],[LP Symbol]])&gt;0, 1, "")</f>
        <v/>
      </c>
      <c r="GN335" s="43" t="str">
        <f>IF(AND(SnapshotTable[[#This Row],[SP Exp Date]]&gt;0,SnapshotTable[[#This Row],[SP Strike Price]]&gt;0), [1]!ToOptionSymbol(SnapshotTable[[#This Row],[Symbol]], SnapshotTable[[#This Row],[SP Strike Price]],SnapshotTable[[#This Row],[SP Exp Date]],1), "")</f>
        <v/>
      </c>
      <c r="GO335" s="30" t="str">
        <f>IF(LEN(SnapshotTable[[#This Row],[SP Symbol]])&gt;0, 1, "")</f>
        <v/>
      </c>
      <c r="GP335" s="43" t="str">
        <f>IF(AND(SnapshotTable[[#This Row],[LC Exp Date]]&gt;0,SnapshotTable[[#This Row],[LC Strike Price]]&gt;0), [1]!ToOptionSymbol(SnapshotTable[[#This Row],[Symbol]], SnapshotTable[[#This Row],[LC Strike Price]],SnapshotTable[[#This Row],[LC Exp Date]],0), "")</f>
        <v/>
      </c>
      <c r="GQ335" s="30" t="str">
        <f>IF(LEN(SnapshotTable[[#This Row],[LC Symbol]])&gt;0, 1, "")</f>
        <v/>
      </c>
      <c r="GR335" s="43" t="str">
        <f>IF(AND(SnapshotTable[[#This Row],[SC Exp Date]]&gt;0,SnapshotTable[[#This Row],[SC Strike Price]]&gt;0), [1]!ToOptionSymbol(SnapshotTable[[#This Row],[Symbol]], SnapshotTable[[#This Row],[SC Strike Price]],SnapshotTable[[#This Row],[SC Exp Date]],0), "")</f>
        <v/>
      </c>
      <c r="GS335" s="30" t="str">
        <f>IF(LEN(SnapshotTable[[#This Row],[SC Symbol]])&gt;0, 1, "")</f>
        <v/>
      </c>
      <c r="GT335" s="29" t="str">
        <f>IF(COUNT(SnapshotTable[[#This Row],[LP Symbol Count]],SnapshotTable[[#This Row],[SP Symbol Count]],SnapshotTable[[#This Row],[LC Symbol Count]],SnapshotTable[[#This Row],[SC Symbol Count]])&gt;0, "Y", "")</f>
        <v/>
      </c>
      <c r="GU33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5" s="231" t="e">
        <f>MAX(SnapshotTable[[#This Row],[Equity Basis Total]],SnapshotTable[[#This Row],[Equity Value]]) + (SnapshotTable[[#This Row],[SP Potential Spend]]- SnapshotTable[[#This Row],[SP Premium]] + SnapshotTable[[#This Row],[LP Premium]])+ (SnapshotTable[[#This Row],[LC Premium]] - SnapshotTable[[#This Row],[SC Premium]])</f>
        <v>#VALUE!</v>
      </c>
      <c r="GW335" s="139" t="e">
        <f>IF(AND(SnapshotTable[[#This Row],[Exposure]] &lt;&gt; 0),SnapshotTable[[#This Row],[Exposure]] / SnapshotTable[[#Totals],[Exposure]], "")</f>
        <v>#VALUE!</v>
      </c>
      <c r="HK335" s="1"/>
      <c r="HL335" s="1"/>
      <c r="HM335" s="1"/>
      <c r="HN335" s="1"/>
      <c r="HO335" s="1"/>
      <c r="HP335" s="1"/>
    </row>
    <row r="336" spans="2:224" ht="12.75" hidden="1" customHeight="1" x14ac:dyDescent="0.25">
      <c r="B336" s="12" t="s">
        <v>132</v>
      </c>
      <c r="C336" s="422">
        <v>14.85</v>
      </c>
      <c r="D336" s="208"/>
      <c r="E336" s="39">
        <f>SnapshotTable[[#This Row],[Last Price]]*(1 -CrashDiscount)</f>
        <v>12.622499999999999</v>
      </c>
      <c r="F336" s="26" t="s">
        <v>131</v>
      </c>
      <c r="G336" s="26" t="s">
        <v>41</v>
      </c>
      <c r="H336" s="149"/>
      <c r="I336" s="194">
        <v>44769.802083333336</v>
      </c>
      <c r="J336" s="195">
        <v>44769.802083333336</v>
      </c>
      <c r="K336" s="196"/>
      <c r="L336" s="326"/>
      <c r="M336" s="140"/>
      <c r="N336" s="140"/>
      <c r="O336" s="140">
        <v>5</v>
      </c>
      <c r="P336" s="22"/>
      <c r="Q336" s="25"/>
      <c r="R336" s="4" t="str">
        <f>IF(SnapshotTable[[#This Row],[Equity Basis Total]] &gt; 0, SnapshotTable[[#This Row],[Equity Basis Total]] / SnapshotTable[[#This Row],[Equity Shares]], "")</f>
        <v/>
      </c>
      <c r="S336" s="269">
        <f>SnapshotTable[[#This Row],[Last Price]] * SnapshotTable[[#This Row],[Equity Shares]]</f>
        <v>0</v>
      </c>
      <c r="T336" s="269">
        <f>SnapshotTable[[#This Row],[Equity Value]] - SnapshotTable[[#This Row],[Equity Basis Total]]</f>
        <v>0</v>
      </c>
      <c r="U336" s="270" t="str">
        <f>IF(SnapshotTable[[#This Row],[Equity Basis Total]] &gt; 0, SnapshotTable[[#This Row],[Equity G/L]] / SnapshotTable[[#This Row],[Equity Basis Total]], "")</f>
        <v/>
      </c>
      <c r="V336" s="268"/>
      <c r="W336" s="268"/>
      <c r="X336" s="4" t="str">
        <f>IF(AND(ISNUMBER(SnapshotTable[[#This Row],[Equity Basis Per Share]]),ISNUMBER(SnapshotTable[[#This Row],[Equity Target]])),SnapshotTable[[#This Row],[Equity Target]]-SnapshotTable[[#This Row],[Equity Basis Per Share]],"")</f>
        <v/>
      </c>
      <c r="Y336" s="4" t="str">
        <f>IF(AND(ISNUMBER(SnapshotTable[[#This Row],[Equity Basis Per Share]]),ISNUMBER(SnapshotTable[[#This Row],[Equity Stop Loss]])),SnapshotTable[[#This Row],[Equity Stop Loss]]-SnapshotTable[[#This Row],[Equity Basis Per Share]],"")</f>
        <v/>
      </c>
      <c r="Z336" s="275" t="str">
        <f>IFERROR( TEXT(SnapshotTable[[#This Row],[Equity Max Gain Per Share]] /ABS( SnapshotTable[[#This Row],[Equity Max Loss Per Share]]),"0.0 " ) &amp; " : 1", "")</f>
        <v/>
      </c>
      <c r="AA336" s="31" t="str">
        <f>IF(ISNUMBER(SnapshotTable[[#This Row],[Equity Max Gain Per Share]]),SnapshotTable[[#This Row],[Equity Max Gain Per Share]] * SnapshotTable[[#This Row],[Equity Shares]],"")</f>
        <v/>
      </c>
      <c r="AB336" s="31" t="str">
        <f>IF(ISNUMBER(SnapshotTable[[#This Row],[Equity Max Loss Per Share]]),SnapshotTable[[#This Row],[Equity Max Loss Per Share]] * SnapshotTable[[#This Row],[Equity Shares]],"")</f>
        <v/>
      </c>
      <c r="AC336" s="150">
        <v>0</v>
      </c>
      <c r="AD336" s="151">
        <v>42680</v>
      </c>
      <c r="AE336" s="31">
        <f>(SnapshotTable[[#This Row],[Annual Dividend Per Share]] / 4) * SnapshotTable[[#This Row],[Equity Shares]]</f>
        <v>0</v>
      </c>
      <c r="AF336" s="31">
        <f>SnapshotTable[[#This Row],[Quarterly Div $]] * 4</f>
        <v>0</v>
      </c>
      <c r="AG336" s="7">
        <f>IF(SnapshotTable[[#This Row],[Annual Dividend Per Share]]&gt;0, SnapshotTable[[#This Row],[Annual Dividend Per Share]]  / SnapshotTable[[#This Row],[Last Price]], 0)</f>
        <v>0</v>
      </c>
      <c r="AH336" s="151">
        <v>42291</v>
      </c>
      <c r="AI336" s="5"/>
      <c r="AJ336" s="138">
        <v>12.92</v>
      </c>
      <c r="AK336" s="152" t="str">
        <f>IF(ISNUMBER( SnapshotTable[[#This Row],[EBF Target]]),(SnapshotTable[[#This Row],[EBF Target]] - SnapshotTable[[#This Row],[Last Price]]) / SnapshotTable[[#This Row],[Last Price]], "")</f>
        <v/>
      </c>
      <c r="AL336" s="152" t="str">
        <f>IF(AND(SnapshotTable[[#This Row],[Equity Basis Total]] &gt; 0,ISNUMBER( SnapshotTable[[#This Row],[Long Term Target]])), SnapshotTable[[#This Row],[From Basis $]] / SnapshotTable[[#This Row],[Equity Basis Total]], "")</f>
        <v/>
      </c>
      <c r="AM336" s="9">
        <f>IF( AND(SnapshotTable[[#This Row],[Equity Shares]] &gt;0,ISNUMBER( SnapshotTable[[#This Row],[Long Term Target]])),(SnapshotTable[[#This Row],[Equity Shares]] * SnapshotTable[[#This Row],[Long Term Target]]) - SnapshotTable[[#This Row],[Equity Basis Total]],0)</f>
        <v>0</v>
      </c>
      <c r="AN336" s="9">
        <f>IF( AND(SnapshotTable[[#This Row],[Equity Shares]] &gt;0,ISNUMBER( SnapshotTable[[#This Row],[Long Term Target]])),(SnapshotTable[[#This Row],[Equity Shares]]*SnapshotTable[[#This Row],[Long Term Target]]) - SnapshotTable[[#This Row],[Equity Value]],0)</f>
        <v>0</v>
      </c>
      <c r="AO336" s="152">
        <f>IF(AND(ISNUMBER( SnapshotTable[[#This Row],[Long Term Target]]), ISNUMBER(SnapshotTable[[#This Row],[Last Price]])),(SnapshotTable[[#This Row],[Long Term Target]] - SnapshotTable[[#This Row],[Last Price]]) / SnapshotTable[[#This Row],[Last Price]], "")</f>
        <v>-0.12996632996632995</v>
      </c>
      <c r="AP336" s="5">
        <v>7.25</v>
      </c>
      <c r="AQ336" s="38" t="s">
        <v>6</v>
      </c>
      <c r="AR336" s="5">
        <v>6.5</v>
      </c>
      <c r="AS336" s="38" t="s">
        <v>32</v>
      </c>
      <c r="AT336" s="146"/>
      <c r="AU336" s="187" t="str">
        <f>IF(OR(SnapshotTable[[#This Row],[LP No Fill]]="Y",SnapshotTable[[#This Row],[SP Is Filled]],SnapshotTable[[#This Row],[LC Not Filled]]="Y",SnapshotTable[[#This Row],[SC Is Filled]]),"Y","")</f>
        <v/>
      </c>
      <c r="AV336" s="219"/>
      <c r="AW336" s="225"/>
      <c r="AX336" s="220"/>
      <c r="AY336" s="219" t="str">
        <f>IF(SnapshotTable[[#This Row],[Implied Move]]&gt;0, SnapshotTable[[#This Row],[Last Price]]-SnapshotTable[[#This Row],[Implied Move]],"")</f>
        <v/>
      </c>
      <c r="AZ336" s="219" t="str">
        <f>IF(SnapshotTable[[#This Row],[Implied Move]]&gt;0, SnapshotTable[[#This Row],[Last Price]] + SnapshotTable[[#This Row],[Implied Move]],"")</f>
        <v/>
      </c>
      <c r="BA336" s="331"/>
      <c r="BB336" s="347"/>
      <c r="BC33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6" s="351"/>
      <c r="BE336" s="5"/>
      <c r="BF336" s="14"/>
      <c r="BG336" s="13"/>
      <c r="BH336" s="13"/>
      <c r="BI336" s="5"/>
      <c r="BJ336" s="136">
        <f>IF(SnapshotTable[[#This Row],[LP Qty]] &gt; 0, SnapshotTable[[#This Row],[LP Qty]] * SnapshotTable[[#This Row],[LP Book Price]] * 100,0)</f>
        <v>0</v>
      </c>
      <c r="BK336" s="136">
        <f>IF(SnapshotTable[[#This Row],[LP Premium]] &gt; 0, SnapshotTable[[#This Row],[LP Qty]] * SnapshotTable[[#This Row],[LP Strike Price]] * 100,0)</f>
        <v>0</v>
      </c>
      <c r="BL336" s="154"/>
      <c r="BM336" s="385" t="str">
        <f>IF(SnapshotTable[[#This Row],[LP Premium]] &gt; 0,SnapshotTable[[#This Row],[LP Exp Date]]-MAX(SnapshotTable[[#This Row],[LP Book Date]], SnapshotTable[[#This Row],[LP Fill Date]]),"")</f>
        <v/>
      </c>
      <c r="BN336" s="385" t="str">
        <f>IF(ISNUMBER( SnapshotTable[[#This Row],[LP Term]]), SnapshotTable[[#This Row],[LP Exp Date]] - MockToday,"")</f>
        <v/>
      </c>
      <c r="BO336" s="163" t="str">
        <f>IF(AND(SnapshotTable[[#This Row],[LP Exp Date]]&gt;0, SnapshotTable[[#This Row],[LP Strike Price]]&gt;0,SnapshotTable[[#This Row],[LP Qty]]&gt;0,SnapshotTable[[#This Row],[LP Book Date]]&gt;0,SnapshotTable[[#This Row],[LP Book Price]]&gt;0,SnapshotTable[[#This Row],[LP Fill Date]]=0),"Y","")</f>
        <v/>
      </c>
      <c r="BP336" s="31" t="str">
        <f>IF(AND(SnapshotTable[[#This Row],[LP No Fill]]&lt;&gt;"Y",SnapshotTable[[#This Row],[LP Contract Value]]&gt;0, SnapshotTable[[#This Row],[LP Qty]]&gt;0), SnapshotTable[[#This Row],[LP Contract Value]]*SnapshotTable[[#This Row],[LP Qty]]*100,"")</f>
        <v/>
      </c>
      <c r="BQ336" s="13"/>
      <c r="BR336" s="5" t="str">
        <f>IF(SnapshotTable[[#This Row],[SP Exp Date]]&lt;&gt;"",TRUNC(SnapshotTable[[#This Row],[Last Price]]),"")</f>
        <v/>
      </c>
      <c r="BS336" s="36"/>
      <c r="BT336" s="147"/>
      <c r="BU336" s="13"/>
      <c r="BV336" s="5"/>
      <c r="BW336" s="419" t="b">
        <f>AND(ISNUMBER(SnapshotTable[[#This Row],[SP Exp Date]]), ISNUMBER(SnapshotTable[[#This Row],[SP Strike Price]]), ISNUMBER(SnapshotTable[[#This Row],[SP Qty]]), ISNUMBER(SnapshotTable[[#This Row],[SP Book Date]]), ISNUMBER(SnapshotTable[[#This Row],[SP Book Price]]))</f>
        <v>0</v>
      </c>
      <c r="BX336" s="419" t="b">
        <f>AND(SnapshotTable[[#This Row],[SP Is Booked]], NOT(ISBLANK(SnapshotTable[[#This Row],[SP Fill Date]])))</f>
        <v>0</v>
      </c>
      <c r="BY336" s="33">
        <f>IF(SnapshotTable[[#This Row],[SP Is Booked]], SnapshotTable[[#This Row],[SP Qty]] * SnapshotTable[[#This Row],[SP Book Price]] * 100, 0)</f>
        <v>0</v>
      </c>
      <c r="BZ336" s="369"/>
      <c r="CA336" s="368">
        <f>SnapshotTable[[#This Row],[LP Qty]]</f>
        <v>0</v>
      </c>
      <c r="CB336" s="4" t="str">
        <f>IF(SnapshotTable[[#This Row],[SP Is Booked]], SnapshotTable[[#This Row],[SP Strike Price]] - SnapshotTable[[#This Row],[SP Book Price]], "")</f>
        <v/>
      </c>
      <c r="CC336" s="19" t="str">
        <f>IF(SnapshotTable[[#This Row],[SP Is Booked]],SnapshotTable[[#This Row],[SP Exp Date]]-MAX(SnapshotTable[[#This Row],[SP Book Date]], SnapshotTable[[#This Row],[SP Fill Date]]),"")</f>
        <v/>
      </c>
      <c r="CD336" s="7" t="str">
        <f>IF(SnapshotTable[[#This Row],[SP Is Booked]], SnapshotTable[[#This Row],[SP Book Price]]/SnapshotTable[[#This Row],[SP Strike Price]], "")</f>
        <v/>
      </c>
      <c r="CE336" s="7" t="str">
        <f>IF(ISNUMBER(SnapshotTable[[#This Row],[SP ROO Term]]),SnapshotTable[[#This Row],[SP ROO Term]]*(365/SnapshotTable[[#This Row],[SP Term]]),"")</f>
        <v/>
      </c>
      <c r="CF336" s="236">
        <f>SnapshotTable[[#This Row],[LP Strike Price]] * SnapshotTable[[#This Row],[LP Qty]] * 100</f>
        <v>0</v>
      </c>
      <c r="CG336" s="31" t="e">
        <f>IF(ISNUMBER(SnapshotTable[[#This Row],[SP Premium]]), (SnapshotTable[[#This Row],[SP Qty]] * SnapshotTable[[#This Row],[SP Strike Price]]* 100) - SnapshotTable[[#This Row],[LP Protection]], 0)</f>
        <v>#VALUE!</v>
      </c>
      <c r="CH336" s="7" t="str">
        <f>IF(ISNUMBER(SnapshotTable[[#This Row],[SP Break Even]]),-1 * (SnapshotTable[[#This Row],[SP Break Even]] - SnapshotTable[[#This Row],[Last Price]]) / SnapshotTable[[#This Row],[Last Price]], "")</f>
        <v/>
      </c>
      <c r="CI336" s="31">
        <f>IF(AND(ISNUMBER((SnapshotTable[[#This Row],[SP Potential Spend]])), SnapshotTable[[#This Row],[SP Strike Price]] &gt; SnapshotTable[[#This Row],[Last Price]], SnapshotTable[[#This Row],[SP Is Filled]]), SnapshotTable[[#This Row],[SP Potential Spend]] -  SnapshotTable[[#This Row],[LP Max Value]], 0)</f>
        <v>0</v>
      </c>
      <c r="CJ336" s="244"/>
      <c r="CK336" s="31" t="str">
        <f>IF(ISNUMBER(SnapshotTable[[#This Row],[SP Potential Spend]]),IF(ISNUMBER(SnapshotTable[[#This Row],[SP POW]]), SnapshotTable[[#This Row],[SP POW]] * SnapshotTable[[#This Row],[SP Potential Spend]], SnapshotTable[[#This Row],[SP Potential Spend]]), "")</f>
        <v/>
      </c>
      <c r="CL336" s="164" t="e">
        <f>IF(NOT(SnapshotTable[[#This Row],[SP Is Filled]]),(SnapshotTable[[#This Row],[SP Qty]] * SnapshotTable[[#This Row],[SP Strike Price]] * 100) - SnapshotTable[[#This Row],[LP Max Value]],"")</f>
        <v>#VALUE!</v>
      </c>
      <c r="CM336" s="31" t="str">
        <f>IF(SnapshotTable[[#This Row],[SP Actual Spend]]&lt;&gt;0, ((SnapshotTable[[#This Row],[SP Strike Price]]-SnapshotTable[[#This Row],[Last Price]]) *(SnapshotTable[[#This Row],[SP Qty]]*100) - SnapshotTable[[#This Row],[SP Premium]]) * - 1, "")</f>
        <v/>
      </c>
      <c r="CN336" s="78"/>
      <c r="CO336" s="369"/>
      <c r="CP336" s="4" t="str">
        <f>IF(SnapshotTable[[#This Row],[SP Is Filled]], btc_max_buyback_amount(SnapshotTable[[#This Row],[SP Fill Date]],SnapshotTable[[#This Row],[SP Exp Date]], SnapshotTable[[#This Row],[SP Book Price]]),"")</f>
        <v/>
      </c>
      <c r="CQ336" s="78"/>
      <c r="CR33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6" s="155" t="str">
        <f>IF(SnapshotTable[[#This Row],[SP Is Filled]], btc_next_cutoff_date(SnapshotTable[[#This Row],[SP Fill Date]],SnapshotTable[[#This Row],[SP Exp Date]]),"")</f>
        <v/>
      </c>
      <c r="CT336" s="235" t="str" cm="1">
        <f t="array" ref="CT336">IF(SnapshotTable[[#This Row],[SP Is Filled]], btc_should_buy_back(SnapshotTable[[#This Row],[SP Fill Date]], SnapshotTable[[#This Row],[SP Exp Date]], SnapshotTable[[#This Row],[SP Book Price]], SnapshotTable[[#This Row],[SP Current Ask]], MockToday, SnapshotTable[[#This Row],[SP Buyback Override]]),"")</f>
        <v/>
      </c>
      <c r="CU336" s="143"/>
      <c r="CV336" s="235"/>
      <c r="CW336" s="378" t="str">
        <f>IF(ISNUMBER( SnapshotTable[[#This Row],[SP Term]]), SnapshotTable[[#This Row],[SP Exp Date]] - MockToday,"")</f>
        <v/>
      </c>
      <c r="CX336" s="31" t="str">
        <f>IF(SnapshotTable[[#This Row],[SP Is Filled]],SnapshotTable[[#This Row],[SP Buyback Price to Use]] * 100 * SnapshotTable[[#This Row],[SP Qty]], "")</f>
        <v/>
      </c>
      <c r="CY336" s="4" t="str">
        <f>IF(ISNUMBER(SnapshotTable[[#This Row],[SP Strike Price]]), SnapshotTable[[#This Row],[SP Strike Price]] * (1 - SP_MaxLoss_StrikePct), "")</f>
        <v/>
      </c>
      <c r="CZ336" s="31" t="str">
        <f>IF(ISNUMBER(SnapshotTable[[#This Row],[SP Strike  Stop Per Share]]),SnapshotTable[[#This Row],[SP Premium]] - ((SnapshotTable[[#This Row],[SP Strike Price]]-SnapshotTable[[#This Row],[SP Strike  Stop Per Share]]) *(SnapshotTable[[#This Row],[SP Qty]] * 100)),"")</f>
        <v/>
      </c>
      <c r="DA336" s="4" t="str">
        <f>IF(AND(ISNUMBER(SnapshotTable[[#This Row],[SP Premium]]),SnapshotTable[[#This Row],[SP Premium]]&gt;0), SnapshotTable[[#This Row],[SP Book Price]] * (1 + SP_MaxLoss_OptionPct), "")</f>
        <v/>
      </c>
      <c r="DB336" s="31" t="str">
        <f>IF(ISNUMBER(SnapshotTable[[#This Row],[SP Option  Stop Contract]]),(SnapshotTable[[#This Row],[SP Option  Stop Contract]] *(SnapshotTable[[#This Row],[SP Qty]] * 100) - SnapshotTable[[#This Row],[SP Premium]]),"")</f>
        <v/>
      </c>
      <c r="DC336" s="4"/>
      <c r="DD336" s="4"/>
      <c r="DE336" s="4" t="str">
        <f>IF(AND(SnapshotTable[[#This Row],[SP Qty]]&gt;0, SnapshotTable[[#This Row],[SP Stop To Use]]&gt;0),SnapshotTable[[#This Row],[SP Premium]] - ( SnapshotTable[[#This Row],[SP Qty]] * SnapshotTable[[#This Row],[SP Stop To Use]] * 100), "")</f>
        <v/>
      </c>
      <c r="DF336" s="31" t="str">
        <f>IF(AND(SnapshotTable[[#This Row],[SP Qty]]&gt;0,SnapshotTable[[#This Row],[SP Current Ask]]&gt;0), SnapshotTable[[#This Row],[SP Qty]] * SnapshotTable[[#This Row],[SP Current Ask]] * -100, "")</f>
        <v/>
      </c>
      <c r="DG336" s="31" t="str">
        <f>IF(ISNUMBER((SnapshotTable[[#This Row],[SP Total Value]])), SnapshotTable[[#This Row],[SP Premium]] + SnapshotTable[[#This Row],[SP Total Value]], "")</f>
        <v/>
      </c>
      <c r="DH336" s="294" t="str">
        <f>IF(ISNUMBER((SnapshotTable[[#This Row],[SP Total Value]])), SnapshotTable[[#This Row],[SP Gain Loss]] / SnapshotTable[[#This Row],[SP Premium]], "")</f>
        <v/>
      </c>
      <c r="DI336" s="406"/>
      <c r="DJ336" s="138"/>
      <c r="DK336" s="148"/>
      <c r="DL336" s="13"/>
      <c r="DM336" s="13"/>
      <c r="DO336" s="31">
        <f>IF(SnapshotTable[[#This Row],[LC Symbol Count]]=1, SnapshotTable[[#This Row],[LC Qty]] * SnapshotTable[[#This Row],[LC Book Price]] * 100, 0)</f>
        <v>0</v>
      </c>
      <c r="DP336" s="163" t="str">
        <f>IF(AND(SnapshotTable[[#This Row],[LC Exp Date]]&gt;0, SnapshotTable[[#This Row],[LC Strike Price]]&gt;0,SnapshotTable[[#This Row],[LC Qty]]&gt;0,SnapshotTable[[#This Row],[LC Book Date]]&gt;0,SnapshotTable[[#This Row],[LC Book Price]]&gt;0,SnapshotTable[[#This Row],[LC Fill Date]]=0),"Y","")</f>
        <v/>
      </c>
      <c r="DQ336" s="386" t="str">
        <f>IF(SnapshotTable[[#This Row],[LC Premium]] &gt; 0,SnapshotTable[[#This Row],[LC Exp Date]]-MAX(SnapshotTable[[#This Row],[LC Book Date]], SnapshotTable[[#This Row],[LC Fill Date]]),"")</f>
        <v/>
      </c>
      <c r="DR336" s="386" t="str">
        <f>IF(ISNUMBER(SnapshotTable[[#This Row],[LC Term]]), SnapshotTable[[#This Row],[LC Exp Date]] - MockToday, "")</f>
        <v/>
      </c>
      <c r="DS336" s="234" t="str">
        <f>IF(SnapshotTable[[#This Row],[LC Premium]]&gt;0,SnapshotTable[[#This Row],[LC Strike Price]] + SnapshotTable[[#This Row],[LC Book Price]],"")</f>
        <v/>
      </c>
      <c r="DU336" s="9" t="str">
        <f>IF(AND(SnapshotTable[[#This Row],[LC Symbol Count]]&gt;0, SnapshotTable[[#This Row],[LC Contract Value]]&gt;0), SnapshotTable[[#This Row],[LC Contract Value]] * SnapshotTable[[#This Row],[LC Qty]] * 100, "")</f>
        <v/>
      </c>
      <c r="DV336" s="9" t="str">
        <f>IF(AND(ISNUMBER(SnapshotTable[[#This Row],[LC Total Value]]), SnapshotTable[[#This Row],[LC Not Filled]]&lt;&gt;"Y"), SnapshotTable[[#This Row],[LC Total Value]]-SnapshotTable[[#This Row],[LC Premium]],"")</f>
        <v/>
      </c>
      <c r="DW336" s="240" t="str">
        <f>IF(ISNUMBER(SnapshotTable[[#This Row],[LC Actual Gain Loss]]), SnapshotTable[[#This Row],[LC Actual Gain Loss]] / SnapshotTable[[#This Row],[LC Premium]],"")</f>
        <v/>
      </c>
      <c r="DX336" s="284" t="str">
        <f>IF(ISNUMBER(SnapshotTable[[#This Row],[LC Book Price]]),SnapshotTable[[#This Row],[LC Book Price]] * 1.5,"")</f>
        <v/>
      </c>
      <c r="DY336" s="265" t="str">
        <f>IF(SnapshotTable[[#This Row],[LC Premium]]&gt;0, SnapshotTable[[#This Row],[LC Next Target]] * SnapshotTable[[#This Row],[LC Qty]] * 100,"")</f>
        <v/>
      </c>
      <c r="DZ336" s="265" t="str">
        <f>IF(ISNUMBER(SnapshotTable[[#This Row],[LC Target Gross]]), SnapshotTable[[#This Row],[LC Target Gross]] - SnapshotTable[[#This Row],[LC Premium]], "")</f>
        <v/>
      </c>
      <c r="EA336" s="305" t="str">
        <f>IF(ISNUMBER(SnapshotTable[[#This Row],[LC Target Gain Loss]]), SnapshotTable[[#This Row],[LC Target Gain Loss]]/SnapshotTable[[#This Row],[LC Premium]], "")</f>
        <v/>
      </c>
      <c r="EB336" s="262"/>
      <c r="EC336" s="283" t="str">
        <f>IF(SnapshotTable[[#This Row],[LC Premium]]&gt;0, SnapshotTable[[#This Row],[LC Book Price]] * (1 - LC_StopLoss_Pct),"")</f>
        <v/>
      </c>
      <c r="ED336" s="284"/>
      <c r="EE336" s="283" t="str">
        <f>IF(ISNUMBER(SnapshotTable[[#This Row],[LC Contract Value]]),IF(ISNUMBER(SnapshotTable[[#This Row],[LC Stop Loss Override]]), SnapshotTable[[#This Row],[LC Stop Loss Override]],SnapshotTable[[#This Row],[LC Stop Loss Calc Target]]),"")</f>
        <v/>
      </c>
      <c r="EF336" s="31" t="str">
        <f>IF(ISNUMBER(SnapshotTable[[#This Row],[LC Stop  To Use]]), (SnapshotTable[[#This Row],[LC Stop  To Use]] * SnapshotTable[[#This Row],[LC Qty]] * 100),"")</f>
        <v/>
      </c>
      <c r="EG336" s="9" t="str">
        <f>IF(ISNUMBER(SnapshotTable[[#This Row],[LC Total Value]]),SnapshotTable[[#This Row],[LC Stop Loss Amount]] - SnapshotTable[[#This Row],[LC Premium]],"")</f>
        <v/>
      </c>
      <c r="EH336" s="9">
        <f>IF(ISNUMBER(SnapshotTable[[#This Row],[LC Premium]]), SnapshotTable[[#This Row],[LC Qty]] * 100 * SnapshotTable[[#This Row],[LC Strike Price]], "")</f>
        <v>0</v>
      </c>
      <c r="EI336" s="240" t="str">
        <f>IF(AND(ISNUMBER(SnapshotTable[[#This Row],[LC Total Value]]),SnapshotTable[[#This Row],[LC Total Value]]&gt;0),SnapshotTable[[#This Row],[LC Stop Gain Loss]]  / SnapshotTable[[#This Row],[LC Premium]],"")</f>
        <v/>
      </c>
      <c r="EJ336" s="35">
        <f>IF(ISNUMBER(SnapshotTable[[#This Row],[Equity Shares]]),TRUNC(SnapshotTable[[#This Row],[Equity Shares]] / 100),0) + SnapshotTable[[#This Row],[LC Qty]]</f>
        <v>0</v>
      </c>
      <c r="EK336" s="147"/>
      <c r="EL336" s="138" t="str">
        <f>IF(SnapshotTable[[#This Row],[SC Exp Date]]&lt;&gt;"",TRUNC(SnapshotTable[[#This Row],[Last Price]]),"")</f>
        <v/>
      </c>
      <c r="EM336" s="148"/>
      <c r="EN336" s="147"/>
      <c r="EO336" s="147"/>
      <c r="EP336" s="138"/>
      <c r="EQ336" s="419" t="b">
        <f>AND(ISNUMBER(SnapshotTable[[#This Row],[SC Exp Date]]), ISNUMBER(SnapshotTable[[#This Row],[SC Strike Price]]), ISNUMBER(SnapshotTable[[#This Row],[SC Qty]]), ISNUMBER(SnapshotTable[[#This Row],[SC Book Date]]), ISNUMBER(SnapshotTable[[#This Row],[SC Book Price]]))</f>
        <v>0</v>
      </c>
      <c r="ER336" s="419" t="b">
        <f>AND(SnapshotTable[[#This Row],[SC Is Booked]], NOT(ISBLANK(SnapshotTable[[#This Row],[SC Fill Date]])))</f>
        <v>0</v>
      </c>
      <c r="ES336" s="370"/>
      <c r="ET336" s="34" t="str">
        <f>IF(AND(ISNUMBER(SnapshotTable[[#This Row],[SC Exp Date]]), ISNUMBER(SnapshotTable[[#This Row],[SC Book Date]])), SnapshotTable[[#This Row],[SC Exp Date]] - MAX(SnapshotTable[[#This Row],[SC Book Date]], SnapshotTable[[#This Row],[SC Fill Date]]) + 1, "")</f>
        <v/>
      </c>
      <c r="EU336" s="34" t="str">
        <f>IF(ISNUMBER(SnapshotTable[[#This Row],[SC Term]]), SnapshotTable[[#This Row],[SC Exp Date]]- MockToday, "")</f>
        <v/>
      </c>
      <c r="EV336" s="31">
        <f>IF(SnapshotTable[[#This Row],[SC Is Booked]], SnapshotTable[[#This Row],[SC Qty]] * SnapshotTable[[#This Row],[SC Book Price]] * 100, 0)</f>
        <v>0</v>
      </c>
      <c r="EW336" s="4" t="str">
        <f>IF(AND(ISNUMBER(SnapshotTable[[#This Row],[Last Price]]), ISNUMBER( SnapshotTable[[#This Row],[SC Book Price]])), SnapshotTable[[#This Row],[Last Price]] - SnapshotTable[[#This Row],[SC Book Price]],"")</f>
        <v/>
      </c>
      <c r="EX336" s="234" t="str">
        <f>IF(SnapshotTable[[#This Row],[SC Is Booked]],IF(SnapshotTable[[#This Row],[SC Intrinsic Value]] &gt; 0, SnapshotTable[[#This Row],[SC Strike Price]], SnapshotTable[[#This Row],[Last Price]]), "")</f>
        <v/>
      </c>
      <c r="EY336" s="4">
        <f>IF(SnapshotTable[[#This Row],[SC Is Booked]], (MinimumPremiumRequired * SnapshotTable[[#This Row],[SC Basis]] * SnapshotTable[[#This Row],[SC Term]]), 0)</f>
        <v>0</v>
      </c>
      <c r="EZ336" s="283"/>
      <c r="FA336" s="218"/>
      <c r="FB336" s="370"/>
      <c r="FC336" s="4">
        <f>IF(SnapshotTable[[#This Row],[SC Is Filled]], btc_max_buyback_amount(SnapshotTable[[#This Row],[SC Fill Date]],SnapshotTable[[#This Row],[SC Exp Date]], SnapshotTable[[#This Row],[SC Book Price]]),0)</f>
        <v>0</v>
      </c>
      <c r="FD336" s="5"/>
      <c r="FE336" s="144" t="str">
        <f>IF(SnapshotTable[[#This Row],[SC Is Filled]], btc_next_cutoff_date(SnapshotTable[[#This Row],[SC Fill Date]],SnapshotTable[[#This Row],[SC Exp Date]]),"")</f>
        <v/>
      </c>
      <c r="FF336" s="4" t="str" cm="1">
        <f t="array" ref="FF336">IF(SnapshotTable[[#This Row],[SC Is Filled]], btc_should_buy_back(SnapshotTable[[#This Row],[SC Fill Date]], SnapshotTable[[#This Row],[SC Exp Date]], SnapshotTable[[#This Row],[SC Book Price]], SnapshotTable[[#This Row],[SC Current Ask]], MockToday, SnapshotTable[[#This Row],[SC Buyback Override]]),"")</f>
        <v/>
      </c>
      <c r="FG336" s="4">
        <f>IF(SnapshotTable[[#This Row],[SC Is Filled]], MAX(0,SnapshotTable[[#This Row],[Last Price]]  - SnapshotTable[[#This Row],[SC Strike Price]]), 0)</f>
        <v>0</v>
      </c>
      <c r="FH336" s="382">
        <f>IF(SnapshotTable[[#This Row],[SC Is Filled]], IF(ISNUMBER(SnapshotTable[[#This Row],[SC Current Ask]]), SnapshotTable[[#This Row],[SC Current Ask]], SnapshotTable[[#This Row],[SC Book Price]]) - SnapshotTable[[#This Row],[SC Intrinsic Value]], 0)</f>
        <v>0</v>
      </c>
      <c r="FI336" s="143"/>
      <c r="FJ336" s="32" t="str">
        <f>IF(SnapshotTable[[#This Row],[SC Is Filled]],100 * SnapshotTable[[#This Row],[SC Qty]] * IF(ISNUMBER(SnapshotTable[[#This Row],[SC Buyback Override]]), SnapshotTable[[#This Row],[SC Buyback Override]], SnapshotTable[[#This Row],[SC Current Ask]]), "")</f>
        <v/>
      </c>
      <c r="FK336" s="250" t="str">
        <f>IF(SnapshotTable[[#This Row],[SC Time Val]]&gt;0, SnapshotTable[[#This Row],[SC Time Val]] / SnapshotTable[[#This Row],[Last Price]],"")</f>
        <v/>
      </c>
      <c r="FL336" s="302" t="str">
        <f>IF(SnapshotTable[[#This Row],[SC Is Booked]], ((SnapshotTable[[#This Row],[Last Price]] -SnapshotTable[[#This Row],[SC Strike Price]]) / SnapshotTable[[#This Row],[Last Price]]) * -1, "")</f>
        <v/>
      </c>
      <c r="FM336" s="157" t="str">
        <f>IF(SnapshotTable[[#This Row],[SC Is Booked]],  (SnapshotTable[[#This Row],[SC Qty]] * 100 * SnapshotTable[[#This Row],[SC Strike Price]]) - SnapshotTable[[#This Row],[SC Current Ask]], "")</f>
        <v/>
      </c>
      <c r="FN33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6" s="31" t="str">
        <f>IF(AND(ISNUMBER(SnapshotTable[[#This Row],[SC Exercise Gross]]), ISNUMBER(SnapshotTable[[#This Row],[Equity Basis Per Share]] )), SnapshotTable[[#This Row],[SC Exercise Gross]] - SnapshotTable[[#This Row],[Equity Basis Total]] +  SnapshotTable[[#This Row],[SC Premium]], "")</f>
        <v/>
      </c>
      <c r="FP336" s="5" t="str">
        <f>IF(ISNUMBER(SnapshotTable[[#This Row],[SC Exercise Gross]]), (SnapshotTable[[#This Row],[SC Exercise Gross]]) / (SnapshotTable[[#This Row],[SC Qty]] * 100), "")</f>
        <v/>
      </c>
      <c r="FQ336" s="27" t="str">
        <f>IF(SnapshotTable[[#This Row],[SC Is Booked]],SnapshotTable[[#This Row],[SC Time Val]] /SnapshotTable[[#This Row],[SC Basis]], "")</f>
        <v/>
      </c>
      <c r="FR336" s="27" t="str" cm="1">
        <f t="array" ref="FR336">IF(AND(ISNUMBER(SnapshotTable[[#This Row],[SC Term]]),ISNUMBER(SnapshotTable[[#This Row],[SC Simple ROO]])), EllmanAnnualize(SnapshotTable[[#This Row],[SC DTE]], SnapshotTable[[#This Row],[SC Simple ROO]] ),"")</f>
        <v/>
      </c>
      <c r="FS336" s="4" t="e">
        <f>IF(SnapshotTable[[#This Row],[SC Strike Price]] &gt; SnapshotTable[[#This Row],[Last Price]], SnapshotTable[[#This Row],[SC Strike Price]] - SnapshotTable[[#This Row],[Last Price]],0)</f>
        <v>#VALUE!</v>
      </c>
      <c r="FT336" s="27" t="e">
        <f>IF(AND(ISNUMBER(SnapshotTable[[#This Row],[SC Upside Potential]]), SnapshotTable[[#This Row],[SC Upside Potential]] &gt; 0),(SnapshotTable[[#This Row],[SC Upside Potential]]/ SnapshotTable[[#This Row],[ACB]]),"")</f>
        <v>#VALUE!</v>
      </c>
      <c r="FU336" s="333" t="str">
        <f>IF(SnapshotTable[[#This Row],[SC Intrinsic Value]] &gt; 0,SnapshotTable[[#This Row],[SC Intrinsic Value]],"")</f>
        <v/>
      </c>
      <c r="FV336" s="27" t="str">
        <f>IF(AND( ISNUMBER( SnapshotTable[[#This Row],[ACB]]),ISNUMBER(SnapshotTable[[#This Row],[SC Downside Protect]])),SnapshotTable[[#This Row],[SC Downside Protect]] / SnapshotTable[[#This Row],[ACB]],"")</f>
        <v/>
      </c>
      <c r="FW336" s="236" t="str">
        <f>IF(AND(ISNUMBER(SnapshotTable[[#This Row],[SC Simple ROO]]),SnapshotTable[[#This Row],[SC Simple ROO]] &gt; 0), SnapshotTable[[#This Row],[SC Premium]] + (SnapshotTable[[#This Row],[SC Qty]] * SnapshotTable[[#This Row],[SC Upside Potential]]), "")</f>
        <v/>
      </c>
      <c r="FX336" s="302" t="str" cm="1">
        <f t="array" ref="FX336">IF(ISNUMBER(SnapshotTable[[#This Row],[SC Max Dollars]]), annualize(SnapshotTable[[#This Row],[SC Term]],(SnapshotTable[[#This Row],[SC Max Dollars]]/SnapshotTable[[#This Row],[SC Basis]])),"")</f>
        <v/>
      </c>
      <c r="FY336" s="236" t="str">
        <f>IF(AND(SnapshotTable[[#This Row],[SC Qty]]&gt;0,SnapshotTable[[#This Row],[SC Current Ask]]&gt;0), SnapshotTable[[#This Row],[SC Qty]] * SnapshotTable[[#This Row],[SC Current Ask]] * -100, "")</f>
        <v/>
      </c>
      <c r="FZ336" s="31" t="str">
        <f>IF(ISNUMBER((SnapshotTable[[#This Row],[SC Current Value]])), SnapshotTable[[#This Row],[SC Premium]] + SnapshotTable[[#This Row],[SC Current Value]], "")</f>
        <v/>
      </c>
      <c r="GA336" s="294" t="str">
        <f>IFERROR( IF(ISNUMBER((SnapshotTable[[#This Row],[SC Current Value]])), SnapshotTable[[#This Row],[SC Gain Loss]] / SnapshotTable[[#This Row],[SC Premium]], ""), "")</f>
        <v/>
      </c>
      <c r="GB336" s="42">
        <f>SnapshotTable[[#This Row],[Equity Shares]] * SaleSharesToConsiderPercentage</f>
        <v>0</v>
      </c>
      <c r="GC336" s="40">
        <f>SnapshotTable[[#This Row],[Long Term Target]] * SellingPriceToConsiderBasedOnTargetPercentage</f>
        <v>12.273999999999999</v>
      </c>
      <c r="GD336" s="40">
        <f>SnapshotTable[[#This Row],[Last Price]] * (1+ SellingPriceToConsiderBasedOnTargetPercentage)</f>
        <v>28.9575</v>
      </c>
      <c r="GE336" s="41">
        <v>50</v>
      </c>
      <c r="GF336" s="40">
        <v>15.18</v>
      </c>
      <c r="GG336" s="31">
        <f>SnapshotTable[[#This Row],[Booked Sale Shares]] * SnapshotTable[[#This Row],[Booked Sale Price]]</f>
        <v>759</v>
      </c>
      <c r="GH336" s="31" t="str">
        <f>IF(SnapshotTable[[#This Row],[Equity Basis Total]] &gt; 0, SnapshotTable[[#This Row],[Equity Basis Per Share]] * SnapshotTable[[#This Row],[Booked Sale Shares]], "")</f>
        <v/>
      </c>
      <c r="GI336" s="31" t="e">
        <f>IF(SnapshotTable[[#This Row],[Sale Proceeds]]&gt;0, SnapshotTable[[#This Row],[Sale Proceeds]] - SnapshotTable[[#This Row],[Sale Basis]], 0)</f>
        <v>#VALUE!</v>
      </c>
      <c r="GJ336" s="27" t="e">
        <f>IF(SnapshotTable[[#This Row],[Sale G/L]]&gt;0, SnapshotTable[[#This Row],[Sale G/L]] / SnapshotTable[[#This Row],[Sale Basis]], IF(ISNUMBER(SnapshotTable[[#This Row],[SC Exercise P&amp;L (TAX)]]), SnapshotTable[[#This Row],[SC Exercise P&amp;L (TAX)]] / SnapshotTable[[#This Row],[SC Basis]], ""))</f>
        <v>#VALUE!</v>
      </c>
      <c r="GK336" s="27" t="s">
        <v>787</v>
      </c>
      <c r="GL336" s="43" t="str">
        <f>IF(AND(SnapshotTable[[#This Row],[LP Exp Date]]&gt;0,SnapshotTable[[#This Row],[LP Strike Price]]&gt;0), [1]!ToOptionSymbol(SnapshotTable[[#This Row],[Symbol]], SnapshotTable[[#This Row],[LP Strike Price]],SnapshotTable[[#This Row],[LP Exp Date]],1), "")</f>
        <v/>
      </c>
      <c r="GM336" s="30" t="str">
        <f>IF(LEN(SnapshotTable[[#This Row],[LP Symbol]])&gt;0, 1, "")</f>
        <v/>
      </c>
      <c r="GN336" s="43" t="str">
        <f>IF(AND(SnapshotTable[[#This Row],[SP Exp Date]]&gt;0,SnapshotTable[[#This Row],[SP Strike Price]]&gt;0), [1]!ToOptionSymbol(SnapshotTable[[#This Row],[Symbol]], SnapshotTable[[#This Row],[SP Strike Price]],SnapshotTable[[#This Row],[SP Exp Date]],1), "")</f>
        <v/>
      </c>
      <c r="GO336" s="30" t="str">
        <f>IF(LEN(SnapshotTable[[#This Row],[SP Symbol]])&gt;0, 1, "")</f>
        <v/>
      </c>
      <c r="GP336" s="43" t="str">
        <f>IF(AND(SnapshotTable[[#This Row],[LC Exp Date]]&gt;0,SnapshotTable[[#This Row],[LC Strike Price]]&gt;0), [1]!ToOptionSymbol(SnapshotTable[[#This Row],[Symbol]], SnapshotTable[[#This Row],[LC Strike Price]],SnapshotTable[[#This Row],[LC Exp Date]],0), "")</f>
        <v/>
      </c>
      <c r="GQ336" s="30" t="str">
        <f>IF(LEN(SnapshotTable[[#This Row],[LC Symbol]])&gt;0, 1, "")</f>
        <v/>
      </c>
      <c r="GR336" s="43" t="str">
        <f>IF(AND(SnapshotTable[[#This Row],[SC Exp Date]]&gt;0,SnapshotTable[[#This Row],[SC Strike Price]]&gt;0), [1]!ToOptionSymbol(SnapshotTable[[#This Row],[Symbol]], SnapshotTable[[#This Row],[SC Strike Price]],SnapshotTable[[#This Row],[SC Exp Date]],0), "")</f>
        <v/>
      </c>
      <c r="GS336" s="30" t="str">
        <f>IF(LEN(SnapshotTable[[#This Row],[SC Symbol]])&gt;0, 1, "")</f>
        <v/>
      </c>
      <c r="GT336" s="29" t="str">
        <f>IF(COUNT(SnapshotTable[[#This Row],[LP Symbol Count]],SnapshotTable[[#This Row],[SP Symbol Count]],SnapshotTable[[#This Row],[LC Symbol Count]],SnapshotTable[[#This Row],[SC Symbol Count]])&gt;0, "Y", "")</f>
        <v/>
      </c>
      <c r="GU33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6" s="231" t="e">
        <f>MAX(SnapshotTable[[#This Row],[Equity Basis Total]],SnapshotTable[[#This Row],[Equity Value]]) + (SnapshotTable[[#This Row],[SP Potential Spend]]- SnapshotTable[[#This Row],[SP Premium]] + SnapshotTable[[#This Row],[LP Premium]])+ (SnapshotTable[[#This Row],[LC Premium]] - SnapshotTable[[#This Row],[SC Premium]])</f>
        <v>#VALUE!</v>
      </c>
      <c r="GW336" s="139" t="e">
        <f>IF(AND(SnapshotTable[[#This Row],[Exposure]] &lt;&gt; 0),SnapshotTable[[#This Row],[Exposure]] / SnapshotTable[[#Totals],[Exposure]], "")</f>
        <v>#VALUE!</v>
      </c>
      <c r="HK336" s="1"/>
      <c r="HL336" s="1"/>
      <c r="HM336" s="1"/>
      <c r="HN336" s="1"/>
      <c r="HO336" s="1"/>
      <c r="HP336" s="1"/>
    </row>
    <row r="337" spans="2:224" ht="12.75" hidden="1" customHeight="1" x14ac:dyDescent="0.25">
      <c r="B337" s="12" t="s">
        <v>1044</v>
      </c>
      <c r="C337" s="422">
        <v>11.03</v>
      </c>
      <c r="D337" s="208" t="s">
        <v>578</v>
      </c>
      <c r="E337" s="39">
        <f>SnapshotTable[[#This Row],[Last Price]]*(1 -CrashDiscount)</f>
        <v>9.3754999999999988</v>
      </c>
      <c r="F337" s="26" t="s">
        <v>975</v>
      </c>
      <c r="G337" s="26" t="s">
        <v>822</v>
      </c>
      <c r="H337" s="149"/>
      <c r="I337" s="194">
        <v>44783.670138888891</v>
      </c>
      <c r="J337" s="195">
        <v>44783.670138888891</v>
      </c>
      <c r="K337" s="196"/>
      <c r="L337" s="326"/>
      <c r="M337" s="140"/>
      <c r="N337" s="140"/>
      <c r="O337" s="140"/>
      <c r="P337" s="22"/>
      <c r="Q337" s="25"/>
      <c r="R337" s="4" t="str">
        <f>IF(SnapshotTable[[#This Row],[Equity Basis Total]] &gt; 0, SnapshotTable[[#This Row],[Equity Basis Total]] / SnapshotTable[[#This Row],[Equity Shares]], "")</f>
        <v/>
      </c>
      <c r="S337" s="269">
        <f>SnapshotTable[[#This Row],[Last Price]] * SnapshotTable[[#This Row],[Equity Shares]]</f>
        <v>0</v>
      </c>
      <c r="T337" s="269">
        <f>SnapshotTable[[#This Row],[Equity Value]] - SnapshotTable[[#This Row],[Equity Basis Total]]</f>
        <v>0</v>
      </c>
      <c r="U337" s="270" t="str">
        <f>IF(SnapshotTable[[#This Row],[Equity Basis Total]] &gt; 0, SnapshotTable[[#This Row],[Equity G/L]] / SnapshotTable[[#This Row],[Equity Basis Total]], "")</f>
        <v/>
      </c>
      <c r="V337" s="268"/>
      <c r="W337" s="268"/>
      <c r="X337" s="4" t="str">
        <f>IF(AND(ISNUMBER(SnapshotTable[[#This Row],[Equity Basis Per Share]]),ISNUMBER(SnapshotTable[[#This Row],[Equity Target]])),SnapshotTable[[#This Row],[Equity Target]]-SnapshotTable[[#This Row],[Equity Basis Per Share]],"")</f>
        <v/>
      </c>
      <c r="Y337" s="4" t="str">
        <f>IF(AND(ISNUMBER(SnapshotTable[[#This Row],[Equity Basis Per Share]]),ISNUMBER(SnapshotTable[[#This Row],[Equity Stop Loss]])),SnapshotTable[[#This Row],[Equity Stop Loss]]-SnapshotTable[[#This Row],[Equity Basis Per Share]],"")</f>
        <v/>
      </c>
      <c r="Z337" s="275" t="str">
        <f>IFERROR( TEXT(SnapshotTable[[#This Row],[Equity Max Gain Per Share]] /ABS( SnapshotTable[[#This Row],[Equity Max Loss Per Share]]),"0.0 " ) &amp; " : 1", "")</f>
        <v/>
      </c>
      <c r="AA337" s="31" t="str">
        <f>IF(ISNUMBER(SnapshotTable[[#This Row],[Equity Max Gain Per Share]]),SnapshotTable[[#This Row],[Equity Max Gain Per Share]] * SnapshotTable[[#This Row],[Equity Shares]],"")</f>
        <v/>
      </c>
      <c r="AB337" s="31" t="str">
        <f>IF(ISNUMBER(SnapshotTable[[#This Row],[Equity Max Loss Per Share]]),SnapshotTable[[#This Row],[Equity Max Loss Per Share]] * SnapshotTable[[#This Row],[Equity Shares]],"")</f>
        <v/>
      </c>
      <c r="AC337" s="150"/>
      <c r="AD337" s="151"/>
      <c r="AE337" s="31">
        <f>(SnapshotTable[[#This Row],[Annual Dividend Per Share]] / 4) * SnapshotTable[[#This Row],[Equity Shares]]</f>
        <v>0</v>
      </c>
      <c r="AF337" s="31">
        <f>SnapshotTable[[#This Row],[Quarterly Div $]] * 4</f>
        <v>0</v>
      </c>
      <c r="AG337" s="7">
        <f>IF(SnapshotTable[[#This Row],[Annual Dividend Per Share]]&gt;0, SnapshotTable[[#This Row],[Annual Dividend Per Share]]  / SnapshotTable[[#This Row],[Last Price]], 0)</f>
        <v>0</v>
      </c>
      <c r="AH337" s="151"/>
      <c r="AI337" s="5"/>
      <c r="AJ337" s="138">
        <v>25.78</v>
      </c>
      <c r="AK337" s="152" t="str">
        <f>IF(ISNUMBER( SnapshotTable[[#This Row],[EBF Target]]),(SnapshotTable[[#This Row],[EBF Target]] - SnapshotTable[[#This Row],[Last Price]]) / SnapshotTable[[#This Row],[Last Price]], "")</f>
        <v/>
      </c>
      <c r="AL337" s="152" t="str">
        <f>IF(AND(SnapshotTable[[#This Row],[Equity Basis Total]] &gt; 0,ISNUMBER( SnapshotTable[[#This Row],[Long Term Target]])), SnapshotTable[[#This Row],[From Basis $]] / SnapshotTable[[#This Row],[Equity Basis Total]], "")</f>
        <v/>
      </c>
      <c r="AM337" s="9">
        <f>IF( AND(SnapshotTable[[#This Row],[Equity Shares]] &gt;0,ISNUMBER( SnapshotTable[[#This Row],[Long Term Target]])),(SnapshotTable[[#This Row],[Equity Shares]] * SnapshotTable[[#This Row],[Long Term Target]]) - SnapshotTable[[#This Row],[Equity Basis Total]],0)</f>
        <v>0</v>
      </c>
      <c r="AN337" s="9">
        <f>IF( AND(SnapshotTable[[#This Row],[Equity Shares]] &gt;0,ISNUMBER( SnapshotTable[[#This Row],[Long Term Target]])),(SnapshotTable[[#This Row],[Equity Shares]]*SnapshotTable[[#This Row],[Long Term Target]]) - SnapshotTable[[#This Row],[Equity Value]],0)</f>
        <v>0</v>
      </c>
      <c r="AO337" s="152">
        <f>IF(AND(ISNUMBER( SnapshotTable[[#This Row],[Long Term Target]]), ISNUMBER(SnapshotTable[[#This Row],[Last Price]])),(SnapshotTable[[#This Row],[Long Term Target]] - SnapshotTable[[#This Row],[Last Price]]) / SnapshotTable[[#This Row],[Last Price]], "")</f>
        <v>1.3372620126926567</v>
      </c>
      <c r="AP337" s="5">
        <v>17.5</v>
      </c>
      <c r="AQ337" s="38" t="s">
        <v>27</v>
      </c>
      <c r="AR337" s="5">
        <v>17.5</v>
      </c>
      <c r="AS337" s="38" t="s">
        <v>38</v>
      </c>
      <c r="AT337" s="146" t="s">
        <v>542</v>
      </c>
      <c r="AU337" s="187" t="str">
        <f>IF(OR(SnapshotTable[[#This Row],[LP No Fill]]="Y",SnapshotTable[[#This Row],[SP Is Filled]],SnapshotTable[[#This Row],[LC Not Filled]]="Y",SnapshotTable[[#This Row],[SC Is Filled]]),"Y","")</f>
        <v/>
      </c>
      <c r="AV337" s="219"/>
      <c r="AW337" s="225"/>
      <c r="AX337" s="220"/>
      <c r="AY337" s="219" t="str">
        <f>IF(SnapshotTable[[#This Row],[Implied Move]]&gt;0, SnapshotTable[[#This Row],[Last Price]]-SnapshotTable[[#This Row],[Implied Move]],"")</f>
        <v/>
      </c>
      <c r="AZ337" s="219" t="str">
        <f>IF(SnapshotTable[[#This Row],[Implied Move]]&gt;0, SnapshotTable[[#This Row],[Last Price]] + SnapshotTable[[#This Row],[Implied Move]],"")</f>
        <v/>
      </c>
      <c r="BA337" s="331">
        <v>16.46</v>
      </c>
      <c r="BB337" s="347"/>
      <c r="BC33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7" s="351"/>
      <c r="BE337" s="138"/>
      <c r="BF337" s="166"/>
      <c r="BG337" s="167"/>
      <c r="BH337" s="167"/>
      <c r="BI337" s="221"/>
      <c r="BJ337" s="153">
        <f>IF(SnapshotTable[[#This Row],[LP Qty]] &gt; 0, SnapshotTable[[#This Row],[LP Qty]] * SnapshotTable[[#This Row],[LP Book Price]] * 100,0)</f>
        <v>0</v>
      </c>
      <c r="BK337" s="136">
        <f>IF(SnapshotTable[[#This Row],[LP Premium]] &gt; 0, SnapshotTable[[#This Row],[LP Qty]] * SnapshotTable[[#This Row],[LP Strike Price]] * 100,0)</f>
        <v>0</v>
      </c>
      <c r="BL337" s="154"/>
      <c r="BM337" s="385" t="str">
        <f>IF(SnapshotTable[[#This Row],[LP Premium]] &gt; 0,SnapshotTable[[#This Row],[LP Exp Date]]-MAX(SnapshotTable[[#This Row],[LP Book Date]], SnapshotTable[[#This Row],[LP Fill Date]]),"")</f>
        <v/>
      </c>
      <c r="BN337" s="385" t="str">
        <f>IF(ISNUMBER( SnapshotTable[[#This Row],[LP Term]]), SnapshotTable[[#This Row],[LP Exp Date]] - MockToday,"")</f>
        <v/>
      </c>
      <c r="BO337" s="163" t="str">
        <f>IF(AND(SnapshotTable[[#This Row],[LP Exp Date]]&gt;0, SnapshotTable[[#This Row],[LP Strike Price]]&gt;0,SnapshotTable[[#This Row],[LP Qty]]&gt;0,SnapshotTable[[#This Row],[LP Book Date]]&gt;0,SnapshotTable[[#This Row],[LP Book Price]]&gt;0,SnapshotTable[[#This Row],[LP Fill Date]]=0),"Y","")</f>
        <v/>
      </c>
      <c r="BP337" s="31" t="str">
        <f>IF(AND(SnapshotTable[[#This Row],[LP No Fill]]&lt;&gt;"Y",SnapshotTable[[#This Row],[LP Contract Value]]&gt;0, SnapshotTable[[#This Row],[LP Qty]]&gt;0), SnapshotTable[[#This Row],[LP Contract Value]]*SnapshotTable[[#This Row],[LP Qty]]*100,"")</f>
        <v/>
      </c>
      <c r="BQ337" s="13"/>
      <c r="BR337" s="5" t="str">
        <f>IF(SnapshotTable[[#This Row],[SP Exp Date]]&lt;&gt;"",TRUNC(SnapshotTable[[#This Row],[Last Price]]),"")</f>
        <v/>
      </c>
      <c r="BS337" s="36"/>
      <c r="BT337" s="147"/>
      <c r="BU337" s="13"/>
      <c r="BV337" s="5"/>
      <c r="BW337" s="419" t="b">
        <f>AND(ISNUMBER(SnapshotTable[[#This Row],[SP Exp Date]]), ISNUMBER(SnapshotTable[[#This Row],[SP Strike Price]]), ISNUMBER(SnapshotTable[[#This Row],[SP Qty]]), ISNUMBER(SnapshotTable[[#This Row],[SP Book Date]]), ISNUMBER(SnapshotTable[[#This Row],[SP Book Price]]))</f>
        <v>0</v>
      </c>
      <c r="BX337" s="419" t="b">
        <f>AND(SnapshotTable[[#This Row],[SP Is Booked]], NOT(ISBLANK(SnapshotTable[[#This Row],[SP Fill Date]])))</f>
        <v>0</v>
      </c>
      <c r="BY337" s="33">
        <f>IF(SnapshotTable[[#This Row],[SP Is Booked]], SnapshotTable[[#This Row],[SP Qty]] * SnapshotTable[[#This Row],[SP Book Price]] * 100, 0)</f>
        <v>0</v>
      </c>
      <c r="BZ337" s="369"/>
      <c r="CA337" s="368">
        <f>SnapshotTable[[#This Row],[LP Qty]]</f>
        <v>0</v>
      </c>
      <c r="CB337" s="4" t="str">
        <f>IF(SnapshotTable[[#This Row],[SP Is Booked]], SnapshotTable[[#This Row],[SP Strike Price]] - SnapshotTable[[#This Row],[SP Book Price]], "")</f>
        <v/>
      </c>
      <c r="CC337" s="19" t="str">
        <f>IF(SnapshotTable[[#This Row],[SP Is Booked]],SnapshotTable[[#This Row],[SP Exp Date]]-MAX(SnapshotTable[[#This Row],[SP Book Date]], SnapshotTable[[#This Row],[SP Fill Date]]),"")</f>
        <v/>
      </c>
      <c r="CD337" s="7" t="str">
        <f>IF(SnapshotTable[[#This Row],[SP Is Booked]], SnapshotTable[[#This Row],[SP Book Price]]/SnapshotTable[[#This Row],[SP Strike Price]], "")</f>
        <v/>
      </c>
      <c r="CE337" s="7" t="str">
        <f>IF(ISNUMBER(SnapshotTable[[#This Row],[SP ROO Term]]),SnapshotTable[[#This Row],[SP ROO Term]]*(365/SnapshotTable[[#This Row],[SP Term]]),"")</f>
        <v/>
      </c>
      <c r="CF337" s="236">
        <f>SnapshotTable[[#This Row],[LP Strike Price]] * SnapshotTable[[#This Row],[LP Qty]] * 100</f>
        <v>0</v>
      </c>
      <c r="CG337" s="31" t="e">
        <f>IF(ISNUMBER(SnapshotTable[[#This Row],[SP Premium]]), (SnapshotTable[[#This Row],[SP Qty]] * SnapshotTable[[#This Row],[SP Strike Price]]* 100) - SnapshotTable[[#This Row],[LP Protection]], 0)</f>
        <v>#VALUE!</v>
      </c>
      <c r="CH337" s="7" t="str">
        <f>IF(ISNUMBER(SnapshotTable[[#This Row],[SP Break Even]]),-1 * (SnapshotTable[[#This Row],[SP Break Even]] - SnapshotTable[[#This Row],[Last Price]]) / SnapshotTable[[#This Row],[Last Price]], "")</f>
        <v/>
      </c>
      <c r="CI337" s="31">
        <f>IF(AND(ISNUMBER((SnapshotTable[[#This Row],[SP Potential Spend]])), SnapshotTable[[#This Row],[SP Strike Price]] &gt; SnapshotTable[[#This Row],[Last Price]], SnapshotTable[[#This Row],[SP Is Filled]]), SnapshotTable[[#This Row],[SP Potential Spend]] -  SnapshotTable[[#This Row],[LP Max Value]], 0)</f>
        <v>0</v>
      </c>
      <c r="CJ337" s="244"/>
      <c r="CK337" s="31" t="str">
        <f>IF(ISNUMBER(SnapshotTable[[#This Row],[SP Potential Spend]]),IF(ISNUMBER(SnapshotTable[[#This Row],[SP POW]]), SnapshotTable[[#This Row],[SP POW]] * SnapshotTable[[#This Row],[SP Potential Spend]], SnapshotTable[[#This Row],[SP Potential Spend]]), "")</f>
        <v/>
      </c>
      <c r="CL337" s="164" t="e">
        <f>IF(NOT(SnapshotTable[[#This Row],[SP Is Filled]]),(SnapshotTable[[#This Row],[SP Qty]] * SnapshotTable[[#This Row],[SP Strike Price]] * 100) - SnapshotTable[[#This Row],[LP Max Value]],"")</f>
        <v>#VALUE!</v>
      </c>
      <c r="CM337" s="31" t="str">
        <f>IF(SnapshotTable[[#This Row],[SP Actual Spend]]&lt;&gt;0, ((SnapshotTable[[#This Row],[SP Strike Price]]-SnapshotTable[[#This Row],[Last Price]]) *(SnapshotTable[[#This Row],[SP Qty]]*100) - SnapshotTable[[#This Row],[SP Premium]]) * - 1, "")</f>
        <v/>
      </c>
      <c r="CN337" s="218"/>
      <c r="CO337" s="369"/>
      <c r="CP337" s="4" t="str">
        <f>IF(SnapshotTable[[#This Row],[SP Is Filled]], btc_max_buyback_amount(SnapshotTable[[#This Row],[SP Fill Date]],SnapshotTable[[#This Row],[SP Exp Date]], SnapshotTable[[#This Row],[SP Book Price]]),"")</f>
        <v/>
      </c>
      <c r="CQ337" s="78"/>
      <c r="CR33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7" s="155" t="str">
        <f>IF(SnapshotTable[[#This Row],[SP Is Filled]], btc_next_cutoff_date(SnapshotTable[[#This Row],[SP Fill Date]],SnapshotTable[[#This Row],[SP Exp Date]]),"")</f>
        <v/>
      </c>
      <c r="CT337" s="235" t="str" cm="1">
        <f t="array" ref="CT337">IF(SnapshotTable[[#This Row],[SP Is Filled]], btc_should_buy_back(SnapshotTable[[#This Row],[SP Fill Date]], SnapshotTable[[#This Row],[SP Exp Date]], SnapshotTable[[#This Row],[SP Book Price]], SnapshotTable[[#This Row],[SP Current Ask]], MockToday, SnapshotTable[[#This Row],[SP Buyback Override]]),"")</f>
        <v/>
      </c>
      <c r="CU337" s="156"/>
      <c r="CV337" s="235"/>
      <c r="CW337" s="378" t="str">
        <f>IF(ISNUMBER( SnapshotTable[[#This Row],[SP Term]]), SnapshotTable[[#This Row],[SP Exp Date]] - MockToday,"")</f>
        <v/>
      </c>
      <c r="CX337" s="31" t="str">
        <f>IF(SnapshotTable[[#This Row],[SP Is Filled]],SnapshotTable[[#This Row],[SP Buyback Price to Use]] * 100 * SnapshotTable[[#This Row],[SP Qty]], "")</f>
        <v/>
      </c>
      <c r="CY337" s="4" t="str">
        <f>IF(ISNUMBER(SnapshotTable[[#This Row],[SP Strike Price]]), SnapshotTable[[#This Row],[SP Strike Price]] * (1 - SP_MaxLoss_StrikePct), "")</f>
        <v/>
      </c>
      <c r="CZ337" s="31" t="str">
        <f>IF(ISNUMBER(SnapshotTable[[#This Row],[SP Strike  Stop Per Share]]),SnapshotTable[[#This Row],[SP Premium]] - ((SnapshotTable[[#This Row],[SP Strike Price]]-SnapshotTable[[#This Row],[SP Strike  Stop Per Share]]) *(SnapshotTable[[#This Row],[SP Qty]] * 100)),"")</f>
        <v/>
      </c>
      <c r="DA337" s="4" t="str">
        <f>IF(AND(ISNUMBER(SnapshotTable[[#This Row],[SP Premium]]),SnapshotTable[[#This Row],[SP Premium]]&gt;0), SnapshotTable[[#This Row],[SP Book Price]] * (1 + SP_MaxLoss_OptionPct), "")</f>
        <v/>
      </c>
      <c r="DB337" s="31" t="str">
        <f>IF(ISNUMBER(SnapshotTable[[#This Row],[SP Option  Stop Contract]]),(SnapshotTable[[#This Row],[SP Option  Stop Contract]] *(SnapshotTable[[#This Row],[SP Qty]] * 100) - SnapshotTable[[#This Row],[SP Premium]]),"")</f>
        <v/>
      </c>
      <c r="DC337" s="4"/>
      <c r="DD337" s="4"/>
      <c r="DE337" s="4" t="str">
        <f>IF(AND(SnapshotTable[[#This Row],[SP Qty]]&gt;0, SnapshotTable[[#This Row],[SP Stop To Use]]&gt;0),SnapshotTable[[#This Row],[SP Premium]] - ( SnapshotTable[[#This Row],[SP Qty]] * SnapshotTable[[#This Row],[SP Stop To Use]] * 100), "")</f>
        <v/>
      </c>
      <c r="DF337" s="31" t="str">
        <f>IF(AND(SnapshotTable[[#This Row],[SP Qty]]&gt;0,SnapshotTable[[#This Row],[SP Current Ask]]&gt;0), SnapshotTable[[#This Row],[SP Qty]] * SnapshotTable[[#This Row],[SP Current Ask]] * -100, "")</f>
        <v/>
      </c>
      <c r="DG337" s="31" t="str">
        <f>IF(ISNUMBER((SnapshotTable[[#This Row],[SP Total Value]])), SnapshotTable[[#This Row],[SP Premium]] + SnapshotTable[[#This Row],[SP Total Value]], "")</f>
        <v/>
      </c>
      <c r="DH337" s="294" t="str">
        <f>IF(ISNUMBER((SnapshotTable[[#This Row],[SP Total Value]])), SnapshotTable[[#This Row],[SP Gain Loss]] / SnapshotTable[[#This Row],[SP Premium]], "")</f>
        <v/>
      </c>
      <c r="DI337" s="406"/>
      <c r="DJ337" s="138"/>
      <c r="DK337" s="148"/>
      <c r="DL337" s="147"/>
      <c r="DM337" s="147"/>
      <c r="DO337" s="31">
        <f>IF(SnapshotTable[[#This Row],[LC Symbol Count]]=1, SnapshotTable[[#This Row],[LC Qty]] * SnapshotTable[[#This Row],[LC Book Price]] * 100, 0)</f>
        <v>0</v>
      </c>
      <c r="DP337" s="163" t="str">
        <f>IF(AND(SnapshotTable[[#This Row],[LC Exp Date]]&gt;0, SnapshotTable[[#This Row],[LC Strike Price]]&gt;0,SnapshotTable[[#This Row],[LC Qty]]&gt;0,SnapshotTable[[#This Row],[LC Book Date]]&gt;0,SnapshotTable[[#This Row],[LC Book Price]]&gt;0,SnapshotTable[[#This Row],[LC Fill Date]]=0),"Y","")</f>
        <v/>
      </c>
      <c r="DQ337" s="386" t="str">
        <f>IF(SnapshotTable[[#This Row],[LC Premium]] &gt; 0,SnapshotTable[[#This Row],[LC Exp Date]]-MAX(SnapshotTable[[#This Row],[LC Book Date]], SnapshotTable[[#This Row],[LC Fill Date]]),"")</f>
        <v/>
      </c>
      <c r="DR337" s="386" t="str">
        <f>IF(ISNUMBER(SnapshotTable[[#This Row],[LC Term]]), SnapshotTable[[#This Row],[LC Exp Date]] - MockToday, "")</f>
        <v/>
      </c>
      <c r="DS337" s="234" t="str">
        <f>IF(SnapshotTable[[#This Row],[LC Premium]]&gt;0,SnapshotTable[[#This Row],[LC Strike Price]] + SnapshotTable[[#This Row],[LC Book Price]],"")</f>
        <v/>
      </c>
      <c r="DU337" s="9" t="str">
        <f>IF(AND(SnapshotTable[[#This Row],[LC Symbol Count]]&gt;0, SnapshotTable[[#This Row],[LC Contract Value]]&gt;0), SnapshotTable[[#This Row],[LC Contract Value]] * SnapshotTable[[#This Row],[LC Qty]] * 100, "")</f>
        <v/>
      </c>
      <c r="DV337" s="9" t="str">
        <f>IF(AND(ISNUMBER(SnapshotTable[[#This Row],[LC Total Value]]), SnapshotTable[[#This Row],[LC Not Filled]]&lt;&gt;"Y"), SnapshotTable[[#This Row],[LC Total Value]]-SnapshotTable[[#This Row],[LC Premium]],"")</f>
        <v/>
      </c>
      <c r="DW337" s="240" t="str">
        <f>IF(ISNUMBER(SnapshotTable[[#This Row],[LC Actual Gain Loss]]), SnapshotTable[[#This Row],[LC Actual Gain Loss]] / SnapshotTable[[#This Row],[LC Premium]],"")</f>
        <v/>
      </c>
      <c r="DX337" s="284" t="str">
        <f>IF(ISNUMBER(SnapshotTable[[#This Row],[LC Book Price]]),SnapshotTable[[#This Row],[LC Book Price]] * 1.5,"")</f>
        <v/>
      </c>
      <c r="DY337" s="265" t="str">
        <f>IF(SnapshotTable[[#This Row],[LC Premium]]&gt;0, SnapshotTable[[#This Row],[LC Next Target]] * SnapshotTable[[#This Row],[LC Qty]] * 100,"")</f>
        <v/>
      </c>
      <c r="DZ337" s="265" t="str">
        <f>IF(ISNUMBER(SnapshotTable[[#This Row],[LC Target Gross]]), SnapshotTable[[#This Row],[LC Target Gross]] - SnapshotTable[[#This Row],[LC Premium]], "")</f>
        <v/>
      </c>
      <c r="EA337" s="305" t="str">
        <f>IF(ISNUMBER(SnapshotTable[[#This Row],[LC Target Gain Loss]]), SnapshotTable[[#This Row],[LC Target Gain Loss]]/SnapshotTable[[#This Row],[LC Premium]], "")</f>
        <v/>
      </c>
      <c r="EB337" s="262"/>
      <c r="EC337" s="283" t="str">
        <f>IF(SnapshotTable[[#This Row],[LC Premium]]&gt;0, SnapshotTable[[#This Row],[LC Book Price]] * (1 - LC_StopLoss_Pct),"")</f>
        <v/>
      </c>
      <c r="ED337" s="284"/>
      <c r="EE337" s="283" t="str">
        <f>IF(ISNUMBER(SnapshotTable[[#This Row],[LC Contract Value]]),IF(ISNUMBER(SnapshotTable[[#This Row],[LC Stop Loss Override]]), SnapshotTable[[#This Row],[LC Stop Loss Override]],SnapshotTable[[#This Row],[LC Stop Loss Calc Target]]),"")</f>
        <v/>
      </c>
      <c r="EF337" s="31" t="str">
        <f>IF(ISNUMBER(SnapshotTable[[#This Row],[LC Stop  To Use]]), (SnapshotTable[[#This Row],[LC Stop  To Use]] * SnapshotTable[[#This Row],[LC Qty]] * 100),"")</f>
        <v/>
      </c>
      <c r="EG337" s="9" t="str">
        <f>IF(ISNUMBER(SnapshotTable[[#This Row],[LC Total Value]]),SnapshotTable[[#This Row],[LC Stop Loss Amount]] - SnapshotTable[[#This Row],[LC Premium]],"")</f>
        <v/>
      </c>
      <c r="EH337" s="9">
        <f>IF(ISNUMBER(SnapshotTable[[#This Row],[LC Premium]]), SnapshotTable[[#This Row],[LC Qty]] * 100 * SnapshotTable[[#This Row],[LC Strike Price]], "")</f>
        <v>0</v>
      </c>
      <c r="EI337" s="240" t="str">
        <f>IF(AND(ISNUMBER(SnapshotTable[[#This Row],[LC Total Value]]),SnapshotTable[[#This Row],[LC Total Value]]&gt;0),SnapshotTable[[#This Row],[LC Stop Gain Loss]]  / SnapshotTable[[#This Row],[LC Premium]],"")</f>
        <v/>
      </c>
      <c r="EJ337" s="35">
        <f>IF(ISNUMBER(SnapshotTable[[#This Row],[Equity Shares]]),TRUNC(SnapshotTable[[#This Row],[Equity Shares]] / 100),0) + SnapshotTable[[#This Row],[LC Qty]]</f>
        <v>0</v>
      </c>
      <c r="EK337" s="147"/>
      <c r="EL337" s="138" t="str">
        <f>IF(SnapshotTable[[#This Row],[SC Exp Date]]&lt;&gt;"",TRUNC(SnapshotTable[[#This Row],[Last Price]]),"")</f>
        <v/>
      </c>
      <c r="EM337" s="148"/>
      <c r="EN337" s="147"/>
      <c r="EO337" s="147"/>
      <c r="EP337" s="138"/>
      <c r="EQ337" s="419" t="b">
        <f>AND(ISNUMBER(SnapshotTable[[#This Row],[SC Exp Date]]), ISNUMBER(SnapshotTable[[#This Row],[SC Strike Price]]), ISNUMBER(SnapshotTable[[#This Row],[SC Qty]]), ISNUMBER(SnapshotTable[[#This Row],[SC Book Date]]), ISNUMBER(SnapshotTable[[#This Row],[SC Book Price]]))</f>
        <v>0</v>
      </c>
      <c r="ER337" s="419" t="b">
        <f>AND(SnapshotTable[[#This Row],[SC Is Booked]], NOT(ISBLANK(SnapshotTable[[#This Row],[SC Fill Date]])))</f>
        <v>0</v>
      </c>
      <c r="ES337" s="370"/>
      <c r="ET337" s="34" t="str">
        <f>IF(AND(ISNUMBER(SnapshotTable[[#This Row],[SC Exp Date]]), ISNUMBER(SnapshotTable[[#This Row],[SC Book Date]])), SnapshotTable[[#This Row],[SC Exp Date]] - MAX(SnapshotTable[[#This Row],[SC Book Date]], SnapshotTable[[#This Row],[SC Fill Date]]) + 1, "")</f>
        <v/>
      </c>
      <c r="EU337" s="34" t="str">
        <f>IF(ISNUMBER(SnapshotTable[[#This Row],[SC Term]]), SnapshotTable[[#This Row],[SC Exp Date]]- MockToday, "")</f>
        <v/>
      </c>
      <c r="EV337" s="31">
        <f>IF(SnapshotTable[[#This Row],[SC Is Booked]], SnapshotTable[[#This Row],[SC Qty]] * SnapshotTable[[#This Row],[SC Book Price]] * 100, 0)</f>
        <v>0</v>
      </c>
      <c r="EW337" s="4" t="str">
        <f>IF(AND(ISNUMBER(SnapshotTable[[#This Row],[Last Price]]), ISNUMBER( SnapshotTable[[#This Row],[SC Book Price]])), SnapshotTable[[#This Row],[Last Price]] - SnapshotTable[[#This Row],[SC Book Price]],"")</f>
        <v/>
      </c>
      <c r="EX337" s="234" t="str">
        <f>IF(SnapshotTable[[#This Row],[SC Is Booked]],IF(SnapshotTable[[#This Row],[SC Intrinsic Value]] &gt; 0, SnapshotTable[[#This Row],[SC Strike Price]], SnapshotTable[[#This Row],[Last Price]]), "")</f>
        <v/>
      </c>
      <c r="EY337" s="4">
        <f>IF(SnapshotTable[[#This Row],[SC Is Booked]], (MinimumPremiumRequired * SnapshotTable[[#This Row],[SC Basis]] * SnapshotTable[[#This Row],[SC Term]]), 0)</f>
        <v>0</v>
      </c>
      <c r="EZ337" s="283"/>
      <c r="FA337" s="218"/>
      <c r="FB337" s="370"/>
      <c r="FC337" s="4">
        <f>IF(SnapshotTable[[#This Row],[SC Is Filled]], btc_max_buyback_amount(SnapshotTable[[#This Row],[SC Fill Date]],SnapshotTable[[#This Row],[SC Exp Date]], SnapshotTable[[#This Row],[SC Book Price]]),0)</f>
        <v>0</v>
      </c>
      <c r="FD337" s="5"/>
      <c r="FE337" s="144" t="str">
        <f>IF(SnapshotTable[[#This Row],[SC Is Filled]], btc_next_cutoff_date(SnapshotTable[[#This Row],[SC Fill Date]],SnapshotTable[[#This Row],[SC Exp Date]]),"")</f>
        <v/>
      </c>
      <c r="FF337" s="4" t="str" cm="1">
        <f t="array" ref="FF337">IF(SnapshotTable[[#This Row],[SC Is Filled]], btc_should_buy_back(SnapshotTable[[#This Row],[SC Fill Date]], SnapshotTable[[#This Row],[SC Exp Date]], SnapshotTable[[#This Row],[SC Book Price]], SnapshotTable[[#This Row],[SC Current Ask]], MockToday, SnapshotTable[[#This Row],[SC Buyback Override]]),"")</f>
        <v/>
      </c>
      <c r="FG337" s="4">
        <f>IF(SnapshotTable[[#This Row],[SC Is Filled]], MAX(0,SnapshotTable[[#This Row],[Last Price]]  - SnapshotTable[[#This Row],[SC Strike Price]]), 0)</f>
        <v>0</v>
      </c>
      <c r="FH337" s="382">
        <f>IF(SnapshotTable[[#This Row],[SC Is Filled]], IF(ISNUMBER(SnapshotTable[[#This Row],[SC Current Ask]]), SnapshotTable[[#This Row],[SC Current Ask]], SnapshotTable[[#This Row],[SC Book Price]]) - SnapshotTable[[#This Row],[SC Intrinsic Value]], 0)</f>
        <v>0</v>
      </c>
      <c r="FI337" s="143"/>
      <c r="FJ337" s="32" t="str">
        <f>IF(SnapshotTable[[#This Row],[SC Is Filled]],100 * SnapshotTable[[#This Row],[SC Qty]] * IF(ISNUMBER(SnapshotTable[[#This Row],[SC Buyback Override]]), SnapshotTable[[#This Row],[SC Buyback Override]], SnapshotTable[[#This Row],[SC Current Ask]]), "")</f>
        <v/>
      </c>
      <c r="FK337" s="250" t="str">
        <f>IF(SnapshotTable[[#This Row],[SC Time Val]]&gt;0, SnapshotTable[[#This Row],[SC Time Val]] / SnapshotTable[[#This Row],[Last Price]],"")</f>
        <v/>
      </c>
      <c r="FL337" s="302" t="str">
        <f>IF(SnapshotTable[[#This Row],[SC Is Booked]], ((SnapshotTable[[#This Row],[Last Price]] -SnapshotTable[[#This Row],[SC Strike Price]]) / SnapshotTable[[#This Row],[Last Price]]) * -1, "")</f>
        <v/>
      </c>
      <c r="FM337" s="157" t="str">
        <f>IF(SnapshotTable[[#This Row],[SC Is Booked]],  (SnapshotTable[[#This Row],[SC Qty]] * 100 * SnapshotTable[[#This Row],[SC Strike Price]]) - SnapshotTable[[#This Row],[SC Current Ask]], "")</f>
        <v/>
      </c>
      <c r="FN337"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7" s="157" t="str">
        <f>IF(AND(ISNUMBER(SnapshotTable[[#This Row],[SC Exercise Gross]]), ISNUMBER(SnapshotTable[[#This Row],[Equity Basis Per Share]] )), SnapshotTable[[#This Row],[SC Exercise Gross]] - SnapshotTable[[#This Row],[Equity Basis Total]] +  SnapshotTable[[#This Row],[SC Premium]], "")</f>
        <v/>
      </c>
      <c r="FP337" s="5" t="str">
        <f>IF(ISNUMBER(SnapshotTable[[#This Row],[SC Exercise Gross]]), (SnapshotTable[[#This Row],[SC Exercise Gross]]) / (SnapshotTable[[#This Row],[SC Qty]] * 100), "")</f>
        <v/>
      </c>
      <c r="FQ337" s="27" t="str">
        <f>IF(SnapshotTable[[#This Row],[SC Is Booked]],SnapshotTable[[#This Row],[SC Time Val]] /SnapshotTable[[#This Row],[SC Basis]], "")</f>
        <v/>
      </c>
      <c r="FR337" s="27" t="str" cm="1">
        <f t="array" ref="FR337">IF(AND(ISNUMBER(SnapshotTable[[#This Row],[SC Term]]),ISNUMBER(SnapshotTable[[#This Row],[SC Simple ROO]])), EllmanAnnualize(SnapshotTable[[#This Row],[SC DTE]], SnapshotTable[[#This Row],[SC Simple ROO]] ),"")</f>
        <v/>
      </c>
      <c r="FS337" s="4" t="e">
        <f>IF(SnapshotTable[[#This Row],[SC Strike Price]] &gt; SnapshotTable[[#This Row],[Last Price]], SnapshotTable[[#This Row],[SC Strike Price]] - SnapshotTable[[#This Row],[Last Price]],0)</f>
        <v>#VALUE!</v>
      </c>
      <c r="FT337" s="27" t="e">
        <f>IF(AND(ISNUMBER(SnapshotTable[[#This Row],[SC Upside Potential]]), SnapshotTable[[#This Row],[SC Upside Potential]] &gt; 0),(SnapshotTable[[#This Row],[SC Upside Potential]]/ SnapshotTable[[#This Row],[ACB]]),"")</f>
        <v>#VALUE!</v>
      </c>
      <c r="FU337" s="333" t="str">
        <f>IF(SnapshotTable[[#This Row],[SC Intrinsic Value]] &gt; 0,SnapshotTable[[#This Row],[SC Intrinsic Value]],"")</f>
        <v/>
      </c>
      <c r="FV337" s="27" t="str">
        <f>IF(AND( ISNUMBER( SnapshotTable[[#This Row],[ACB]]),ISNUMBER(SnapshotTable[[#This Row],[SC Downside Protect]])),SnapshotTable[[#This Row],[SC Downside Protect]] / SnapshotTable[[#This Row],[ACB]],"")</f>
        <v/>
      </c>
      <c r="FW337" s="236" t="str">
        <f>IF(AND(ISNUMBER(SnapshotTable[[#This Row],[SC Simple ROO]]),SnapshotTable[[#This Row],[SC Simple ROO]] &gt; 0), SnapshotTable[[#This Row],[SC Premium]] + (SnapshotTable[[#This Row],[SC Qty]] * SnapshotTable[[#This Row],[SC Upside Potential]]), "")</f>
        <v/>
      </c>
      <c r="FX337" s="302" t="str" cm="1">
        <f t="array" ref="FX337">IF(ISNUMBER(SnapshotTable[[#This Row],[SC Max Dollars]]), annualize(SnapshotTable[[#This Row],[SC Term]],(SnapshotTable[[#This Row],[SC Max Dollars]]/SnapshotTable[[#This Row],[SC Basis]])),"")</f>
        <v/>
      </c>
      <c r="FY337" s="236" t="str">
        <f>IF(AND(SnapshotTable[[#This Row],[SC Qty]]&gt;0,SnapshotTable[[#This Row],[SC Current Ask]]&gt;0), SnapshotTable[[#This Row],[SC Qty]] * SnapshotTable[[#This Row],[SC Current Ask]] * -100, "")</f>
        <v/>
      </c>
      <c r="FZ337" s="31" t="str">
        <f>IF(ISNUMBER((SnapshotTable[[#This Row],[SC Current Value]])), SnapshotTable[[#This Row],[SC Premium]] + SnapshotTable[[#This Row],[SC Current Value]], "")</f>
        <v/>
      </c>
      <c r="GA337" s="294" t="str">
        <f>IFERROR( IF(ISNUMBER((SnapshotTable[[#This Row],[SC Current Value]])), SnapshotTable[[#This Row],[SC Gain Loss]] / SnapshotTable[[#This Row],[SC Premium]], ""), "")</f>
        <v/>
      </c>
      <c r="GB337" s="42">
        <f>SnapshotTable[[#This Row],[Equity Shares]] * SaleSharesToConsiderPercentage</f>
        <v>0</v>
      </c>
      <c r="GC337" s="40">
        <f>SnapshotTable[[#This Row],[Long Term Target]] * SellingPriceToConsiderBasedOnTargetPercentage</f>
        <v>24.491</v>
      </c>
      <c r="GD337" s="40">
        <f>SnapshotTable[[#This Row],[Last Price]] * (1+ SellingPriceToConsiderBasedOnTargetPercentage)</f>
        <v>21.508499999999998</v>
      </c>
      <c r="GE337" s="41"/>
      <c r="GF337" s="40"/>
      <c r="GG337" s="31">
        <f>SnapshotTable[[#This Row],[Booked Sale Shares]] * SnapshotTable[[#This Row],[Booked Sale Price]]</f>
        <v>0</v>
      </c>
      <c r="GH337" s="31" t="str">
        <f>IF(SnapshotTable[[#This Row],[Equity Basis Total]] &gt; 0, SnapshotTable[[#This Row],[Equity Basis Per Share]] * SnapshotTable[[#This Row],[Booked Sale Shares]], "")</f>
        <v/>
      </c>
      <c r="GI337" s="31">
        <f>IF(SnapshotTable[[#This Row],[Sale Proceeds]]&gt;0, SnapshotTable[[#This Row],[Sale Proceeds]] - SnapshotTable[[#This Row],[Sale Basis]], 0)</f>
        <v>0</v>
      </c>
      <c r="GJ337" s="158" t="str">
        <f>IF(SnapshotTable[[#This Row],[Sale G/L]]&gt;0, SnapshotTable[[#This Row],[Sale G/L]] / SnapshotTable[[#This Row],[Sale Basis]], IF(ISNUMBER(SnapshotTable[[#This Row],[SC Exercise P&amp;L (TAX)]]), SnapshotTable[[#This Row],[SC Exercise P&amp;L (TAX)]] / SnapshotTable[[#This Row],[SC Basis]], ""))</f>
        <v/>
      </c>
      <c r="GK337" s="158"/>
      <c r="GL337" s="159" t="str">
        <f>IF(AND(SnapshotTable[[#This Row],[LP Exp Date]]&gt;0,SnapshotTable[[#This Row],[LP Strike Price]]&gt;0), [1]!ToOptionSymbol(SnapshotTable[[#This Row],[Symbol]], SnapshotTable[[#This Row],[LP Strike Price]],SnapshotTable[[#This Row],[LP Exp Date]],1), "")</f>
        <v/>
      </c>
      <c r="GM337" s="30" t="str">
        <f>IF(LEN(SnapshotTable[[#This Row],[LP Symbol]])&gt;0, 1, "")</f>
        <v/>
      </c>
      <c r="GN337" s="43" t="str">
        <f>IF(AND(SnapshotTable[[#This Row],[SP Exp Date]]&gt;0,SnapshotTable[[#This Row],[SP Strike Price]]&gt;0), [1]!ToOptionSymbol(SnapshotTable[[#This Row],[Symbol]], SnapshotTable[[#This Row],[SP Strike Price]],SnapshotTable[[#This Row],[SP Exp Date]],1), "")</f>
        <v/>
      </c>
      <c r="GO337" s="30" t="str">
        <f>IF(LEN(SnapshotTable[[#This Row],[SP Symbol]])&gt;0, 1, "")</f>
        <v/>
      </c>
      <c r="GP337" s="159" t="str">
        <f>IF(AND(SnapshotTable[[#This Row],[LC Exp Date]]&gt;0,SnapshotTable[[#This Row],[LC Strike Price]]&gt;0), [1]!ToOptionSymbol(SnapshotTable[[#This Row],[Symbol]], SnapshotTable[[#This Row],[LC Strike Price]],SnapshotTable[[#This Row],[LC Exp Date]],0), "")</f>
        <v/>
      </c>
      <c r="GQ337" s="160" t="str">
        <f>IF(LEN(SnapshotTable[[#This Row],[LC Symbol]])&gt;0, 1, "")</f>
        <v/>
      </c>
      <c r="GR337" s="159" t="str">
        <f>IF(AND(SnapshotTable[[#This Row],[SC Exp Date]]&gt;0,SnapshotTable[[#This Row],[SC Strike Price]]&gt;0), [1]!ToOptionSymbol(SnapshotTable[[#This Row],[Symbol]], SnapshotTable[[#This Row],[SC Strike Price]],SnapshotTable[[#This Row],[SC Exp Date]],0), "")</f>
        <v/>
      </c>
      <c r="GS337" s="160" t="str">
        <f>IF(LEN(SnapshotTable[[#This Row],[SC Symbol]])&gt;0, 1, "")</f>
        <v/>
      </c>
      <c r="GT337" s="161" t="str">
        <f>IF(COUNT(SnapshotTable[[#This Row],[LP Symbol Count]],SnapshotTable[[#This Row],[SP Symbol Count]],SnapshotTable[[#This Row],[LC Symbol Count]],SnapshotTable[[#This Row],[SC Symbol Count]])&gt;0, "Y", "")</f>
        <v/>
      </c>
      <c r="GU33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7" s="231" t="e">
        <f>MAX(SnapshotTable[[#This Row],[Equity Basis Total]],SnapshotTable[[#This Row],[Equity Value]]) + (SnapshotTable[[#This Row],[SP Potential Spend]]- SnapshotTable[[#This Row],[SP Premium]] + SnapshotTable[[#This Row],[LP Premium]])+ (SnapshotTable[[#This Row],[LC Premium]] - SnapshotTable[[#This Row],[SC Premium]])</f>
        <v>#VALUE!</v>
      </c>
      <c r="GW337" s="139" t="e">
        <f>IF(AND(SnapshotTable[[#This Row],[Exposure]] &lt;&gt; 0),SnapshotTable[[#This Row],[Exposure]] / SnapshotTable[[#Totals],[Exposure]], "")</f>
        <v>#VALUE!</v>
      </c>
      <c r="HK337" s="1"/>
      <c r="HL337" s="1"/>
      <c r="HM337" s="1"/>
      <c r="HN337" s="1"/>
      <c r="HO337" s="1"/>
      <c r="HP337" s="1"/>
    </row>
    <row r="338" spans="2:224" ht="12.75" hidden="1" customHeight="1" x14ac:dyDescent="0.25">
      <c r="B338" s="12" t="s">
        <v>574</v>
      </c>
      <c r="C338" s="422">
        <v>42.73</v>
      </c>
      <c r="D338" s="208"/>
      <c r="E338" s="39">
        <f>SnapshotTable[[#This Row],[Last Price]]*(1 -CrashDiscount)</f>
        <v>36.320499999999996</v>
      </c>
      <c r="F338" s="26" t="s">
        <v>105</v>
      </c>
      <c r="G338" s="26" t="s">
        <v>14</v>
      </c>
      <c r="H338" s="149"/>
      <c r="I338" s="194">
        <v>44769.802083333336</v>
      </c>
      <c r="J338" s="195">
        <v>44769.802083333336</v>
      </c>
      <c r="K338" s="196"/>
      <c r="L338" s="326"/>
      <c r="M338" s="140"/>
      <c r="N338" s="140"/>
      <c r="O338" s="140"/>
      <c r="P338" s="22"/>
      <c r="Q338" s="25"/>
      <c r="R338" s="4" t="str">
        <f>IF(SnapshotTable[[#This Row],[Equity Basis Total]] &gt; 0, SnapshotTable[[#This Row],[Equity Basis Total]] / SnapshotTable[[#This Row],[Equity Shares]], "")</f>
        <v/>
      </c>
      <c r="S338" s="269">
        <f>SnapshotTable[[#This Row],[Last Price]] * SnapshotTable[[#This Row],[Equity Shares]]</f>
        <v>0</v>
      </c>
      <c r="T338" s="269">
        <f>SnapshotTable[[#This Row],[Equity Value]] - SnapshotTable[[#This Row],[Equity Basis Total]]</f>
        <v>0</v>
      </c>
      <c r="U338" s="270" t="str">
        <f>IF(SnapshotTable[[#This Row],[Equity Basis Total]] &gt; 0, SnapshotTable[[#This Row],[Equity G/L]] / SnapshotTable[[#This Row],[Equity Basis Total]], "")</f>
        <v/>
      </c>
      <c r="V338" s="268"/>
      <c r="W338" s="268"/>
      <c r="X338" s="4" t="str">
        <f>IF(AND(ISNUMBER(SnapshotTable[[#This Row],[Equity Basis Per Share]]),ISNUMBER(SnapshotTable[[#This Row],[Equity Target]])),SnapshotTable[[#This Row],[Equity Target]]-SnapshotTable[[#This Row],[Equity Basis Per Share]],"")</f>
        <v/>
      </c>
      <c r="Y338" s="4" t="str">
        <f>IF(AND(ISNUMBER(SnapshotTable[[#This Row],[Equity Basis Per Share]]),ISNUMBER(SnapshotTable[[#This Row],[Equity Stop Loss]])),SnapshotTable[[#This Row],[Equity Stop Loss]]-SnapshotTable[[#This Row],[Equity Basis Per Share]],"")</f>
        <v/>
      </c>
      <c r="Z338" s="275" t="str">
        <f>IFERROR( TEXT(SnapshotTable[[#This Row],[Equity Max Gain Per Share]] /ABS( SnapshotTable[[#This Row],[Equity Max Loss Per Share]]),"0.0 " ) &amp; " : 1", "")</f>
        <v/>
      </c>
      <c r="AA338" s="31" t="str">
        <f>IF(ISNUMBER(SnapshotTable[[#This Row],[Equity Max Gain Per Share]]),SnapshotTable[[#This Row],[Equity Max Gain Per Share]] * SnapshotTable[[#This Row],[Equity Shares]],"")</f>
        <v/>
      </c>
      <c r="AB338" s="31" t="str">
        <f>IF(ISNUMBER(SnapshotTable[[#This Row],[Equity Max Loss Per Share]]),SnapshotTable[[#This Row],[Equity Max Loss Per Share]] * SnapshotTable[[#This Row],[Equity Shares]],"")</f>
        <v/>
      </c>
      <c r="AC338" s="150">
        <v>0.8</v>
      </c>
      <c r="AD338" s="151">
        <v>43831</v>
      </c>
      <c r="AE338" s="31">
        <f>(SnapshotTable[[#This Row],[Annual Dividend Per Share]] / 4) * SnapshotTable[[#This Row],[Equity Shares]]</f>
        <v>0</v>
      </c>
      <c r="AF338" s="31">
        <f>SnapshotTable[[#This Row],[Quarterly Div $]] * 4</f>
        <v>0</v>
      </c>
      <c r="AG338" s="7">
        <f>IF(SnapshotTable[[#This Row],[Annual Dividend Per Share]]&gt;0, SnapshotTable[[#This Row],[Annual Dividend Per Share]]  / SnapshotTable[[#This Row],[Last Price]], 0)</f>
        <v>1.8722209220688044E-2</v>
      </c>
      <c r="AH338" s="151">
        <v>43812</v>
      </c>
      <c r="AI338" s="5">
        <v>40</v>
      </c>
      <c r="AJ338" s="138">
        <v>27.81</v>
      </c>
      <c r="AK338" s="152">
        <f>IF(ISNUMBER( SnapshotTable[[#This Row],[EBF Target]]),(SnapshotTable[[#This Row],[EBF Target]] - SnapshotTable[[#This Row],[Last Price]]) / SnapshotTable[[#This Row],[Last Price]], "")</f>
        <v>-6.3889538965597875E-2</v>
      </c>
      <c r="AL338" s="152" t="str">
        <f>IF(AND(SnapshotTable[[#This Row],[Equity Basis Total]] &gt; 0,ISNUMBER( SnapshotTable[[#This Row],[Long Term Target]])), SnapshotTable[[#This Row],[From Basis $]] / SnapshotTable[[#This Row],[Equity Basis Total]], "")</f>
        <v/>
      </c>
      <c r="AM338" s="9">
        <f>IF( AND(SnapshotTable[[#This Row],[Equity Shares]] &gt;0,ISNUMBER( SnapshotTable[[#This Row],[Long Term Target]])),(SnapshotTable[[#This Row],[Equity Shares]] * SnapshotTable[[#This Row],[Long Term Target]]) - SnapshotTable[[#This Row],[Equity Basis Total]],0)</f>
        <v>0</v>
      </c>
      <c r="AN338" s="9">
        <f>IF( AND(SnapshotTable[[#This Row],[Equity Shares]] &gt;0,ISNUMBER( SnapshotTable[[#This Row],[Long Term Target]])),(SnapshotTable[[#This Row],[Equity Shares]]*SnapshotTable[[#This Row],[Long Term Target]]) - SnapshotTable[[#This Row],[Equity Value]],0)</f>
        <v>0</v>
      </c>
      <c r="AO338" s="152">
        <f>IF(AND(ISNUMBER( SnapshotTable[[#This Row],[Long Term Target]]), ISNUMBER(SnapshotTable[[#This Row],[Last Price]])),(SnapshotTable[[#This Row],[Long Term Target]] - SnapshotTable[[#This Row],[Last Price]]) / SnapshotTable[[#This Row],[Last Price]], "")</f>
        <v>-0.34916920196583195</v>
      </c>
      <c r="AP338" s="5">
        <v>30</v>
      </c>
      <c r="AQ338" s="38" t="s">
        <v>46</v>
      </c>
      <c r="AR338" s="5"/>
      <c r="AS338" s="38"/>
      <c r="AT338" s="146" t="s">
        <v>575</v>
      </c>
      <c r="AU338" s="187" t="str">
        <f>IF(OR(SnapshotTable[[#This Row],[LP No Fill]]="Y",SnapshotTable[[#This Row],[SP Is Filled]],SnapshotTable[[#This Row],[LC Not Filled]]="Y",SnapshotTable[[#This Row],[SC Is Filled]]),"Y","")</f>
        <v/>
      </c>
      <c r="AV338" s="219"/>
      <c r="AW338" s="225"/>
      <c r="AX338" s="220"/>
      <c r="AY338" s="219" t="str">
        <f>IF(SnapshotTable[[#This Row],[Implied Move]]&gt;0, SnapshotTable[[#This Row],[Last Price]]-SnapshotTable[[#This Row],[Implied Move]],"")</f>
        <v/>
      </c>
      <c r="AZ338" s="219" t="str">
        <f>IF(SnapshotTable[[#This Row],[Implied Move]]&gt;0, SnapshotTable[[#This Row],[Last Price]] + SnapshotTable[[#This Row],[Implied Move]],"")</f>
        <v/>
      </c>
      <c r="BA338" s="331"/>
      <c r="BB338" s="347"/>
      <c r="BC33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8" s="351"/>
      <c r="BE338" s="5"/>
      <c r="BF338" s="14"/>
      <c r="BG338" s="13"/>
      <c r="BH338" s="13"/>
      <c r="BI338" s="5"/>
      <c r="BJ338" s="136">
        <f>IF(SnapshotTable[[#This Row],[LP Qty]] &gt; 0, SnapshotTable[[#This Row],[LP Qty]] * SnapshotTable[[#This Row],[LP Book Price]] * 100,0)</f>
        <v>0</v>
      </c>
      <c r="BK338" s="136">
        <f>IF(SnapshotTable[[#This Row],[LP Premium]] &gt; 0, SnapshotTable[[#This Row],[LP Qty]] * SnapshotTable[[#This Row],[LP Strike Price]] * 100,0)</f>
        <v>0</v>
      </c>
      <c r="BL338" s="154"/>
      <c r="BM338" s="385" t="str">
        <f>IF(SnapshotTable[[#This Row],[LP Premium]] &gt; 0,SnapshotTable[[#This Row],[LP Exp Date]]-MAX(SnapshotTable[[#This Row],[LP Book Date]], SnapshotTable[[#This Row],[LP Fill Date]]),"")</f>
        <v/>
      </c>
      <c r="BN338" s="385" t="str">
        <f>IF(ISNUMBER( SnapshotTable[[#This Row],[LP Term]]), SnapshotTable[[#This Row],[LP Exp Date]] - MockToday,"")</f>
        <v/>
      </c>
      <c r="BO338" s="163" t="str">
        <f>IF(AND(SnapshotTable[[#This Row],[LP Exp Date]]&gt;0, SnapshotTable[[#This Row],[LP Strike Price]]&gt;0,SnapshotTable[[#This Row],[LP Qty]]&gt;0,SnapshotTable[[#This Row],[LP Book Date]]&gt;0,SnapshotTable[[#This Row],[LP Book Price]]&gt;0,SnapshotTable[[#This Row],[LP Fill Date]]=0),"Y","")</f>
        <v/>
      </c>
      <c r="BP338" s="31" t="str">
        <f>IF(AND(SnapshotTable[[#This Row],[LP No Fill]]&lt;&gt;"Y",SnapshotTable[[#This Row],[LP Contract Value]]&gt;0, SnapshotTable[[#This Row],[LP Qty]]&gt;0), SnapshotTable[[#This Row],[LP Contract Value]]*SnapshotTable[[#This Row],[LP Qty]]*100,"")</f>
        <v/>
      </c>
      <c r="BQ338" s="13"/>
      <c r="BR338" s="5" t="str">
        <f>IF(SnapshotTable[[#This Row],[SP Exp Date]]&lt;&gt;"",TRUNC(SnapshotTable[[#This Row],[Last Price]]),"")</f>
        <v/>
      </c>
      <c r="BS338" s="36"/>
      <c r="BT338" s="147"/>
      <c r="BU338" s="13"/>
      <c r="BV338" s="5"/>
      <c r="BW338" s="419" t="b">
        <f>AND(ISNUMBER(SnapshotTable[[#This Row],[SP Exp Date]]), ISNUMBER(SnapshotTable[[#This Row],[SP Strike Price]]), ISNUMBER(SnapshotTable[[#This Row],[SP Qty]]), ISNUMBER(SnapshotTable[[#This Row],[SP Book Date]]), ISNUMBER(SnapshotTable[[#This Row],[SP Book Price]]))</f>
        <v>0</v>
      </c>
      <c r="BX338" s="419" t="b">
        <f>AND(SnapshotTable[[#This Row],[SP Is Booked]], NOT(ISBLANK(SnapshotTable[[#This Row],[SP Fill Date]])))</f>
        <v>0</v>
      </c>
      <c r="BY338" s="33">
        <f>IF(SnapshotTable[[#This Row],[SP Is Booked]], SnapshotTable[[#This Row],[SP Qty]] * SnapshotTable[[#This Row],[SP Book Price]] * 100, 0)</f>
        <v>0</v>
      </c>
      <c r="BZ338" s="369"/>
      <c r="CA338" s="368">
        <f>SnapshotTable[[#This Row],[LP Qty]]</f>
        <v>0</v>
      </c>
      <c r="CB338" s="4" t="str">
        <f>IF(SnapshotTable[[#This Row],[SP Is Booked]], SnapshotTable[[#This Row],[SP Strike Price]] - SnapshotTable[[#This Row],[SP Book Price]], "")</f>
        <v/>
      </c>
      <c r="CC338" s="19" t="str">
        <f>IF(SnapshotTable[[#This Row],[SP Is Booked]],SnapshotTable[[#This Row],[SP Exp Date]]-MAX(SnapshotTable[[#This Row],[SP Book Date]], SnapshotTable[[#This Row],[SP Fill Date]]),"")</f>
        <v/>
      </c>
      <c r="CD338" s="7" t="str">
        <f>IF(SnapshotTable[[#This Row],[SP Is Booked]], SnapshotTable[[#This Row],[SP Book Price]]/SnapshotTable[[#This Row],[SP Strike Price]], "")</f>
        <v/>
      </c>
      <c r="CE338" s="7" t="str">
        <f>IF(ISNUMBER(SnapshotTable[[#This Row],[SP ROO Term]]),SnapshotTable[[#This Row],[SP ROO Term]]*(365/SnapshotTable[[#This Row],[SP Term]]),"")</f>
        <v/>
      </c>
      <c r="CF338" s="236">
        <f>SnapshotTable[[#This Row],[LP Strike Price]] * SnapshotTable[[#This Row],[LP Qty]] * 100</f>
        <v>0</v>
      </c>
      <c r="CG338" s="31" t="e">
        <f>IF(ISNUMBER(SnapshotTable[[#This Row],[SP Premium]]), (SnapshotTable[[#This Row],[SP Qty]] * SnapshotTable[[#This Row],[SP Strike Price]]* 100) - SnapshotTable[[#This Row],[LP Protection]], 0)</f>
        <v>#VALUE!</v>
      </c>
      <c r="CH338" s="7" t="str">
        <f>IF(ISNUMBER(SnapshotTable[[#This Row],[SP Break Even]]),-1 * (SnapshotTable[[#This Row],[SP Break Even]] - SnapshotTable[[#This Row],[Last Price]]) / SnapshotTable[[#This Row],[Last Price]], "")</f>
        <v/>
      </c>
      <c r="CI338" s="31">
        <f>IF(AND(ISNUMBER((SnapshotTable[[#This Row],[SP Potential Spend]])), SnapshotTable[[#This Row],[SP Strike Price]] &gt; SnapshotTable[[#This Row],[Last Price]], SnapshotTable[[#This Row],[SP Is Filled]]), SnapshotTable[[#This Row],[SP Potential Spend]] -  SnapshotTable[[#This Row],[LP Max Value]], 0)</f>
        <v>0</v>
      </c>
      <c r="CJ338" s="244"/>
      <c r="CK338" s="31" t="str">
        <f>IF(ISNUMBER(SnapshotTable[[#This Row],[SP Potential Spend]]),IF(ISNUMBER(SnapshotTable[[#This Row],[SP POW]]), SnapshotTable[[#This Row],[SP POW]] * SnapshotTable[[#This Row],[SP Potential Spend]], SnapshotTable[[#This Row],[SP Potential Spend]]), "")</f>
        <v/>
      </c>
      <c r="CL338" s="164" t="e">
        <f>IF(NOT(SnapshotTable[[#This Row],[SP Is Filled]]),(SnapshotTable[[#This Row],[SP Qty]] * SnapshotTable[[#This Row],[SP Strike Price]] * 100) - SnapshotTable[[#This Row],[LP Max Value]],"")</f>
        <v>#VALUE!</v>
      </c>
      <c r="CM338" s="31" t="str">
        <f>IF(SnapshotTable[[#This Row],[SP Actual Spend]]&lt;&gt;0, ((SnapshotTable[[#This Row],[SP Strike Price]]-SnapshotTable[[#This Row],[Last Price]]) *(SnapshotTable[[#This Row],[SP Qty]]*100) - SnapshotTable[[#This Row],[SP Premium]]) * - 1, "")</f>
        <v/>
      </c>
      <c r="CN338" s="78"/>
      <c r="CO338" s="369"/>
      <c r="CP338" s="4" t="str">
        <f>IF(SnapshotTable[[#This Row],[SP Is Filled]], btc_max_buyback_amount(SnapshotTable[[#This Row],[SP Fill Date]],SnapshotTable[[#This Row],[SP Exp Date]], SnapshotTable[[#This Row],[SP Book Price]]),"")</f>
        <v/>
      </c>
      <c r="CQ338" s="78"/>
      <c r="CR33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8" s="155" t="str">
        <f>IF(SnapshotTable[[#This Row],[SP Is Filled]], btc_next_cutoff_date(SnapshotTable[[#This Row],[SP Fill Date]],SnapshotTable[[#This Row],[SP Exp Date]]),"")</f>
        <v/>
      </c>
      <c r="CT338" s="235" t="str" cm="1">
        <f t="array" ref="CT338">IF(SnapshotTable[[#This Row],[SP Is Filled]], btc_should_buy_back(SnapshotTable[[#This Row],[SP Fill Date]], SnapshotTable[[#This Row],[SP Exp Date]], SnapshotTable[[#This Row],[SP Book Price]], SnapshotTable[[#This Row],[SP Current Ask]], MockToday, SnapshotTable[[#This Row],[SP Buyback Override]]),"")</f>
        <v/>
      </c>
      <c r="CU338" s="143"/>
      <c r="CV338" s="235"/>
      <c r="CW338" s="378" t="str">
        <f>IF(ISNUMBER( SnapshotTable[[#This Row],[SP Term]]), SnapshotTable[[#This Row],[SP Exp Date]] - MockToday,"")</f>
        <v/>
      </c>
      <c r="CX338" s="31" t="str">
        <f>IF(SnapshotTable[[#This Row],[SP Is Filled]],SnapshotTable[[#This Row],[SP Buyback Price to Use]] * 100 * SnapshotTable[[#This Row],[SP Qty]], "")</f>
        <v/>
      </c>
      <c r="CY338" s="4" t="str">
        <f>IF(ISNUMBER(SnapshotTable[[#This Row],[SP Strike Price]]), SnapshotTable[[#This Row],[SP Strike Price]] * (1 - SP_MaxLoss_StrikePct), "")</f>
        <v/>
      </c>
      <c r="CZ338" s="31" t="str">
        <f>IF(ISNUMBER(SnapshotTable[[#This Row],[SP Strike  Stop Per Share]]),SnapshotTable[[#This Row],[SP Premium]] - ((SnapshotTable[[#This Row],[SP Strike Price]]-SnapshotTable[[#This Row],[SP Strike  Stop Per Share]]) *(SnapshotTable[[#This Row],[SP Qty]] * 100)),"")</f>
        <v/>
      </c>
      <c r="DA338" s="4" t="str">
        <f>IF(AND(ISNUMBER(SnapshotTable[[#This Row],[SP Premium]]),SnapshotTable[[#This Row],[SP Premium]]&gt;0), SnapshotTable[[#This Row],[SP Book Price]] * (1 + SP_MaxLoss_OptionPct), "")</f>
        <v/>
      </c>
      <c r="DB338" s="31" t="str">
        <f>IF(ISNUMBER(SnapshotTable[[#This Row],[SP Option  Stop Contract]]),(SnapshotTable[[#This Row],[SP Option  Stop Contract]] *(SnapshotTable[[#This Row],[SP Qty]] * 100) - SnapshotTable[[#This Row],[SP Premium]]),"")</f>
        <v/>
      </c>
      <c r="DC338" s="4"/>
      <c r="DD338" s="4"/>
      <c r="DE338" s="4" t="str">
        <f>IF(AND(SnapshotTable[[#This Row],[SP Qty]]&gt;0, SnapshotTable[[#This Row],[SP Stop To Use]]&gt;0),SnapshotTable[[#This Row],[SP Premium]] - ( SnapshotTable[[#This Row],[SP Qty]] * SnapshotTable[[#This Row],[SP Stop To Use]] * 100), "")</f>
        <v/>
      </c>
      <c r="DF338" s="31" t="str">
        <f>IF(AND(SnapshotTable[[#This Row],[SP Qty]]&gt;0,SnapshotTable[[#This Row],[SP Current Ask]]&gt;0), SnapshotTable[[#This Row],[SP Qty]] * SnapshotTable[[#This Row],[SP Current Ask]] * -100, "")</f>
        <v/>
      </c>
      <c r="DG338" s="31" t="str">
        <f>IF(ISNUMBER((SnapshotTable[[#This Row],[SP Total Value]])), SnapshotTable[[#This Row],[SP Premium]] + SnapshotTable[[#This Row],[SP Total Value]], "")</f>
        <v/>
      </c>
      <c r="DH338" s="294" t="str">
        <f>IF(ISNUMBER((SnapshotTable[[#This Row],[SP Total Value]])), SnapshotTable[[#This Row],[SP Gain Loss]] / SnapshotTable[[#This Row],[SP Premium]], "")</f>
        <v/>
      </c>
      <c r="DI338" s="406"/>
      <c r="DJ338" s="138"/>
      <c r="DK338" s="148"/>
      <c r="DL338" s="13"/>
      <c r="DM338" s="13"/>
      <c r="DO338" s="31">
        <f>IF(SnapshotTable[[#This Row],[LC Symbol Count]]=1, SnapshotTable[[#This Row],[LC Qty]] * SnapshotTable[[#This Row],[LC Book Price]] * 100, 0)</f>
        <v>0</v>
      </c>
      <c r="DP338" s="163" t="str">
        <f>IF(AND(SnapshotTable[[#This Row],[LC Exp Date]]&gt;0, SnapshotTable[[#This Row],[LC Strike Price]]&gt;0,SnapshotTable[[#This Row],[LC Qty]]&gt;0,SnapshotTable[[#This Row],[LC Book Date]]&gt;0,SnapshotTable[[#This Row],[LC Book Price]]&gt;0,SnapshotTable[[#This Row],[LC Fill Date]]=0),"Y","")</f>
        <v/>
      </c>
      <c r="DQ338" s="386" t="str">
        <f>IF(SnapshotTable[[#This Row],[LC Premium]] &gt; 0,SnapshotTable[[#This Row],[LC Exp Date]]-MAX(SnapshotTable[[#This Row],[LC Book Date]], SnapshotTable[[#This Row],[LC Fill Date]]),"")</f>
        <v/>
      </c>
      <c r="DR338" s="386" t="str">
        <f>IF(ISNUMBER(SnapshotTable[[#This Row],[LC Term]]), SnapshotTable[[#This Row],[LC Exp Date]] - MockToday, "")</f>
        <v/>
      </c>
      <c r="DS338" s="234" t="str">
        <f>IF(SnapshotTable[[#This Row],[LC Premium]]&gt;0,SnapshotTable[[#This Row],[LC Strike Price]] + SnapshotTable[[#This Row],[LC Book Price]],"")</f>
        <v/>
      </c>
      <c r="DU338" s="9" t="str">
        <f>IF(AND(SnapshotTable[[#This Row],[LC Symbol Count]]&gt;0, SnapshotTable[[#This Row],[LC Contract Value]]&gt;0), SnapshotTable[[#This Row],[LC Contract Value]] * SnapshotTable[[#This Row],[LC Qty]] * 100, "")</f>
        <v/>
      </c>
      <c r="DV338" s="9" t="str">
        <f>IF(AND(ISNUMBER(SnapshotTable[[#This Row],[LC Total Value]]), SnapshotTable[[#This Row],[LC Not Filled]]&lt;&gt;"Y"), SnapshotTable[[#This Row],[LC Total Value]]-SnapshotTable[[#This Row],[LC Premium]],"")</f>
        <v/>
      </c>
      <c r="DW338" s="240" t="str">
        <f>IF(ISNUMBER(SnapshotTable[[#This Row],[LC Actual Gain Loss]]), SnapshotTable[[#This Row],[LC Actual Gain Loss]] / SnapshotTable[[#This Row],[LC Premium]],"")</f>
        <v/>
      </c>
      <c r="DX338" s="284" t="str">
        <f>IF(ISNUMBER(SnapshotTable[[#This Row],[LC Book Price]]),SnapshotTable[[#This Row],[LC Book Price]] * 1.5,"")</f>
        <v/>
      </c>
      <c r="DY338" s="265" t="str">
        <f>IF(SnapshotTable[[#This Row],[LC Premium]]&gt;0, SnapshotTable[[#This Row],[LC Next Target]] * SnapshotTable[[#This Row],[LC Qty]] * 100,"")</f>
        <v/>
      </c>
      <c r="DZ338" s="265" t="str">
        <f>IF(ISNUMBER(SnapshotTable[[#This Row],[LC Target Gross]]), SnapshotTable[[#This Row],[LC Target Gross]] - SnapshotTable[[#This Row],[LC Premium]], "")</f>
        <v/>
      </c>
      <c r="EA338" s="305" t="str">
        <f>IF(ISNUMBER(SnapshotTable[[#This Row],[LC Target Gain Loss]]), SnapshotTable[[#This Row],[LC Target Gain Loss]]/SnapshotTable[[#This Row],[LC Premium]], "")</f>
        <v/>
      </c>
      <c r="EB338" s="262"/>
      <c r="EC338" s="283" t="str">
        <f>IF(SnapshotTable[[#This Row],[LC Premium]]&gt;0, SnapshotTable[[#This Row],[LC Book Price]] * (1 - LC_StopLoss_Pct),"")</f>
        <v/>
      </c>
      <c r="ED338" s="284"/>
      <c r="EE338" s="283" t="str">
        <f>IF(ISNUMBER(SnapshotTable[[#This Row],[LC Contract Value]]),IF(ISNUMBER(SnapshotTable[[#This Row],[LC Stop Loss Override]]), SnapshotTable[[#This Row],[LC Stop Loss Override]],SnapshotTable[[#This Row],[LC Stop Loss Calc Target]]),"")</f>
        <v/>
      </c>
      <c r="EF338" s="31" t="str">
        <f>IF(ISNUMBER(SnapshotTable[[#This Row],[LC Stop  To Use]]), (SnapshotTable[[#This Row],[LC Stop  To Use]] * SnapshotTable[[#This Row],[LC Qty]] * 100),"")</f>
        <v/>
      </c>
      <c r="EG338" s="9" t="str">
        <f>IF(ISNUMBER(SnapshotTable[[#This Row],[LC Total Value]]),SnapshotTable[[#This Row],[LC Stop Loss Amount]] - SnapshotTable[[#This Row],[LC Premium]],"")</f>
        <v/>
      </c>
      <c r="EH338" s="9">
        <f>IF(ISNUMBER(SnapshotTable[[#This Row],[LC Premium]]), SnapshotTable[[#This Row],[LC Qty]] * 100 * SnapshotTable[[#This Row],[LC Strike Price]], "")</f>
        <v>0</v>
      </c>
      <c r="EI338" s="240" t="str">
        <f>IF(AND(ISNUMBER(SnapshotTable[[#This Row],[LC Total Value]]),SnapshotTable[[#This Row],[LC Total Value]]&gt;0),SnapshotTable[[#This Row],[LC Stop Gain Loss]]  / SnapshotTable[[#This Row],[LC Premium]],"")</f>
        <v/>
      </c>
      <c r="EJ338" s="35">
        <f>IF(ISNUMBER(SnapshotTable[[#This Row],[Equity Shares]]),TRUNC(SnapshotTable[[#This Row],[Equity Shares]] / 100),0) + SnapshotTable[[#This Row],[LC Qty]]</f>
        <v>0</v>
      </c>
      <c r="EK338" s="147"/>
      <c r="EL338" s="138" t="str">
        <f>IF(SnapshotTable[[#This Row],[SC Exp Date]]&lt;&gt;"",TRUNC(SnapshotTable[[#This Row],[Last Price]]),"")</f>
        <v/>
      </c>
      <c r="EM338" s="148"/>
      <c r="EN338" s="147"/>
      <c r="EO338" s="147"/>
      <c r="EP338" s="138"/>
      <c r="EQ338" s="419" t="b">
        <f>AND(ISNUMBER(SnapshotTable[[#This Row],[SC Exp Date]]), ISNUMBER(SnapshotTable[[#This Row],[SC Strike Price]]), ISNUMBER(SnapshotTable[[#This Row],[SC Qty]]), ISNUMBER(SnapshotTable[[#This Row],[SC Book Date]]), ISNUMBER(SnapshotTable[[#This Row],[SC Book Price]]))</f>
        <v>0</v>
      </c>
      <c r="ER338" s="419" t="b">
        <f>AND(SnapshotTable[[#This Row],[SC Is Booked]], NOT(ISBLANK(SnapshotTable[[#This Row],[SC Fill Date]])))</f>
        <v>0</v>
      </c>
      <c r="ES338" s="370"/>
      <c r="ET338" s="34" t="str">
        <f>IF(AND(ISNUMBER(SnapshotTable[[#This Row],[SC Exp Date]]), ISNUMBER(SnapshotTable[[#This Row],[SC Book Date]])), SnapshotTable[[#This Row],[SC Exp Date]] - MAX(SnapshotTable[[#This Row],[SC Book Date]], SnapshotTable[[#This Row],[SC Fill Date]]) + 1, "")</f>
        <v/>
      </c>
      <c r="EU338" s="34" t="str">
        <f>IF(ISNUMBER(SnapshotTable[[#This Row],[SC Term]]), SnapshotTable[[#This Row],[SC Exp Date]]- MockToday, "")</f>
        <v/>
      </c>
      <c r="EV338" s="31">
        <f>IF(SnapshotTable[[#This Row],[SC Is Booked]], SnapshotTable[[#This Row],[SC Qty]] * SnapshotTable[[#This Row],[SC Book Price]] * 100, 0)</f>
        <v>0</v>
      </c>
      <c r="EW338" s="4" t="str">
        <f>IF(AND(ISNUMBER(SnapshotTable[[#This Row],[Last Price]]), ISNUMBER( SnapshotTable[[#This Row],[SC Book Price]])), SnapshotTable[[#This Row],[Last Price]] - SnapshotTable[[#This Row],[SC Book Price]],"")</f>
        <v/>
      </c>
      <c r="EX338" s="234" t="str">
        <f>IF(SnapshotTable[[#This Row],[SC Is Booked]],IF(SnapshotTable[[#This Row],[SC Intrinsic Value]] &gt; 0, SnapshotTable[[#This Row],[SC Strike Price]], SnapshotTable[[#This Row],[Last Price]]), "")</f>
        <v/>
      </c>
      <c r="EY338" s="4">
        <f>IF(SnapshotTable[[#This Row],[SC Is Booked]], (MinimumPremiumRequired * SnapshotTable[[#This Row],[SC Basis]] * SnapshotTable[[#This Row],[SC Term]]), 0)</f>
        <v>0</v>
      </c>
      <c r="EZ338" s="283"/>
      <c r="FA338" s="218"/>
      <c r="FB338" s="370"/>
      <c r="FC338" s="4">
        <f>IF(SnapshotTable[[#This Row],[SC Is Filled]], btc_max_buyback_amount(SnapshotTable[[#This Row],[SC Fill Date]],SnapshotTable[[#This Row],[SC Exp Date]], SnapshotTable[[#This Row],[SC Book Price]]),0)</f>
        <v>0</v>
      </c>
      <c r="FD338" s="5"/>
      <c r="FE338" s="144" t="str">
        <f>IF(SnapshotTable[[#This Row],[SC Is Filled]], btc_next_cutoff_date(SnapshotTable[[#This Row],[SC Fill Date]],SnapshotTable[[#This Row],[SC Exp Date]]),"")</f>
        <v/>
      </c>
      <c r="FF338" s="4" t="str" cm="1">
        <f t="array" ref="FF338">IF(SnapshotTable[[#This Row],[SC Is Filled]], btc_should_buy_back(SnapshotTable[[#This Row],[SC Fill Date]], SnapshotTable[[#This Row],[SC Exp Date]], SnapshotTable[[#This Row],[SC Book Price]], SnapshotTable[[#This Row],[SC Current Ask]], MockToday, SnapshotTable[[#This Row],[SC Buyback Override]]),"")</f>
        <v/>
      </c>
      <c r="FG338" s="4">
        <f>IF(SnapshotTable[[#This Row],[SC Is Filled]], MAX(0,SnapshotTable[[#This Row],[Last Price]]  - SnapshotTable[[#This Row],[SC Strike Price]]), 0)</f>
        <v>0</v>
      </c>
      <c r="FH338" s="382">
        <f>IF(SnapshotTable[[#This Row],[SC Is Filled]], IF(ISNUMBER(SnapshotTable[[#This Row],[SC Current Ask]]), SnapshotTable[[#This Row],[SC Current Ask]], SnapshotTable[[#This Row],[SC Book Price]]) - SnapshotTable[[#This Row],[SC Intrinsic Value]], 0)</f>
        <v>0</v>
      </c>
      <c r="FI338" s="143"/>
      <c r="FJ338" s="32" t="str">
        <f>IF(SnapshotTable[[#This Row],[SC Is Filled]],100 * SnapshotTable[[#This Row],[SC Qty]] * IF(ISNUMBER(SnapshotTable[[#This Row],[SC Buyback Override]]), SnapshotTable[[#This Row],[SC Buyback Override]], SnapshotTable[[#This Row],[SC Current Ask]]), "")</f>
        <v/>
      </c>
      <c r="FK338" s="250" t="str">
        <f>IF(SnapshotTable[[#This Row],[SC Time Val]]&gt;0, SnapshotTable[[#This Row],[SC Time Val]] / SnapshotTable[[#This Row],[Last Price]],"")</f>
        <v/>
      </c>
      <c r="FL338" s="302" t="str">
        <f>IF(SnapshotTable[[#This Row],[SC Is Booked]], ((SnapshotTable[[#This Row],[Last Price]] -SnapshotTable[[#This Row],[SC Strike Price]]) / SnapshotTable[[#This Row],[Last Price]]) * -1, "")</f>
        <v/>
      </c>
      <c r="FM338" s="157" t="str">
        <f>IF(SnapshotTable[[#This Row],[SC Is Booked]],  (SnapshotTable[[#This Row],[SC Qty]] * 100 * SnapshotTable[[#This Row],[SC Strike Price]]) - SnapshotTable[[#This Row],[SC Current Ask]], "")</f>
        <v/>
      </c>
      <c r="FN33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8" s="31" t="str">
        <f>IF(AND(ISNUMBER(SnapshotTable[[#This Row],[SC Exercise Gross]]), ISNUMBER(SnapshotTable[[#This Row],[Equity Basis Per Share]] )), SnapshotTable[[#This Row],[SC Exercise Gross]] - SnapshotTable[[#This Row],[Equity Basis Total]] +  SnapshotTable[[#This Row],[SC Premium]], "")</f>
        <v/>
      </c>
      <c r="FP338" s="5" t="str">
        <f>IF(ISNUMBER(SnapshotTable[[#This Row],[SC Exercise Gross]]), (SnapshotTable[[#This Row],[SC Exercise Gross]]) / (SnapshotTable[[#This Row],[SC Qty]] * 100), "")</f>
        <v/>
      </c>
      <c r="FQ338" s="27" t="str">
        <f>IF(SnapshotTable[[#This Row],[SC Is Booked]],SnapshotTable[[#This Row],[SC Time Val]] /SnapshotTable[[#This Row],[SC Basis]], "")</f>
        <v/>
      </c>
      <c r="FR338" s="27" t="str" cm="1">
        <f t="array" ref="FR338">IF(AND(ISNUMBER(SnapshotTable[[#This Row],[SC Term]]),ISNUMBER(SnapshotTable[[#This Row],[SC Simple ROO]])), EllmanAnnualize(SnapshotTable[[#This Row],[SC DTE]], SnapshotTable[[#This Row],[SC Simple ROO]] ),"")</f>
        <v/>
      </c>
      <c r="FS338" s="4" t="e">
        <f>IF(SnapshotTable[[#This Row],[SC Strike Price]] &gt; SnapshotTable[[#This Row],[Last Price]], SnapshotTable[[#This Row],[SC Strike Price]] - SnapshotTable[[#This Row],[Last Price]],0)</f>
        <v>#VALUE!</v>
      </c>
      <c r="FT338" s="27" t="e">
        <f>IF(AND(ISNUMBER(SnapshotTable[[#This Row],[SC Upside Potential]]), SnapshotTable[[#This Row],[SC Upside Potential]] &gt; 0),(SnapshotTable[[#This Row],[SC Upside Potential]]/ SnapshotTable[[#This Row],[ACB]]),"")</f>
        <v>#VALUE!</v>
      </c>
      <c r="FU338" s="333" t="str">
        <f>IF(SnapshotTable[[#This Row],[SC Intrinsic Value]] &gt; 0,SnapshotTable[[#This Row],[SC Intrinsic Value]],"")</f>
        <v/>
      </c>
      <c r="FV338" s="27" t="str">
        <f>IF(AND( ISNUMBER( SnapshotTable[[#This Row],[ACB]]),ISNUMBER(SnapshotTable[[#This Row],[SC Downside Protect]])),SnapshotTable[[#This Row],[SC Downside Protect]] / SnapshotTable[[#This Row],[ACB]],"")</f>
        <v/>
      </c>
      <c r="FW338" s="236" t="str">
        <f>IF(AND(ISNUMBER(SnapshotTable[[#This Row],[SC Simple ROO]]),SnapshotTable[[#This Row],[SC Simple ROO]] &gt; 0), SnapshotTable[[#This Row],[SC Premium]] + (SnapshotTable[[#This Row],[SC Qty]] * SnapshotTable[[#This Row],[SC Upside Potential]]), "")</f>
        <v/>
      </c>
      <c r="FX338" s="302" t="str" cm="1">
        <f t="array" ref="FX338">IF(ISNUMBER(SnapshotTable[[#This Row],[SC Max Dollars]]), annualize(SnapshotTable[[#This Row],[SC Term]],(SnapshotTable[[#This Row],[SC Max Dollars]]/SnapshotTable[[#This Row],[SC Basis]])),"")</f>
        <v/>
      </c>
      <c r="FY338" s="236" t="str">
        <f>IF(AND(SnapshotTable[[#This Row],[SC Qty]]&gt;0,SnapshotTable[[#This Row],[SC Current Ask]]&gt;0), SnapshotTable[[#This Row],[SC Qty]] * SnapshotTable[[#This Row],[SC Current Ask]] * -100, "")</f>
        <v/>
      </c>
      <c r="FZ338" s="31" t="str">
        <f>IF(ISNUMBER((SnapshotTable[[#This Row],[SC Current Value]])), SnapshotTable[[#This Row],[SC Premium]] + SnapshotTable[[#This Row],[SC Current Value]], "")</f>
        <v/>
      </c>
      <c r="GA338" s="294" t="str">
        <f>IFERROR( IF(ISNUMBER((SnapshotTable[[#This Row],[SC Current Value]])), SnapshotTable[[#This Row],[SC Gain Loss]] / SnapshotTable[[#This Row],[SC Premium]], ""), "")</f>
        <v/>
      </c>
      <c r="GB338" s="42">
        <f>SnapshotTable[[#This Row],[Equity Shares]] * SaleSharesToConsiderPercentage</f>
        <v>0</v>
      </c>
      <c r="GC338" s="40">
        <f>SnapshotTable[[#This Row],[Long Term Target]] * SellingPriceToConsiderBasedOnTargetPercentage</f>
        <v>26.419499999999999</v>
      </c>
      <c r="GD338" s="40">
        <f>SnapshotTable[[#This Row],[Last Price]] * (1+ SellingPriceToConsiderBasedOnTargetPercentage)</f>
        <v>83.323499999999996</v>
      </c>
      <c r="GE338" s="41"/>
      <c r="GF338" s="40"/>
      <c r="GG338" s="31">
        <f>SnapshotTable[[#This Row],[Booked Sale Shares]] * SnapshotTable[[#This Row],[Booked Sale Price]]</f>
        <v>0</v>
      </c>
      <c r="GH338" s="31" t="str">
        <f>IF(SnapshotTable[[#This Row],[Equity Basis Total]] &gt; 0, SnapshotTable[[#This Row],[Equity Basis Per Share]] * SnapshotTable[[#This Row],[Booked Sale Shares]], "")</f>
        <v/>
      </c>
      <c r="GI338" s="31">
        <f>IF(SnapshotTable[[#This Row],[Sale Proceeds]]&gt;0, SnapshotTable[[#This Row],[Sale Proceeds]] - SnapshotTable[[#This Row],[Sale Basis]], 0)</f>
        <v>0</v>
      </c>
      <c r="GJ338" s="27" t="str">
        <f>IF(SnapshotTable[[#This Row],[Sale G/L]]&gt;0, SnapshotTable[[#This Row],[Sale G/L]] / SnapshotTable[[#This Row],[Sale Basis]], IF(ISNUMBER(SnapshotTable[[#This Row],[SC Exercise P&amp;L (TAX)]]), SnapshotTable[[#This Row],[SC Exercise P&amp;L (TAX)]] / SnapshotTable[[#This Row],[SC Basis]], ""))</f>
        <v/>
      </c>
      <c r="GK338" s="27" t="s">
        <v>788</v>
      </c>
      <c r="GL338" s="43" t="str">
        <f>IF(AND(SnapshotTable[[#This Row],[LP Exp Date]]&gt;0,SnapshotTable[[#This Row],[LP Strike Price]]&gt;0), [1]!ToOptionSymbol(SnapshotTable[[#This Row],[Symbol]], SnapshotTable[[#This Row],[LP Strike Price]],SnapshotTable[[#This Row],[LP Exp Date]],1), "")</f>
        <v/>
      </c>
      <c r="GM338" s="30" t="str">
        <f>IF(LEN(SnapshotTable[[#This Row],[LP Symbol]])&gt;0, 1, "")</f>
        <v/>
      </c>
      <c r="GN338" s="43" t="str">
        <f>IF(AND(SnapshotTable[[#This Row],[SP Exp Date]]&gt;0,SnapshotTable[[#This Row],[SP Strike Price]]&gt;0), [1]!ToOptionSymbol(SnapshotTable[[#This Row],[Symbol]], SnapshotTable[[#This Row],[SP Strike Price]],SnapshotTable[[#This Row],[SP Exp Date]],1), "")</f>
        <v/>
      </c>
      <c r="GO338" s="30" t="str">
        <f>IF(LEN(SnapshotTable[[#This Row],[SP Symbol]])&gt;0, 1, "")</f>
        <v/>
      </c>
      <c r="GP338" s="43" t="str">
        <f>IF(AND(SnapshotTable[[#This Row],[LC Exp Date]]&gt;0,SnapshotTable[[#This Row],[LC Strike Price]]&gt;0), [1]!ToOptionSymbol(SnapshotTable[[#This Row],[Symbol]], SnapshotTable[[#This Row],[LC Strike Price]],SnapshotTable[[#This Row],[LC Exp Date]],0), "")</f>
        <v/>
      </c>
      <c r="GQ338" s="30" t="str">
        <f>IF(LEN(SnapshotTable[[#This Row],[LC Symbol]])&gt;0, 1, "")</f>
        <v/>
      </c>
      <c r="GR338" s="43" t="str">
        <f>IF(AND(SnapshotTable[[#This Row],[SC Exp Date]]&gt;0,SnapshotTable[[#This Row],[SC Strike Price]]&gt;0), [1]!ToOptionSymbol(SnapshotTable[[#This Row],[Symbol]], SnapshotTable[[#This Row],[SC Strike Price]],SnapshotTable[[#This Row],[SC Exp Date]],0), "")</f>
        <v/>
      </c>
      <c r="GS338" s="30" t="str">
        <f>IF(LEN(SnapshotTable[[#This Row],[SC Symbol]])&gt;0, 1, "")</f>
        <v/>
      </c>
      <c r="GT338" s="29" t="str">
        <f>IF(COUNT(SnapshotTable[[#This Row],[LP Symbol Count]],SnapshotTable[[#This Row],[SP Symbol Count]],SnapshotTable[[#This Row],[LC Symbol Count]],SnapshotTable[[#This Row],[SC Symbol Count]])&gt;0, "Y", "")</f>
        <v/>
      </c>
      <c r="GU33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8" s="231" t="e">
        <f>MAX(SnapshotTable[[#This Row],[Equity Basis Total]],SnapshotTable[[#This Row],[Equity Value]]) + (SnapshotTable[[#This Row],[SP Potential Spend]]- SnapshotTable[[#This Row],[SP Premium]] + SnapshotTable[[#This Row],[LP Premium]])+ (SnapshotTable[[#This Row],[LC Premium]] - SnapshotTable[[#This Row],[SC Premium]])</f>
        <v>#VALUE!</v>
      </c>
      <c r="GW338" s="139" t="e">
        <f>IF(AND(SnapshotTable[[#This Row],[Exposure]] &lt;&gt; 0),SnapshotTable[[#This Row],[Exposure]] / SnapshotTable[[#Totals],[Exposure]], "")</f>
        <v>#VALUE!</v>
      </c>
      <c r="HK338" s="1"/>
      <c r="HL338" s="1"/>
      <c r="HM338" s="1"/>
      <c r="HN338" s="1"/>
      <c r="HO338" s="1"/>
      <c r="HP338" s="1"/>
    </row>
    <row r="339" spans="2:224" ht="12.75" hidden="1" customHeight="1" x14ac:dyDescent="0.25">
      <c r="B339" s="12" t="s">
        <v>978</v>
      </c>
      <c r="C339" s="422">
        <v>14.68</v>
      </c>
      <c r="D339" s="208" t="s">
        <v>578</v>
      </c>
      <c r="E339" s="39">
        <f>SnapshotTable[[#This Row],[Last Price]]*(1 -CrashDiscount)</f>
        <v>12.478</v>
      </c>
      <c r="F339" s="26" t="s">
        <v>904</v>
      </c>
      <c r="G339" s="26" t="s">
        <v>610</v>
      </c>
      <c r="H339" s="149"/>
      <c r="I339" s="194">
        <v>44791.208333333336</v>
      </c>
      <c r="J339" s="195">
        <v>44791.208333333336</v>
      </c>
      <c r="K339" s="196"/>
      <c r="L339" s="326"/>
      <c r="M339" s="140"/>
      <c r="N339" s="140"/>
      <c r="O339" s="140"/>
      <c r="P339" s="22"/>
      <c r="Q339" s="25"/>
      <c r="R339" s="4" t="str">
        <f>IF(SnapshotTable[[#This Row],[Equity Basis Total]] &gt; 0, SnapshotTable[[#This Row],[Equity Basis Total]] / SnapshotTable[[#This Row],[Equity Shares]], "")</f>
        <v/>
      </c>
      <c r="S339" s="269">
        <f>SnapshotTable[[#This Row],[Last Price]] * SnapshotTable[[#This Row],[Equity Shares]]</f>
        <v>0</v>
      </c>
      <c r="T339" s="269">
        <f>SnapshotTable[[#This Row],[Equity Value]] - SnapshotTable[[#This Row],[Equity Basis Total]]</f>
        <v>0</v>
      </c>
      <c r="U339" s="270" t="str">
        <f>IF(SnapshotTable[[#This Row],[Equity Basis Total]] &gt; 0, SnapshotTable[[#This Row],[Equity G/L]] / SnapshotTable[[#This Row],[Equity Basis Total]], "")</f>
        <v/>
      </c>
      <c r="V339" s="268"/>
      <c r="W339" s="268"/>
      <c r="X339" s="4" t="str">
        <f>IF(AND(ISNUMBER(SnapshotTable[[#This Row],[Equity Basis Per Share]]),ISNUMBER(SnapshotTable[[#This Row],[Equity Target]])),SnapshotTable[[#This Row],[Equity Target]]-SnapshotTable[[#This Row],[Equity Basis Per Share]],"")</f>
        <v/>
      </c>
      <c r="Y339" s="4" t="str">
        <f>IF(AND(ISNUMBER(SnapshotTable[[#This Row],[Equity Basis Per Share]]),ISNUMBER(SnapshotTable[[#This Row],[Equity Stop Loss]])),SnapshotTable[[#This Row],[Equity Stop Loss]]-SnapshotTable[[#This Row],[Equity Basis Per Share]],"")</f>
        <v/>
      </c>
      <c r="Z339" s="275" t="str">
        <f>IFERROR( TEXT(SnapshotTable[[#This Row],[Equity Max Gain Per Share]] /ABS( SnapshotTable[[#This Row],[Equity Max Loss Per Share]]),"0.0 " ) &amp; " : 1", "")</f>
        <v/>
      </c>
      <c r="AA339" s="31" t="str">
        <f>IF(ISNUMBER(SnapshotTable[[#This Row],[Equity Max Gain Per Share]]),SnapshotTable[[#This Row],[Equity Max Gain Per Share]] * SnapshotTable[[#This Row],[Equity Shares]],"")</f>
        <v/>
      </c>
      <c r="AB339" s="31" t="str">
        <f>IF(ISNUMBER(SnapshotTable[[#This Row],[Equity Max Loss Per Share]]),SnapshotTable[[#This Row],[Equity Max Loss Per Share]] * SnapshotTable[[#This Row],[Equity Shares]],"")</f>
        <v/>
      </c>
      <c r="AC339" s="150"/>
      <c r="AD339" s="151"/>
      <c r="AE339" s="31">
        <f>(SnapshotTable[[#This Row],[Annual Dividend Per Share]] / 4) * SnapshotTable[[#This Row],[Equity Shares]]</f>
        <v>0</v>
      </c>
      <c r="AF339" s="31">
        <f>SnapshotTable[[#This Row],[Quarterly Div $]] * 4</f>
        <v>0</v>
      </c>
      <c r="AG339" s="7">
        <f>IF(SnapshotTable[[#This Row],[Annual Dividend Per Share]]&gt;0, SnapshotTable[[#This Row],[Annual Dividend Per Share]]  / SnapshotTable[[#This Row],[Last Price]], 0)</f>
        <v>0</v>
      </c>
      <c r="AH339" s="151"/>
      <c r="AI339" s="5"/>
      <c r="AJ339" s="138">
        <v>40.049999999999997</v>
      </c>
      <c r="AK339" s="152" t="str">
        <f>IF(ISNUMBER( SnapshotTable[[#This Row],[EBF Target]]),(SnapshotTable[[#This Row],[EBF Target]] - SnapshotTable[[#This Row],[Last Price]]) / SnapshotTable[[#This Row],[Last Price]], "")</f>
        <v/>
      </c>
      <c r="AL339" s="152" t="str">
        <f>IF(AND(SnapshotTable[[#This Row],[Equity Basis Total]] &gt; 0,ISNUMBER( SnapshotTable[[#This Row],[Long Term Target]])), SnapshotTable[[#This Row],[From Basis $]] / SnapshotTable[[#This Row],[Equity Basis Total]], "")</f>
        <v/>
      </c>
      <c r="AM339" s="9">
        <f>IF( AND(SnapshotTable[[#This Row],[Equity Shares]] &gt;0,ISNUMBER( SnapshotTable[[#This Row],[Long Term Target]])),(SnapshotTable[[#This Row],[Equity Shares]] * SnapshotTable[[#This Row],[Long Term Target]]) - SnapshotTable[[#This Row],[Equity Basis Total]],0)</f>
        <v>0</v>
      </c>
      <c r="AN339" s="9">
        <f>IF( AND(SnapshotTable[[#This Row],[Equity Shares]] &gt;0,ISNUMBER( SnapshotTable[[#This Row],[Long Term Target]])),(SnapshotTable[[#This Row],[Equity Shares]]*SnapshotTable[[#This Row],[Long Term Target]]) - SnapshotTable[[#This Row],[Equity Value]],0)</f>
        <v>0</v>
      </c>
      <c r="AO339" s="152">
        <f>IF(AND(ISNUMBER( SnapshotTable[[#This Row],[Long Term Target]]), ISNUMBER(SnapshotTable[[#This Row],[Last Price]])),(SnapshotTable[[#This Row],[Long Term Target]] - SnapshotTable[[#This Row],[Last Price]]) / SnapshotTable[[#This Row],[Last Price]], "")</f>
        <v>1.7282016348773841</v>
      </c>
      <c r="AP339" s="5"/>
      <c r="AQ339" s="38"/>
      <c r="AR339" s="5">
        <v>28.9</v>
      </c>
      <c r="AS339" s="38" t="s">
        <v>32</v>
      </c>
      <c r="AT339" s="146"/>
      <c r="AU339" s="187" t="str">
        <f>IF(OR(SnapshotTable[[#This Row],[LP No Fill]]="Y",SnapshotTable[[#This Row],[SP Is Filled]],SnapshotTable[[#This Row],[LC Not Filled]]="Y",SnapshotTable[[#This Row],[SC Is Filled]]),"Y","")</f>
        <v/>
      </c>
      <c r="AV339" s="219"/>
      <c r="AW339" s="225"/>
      <c r="AX339" s="220"/>
      <c r="AY339" s="219" t="str">
        <f>IF(SnapshotTable[[#This Row],[Implied Move]]&gt;0, SnapshotTable[[#This Row],[Last Price]]-SnapshotTable[[#This Row],[Implied Move]],"")</f>
        <v/>
      </c>
      <c r="AZ339" s="219" t="str">
        <f>IF(SnapshotTable[[#This Row],[Implied Move]]&gt;0, SnapshotTable[[#This Row],[Last Price]] + SnapshotTable[[#This Row],[Implied Move]],"")</f>
        <v/>
      </c>
      <c r="BA339" s="331">
        <v>131.84</v>
      </c>
      <c r="BB339" s="347"/>
      <c r="BC33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9" s="351"/>
      <c r="BE339" s="5"/>
      <c r="BF339" s="14"/>
      <c r="BG339" s="13"/>
      <c r="BH339" s="13"/>
      <c r="BI339" s="5"/>
      <c r="BJ339" s="136">
        <f>IF(SnapshotTable[[#This Row],[LP Qty]] &gt; 0, SnapshotTable[[#This Row],[LP Qty]] * SnapshotTable[[#This Row],[LP Book Price]] * 100,0)</f>
        <v>0</v>
      </c>
      <c r="BK339" s="136">
        <f>IF(SnapshotTable[[#This Row],[LP Premium]] &gt; 0, SnapshotTable[[#This Row],[LP Qty]] * SnapshotTable[[#This Row],[LP Strike Price]] * 100,0)</f>
        <v>0</v>
      </c>
      <c r="BL339" s="154"/>
      <c r="BM339" s="385" t="str">
        <f>IF(SnapshotTable[[#This Row],[LP Premium]] &gt; 0,SnapshotTable[[#This Row],[LP Exp Date]]-MAX(SnapshotTable[[#This Row],[LP Book Date]], SnapshotTable[[#This Row],[LP Fill Date]]),"")</f>
        <v/>
      </c>
      <c r="BN339" s="385" t="str">
        <f>IF(ISNUMBER( SnapshotTable[[#This Row],[LP Term]]), SnapshotTable[[#This Row],[LP Exp Date]] - MockToday,"")</f>
        <v/>
      </c>
      <c r="BO339" s="163" t="str">
        <f>IF(AND(SnapshotTable[[#This Row],[LP Exp Date]]&gt;0, SnapshotTable[[#This Row],[LP Strike Price]]&gt;0,SnapshotTable[[#This Row],[LP Qty]]&gt;0,SnapshotTable[[#This Row],[LP Book Date]]&gt;0,SnapshotTable[[#This Row],[LP Book Price]]&gt;0,SnapshotTable[[#This Row],[LP Fill Date]]=0),"Y","")</f>
        <v/>
      </c>
      <c r="BP339" s="31" t="str">
        <f>IF(AND(SnapshotTable[[#This Row],[LP No Fill]]&lt;&gt;"Y",SnapshotTable[[#This Row],[LP Contract Value]]&gt;0, SnapshotTable[[#This Row],[LP Qty]]&gt;0), SnapshotTable[[#This Row],[LP Contract Value]]*SnapshotTable[[#This Row],[LP Qty]]*100,"")</f>
        <v/>
      </c>
      <c r="BQ339" s="13"/>
      <c r="BR339" s="5" t="str">
        <f>IF(SnapshotTable[[#This Row],[SP Exp Date]]&lt;&gt;"",TRUNC(SnapshotTable[[#This Row],[Last Price]]),"")</f>
        <v/>
      </c>
      <c r="BS339" s="36"/>
      <c r="BT339" s="147"/>
      <c r="BU339" s="13"/>
      <c r="BV339" s="5"/>
      <c r="BW339" s="419" t="b">
        <f>AND(ISNUMBER(SnapshotTable[[#This Row],[SP Exp Date]]), ISNUMBER(SnapshotTable[[#This Row],[SP Strike Price]]), ISNUMBER(SnapshotTable[[#This Row],[SP Qty]]), ISNUMBER(SnapshotTable[[#This Row],[SP Book Date]]), ISNUMBER(SnapshotTable[[#This Row],[SP Book Price]]))</f>
        <v>0</v>
      </c>
      <c r="BX339" s="419" t="b">
        <f>AND(SnapshotTable[[#This Row],[SP Is Booked]], NOT(ISBLANK(SnapshotTable[[#This Row],[SP Fill Date]])))</f>
        <v>0</v>
      </c>
      <c r="BY339" s="33">
        <f>IF(SnapshotTable[[#This Row],[SP Is Booked]], SnapshotTable[[#This Row],[SP Qty]] * SnapshotTable[[#This Row],[SP Book Price]] * 100, 0)</f>
        <v>0</v>
      </c>
      <c r="BZ339" s="369"/>
      <c r="CA339" s="368">
        <f>SnapshotTable[[#This Row],[LP Qty]]</f>
        <v>0</v>
      </c>
      <c r="CB339" s="4" t="str">
        <f>IF(SnapshotTable[[#This Row],[SP Is Booked]], SnapshotTable[[#This Row],[SP Strike Price]] - SnapshotTable[[#This Row],[SP Book Price]], "")</f>
        <v/>
      </c>
      <c r="CC339" s="19" t="str">
        <f>IF(SnapshotTable[[#This Row],[SP Is Booked]],SnapshotTable[[#This Row],[SP Exp Date]]-MAX(SnapshotTable[[#This Row],[SP Book Date]], SnapshotTable[[#This Row],[SP Fill Date]]),"")</f>
        <v/>
      </c>
      <c r="CD339" s="7" t="str">
        <f>IF(SnapshotTable[[#This Row],[SP Is Booked]], SnapshotTable[[#This Row],[SP Book Price]]/SnapshotTable[[#This Row],[SP Strike Price]], "")</f>
        <v/>
      </c>
      <c r="CE339" s="7" t="str">
        <f>IF(ISNUMBER(SnapshotTable[[#This Row],[SP ROO Term]]),SnapshotTable[[#This Row],[SP ROO Term]]*(365/SnapshotTable[[#This Row],[SP Term]]),"")</f>
        <v/>
      </c>
      <c r="CF339" s="236">
        <f>SnapshotTable[[#This Row],[LP Strike Price]] * SnapshotTable[[#This Row],[LP Qty]] * 100</f>
        <v>0</v>
      </c>
      <c r="CG339" s="31" t="e">
        <f>IF(ISNUMBER(SnapshotTable[[#This Row],[SP Premium]]), (SnapshotTable[[#This Row],[SP Qty]] * SnapshotTable[[#This Row],[SP Strike Price]]* 100) - SnapshotTable[[#This Row],[LP Protection]], 0)</f>
        <v>#VALUE!</v>
      </c>
      <c r="CH339" s="7" t="str">
        <f>IF(ISNUMBER(SnapshotTable[[#This Row],[SP Break Even]]),-1 * (SnapshotTable[[#This Row],[SP Break Even]] - SnapshotTable[[#This Row],[Last Price]]) / SnapshotTable[[#This Row],[Last Price]], "")</f>
        <v/>
      </c>
      <c r="CI339" s="31">
        <f>IF(AND(ISNUMBER((SnapshotTable[[#This Row],[SP Potential Spend]])), SnapshotTable[[#This Row],[SP Strike Price]] &gt; SnapshotTable[[#This Row],[Last Price]], SnapshotTable[[#This Row],[SP Is Filled]]), SnapshotTable[[#This Row],[SP Potential Spend]] -  SnapshotTable[[#This Row],[LP Max Value]], 0)</f>
        <v>0</v>
      </c>
      <c r="CJ339" s="244"/>
      <c r="CK339" s="31" t="str">
        <f>IF(ISNUMBER(SnapshotTable[[#This Row],[SP Potential Spend]]),IF(ISNUMBER(SnapshotTable[[#This Row],[SP POW]]), SnapshotTable[[#This Row],[SP POW]] * SnapshotTable[[#This Row],[SP Potential Spend]], SnapshotTable[[#This Row],[SP Potential Spend]]), "")</f>
        <v/>
      </c>
      <c r="CL339" s="164" t="e">
        <f>IF(NOT(SnapshotTable[[#This Row],[SP Is Filled]]),(SnapshotTable[[#This Row],[SP Qty]] * SnapshotTable[[#This Row],[SP Strike Price]] * 100) - SnapshotTable[[#This Row],[LP Max Value]],"")</f>
        <v>#VALUE!</v>
      </c>
      <c r="CM339" s="31" t="str">
        <f>IF(SnapshotTable[[#This Row],[SP Actual Spend]]&lt;&gt;0, ((SnapshotTable[[#This Row],[SP Strike Price]]-SnapshotTable[[#This Row],[Last Price]]) *(SnapshotTable[[#This Row],[SP Qty]]*100) - SnapshotTable[[#This Row],[SP Premium]]) * - 1, "")</f>
        <v/>
      </c>
      <c r="CN339" s="218"/>
      <c r="CO339" s="369"/>
      <c r="CP339" s="4" t="str">
        <f>IF(SnapshotTable[[#This Row],[SP Is Filled]], btc_max_buyback_amount(SnapshotTable[[#This Row],[SP Fill Date]],SnapshotTable[[#This Row],[SP Exp Date]], SnapshotTable[[#This Row],[SP Book Price]]),"")</f>
        <v/>
      </c>
      <c r="CQ339" s="78"/>
      <c r="CR33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9" s="155" t="str">
        <f>IF(SnapshotTable[[#This Row],[SP Is Filled]], btc_next_cutoff_date(SnapshotTable[[#This Row],[SP Fill Date]],SnapshotTable[[#This Row],[SP Exp Date]]),"")</f>
        <v/>
      </c>
      <c r="CT339" s="235" t="str" cm="1">
        <f t="array" ref="CT339">IF(SnapshotTable[[#This Row],[SP Is Filled]], btc_should_buy_back(SnapshotTable[[#This Row],[SP Fill Date]], SnapshotTable[[#This Row],[SP Exp Date]], SnapshotTable[[#This Row],[SP Book Price]], SnapshotTable[[#This Row],[SP Current Ask]], MockToday, SnapshotTable[[#This Row],[SP Buyback Override]]),"")</f>
        <v/>
      </c>
      <c r="CU339" s="143"/>
      <c r="CV339" s="235"/>
      <c r="CW339" s="378" t="str">
        <f>IF(ISNUMBER( SnapshotTable[[#This Row],[SP Term]]), SnapshotTable[[#This Row],[SP Exp Date]] - MockToday,"")</f>
        <v/>
      </c>
      <c r="CX339" s="31" t="str">
        <f>IF(SnapshotTable[[#This Row],[SP Is Filled]],SnapshotTable[[#This Row],[SP Buyback Price to Use]] * 100 * SnapshotTable[[#This Row],[SP Qty]], "")</f>
        <v/>
      </c>
      <c r="CY339" s="4" t="str">
        <f>IF(ISNUMBER(SnapshotTable[[#This Row],[SP Strike Price]]), SnapshotTable[[#This Row],[SP Strike Price]] * (1 - SP_MaxLoss_StrikePct), "")</f>
        <v/>
      </c>
      <c r="CZ339" s="31" t="str">
        <f>IF(ISNUMBER(SnapshotTable[[#This Row],[SP Strike  Stop Per Share]]),SnapshotTable[[#This Row],[SP Premium]] - ((SnapshotTable[[#This Row],[SP Strike Price]]-SnapshotTable[[#This Row],[SP Strike  Stop Per Share]]) *(SnapshotTable[[#This Row],[SP Qty]] * 100)),"")</f>
        <v/>
      </c>
      <c r="DA339" s="4" t="str">
        <f>IF(AND(ISNUMBER(SnapshotTable[[#This Row],[SP Premium]]),SnapshotTable[[#This Row],[SP Premium]]&gt;0), SnapshotTable[[#This Row],[SP Book Price]] * (1 + SP_MaxLoss_OptionPct), "")</f>
        <v/>
      </c>
      <c r="DB339" s="31" t="str">
        <f>IF(ISNUMBER(SnapshotTable[[#This Row],[SP Option  Stop Contract]]),(SnapshotTable[[#This Row],[SP Option  Stop Contract]] *(SnapshotTable[[#This Row],[SP Qty]] * 100) - SnapshotTable[[#This Row],[SP Premium]]),"")</f>
        <v/>
      </c>
      <c r="DC339" s="4"/>
      <c r="DD339" s="4"/>
      <c r="DE339" s="4" t="str">
        <f>IF(AND(SnapshotTable[[#This Row],[SP Qty]]&gt;0, SnapshotTable[[#This Row],[SP Stop To Use]]&gt;0),SnapshotTable[[#This Row],[SP Premium]] - ( SnapshotTable[[#This Row],[SP Qty]] * SnapshotTable[[#This Row],[SP Stop To Use]] * 100), "")</f>
        <v/>
      </c>
      <c r="DF339" s="31" t="str">
        <f>IF(AND(SnapshotTable[[#This Row],[SP Qty]]&gt;0,SnapshotTable[[#This Row],[SP Current Ask]]&gt;0), SnapshotTable[[#This Row],[SP Qty]] * SnapshotTable[[#This Row],[SP Current Ask]] * -100, "")</f>
        <v/>
      </c>
      <c r="DG339" s="31" t="str">
        <f>IF(ISNUMBER((SnapshotTable[[#This Row],[SP Total Value]])), SnapshotTable[[#This Row],[SP Premium]] + SnapshotTable[[#This Row],[SP Total Value]], "")</f>
        <v/>
      </c>
      <c r="DH339" s="294" t="str">
        <f>IF(ISNUMBER((SnapshotTable[[#This Row],[SP Total Value]])), SnapshotTable[[#This Row],[SP Gain Loss]] / SnapshotTable[[#This Row],[SP Premium]], "")</f>
        <v/>
      </c>
      <c r="DI339" s="406"/>
      <c r="DJ339" s="138"/>
      <c r="DK339" s="148"/>
      <c r="DL339" s="13"/>
      <c r="DM339" s="13"/>
      <c r="DO339" s="31">
        <f>IF(SnapshotTable[[#This Row],[LC Symbol Count]]=1, SnapshotTable[[#This Row],[LC Qty]] * SnapshotTable[[#This Row],[LC Book Price]] * 100, 0)</f>
        <v>0</v>
      </c>
      <c r="DP339" s="163" t="str">
        <f>IF(AND(SnapshotTable[[#This Row],[LC Exp Date]]&gt;0, SnapshotTable[[#This Row],[LC Strike Price]]&gt;0,SnapshotTable[[#This Row],[LC Qty]]&gt;0,SnapshotTable[[#This Row],[LC Book Date]]&gt;0,SnapshotTable[[#This Row],[LC Book Price]]&gt;0,SnapshotTable[[#This Row],[LC Fill Date]]=0),"Y","")</f>
        <v/>
      </c>
      <c r="DQ339" s="386" t="str">
        <f>IF(SnapshotTable[[#This Row],[LC Premium]] &gt; 0,SnapshotTable[[#This Row],[LC Exp Date]]-MAX(SnapshotTable[[#This Row],[LC Book Date]], SnapshotTable[[#This Row],[LC Fill Date]]),"")</f>
        <v/>
      </c>
      <c r="DR339" s="386" t="str">
        <f>IF(ISNUMBER(SnapshotTable[[#This Row],[LC Term]]), SnapshotTable[[#This Row],[LC Exp Date]] - MockToday, "")</f>
        <v/>
      </c>
      <c r="DS339" s="234" t="str">
        <f>IF(SnapshotTable[[#This Row],[LC Premium]]&gt;0,SnapshotTable[[#This Row],[LC Strike Price]] + SnapshotTable[[#This Row],[LC Book Price]],"")</f>
        <v/>
      </c>
      <c r="DU339" s="9" t="str">
        <f>IF(AND(SnapshotTable[[#This Row],[LC Symbol Count]]&gt;0, SnapshotTable[[#This Row],[LC Contract Value]]&gt;0), SnapshotTable[[#This Row],[LC Contract Value]] * SnapshotTable[[#This Row],[LC Qty]] * 100, "")</f>
        <v/>
      </c>
      <c r="DV339" s="9" t="str">
        <f>IF(AND(ISNUMBER(SnapshotTable[[#This Row],[LC Total Value]]), SnapshotTable[[#This Row],[LC Not Filled]]&lt;&gt;"Y"), SnapshotTable[[#This Row],[LC Total Value]]-SnapshotTable[[#This Row],[LC Premium]],"")</f>
        <v/>
      </c>
      <c r="DW339" s="240" t="str">
        <f>IF(ISNUMBER(SnapshotTable[[#This Row],[LC Actual Gain Loss]]), SnapshotTable[[#This Row],[LC Actual Gain Loss]] / SnapshotTable[[#This Row],[LC Premium]],"")</f>
        <v/>
      </c>
      <c r="DX339" s="284" t="str">
        <f>IF(ISNUMBER(SnapshotTable[[#This Row],[LC Book Price]]),SnapshotTable[[#This Row],[LC Book Price]] * 1.5,"")</f>
        <v/>
      </c>
      <c r="DY339" s="265" t="str">
        <f>IF(SnapshotTable[[#This Row],[LC Premium]]&gt;0, SnapshotTable[[#This Row],[LC Next Target]] * SnapshotTable[[#This Row],[LC Qty]] * 100,"")</f>
        <v/>
      </c>
      <c r="DZ339" s="265" t="str">
        <f>IF(ISNUMBER(SnapshotTable[[#This Row],[LC Target Gross]]), SnapshotTable[[#This Row],[LC Target Gross]] - SnapshotTable[[#This Row],[LC Premium]], "")</f>
        <v/>
      </c>
      <c r="EA339" s="305" t="str">
        <f>IF(ISNUMBER(SnapshotTable[[#This Row],[LC Target Gain Loss]]), SnapshotTable[[#This Row],[LC Target Gain Loss]]/SnapshotTable[[#This Row],[LC Premium]], "")</f>
        <v/>
      </c>
      <c r="EB339" s="262"/>
      <c r="EC339" s="283" t="str">
        <f>IF(SnapshotTable[[#This Row],[LC Premium]]&gt;0, SnapshotTable[[#This Row],[LC Book Price]] * (1 - LC_StopLoss_Pct),"")</f>
        <v/>
      </c>
      <c r="ED339" s="284"/>
      <c r="EE339" s="283" t="str">
        <f>IF(ISNUMBER(SnapshotTable[[#This Row],[LC Contract Value]]),IF(ISNUMBER(SnapshotTable[[#This Row],[LC Stop Loss Override]]), SnapshotTable[[#This Row],[LC Stop Loss Override]],SnapshotTable[[#This Row],[LC Stop Loss Calc Target]]),"")</f>
        <v/>
      </c>
      <c r="EF339" s="31" t="str">
        <f>IF(ISNUMBER(SnapshotTable[[#This Row],[LC Stop  To Use]]), (SnapshotTable[[#This Row],[LC Stop  To Use]] * SnapshotTable[[#This Row],[LC Qty]] * 100),"")</f>
        <v/>
      </c>
      <c r="EG339" s="9" t="str">
        <f>IF(ISNUMBER(SnapshotTable[[#This Row],[LC Total Value]]),SnapshotTable[[#This Row],[LC Stop Loss Amount]] - SnapshotTable[[#This Row],[LC Premium]],"")</f>
        <v/>
      </c>
      <c r="EH339" s="9">
        <f>IF(ISNUMBER(SnapshotTable[[#This Row],[LC Premium]]), SnapshotTable[[#This Row],[LC Qty]] * 100 * SnapshotTable[[#This Row],[LC Strike Price]], "")</f>
        <v>0</v>
      </c>
      <c r="EI339" s="240" t="str">
        <f>IF(AND(ISNUMBER(SnapshotTable[[#This Row],[LC Total Value]]),SnapshotTable[[#This Row],[LC Total Value]]&gt;0),SnapshotTable[[#This Row],[LC Stop Gain Loss]]  / SnapshotTable[[#This Row],[LC Premium]],"")</f>
        <v/>
      </c>
      <c r="EJ339" s="35">
        <f>IF(ISNUMBER(SnapshotTable[[#This Row],[Equity Shares]]),TRUNC(SnapshotTable[[#This Row],[Equity Shares]] / 100),0) + SnapshotTable[[#This Row],[LC Qty]]</f>
        <v>0</v>
      </c>
      <c r="EK339" s="147"/>
      <c r="EL339" s="138" t="str">
        <f>IF(SnapshotTable[[#This Row],[SC Exp Date]]&lt;&gt;"",TRUNC(SnapshotTable[[#This Row],[Last Price]]),"")</f>
        <v/>
      </c>
      <c r="EM339" s="148"/>
      <c r="EN339" s="147"/>
      <c r="EO339" s="147"/>
      <c r="EP339" s="138"/>
      <c r="EQ339" s="419" t="b">
        <f>AND(ISNUMBER(SnapshotTable[[#This Row],[SC Exp Date]]), ISNUMBER(SnapshotTable[[#This Row],[SC Strike Price]]), ISNUMBER(SnapshotTable[[#This Row],[SC Qty]]), ISNUMBER(SnapshotTable[[#This Row],[SC Book Date]]), ISNUMBER(SnapshotTable[[#This Row],[SC Book Price]]))</f>
        <v>0</v>
      </c>
      <c r="ER339" s="419" t="b">
        <f>AND(SnapshotTable[[#This Row],[SC Is Booked]], NOT(ISBLANK(SnapshotTable[[#This Row],[SC Fill Date]])))</f>
        <v>0</v>
      </c>
      <c r="ES339" s="370"/>
      <c r="ET339" s="34" t="str">
        <f>IF(AND(ISNUMBER(SnapshotTable[[#This Row],[SC Exp Date]]), ISNUMBER(SnapshotTable[[#This Row],[SC Book Date]])), SnapshotTable[[#This Row],[SC Exp Date]] - MAX(SnapshotTable[[#This Row],[SC Book Date]], SnapshotTable[[#This Row],[SC Fill Date]]) + 1, "")</f>
        <v/>
      </c>
      <c r="EU339" s="34" t="str">
        <f>IF(ISNUMBER(SnapshotTable[[#This Row],[SC Term]]), SnapshotTable[[#This Row],[SC Exp Date]]- MockToday, "")</f>
        <v/>
      </c>
      <c r="EV339" s="31">
        <f>IF(SnapshotTable[[#This Row],[SC Is Booked]], SnapshotTable[[#This Row],[SC Qty]] * SnapshotTable[[#This Row],[SC Book Price]] * 100, 0)</f>
        <v>0</v>
      </c>
      <c r="EW339" s="4" t="str">
        <f>IF(AND(ISNUMBER(SnapshotTable[[#This Row],[Last Price]]), ISNUMBER( SnapshotTable[[#This Row],[SC Book Price]])), SnapshotTable[[#This Row],[Last Price]] - SnapshotTable[[#This Row],[SC Book Price]],"")</f>
        <v/>
      </c>
      <c r="EX339" s="234" t="str">
        <f>IF(SnapshotTable[[#This Row],[SC Is Booked]],IF(SnapshotTable[[#This Row],[SC Intrinsic Value]] &gt; 0, SnapshotTable[[#This Row],[SC Strike Price]], SnapshotTable[[#This Row],[Last Price]]), "")</f>
        <v/>
      </c>
      <c r="EY339" s="4">
        <f>IF(SnapshotTable[[#This Row],[SC Is Booked]], (MinimumPremiumRequired * SnapshotTable[[#This Row],[SC Basis]] * SnapshotTable[[#This Row],[SC Term]]), 0)</f>
        <v>0</v>
      </c>
      <c r="EZ339" s="283"/>
      <c r="FA339" s="218"/>
      <c r="FB339" s="370"/>
      <c r="FC339" s="4">
        <f>IF(SnapshotTable[[#This Row],[SC Is Filled]], btc_max_buyback_amount(SnapshotTable[[#This Row],[SC Fill Date]],SnapshotTable[[#This Row],[SC Exp Date]], SnapshotTable[[#This Row],[SC Book Price]]),0)</f>
        <v>0</v>
      </c>
      <c r="FD339" s="5"/>
      <c r="FE339" s="144" t="str">
        <f>IF(SnapshotTable[[#This Row],[SC Is Filled]], btc_next_cutoff_date(SnapshotTable[[#This Row],[SC Fill Date]],SnapshotTable[[#This Row],[SC Exp Date]]),"")</f>
        <v/>
      </c>
      <c r="FF339" s="4" t="str" cm="1">
        <f t="array" ref="FF339">IF(SnapshotTable[[#This Row],[SC Is Filled]], btc_should_buy_back(SnapshotTable[[#This Row],[SC Fill Date]], SnapshotTable[[#This Row],[SC Exp Date]], SnapshotTable[[#This Row],[SC Book Price]], SnapshotTable[[#This Row],[SC Current Ask]], MockToday, SnapshotTable[[#This Row],[SC Buyback Override]]),"")</f>
        <v/>
      </c>
      <c r="FG339" s="4">
        <f>IF(SnapshotTable[[#This Row],[SC Is Filled]], MAX(0,SnapshotTable[[#This Row],[Last Price]]  - SnapshotTable[[#This Row],[SC Strike Price]]), 0)</f>
        <v>0</v>
      </c>
      <c r="FH339" s="382">
        <f>IF(SnapshotTable[[#This Row],[SC Is Filled]], IF(ISNUMBER(SnapshotTable[[#This Row],[SC Current Ask]]), SnapshotTable[[#This Row],[SC Current Ask]], SnapshotTable[[#This Row],[SC Book Price]]) - SnapshotTable[[#This Row],[SC Intrinsic Value]], 0)</f>
        <v>0</v>
      </c>
      <c r="FI339" s="143"/>
      <c r="FJ339" s="32" t="str">
        <f>IF(SnapshotTable[[#This Row],[SC Is Filled]],100 * SnapshotTable[[#This Row],[SC Qty]] * IF(ISNUMBER(SnapshotTable[[#This Row],[SC Buyback Override]]), SnapshotTable[[#This Row],[SC Buyback Override]], SnapshotTable[[#This Row],[SC Current Ask]]), "")</f>
        <v/>
      </c>
      <c r="FK339" s="250" t="str">
        <f>IF(SnapshotTable[[#This Row],[SC Time Val]]&gt;0, SnapshotTable[[#This Row],[SC Time Val]] / SnapshotTable[[#This Row],[Last Price]],"")</f>
        <v/>
      </c>
      <c r="FL339" s="302" t="str">
        <f>IF(SnapshotTable[[#This Row],[SC Is Booked]], ((SnapshotTable[[#This Row],[Last Price]] -SnapshotTable[[#This Row],[SC Strike Price]]) / SnapshotTable[[#This Row],[Last Price]]) * -1, "")</f>
        <v/>
      </c>
      <c r="FM339" s="157" t="str">
        <f>IF(SnapshotTable[[#This Row],[SC Is Booked]],  (SnapshotTable[[#This Row],[SC Qty]] * 100 * SnapshotTable[[#This Row],[SC Strike Price]]) - SnapshotTable[[#This Row],[SC Current Ask]], "")</f>
        <v/>
      </c>
      <c r="FN33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9" s="31" t="str">
        <f>IF(AND(ISNUMBER(SnapshotTable[[#This Row],[SC Exercise Gross]]), ISNUMBER(SnapshotTable[[#This Row],[Equity Basis Per Share]] )), SnapshotTable[[#This Row],[SC Exercise Gross]] - SnapshotTable[[#This Row],[Equity Basis Total]] +  SnapshotTable[[#This Row],[SC Premium]], "")</f>
        <v/>
      </c>
      <c r="FP339" s="5" t="str">
        <f>IF(ISNUMBER(SnapshotTable[[#This Row],[SC Exercise Gross]]), (SnapshotTable[[#This Row],[SC Exercise Gross]]) / (SnapshotTable[[#This Row],[SC Qty]] * 100), "")</f>
        <v/>
      </c>
      <c r="FQ339" s="27" t="str">
        <f>IF(SnapshotTable[[#This Row],[SC Is Booked]],SnapshotTable[[#This Row],[SC Time Val]] /SnapshotTable[[#This Row],[SC Basis]], "")</f>
        <v/>
      </c>
      <c r="FR339" s="27" t="str" cm="1">
        <f t="array" ref="FR339">IF(AND(ISNUMBER(SnapshotTable[[#This Row],[SC Term]]),ISNUMBER(SnapshotTable[[#This Row],[SC Simple ROO]])), EllmanAnnualize(SnapshotTable[[#This Row],[SC DTE]], SnapshotTable[[#This Row],[SC Simple ROO]] ),"")</f>
        <v/>
      </c>
      <c r="FS339" s="4" t="e">
        <f>IF(SnapshotTable[[#This Row],[SC Strike Price]] &gt; SnapshotTable[[#This Row],[Last Price]], SnapshotTable[[#This Row],[SC Strike Price]] - SnapshotTable[[#This Row],[Last Price]],0)</f>
        <v>#VALUE!</v>
      </c>
      <c r="FT339" s="27" t="e">
        <f>IF(AND(ISNUMBER(SnapshotTable[[#This Row],[SC Upside Potential]]), SnapshotTable[[#This Row],[SC Upside Potential]] &gt; 0),(SnapshotTable[[#This Row],[SC Upside Potential]]/ SnapshotTable[[#This Row],[ACB]]),"")</f>
        <v>#VALUE!</v>
      </c>
      <c r="FU339" s="333" t="str">
        <f>IF(SnapshotTable[[#This Row],[SC Intrinsic Value]] &gt; 0,SnapshotTable[[#This Row],[SC Intrinsic Value]],"")</f>
        <v/>
      </c>
      <c r="FV339" s="27" t="str">
        <f>IF(AND( ISNUMBER( SnapshotTable[[#This Row],[ACB]]),ISNUMBER(SnapshotTable[[#This Row],[SC Downside Protect]])),SnapshotTable[[#This Row],[SC Downside Protect]] / SnapshotTable[[#This Row],[ACB]],"")</f>
        <v/>
      </c>
      <c r="FW339" s="236" t="str">
        <f>IF(AND(ISNUMBER(SnapshotTable[[#This Row],[SC Simple ROO]]),SnapshotTable[[#This Row],[SC Simple ROO]] &gt; 0), SnapshotTable[[#This Row],[SC Premium]] + (SnapshotTable[[#This Row],[SC Qty]] * SnapshotTable[[#This Row],[SC Upside Potential]]), "")</f>
        <v/>
      </c>
      <c r="FX339" s="302" t="str" cm="1">
        <f t="array" ref="FX339">IF(ISNUMBER(SnapshotTable[[#This Row],[SC Max Dollars]]), annualize(SnapshotTable[[#This Row],[SC Term]],(SnapshotTable[[#This Row],[SC Max Dollars]]/SnapshotTable[[#This Row],[SC Basis]])),"")</f>
        <v/>
      </c>
      <c r="FY339" s="236" t="str">
        <f>IF(AND(SnapshotTable[[#This Row],[SC Qty]]&gt;0,SnapshotTable[[#This Row],[SC Current Ask]]&gt;0), SnapshotTable[[#This Row],[SC Qty]] * SnapshotTable[[#This Row],[SC Current Ask]] * -100, "")</f>
        <v/>
      </c>
      <c r="FZ339" s="31" t="str">
        <f>IF(ISNUMBER((SnapshotTable[[#This Row],[SC Current Value]])), SnapshotTable[[#This Row],[SC Premium]] + SnapshotTable[[#This Row],[SC Current Value]], "")</f>
        <v/>
      </c>
      <c r="GA339" s="294" t="str">
        <f>IFERROR( IF(ISNUMBER((SnapshotTable[[#This Row],[SC Current Value]])), SnapshotTable[[#This Row],[SC Gain Loss]] / SnapshotTable[[#This Row],[SC Premium]], ""), "")</f>
        <v/>
      </c>
      <c r="GB339" s="42">
        <f>SnapshotTable[[#This Row],[Equity Shares]] * SaleSharesToConsiderPercentage</f>
        <v>0</v>
      </c>
      <c r="GC339" s="40">
        <f>SnapshotTable[[#This Row],[Long Term Target]] * SellingPriceToConsiderBasedOnTargetPercentage</f>
        <v>38.047499999999992</v>
      </c>
      <c r="GD339" s="40">
        <f>SnapshotTable[[#This Row],[Last Price]] * (1+ SellingPriceToConsiderBasedOnTargetPercentage)</f>
        <v>28.625999999999998</v>
      </c>
      <c r="GE339" s="41"/>
      <c r="GF339" s="40"/>
      <c r="GG339" s="31">
        <f>SnapshotTable[[#This Row],[Booked Sale Shares]] * SnapshotTable[[#This Row],[Booked Sale Price]]</f>
        <v>0</v>
      </c>
      <c r="GH339" s="31" t="str">
        <f>IF(SnapshotTable[[#This Row],[Equity Basis Total]] &gt; 0, SnapshotTable[[#This Row],[Equity Basis Per Share]] * SnapshotTable[[#This Row],[Booked Sale Shares]], "")</f>
        <v/>
      </c>
      <c r="GI339" s="31">
        <f>IF(SnapshotTable[[#This Row],[Sale Proceeds]]&gt;0, SnapshotTable[[#This Row],[Sale Proceeds]] - SnapshotTable[[#This Row],[Sale Basis]], 0)</f>
        <v>0</v>
      </c>
      <c r="GJ339" s="27" t="str">
        <f>IF(SnapshotTable[[#This Row],[Sale G/L]]&gt;0, SnapshotTable[[#This Row],[Sale G/L]] / SnapshotTable[[#This Row],[Sale Basis]], IF(ISNUMBER(SnapshotTable[[#This Row],[SC Exercise P&amp;L (TAX)]]), SnapshotTable[[#This Row],[SC Exercise P&amp;L (TAX)]] / SnapshotTable[[#This Row],[SC Basis]], ""))</f>
        <v/>
      </c>
      <c r="GK339" s="27"/>
      <c r="GL339" s="43" t="str">
        <f>IF(AND(SnapshotTable[[#This Row],[LP Exp Date]]&gt;0,SnapshotTable[[#This Row],[LP Strike Price]]&gt;0), [1]!ToOptionSymbol(SnapshotTable[[#This Row],[Symbol]], SnapshotTable[[#This Row],[LP Strike Price]],SnapshotTable[[#This Row],[LP Exp Date]],1), "")</f>
        <v/>
      </c>
      <c r="GM339" s="30" t="str">
        <f>IF(LEN(SnapshotTable[[#This Row],[LP Symbol]])&gt;0, 1, "")</f>
        <v/>
      </c>
      <c r="GN339" s="43" t="str">
        <f>IF(AND(SnapshotTable[[#This Row],[SP Exp Date]]&gt;0,SnapshotTable[[#This Row],[SP Strike Price]]&gt;0), [1]!ToOptionSymbol(SnapshotTable[[#This Row],[Symbol]], SnapshotTable[[#This Row],[SP Strike Price]],SnapshotTable[[#This Row],[SP Exp Date]],1), "")</f>
        <v/>
      </c>
      <c r="GO339" s="30" t="str">
        <f>IF(LEN(SnapshotTable[[#This Row],[SP Symbol]])&gt;0, 1, "")</f>
        <v/>
      </c>
      <c r="GP339" s="43" t="str">
        <f>IF(AND(SnapshotTable[[#This Row],[LC Exp Date]]&gt;0,SnapshotTable[[#This Row],[LC Strike Price]]&gt;0), [1]!ToOptionSymbol(SnapshotTable[[#This Row],[Symbol]], SnapshotTable[[#This Row],[LC Strike Price]],SnapshotTable[[#This Row],[LC Exp Date]],0), "")</f>
        <v/>
      </c>
      <c r="GQ339" s="30" t="str">
        <f>IF(LEN(SnapshotTable[[#This Row],[LC Symbol]])&gt;0, 1, "")</f>
        <v/>
      </c>
      <c r="GR339" s="43" t="str">
        <f>IF(AND(SnapshotTable[[#This Row],[SC Exp Date]]&gt;0,SnapshotTable[[#This Row],[SC Strike Price]]&gt;0), [1]!ToOptionSymbol(SnapshotTable[[#This Row],[Symbol]], SnapshotTable[[#This Row],[SC Strike Price]],SnapshotTable[[#This Row],[SC Exp Date]],0), "")</f>
        <v/>
      </c>
      <c r="GS339" s="30" t="str">
        <f>IF(LEN(SnapshotTable[[#This Row],[SC Symbol]])&gt;0, 1, "")</f>
        <v/>
      </c>
      <c r="GT339" s="29" t="str">
        <f>IF(COUNT(SnapshotTable[[#This Row],[LP Symbol Count]],SnapshotTable[[#This Row],[SP Symbol Count]],SnapshotTable[[#This Row],[LC Symbol Count]],SnapshotTable[[#This Row],[SC Symbol Count]])&gt;0, "Y", "")</f>
        <v/>
      </c>
      <c r="GU33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9" s="231" t="e">
        <f>MAX(SnapshotTable[[#This Row],[Equity Basis Total]],SnapshotTable[[#This Row],[Equity Value]]) + (SnapshotTable[[#This Row],[SP Potential Spend]]- SnapshotTable[[#This Row],[SP Premium]] + SnapshotTable[[#This Row],[LP Premium]])+ (SnapshotTable[[#This Row],[LC Premium]] - SnapshotTable[[#This Row],[SC Premium]])</f>
        <v>#VALUE!</v>
      </c>
      <c r="GW339" s="139" t="e">
        <f>IF(AND(SnapshotTable[[#This Row],[Exposure]] &lt;&gt; 0),SnapshotTable[[#This Row],[Exposure]] / SnapshotTable[[#Totals],[Exposure]], "")</f>
        <v>#VALUE!</v>
      </c>
      <c r="HK339" s="1"/>
      <c r="HL339" s="1"/>
      <c r="HM339" s="1"/>
      <c r="HN339" s="1"/>
      <c r="HO339" s="1"/>
      <c r="HP339" s="1"/>
    </row>
    <row r="340" spans="2:224" ht="12.75" hidden="1" customHeight="1" x14ac:dyDescent="0.25">
      <c r="B340" s="12" t="s">
        <v>1026</v>
      </c>
      <c r="C340" s="422">
        <v>14.95</v>
      </c>
      <c r="D340" s="208" t="s">
        <v>578</v>
      </c>
      <c r="E340" s="39">
        <f>SnapshotTable[[#This Row],[Last Price]]*(1 -CrashDiscount)</f>
        <v>12.7075</v>
      </c>
      <c r="F340" s="26" t="s">
        <v>1027</v>
      </c>
      <c r="G340" s="325" t="s">
        <v>4</v>
      </c>
      <c r="H340" s="149"/>
      <c r="I340" s="194">
        <v>44777.708333333336</v>
      </c>
      <c r="J340" s="195">
        <v>44777.708333333336</v>
      </c>
      <c r="K340" s="196"/>
      <c r="L340" s="326"/>
      <c r="M340" s="140"/>
      <c r="N340" s="140"/>
      <c r="O340" s="140"/>
      <c r="P340" s="22"/>
      <c r="Q340" s="25"/>
      <c r="R340" s="4" t="str">
        <f>IF(SnapshotTable[[#This Row],[Equity Basis Total]] &gt; 0, SnapshotTable[[#This Row],[Equity Basis Total]] / SnapshotTable[[#This Row],[Equity Shares]], "")</f>
        <v/>
      </c>
      <c r="S340" s="269">
        <f>SnapshotTable[[#This Row],[Last Price]] * SnapshotTable[[#This Row],[Equity Shares]]</f>
        <v>0</v>
      </c>
      <c r="T340" s="269">
        <f>SnapshotTable[[#This Row],[Equity Value]] - SnapshotTable[[#This Row],[Equity Basis Total]]</f>
        <v>0</v>
      </c>
      <c r="U340" s="270" t="str">
        <f>IF(SnapshotTable[[#This Row],[Equity Basis Total]] &gt; 0, SnapshotTable[[#This Row],[Equity G/L]] / SnapshotTable[[#This Row],[Equity Basis Total]], "")</f>
        <v/>
      </c>
      <c r="V340" s="268"/>
      <c r="W340" s="268"/>
      <c r="X340" s="4" t="str">
        <f>IF(AND(ISNUMBER(SnapshotTable[[#This Row],[Equity Basis Per Share]]),ISNUMBER(SnapshotTable[[#This Row],[Equity Target]])),SnapshotTable[[#This Row],[Equity Target]]-SnapshotTable[[#This Row],[Equity Basis Per Share]],"")</f>
        <v/>
      </c>
      <c r="Y340" s="4" t="str">
        <f>IF(AND(ISNUMBER(SnapshotTable[[#This Row],[Equity Basis Per Share]]),ISNUMBER(SnapshotTable[[#This Row],[Equity Stop Loss]])),SnapshotTable[[#This Row],[Equity Stop Loss]]-SnapshotTable[[#This Row],[Equity Basis Per Share]],"")</f>
        <v/>
      </c>
      <c r="Z340" s="275" t="str">
        <f>IFERROR( TEXT(SnapshotTable[[#This Row],[Equity Max Gain Per Share]] /ABS( SnapshotTable[[#This Row],[Equity Max Loss Per Share]]),"0.0 " ) &amp; " : 1", "")</f>
        <v/>
      </c>
      <c r="AA340" s="31" t="str">
        <f>IF(ISNUMBER(SnapshotTable[[#This Row],[Equity Max Gain Per Share]]),SnapshotTable[[#This Row],[Equity Max Gain Per Share]] * SnapshotTable[[#This Row],[Equity Shares]],"")</f>
        <v/>
      </c>
      <c r="AB340" s="31" t="str">
        <f>IF(ISNUMBER(SnapshotTable[[#This Row],[Equity Max Loss Per Share]]),SnapshotTable[[#This Row],[Equity Max Loss Per Share]] * SnapshotTable[[#This Row],[Equity Shares]],"")</f>
        <v/>
      </c>
      <c r="AC340" s="150"/>
      <c r="AD340" s="151"/>
      <c r="AE340" s="31">
        <f>(SnapshotTable[[#This Row],[Annual Dividend Per Share]] / 4) * SnapshotTable[[#This Row],[Equity Shares]]</f>
        <v>0</v>
      </c>
      <c r="AF340" s="31">
        <f>SnapshotTable[[#This Row],[Quarterly Div $]] * 4</f>
        <v>0</v>
      </c>
      <c r="AG340" s="7">
        <f>IF(SnapshotTable[[#This Row],[Annual Dividend Per Share]]&gt;0, SnapshotTable[[#This Row],[Annual Dividend Per Share]]  / SnapshotTable[[#This Row],[Last Price]], 0)</f>
        <v>0</v>
      </c>
      <c r="AH340" s="151"/>
      <c r="AI340" s="5"/>
      <c r="AJ340" s="138">
        <v>10</v>
      </c>
      <c r="AK340" s="152" t="str">
        <f>IF(ISNUMBER( SnapshotTable[[#This Row],[EBF Target]]),(SnapshotTable[[#This Row],[EBF Target]] - SnapshotTable[[#This Row],[Last Price]]) / SnapshotTable[[#This Row],[Last Price]], "")</f>
        <v/>
      </c>
      <c r="AL340" s="152" t="str">
        <f>IF(AND(SnapshotTable[[#This Row],[Equity Basis Total]] &gt; 0,ISNUMBER( SnapshotTable[[#This Row],[Long Term Target]])), SnapshotTable[[#This Row],[From Basis $]] / SnapshotTable[[#This Row],[Equity Basis Total]], "")</f>
        <v/>
      </c>
      <c r="AM340" s="9">
        <f>IF( AND(SnapshotTable[[#This Row],[Equity Shares]] &gt;0,ISNUMBER( SnapshotTable[[#This Row],[Long Term Target]])),(SnapshotTable[[#This Row],[Equity Shares]] * SnapshotTable[[#This Row],[Long Term Target]]) - SnapshotTable[[#This Row],[Equity Basis Total]],0)</f>
        <v>0</v>
      </c>
      <c r="AN340" s="9">
        <f>IF( AND(SnapshotTable[[#This Row],[Equity Shares]] &gt;0,ISNUMBER( SnapshotTable[[#This Row],[Long Term Target]])),(SnapshotTable[[#This Row],[Equity Shares]]*SnapshotTable[[#This Row],[Long Term Target]]) - SnapshotTable[[#This Row],[Equity Value]],0)</f>
        <v>0</v>
      </c>
      <c r="AO340" s="152">
        <f>IF(AND(ISNUMBER( SnapshotTable[[#This Row],[Long Term Target]]), ISNUMBER(SnapshotTable[[#This Row],[Last Price]])),(SnapshotTable[[#This Row],[Long Term Target]] - SnapshotTable[[#This Row],[Last Price]]) / SnapshotTable[[#This Row],[Last Price]], "")</f>
        <v>-0.33110367892976583</v>
      </c>
      <c r="AP340" s="5">
        <v>16</v>
      </c>
      <c r="AQ340" s="38" t="s">
        <v>89</v>
      </c>
      <c r="AR340" s="5">
        <v>15.37</v>
      </c>
      <c r="AS340" s="38" t="s">
        <v>142</v>
      </c>
      <c r="AT340" s="146" t="s">
        <v>575</v>
      </c>
      <c r="AU340" s="187" t="str">
        <f>IF(OR(SnapshotTable[[#This Row],[LP No Fill]]="Y",SnapshotTable[[#This Row],[SP Is Filled]],SnapshotTable[[#This Row],[LC Not Filled]]="Y",SnapshotTable[[#This Row],[SC Is Filled]]),"Y","")</f>
        <v/>
      </c>
      <c r="AV340" s="219">
        <v>15.37</v>
      </c>
      <c r="AW340" s="225"/>
      <c r="AX340" s="220"/>
      <c r="AY340" s="219" t="str">
        <f>IF(SnapshotTable[[#This Row],[Implied Move]]&gt;0, SnapshotTable[[#This Row],[Last Price]]-SnapshotTable[[#This Row],[Implied Move]],"")</f>
        <v/>
      </c>
      <c r="AZ340" s="219" t="str">
        <f>IF(SnapshotTable[[#This Row],[Implied Move]]&gt;0, SnapshotTable[[#This Row],[Last Price]] + SnapshotTable[[#This Row],[Implied Move]],"")</f>
        <v/>
      </c>
      <c r="BA340" s="331">
        <v>1</v>
      </c>
      <c r="BB340" s="347"/>
      <c r="BC34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0" s="351"/>
      <c r="BE340" s="138"/>
      <c r="BF340" s="166"/>
      <c r="BG340" s="167"/>
      <c r="BH340" s="167"/>
      <c r="BI340" s="221"/>
      <c r="BJ340" s="153">
        <f>IF(SnapshotTable[[#This Row],[LP Qty]] &gt; 0, SnapshotTable[[#This Row],[LP Qty]] * SnapshotTable[[#This Row],[LP Book Price]] * 100,0)</f>
        <v>0</v>
      </c>
      <c r="BK340" s="136">
        <f>IF(SnapshotTable[[#This Row],[LP Premium]] &gt; 0, SnapshotTable[[#This Row],[LP Qty]] * SnapshotTable[[#This Row],[LP Strike Price]] * 100,0)</f>
        <v>0</v>
      </c>
      <c r="BL340" s="154"/>
      <c r="BM340" s="385" t="str">
        <f>IF(SnapshotTable[[#This Row],[LP Premium]] &gt; 0,SnapshotTable[[#This Row],[LP Exp Date]]-MAX(SnapshotTable[[#This Row],[LP Book Date]], SnapshotTable[[#This Row],[LP Fill Date]]),"")</f>
        <v/>
      </c>
      <c r="BN340" s="385" t="str">
        <f>IF(ISNUMBER( SnapshotTable[[#This Row],[LP Term]]), SnapshotTable[[#This Row],[LP Exp Date]] - MockToday,"")</f>
        <v/>
      </c>
      <c r="BO340" s="163" t="str">
        <f>IF(AND(SnapshotTable[[#This Row],[LP Exp Date]]&gt;0, SnapshotTable[[#This Row],[LP Strike Price]]&gt;0,SnapshotTable[[#This Row],[LP Qty]]&gt;0,SnapshotTable[[#This Row],[LP Book Date]]&gt;0,SnapshotTable[[#This Row],[LP Book Price]]&gt;0,SnapshotTable[[#This Row],[LP Fill Date]]=0),"Y","")</f>
        <v/>
      </c>
      <c r="BP340" s="31" t="str">
        <f>IF(AND(SnapshotTable[[#This Row],[LP No Fill]]&lt;&gt;"Y",SnapshotTable[[#This Row],[LP Contract Value]]&gt;0, SnapshotTable[[#This Row],[LP Qty]]&gt;0), SnapshotTable[[#This Row],[LP Contract Value]]*SnapshotTable[[#This Row],[LP Qty]]*100,"")</f>
        <v/>
      </c>
      <c r="BQ340" s="13"/>
      <c r="BR340" s="5" t="str">
        <f>IF(SnapshotTable[[#This Row],[SP Exp Date]]&lt;&gt;"",TRUNC(SnapshotTable[[#This Row],[Last Price]]),"")</f>
        <v/>
      </c>
      <c r="BS340" s="36"/>
      <c r="BT340" s="147"/>
      <c r="BU340" s="13"/>
      <c r="BV340" s="5"/>
      <c r="BW340" s="419" t="b">
        <f>AND(ISNUMBER(SnapshotTable[[#This Row],[SP Exp Date]]), ISNUMBER(SnapshotTable[[#This Row],[SP Strike Price]]), ISNUMBER(SnapshotTable[[#This Row],[SP Qty]]), ISNUMBER(SnapshotTable[[#This Row],[SP Book Date]]), ISNUMBER(SnapshotTable[[#This Row],[SP Book Price]]))</f>
        <v>0</v>
      </c>
      <c r="BX340" s="419" t="b">
        <f>AND(SnapshotTable[[#This Row],[SP Is Booked]], NOT(ISBLANK(SnapshotTable[[#This Row],[SP Fill Date]])))</f>
        <v>0</v>
      </c>
      <c r="BY340" s="33">
        <f>IF(SnapshotTable[[#This Row],[SP Is Booked]], SnapshotTable[[#This Row],[SP Qty]] * SnapshotTable[[#This Row],[SP Book Price]] * 100, 0)</f>
        <v>0</v>
      </c>
      <c r="BZ340" s="369"/>
      <c r="CA340" s="368">
        <f>SnapshotTable[[#This Row],[LP Qty]]</f>
        <v>0</v>
      </c>
      <c r="CB340" s="4" t="str">
        <f>IF(SnapshotTable[[#This Row],[SP Is Booked]], SnapshotTable[[#This Row],[SP Strike Price]] - SnapshotTable[[#This Row],[SP Book Price]], "")</f>
        <v/>
      </c>
      <c r="CC340" s="19" t="str">
        <f>IF(SnapshotTable[[#This Row],[SP Is Booked]],SnapshotTable[[#This Row],[SP Exp Date]]-MAX(SnapshotTable[[#This Row],[SP Book Date]], SnapshotTable[[#This Row],[SP Fill Date]]),"")</f>
        <v/>
      </c>
      <c r="CD340" s="7" t="str">
        <f>IF(SnapshotTable[[#This Row],[SP Is Booked]], SnapshotTable[[#This Row],[SP Book Price]]/SnapshotTable[[#This Row],[SP Strike Price]], "")</f>
        <v/>
      </c>
      <c r="CE340" s="7" t="str">
        <f>IF(ISNUMBER(SnapshotTable[[#This Row],[SP ROO Term]]),SnapshotTable[[#This Row],[SP ROO Term]]*(365/SnapshotTable[[#This Row],[SP Term]]),"")</f>
        <v/>
      </c>
      <c r="CF340" s="236">
        <f>SnapshotTable[[#This Row],[LP Strike Price]] * SnapshotTable[[#This Row],[LP Qty]] * 100</f>
        <v>0</v>
      </c>
      <c r="CG340" s="31" t="e">
        <f>IF(ISNUMBER(SnapshotTable[[#This Row],[SP Premium]]), (SnapshotTable[[#This Row],[SP Qty]] * SnapshotTable[[#This Row],[SP Strike Price]]* 100) - SnapshotTable[[#This Row],[LP Protection]], 0)</f>
        <v>#VALUE!</v>
      </c>
      <c r="CH340" s="7" t="str">
        <f>IF(ISNUMBER(SnapshotTable[[#This Row],[SP Break Even]]),-1 * (SnapshotTable[[#This Row],[SP Break Even]] - SnapshotTable[[#This Row],[Last Price]]) / SnapshotTable[[#This Row],[Last Price]], "")</f>
        <v/>
      </c>
      <c r="CI340" s="31">
        <f>IF(AND(ISNUMBER((SnapshotTable[[#This Row],[SP Potential Spend]])), SnapshotTable[[#This Row],[SP Strike Price]] &gt; SnapshotTable[[#This Row],[Last Price]], SnapshotTable[[#This Row],[SP Is Filled]]), SnapshotTable[[#This Row],[SP Potential Spend]] -  SnapshotTable[[#This Row],[LP Max Value]], 0)</f>
        <v>0</v>
      </c>
      <c r="CJ340" s="244"/>
      <c r="CK340" s="31" t="str">
        <f>IF(ISNUMBER(SnapshotTable[[#This Row],[SP Potential Spend]]),IF(ISNUMBER(SnapshotTable[[#This Row],[SP POW]]), SnapshotTable[[#This Row],[SP POW]] * SnapshotTable[[#This Row],[SP Potential Spend]], SnapshotTable[[#This Row],[SP Potential Spend]]), "")</f>
        <v/>
      </c>
      <c r="CL340" s="164" t="e">
        <f>IF(NOT(SnapshotTable[[#This Row],[SP Is Filled]]),(SnapshotTable[[#This Row],[SP Qty]] * SnapshotTable[[#This Row],[SP Strike Price]] * 100) - SnapshotTable[[#This Row],[LP Max Value]],"")</f>
        <v>#VALUE!</v>
      </c>
      <c r="CM340" s="31" t="str">
        <f>IF(SnapshotTable[[#This Row],[SP Actual Spend]]&lt;&gt;0, ((SnapshotTable[[#This Row],[SP Strike Price]]-SnapshotTable[[#This Row],[Last Price]]) *(SnapshotTable[[#This Row],[SP Qty]]*100) - SnapshotTable[[#This Row],[SP Premium]]) * - 1, "")</f>
        <v/>
      </c>
      <c r="CN340" s="154"/>
      <c r="CO340" s="369"/>
      <c r="CP340" s="4" t="str">
        <f>IF(SnapshotTable[[#This Row],[SP Is Filled]], btc_max_buyback_amount(SnapshotTable[[#This Row],[SP Fill Date]],SnapshotTable[[#This Row],[SP Exp Date]], SnapshotTable[[#This Row],[SP Book Price]]),"")</f>
        <v/>
      </c>
      <c r="CQ340" s="78"/>
      <c r="CR34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0" s="155" t="str">
        <f>IF(SnapshotTable[[#This Row],[SP Is Filled]], btc_next_cutoff_date(SnapshotTable[[#This Row],[SP Fill Date]],SnapshotTable[[#This Row],[SP Exp Date]]),"")</f>
        <v/>
      </c>
      <c r="CT340" s="235" t="str" cm="1">
        <f t="array" ref="CT340">IF(SnapshotTable[[#This Row],[SP Is Filled]], btc_should_buy_back(SnapshotTable[[#This Row],[SP Fill Date]], SnapshotTable[[#This Row],[SP Exp Date]], SnapshotTable[[#This Row],[SP Book Price]], SnapshotTable[[#This Row],[SP Current Ask]], MockToday, SnapshotTable[[#This Row],[SP Buyback Override]]),"")</f>
        <v/>
      </c>
      <c r="CU340" s="143"/>
      <c r="CV340" s="235"/>
      <c r="CW340" s="378" t="str">
        <f>IF(ISNUMBER( SnapshotTable[[#This Row],[SP Term]]), SnapshotTable[[#This Row],[SP Exp Date]] - MockToday,"")</f>
        <v/>
      </c>
      <c r="CX340" s="31" t="str">
        <f>IF(SnapshotTable[[#This Row],[SP Is Filled]],SnapshotTable[[#This Row],[SP Buyback Price to Use]] * 100 * SnapshotTable[[#This Row],[SP Qty]], "")</f>
        <v/>
      </c>
      <c r="CY340" s="4" t="str">
        <f>IF(ISNUMBER(SnapshotTable[[#This Row],[SP Strike Price]]), SnapshotTable[[#This Row],[SP Strike Price]] * (1 - SP_MaxLoss_StrikePct), "")</f>
        <v/>
      </c>
      <c r="CZ340" s="31" t="str">
        <f>IF(ISNUMBER(SnapshotTable[[#This Row],[SP Strike  Stop Per Share]]),SnapshotTable[[#This Row],[SP Premium]] - ((SnapshotTable[[#This Row],[SP Strike Price]]-SnapshotTable[[#This Row],[SP Strike  Stop Per Share]]) *(SnapshotTable[[#This Row],[SP Qty]] * 100)),"")</f>
        <v/>
      </c>
      <c r="DA340" s="4" t="str">
        <f>IF(AND(ISNUMBER(SnapshotTable[[#This Row],[SP Premium]]),SnapshotTable[[#This Row],[SP Premium]]&gt;0), SnapshotTable[[#This Row],[SP Book Price]] * (1 + SP_MaxLoss_OptionPct), "")</f>
        <v/>
      </c>
      <c r="DB340" s="31" t="str">
        <f>IF(ISNUMBER(SnapshotTable[[#This Row],[SP Option  Stop Contract]]),(SnapshotTable[[#This Row],[SP Option  Stop Contract]] *(SnapshotTable[[#This Row],[SP Qty]] * 100) - SnapshotTable[[#This Row],[SP Premium]]),"")</f>
        <v/>
      </c>
      <c r="DC340" s="4"/>
      <c r="DD340" s="4"/>
      <c r="DE340" s="4" t="str">
        <f>IF(AND(SnapshotTable[[#This Row],[SP Qty]]&gt;0, SnapshotTable[[#This Row],[SP Stop To Use]]&gt;0),SnapshotTable[[#This Row],[SP Premium]] - ( SnapshotTable[[#This Row],[SP Qty]] * SnapshotTable[[#This Row],[SP Stop To Use]] * 100), "")</f>
        <v/>
      </c>
      <c r="DF340" s="31" t="str">
        <f>IF(AND(SnapshotTable[[#This Row],[SP Qty]]&gt;0,SnapshotTable[[#This Row],[SP Current Ask]]&gt;0), SnapshotTable[[#This Row],[SP Qty]] * SnapshotTable[[#This Row],[SP Current Ask]] * -100, "")</f>
        <v/>
      </c>
      <c r="DG340" s="31" t="str">
        <f>IF(ISNUMBER((SnapshotTable[[#This Row],[SP Total Value]])), SnapshotTable[[#This Row],[SP Premium]] + SnapshotTable[[#This Row],[SP Total Value]], "")</f>
        <v/>
      </c>
      <c r="DH340" s="294" t="str">
        <f>IF(ISNUMBER((SnapshotTable[[#This Row],[SP Total Value]])), SnapshotTable[[#This Row],[SP Gain Loss]] / SnapshotTable[[#This Row],[SP Premium]], "")</f>
        <v/>
      </c>
      <c r="DI340" s="406"/>
      <c r="DJ340" s="138"/>
      <c r="DK340" s="148"/>
      <c r="DL340" s="147"/>
      <c r="DM340" s="147"/>
      <c r="DO340" s="31">
        <f>IF(SnapshotTable[[#This Row],[LC Symbol Count]]=1, SnapshotTable[[#This Row],[LC Qty]] * SnapshotTable[[#This Row],[LC Book Price]] * 100, 0)</f>
        <v>0</v>
      </c>
      <c r="DP340" s="163" t="str">
        <f>IF(AND(SnapshotTable[[#This Row],[LC Exp Date]]&gt;0, SnapshotTable[[#This Row],[LC Strike Price]]&gt;0,SnapshotTable[[#This Row],[LC Qty]]&gt;0,SnapshotTable[[#This Row],[LC Book Date]]&gt;0,SnapshotTable[[#This Row],[LC Book Price]]&gt;0,SnapshotTable[[#This Row],[LC Fill Date]]=0),"Y","")</f>
        <v/>
      </c>
      <c r="DQ340" s="386" t="str">
        <f>IF(SnapshotTable[[#This Row],[LC Premium]] &gt; 0,SnapshotTable[[#This Row],[LC Exp Date]]-MAX(SnapshotTable[[#This Row],[LC Book Date]], SnapshotTable[[#This Row],[LC Fill Date]]),"")</f>
        <v/>
      </c>
      <c r="DR340" s="386" t="str">
        <f>IF(ISNUMBER(SnapshotTable[[#This Row],[LC Term]]), SnapshotTable[[#This Row],[LC Exp Date]] - MockToday, "")</f>
        <v/>
      </c>
      <c r="DS340" s="234" t="str">
        <f>IF(SnapshotTable[[#This Row],[LC Premium]]&gt;0,SnapshotTable[[#This Row],[LC Strike Price]] + SnapshotTable[[#This Row],[LC Book Price]],"")</f>
        <v/>
      </c>
      <c r="DU340" s="9" t="str">
        <f>IF(AND(SnapshotTable[[#This Row],[LC Symbol Count]]&gt;0, SnapshotTable[[#This Row],[LC Contract Value]]&gt;0), SnapshotTable[[#This Row],[LC Contract Value]] * SnapshotTable[[#This Row],[LC Qty]] * 100, "")</f>
        <v/>
      </c>
      <c r="DV340" s="9" t="str">
        <f>IF(AND(ISNUMBER(SnapshotTable[[#This Row],[LC Total Value]]), SnapshotTable[[#This Row],[LC Not Filled]]&lt;&gt;"Y"), SnapshotTable[[#This Row],[LC Total Value]]-SnapshotTable[[#This Row],[LC Premium]],"")</f>
        <v/>
      </c>
      <c r="DW340" s="240" t="str">
        <f>IF(ISNUMBER(SnapshotTable[[#This Row],[LC Actual Gain Loss]]), SnapshotTable[[#This Row],[LC Actual Gain Loss]] / SnapshotTable[[#This Row],[LC Premium]],"")</f>
        <v/>
      </c>
      <c r="DX340" s="284" t="str">
        <f>IF(ISNUMBER(SnapshotTable[[#This Row],[LC Book Price]]),SnapshotTable[[#This Row],[LC Book Price]] * 1.5,"")</f>
        <v/>
      </c>
      <c r="DY340" s="265" t="str">
        <f>IF(SnapshotTable[[#This Row],[LC Premium]]&gt;0, SnapshotTable[[#This Row],[LC Next Target]] * SnapshotTable[[#This Row],[LC Qty]] * 100,"")</f>
        <v/>
      </c>
      <c r="DZ340" s="265" t="str">
        <f>IF(ISNUMBER(SnapshotTable[[#This Row],[LC Target Gross]]), SnapshotTable[[#This Row],[LC Target Gross]] - SnapshotTable[[#This Row],[LC Premium]], "")</f>
        <v/>
      </c>
      <c r="EA340" s="305" t="str">
        <f>IF(ISNUMBER(SnapshotTable[[#This Row],[LC Target Gain Loss]]), SnapshotTable[[#This Row],[LC Target Gain Loss]]/SnapshotTable[[#This Row],[LC Premium]], "")</f>
        <v/>
      </c>
      <c r="EB340" s="262"/>
      <c r="EC340" s="283" t="str">
        <f>IF(SnapshotTable[[#This Row],[LC Premium]]&gt;0, SnapshotTable[[#This Row],[LC Book Price]] * (1 - LC_StopLoss_Pct),"")</f>
        <v/>
      </c>
      <c r="ED340" s="284"/>
      <c r="EE340" s="283" t="str">
        <f>IF(ISNUMBER(SnapshotTable[[#This Row],[LC Contract Value]]),IF(ISNUMBER(SnapshotTable[[#This Row],[LC Stop Loss Override]]), SnapshotTable[[#This Row],[LC Stop Loss Override]],SnapshotTable[[#This Row],[LC Stop Loss Calc Target]]),"")</f>
        <v/>
      </c>
      <c r="EF340" s="31" t="str">
        <f>IF(ISNUMBER(SnapshotTable[[#This Row],[LC Stop  To Use]]), (SnapshotTable[[#This Row],[LC Stop  To Use]] * SnapshotTable[[#This Row],[LC Qty]] * 100),"")</f>
        <v/>
      </c>
      <c r="EG340" s="9" t="str">
        <f>IF(ISNUMBER(SnapshotTable[[#This Row],[LC Total Value]]),SnapshotTable[[#This Row],[LC Stop Loss Amount]] - SnapshotTable[[#This Row],[LC Premium]],"")</f>
        <v/>
      </c>
      <c r="EH340" s="9">
        <f>IF(ISNUMBER(SnapshotTable[[#This Row],[LC Premium]]), SnapshotTable[[#This Row],[LC Qty]] * 100 * SnapshotTable[[#This Row],[LC Strike Price]], "")</f>
        <v>0</v>
      </c>
      <c r="EI340" s="240" t="str">
        <f>IF(AND(ISNUMBER(SnapshotTable[[#This Row],[LC Total Value]]),SnapshotTable[[#This Row],[LC Total Value]]&gt;0),SnapshotTable[[#This Row],[LC Stop Gain Loss]]  / SnapshotTable[[#This Row],[LC Premium]],"")</f>
        <v/>
      </c>
      <c r="EJ340" s="35">
        <f>IF(ISNUMBER(SnapshotTable[[#This Row],[Equity Shares]]),TRUNC(SnapshotTable[[#This Row],[Equity Shares]] / 100),0) + SnapshotTable[[#This Row],[LC Qty]]</f>
        <v>0</v>
      </c>
      <c r="EK340" s="147"/>
      <c r="EL340" s="138" t="str">
        <f>IF(SnapshotTable[[#This Row],[SC Exp Date]]&lt;&gt;"",TRUNC(SnapshotTable[[#This Row],[Last Price]]),"")</f>
        <v/>
      </c>
      <c r="EM340" s="148"/>
      <c r="EN340" s="147"/>
      <c r="EO340" s="147"/>
      <c r="EP340" s="138"/>
      <c r="EQ340" s="419" t="b">
        <f>AND(ISNUMBER(SnapshotTable[[#This Row],[SC Exp Date]]), ISNUMBER(SnapshotTable[[#This Row],[SC Strike Price]]), ISNUMBER(SnapshotTable[[#This Row],[SC Qty]]), ISNUMBER(SnapshotTable[[#This Row],[SC Book Date]]), ISNUMBER(SnapshotTable[[#This Row],[SC Book Price]]))</f>
        <v>0</v>
      </c>
      <c r="ER340" s="419" t="b">
        <f>AND(SnapshotTable[[#This Row],[SC Is Booked]], NOT(ISBLANK(SnapshotTable[[#This Row],[SC Fill Date]])))</f>
        <v>0</v>
      </c>
      <c r="ES340" s="370"/>
      <c r="ET340" s="34" t="str">
        <f>IF(AND(ISNUMBER(SnapshotTable[[#This Row],[SC Exp Date]]), ISNUMBER(SnapshotTable[[#This Row],[SC Book Date]])), SnapshotTable[[#This Row],[SC Exp Date]] - MAX(SnapshotTable[[#This Row],[SC Book Date]], SnapshotTable[[#This Row],[SC Fill Date]]) + 1, "")</f>
        <v/>
      </c>
      <c r="EU340" s="34" t="str">
        <f>IF(ISNUMBER(SnapshotTable[[#This Row],[SC Term]]), SnapshotTable[[#This Row],[SC Exp Date]]- MockToday, "")</f>
        <v/>
      </c>
      <c r="EV340" s="31">
        <f>IF(SnapshotTable[[#This Row],[SC Is Booked]], SnapshotTable[[#This Row],[SC Qty]] * SnapshotTable[[#This Row],[SC Book Price]] * 100, 0)</f>
        <v>0</v>
      </c>
      <c r="EW340" s="4" t="str">
        <f>IF(AND(ISNUMBER(SnapshotTable[[#This Row],[Last Price]]), ISNUMBER( SnapshotTable[[#This Row],[SC Book Price]])), SnapshotTable[[#This Row],[Last Price]] - SnapshotTable[[#This Row],[SC Book Price]],"")</f>
        <v/>
      </c>
      <c r="EX340" s="234" t="str">
        <f>IF(SnapshotTable[[#This Row],[SC Is Booked]],IF(SnapshotTable[[#This Row],[SC Intrinsic Value]] &gt; 0, SnapshotTable[[#This Row],[SC Strike Price]], SnapshotTable[[#This Row],[Last Price]]), "")</f>
        <v/>
      </c>
      <c r="EY340" s="4">
        <f>IF(SnapshotTable[[#This Row],[SC Is Booked]], (MinimumPremiumRequired * SnapshotTable[[#This Row],[SC Basis]] * SnapshotTable[[#This Row],[SC Term]]), 0)</f>
        <v>0</v>
      </c>
      <c r="EZ340" s="283"/>
      <c r="FA340" s="218"/>
      <c r="FB340" s="370"/>
      <c r="FC340" s="4">
        <f>IF(SnapshotTable[[#This Row],[SC Is Filled]], btc_max_buyback_amount(SnapshotTable[[#This Row],[SC Fill Date]],SnapshotTable[[#This Row],[SC Exp Date]], SnapshotTable[[#This Row],[SC Book Price]]),0)</f>
        <v>0</v>
      </c>
      <c r="FD340" s="5"/>
      <c r="FE340" s="144" t="str">
        <f>IF(SnapshotTable[[#This Row],[SC Is Filled]], btc_next_cutoff_date(SnapshotTable[[#This Row],[SC Fill Date]],SnapshotTable[[#This Row],[SC Exp Date]]),"")</f>
        <v/>
      </c>
      <c r="FF340" s="4" t="str" cm="1">
        <f t="array" ref="FF340">IF(SnapshotTable[[#This Row],[SC Is Filled]], btc_should_buy_back(SnapshotTable[[#This Row],[SC Fill Date]], SnapshotTable[[#This Row],[SC Exp Date]], SnapshotTable[[#This Row],[SC Book Price]], SnapshotTable[[#This Row],[SC Current Ask]], MockToday, SnapshotTable[[#This Row],[SC Buyback Override]]),"")</f>
        <v/>
      </c>
      <c r="FG340" s="4">
        <f>IF(SnapshotTable[[#This Row],[SC Is Filled]], MAX(0,SnapshotTable[[#This Row],[Last Price]]  - SnapshotTable[[#This Row],[SC Strike Price]]), 0)</f>
        <v>0</v>
      </c>
      <c r="FH340" s="382">
        <f>IF(SnapshotTable[[#This Row],[SC Is Filled]], IF(ISNUMBER(SnapshotTable[[#This Row],[SC Current Ask]]), SnapshotTable[[#This Row],[SC Current Ask]], SnapshotTable[[#This Row],[SC Book Price]]) - SnapshotTable[[#This Row],[SC Intrinsic Value]], 0)</f>
        <v>0</v>
      </c>
      <c r="FI340" s="143">
        <v>45786</v>
      </c>
      <c r="FJ340" s="32" t="str">
        <f>IF(SnapshotTable[[#This Row],[SC Is Filled]],100 * SnapshotTable[[#This Row],[SC Qty]] * IF(ISNUMBER(SnapshotTable[[#This Row],[SC Buyback Override]]), SnapshotTable[[#This Row],[SC Buyback Override]], SnapshotTable[[#This Row],[SC Current Ask]]), "")</f>
        <v/>
      </c>
      <c r="FK340" s="250" t="str">
        <f>IF(SnapshotTable[[#This Row],[SC Time Val]]&gt;0, SnapshotTable[[#This Row],[SC Time Val]] / SnapshotTable[[#This Row],[Last Price]],"")</f>
        <v/>
      </c>
      <c r="FL340" s="302" t="str">
        <f>IF(SnapshotTable[[#This Row],[SC Is Booked]], ((SnapshotTable[[#This Row],[Last Price]] -SnapshotTable[[#This Row],[SC Strike Price]]) / SnapshotTable[[#This Row],[Last Price]]) * -1, "")</f>
        <v/>
      </c>
      <c r="FM340" s="157" t="str">
        <f>IF(SnapshotTable[[#This Row],[SC Is Booked]],  (SnapshotTable[[#This Row],[SC Qty]] * 100 * SnapshotTable[[#This Row],[SC Strike Price]]) - SnapshotTable[[#This Row],[SC Current Ask]], "")</f>
        <v/>
      </c>
      <c r="FN340"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0" s="157" t="str">
        <f>IF(AND(ISNUMBER(SnapshotTable[[#This Row],[SC Exercise Gross]]), ISNUMBER(SnapshotTable[[#This Row],[Equity Basis Per Share]] )), SnapshotTable[[#This Row],[SC Exercise Gross]] - SnapshotTable[[#This Row],[Equity Basis Total]] +  SnapshotTable[[#This Row],[SC Premium]], "")</f>
        <v/>
      </c>
      <c r="FP340" s="5" t="str">
        <f>IF(ISNUMBER(SnapshotTable[[#This Row],[SC Exercise Gross]]), (SnapshotTable[[#This Row],[SC Exercise Gross]]) / (SnapshotTable[[#This Row],[SC Qty]] * 100), "")</f>
        <v/>
      </c>
      <c r="FQ340" s="27" t="str">
        <f>IF(SnapshotTable[[#This Row],[SC Is Booked]],SnapshotTable[[#This Row],[SC Time Val]] /SnapshotTable[[#This Row],[SC Basis]], "")</f>
        <v/>
      </c>
      <c r="FR340" s="27" t="str" cm="1">
        <f t="array" ref="FR340">IF(AND(ISNUMBER(SnapshotTable[[#This Row],[SC Term]]),ISNUMBER(SnapshotTable[[#This Row],[SC Simple ROO]])), EllmanAnnualize(SnapshotTable[[#This Row],[SC DTE]], SnapshotTable[[#This Row],[SC Simple ROO]] ),"")</f>
        <v/>
      </c>
      <c r="FS340" s="4" t="e">
        <f>IF(SnapshotTable[[#This Row],[SC Strike Price]] &gt; SnapshotTable[[#This Row],[Last Price]], SnapshotTable[[#This Row],[SC Strike Price]] - SnapshotTable[[#This Row],[Last Price]],0)</f>
        <v>#VALUE!</v>
      </c>
      <c r="FT340" s="27" t="e">
        <f>IF(AND(ISNUMBER(SnapshotTable[[#This Row],[SC Upside Potential]]), SnapshotTable[[#This Row],[SC Upside Potential]] &gt; 0),(SnapshotTable[[#This Row],[SC Upside Potential]]/ SnapshotTable[[#This Row],[ACB]]),"")</f>
        <v>#VALUE!</v>
      </c>
      <c r="FU340" s="333" t="str">
        <f>IF(SnapshotTable[[#This Row],[SC Intrinsic Value]] &gt; 0,SnapshotTable[[#This Row],[SC Intrinsic Value]],"")</f>
        <v/>
      </c>
      <c r="FV340" s="27" t="str">
        <f>IF(AND( ISNUMBER( SnapshotTable[[#This Row],[ACB]]),ISNUMBER(SnapshotTable[[#This Row],[SC Downside Protect]])),SnapshotTable[[#This Row],[SC Downside Protect]] / SnapshotTable[[#This Row],[ACB]],"")</f>
        <v/>
      </c>
      <c r="FW340" s="236" t="str">
        <f>IF(AND(ISNUMBER(SnapshotTable[[#This Row],[SC Simple ROO]]),SnapshotTable[[#This Row],[SC Simple ROO]] &gt; 0), SnapshotTable[[#This Row],[SC Premium]] + (SnapshotTable[[#This Row],[SC Qty]] * SnapshotTable[[#This Row],[SC Upside Potential]]), "")</f>
        <v/>
      </c>
      <c r="FX340" s="302" t="str" cm="1">
        <f t="array" ref="FX340">IF(ISNUMBER(SnapshotTable[[#This Row],[SC Max Dollars]]), annualize(SnapshotTable[[#This Row],[SC Term]],(SnapshotTable[[#This Row],[SC Max Dollars]]/SnapshotTable[[#This Row],[SC Basis]])),"")</f>
        <v/>
      </c>
      <c r="FY340" s="236" t="str">
        <f>IF(AND(SnapshotTable[[#This Row],[SC Qty]]&gt;0,SnapshotTable[[#This Row],[SC Current Ask]]&gt;0), SnapshotTable[[#This Row],[SC Qty]] * SnapshotTable[[#This Row],[SC Current Ask]] * -100, "")</f>
        <v/>
      </c>
      <c r="FZ340" s="235" t="str">
        <f>IF(ISNUMBER((SnapshotTable[[#This Row],[SC Current Value]])), SnapshotTable[[#This Row],[SC Premium]] + SnapshotTable[[#This Row],[SC Current Value]], "")</f>
        <v/>
      </c>
      <c r="GA340" s="294" t="str">
        <f>IFERROR( IF(ISNUMBER((SnapshotTable[[#This Row],[SC Current Value]])), SnapshotTable[[#This Row],[SC Gain Loss]] / SnapshotTable[[#This Row],[SC Premium]], ""), "")</f>
        <v/>
      </c>
      <c r="GB340" s="42">
        <f>SnapshotTable[[#This Row],[Equity Shares]] * SaleSharesToConsiderPercentage</f>
        <v>0</v>
      </c>
      <c r="GC340" s="40">
        <f>SnapshotTable[[#This Row],[Long Term Target]] * SellingPriceToConsiderBasedOnTargetPercentage</f>
        <v>9.5</v>
      </c>
      <c r="GD340" s="40">
        <f>SnapshotTable[[#This Row],[Last Price]] * (1+ SellingPriceToConsiderBasedOnTargetPercentage)</f>
        <v>29.152499999999996</v>
      </c>
      <c r="GE340" s="41"/>
      <c r="GF340" s="40"/>
      <c r="GG340" s="31">
        <f>SnapshotTable[[#This Row],[Booked Sale Shares]] * SnapshotTable[[#This Row],[Booked Sale Price]]</f>
        <v>0</v>
      </c>
      <c r="GH340" s="31" t="str">
        <f>IF(SnapshotTable[[#This Row],[Equity Basis Total]] &gt; 0, SnapshotTable[[#This Row],[Equity Basis Per Share]] * SnapshotTable[[#This Row],[Booked Sale Shares]], "")</f>
        <v/>
      </c>
      <c r="GI340" s="31">
        <f>IF(SnapshotTable[[#This Row],[Sale Proceeds]]&gt;0, SnapshotTable[[#This Row],[Sale Proceeds]] - SnapshotTable[[#This Row],[Sale Basis]], 0)</f>
        <v>0</v>
      </c>
      <c r="GJ340" s="158" t="str">
        <f>IF(SnapshotTable[[#This Row],[Sale G/L]]&gt;0, SnapshotTable[[#This Row],[Sale G/L]] / SnapshotTable[[#This Row],[Sale Basis]], IF(ISNUMBER(SnapshotTable[[#This Row],[SC Exercise P&amp;L (TAX)]]), SnapshotTable[[#This Row],[SC Exercise P&amp;L (TAX)]] / SnapshotTable[[#This Row],[SC Basis]], ""))</f>
        <v/>
      </c>
      <c r="GK340" s="27"/>
      <c r="GL340" s="159" t="str">
        <f>IF(AND(SnapshotTable[[#This Row],[LP Exp Date]]&gt;0,SnapshotTable[[#This Row],[LP Strike Price]]&gt;0), [1]!ToOptionSymbol(SnapshotTable[[#This Row],[Symbol]], SnapshotTable[[#This Row],[LP Strike Price]],SnapshotTable[[#This Row],[LP Exp Date]],1), "")</f>
        <v/>
      </c>
      <c r="GM340" s="30" t="str">
        <f>IF(LEN(SnapshotTable[[#This Row],[LP Symbol]])&gt;0, 1, "")</f>
        <v/>
      </c>
      <c r="GN340" s="43" t="str">
        <f>IF(AND(SnapshotTable[[#This Row],[SP Exp Date]]&gt;0,SnapshotTable[[#This Row],[SP Strike Price]]&gt;0), [1]!ToOptionSymbol(SnapshotTable[[#This Row],[Symbol]], SnapshotTable[[#This Row],[SP Strike Price]],SnapshotTable[[#This Row],[SP Exp Date]],1), "")</f>
        <v/>
      </c>
      <c r="GO340" s="30" t="str">
        <f>IF(LEN(SnapshotTable[[#This Row],[SP Symbol]])&gt;0, 1, "")</f>
        <v/>
      </c>
      <c r="GP340" s="159" t="str">
        <f>IF(AND(SnapshotTable[[#This Row],[LC Exp Date]]&gt;0,SnapshotTable[[#This Row],[LC Strike Price]]&gt;0), [1]!ToOptionSymbol(SnapshotTable[[#This Row],[Symbol]], SnapshotTable[[#This Row],[LC Strike Price]],SnapshotTable[[#This Row],[LC Exp Date]],0), "")</f>
        <v/>
      </c>
      <c r="GQ340" s="160" t="str">
        <f>IF(LEN(SnapshotTable[[#This Row],[LC Symbol]])&gt;0, 1, "")</f>
        <v/>
      </c>
      <c r="GR340" s="159" t="str">
        <f>IF(AND(SnapshotTable[[#This Row],[SC Exp Date]]&gt;0,SnapshotTable[[#This Row],[SC Strike Price]]&gt;0), [1]!ToOptionSymbol(SnapshotTable[[#This Row],[Symbol]], SnapshotTable[[#This Row],[SC Strike Price]],SnapshotTable[[#This Row],[SC Exp Date]],0), "")</f>
        <v/>
      </c>
      <c r="GS340" s="160" t="str">
        <f>IF(LEN(SnapshotTable[[#This Row],[SC Symbol]])&gt;0, 1, "")</f>
        <v/>
      </c>
      <c r="GT340" s="161" t="str">
        <f>IF(COUNT(SnapshotTable[[#This Row],[LP Symbol Count]],SnapshotTable[[#This Row],[SP Symbol Count]],SnapshotTable[[#This Row],[LC Symbol Count]],SnapshotTable[[#This Row],[SC Symbol Count]])&gt;0, "Y", "")</f>
        <v/>
      </c>
      <c r="GU34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40" s="231" t="e">
        <f>MAX(SnapshotTable[[#This Row],[Equity Basis Total]],SnapshotTable[[#This Row],[Equity Value]]) + (SnapshotTable[[#This Row],[SP Potential Spend]]- SnapshotTable[[#This Row],[SP Premium]] + SnapshotTable[[#This Row],[LP Premium]])+ (SnapshotTable[[#This Row],[LC Premium]] - SnapshotTable[[#This Row],[SC Premium]])</f>
        <v>#VALUE!</v>
      </c>
      <c r="GW340" s="139" t="e">
        <f>IF(AND(SnapshotTable[[#This Row],[Exposure]] &lt;&gt; 0),SnapshotTable[[#This Row],[Exposure]] / SnapshotTable[[#Totals],[Exposure]], "")</f>
        <v>#VALUE!</v>
      </c>
      <c r="GX340" s="13"/>
      <c r="HK340" s="1"/>
      <c r="HL340" s="1"/>
      <c r="HM340" s="1"/>
      <c r="HN340" s="1"/>
      <c r="HO340" s="1"/>
      <c r="HP340" s="1"/>
    </row>
    <row r="341" spans="2:224" ht="12.75" hidden="1" customHeight="1" x14ac:dyDescent="0.25">
      <c r="B341" s="12" t="s">
        <v>91</v>
      </c>
      <c r="C341" s="422">
        <v>310.92</v>
      </c>
      <c r="D341" s="208"/>
      <c r="E341" s="39">
        <f>SnapshotTable[[#This Row],[Last Price]]*(1 -CrashDiscount)</f>
        <v>264.28199999999998</v>
      </c>
      <c r="F341" s="26" t="s">
        <v>90</v>
      </c>
      <c r="G341" s="26" t="s">
        <v>41</v>
      </c>
      <c r="H341" s="149"/>
      <c r="I341" s="194">
        <v>44768.28125</v>
      </c>
      <c r="J341" s="195">
        <v>44768.28125</v>
      </c>
      <c r="K341" s="196"/>
      <c r="L341" s="326"/>
      <c r="M341" s="140"/>
      <c r="N341" s="140"/>
      <c r="O341" s="140"/>
      <c r="P341" s="22"/>
      <c r="Q341" s="25"/>
      <c r="R341" s="4" t="str">
        <f>IF(SnapshotTable[[#This Row],[Equity Basis Total]] &gt; 0, SnapshotTable[[#This Row],[Equity Basis Total]] / SnapshotTable[[#This Row],[Equity Shares]], "")</f>
        <v/>
      </c>
      <c r="S341" s="269">
        <f>SnapshotTable[[#This Row],[Last Price]] * SnapshotTable[[#This Row],[Equity Shares]]</f>
        <v>0</v>
      </c>
      <c r="T341" s="269">
        <f>SnapshotTable[[#This Row],[Equity Value]] - SnapshotTable[[#This Row],[Equity Basis Total]]</f>
        <v>0</v>
      </c>
      <c r="U341" s="270" t="str">
        <f>IF(SnapshotTable[[#This Row],[Equity Basis Total]] &gt; 0, SnapshotTable[[#This Row],[Equity G/L]] / SnapshotTable[[#This Row],[Equity Basis Total]], "")</f>
        <v/>
      </c>
      <c r="V341" s="268"/>
      <c r="W341" s="268"/>
      <c r="X341" s="4" t="str">
        <f>IF(AND(ISNUMBER(SnapshotTable[[#This Row],[Equity Basis Per Share]]),ISNUMBER(SnapshotTable[[#This Row],[Equity Target]])),SnapshotTable[[#This Row],[Equity Target]]-SnapshotTable[[#This Row],[Equity Basis Per Share]],"")</f>
        <v/>
      </c>
      <c r="Y341" s="4" t="str">
        <f>IF(AND(ISNUMBER(SnapshotTable[[#This Row],[Equity Basis Per Share]]),ISNUMBER(SnapshotTable[[#This Row],[Equity Stop Loss]])),SnapshotTable[[#This Row],[Equity Stop Loss]]-SnapshotTable[[#This Row],[Equity Basis Per Share]],"")</f>
        <v/>
      </c>
      <c r="Z341" s="275" t="str">
        <f>IFERROR( TEXT(SnapshotTable[[#This Row],[Equity Max Gain Per Share]] /ABS( SnapshotTable[[#This Row],[Equity Max Loss Per Share]]),"0.0 " ) &amp; " : 1", "")</f>
        <v/>
      </c>
      <c r="AA341" s="31" t="str">
        <f>IF(ISNUMBER(SnapshotTable[[#This Row],[Equity Max Gain Per Share]]),SnapshotTable[[#This Row],[Equity Max Gain Per Share]] * SnapshotTable[[#This Row],[Equity Shares]],"")</f>
        <v/>
      </c>
      <c r="AB341" s="31" t="str">
        <f>IF(ISNUMBER(SnapshotTable[[#This Row],[Equity Max Loss Per Share]]),SnapshotTable[[#This Row],[Equity Max Loss Per Share]] * SnapshotTable[[#This Row],[Equity Shares]],"")</f>
        <v/>
      </c>
      <c r="AC341" s="150">
        <v>2.4</v>
      </c>
      <c r="AD341" s="151">
        <v>42986</v>
      </c>
      <c r="AE341" s="31">
        <f>(SnapshotTable[[#This Row],[Annual Dividend Per Share]] / 4) * SnapshotTable[[#This Row],[Equity Shares]]</f>
        <v>0</v>
      </c>
      <c r="AF341" s="31">
        <f>SnapshotTable[[#This Row],[Quarterly Div $]] * 4</f>
        <v>0</v>
      </c>
      <c r="AG341" s="7">
        <f>IF(SnapshotTable[[#This Row],[Annual Dividend Per Share]]&gt;0, SnapshotTable[[#This Row],[Annual Dividend Per Share]]  / SnapshotTable[[#This Row],[Last Price]], 0)</f>
        <v>7.7190274025472783E-3</v>
      </c>
      <c r="AH341" s="151">
        <v>42782</v>
      </c>
      <c r="AI341" s="5"/>
      <c r="AJ341" s="138">
        <v>75.53</v>
      </c>
      <c r="AK341" s="152" t="str">
        <f>IF(ISNUMBER( SnapshotTable[[#This Row],[EBF Target]]),(SnapshotTable[[#This Row],[EBF Target]] - SnapshotTable[[#This Row],[Last Price]]) / SnapshotTable[[#This Row],[Last Price]], "")</f>
        <v/>
      </c>
      <c r="AL341" s="152" t="str">
        <f>IF(AND(SnapshotTable[[#This Row],[Equity Basis Total]] &gt; 0,ISNUMBER( SnapshotTable[[#This Row],[Long Term Target]])), SnapshotTable[[#This Row],[From Basis $]] / SnapshotTable[[#This Row],[Equity Basis Total]], "")</f>
        <v/>
      </c>
      <c r="AM341" s="9">
        <f>IF( AND(SnapshotTable[[#This Row],[Equity Shares]] &gt;0,ISNUMBER( SnapshotTable[[#This Row],[Long Term Target]])),(SnapshotTable[[#This Row],[Equity Shares]] * SnapshotTable[[#This Row],[Long Term Target]]) - SnapshotTable[[#This Row],[Equity Basis Total]],0)</f>
        <v>0</v>
      </c>
      <c r="AN341" s="9">
        <f>IF( AND(SnapshotTable[[#This Row],[Equity Shares]] &gt;0,ISNUMBER( SnapshotTable[[#This Row],[Long Term Target]])),(SnapshotTable[[#This Row],[Equity Shares]]*SnapshotTable[[#This Row],[Long Term Target]]) - SnapshotTable[[#This Row],[Equity Value]],0)</f>
        <v>0</v>
      </c>
      <c r="AO341" s="152">
        <f>IF(AND(ISNUMBER( SnapshotTable[[#This Row],[Long Term Target]]), ISNUMBER(SnapshotTable[[#This Row],[Last Price]])),(SnapshotTable[[#This Row],[Long Term Target]] - SnapshotTable[[#This Row],[Last Price]]) / SnapshotTable[[#This Row],[Last Price]], "")</f>
        <v>-0.7570757751190017</v>
      </c>
      <c r="AP341" s="5">
        <v>67</v>
      </c>
      <c r="AQ341" s="38" t="s">
        <v>89</v>
      </c>
      <c r="AR341" s="5">
        <v>60</v>
      </c>
      <c r="AS341" s="38" t="s">
        <v>6</v>
      </c>
      <c r="AT341" s="146"/>
      <c r="AU341" s="187" t="str">
        <f>IF(OR(SnapshotTable[[#This Row],[LP No Fill]]="Y",SnapshotTable[[#This Row],[SP Is Filled]],SnapshotTable[[#This Row],[LC Not Filled]]="Y",SnapshotTable[[#This Row],[SC Is Filled]]),"Y","")</f>
        <v/>
      </c>
      <c r="AV341" s="219"/>
      <c r="AW341" s="225"/>
      <c r="AX341" s="220"/>
      <c r="AY341" s="219" t="str">
        <f>IF(SnapshotTable[[#This Row],[Implied Move]]&gt;0, SnapshotTable[[#This Row],[Last Price]]-SnapshotTable[[#This Row],[Implied Move]],"")</f>
        <v/>
      </c>
      <c r="AZ341" s="219" t="str">
        <f>IF(SnapshotTable[[#This Row],[Implied Move]]&gt;0, SnapshotTable[[#This Row],[Last Price]] + SnapshotTable[[#This Row],[Implied Move]],"")</f>
        <v/>
      </c>
      <c r="BA341" s="331"/>
      <c r="BB341" s="347"/>
      <c r="BC34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1" s="351"/>
      <c r="BE341" s="5"/>
      <c r="BF341" s="14"/>
      <c r="BG341" s="13"/>
      <c r="BH341" s="13"/>
      <c r="BI341" s="5"/>
      <c r="BJ341" s="136">
        <f>IF(SnapshotTable[[#This Row],[LP Qty]] &gt; 0, SnapshotTable[[#This Row],[LP Qty]] * SnapshotTable[[#This Row],[LP Book Price]] * 100,0)</f>
        <v>0</v>
      </c>
      <c r="BK341" s="136">
        <f>IF(SnapshotTable[[#This Row],[LP Premium]] &gt; 0, SnapshotTable[[#This Row],[LP Qty]] * SnapshotTable[[#This Row],[LP Strike Price]] * 100,0)</f>
        <v>0</v>
      </c>
      <c r="BL341" s="154"/>
      <c r="BM341" s="385" t="str">
        <f>IF(SnapshotTable[[#This Row],[LP Premium]] &gt; 0,SnapshotTable[[#This Row],[LP Exp Date]]-MAX(SnapshotTable[[#This Row],[LP Book Date]], SnapshotTable[[#This Row],[LP Fill Date]]),"")</f>
        <v/>
      </c>
      <c r="BN341" s="385" t="str">
        <f>IF(ISNUMBER( SnapshotTable[[#This Row],[LP Term]]), SnapshotTable[[#This Row],[LP Exp Date]] - MockToday,"")</f>
        <v/>
      </c>
      <c r="BO341" s="163" t="str">
        <f>IF(AND(SnapshotTable[[#This Row],[LP Exp Date]]&gt;0, SnapshotTable[[#This Row],[LP Strike Price]]&gt;0,SnapshotTable[[#This Row],[LP Qty]]&gt;0,SnapshotTable[[#This Row],[LP Book Date]]&gt;0,SnapshotTable[[#This Row],[LP Book Price]]&gt;0,SnapshotTable[[#This Row],[LP Fill Date]]=0),"Y","")</f>
        <v/>
      </c>
      <c r="BP341" s="31" t="str">
        <f>IF(AND(SnapshotTable[[#This Row],[LP No Fill]]&lt;&gt;"Y",SnapshotTable[[#This Row],[LP Contract Value]]&gt;0, SnapshotTable[[#This Row],[LP Qty]]&gt;0), SnapshotTable[[#This Row],[LP Contract Value]]*SnapshotTable[[#This Row],[LP Qty]]*100,"")</f>
        <v/>
      </c>
      <c r="BQ341" s="13"/>
      <c r="BR341" s="5" t="str">
        <f>IF(SnapshotTable[[#This Row],[SP Exp Date]]&lt;&gt;"",TRUNC(SnapshotTable[[#This Row],[Last Price]]),"")</f>
        <v/>
      </c>
      <c r="BS341" s="36"/>
      <c r="BT341" s="147"/>
      <c r="BU341" s="13"/>
      <c r="BV341" s="5"/>
      <c r="BW341" s="419" t="b">
        <f>AND(ISNUMBER(SnapshotTable[[#This Row],[SP Exp Date]]), ISNUMBER(SnapshotTable[[#This Row],[SP Strike Price]]), ISNUMBER(SnapshotTable[[#This Row],[SP Qty]]), ISNUMBER(SnapshotTable[[#This Row],[SP Book Date]]), ISNUMBER(SnapshotTable[[#This Row],[SP Book Price]]))</f>
        <v>0</v>
      </c>
      <c r="BX341" s="419" t="b">
        <f>AND(SnapshotTable[[#This Row],[SP Is Booked]], NOT(ISBLANK(SnapshotTable[[#This Row],[SP Fill Date]])))</f>
        <v>0</v>
      </c>
      <c r="BY341" s="33">
        <f>IF(SnapshotTable[[#This Row],[SP Is Booked]], SnapshotTable[[#This Row],[SP Qty]] * SnapshotTable[[#This Row],[SP Book Price]] * 100, 0)</f>
        <v>0</v>
      </c>
      <c r="BZ341" s="369"/>
      <c r="CA341" s="368">
        <f>SnapshotTable[[#This Row],[LP Qty]]</f>
        <v>0</v>
      </c>
      <c r="CB341" s="4" t="str">
        <f>IF(SnapshotTable[[#This Row],[SP Is Booked]], SnapshotTable[[#This Row],[SP Strike Price]] - SnapshotTable[[#This Row],[SP Book Price]], "")</f>
        <v/>
      </c>
      <c r="CC341" s="19" t="str">
        <f>IF(SnapshotTable[[#This Row],[SP Is Booked]],SnapshotTable[[#This Row],[SP Exp Date]]-MAX(SnapshotTable[[#This Row],[SP Book Date]], SnapshotTable[[#This Row],[SP Fill Date]]),"")</f>
        <v/>
      </c>
      <c r="CD341" s="7" t="str">
        <f>IF(SnapshotTable[[#This Row],[SP Is Booked]], SnapshotTable[[#This Row],[SP Book Price]]/SnapshotTable[[#This Row],[SP Strike Price]], "")</f>
        <v/>
      </c>
      <c r="CE341" s="7" t="str">
        <f>IF(ISNUMBER(SnapshotTable[[#This Row],[SP ROO Term]]),SnapshotTable[[#This Row],[SP ROO Term]]*(365/SnapshotTable[[#This Row],[SP Term]]),"")</f>
        <v/>
      </c>
      <c r="CF341" s="236">
        <f>SnapshotTable[[#This Row],[LP Strike Price]] * SnapshotTable[[#This Row],[LP Qty]] * 100</f>
        <v>0</v>
      </c>
      <c r="CG341" s="31" t="e">
        <f>IF(ISNUMBER(SnapshotTable[[#This Row],[SP Premium]]), (SnapshotTable[[#This Row],[SP Qty]] * SnapshotTable[[#This Row],[SP Strike Price]]* 100) - SnapshotTable[[#This Row],[LP Protection]], 0)</f>
        <v>#VALUE!</v>
      </c>
      <c r="CH341" s="7" t="str">
        <f>IF(ISNUMBER(SnapshotTable[[#This Row],[SP Break Even]]),-1 * (SnapshotTable[[#This Row],[SP Break Even]] - SnapshotTable[[#This Row],[Last Price]]) / SnapshotTable[[#This Row],[Last Price]], "")</f>
        <v/>
      </c>
      <c r="CI341" s="31">
        <f>IF(AND(ISNUMBER((SnapshotTable[[#This Row],[SP Potential Spend]])), SnapshotTable[[#This Row],[SP Strike Price]] &gt; SnapshotTable[[#This Row],[Last Price]], SnapshotTable[[#This Row],[SP Is Filled]]), SnapshotTable[[#This Row],[SP Potential Spend]] -  SnapshotTable[[#This Row],[LP Max Value]], 0)</f>
        <v>0</v>
      </c>
      <c r="CJ341" s="244"/>
      <c r="CK341" s="31" t="str">
        <f>IF(ISNUMBER(SnapshotTable[[#This Row],[SP Potential Spend]]),IF(ISNUMBER(SnapshotTable[[#This Row],[SP POW]]), SnapshotTable[[#This Row],[SP POW]] * SnapshotTable[[#This Row],[SP Potential Spend]], SnapshotTable[[#This Row],[SP Potential Spend]]), "")</f>
        <v/>
      </c>
      <c r="CL341" s="164" t="e">
        <f>IF(NOT(SnapshotTable[[#This Row],[SP Is Filled]]),(SnapshotTable[[#This Row],[SP Qty]] * SnapshotTable[[#This Row],[SP Strike Price]] * 100) - SnapshotTable[[#This Row],[LP Max Value]],"")</f>
        <v>#VALUE!</v>
      </c>
      <c r="CM341" s="31" t="str">
        <f>IF(SnapshotTable[[#This Row],[SP Actual Spend]]&lt;&gt;0, ((SnapshotTable[[#This Row],[SP Strike Price]]-SnapshotTable[[#This Row],[Last Price]]) *(SnapshotTable[[#This Row],[SP Qty]]*100) - SnapshotTable[[#This Row],[SP Premium]]) * - 1, "")</f>
        <v/>
      </c>
      <c r="CN341" s="78"/>
      <c r="CO341" s="369"/>
      <c r="CP341" s="4" t="str">
        <f>IF(SnapshotTable[[#This Row],[SP Is Filled]], btc_max_buyback_amount(SnapshotTable[[#This Row],[SP Fill Date]],SnapshotTable[[#This Row],[SP Exp Date]], SnapshotTable[[#This Row],[SP Book Price]]),"")</f>
        <v/>
      </c>
      <c r="CQ341" s="78"/>
      <c r="CR34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1" s="155" t="str">
        <f>IF(SnapshotTable[[#This Row],[SP Is Filled]], btc_next_cutoff_date(SnapshotTable[[#This Row],[SP Fill Date]],SnapshotTable[[#This Row],[SP Exp Date]]),"")</f>
        <v/>
      </c>
      <c r="CT341" s="235" t="str" cm="1">
        <f t="array" ref="CT341">IF(SnapshotTable[[#This Row],[SP Is Filled]], btc_should_buy_back(SnapshotTable[[#This Row],[SP Fill Date]], SnapshotTable[[#This Row],[SP Exp Date]], SnapshotTable[[#This Row],[SP Book Price]], SnapshotTable[[#This Row],[SP Current Ask]], MockToday, SnapshotTable[[#This Row],[SP Buyback Override]]),"")</f>
        <v/>
      </c>
      <c r="CU341" s="143"/>
      <c r="CV341" s="235"/>
      <c r="CW341" s="378" t="str">
        <f>IF(ISNUMBER( SnapshotTable[[#This Row],[SP Term]]), SnapshotTable[[#This Row],[SP Exp Date]] - MockToday,"")</f>
        <v/>
      </c>
      <c r="CX341" s="31" t="str">
        <f>IF(SnapshotTable[[#This Row],[SP Is Filled]],SnapshotTable[[#This Row],[SP Buyback Price to Use]] * 100 * SnapshotTable[[#This Row],[SP Qty]], "")</f>
        <v/>
      </c>
      <c r="CY341" s="4" t="str">
        <f>IF(ISNUMBER(SnapshotTable[[#This Row],[SP Strike Price]]), SnapshotTable[[#This Row],[SP Strike Price]] * (1 - SP_MaxLoss_StrikePct), "")</f>
        <v/>
      </c>
      <c r="CZ341" s="31" t="str">
        <f>IF(ISNUMBER(SnapshotTable[[#This Row],[SP Strike  Stop Per Share]]),SnapshotTable[[#This Row],[SP Premium]] - ((SnapshotTable[[#This Row],[SP Strike Price]]-SnapshotTable[[#This Row],[SP Strike  Stop Per Share]]) *(SnapshotTable[[#This Row],[SP Qty]] * 100)),"")</f>
        <v/>
      </c>
      <c r="DA341" s="4" t="str">
        <f>IF(AND(ISNUMBER(SnapshotTable[[#This Row],[SP Premium]]),SnapshotTable[[#This Row],[SP Premium]]&gt;0), SnapshotTable[[#This Row],[SP Book Price]] * (1 + SP_MaxLoss_OptionPct), "")</f>
        <v/>
      </c>
      <c r="DB341" s="31" t="str">
        <f>IF(ISNUMBER(SnapshotTable[[#This Row],[SP Option  Stop Contract]]),(SnapshotTable[[#This Row],[SP Option  Stop Contract]] *(SnapshotTable[[#This Row],[SP Qty]] * 100) - SnapshotTable[[#This Row],[SP Premium]]),"")</f>
        <v/>
      </c>
      <c r="DC341" s="4"/>
      <c r="DD341" s="4"/>
      <c r="DE341" s="4" t="str">
        <f>IF(AND(SnapshotTable[[#This Row],[SP Qty]]&gt;0, SnapshotTable[[#This Row],[SP Stop To Use]]&gt;0),SnapshotTable[[#This Row],[SP Premium]] - ( SnapshotTable[[#This Row],[SP Qty]] * SnapshotTable[[#This Row],[SP Stop To Use]] * 100), "")</f>
        <v/>
      </c>
      <c r="DF341" s="31" t="str">
        <f>IF(AND(SnapshotTable[[#This Row],[SP Qty]]&gt;0,SnapshotTable[[#This Row],[SP Current Ask]]&gt;0), SnapshotTable[[#This Row],[SP Qty]] * SnapshotTable[[#This Row],[SP Current Ask]] * -100, "")</f>
        <v/>
      </c>
      <c r="DG341" s="31" t="str">
        <f>IF(ISNUMBER((SnapshotTable[[#This Row],[SP Total Value]])), SnapshotTable[[#This Row],[SP Premium]] + SnapshotTable[[#This Row],[SP Total Value]], "")</f>
        <v/>
      </c>
      <c r="DH341" s="294" t="str">
        <f>IF(ISNUMBER((SnapshotTable[[#This Row],[SP Total Value]])), SnapshotTable[[#This Row],[SP Gain Loss]] / SnapshotTable[[#This Row],[SP Premium]], "")</f>
        <v/>
      </c>
      <c r="DI341" s="406"/>
      <c r="DJ341" s="138"/>
      <c r="DK341" s="148"/>
      <c r="DL341" s="13"/>
      <c r="DM341" s="13"/>
      <c r="DO341" s="31">
        <f>IF(SnapshotTable[[#This Row],[LC Symbol Count]]=1, SnapshotTable[[#This Row],[LC Qty]] * SnapshotTable[[#This Row],[LC Book Price]] * 100, 0)</f>
        <v>0</v>
      </c>
      <c r="DP341" s="163" t="str">
        <f>IF(AND(SnapshotTable[[#This Row],[LC Exp Date]]&gt;0, SnapshotTable[[#This Row],[LC Strike Price]]&gt;0,SnapshotTable[[#This Row],[LC Qty]]&gt;0,SnapshotTable[[#This Row],[LC Book Date]]&gt;0,SnapshotTable[[#This Row],[LC Book Price]]&gt;0,SnapshotTable[[#This Row],[LC Fill Date]]=0),"Y","")</f>
        <v/>
      </c>
      <c r="DQ341" s="386" t="str">
        <f>IF(SnapshotTable[[#This Row],[LC Premium]] &gt; 0,SnapshotTable[[#This Row],[LC Exp Date]]-MAX(SnapshotTable[[#This Row],[LC Book Date]], SnapshotTable[[#This Row],[LC Fill Date]]),"")</f>
        <v/>
      </c>
      <c r="DR341" s="386" t="str">
        <f>IF(ISNUMBER(SnapshotTable[[#This Row],[LC Term]]), SnapshotTable[[#This Row],[LC Exp Date]] - MockToday, "")</f>
        <v/>
      </c>
      <c r="DS341" s="234" t="str">
        <f>IF(SnapshotTable[[#This Row],[LC Premium]]&gt;0,SnapshotTable[[#This Row],[LC Strike Price]] + SnapshotTable[[#This Row],[LC Book Price]],"")</f>
        <v/>
      </c>
      <c r="DU341" s="9" t="str">
        <f>IF(AND(SnapshotTable[[#This Row],[LC Symbol Count]]&gt;0, SnapshotTable[[#This Row],[LC Contract Value]]&gt;0), SnapshotTable[[#This Row],[LC Contract Value]] * SnapshotTable[[#This Row],[LC Qty]] * 100, "")</f>
        <v/>
      </c>
      <c r="DV341" s="9" t="str">
        <f>IF(AND(ISNUMBER(SnapshotTable[[#This Row],[LC Total Value]]), SnapshotTable[[#This Row],[LC Not Filled]]&lt;&gt;"Y"), SnapshotTable[[#This Row],[LC Total Value]]-SnapshotTable[[#This Row],[LC Premium]],"")</f>
        <v/>
      </c>
      <c r="DW341" s="240" t="str">
        <f>IF(ISNUMBER(SnapshotTable[[#This Row],[LC Actual Gain Loss]]), SnapshotTable[[#This Row],[LC Actual Gain Loss]] / SnapshotTable[[#This Row],[LC Premium]],"")</f>
        <v/>
      </c>
      <c r="DX341" s="284" t="str">
        <f>IF(ISNUMBER(SnapshotTable[[#This Row],[LC Book Price]]),SnapshotTable[[#This Row],[LC Book Price]] * 1.5,"")</f>
        <v/>
      </c>
      <c r="DY341" s="265" t="str">
        <f>IF(SnapshotTable[[#This Row],[LC Premium]]&gt;0, SnapshotTable[[#This Row],[LC Next Target]] * SnapshotTable[[#This Row],[LC Qty]] * 100,"")</f>
        <v/>
      </c>
      <c r="DZ341" s="265" t="str">
        <f>IF(ISNUMBER(SnapshotTable[[#This Row],[LC Target Gross]]), SnapshotTable[[#This Row],[LC Target Gross]] - SnapshotTable[[#This Row],[LC Premium]], "")</f>
        <v/>
      </c>
      <c r="EA341" s="305" t="str">
        <f>IF(ISNUMBER(SnapshotTable[[#This Row],[LC Target Gain Loss]]), SnapshotTable[[#This Row],[LC Target Gain Loss]]/SnapshotTable[[#This Row],[LC Premium]], "")</f>
        <v/>
      </c>
      <c r="EB341" s="262"/>
      <c r="EC341" s="283" t="str">
        <f>IF(SnapshotTable[[#This Row],[LC Premium]]&gt;0, SnapshotTable[[#This Row],[LC Book Price]] * (1 - LC_StopLoss_Pct),"")</f>
        <v/>
      </c>
      <c r="ED341" s="284"/>
      <c r="EE341" s="283" t="str">
        <f>IF(ISNUMBER(SnapshotTable[[#This Row],[LC Contract Value]]),IF(ISNUMBER(SnapshotTable[[#This Row],[LC Stop Loss Override]]), SnapshotTable[[#This Row],[LC Stop Loss Override]],SnapshotTable[[#This Row],[LC Stop Loss Calc Target]]),"")</f>
        <v/>
      </c>
      <c r="EF341" s="31" t="str">
        <f>IF(ISNUMBER(SnapshotTable[[#This Row],[LC Stop  To Use]]), (SnapshotTable[[#This Row],[LC Stop  To Use]] * SnapshotTable[[#This Row],[LC Qty]] * 100),"")</f>
        <v/>
      </c>
      <c r="EG341" s="9" t="str">
        <f>IF(ISNUMBER(SnapshotTable[[#This Row],[LC Total Value]]),SnapshotTable[[#This Row],[LC Stop Loss Amount]] - SnapshotTable[[#This Row],[LC Premium]],"")</f>
        <v/>
      </c>
      <c r="EH341" s="9">
        <f>IF(ISNUMBER(SnapshotTable[[#This Row],[LC Premium]]), SnapshotTable[[#This Row],[LC Qty]] * 100 * SnapshotTable[[#This Row],[LC Strike Price]], "")</f>
        <v>0</v>
      </c>
      <c r="EI341" s="240" t="str">
        <f>IF(AND(ISNUMBER(SnapshotTable[[#This Row],[LC Total Value]]),SnapshotTable[[#This Row],[LC Total Value]]&gt;0),SnapshotTable[[#This Row],[LC Stop Gain Loss]]  / SnapshotTable[[#This Row],[LC Premium]],"")</f>
        <v/>
      </c>
      <c r="EJ341" s="35">
        <f>IF(ISNUMBER(SnapshotTable[[#This Row],[Equity Shares]]),TRUNC(SnapshotTable[[#This Row],[Equity Shares]] / 100),0) + SnapshotTable[[#This Row],[LC Qty]]</f>
        <v>0</v>
      </c>
      <c r="EK341" s="147"/>
      <c r="EL341" s="138" t="str">
        <f>IF(SnapshotTable[[#This Row],[SC Exp Date]]&lt;&gt;"",TRUNC(SnapshotTable[[#This Row],[Last Price]]),"")</f>
        <v/>
      </c>
      <c r="EM341" s="148"/>
      <c r="EN341" s="147"/>
      <c r="EO341" s="147"/>
      <c r="EP341" s="138"/>
      <c r="EQ341" s="419" t="b">
        <f>AND(ISNUMBER(SnapshotTable[[#This Row],[SC Exp Date]]), ISNUMBER(SnapshotTable[[#This Row],[SC Strike Price]]), ISNUMBER(SnapshotTable[[#This Row],[SC Qty]]), ISNUMBER(SnapshotTable[[#This Row],[SC Book Date]]), ISNUMBER(SnapshotTable[[#This Row],[SC Book Price]]))</f>
        <v>0</v>
      </c>
      <c r="ER341" s="419" t="b">
        <f>AND(SnapshotTable[[#This Row],[SC Is Booked]], NOT(ISBLANK(SnapshotTable[[#This Row],[SC Fill Date]])))</f>
        <v>0</v>
      </c>
      <c r="ES341" s="370"/>
      <c r="ET341" s="34" t="str">
        <f>IF(AND(ISNUMBER(SnapshotTable[[#This Row],[SC Exp Date]]), ISNUMBER(SnapshotTable[[#This Row],[SC Book Date]])), SnapshotTable[[#This Row],[SC Exp Date]] - MAX(SnapshotTable[[#This Row],[SC Book Date]], SnapshotTable[[#This Row],[SC Fill Date]]) + 1, "")</f>
        <v/>
      </c>
      <c r="EU341" s="34" t="str">
        <f>IF(ISNUMBER(SnapshotTable[[#This Row],[SC Term]]), SnapshotTable[[#This Row],[SC Exp Date]]- MockToday, "")</f>
        <v/>
      </c>
      <c r="EV341" s="31">
        <f>IF(SnapshotTable[[#This Row],[SC Is Booked]], SnapshotTable[[#This Row],[SC Qty]] * SnapshotTable[[#This Row],[SC Book Price]] * 100, 0)</f>
        <v>0</v>
      </c>
      <c r="EW341" s="4" t="str">
        <f>IF(AND(ISNUMBER(SnapshotTable[[#This Row],[Last Price]]), ISNUMBER( SnapshotTable[[#This Row],[SC Book Price]])), SnapshotTable[[#This Row],[Last Price]] - SnapshotTable[[#This Row],[SC Book Price]],"")</f>
        <v/>
      </c>
      <c r="EX341" s="234" t="str">
        <f>IF(SnapshotTable[[#This Row],[SC Is Booked]],IF(SnapshotTable[[#This Row],[SC Intrinsic Value]] &gt; 0, SnapshotTable[[#This Row],[SC Strike Price]], SnapshotTable[[#This Row],[Last Price]]), "")</f>
        <v/>
      </c>
      <c r="EY341" s="4">
        <f>IF(SnapshotTable[[#This Row],[SC Is Booked]], (MinimumPremiumRequired * SnapshotTable[[#This Row],[SC Basis]] * SnapshotTable[[#This Row],[SC Term]]), 0)</f>
        <v>0</v>
      </c>
      <c r="EZ341" s="283"/>
      <c r="FA341" s="218"/>
      <c r="FB341" s="370"/>
      <c r="FC341" s="4">
        <f>IF(SnapshotTable[[#This Row],[SC Is Filled]], btc_max_buyback_amount(SnapshotTable[[#This Row],[SC Fill Date]],SnapshotTable[[#This Row],[SC Exp Date]], SnapshotTable[[#This Row],[SC Book Price]]),0)</f>
        <v>0</v>
      </c>
      <c r="FD341" s="5"/>
      <c r="FE341" s="144" t="str">
        <f>IF(SnapshotTable[[#This Row],[SC Is Filled]], btc_next_cutoff_date(SnapshotTable[[#This Row],[SC Fill Date]],SnapshotTable[[#This Row],[SC Exp Date]]),"")</f>
        <v/>
      </c>
      <c r="FF341" s="4" t="str" cm="1">
        <f t="array" ref="FF341">IF(SnapshotTable[[#This Row],[SC Is Filled]], btc_should_buy_back(SnapshotTable[[#This Row],[SC Fill Date]], SnapshotTable[[#This Row],[SC Exp Date]], SnapshotTable[[#This Row],[SC Book Price]], SnapshotTable[[#This Row],[SC Current Ask]], MockToday, SnapshotTable[[#This Row],[SC Buyback Override]]),"")</f>
        <v/>
      </c>
      <c r="FG341" s="4">
        <f>IF(SnapshotTable[[#This Row],[SC Is Filled]], MAX(0,SnapshotTable[[#This Row],[Last Price]]  - SnapshotTable[[#This Row],[SC Strike Price]]), 0)</f>
        <v>0</v>
      </c>
      <c r="FH341" s="382">
        <f>IF(SnapshotTable[[#This Row],[SC Is Filled]], IF(ISNUMBER(SnapshotTable[[#This Row],[SC Current Ask]]), SnapshotTable[[#This Row],[SC Current Ask]], SnapshotTable[[#This Row],[SC Book Price]]) - SnapshotTable[[#This Row],[SC Intrinsic Value]], 0)</f>
        <v>0</v>
      </c>
      <c r="FI341" s="143"/>
      <c r="FJ341" s="32" t="str">
        <f>IF(SnapshotTable[[#This Row],[SC Is Filled]],100 * SnapshotTable[[#This Row],[SC Qty]] * IF(ISNUMBER(SnapshotTable[[#This Row],[SC Buyback Override]]), SnapshotTable[[#This Row],[SC Buyback Override]], SnapshotTable[[#This Row],[SC Current Ask]]), "")</f>
        <v/>
      </c>
      <c r="FK341" s="250" t="str">
        <f>IF(SnapshotTable[[#This Row],[SC Time Val]]&gt;0, SnapshotTable[[#This Row],[SC Time Val]] / SnapshotTable[[#This Row],[Last Price]],"")</f>
        <v/>
      </c>
      <c r="FL341" s="302" t="str">
        <f>IF(SnapshotTable[[#This Row],[SC Is Booked]], ((SnapshotTable[[#This Row],[Last Price]] -SnapshotTable[[#This Row],[SC Strike Price]]) / SnapshotTable[[#This Row],[Last Price]]) * -1, "")</f>
        <v/>
      </c>
      <c r="FM341" s="157" t="str">
        <f>IF(SnapshotTable[[#This Row],[SC Is Booked]],  (SnapshotTable[[#This Row],[SC Qty]] * 100 * SnapshotTable[[#This Row],[SC Strike Price]]) - SnapshotTable[[#This Row],[SC Current Ask]], "")</f>
        <v/>
      </c>
      <c r="FN34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1" s="31" t="str">
        <f>IF(AND(ISNUMBER(SnapshotTable[[#This Row],[SC Exercise Gross]]), ISNUMBER(SnapshotTable[[#This Row],[Equity Basis Per Share]] )), SnapshotTable[[#This Row],[SC Exercise Gross]] - SnapshotTable[[#This Row],[Equity Basis Total]] +  SnapshotTable[[#This Row],[SC Premium]], "")</f>
        <v/>
      </c>
      <c r="FP341" s="5" t="str">
        <f>IF(ISNUMBER(SnapshotTable[[#This Row],[SC Exercise Gross]]), (SnapshotTable[[#This Row],[SC Exercise Gross]]) / (SnapshotTable[[#This Row],[SC Qty]] * 100), "")</f>
        <v/>
      </c>
      <c r="FQ341" s="27" t="str">
        <f>IF(SnapshotTable[[#This Row],[SC Is Booked]],SnapshotTable[[#This Row],[SC Time Val]] /SnapshotTable[[#This Row],[SC Basis]], "")</f>
        <v/>
      </c>
      <c r="FR341" s="27" t="str" cm="1">
        <f t="array" ref="FR341">IF(AND(ISNUMBER(SnapshotTable[[#This Row],[SC Term]]),ISNUMBER(SnapshotTable[[#This Row],[SC Simple ROO]])), EllmanAnnualize(SnapshotTable[[#This Row],[SC DTE]], SnapshotTable[[#This Row],[SC Simple ROO]] ),"")</f>
        <v/>
      </c>
      <c r="FS341" s="4" t="e">
        <f>IF(SnapshotTable[[#This Row],[SC Strike Price]] &gt; SnapshotTable[[#This Row],[Last Price]], SnapshotTable[[#This Row],[SC Strike Price]] - SnapshotTable[[#This Row],[Last Price]],0)</f>
        <v>#VALUE!</v>
      </c>
      <c r="FT341" s="27" t="e">
        <f>IF(AND(ISNUMBER(SnapshotTable[[#This Row],[SC Upside Potential]]), SnapshotTable[[#This Row],[SC Upside Potential]] &gt; 0),(SnapshotTable[[#This Row],[SC Upside Potential]]/ SnapshotTable[[#This Row],[ACB]]),"")</f>
        <v>#VALUE!</v>
      </c>
      <c r="FU341" s="333" t="str">
        <f>IF(SnapshotTable[[#This Row],[SC Intrinsic Value]] &gt; 0,SnapshotTable[[#This Row],[SC Intrinsic Value]],"")</f>
        <v/>
      </c>
      <c r="FV341" s="27" t="str">
        <f>IF(AND( ISNUMBER( SnapshotTable[[#This Row],[ACB]]),ISNUMBER(SnapshotTable[[#This Row],[SC Downside Protect]])),SnapshotTable[[#This Row],[SC Downside Protect]] / SnapshotTable[[#This Row],[ACB]],"")</f>
        <v/>
      </c>
      <c r="FW341" s="236" t="str">
        <f>IF(AND(ISNUMBER(SnapshotTable[[#This Row],[SC Simple ROO]]),SnapshotTable[[#This Row],[SC Simple ROO]] &gt; 0), SnapshotTable[[#This Row],[SC Premium]] + (SnapshotTable[[#This Row],[SC Qty]] * SnapshotTable[[#This Row],[SC Upside Potential]]), "")</f>
        <v/>
      </c>
      <c r="FX341" s="302" t="str" cm="1">
        <f t="array" ref="FX341">IF(ISNUMBER(SnapshotTable[[#This Row],[SC Max Dollars]]), annualize(SnapshotTable[[#This Row],[SC Term]],(SnapshotTable[[#This Row],[SC Max Dollars]]/SnapshotTable[[#This Row],[SC Basis]])),"")</f>
        <v/>
      </c>
      <c r="FY341" s="236" t="str">
        <f>IF(AND(SnapshotTable[[#This Row],[SC Qty]]&gt;0,SnapshotTable[[#This Row],[SC Current Ask]]&gt;0), SnapshotTable[[#This Row],[SC Qty]] * SnapshotTable[[#This Row],[SC Current Ask]] * -100, "")</f>
        <v/>
      </c>
      <c r="FZ341" s="31" t="str">
        <f>IF(ISNUMBER((SnapshotTable[[#This Row],[SC Current Value]])), SnapshotTable[[#This Row],[SC Premium]] + SnapshotTable[[#This Row],[SC Current Value]], "")</f>
        <v/>
      </c>
      <c r="GA341" s="294" t="str">
        <f>IFERROR( IF(ISNUMBER((SnapshotTable[[#This Row],[SC Current Value]])), SnapshotTable[[#This Row],[SC Gain Loss]] / SnapshotTable[[#This Row],[SC Premium]], ""), "")</f>
        <v/>
      </c>
      <c r="GB341" s="42">
        <f>SnapshotTable[[#This Row],[Equity Shares]] * SaleSharesToConsiderPercentage</f>
        <v>0</v>
      </c>
      <c r="GC341" s="40">
        <f>SnapshotTable[[#This Row],[Long Term Target]] * SellingPriceToConsiderBasedOnTargetPercentage</f>
        <v>71.753500000000003</v>
      </c>
      <c r="GD341" s="40">
        <f>SnapshotTable[[#This Row],[Last Price]] * (1+ SellingPriceToConsiderBasedOnTargetPercentage)</f>
        <v>606.29399999999998</v>
      </c>
      <c r="GE341" s="41"/>
      <c r="GF341" s="40"/>
      <c r="GG341" s="31">
        <f>SnapshotTable[[#This Row],[Booked Sale Shares]] * SnapshotTable[[#This Row],[Booked Sale Price]]</f>
        <v>0</v>
      </c>
      <c r="GH341" s="31" t="str">
        <f>IF(SnapshotTable[[#This Row],[Equity Basis Total]] &gt; 0, SnapshotTable[[#This Row],[Equity Basis Per Share]] * SnapshotTable[[#This Row],[Booked Sale Shares]], "")</f>
        <v/>
      </c>
      <c r="GI341" s="31">
        <f>IF(SnapshotTable[[#This Row],[Sale Proceeds]]&gt;0, SnapshotTable[[#This Row],[Sale Proceeds]] - SnapshotTable[[#This Row],[Sale Basis]], 0)</f>
        <v>0</v>
      </c>
      <c r="GJ341" s="27" t="str">
        <f>IF(SnapshotTable[[#This Row],[Sale G/L]]&gt;0, SnapshotTable[[#This Row],[Sale G/L]] / SnapshotTable[[#This Row],[Sale Basis]], IF(ISNUMBER(SnapshotTable[[#This Row],[SC Exercise P&amp;L (TAX)]]), SnapshotTable[[#This Row],[SC Exercise P&amp;L (TAX)]] / SnapshotTable[[#This Row],[SC Basis]], ""))</f>
        <v/>
      </c>
      <c r="GK341" s="27" t="s">
        <v>789</v>
      </c>
      <c r="GL341" s="43" t="str">
        <f>IF(AND(SnapshotTable[[#This Row],[LP Exp Date]]&gt;0,SnapshotTable[[#This Row],[LP Strike Price]]&gt;0), [1]!ToOptionSymbol(SnapshotTable[[#This Row],[Symbol]], SnapshotTable[[#This Row],[LP Strike Price]],SnapshotTable[[#This Row],[LP Exp Date]],1), "")</f>
        <v/>
      </c>
      <c r="GM341" s="30" t="str">
        <f>IF(LEN(SnapshotTable[[#This Row],[LP Symbol]])&gt;0, 1, "")</f>
        <v/>
      </c>
      <c r="GN341" s="43" t="str">
        <f>IF(AND(SnapshotTable[[#This Row],[SP Exp Date]]&gt;0,SnapshotTable[[#This Row],[SP Strike Price]]&gt;0), [1]!ToOptionSymbol(SnapshotTable[[#This Row],[Symbol]], SnapshotTable[[#This Row],[SP Strike Price]],SnapshotTable[[#This Row],[SP Exp Date]],1), "")</f>
        <v/>
      </c>
      <c r="GO341" s="30" t="str">
        <f>IF(LEN(SnapshotTable[[#This Row],[SP Symbol]])&gt;0, 1, "")</f>
        <v/>
      </c>
      <c r="GP341" s="43" t="str">
        <f>IF(AND(SnapshotTable[[#This Row],[LC Exp Date]]&gt;0,SnapshotTable[[#This Row],[LC Strike Price]]&gt;0), [1]!ToOptionSymbol(SnapshotTable[[#This Row],[Symbol]], SnapshotTable[[#This Row],[LC Strike Price]],SnapshotTable[[#This Row],[LC Exp Date]],0), "")</f>
        <v/>
      </c>
      <c r="GQ341" s="30" t="str">
        <f>IF(LEN(SnapshotTable[[#This Row],[LC Symbol]])&gt;0, 1, "")</f>
        <v/>
      </c>
      <c r="GR341" s="43" t="str">
        <f>IF(AND(SnapshotTable[[#This Row],[SC Exp Date]]&gt;0,SnapshotTable[[#This Row],[SC Strike Price]]&gt;0), [1]!ToOptionSymbol(SnapshotTable[[#This Row],[Symbol]], SnapshotTable[[#This Row],[SC Strike Price]],SnapshotTable[[#This Row],[SC Exp Date]],0), "")</f>
        <v/>
      </c>
      <c r="GS341" s="30" t="str">
        <f>IF(LEN(SnapshotTable[[#This Row],[SC Symbol]])&gt;0, 1, "")</f>
        <v/>
      </c>
      <c r="GT341" s="29" t="str">
        <f>IF(COUNT(SnapshotTable[[#This Row],[LP Symbol Count]],SnapshotTable[[#This Row],[SP Symbol Count]],SnapshotTable[[#This Row],[LC Symbol Count]],SnapshotTable[[#This Row],[SC Symbol Count]])&gt;0, "Y", "")</f>
        <v/>
      </c>
      <c r="GU34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41" s="231" t="e">
        <f>MAX(SnapshotTable[[#This Row],[Equity Basis Total]],SnapshotTable[[#This Row],[Equity Value]]) + (SnapshotTable[[#This Row],[SP Potential Spend]]- SnapshotTable[[#This Row],[SP Premium]] + SnapshotTable[[#This Row],[LP Premium]])+ (SnapshotTable[[#This Row],[LC Premium]] - SnapshotTable[[#This Row],[SC Premium]])</f>
        <v>#VALUE!</v>
      </c>
      <c r="GW341" s="139" t="e">
        <f>IF(AND(SnapshotTable[[#This Row],[Exposure]] &lt;&gt; 0),SnapshotTable[[#This Row],[Exposure]] / SnapshotTable[[#Totals],[Exposure]], "")</f>
        <v>#VALUE!</v>
      </c>
      <c r="HK341" s="1"/>
      <c r="HL341" s="1"/>
      <c r="HM341" s="1"/>
      <c r="HN341" s="1"/>
      <c r="HO341" s="1"/>
      <c r="HP341" s="1"/>
    </row>
    <row r="342" spans="2:224" ht="12.75" hidden="1" customHeight="1" x14ac:dyDescent="0.25">
      <c r="B342" s="12" t="s">
        <v>75</v>
      </c>
      <c r="C342" s="422">
        <v>14.52</v>
      </c>
      <c r="D342" s="208"/>
      <c r="E342" s="39">
        <f>SnapshotTable[[#This Row],[Last Price]]*(1 -CrashDiscount)</f>
        <v>12.341999999999999</v>
      </c>
      <c r="F342" s="26" t="s">
        <v>74</v>
      </c>
      <c r="G342" s="26" t="s">
        <v>4</v>
      </c>
      <c r="H342" s="149"/>
      <c r="I342" s="194">
        <v>44770.291666666664</v>
      </c>
      <c r="J342" s="195">
        <v>44770.291666666664</v>
      </c>
      <c r="K342" s="196"/>
      <c r="L342" s="326"/>
      <c r="M342" s="140"/>
      <c r="N342" s="140"/>
      <c r="O342" s="140"/>
      <c r="P342" s="22"/>
      <c r="Q342" s="25"/>
      <c r="R342" s="4" t="str">
        <f>IF(SnapshotTable[[#This Row],[Equity Basis Total]] &gt; 0, SnapshotTable[[#This Row],[Equity Basis Total]] / SnapshotTable[[#This Row],[Equity Shares]], "")</f>
        <v/>
      </c>
      <c r="S342" s="269">
        <f>SnapshotTable[[#This Row],[Last Price]] * SnapshotTable[[#This Row],[Equity Shares]]</f>
        <v>0</v>
      </c>
      <c r="T342" s="269">
        <f>SnapshotTable[[#This Row],[Equity Value]] - SnapshotTable[[#This Row],[Equity Basis Total]]</f>
        <v>0</v>
      </c>
      <c r="U342" s="270" t="str">
        <f>IF(SnapshotTable[[#This Row],[Equity Basis Total]] &gt; 0, SnapshotTable[[#This Row],[Equity G/L]] / SnapshotTable[[#This Row],[Equity Basis Total]], "")</f>
        <v/>
      </c>
      <c r="V342" s="268"/>
      <c r="W342" s="268"/>
      <c r="X342" s="4" t="str">
        <f>IF(AND(ISNUMBER(SnapshotTable[[#This Row],[Equity Basis Per Share]]),ISNUMBER(SnapshotTable[[#This Row],[Equity Target]])),SnapshotTable[[#This Row],[Equity Target]]-SnapshotTable[[#This Row],[Equity Basis Per Share]],"")</f>
        <v/>
      </c>
      <c r="Y342" s="4" t="str">
        <f>IF(AND(ISNUMBER(SnapshotTable[[#This Row],[Equity Basis Per Share]]),ISNUMBER(SnapshotTable[[#This Row],[Equity Stop Loss]])),SnapshotTable[[#This Row],[Equity Stop Loss]]-SnapshotTable[[#This Row],[Equity Basis Per Share]],"")</f>
        <v/>
      </c>
      <c r="Z342" s="275" t="str">
        <f>IFERROR( TEXT(SnapshotTable[[#This Row],[Equity Max Gain Per Share]] /ABS( SnapshotTable[[#This Row],[Equity Max Loss Per Share]]),"0.0 " ) &amp; " : 1", "")</f>
        <v/>
      </c>
      <c r="AA342" s="31" t="str">
        <f>IF(ISNUMBER(SnapshotTable[[#This Row],[Equity Max Gain Per Share]]),SnapshotTable[[#This Row],[Equity Max Gain Per Share]] * SnapshotTable[[#This Row],[Equity Shares]],"")</f>
        <v/>
      </c>
      <c r="AB342" s="31" t="str">
        <f>IF(ISNUMBER(SnapshotTable[[#This Row],[Equity Max Loss Per Share]]),SnapshotTable[[#This Row],[Equity Max Loss Per Share]] * SnapshotTable[[#This Row],[Equity Shares]],"")</f>
        <v/>
      </c>
      <c r="AC342" s="150"/>
      <c r="AD342" s="151"/>
      <c r="AE342" s="31">
        <f>(SnapshotTable[[#This Row],[Annual Dividend Per Share]] / 4) * SnapshotTable[[#This Row],[Equity Shares]]</f>
        <v>0</v>
      </c>
      <c r="AF342" s="31">
        <f>SnapshotTable[[#This Row],[Quarterly Div $]] * 4</f>
        <v>0</v>
      </c>
      <c r="AG342" s="7">
        <f>IF(SnapshotTable[[#This Row],[Annual Dividend Per Share]]&gt;0, SnapshotTable[[#This Row],[Annual Dividend Per Share]]  / SnapshotTable[[#This Row],[Last Price]], 0)</f>
        <v>0</v>
      </c>
      <c r="AH342" s="151"/>
      <c r="AI342" s="5"/>
      <c r="AJ342" s="138">
        <v>9.7799999999999994</v>
      </c>
      <c r="AK342" s="152" t="str">
        <f>IF(ISNUMBER( SnapshotTable[[#This Row],[EBF Target]]),(SnapshotTable[[#This Row],[EBF Target]] - SnapshotTable[[#This Row],[Last Price]]) / SnapshotTable[[#This Row],[Last Price]], "")</f>
        <v/>
      </c>
      <c r="AL342" s="152" t="str">
        <f>IF(AND(SnapshotTable[[#This Row],[Equity Basis Total]] &gt; 0,ISNUMBER( SnapshotTable[[#This Row],[Long Term Target]])), SnapshotTable[[#This Row],[From Basis $]] / SnapshotTable[[#This Row],[Equity Basis Total]], "")</f>
        <v/>
      </c>
      <c r="AM342" s="9">
        <f>IF( AND(SnapshotTable[[#This Row],[Equity Shares]] &gt;0,ISNUMBER( SnapshotTable[[#This Row],[Long Term Target]])),(SnapshotTable[[#This Row],[Equity Shares]] * SnapshotTable[[#This Row],[Long Term Target]]) - SnapshotTable[[#This Row],[Equity Basis Total]],0)</f>
        <v>0</v>
      </c>
      <c r="AN342" s="9">
        <f>IF( AND(SnapshotTable[[#This Row],[Equity Shares]] &gt;0,ISNUMBER( SnapshotTable[[#This Row],[Long Term Target]])),(SnapshotTable[[#This Row],[Equity Shares]]*SnapshotTable[[#This Row],[Long Term Target]]) - SnapshotTable[[#This Row],[Equity Value]],0)</f>
        <v>0</v>
      </c>
      <c r="AO342" s="152">
        <f>IF(AND(ISNUMBER( SnapshotTable[[#This Row],[Long Term Target]]), ISNUMBER(SnapshotTable[[#This Row],[Last Price]])),(SnapshotTable[[#This Row],[Long Term Target]] - SnapshotTable[[#This Row],[Last Price]]) / SnapshotTable[[#This Row],[Last Price]], "")</f>
        <v>-0.32644628099173556</v>
      </c>
      <c r="AP342" s="5"/>
      <c r="AQ342" s="38"/>
      <c r="AR342" s="5"/>
      <c r="AS342" s="38"/>
      <c r="AT342" s="146"/>
      <c r="AU342" s="187" t="str">
        <f>IF(OR(SnapshotTable[[#This Row],[LP No Fill]]="Y",SnapshotTable[[#This Row],[SP Is Filled]],SnapshotTable[[#This Row],[LC Not Filled]]="Y",SnapshotTable[[#This Row],[SC Is Filled]]),"Y","")</f>
        <v/>
      </c>
      <c r="AV342" s="219"/>
      <c r="AW342" s="225"/>
      <c r="AX342" s="220"/>
      <c r="AY342" s="219" t="str">
        <f>IF(SnapshotTable[[#This Row],[Implied Move]]&gt;0, SnapshotTable[[#This Row],[Last Price]]-SnapshotTable[[#This Row],[Implied Move]],"")</f>
        <v/>
      </c>
      <c r="AZ342" s="219" t="str">
        <f>IF(SnapshotTable[[#This Row],[Implied Move]]&gt;0, SnapshotTable[[#This Row],[Last Price]] + SnapshotTable[[#This Row],[Implied Move]],"")</f>
        <v/>
      </c>
      <c r="BA342" s="331"/>
      <c r="BB342" s="347"/>
      <c r="BC34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2" s="351"/>
      <c r="BE342" s="5"/>
      <c r="BF342" s="14"/>
      <c r="BG342" s="13"/>
      <c r="BH342" s="13"/>
      <c r="BI342" s="5"/>
      <c r="BJ342" s="136">
        <f>IF(SnapshotTable[[#This Row],[LP Qty]] &gt; 0, SnapshotTable[[#This Row],[LP Qty]] * SnapshotTable[[#This Row],[LP Book Price]] * 100,0)</f>
        <v>0</v>
      </c>
      <c r="BK342" s="136">
        <f>IF(SnapshotTable[[#This Row],[LP Premium]] &gt; 0, SnapshotTable[[#This Row],[LP Qty]] * SnapshotTable[[#This Row],[LP Strike Price]] * 100,0)</f>
        <v>0</v>
      </c>
      <c r="BL342" s="154"/>
      <c r="BM342" s="385" t="str">
        <f>IF(SnapshotTable[[#This Row],[LP Premium]] &gt; 0,SnapshotTable[[#This Row],[LP Exp Date]]-MAX(SnapshotTable[[#This Row],[LP Book Date]], SnapshotTable[[#This Row],[LP Fill Date]]),"")</f>
        <v/>
      </c>
      <c r="BN342" s="385" t="str">
        <f>IF(ISNUMBER( SnapshotTable[[#This Row],[LP Term]]), SnapshotTable[[#This Row],[LP Exp Date]] - MockToday,"")</f>
        <v/>
      </c>
      <c r="BO342" s="163" t="str">
        <f>IF(AND(SnapshotTable[[#This Row],[LP Exp Date]]&gt;0, SnapshotTable[[#This Row],[LP Strike Price]]&gt;0,SnapshotTable[[#This Row],[LP Qty]]&gt;0,SnapshotTable[[#This Row],[LP Book Date]]&gt;0,SnapshotTable[[#This Row],[LP Book Price]]&gt;0,SnapshotTable[[#This Row],[LP Fill Date]]=0),"Y","")</f>
        <v/>
      </c>
      <c r="BP342" s="31" t="str">
        <f>IF(AND(SnapshotTable[[#This Row],[LP No Fill]]&lt;&gt;"Y",SnapshotTable[[#This Row],[LP Contract Value]]&gt;0, SnapshotTable[[#This Row],[LP Qty]]&gt;0), SnapshotTable[[#This Row],[LP Contract Value]]*SnapshotTable[[#This Row],[LP Qty]]*100,"")</f>
        <v/>
      </c>
      <c r="BQ342" s="13"/>
      <c r="BR342" s="5" t="str">
        <f>IF(SnapshotTable[[#This Row],[SP Exp Date]]&lt;&gt;"",TRUNC(SnapshotTable[[#This Row],[Last Price]]),"")</f>
        <v/>
      </c>
      <c r="BS342" s="36"/>
      <c r="BT342" s="147"/>
      <c r="BU342" s="13"/>
      <c r="BV342" s="5"/>
      <c r="BW342" s="419" t="b">
        <f>AND(ISNUMBER(SnapshotTable[[#This Row],[SP Exp Date]]), ISNUMBER(SnapshotTable[[#This Row],[SP Strike Price]]), ISNUMBER(SnapshotTable[[#This Row],[SP Qty]]), ISNUMBER(SnapshotTable[[#This Row],[SP Book Date]]), ISNUMBER(SnapshotTable[[#This Row],[SP Book Price]]))</f>
        <v>0</v>
      </c>
      <c r="BX342" s="419" t="b">
        <f>AND(SnapshotTable[[#This Row],[SP Is Booked]], NOT(ISBLANK(SnapshotTable[[#This Row],[SP Fill Date]])))</f>
        <v>0</v>
      </c>
      <c r="BY342" s="33">
        <f>IF(SnapshotTable[[#This Row],[SP Is Booked]], SnapshotTable[[#This Row],[SP Qty]] * SnapshotTable[[#This Row],[SP Book Price]] * 100, 0)</f>
        <v>0</v>
      </c>
      <c r="BZ342" s="369"/>
      <c r="CA342" s="368">
        <f>SnapshotTable[[#This Row],[LP Qty]]</f>
        <v>0</v>
      </c>
      <c r="CB342" s="4" t="str">
        <f>IF(SnapshotTable[[#This Row],[SP Is Booked]], SnapshotTable[[#This Row],[SP Strike Price]] - SnapshotTable[[#This Row],[SP Book Price]], "")</f>
        <v/>
      </c>
      <c r="CC342" s="19" t="str">
        <f>IF(SnapshotTable[[#This Row],[SP Is Booked]],SnapshotTable[[#This Row],[SP Exp Date]]-MAX(SnapshotTable[[#This Row],[SP Book Date]], SnapshotTable[[#This Row],[SP Fill Date]]),"")</f>
        <v/>
      </c>
      <c r="CD342" s="7" t="str">
        <f>IF(SnapshotTable[[#This Row],[SP Is Booked]], SnapshotTable[[#This Row],[SP Book Price]]/SnapshotTable[[#This Row],[SP Strike Price]], "")</f>
        <v/>
      </c>
      <c r="CE342" s="7" t="str">
        <f>IF(ISNUMBER(SnapshotTable[[#This Row],[SP ROO Term]]),SnapshotTable[[#This Row],[SP ROO Term]]*(365/SnapshotTable[[#This Row],[SP Term]]),"")</f>
        <v/>
      </c>
      <c r="CF342" s="236">
        <f>SnapshotTable[[#This Row],[LP Strike Price]] * SnapshotTable[[#This Row],[LP Qty]] * 100</f>
        <v>0</v>
      </c>
      <c r="CG342" s="31" t="e">
        <f>IF(ISNUMBER(SnapshotTable[[#This Row],[SP Premium]]), (SnapshotTable[[#This Row],[SP Qty]] * SnapshotTable[[#This Row],[SP Strike Price]]* 100) - SnapshotTable[[#This Row],[LP Protection]], 0)</f>
        <v>#VALUE!</v>
      </c>
      <c r="CH342" s="7" t="str">
        <f>IF(ISNUMBER(SnapshotTable[[#This Row],[SP Break Even]]),-1 * (SnapshotTable[[#This Row],[SP Break Even]] - SnapshotTable[[#This Row],[Last Price]]) / SnapshotTable[[#This Row],[Last Price]], "")</f>
        <v/>
      </c>
      <c r="CI342" s="31">
        <f>IF(AND(ISNUMBER((SnapshotTable[[#This Row],[SP Potential Spend]])), SnapshotTable[[#This Row],[SP Strike Price]] &gt; SnapshotTable[[#This Row],[Last Price]], SnapshotTable[[#This Row],[SP Is Filled]]), SnapshotTable[[#This Row],[SP Potential Spend]] -  SnapshotTable[[#This Row],[LP Max Value]], 0)</f>
        <v>0</v>
      </c>
      <c r="CJ342" s="244"/>
      <c r="CK342" s="31" t="str">
        <f>IF(ISNUMBER(SnapshotTable[[#This Row],[SP Potential Spend]]),IF(ISNUMBER(SnapshotTable[[#This Row],[SP POW]]), SnapshotTable[[#This Row],[SP POW]] * SnapshotTable[[#This Row],[SP Potential Spend]], SnapshotTable[[#This Row],[SP Potential Spend]]), "")</f>
        <v/>
      </c>
      <c r="CL342" s="164" t="e">
        <f>IF(NOT(SnapshotTable[[#This Row],[SP Is Filled]]),(SnapshotTable[[#This Row],[SP Qty]] * SnapshotTable[[#This Row],[SP Strike Price]] * 100) - SnapshotTable[[#This Row],[LP Max Value]],"")</f>
        <v>#VALUE!</v>
      </c>
      <c r="CM342" s="31" t="str">
        <f>IF(SnapshotTable[[#This Row],[SP Actual Spend]]&lt;&gt;0, ((SnapshotTable[[#This Row],[SP Strike Price]]-SnapshotTable[[#This Row],[Last Price]]) *(SnapshotTable[[#This Row],[SP Qty]]*100) - SnapshotTable[[#This Row],[SP Premium]]) * - 1, "")</f>
        <v/>
      </c>
      <c r="CN342" s="78"/>
      <c r="CO342" s="369"/>
      <c r="CP342" s="4" t="str">
        <f>IF(SnapshotTable[[#This Row],[SP Is Filled]], btc_max_buyback_amount(SnapshotTable[[#This Row],[SP Fill Date]],SnapshotTable[[#This Row],[SP Exp Date]], SnapshotTable[[#This Row],[SP Book Price]]),"")</f>
        <v/>
      </c>
      <c r="CQ342" s="78"/>
      <c r="CR34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2" s="155" t="str">
        <f>IF(SnapshotTable[[#This Row],[SP Is Filled]], btc_next_cutoff_date(SnapshotTable[[#This Row],[SP Fill Date]],SnapshotTable[[#This Row],[SP Exp Date]]),"")</f>
        <v/>
      </c>
      <c r="CT342" s="235" t="str" cm="1">
        <f t="array" ref="CT342">IF(SnapshotTable[[#This Row],[SP Is Filled]], btc_should_buy_back(SnapshotTable[[#This Row],[SP Fill Date]], SnapshotTable[[#This Row],[SP Exp Date]], SnapshotTable[[#This Row],[SP Book Price]], SnapshotTable[[#This Row],[SP Current Ask]], MockToday, SnapshotTable[[#This Row],[SP Buyback Override]]),"")</f>
        <v/>
      </c>
      <c r="CU342" s="143"/>
      <c r="CV342" s="235"/>
      <c r="CW342" s="378" t="str">
        <f>IF(ISNUMBER( SnapshotTable[[#This Row],[SP Term]]), SnapshotTable[[#This Row],[SP Exp Date]] - MockToday,"")</f>
        <v/>
      </c>
      <c r="CX342" s="31" t="str">
        <f>IF(SnapshotTable[[#This Row],[SP Is Filled]],SnapshotTable[[#This Row],[SP Buyback Price to Use]] * 100 * SnapshotTable[[#This Row],[SP Qty]], "")</f>
        <v/>
      </c>
      <c r="CY342" s="4" t="str">
        <f>IF(ISNUMBER(SnapshotTable[[#This Row],[SP Strike Price]]), SnapshotTable[[#This Row],[SP Strike Price]] * (1 - SP_MaxLoss_StrikePct), "")</f>
        <v/>
      </c>
      <c r="CZ342" s="31" t="str">
        <f>IF(ISNUMBER(SnapshotTable[[#This Row],[SP Strike  Stop Per Share]]),SnapshotTable[[#This Row],[SP Premium]] - ((SnapshotTable[[#This Row],[SP Strike Price]]-SnapshotTable[[#This Row],[SP Strike  Stop Per Share]]) *(SnapshotTable[[#This Row],[SP Qty]] * 100)),"")</f>
        <v/>
      </c>
      <c r="DA342" s="4" t="str">
        <f>IF(AND(ISNUMBER(SnapshotTable[[#This Row],[SP Premium]]),SnapshotTable[[#This Row],[SP Premium]]&gt;0), SnapshotTable[[#This Row],[SP Book Price]] * (1 + SP_MaxLoss_OptionPct), "")</f>
        <v/>
      </c>
      <c r="DB342" s="31" t="str">
        <f>IF(ISNUMBER(SnapshotTable[[#This Row],[SP Option  Stop Contract]]),(SnapshotTable[[#This Row],[SP Option  Stop Contract]] *(SnapshotTable[[#This Row],[SP Qty]] * 100) - SnapshotTable[[#This Row],[SP Premium]]),"")</f>
        <v/>
      </c>
      <c r="DC342" s="4"/>
      <c r="DD342" s="4"/>
      <c r="DE342" s="4" t="str">
        <f>IF(AND(SnapshotTable[[#This Row],[SP Qty]]&gt;0, SnapshotTable[[#This Row],[SP Stop To Use]]&gt;0),SnapshotTable[[#This Row],[SP Premium]] - ( SnapshotTable[[#This Row],[SP Qty]] * SnapshotTable[[#This Row],[SP Stop To Use]] * 100), "")</f>
        <v/>
      </c>
      <c r="DF342" s="31" t="str">
        <f>IF(AND(SnapshotTable[[#This Row],[SP Qty]]&gt;0,SnapshotTable[[#This Row],[SP Current Ask]]&gt;0), SnapshotTable[[#This Row],[SP Qty]] * SnapshotTable[[#This Row],[SP Current Ask]] * -100, "")</f>
        <v/>
      </c>
      <c r="DG342" s="31" t="str">
        <f>IF(ISNUMBER((SnapshotTable[[#This Row],[SP Total Value]])), SnapshotTable[[#This Row],[SP Premium]] + SnapshotTable[[#This Row],[SP Total Value]], "")</f>
        <v/>
      </c>
      <c r="DH342" s="294" t="str">
        <f>IF(ISNUMBER((SnapshotTable[[#This Row],[SP Total Value]])), SnapshotTable[[#This Row],[SP Gain Loss]] / SnapshotTable[[#This Row],[SP Premium]], "")</f>
        <v/>
      </c>
      <c r="DI342" s="406"/>
      <c r="DJ342" s="138"/>
      <c r="DK342" s="148"/>
      <c r="DL342" s="13"/>
      <c r="DM342" s="13"/>
      <c r="DO342" s="31">
        <f>IF(SnapshotTable[[#This Row],[LC Symbol Count]]=1, SnapshotTable[[#This Row],[LC Qty]] * SnapshotTable[[#This Row],[LC Book Price]] * 100, 0)</f>
        <v>0</v>
      </c>
      <c r="DP342" s="163" t="str">
        <f>IF(AND(SnapshotTable[[#This Row],[LC Exp Date]]&gt;0, SnapshotTable[[#This Row],[LC Strike Price]]&gt;0,SnapshotTable[[#This Row],[LC Qty]]&gt;0,SnapshotTable[[#This Row],[LC Book Date]]&gt;0,SnapshotTable[[#This Row],[LC Book Price]]&gt;0,SnapshotTable[[#This Row],[LC Fill Date]]=0),"Y","")</f>
        <v/>
      </c>
      <c r="DQ342" s="386" t="str">
        <f>IF(SnapshotTable[[#This Row],[LC Premium]] &gt; 0,SnapshotTable[[#This Row],[LC Exp Date]]-MAX(SnapshotTable[[#This Row],[LC Book Date]], SnapshotTable[[#This Row],[LC Fill Date]]),"")</f>
        <v/>
      </c>
      <c r="DR342" s="386" t="str">
        <f>IF(ISNUMBER(SnapshotTable[[#This Row],[LC Term]]), SnapshotTable[[#This Row],[LC Exp Date]] - MockToday, "")</f>
        <v/>
      </c>
      <c r="DS342" s="234" t="str">
        <f>IF(SnapshotTable[[#This Row],[LC Premium]]&gt;0,SnapshotTable[[#This Row],[LC Strike Price]] + SnapshotTable[[#This Row],[LC Book Price]],"")</f>
        <v/>
      </c>
      <c r="DU342" s="9" t="str">
        <f>IF(AND(SnapshotTable[[#This Row],[LC Symbol Count]]&gt;0, SnapshotTable[[#This Row],[LC Contract Value]]&gt;0), SnapshotTable[[#This Row],[LC Contract Value]] * SnapshotTable[[#This Row],[LC Qty]] * 100, "")</f>
        <v/>
      </c>
      <c r="DV342" s="9" t="str">
        <f>IF(AND(ISNUMBER(SnapshotTable[[#This Row],[LC Total Value]]), SnapshotTable[[#This Row],[LC Not Filled]]&lt;&gt;"Y"), SnapshotTable[[#This Row],[LC Total Value]]-SnapshotTable[[#This Row],[LC Premium]],"")</f>
        <v/>
      </c>
      <c r="DW342" s="240" t="str">
        <f>IF(ISNUMBER(SnapshotTable[[#This Row],[LC Actual Gain Loss]]), SnapshotTable[[#This Row],[LC Actual Gain Loss]] / SnapshotTable[[#This Row],[LC Premium]],"")</f>
        <v/>
      </c>
      <c r="DX342" s="284" t="str">
        <f>IF(ISNUMBER(SnapshotTable[[#This Row],[LC Book Price]]),SnapshotTable[[#This Row],[LC Book Price]] * 1.5,"")</f>
        <v/>
      </c>
      <c r="DY342" s="265" t="str">
        <f>IF(SnapshotTable[[#This Row],[LC Premium]]&gt;0, SnapshotTable[[#This Row],[LC Next Target]] * SnapshotTable[[#This Row],[LC Qty]] * 100,"")</f>
        <v/>
      </c>
      <c r="DZ342" s="265" t="str">
        <f>IF(ISNUMBER(SnapshotTable[[#This Row],[LC Target Gross]]), SnapshotTable[[#This Row],[LC Target Gross]] - SnapshotTable[[#This Row],[LC Premium]], "")</f>
        <v/>
      </c>
      <c r="EA342" s="305" t="str">
        <f>IF(ISNUMBER(SnapshotTable[[#This Row],[LC Target Gain Loss]]), SnapshotTable[[#This Row],[LC Target Gain Loss]]/SnapshotTable[[#This Row],[LC Premium]], "")</f>
        <v/>
      </c>
      <c r="EB342" s="262"/>
      <c r="EC342" s="283" t="str">
        <f>IF(SnapshotTable[[#This Row],[LC Premium]]&gt;0, SnapshotTable[[#This Row],[LC Book Price]] * (1 - LC_StopLoss_Pct),"")</f>
        <v/>
      </c>
      <c r="ED342" s="284"/>
      <c r="EE342" s="283" t="str">
        <f>IF(ISNUMBER(SnapshotTable[[#This Row],[LC Contract Value]]),IF(ISNUMBER(SnapshotTable[[#This Row],[LC Stop Loss Override]]), SnapshotTable[[#This Row],[LC Stop Loss Override]],SnapshotTable[[#This Row],[LC Stop Loss Calc Target]]),"")</f>
        <v/>
      </c>
      <c r="EF342" s="31" t="str">
        <f>IF(ISNUMBER(SnapshotTable[[#This Row],[LC Stop  To Use]]), (SnapshotTable[[#This Row],[LC Stop  To Use]] * SnapshotTable[[#This Row],[LC Qty]] * 100),"")</f>
        <v/>
      </c>
      <c r="EG342" s="9" t="str">
        <f>IF(ISNUMBER(SnapshotTable[[#This Row],[LC Total Value]]),SnapshotTable[[#This Row],[LC Stop Loss Amount]] - SnapshotTable[[#This Row],[LC Premium]],"")</f>
        <v/>
      </c>
      <c r="EH342" s="9">
        <f>IF(ISNUMBER(SnapshotTable[[#This Row],[LC Premium]]), SnapshotTable[[#This Row],[LC Qty]] * 100 * SnapshotTable[[#This Row],[LC Strike Price]], "")</f>
        <v>0</v>
      </c>
      <c r="EI342" s="240" t="str">
        <f>IF(AND(ISNUMBER(SnapshotTable[[#This Row],[LC Total Value]]),SnapshotTable[[#This Row],[LC Total Value]]&gt;0),SnapshotTable[[#This Row],[LC Stop Gain Loss]]  / SnapshotTable[[#This Row],[LC Premium]],"")</f>
        <v/>
      </c>
      <c r="EJ342" s="35">
        <f>IF(ISNUMBER(SnapshotTable[[#This Row],[Equity Shares]]),TRUNC(SnapshotTable[[#This Row],[Equity Shares]] / 100),0) + SnapshotTable[[#This Row],[LC Qty]]</f>
        <v>0</v>
      </c>
      <c r="EK342" s="147"/>
      <c r="EL342" s="138" t="str">
        <f>IF(SnapshotTable[[#This Row],[SC Exp Date]]&lt;&gt;"",TRUNC(SnapshotTable[[#This Row],[Last Price]]),"")</f>
        <v/>
      </c>
      <c r="EM342" s="148"/>
      <c r="EN342" s="147"/>
      <c r="EO342" s="147"/>
      <c r="EP342" s="138"/>
      <c r="EQ342" s="419" t="b">
        <f>AND(ISNUMBER(SnapshotTable[[#This Row],[SC Exp Date]]), ISNUMBER(SnapshotTable[[#This Row],[SC Strike Price]]), ISNUMBER(SnapshotTable[[#This Row],[SC Qty]]), ISNUMBER(SnapshotTable[[#This Row],[SC Book Date]]), ISNUMBER(SnapshotTable[[#This Row],[SC Book Price]]))</f>
        <v>0</v>
      </c>
      <c r="ER342" s="419" t="b">
        <f>AND(SnapshotTable[[#This Row],[SC Is Booked]], NOT(ISBLANK(SnapshotTable[[#This Row],[SC Fill Date]])))</f>
        <v>0</v>
      </c>
      <c r="ES342" s="370"/>
      <c r="ET342" s="34" t="str">
        <f>IF(AND(ISNUMBER(SnapshotTable[[#This Row],[SC Exp Date]]), ISNUMBER(SnapshotTable[[#This Row],[SC Book Date]])), SnapshotTable[[#This Row],[SC Exp Date]] - MAX(SnapshotTable[[#This Row],[SC Book Date]], SnapshotTable[[#This Row],[SC Fill Date]]) + 1, "")</f>
        <v/>
      </c>
      <c r="EU342" s="34" t="str">
        <f>IF(ISNUMBER(SnapshotTable[[#This Row],[SC Term]]), SnapshotTable[[#This Row],[SC Exp Date]]- MockToday, "")</f>
        <v/>
      </c>
      <c r="EV342" s="31">
        <f>IF(SnapshotTable[[#This Row],[SC Is Booked]], SnapshotTable[[#This Row],[SC Qty]] * SnapshotTable[[#This Row],[SC Book Price]] * 100, 0)</f>
        <v>0</v>
      </c>
      <c r="EW342" s="4" t="str">
        <f>IF(AND(ISNUMBER(SnapshotTable[[#This Row],[Last Price]]), ISNUMBER( SnapshotTable[[#This Row],[SC Book Price]])), SnapshotTable[[#This Row],[Last Price]] - SnapshotTable[[#This Row],[SC Book Price]],"")</f>
        <v/>
      </c>
      <c r="EX342" s="234" t="str">
        <f>IF(SnapshotTable[[#This Row],[SC Is Booked]],IF(SnapshotTable[[#This Row],[SC Intrinsic Value]] &gt; 0, SnapshotTable[[#This Row],[SC Strike Price]], SnapshotTable[[#This Row],[Last Price]]), "")</f>
        <v/>
      </c>
      <c r="EY342" s="4">
        <f>IF(SnapshotTable[[#This Row],[SC Is Booked]], (MinimumPremiumRequired * SnapshotTable[[#This Row],[SC Basis]] * SnapshotTable[[#This Row],[SC Term]]), 0)</f>
        <v>0</v>
      </c>
      <c r="EZ342" s="283"/>
      <c r="FA342" s="218"/>
      <c r="FB342" s="370"/>
      <c r="FC342" s="4">
        <f>IF(SnapshotTable[[#This Row],[SC Is Filled]], btc_max_buyback_amount(SnapshotTable[[#This Row],[SC Fill Date]],SnapshotTable[[#This Row],[SC Exp Date]], SnapshotTable[[#This Row],[SC Book Price]]),0)</f>
        <v>0</v>
      </c>
      <c r="FD342" s="5"/>
      <c r="FE342" s="144" t="str">
        <f>IF(SnapshotTable[[#This Row],[SC Is Filled]], btc_next_cutoff_date(SnapshotTable[[#This Row],[SC Fill Date]],SnapshotTable[[#This Row],[SC Exp Date]]),"")</f>
        <v/>
      </c>
      <c r="FF342" s="4" t="str" cm="1">
        <f t="array" ref="FF342">IF(SnapshotTable[[#This Row],[SC Is Filled]], btc_should_buy_back(SnapshotTable[[#This Row],[SC Fill Date]], SnapshotTable[[#This Row],[SC Exp Date]], SnapshotTable[[#This Row],[SC Book Price]], SnapshotTable[[#This Row],[SC Current Ask]], MockToday, SnapshotTable[[#This Row],[SC Buyback Override]]),"")</f>
        <v/>
      </c>
      <c r="FG342" s="4">
        <f>IF(SnapshotTable[[#This Row],[SC Is Filled]], MAX(0,SnapshotTable[[#This Row],[Last Price]]  - SnapshotTable[[#This Row],[SC Strike Price]]), 0)</f>
        <v>0</v>
      </c>
      <c r="FH342" s="382">
        <f>IF(SnapshotTable[[#This Row],[SC Is Filled]], IF(ISNUMBER(SnapshotTable[[#This Row],[SC Current Ask]]), SnapshotTable[[#This Row],[SC Current Ask]], SnapshotTable[[#This Row],[SC Book Price]]) - SnapshotTable[[#This Row],[SC Intrinsic Value]], 0)</f>
        <v>0</v>
      </c>
      <c r="FI342" s="143"/>
      <c r="FJ342" s="32" t="str">
        <f>IF(SnapshotTable[[#This Row],[SC Is Filled]],100 * SnapshotTable[[#This Row],[SC Qty]] * IF(ISNUMBER(SnapshotTable[[#This Row],[SC Buyback Override]]), SnapshotTable[[#This Row],[SC Buyback Override]], SnapshotTable[[#This Row],[SC Current Ask]]), "")</f>
        <v/>
      </c>
      <c r="FK342" s="250" t="str">
        <f>IF(SnapshotTable[[#This Row],[SC Time Val]]&gt;0, SnapshotTable[[#This Row],[SC Time Val]] / SnapshotTable[[#This Row],[Last Price]],"")</f>
        <v/>
      </c>
      <c r="FL342" s="302" t="str">
        <f>IF(SnapshotTable[[#This Row],[SC Is Booked]], ((SnapshotTable[[#This Row],[Last Price]] -SnapshotTable[[#This Row],[SC Strike Price]]) / SnapshotTable[[#This Row],[Last Price]]) * -1, "")</f>
        <v/>
      </c>
      <c r="FM342" s="157" t="str">
        <f>IF(SnapshotTable[[#This Row],[SC Is Booked]],  (SnapshotTable[[#This Row],[SC Qty]] * 100 * SnapshotTable[[#This Row],[SC Strike Price]]) - SnapshotTable[[#This Row],[SC Current Ask]], "")</f>
        <v/>
      </c>
      <c r="FN34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2" s="31" t="str">
        <f>IF(AND(ISNUMBER(SnapshotTable[[#This Row],[SC Exercise Gross]]), ISNUMBER(SnapshotTable[[#This Row],[Equity Basis Per Share]] )), SnapshotTable[[#This Row],[SC Exercise Gross]] - SnapshotTable[[#This Row],[Equity Basis Total]] +  SnapshotTable[[#This Row],[SC Premium]], "")</f>
        <v/>
      </c>
      <c r="FP342" s="5" t="str">
        <f>IF(ISNUMBER(SnapshotTable[[#This Row],[SC Exercise Gross]]), (SnapshotTable[[#This Row],[SC Exercise Gross]]) / (SnapshotTable[[#This Row],[SC Qty]] * 100), "")</f>
        <v/>
      </c>
      <c r="FQ342" s="27" t="str">
        <f>IF(SnapshotTable[[#This Row],[SC Is Booked]],SnapshotTable[[#This Row],[SC Time Val]] /SnapshotTable[[#This Row],[SC Basis]], "")</f>
        <v/>
      </c>
      <c r="FR342" s="27" t="str" cm="1">
        <f t="array" ref="FR342">IF(AND(ISNUMBER(SnapshotTable[[#This Row],[SC Term]]),ISNUMBER(SnapshotTable[[#This Row],[SC Simple ROO]])), EllmanAnnualize(SnapshotTable[[#This Row],[SC DTE]], SnapshotTable[[#This Row],[SC Simple ROO]] ),"")</f>
        <v/>
      </c>
      <c r="FS342" s="4" t="e">
        <f>IF(SnapshotTable[[#This Row],[SC Strike Price]] &gt; SnapshotTable[[#This Row],[Last Price]], SnapshotTable[[#This Row],[SC Strike Price]] - SnapshotTable[[#This Row],[Last Price]],0)</f>
        <v>#VALUE!</v>
      </c>
      <c r="FT342" s="27" t="e">
        <f>IF(AND(ISNUMBER(SnapshotTable[[#This Row],[SC Upside Potential]]), SnapshotTable[[#This Row],[SC Upside Potential]] &gt; 0),(SnapshotTable[[#This Row],[SC Upside Potential]]/ SnapshotTable[[#This Row],[ACB]]),"")</f>
        <v>#VALUE!</v>
      </c>
      <c r="FU342" s="333" t="str">
        <f>IF(SnapshotTable[[#This Row],[SC Intrinsic Value]] &gt; 0,SnapshotTable[[#This Row],[SC Intrinsic Value]],"")</f>
        <v/>
      </c>
      <c r="FV342" s="27" t="str">
        <f>IF(AND( ISNUMBER( SnapshotTable[[#This Row],[ACB]]),ISNUMBER(SnapshotTable[[#This Row],[SC Downside Protect]])),SnapshotTable[[#This Row],[SC Downside Protect]] / SnapshotTable[[#This Row],[ACB]],"")</f>
        <v/>
      </c>
      <c r="FW342" s="236" t="str">
        <f>IF(AND(ISNUMBER(SnapshotTable[[#This Row],[SC Simple ROO]]),SnapshotTable[[#This Row],[SC Simple ROO]] &gt; 0), SnapshotTable[[#This Row],[SC Premium]] + (SnapshotTable[[#This Row],[SC Qty]] * SnapshotTable[[#This Row],[SC Upside Potential]]), "")</f>
        <v/>
      </c>
      <c r="FX342" s="302" t="str" cm="1">
        <f t="array" ref="FX342">IF(ISNUMBER(SnapshotTable[[#This Row],[SC Max Dollars]]), annualize(SnapshotTable[[#This Row],[SC Term]],(SnapshotTable[[#This Row],[SC Max Dollars]]/SnapshotTable[[#This Row],[SC Basis]])),"")</f>
        <v/>
      </c>
      <c r="FY342" s="236" t="str">
        <f>IF(AND(SnapshotTable[[#This Row],[SC Qty]]&gt;0,SnapshotTable[[#This Row],[SC Current Ask]]&gt;0), SnapshotTable[[#This Row],[SC Qty]] * SnapshotTable[[#This Row],[SC Current Ask]] * -100, "")</f>
        <v/>
      </c>
      <c r="FZ342" s="31" t="str">
        <f>IF(ISNUMBER((SnapshotTable[[#This Row],[SC Current Value]])), SnapshotTable[[#This Row],[SC Premium]] + SnapshotTable[[#This Row],[SC Current Value]], "")</f>
        <v/>
      </c>
      <c r="GA342" s="294" t="str">
        <f>IFERROR( IF(ISNUMBER((SnapshotTable[[#This Row],[SC Current Value]])), SnapshotTable[[#This Row],[SC Gain Loss]] / SnapshotTable[[#This Row],[SC Premium]], ""), "")</f>
        <v/>
      </c>
      <c r="GB342" s="42">
        <f>SnapshotTable[[#This Row],[Equity Shares]] * SaleSharesToConsiderPercentage</f>
        <v>0</v>
      </c>
      <c r="GC342" s="40">
        <f>SnapshotTable[[#This Row],[Long Term Target]] * SellingPriceToConsiderBasedOnTargetPercentage</f>
        <v>9.2909999999999986</v>
      </c>
      <c r="GD342" s="40">
        <f>SnapshotTable[[#This Row],[Last Price]] * (1+ SellingPriceToConsiderBasedOnTargetPercentage)</f>
        <v>28.314</v>
      </c>
      <c r="GE342" s="41"/>
      <c r="GF342" s="40"/>
      <c r="GG342" s="31">
        <f>SnapshotTable[[#This Row],[Booked Sale Shares]] * SnapshotTable[[#This Row],[Booked Sale Price]]</f>
        <v>0</v>
      </c>
      <c r="GH342" s="31" t="str">
        <f>IF(SnapshotTable[[#This Row],[Equity Basis Total]] &gt; 0, SnapshotTable[[#This Row],[Equity Basis Per Share]] * SnapshotTable[[#This Row],[Booked Sale Shares]], "")</f>
        <v/>
      </c>
      <c r="GI342" s="31">
        <f>IF(SnapshotTable[[#This Row],[Sale Proceeds]]&gt;0, SnapshotTable[[#This Row],[Sale Proceeds]] - SnapshotTable[[#This Row],[Sale Basis]], 0)</f>
        <v>0</v>
      </c>
      <c r="GJ342" s="27" t="str">
        <f>IF(SnapshotTable[[#This Row],[Sale G/L]]&gt;0, SnapshotTable[[#This Row],[Sale G/L]] / SnapshotTable[[#This Row],[Sale Basis]], IF(ISNUMBER(SnapshotTable[[#This Row],[SC Exercise P&amp;L (TAX)]]), SnapshotTable[[#This Row],[SC Exercise P&amp;L (TAX)]] / SnapshotTable[[#This Row],[SC Basis]], ""))</f>
        <v/>
      </c>
      <c r="GK342" s="27" t="s">
        <v>790</v>
      </c>
      <c r="GL342" s="43" t="str">
        <f>IF(AND(SnapshotTable[[#This Row],[LP Exp Date]]&gt;0,SnapshotTable[[#This Row],[LP Strike Price]]&gt;0), [1]!ToOptionSymbol(SnapshotTable[[#This Row],[Symbol]], SnapshotTable[[#This Row],[LP Strike Price]],SnapshotTable[[#This Row],[LP Exp Date]],1), "")</f>
        <v/>
      </c>
      <c r="GM342" s="30" t="str">
        <f>IF(LEN(SnapshotTable[[#This Row],[LP Symbol]])&gt;0, 1, "")</f>
        <v/>
      </c>
      <c r="GN342" s="43" t="str">
        <f>IF(AND(SnapshotTable[[#This Row],[SP Exp Date]]&gt;0,SnapshotTable[[#This Row],[SP Strike Price]]&gt;0), [1]!ToOptionSymbol(SnapshotTable[[#This Row],[Symbol]], SnapshotTable[[#This Row],[SP Strike Price]],SnapshotTable[[#This Row],[SP Exp Date]],1), "")</f>
        <v/>
      </c>
      <c r="GO342" s="30" t="str">
        <f>IF(LEN(SnapshotTable[[#This Row],[SP Symbol]])&gt;0, 1, "")</f>
        <v/>
      </c>
      <c r="GP342" s="43" t="str">
        <f>IF(AND(SnapshotTable[[#This Row],[LC Exp Date]]&gt;0,SnapshotTable[[#This Row],[LC Strike Price]]&gt;0), [1]!ToOptionSymbol(SnapshotTable[[#This Row],[Symbol]], SnapshotTable[[#This Row],[LC Strike Price]],SnapshotTable[[#This Row],[LC Exp Date]],0), "")</f>
        <v/>
      </c>
      <c r="GQ342" s="30" t="str">
        <f>IF(LEN(SnapshotTable[[#This Row],[LC Symbol]])&gt;0, 1, "")</f>
        <v/>
      </c>
      <c r="GR342" s="43" t="str">
        <f>IF(AND(SnapshotTable[[#This Row],[SC Exp Date]]&gt;0,SnapshotTable[[#This Row],[SC Strike Price]]&gt;0), [1]!ToOptionSymbol(SnapshotTable[[#This Row],[Symbol]], SnapshotTable[[#This Row],[SC Strike Price]],SnapshotTable[[#This Row],[SC Exp Date]],0), "")</f>
        <v/>
      </c>
      <c r="GS342" s="30" t="str">
        <f>IF(LEN(SnapshotTable[[#This Row],[SC Symbol]])&gt;0, 1, "")</f>
        <v/>
      </c>
      <c r="GT342" s="29" t="str">
        <f>IF(COUNT(SnapshotTable[[#This Row],[LP Symbol Count]],SnapshotTable[[#This Row],[SP Symbol Count]],SnapshotTable[[#This Row],[LC Symbol Count]],SnapshotTable[[#This Row],[SC Symbol Count]])&gt;0, "Y", "")</f>
        <v/>
      </c>
      <c r="GU34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42" s="231" t="e">
        <f>MAX(SnapshotTable[[#This Row],[Equity Basis Total]],SnapshotTable[[#This Row],[Equity Value]]) + (SnapshotTable[[#This Row],[SP Potential Spend]]- SnapshotTable[[#This Row],[SP Premium]] + SnapshotTable[[#This Row],[LP Premium]])+ (SnapshotTable[[#This Row],[LC Premium]] - SnapshotTable[[#This Row],[SC Premium]])</f>
        <v>#VALUE!</v>
      </c>
      <c r="GW342" s="139" t="e">
        <f>IF(AND(SnapshotTable[[#This Row],[Exposure]] &lt;&gt; 0),SnapshotTable[[#This Row],[Exposure]] / SnapshotTable[[#Totals],[Exposure]], "")</f>
        <v>#VALUE!</v>
      </c>
      <c r="HK342" s="1"/>
      <c r="HL342" s="1"/>
      <c r="HM342" s="1"/>
      <c r="HN342" s="1"/>
      <c r="HO342" s="1"/>
      <c r="HP342" s="1"/>
    </row>
    <row r="343" spans="2:224" ht="12.75" hidden="1" customHeight="1" x14ac:dyDescent="0.25">
      <c r="B343" s="12" t="s">
        <v>467</v>
      </c>
      <c r="C343" s="422">
        <v>157.5</v>
      </c>
      <c r="D343" s="208"/>
      <c r="E343" s="39">
        <f>SnapshotTable[[#This Row],[Last Price]]*(1 -CrashDiscount)</f>
        <v>133.875</v>
      </c>
      <c r="F343" s="26" t="s">
        <v>468</v>
      </c>
      <c r="G343" s="26" t="s">
        <v>9</v>
      </c>
      <c r="H343" s="149"/>
      <c r="I343" s="194">
        <v>44798.302083333336</v>
      </c>
      <c r="J343" s="195">
        <v>44798.302083333336</v>
      </c>
      <c r="K343" s="196"/>
      <c r="L343" s="326"/>
      <c r="M343" s="140"/>
      <c r="N343" s="140"/>
      <c r="O343" s="140"/>
      <c r="P343" s="22"/>
      <c r="Q343" s="25"/>
      <c r="R343" s="4" t="str">
        <f>IF(SnapshotTable[[#This Row],[Equity Basis Total]] &gt; 0, SnapshotTable[[#This Row],[Equity Basis Total]] / SnapshotTable[[#This Row],[Equity Shares]], "")</f>
        <v/>
      </c>
      <c r="S343" s="269">
        <f>SnapshotTable[[#This Row],[Last Price]] * SnapshotTable[[#This Row],[Equity Shares]]</f>
        <v>0</v>
      </c>
      <c r="T343" s="269">
        <f>SnapshotTable[[#This Row],[Equity Value]] - SnapshotTable[[#This Row],[Equity Basis Total]]</f>
        <v>0</v>
      </c>
      <c r="U343" s="270" t="str">
        <f>IF(SnapshotTable[[#This Row],[Equity Basis Total]] &gt; 0, SnapshotTable[[#This Row],[Equity G/L]] / SnapshotTable[[#This Row],[Equity Basis Total]], "")</f>
        <v/>
      </c>
      <c r="V343" s="268"/>
      <c r="W343" s="268"/>
      <c r="X343" s="4" t="str">
        <f>IF(AND(ISNUMBER(SnapshotTable[[#This Row],[Equity Basis Per Share]]),ISNUMBER(SnapshotTable[[#This Row],[Equity Target]])),SnapshotTable[[#This Row],[Equity Target]]-SnapshotTable[[#This Row],[Equity Basis Per Share]],"")</f>
        <v/>
      </c>
      <c r="Y343" s="4" t="str">
        <f>IF(AND(ISNUMBER(SnapshotTable[[#This Row],[Equity Basis Per Share]]),ISNUMBER(SnapshotTable[[#This Row],[Equity Stop Loss]])),SnapshotTable[[#This Row],[Equity Stop Loss]]-SnapshotTable[[#This Row],[Equity Basis Per Share]],"")</f>
        <v/>
      </c>
      <c r="Z343" s="275" t="str">
        <f>IFERROR( TEXT(SnapshotTable[[#This Row],[Equity Max Gain Per Share]] /ABS( SnapshotTable[[#This Row],[Equity Max Loss Per Share]]),"0.0 " ) &amp; " : 1", "")</f>
        <v/>
      </c>
      <c r="AA343" s="31" t="str">
        <f>IF(ISNUMBER(SnapshotTable[[#This Row],[Equity Max Gain Per Share]]),SnapshotTable[[#This Row],[Equity Max Gain Per Share]] * SnapshotTable[[#This Row],[Equity Shares]],"")</f>
        <v/>
      </c>
      <c r="AB343" s="31" t="str">
        <f>IF(ISNUMBER(SnapshotTable[[#This Row],[Equity Max Loss Per Share]]),SnapshotTable[[#This Row],[Equity Max Loss Per Share]] * SnapshotTable[[#This Row],[Equity Shares]],"")</f>
        <v/>
      </c>
      <c r="AC343" s="150"/>
      <c r="AD343" s="151"/>
      <c r="AE343" s="31">
        <f>(SnapshotTable[[#This Row],[Annual Dividend Per Share]] / 4) * SnapshotTable[[#This Row],[Equity Shares]]</f>
        <v>0</v>
      </c>
      <c r="AF343" s="31">
        <f>SnapshotTable[[#This Row],[Quarterly Div $]] * 4</f>
        <v>0</v>
      </c>
      <c r="AG343" s="7">
        <f>IF(SnapshotTable[[#This Row],[Annual Dividend Per Share]]&gt;0, SnapshotTable[[#This Row],[Annual Dividend Per Share]]  / SnapshotTable[[#This Row],[Last Price]], 0)</f>
        <v>0</v>
      </c>
      <c r="AH343" s="151"/>
      <c r="AI343" s="5"/>
      <c r="AJ343" s="138">
        <v>154.4</v>
      </c>
      <c r="AK343" s="152" t="str">
        <f>IF(ISNUMBER( SnapshotTable[[#This Row],[EBF Target]]),(SnapshotTable[[#This Row],[EBF Target]] - SnapshotTable[[#This Row],[Last Price]]) / SnapshotTable[[#This Row],[Last Price]], "")</f>
        <v/>
      </c>
      <c r="AL343" s="152" t="str">
        <f>IF(AND(SnapshotTable[[#This Row],[Equity Basis Total]] &gt; 0,ISNUMBER( SnapshotTable[[#This Row],[Long Term Target]])), SnapshotTable[[#This Row],[From Basis $]] / SnapshotTable[[#This Row],[Equity Basis Total]], "")</f>
        <v/>
      </c>
      <c r="AM343" s="9">
        <f>IF( AND(SnapshotTable[[#This Row],[Equity Shares]] &gt;0,ISNUMBER( SnapshotTable[[#This Row],[Long Term Target]])),(SnapshotTable[[#This Row],[Equity Shares]] * SnapshotTable[[#This Row],[Long Term Target]]) - SnapshotTable[[#This Row],[Equity Basis Total]],0)</f>
        <v>0</v>
      </c>
      <c r="AN343" s="9">
        <f>IF( AND(SnapshotTable[[#This Row],[Equity Shares]] &gt;0,ISNUMBER( SnapshotTable[[#This Row],[Long Term Target]])),(SnapshotTable[[#This Row],[Equity Shares]]*SnapshotTable[[#This Row],[Long Term Target]]) - SnapshotTable[[#This Row],[Equity Value]],0)</f>
        <v>0</v>
      </c>
      <c r="AO343" s="152">
        <f>IF(AND(ISNUMBER( SnapshotTable[[#This Row],[Long Term Target]]), ISNUMBER(SnapshotTable[[#This Row],[Last Price]])),(SnapshotTable[[#This Row],[Long Term Target]] - SnapshotTable[[#This Row],[Last Price]]) / SnapshotTable[[#This Row],[Last Price]], "")</f>
        <v>-1.9682539682539645E-2</v>
      </c>
      <c r="AP343" s="5"/>
      <c r="AQ343" s="38"/>
      <c r="AR343" s="5"/>
      <c r="AS343" s="38"/>
      <c r="AT343" s="146"/>
      <c r="AU343" s="187" t="str">
        <f>IF(OR(SnapshotTable[[#This Row],[LP No Fill]]="Y",SnapshotTable[[#This Row],[SP Is Filled]],SnapshotTable[[#This Row],[LC Not Filled]]="Y",SnapshotTable[[#This Row],[SC Is Filled]]),"Y","")</f>
        <v/>
      </c>
      <c r="AV343" s="219"/>
      <c r="AW343" s="225"/>
      <c r="AX343" s="220"/>
      <c r="AY343" s="219" t="str">
        <f>IF(SnapshotTable[[#This Row],[Implied Move]]&gt;0, SnapshotTable[[#This Row],[Last Price]]-SnapshotTable[[#This Row],[Implied Move]],"")</f>
        <v/>
      </c>
      <c r="AZ343" s="219" t="str">
        <f>IF(SnapshotTable[[#This Row],[Implied Move]]&gt;0, SnapshotTable[[#This Row],[Last Price]] + SnapshotTable[[#This Row],[Implied Move]],"")</f>
        <v/>
      </c>
      <c r="BA343" s="331"/>
      <c r="BB343" s="347"/>
      <c r="BC34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3" s="351"/>
      <c r="BE343" s="5"/>
      <c r="BF343" s="14"/>
      <c r="BG343" s="13"/>
      <c r="BH343" s="13"/>
      <c r="BI343" s="5"/>
      <c r="BJ343" s="136">
        <f>IF(SnapshotTable[[#This Row],[LP Qty]] &gt; 0, SnapshotTable[[#This Row],[LP Qty]] * SnapshotTable[[#This Row],[LP Book Price]] * 100,0)</f>
        <v>0</v>
      </c>
      <c r="BK343" s="136">
        <f>IF(SnapshotTable[[#This Row],[LP Premium]] &gt; 0, SnapshotTable[[#This Row],[LP Qty]] * SnapshotTable[[#This Row],[LP Strike Price]] * 100,0)</f>
        <v>0</v>
      </c>
      <c r="BL343" s="154"/>
      <c r="BM343" s="385" t="str">
        <f>IF(SnapshotTable[[#This Row],[LP Premium]] &gt; 0,SnapshotTable[[#This Row],[LP Exp Date]]-MAX(SnapshotTable[[#This Row],[LP Book Date]], SnapshotTable[[#This Row],[LP Fill Date]]),"")</f>
        <v/>
      </c>
      <c r="BN343" s="385" t="str">
        <f>IF(ISNUMBER( SnapshotTable[[#This Row],[LP Term]]), SnapshotTable[[#This Row],[LP Exp Date]] - MockToday,"")</f>
        <v/>
      </c>
      <c r="BO343" s="163" t="str">
        <f>IF(AND(SnapshotTable[[#This Row],[LP Exp Date]]&gt;0, SnapshotTable[[#This Row],[LP Strike Price]]&gt;0,SnapshotTable[[#This Row],[LP Qty]]&gt;0,SnapshotTable[[#This Row],[LP Book Date]]&gt;0,SnapshotTable[[#This Row],[LP Book Price]]&gt;0,SnapshotTable[[#This Row],[LP Fill Date]]=0),"Y","")</f>
        <v/>
      </c>
      <c r="BP343" s="31" t="str">
        <f>IF(AND(SnapshotTable[[#This Row],[LP No Fill]]&lt;&gt;"Y",SnapshotTable[[#This Row],[LP Contract Value]]&gt;0, SnapshotTable[[#This Row],[LP Qty]]&gt;0), SnapshotTable[[#This Row],[LP Contract Value]]*SnapshotTable[[#This Row],[LP Qty]]*100,"")</f>
        <v/>
      </c>
      <c r="BQ343" s="13"/>
      <c r="BR343" s="5" t="str">
        <f>IF(SnapshotTable[[#This Row],[SP Exp Date]]&lt;&gt;"",TRUNC(SnapshotTable[[#This Row],[Last Price]]),"")</f>
        <v/>
      </c>
      <c r="BS343" s="36"/>
      <c r="BT343" s="147"/>
      <c r="BU343" s="13"/>
      <c r="BV343" s="5"/>
      <c r="BW343" s="419" t="b">
        <f>AND(ISNUMBER(SnapshotTable[[#This Row],[SP Exp Date]]), ISNUMBER(SnapshotTable[[#This Row],[SP Strike Price]]), ISNUMBER(SnapshotTable[[#This Row],[SP Qty]]), ISNUMBER(SnapshotTable[[#This Row],[SP Book Date]]), ISNUMBER(SnapshotTable[[#This Row],[SP Book Price]]))</f>
        <v>0</v>
      </c>
      <c r="BX343" s="419" t="b">
        <f>AND(SnapshotTable[[#This Row],[SP Is Booked]], NOT(ISBLANK(SnapshotTable[[#This Row],[SP Fill Date]])))</f>
        <v>0</v>
      </c>
      <c r="BY343" s="33">
        <f>IF(SnapshotTable[[#This Row],[SP Is Booked]], SnapshotTable[[#This Row],[SP Qty]] * SnapshotTable[[#This Row],[SP Book Price]] * 100, 0)</f>
        <v>0</v>
      </c>
      <c r="BZ343" s="369"/>
      <c r="CA343" s="368">
        <f>SnapshotTable[[#This Row],[LP Qty]]</f>
        <v>0</v>
      </c>
      <c r="CB343" s="4" t="str">
        <f>IF(SnapshotTable[[#This Row],[SP Is Booked]], SnapshotTable[[#This Row],[SP Strike Price]] - SnapshotTable[[#This Row],[SP Book Price]], "")</f>
        <v/>
      </c>
      <c r="CC343" s="19" t="str">
        <f>IF(SnapshotTable[[#This Row],[SP Is Booked]],SnapshotTable[[#This Row],[SP Exp Date]]-MAX(SnapshotTable[[#This Row],[SP Book Date]], SnapshotTable[[#This Row],[SP Fill Date]]),"")</f>
        <v/>
      </c>
      <c r="CD343" s="7" t="str">
        <f>IF(SnapshotTable[[#This Row],[SP Is Booked]], SnapshotTable[[#This Row],[SP Book Price]]/SnapshotTable[[#This Row],[SP Strike Price]], "")</f>
        <v/>
      </c>
      <c r="CE343" s="7" t="str">
        <f>IF(ISNUMBER(SnapshotTable[[#This Row],[SP ROO Term]]),SnapshotTable[[#This Row],[SP ROO Term]]*(365/SnapshotTable[[#This Row],[SP Term]]),"")</f>
        <v/>
      </c>
      <c r="CF343" s="236">
        <f>SnapshotTable[[#This Row],[LP Strike Price]] * SnapshotTable[[#This Row],[LP Qty]] * 100</f>
        <v>0</v>
      </c>
      <c r="CG343" s="31" t="e">
        <f>IF(ISNUMBER(SnapshotTable[[#This Row],[SP Premium]]), (SnapshotTable[[#This Row],[SP Qty]] * SnapshotTable[[#This Row],[SP Strike Price]]* 100) - SnapshotTable[[#This Row],[LP Protection]], 0)</f>
        <v>#VALUE!</v>
      </c>
      <c r="CH343" s="7" t="str">
        <f>IF(ISNUMBER(SnapshotTable[[#This Row],[SP Break Even]]),-1 * (SnapshotTable[[#This Row],[SP Break Even]] - SnapshotTable[[#This Row],[Last Price]]) / SnapshotTable[[#This Row],[Last Price]], "")</f>
        <v/>
      </c>
      <c r="CI343" s="31">
        <f>IF(AND(ISNUMBER((SnapshotTable[[#This Row],[SP Potential Spend]])), SnapshotTable[[#This Row],[SP Strike Price]] &gt; SnapshotTable[[#This Row],[Last Price]], SnapshotTable[[#This Row],[SP Is Filled]]), SnapshotTable[[#This Row],[SP Potential Spend]] -  SnapshotTable[[#This Row],[LP Max Value]], 0)</f>
        <v>0</v>
      </c>
      <c r="CJ343" s="244"/>
      <c r="CK343" s="31" t="str">
        <f>IF(ISNUMBER(SnapshotTable[[#This Row],[SP Potential Spend]]),IF(ISNUMBER(SnapshotTable[[#This Row],[SP POW]]), SnapshotTable[[#This Row],[SP POW]] * SnapshotTable[[#This Row],[SP Potential Spend]], SnapshotTable[[#This Row],[SP Potential Spend]]), "")</f>
        <v/>
      </c>
      <c r="CL343" s="164" t="e">
        <f>IF(NOT(SnapshotTable[[#This Row],[SP Is Filled]]),(SnapshotTable[[#This Row],[SP Qty]] * SnapshotTable[[#This Row],[SP Strike Price]] * 100) - SnapshotTable[[#This Row],[LP Max Value]],"")</f>
        <v>#VALUE!</v>
      </c>
      <c r="CM343" s="31" t="str">
        <f>IF(SnapshotTable[[#This Row],[SP Actual Spend]]&lt;&gt;0, ((SnapshotTable[[#This Row],[SP Strike Price]]-SnapshotTable[[#This Row],[Last Price]]) *(SnapshotTable[[#This Row],[SP Qty]]*100) - SnapshotTable[[#This Row],[SP Premium]]) * - 1, "")</f>
        <v/>
      </c>
      <c r="CN343" s="78"/>
      <c r="CO343" s="369"/>
      <c r="CP343" s="4" t="str">
        <f>IF(SnapshotTable[[#This Row],[SP Is Filled]], btc_max_buyback_amount(SnapshotTable[[#This Row],[SP Fill Date]],SnapshotTable[[#This Row],[SP Exp Date]], SnapshotTable[[#This Row],[SP Book Price]]),"")</f>
        <v/>
      </c>
      <c r="CQ343" s="78"/>
      <c r="CR34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3" s="155" t="str">
        <f>IF(SnapshotTable[[#This Row],[SP Is Filled]], btc_next_cutoff_date(SnapshotTable[[#This Row],[SP Fill Date]],SnapshotTable[[#This Row],[SP Exp Date]]),"")</f>
        <v/>
      </c>
      <c r="CT343" s="235" t="str" cm="1">
        <f t="array" ref="CT343">IF(SnapshotTable[[#This Row],[SP Is Filled]], btc_should_buy_back(SnapshotTable[[#This Row],[SP Fill Date]], SnapshotTable[[#This Row],[SP Exp Date]], SnapshotTable[[#This Row],[SP Book Price]], SnapshotTable[[#This Row],[SP Current Ask]], MockToday, SnapshotTable[[#This Row],[SP Buyback Override]]),"")</f>
        <v/>
      </c>
      <c r="CU343" s="143"/>
      <c r="CV343" s="235"/>
      <c r="CW343" s="378" t="str">
        <f>IF(ISNUMBER( SnapshotTable[[#This Row],[SP Term]]), SnapshotTable[[#This Row],[SP Exp Date]] - MockToday,"")</f>
        <v/>
      </c>
      <c r="CX343" s="31" t="str">
        <f>IF(SnapshotTable[[#This Row],[SP Is Filled]],SnapshotTable[[#This Row],[SP Buyback Price to Use]] * 100 * SnapshotTable[[#This Row],[SP Qty]], "")</f>
        <v/>
      </c>
      <c r="CY343" s="4" t="str">
        <f>IF(ISNUMBER(SnapshotTable[[#This Row],[SP Strike Price]]), SnapshotTable[[#This Row],[SP Strike Price]] * (1 - SP_MaxLoss_StrikePct), "")</f>
        <v/>
      </c>
      <c r="CZ343" s="31" t="str">
        <f>IF(ISNUMBER(SnapshotTable[[#This Row],[SP Strike  Stop Per Share]]),SnapshotTable[[#This Row],[SP Premium]] - ((SnapshotTable[[#This Row],[SP Strike Price]]-SnapshotTable[[#This Row],[SP Strike  Stop Per Share]]) *(SnapshotTable[[#This Row],[SP Qty]] * 100)),"")</f>
        <v/>
      </c>
      <c r="DA343" s="4" t="str">
        <f>IF(AND(ISNUMBER(SnapshotTable[[#This Row],[SP Premium]]),SnapshotTable[[#This Row],[SP Premium]]&gt;0), SnapshotTable[[#This Row],[SP Book Price]] * (1 + SP_MaxLoss_OptionPct), "")</f>
        <v/>
      </c>
      <c r="DB343" s="31" t="str">
        <f>IF(ISNUMBER(SnapshotTable[[#This Row],[SP Option  Stop Contract]]),(SnapshotTable[[#This Row],[SP Option  Stop Contract]] *(SnapshotTable[[#This Row],[SP Qty]] * 100) - SnapshotTable[[#This Row],[SP Premium]]),"")</f>
        <v/>
      </c>
      <c r="DC343" s="4"/>
      <c r="DD343" s="4"/>
      <c r="DE343" s="4" t="str">
        <f>IF(AND(SnapshotTable[[#This Row],[SP Qty]]&gt;0, SnapshotTable[[#This Row],[SP Stop To Use]]&gt;0),SnapshotTable[[#This Row],[SP Premium]] - ( SnapshotTable[[#This Row],[SP Qty]] * SnapshotTable[[#This Row],[SP Stop To Use]] * 100), "")</f>
        <v/>
      </c>
      <c r="DF343" s="31" t="str">
        <f>IF(AND(SnapshotTable[[#This Row],[SP Qty]]&gt;0,SnapshotTable[[#This Row],[SP Current Ask]]&gt;0), SnapshotTable[[#This Row],[SP Qty]] * SnapshotTable[[#This Row],[SP Current Ask]] * -100, "")</f>
        <v/>
      </c>
      <c r="DG343" s="31" t="str">
        <f>IF(ISNUMBER((SnapshotTable[[#This Row],[SP Total Value]])), SnapshotTable[[#This Row],[SP Premium]] + SnapshotTable[[#This Row],[SP Total Value]], "")</f>
        <v/>
      </c>
      <c r="DH343" s="294" t="str">
        <f>IF(ISNUMBER((SnapshotTable[[#This Row],[SP Total Value]])), SnapshotTable[[#This Row],[SP Gain Loss]] / SnapshotTable[[#This Row],[SP Premium]], "")</f>
        <v/>
      </c>
      <c r="DI343" s="406"/>
      <c r="DJ343" s="138"/>
      <c r="DK343" s="148"/>
      <c r="DL343" s="13"/>
      <c r="DM343" s="13"/>
      <c r="DO343" s="31">
        <f>IF(SnapshotTable[[#This Row],[LC Symbol Count]]=1, SnapshotTable[[#This Row],[LC Qty]] * SnapshotTable[[#This Row],[LC Book Price]] * 100, 0)</f>
        <v>0</v>
      </c>
      <c r="DP343" s="163" t="str">
        <f>IF(AND(SnapshotTable[[#This Row],[LC Exp Date]]&gt;0, SnapshotTable[[#This Row],[LC Strike Price]]&gt;0,SnapshotTable[[#This Row],[LC Qty]]&gt;0,SnapshotTable[[#This Row],[LC Book Date]]&gt;0,SnapshotTable[[#This Row],[LC Book Price]]&gt;0,SnapshotTable[[#This Row],[LC Fill Date]]=0),"Y","")</f>
        <v/>
      </c>
      <c r="DQ343" s="386" t="str">
        <f>IF(SnapshotTable[[#This Row],[LC Premium]] &gt; 0,SnapshotTable[[#This Row],[LC Exp Date]]-MAX(SnapshotTable[[#This Row],[LC Book Date]], SnapshotTable[[#This Row],[LC Fill Date]]),"")</f>
        <v/>
      </c>
      <c r="DR343" s="386" t="str">
        <f>IF(ISNUMBER(SnapshotTable[[#This Row],[LC Term]]), SnapshotTable[[#This Row],[LC Exp Date]] - MockToday, "")</f>
        <v/>
      </c>
      <c r="DS343" s="234" t="str">
        <f>IF(SnapshotTable[[#This Row],[LC Premium]]&gt;0,SnapshotTable[[#This Row],[LC Strike Price]] + SnapshotTable[[#This Row],[LC Book Price]],"")</f>
        <v/>
      </c>
      <c r="DU343" s="9" t="str">
        <f>IF(AND(SnapshotTable[[#This Row],[LC Symbol Count]]&gt;0, SnapshotTable[[#This Row],[LC Contract Value]]&gt;0), SnapshotTable[[#This Row],[LC Contract Value]] * SnapshotTable[[#This Row],[LC Qty]] * 100, "")</f>
        <v/>
      </c>
      <c r="DV343" s="9" t="str">
        <f>IF(AND(ISNUMBER(SnapshotTable[[#This Row],[LC Total Value]]), SnapshotTable[[#This Row],[LC Not Filled]]&lt;&gt;"Y"), SnapshotTable[[#This Row],[LC Total Value]]-SnapshotTable[[#This Row],[LC Premium]],"")</f>
        <v/>
      </c>
      <c r="DW343" s="240" t="str">
        <f>IF(ISNUMBER(SnapshotTable[[#This Row],[LC Actual Gain Loss]]), SnapshotTable[[#This Row],[LC Actual Gain Loss]] / SnapshotTable[[#This Row],[LC Premium]],"")</f>
        <v/>
      </c>
      <c r="DX343" s="284" t="str">
        <f>IF(ISNUMBER(SnapshotTable[[#This Row],[LC Book Price]]),SnapshotTable[[#This Row],[LC Book Price]] * 1.5,"")</f>
        <v/>
      </c>
      <c r="DY343" s="265" t="str">
        <f>IF(SnapshotTable[[#This Row],[LC Premium]]&gt;0, SnapshotTable[[#This Row],[LC Next Target]] * SnapshotTable[[#This Row],[LC Qty]] * 100,"")</f>
        <v/>
      </c>
      <c r="DZ343" s="265" t="str">
        <f>IF(ISNUMBER(SnapshotTable[[#This Row],[LC Target Gross]]), SnapshotTable[[#This Row],[LC Target Gross]] - SnapshotTable[[#This Row],[LC Premium]], "")</f>
        <v/>
      </c>
      <c r="EA343" s="305" t="str">
        <f>IF(ISNUMBER(SnapshotTable[[#This Row],[LC Target Gain Loss]]), SnapshotTable[[#This Row],[LC Target Gain Loss]]/SnapshotTable[[#This Row],[LC Premium]], "")</f>
        <v/>
      </c>
      <c r="EB343" s="262"/>
      <c r="EC343" s="283" t="str">
        <f>IF(SnapshotTable[[#This Row],[LC Premium]]&gt;0, SnapshotTable[[#This Row],[LC Book Price]] * (1 - LC_StopLoss_Pct),"")</f>
        <v/>
      </c>
      <c r="ED343" s="284"/>
      <c r="EE343" s="283" t="str">
        <f>IF(ISNUMBER(SnapshotTable[[#This Row],[LC Contract Value]]),IF(ISNUMBER(SnapshotTable[[#This Row],[LC Stop Loss Override]]), SnapshotTable[[#This Row],[LC Stop Loss Override]],SnapshotTable[[#This Row],[LC Stop Loss Calc Target]]),"")</f>
        <v/>
      </c>
      <c r="EF343" s="31" t="str">
        <f>IF(ISNUMBER(SnapshotTable[[#This Row],[LC Stop  To Use]]), (SnapshotTable[[#This Row],[LC Stop  To Use]] * SnapshotTable[[#This Row],[LC Qty]] * 100),"")</f>
        <v/>
      </c>
      <c r="EG343" s="9" t="str">
        <f>IF(ISNUMBER(SnapshotTable[[#This Row],[LC Total Value]]),SnapshotTable[[#This Row],[LC Stop Loss Amount]] - SnapshotTable[[#This Row],[LC Premium]],"")</f>
        <v/>
      </c>
      <c r="EH343" s="9">
        <f>IF(ISNUMBER(SnapshotTable[[#This Row],[LC Premium]]), SnapshotTable[[#This Row],[LC Qty]] * 100 * SnapshotTable[[#This Row],[LC Strike Price]], "")</f>
        <v>0</v>
      </c>
      <c r="EI343" s="240" t="str">
        <f>IF(AND(ISNUMBER(SnapshotTable[[#This Row],[LC Total Value]]),SnapshotTable[[#This Row],[LC Total Value]]&gt;0),SnapshotTable[[#This Row],[LC Stop Gain Loss]]  / SnapshotTable[[#This Row],[LC Premium]],"")</f>
        <v/>
      </c>
      <c r="EJ343" s="35">
        <f>IF(ISNUMBER(SnapshotTable[[#This Row],[Equity Shares]]),TRUNC(SnapshotTable[[#This Row],[Equity Shares]] / 100),0) + SnapshotTable[[#This Row],[LC Qty]]</f>
        <v>0</v>
      </c>
      <c r="EK343" s="147"/>
      <c r="EL343" s="138" t="str">
        <f>IF(SnapshotTable[[#This Row],[SC Exp Date]]&lt;&gt;"",TRUNC(SnapshotTable[[#This Row],[Last Price]]),"")</f>
        <v/>
      </c>
      <c r="EM343" s="148"/>
      <c r="EN343" s="147"/>
      <c r="EO343" s="147"/>
      <c r="EP343" s="138"/>
      <c r="EQ343" s="419" t="b">
        <f>AND(ISNUMBER(SnapshotTable[[#This Row],[SC Exp Date]]), ISNUMBER(SnapshotTable[[#This Row],[SC Strike Price]]), ISNUMBER(SnapshotTable[[#This Row],[SC Qty]]), ISNUMBER(SnapshotTable[[#This Row],[SC Book Date]]), ISNUMBER(SnapshotTable[[#This Row],[SC Book Price]]))</f>
        <v>0</v>
      </c>
      <c r="ER343" s="419" t="b">
        <f>AND(SnapshotTable[[#This Row],[SC Is Booked]], NOT(ISBLANK(SnapshotTable[[#This Row],[SC Fill Date]])))</f>
        <v>0</v>
      </c>
      <c r="ES343" s="370"/>
      <c r="ET343" s="34" t="str">
        <f>IF(AND(ISNUMBER(SnapshotTable[[#This Row],[SC Exp Date]]), ISNUMBER(SnapshotTable[[#This Row],[SC Book Date]])), SnapshotTable[[#This Row],[SC Exp Date]] - MAX(SnapshotTable[[#This Row],[SC Book Date]], SnapshotTable[[#This Row],[SC Fill Date]]) + 1, "")</f>
        <v/>
      </c>
      <c r="EU343" s="34" t="str">
        <f>IF(ISNUMBER(SnapshotTable[[#This Row],[SC Term]]), SnapshotTable[[#This Row],[SC Exp Date]]- MockToday, "")</f>
        <v/>
      </c>
      <c r="EV343" s="31">
        <f>IF(SnapshotTable[[#This Row],[SC Is Booked]], SnapshotTable[[#This Row],[SC Qty]] * SnapshotTable[[#This Row],[SC Book Price]] * 100, 0)</f>
        <v>0</v>
      </c>
      <c r="EW343" s="4" t="str">
        <f>IF(AND(ISNUMBER(SnapshotTable[[#This Row],[Last Price]]), ISNUMBER( SnapshotTable[[#This Row],[SC Book Price]])), SnapshotTable[[#This Row],[Last Price]] - SnapshotTable[[#This Row],[SC Book Price]],"")</f>
        <v/>
      </c>
      <c r="EX343" s="234" t="str">
        <f>IF(SnapshotTable[[#This Row],[SC Is Booked]],IF(SnapshotTable[[#This Row],[SC Intrinsic Value]] &gt; 0, SnapshotTable[[#This Row],[SC Strike Price]], SnapshotTable[[#This Row],[Last Price]]), "")</f>
        <v/>
      </c>
      <c r="EY343" s="4">
        <f>IF(SnapshotTable[[#This Row],[SC Is Booked]], (MinimumPremiumRequired * SnapshotTable[[#This Row],[SC Basis]] * SnapshotTable[[#This Row],[SC Term]]), 0)</f>
        <v>0</v>
      </c>
      <c r="EZ343" s="283"/>
      <c r="FA343" s="218"/>
      <c r="FB343" s="370"/>
      <c r="FC343" s="4">
        <f>IF(SnapshotTable[[#This Row],[SC Is Filled]], btc_max_buyback_amount(SnapshotTable[[#This Row],[SC Fill Date]],SnapshotTable[[#This Row],[SC Exp Date]], SnapshotTable[[#This Row],[SC Book Price]]),0)</f>
        <v>0</v>
      </c>
      <c r="FD343" s="5"/>
      <c r="FE343" s="144" t="str">
        <f>IF(SnapshotTable[[#This Row],[SC Is Filled]], btc_next_cutoff_date(SnapshotTable[[#This Row],[SC Fill Date]],SnapshotTable[[#This Row],[SC Exp Date]]),"")</f>
        <v/>
      </c>
      <c r="FF343" s="4" t="str" cm="1">
        <f t="array" ref="FF343">IF(SnapshotTable[[#This Row],[SC Is Filled]], btc_should_buy_back(SnapshotTable[[#This Row],[SC Fill Date]], SnapshotTable[[#This Row],[SC Exp Date]], SnapshotTable[[#This Row],[SC Book Price]], SnapshotTable[[#This Row],[SC Current Ask]], MockToday, SnapshotTable[[#This Row],[SC Buyback Override]]),"")</f>
        <v/>
      </c>
      <c r="FG343" s="4">
        <f>IF(SnapshotTable[[#This Row],[SC Is Filled]], MAX(0,SnapshotTable[[#This Row],[Last Price]]  - SnapshotTable[[#This Row],[SC Strike Price]]), 0)</f>
        <v>0</v>
      </c>
      <c r="FH343" s="382">
        <f>IF(SnapshotTable[[#This Row],[SC Is Filled]], IF(ISNUMBER(SnapshotTable[[#This Row],[SC Current Ask]]), SnapshotTable[[#This Row],[SC Current Ask]], SnapshotTable[[#This Row],[SC Book Price]]) - SnapshotTable[[#This Row],[SC Intrinsic Value]], 0)</f>
        <v>0</v>
      </c>
      <c r="FI343" s="143"/>
      <c r="FJ343" s="32" t="str">
        <f>IF(SnapshotTable[[#This Row],[SC Is Filled]],100 * SnapshotTable[[#This Row],[SC Qty]] * IF(ISNUMBER(SnapshotTable[[#This Row],[SC Buyback Override]]), SnapshotTable[[#This Row],[SC Buyback Override]], SnapshotTable[[#This Row],[SC Current Ask]]), "")</f>
        <v/>
      </c>
      <c r="FK343" s="250" t="str">
        <f>IF(SnapshotTable[[#This Row],[SC Time Val]]&gt;0, SnapshotTable[[#This Row],[SC Time Val]] / SnapshotTable[[#This Row],[Last Price]],"")</f>
        <v/>
      </c>
      <c r="FL343" s="302" t="str">
        <f>IF(SnapshotTable[[#This Row],[SC Is Booked]], ((SnapshotTable[[#This Row],[Last Price]] -SnapshotTable[[#This Row],[SC Strike Price]]) / SnapshotTable[[#This Row],[Last Price]]) * -1, "")</f>
        <v/>
      </c>
      <c r="FM343" s="157" t="str">
        <f>IF(SnapshotTable[[#This Row],[SC Is Booked]],  (SnapshotTable[[#This Row],[SC Qty]] * 100 * SnapshotTable[[#This Row],[SC Strike Price]]) - SnapshotTable[[#This Row],[SC Current Ask]], "")</f>
        <v/>
      </c>
      <c r="FN34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3" s="31" t="str">
        <f>IF(AND(ISNUMBER(SnapshotTable[[#This Row],[SC Exercise Gross]]), ISNUMBER(SnapshotTable[[#This Row],[Equity Basis Per Share]] )), SnapshotTable[[#This Row],[SC Exercise Gross]] - SnapshotTable[[#This Row],[Equity Basis Total]] +  SnapshotTable[[#This Row],[SC Premium]], "")</f>
        <v/>
      </c>
      <c r="FP343" s="5" t="str">
        <f>IF(ISNUMBER(SnapshotTable[[#This Row],[SC Exercise Gross]]), (SnapshotTable[[#This Row],[SC Exercise Gross]]) / (SnapshotTable[[#This Row],[SC Qty]] * 100), "")</f>
        <v/>
      </c>
      <c r="FQ343" s="27" t="str">
        <f>IF(SnapshotTable[[#This Row],[SC Is Booked]],SnapshotTable[[#This Row],[SC Time Val]] /SnapshotTable[[#This Row],[SC Basis]], "")</f>
        <v/>
      </c>
      <c r="FR343" s="27" t="str" cm="1">
        <f t="array" ref="FR343">IF(AND(ISNUMBER(SnapshotTable[[#This Row],[SC Term]]),ISNUMBER(SnapshotTable[[#This Row],[SC Simple ROO]])), EllmanAnnualize(SnapshotTable[[#This Row],[SC DTE]], SnapshotTable[[#This Row],[SC Simple ROO]] ),"")</f>
        <v/>
      </c>
      <c r="FS343" s="4" t="e">
        <f>IF(SnapshotTable[[#This Row],[SC Strike Price]] &gt; SnapshotTable[[#This Row],[Last Price]], SnapshotTable[[#This Row],[SC Strike Price]] - SnapshotTable[[#This Row],[Last Price]],0)</f>
        <v>#VALUE!</v>
      </c>
      <c r="FT343" s="27" t="e">
        <f>IF(AND(ISNUMBER(SnapshotTable[[#This Row],[SC Upside Potential]]), SnapshotTable[[#This Row],[SC Upside Potential]] &gt; 0),(SnapshotTable[[#This Row],[SC Upside Potential]]/ SnapshotTable[[#This Row],[ACB]]),"")</f>
        <v>#VALUE!</v>
      </c>
      <c r="FU343" s="333" t="str">
        <f>IF(SnapshotTable[[#This Row],[SC Intrinsic Value]] &gt; 0,SnapshotTable[[#This Row],[SC Intrinsic Value]],"")</f>
        <v/>
      </c>
      <c r="FV343" s="27" t="str">
        <f>IF(AND( ISNUMBER( SnapshotTable[[#This Row],[ACB]]),ISNUMBER(SnapshotTable[[#This Row],[SC Downside Protect]])),SnapshotTable[[#This Row],[SC Downside Protect]] / SnapshotTable[[#This Row],[ACB]],"")</f>
        <v/>
      </c>
      <c r="FW343" s="236" t="str">
        <f>IF(AND(ISNUMBER(SnapshotTable[[#This Row],[SC Simple ROO]]),SnapshotTable[[#This Row],[SC Simple ROO]] &gt; 0), SnapshotTable[[#This Row],[SC Premium]] + (SnapshotTable[[#This Row],[SC Qty]] * SnapshotTable[[#This Row],[SC Upside Potential]]), "")</f>
        <v/>
      </c>
      <c r="FX343" s="302" t="str" cm="1">
        <f t="array" ref="FX343">IF(ISNUMBER(SnapshotTable[[#This Row],[SC Max Dollars]]), annualize(SnapshotTable[[#This Row],[SC Term]],(SnapshotTable[[#This Row],[SC Max Dollars]]/SnapshotTable[[#This Row],[SC Basis]])),"")</f>
        <v/>
      </c>
      <c r="FY343" s="236" t="str">
        <f>IF(AND(SnapshotTable[[#This Row],[SC Qty]]&gt;0,SnapshotTable[[#This Row],[SC Current Ask]]&gt;0), SnapshotTable[[#This Row],[SC Qty]] * SnapshotTable[[#This Row],[SC Current Ask]] * -100, "")</f>
        <v/>
      </c>
      <c r="FZ343" s="31" t="str">
        <f>IF(ISNUMBER((SnapshotTable[[#This Row],[SC Current Value]])), SnapshotTable[[#This Row],[SC Premium]] + SnapshotTable[[#This Row],[SC Current Value]], "")</f>
        <v/>
      </c>
      <c r="GA343" s="294" t="str">
        <f>IFERROR( IF(ISNUMBER((SnapshotTable[[#This Row],[SC Current Value]])), SnapshotTable[[#This Row],[SC Gain Loss]] / SnapshotTable[[#This Row],[SC Premium]], ""), "")</f>
        <v/>
      </c>
      <c r="GB343" s="42">
        <f>SnapshotTable[[#This Row],[Equity Shares]] * SaleSharesToConsiderPercentage</f>
        <v>0</v>
      </c>
      <c r="GC343" s="40">
        <f>SnapshotTable[[#This Row],[Long Term Target]] * SellingPriceToConsiderBasedOnTargetPercentage</f>
        <v>146.68</v>
      </c>
      <c r="GD343" s="40">
        <f>SnapshotTable[[#This Row],[Last Price]] * (1+ SellingPriceToConsiderBasedOnTargetPercentage)</f>
        <v>307.125</v>
      </c>
      <c r="GE343" s="41"/>
      <c r="GF343" s="40"/>
      <c r="GG343" s="31">
        <f>SnapshotTable[[#This Row],[Booked Sale Shares]] * SnapshotTable[[#This Row],[Booked Sale Price]]</f>
        <v>0</v>
      </c>
      <c r="GH343" s="31" t="str">
        <f>IF(SnapshotTable[[#This Row],[Equity Basis Total]] &gt; 0, SnapshotTable[[#This Row],[Equity Basis Per Share]] * SnapshotTable[[#This Row],[Booked Sale Shares]], "")</f>
        <v/>
      </c>
      <c r="GI343" s="31">
        <f>IF(SnapshotTable[[#This Row],[Sale Proceeds]]&gt;0, SnapshotTable[[#This Row],[Sale Proceeds]] - SnapshotTable[[#This Row],[Sale Basis]], 0)</f>
        <v>0</v>
      </c>
      <c r="GJ343" s="27" t="str">
        <f>IF(SnapshotTable[[#This Row],[Sale G/L]]&gt;0, SnapshotTable[[#This Row],[Sale G/L]] / SnapshotTable[[#This Row],[Sale Basis]], IF(ISNUMBER(SnapshotTable[[#This Row],[SC Exercise P&amp;L (TAX)]]), SnapshotTable[[#This Row],[SC Exercise P&amp;L (TAX)]] / SnapshotTable[[#This Row],[SC Basis]], ""))</f>
        <v/>
      </c>
      <c r="GK343" s="27" t="s">
        <v>791</v>
      </c>
      <c r="GL343" s="43" t="str">
        <f>IF(AND(SnapshotTable[[#This Row],[LP Exp Date]]&gt;0,SnapshotTable[[#This Row],[LP Strike Price]]&gt;0), [1]!ToOptionSymbol(SnapshotTable[[#This Row],[Symbol]], SnapshotTable[[#This Row],[LP Strike Price]],SnapshotTable[[#This Row],[LP Exp Date]],1), "")</f>
        <v/>
      </c>
      <c r="GM343" s="30" t="str">
        <f>IF(LEN(SnapshotTable[[#This Row],[LP Symbol]])&gt;0, 1, "")</f>
        <v/>
      </c>
      <c r="GN343" s="43" t="str">
        <f>IF(AND(SnapshotTable[[#This Row],[SP Exp Date]]&gt;0,SnapshotTable[[#This Row],[SP Strike Price]]&gt;0), [1]!ToOptionSymbol(SnapshotTable[[#This Row],[Symbol]], SnapshotTable[[#This Row],[SP Strike Price]],SnapshotTable[[#This Row],[SP Exp Date]],1), "")</f>
        <v/>
      </c>
      <c r="GO343" s="30" t="str">
        <f>IF(LEN(SnapshotTable[[#This Row],[SP Symbol]])&gt;0, 1, "")</f>
        <v/>
      </c>
      <c r="GP343" s="43" t="str">
        <f>IF(AND(SnapshotTable[[#This Row],[LC Exp Date]]&gt;0,SnapshotTable[[#This Row],[LC Strike Price]]&gt;0), [1]!ToOptionSymbol(SnapshotTable[[#This Row],[Symbol]], SnapshotTable[[#This Row],[LC Strike Price]],SnapshotTable[[#This Row],[LC Exp Date]],0), "")</f>
        <v/>
      </c>
      <c r="GQ343" s="30" t="str">
        <f>IF(LEN(SnapshotTable[[#This Row],[LC Symbol]])&gt;0, 1, "")</f>
        <v/>
      </c>
      <c r="GR343" s="43" t="str">
        <f>IF(AND(SnapshotTable[[#This Row],[SC Exp Date]]&gt;0,SnapshotTable[[#This Row],[SC Strike Price]]&gt;0), [1]!ToOptionSymbol(SnapshotTable[[#This Row],[Symbol]], SnapshotTable[[#This Row],[SC Strike Price]],SnapshotTable[[#This Row],[SC Exp Date]],0), "")</f>
        <v/>
      </c>
      <c r="GS343" s="30" t="str">
        <f>IF(LEN(SnapshotTable[[#This Row],[SC Symbol]])&gt;0, 1, "")</f>
        <v/>
      </c>
      <c r="GT343" s="29" t="str">
        <f>IF(COUNT(SnapshotTable[[#This Row],[LP Symbol Count]],SnapshotTable[[#This Row],[SP Symbol Count]],SnapshotTable[[#This Row],[LC Symbol Count]],SnapshotTable[[#This Row],[SC Symbol Count]])&gt;0, "Y", "")</f>
        <v/>
      </c>
      <c r="GU34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43" s="231" t="e">
        <f>MAX(SnapshotTable[[#This Row],[Equity Basis Total]],SnapshotTable[[#This Row],[Equity Value]]) + (SnapshotTable[[#This Row],[SP Potential Spend]]- SnapshotTable[[#This Row],[SP Premium]] + SnapshotTable[[#This Row],[LP Premium]])+ (SnapshotTable[[#This Row],[LC Premium]] - SnapshotTable[[#This Row],[SC Premium]])</f>
        <v>#VALUE!</v>
      </c>
      <c r="GW343" s="139" t="e">
        <f>IF(AND(SnapshotTable[[#This Row],[Exposure]] &lt;&gt; 0),SnapshotTable[[#This Row],[Exposure]] / SnapshotTable[[#Totals],[Exposure]], "")</f>
        <v>#VALUE!</v>
      </c>
      <c r="HK343" s="1"/>
      <c r="HL343" s="1"/>
      <c r="HM343" s="1"/>
      <c r="HN343" s="1"/>
      <c r="HO343" s="1"/>
      <c r="HP343" s="1"/>
    </row>
    <row r="344" spans="2:224" ht="12.75" hidden="1" customHeight="1" x14ac:dyDescent="0.25">
      <c r="B344" s="12" t="s">
        <v>1192</v>
      </c>
      <c r="C344" s="422">
        <v>301.16000000000003</v>
      </c>
      <c r="D344" s="208" t="s">
        <v>578</v>
      </c>
      <c r="E344" s="39">
        <f>SnapshotTable[[#This Row],[Last Price]]*(1 -CrashDiscount)</f>
        <v>255.98600000000002</v>
      </c>
      <c r="F344" s="325" t="s">
        <v>917</v>
      </c>
      <c r="G344" s="325" t="s">
        <v>872</v>
      </c>
      <c r="H344" s="149"/>
      <c r="I344" s="194"/>
      <c r="J344" s="195"/>
      <c r="K344" s="196"/>
      <c r="L344" s="326"/>
      <c r="M344" s="140"/>
      <c r="N344" s="140"/>
      <c r="O344" s="140"/>
      <c r="P344" s="22"/>
      <c r="Q344" s="25"/>
      <c r="R344" s="4" t="str">
        <f>IF(SnapshotTable[[#This Row],[Equity Basis Total]] &gt; 0, SnapshotTable[[#This Row],[Equity Basis Total]] / SnapshotTable[[#This Row],[Equity Shares]], "")</f>
        <v/>
      </c>
      <c r="S344" s="269">
        <f>SnapshotTable[[#This Row],[Last Price]] * SnapshotTable[[#This Row],[Equity Shares]]</f>
        <v>0</v>
      </c>
      <c r="T344" s="269">
        <f>SnapshotTable[[#This Row],[Equity Value]] - SnapshotTable[[#This Row],[Equity Basis Total]]</f>
        <v>0</v>
      </c>
      <c r="U344" s="270" t="str">
        <f>IF(SnapshotTable[[#This Row],[Equity Basis Total]] &gt; 0, SnapshotTable[[#This Row],[Equity G/L]] / SnapshotTable[[#This Row],[Equity Basis Total]], "")</f>
        <v/>
      </c>
      <c r="V344" s="268"/>
      <c r="W344" s="268"/>
      <c r="X344" s="4" t="str">
        <f>IF(AND(ISNUMBER(SnapshotTable[[#This Row],[Equity Basis Per Share]]),ISNUMBER(SnapshotTable[[#This Row],[Equity Target]])),SnapshotTable[[#This Row],[Equity Target]]-SnapshotTable[[#This Row],[Equity Basis Per Share]],"")</f>
        <v/>
      </c>
      <c r="Y344" s="4" t="str">
        <f>IF(AND(ISNUMBER(SnapshotTable[[#This Row],[Equity Basis Per Share]]),ISNUMBER(SnapshotTable[[#This Row],[Equity Stop Loss]])),SnapshotTable[[#This Row],[Equity Stop Loss]]-SnapshotTable[[#This Row],[Equity Basis Per Share]],"")</f>
        <v/>
      </c>
      <c r="Z344" s="275" t="str">
        <f>IFERROR( TEXT(SnapshotTable[[#This Row],[Equity Max Gain Per Share]] /ABS( SnapshotTable[[#This Row],[Equity Max Loss Per Share]]),"0.0 " ) &amp; " : 1", "")</f>
        <v/>
      </c>
      <c r="AA344" s="31" t="str">
        <f>IF(ISNUMBER(SnapshotTable[[#This Row],[Equity Max Gain Per Share]]),SnapshotTable[[#This Row],[Equity Max Gain Per Share]] * SnapshotTable[[#This Row],[Equity Shares]],"")</f>
        <v/>
      </c>
      <c r="AB344" s="31" t="str">
        <f>IF(ISNUMBER(SnapshotTable[[#This Row],[Equity Max Loss Per Share]]),SnapshotTable[[#This Row],[Equity Max Loss Per Share]] * SnapshotTable[[#This Row],[Equity Shares]],"")</f>
        <v/>
      </c>
      <c r="AC344" s="150"/>
      <c r="AD344" s="151"/>
      <c r="AE344" s="31">
        <f>(SnapshotTable[[#This Row],[Annual Dividend Per Share]] / 4) * SnapshotTable[[#This Row],[Equity Shares]]</f>
        <v>0</v>
      </c>
      <c r="AF344" s="31">
        <f>SnapshotTable[[#This Row],[Quarterly Div $]] * 4</f>
        <v>0</v>
      </c>
      <c r="AG344" s="7">
        <f>IF(SnapshotTable[[#This Row],[Annual Dividend Per Share]]&gt;0, SnapshotTable[[#This Row],[Annual Dividend Per Share]]  / SnapshotTable[[#This Row],[Last Price]], 0)</f>
        <v>0</v>
      </c>
      <c r="AH344" s="151"/>
      <c r="AI344" s="5"/>
      <c r="AJ344" s="138">
        <v>145</v>
      </c>
      <c r="AK344" s="152" t="str">
        <f>IF(ISNUMBER( SnapshotTable[[#This Row],[EBF Target]]),(SnapshotTable[[#This Row],[EBF Target]] - SnapshotTable[[#This Row],[Last Price]]) / SnapshotTable[[#This Row],[Last Price]], "")</f>
        <v/>
      </c>
      <c r="AL344" s="152" t="str">
        <f>IF(AND(SnapshotTable[[#This Row],[Equity Basis Total]] &gt; 0,ISNUMBER( SnapshotTable[[#This Row],[Long Term Target]])), SnapshotTable[[#This Row],[From Basis $]] / SnapshotTable[[#This Row],[Equity Basis Total]], "")</f>
        <v/>
      </c>
      <c r="AM344" s="9">
        <f>IF( AND(SnapshotTable[[#This Row],[Equity Shares]] &gt;0,ISNUMBER( SnapshotTable[[#This Row],[Long Term Target]])),(SnapshotTable[[#This Row],[Equity Shares]] * SnapshotTable[[#This Row],[Long Term Target]]) - SnapshotTable[[#This Row],[Equity Basis Total]],0)</f>
        <v>0</v>
      </c>
      <c r="AN344" s="9">
        <f>IF( AND(SnapshotTable[[#This Row],[Equity Shares]] &gt;0,ISNUMBER( SnapshotTable[[#This Row],[Long Term Target]])),(SnapshotTable[[#This Row],[Equity Shares]]*SnapshotTable[[#This Row],[Long Term Target]]) - SnapshotTable[[#This Row],[Equity Value]],0)</f>
        <v>0</v>
      </c>
      <c r="AO344" s="152">
        <f>IF(AND(ISNUMBER( SnapshotTable[[#This Row],[Long Term Target]]), ISNUMBER(SnapshotTable[[#This Row],[Last Price]])),(SnapshotTable[[#This Row],[Long Term Target]] - SnapshotTable[[#This Row],[Last Price]]) / SnapshotTable[[#This Row],[Last Price]], "")</f>
        <v>-0.5185283570195246</v>
      </c>
      <c r="AP344" s="5">
        <v>145</v>
      </c>
      <c r="AQ344" s="38" t="s">
        <v>89</v>
      </c>
      <c r="AR344" s="5">
        <v>129.15</v>
      </c>
      <c r="AS344" s="38" t="s">
        <v>32</v>
      </c>
      <c r="AT344" s="146" t="s">
        <v>1132</v>
      </c>
      <c r="AU344" s="187" t="str">
        <f>IF(OR(SnapshotTable[[#This Row],[LP No Fill]]="Y",SnapshotTable[[#This Row],[SP Is Filled]],SnapshotTable[[#This Row],[LC Not Filled]]="Y",SnapshotTable[[#This Row],[SC Is Filled]]),"Y","")</f>
        <v/>
      </c>
      <c r="AV344" s="219"/>
      <c r="AW344" s="225"/>
      <c r="AX344" s="220"/>
      <c r="AY344" s="219" t="str">
        <f>IF(SnapshotTable[[#This Row],[Implied Move]]&gt;0, SnapshotTable[[#This Row],[Last Price]]-SnapshotTable[[#This Row],[Implied Move]],"")</f>
        <v/>
      </c>
      <c r="AZ344" s="219" t="str">
        <f>IF(SnapshotTable[[#This Row],[Implied Move]]&gt;0, SnapshotTable[[#This Row],[Last Price]] + SnapshotTable[[#This Row],[Implied Move]],"")</f>
        <v/>
      </c>
      <c r="BA344" s="331">
        <v>135.32</v>
      </c>
      <c r="BB344" s="347"/>
      <c r="BC34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4" s="351"/>
      <c r="BE344" s="5"/>
      <c r="BF344" s="14"/>
      <c r="BG344" s="13"/>
      <c r="BH344" s="13"/>
      <c r="BI344" s="5"/>
      <c r="BJ344" s="136">
        <f>IF(SnapshotTable[[#This Row],[LP Qty]] &gt; 0, SnapshotTable[[#This Row],[LP Qty]] * SnapshotTable[[#This Row],[LP Book Price]] * 100,0)</f>
        <v>0</v>
      </c>
      <c r="BK344" s="136">
        <f>IF(SnapshotTable[[#This Row],[LP Premium]] &gt; 0, SnapshotTable[[#This Row],[LP Qty]] * SnapshotTable[[#This Row],[LP Strike Price]] * 100,0)</f>
        <v>0</v>
      </c>
      <c r="BL344" s="154"/>
      <c r="BM344" s="385" t="str">
        <f>IF(SnapshotTable[[#This Row],[LP Premium]] &gt; 0,SnapshotTable[[#This Row],[LP Exp Date]]-MAX(SnapshotTable[[#This Row],[LP Book Date]], SnapshotTable[[#This Row],[LP Fill Date]]),"")</f>
        <v/>
      </c>
      <c r="BN344" s="385" t="str">
        <f>IF(ISNUMBER( SnapshotTable[[#This Row],[LP Term]]), SnapshotTable[[#This Row],[LP Exp Date]] - MockToday,"")</f>
        <v/>
      </c>
      <c r="BO344" s="163" t="str">
        <f>IF(AND(SnapshotTable[[#This Row],[LP Exp Date]]&gt;0, SnapshotTable[[#This Row],[LP Strike Price]]&gt;0,SnapshotTable[[#This Row],[LP Qty]]&gt;0,SnapshotTable[[#This Row],[LP Book Date]]&gt;0,SnapshotTable[[#This Row],[LP Book Price]]&gt;0,SnapshotTable[[#This Row],[LP Fill Date]]=0),"Y","")</f>
        <v/>
      </c>
      <c r="BP344" s="31" t="str">
        <f>IF(AND(SnapshotTable[[#This Row],[LP No Fill]]&lt;&gt;"Y",SnapshotTable[[#This Row],[LP Contract Value]]&gt;0, SnapshotTable[[#This Row],[LP Qty]]&gt;0), SnapshotTable[[#This Row],[LP Contract Value]]*SnapshotTable[[#This Row],[LP Qty]]*100,"")</f>
        <v/>
      </c>
      <c r="BQ344" s="13"/>
      <c r="BR344" s="5" t="str">
        <f>IF(SnapshotTable[[#This Row],[SP Exp Date]]&lt;&gt;"",TRUNC(SnapshotTable[[#This Row],[Last Price]]),"")</f>
        <v/>
      </c>
      <c r="BS344" s="36"/>
      <c r="BT344" s="147"/>
      <c r="BU344" s="13"/>
      <c r="BV344" s="5"/>
      <c r="BW344" s="419" t="b">
        <f>AND(ISNUMBER(SnapshotTable[[#This Row],[SP Exp Date]]), ISNUMBER(SnapshotTable[[#This Row],[SP Strike Price]]), ISNUMBER(SnapshotTable[[#This Row],[SP Qty]]), ISNUMBER(SnapshotTable[[#This Row],[SP Book Date]]), ISNUMBER(SnapshotTable[[#This Row],[SP Book Price]]))</f>
        <v>0</v>
      </c>
      <c r="BX344" s="419" t="b">
        <f>AND(SnapshotTable[[#This Row],[SP Is Booked]], NOT(ISBLANK(SnapshotTable[[#This Row],[SP Fill Date]])))</f>
        <v>0</v>
      </c>
      <c r="BY344" s="33">
        <f>IF(SnapshotTable[[#This Row],[SP Is Booked]], SnapshotTable[[#This Row],[SP Qty]] * SnapshotTable[[#This Row],[SP Book Price]] * 100, 0)</f>
        <v>0</v>
      </c>
      <c r="BZ344" s="369"/>
      <c r="CA344" s="368">
        <f>SnapshotTable[[#This Row],[LP Qty]]</f>
        <v>0</v>
      </c>
      <c r="CB344" s="4" t="str">
        <f>IF(SnapshotTable[[#This Row],[SP Is Booked]], SnapshotTable[[#This Row],[SP Strike Price]] - SnapshotTable[[#This Row],[SP Book Price]], "")</f>
        <v/>
      </c>
      <c r="CC344" s="19" t="str">
        <f>IF(SnapshotTable[[#This Row],[SP Is Booked]],SnapshotTable[[#This Row],[SP Exp Date]]-MAX(SnapshotTable[[#This Row],[SP Book Date]], SnapshotTable[[#This Row],[SP Fill Date]]),"")</f>
        <v/>
      </c>
      <c r="CD344" s="7" t="str">
        <f>IF(SnapshotTable[[#This Row],[SP Is Booked]], SnapshotTable[[#This Row],[SP Book Price]]/SnapshotTable[[#This Row],[SP Strike Price]], "")</f>
        <v/>
      </c>
      <c r="CE344" s="7" t="str">
        <f>IF(ISNUMBER(SnapshotTable[[#This Row],[SP ROO Term]]),SnapshotTable[[#This Row],[SP ROO Term]]*(365/SnapshotTable[[#This Row],[SP Term]]),"")</f>
        <v/>
      </c>
      <c r="CF344" s="236">
        <f>SnapshotTable[[#This Row],[LP Strike Price]] * SnapshotTable[[#This Row],[LP Qty]] * 100</f>
        <v>0</v>
      </c>
      <c r="CG344" s="31" t="e">
        <f>IF(ISNUMBER(SnapshotTable[[#This Row],[SP Premium]]), (SnapshotTable[[#This Row],[SP Qty]] * SnapshotTable[[#This Row],[SP Strike Price]]* 100) - SnapshotTable[[#This Row],[LP Protection]], 0)</f>
        <v>#VALUE!</v>
      </c>
      <c r="CH344" s="7" t="str">
        <f>IF(ISNUMBER(SnapshotTable[[#This Row],[SP Break Even]]),-1 * (SnapshotTable[[#This Row],[SP Break Even]] - SnapshotTable[[#This Row],[Last Price]]) / SnapshotTable[[#This Row],[Last Price]], "")</f>
        <v/>
      </c>
      <c r="CI344" s="31">
        <f>IF(AND(ISNUMBER((SnapshotTable[[#This Row],[SP Potential Spend]])), SnapshotTable[[#This Row],[SP Strike Price]] &gt; SnapshotTable[[#This Row],[Last Price]], SnapshotTable[[#This Row],[SP Is Filled]]), SnapshotTable[[#This Row],[SP Potential Spend]] -  SnapshotTable[[#This Row],[LP Max Value]], 0)</f>
        <v>0</v>
      </c>
      <c r="CJ344" s="244"/>
      <c r="CK344" s="31" t="str">
        <f>IF(ISNUMBER(SnapshotTable[[#This Row],[SP Potential Spend]]),IF(ISNUMBER(SnapshotTable[[#This Row],[SP POW]]), SnapshotTable[[#This Row],[SP POW]] * SnapshotTable[[#This Row],[SP Potential Spend]], SnapshotTable[[#This Row],[SP Potential Spend]]), "")</f>
        <v/>
      </c>
      <c r="CL344" s="164" t="e">
        <f>IF(NOT(SnapshotTable[[#This Row],[SP Is Filled]]),(SnapshotTable[[#This Row],[SP Qty]] * SnapshotTable[[#This Row],[SP Strike Price]] * 100) - SnapshotTable[[#This Row],[LP Max Value]],"")</f>
        <v>#VALUE!</v>
      </c>
      <c r="CM344" s="31" t="str">
        <f>IF(SnapshotTable[[#This Row],[SP Actual Spend]]&lt;&gt;0, ((SnapshotTable[[#This Row],[SP Strike Price]]-SnapshotTable[[#This Row],[Last Price]]) *(SnapshotTable[[#This Row],[SP Qty]]*100) - SnapshotTable[[#This Row],[SP Premium]]) * - 1, "")</f>
        <v/>
      </c>
      <c r="CN344" s="78"/>
      <c r="CO344" s="369"/>
      <c r="CP344" s="4" t="str">
        <f>IF(SnapshotTable[[#This Row],[SP Is Filled]], btc_max_buyback_amount(SnapshotTable[[#This Row],[SP Fill Date]],SnapshotTable[[#This Row],[SP Exp Date]], SnapshotTable[[#This Row],[SP Book Price]]),"")</f>
        <v/>
      </c>
      <c r="CQ344" s="78"/>
      <c r="CR34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4" s="155" t="str">
        <f>IF(SnapshotTable[[#This Row],[SP Is Filled]], btc_next_cutoff_date(SnapshotTable[[#This Row],[SP Fill Date]],SnapshotTable[[#This Row],[SP Exp Date]]),"")</f>
        <v/>
      </c>
      <c r="CT344" s="235" t="str" cm="1">
        <f t="array" ref="CT344">IF(SnapshotTable[[#This Row],[SP Is Filled]], btc_should_buy_back(SnapshotTable[[#This Row],[SP Fill Date]], SnapshotTable[[#This Row],[SP Exp Date]], SnapshotTable[[#This Row],[SP Book Price]], SnapshotTable[[#This Row],[SP Current Ask]], MockToday, SnapshotTable[[#This Row],[SP Buyback Override]]),"")</f>
        <v/>
      </c>
      <c r="CU344" s="143"/>
      <c r="CV344" s="235"/>
      <c r="CW344" s="378" t="str">
        <f>IF(ISNUMBER( SnapshotTable[[#This Row],[SP Term]]), SnapshotTable[[#This Row],[SP Exp Date]] - MockToday,"")</f>
        <v/>
      </c>
      <c r="CX344" s="31" t="str">
        <f>IF(SnapshotTable[[#This Row],[SP Is Filled]],SnapshotTable[[#This Row],[SP Buyback Price to Use]] * 100 * SnapshotTable[[#This Row],[SP Qty]], "")</f>
        <v/>
      </c>
      <c r="CY344" s="4" t="str">
        <f>IF(ISNUMBER(SnapshotTable[[#This Row],[SP Strike Price]]), SnapshotTable[[#This Row],[SP Strike Price]] * (1 - SP_MaxLoss_StrikePct), "")</f>
        <v/>
      </c>
      <c r="CZ344" s="31" t="str">
        <f>IF(ISNUMBER(SnapshotTable[[#This Row],[SP Strike  Stop Per Share]]),SnapshotTable[[#This Row],[SP Premium]] - ((SnapshotTable[[#This Row],[SP Strike Price]]-SnapshotTable[[#This Row],[SP Strike  Stop Per Share]]) *(SnapshotTable[[#This Row],[SP Qty]] * 100)),"")</f>
        <v/>
      </c>
      <c r="DA344" s="4" t="str">
        <f>IF(AND(ISNUMBER(SnapshotTable[[#This Row],[SP Premium]]),SnapshotTable[[#This Row],[SP Premium]]&gt;0), SnapshotTable[[#This Row],[SP Book Price]] * (1 + SP_MaxLoss_OptionPct), "")</f>
        <v/>
      </c>
      <c r="DB344" s="31" t="str">
        <f>IF(ISNUMBER(SnapshotTable[[#This Row],[SP Option  Stop Contract]]),(SnapshotTable[[#This Row],[SP Option  Stop Contract]] *(SnapshotTable[[#This Row],[SP Qty]] * 100) - SnapshotTable[[#This Row],[SP Premium]]),"")</f>
        <v/>
      </c>
      <c r="DC344" s="4"/>
      <c r="DD344" s="4"/>
      <c r="DE344" s="4" t="str">
        <f>IF(AND(SnapshotTable[[#This Row],[SP Qty]]&gt;0, SnapshotTable[[#This Row],[SP Stop To Use]]&gt;0),SnapshotTable[[#This Row],[SP Premium]] - ( SnapshotTable[[#This Row],[SP Qty]] * SnapshotTable[[#This Row],[SP Stop To Use]] * 100), "")</f>
        <v/>
      </c>
      <c r="DF344" s="31" t="str">
        <f>IF(AND(SnapshotTable[[#This Row],[SP Qty]]&gt;0,SnapshotTable[[#This Row],[SP Current Ask]]&gt;0), SnapshotTable[[#This Row],[SP Qty]] * SnapshotTable[[#This Row],[SP Current Ask]] * -100, "")</f>
        <v/>
      </c>
      <c r="DG344" s="31" t="str">
        <f>IF(ISNUMBER((SnapshotTable[[#This Row],[SP Total Value]])), SnapshotTable[[#This Row],[SP Premium]] + SnapshotTable[[#This Row],[SP Total Value]], "")</f>
        <v/>
      </c>
      <c r="DH344" s="294" t="str">
        <f>IF(ISNUMBER((SnapshotTable[[#This Row],[SP Total Value]])), SnapshotTable[[#This Row],[SP Gain Loss]] / SnapshotTable[[#This Row],[SP Premium]], "")</f>
        <v/>
      </c>
      <c r="DI344" s="406"/>
      <c r="DJ344" s="138"/>
      <c r="DK344" s="148"/>
      <c r="DL344" s="13"/>
      <c r="DM344" s="13"/>
      <c r="DO344" s="31">
        <f>IF(SnapshotTable[[#This Row],[LC Symbol Count]]=1, SnapshotTable[[#This Row],[LC Qty]] * SnapshotTable[[#This Row],[LC Book Price]] * 100, 0)</f>
        <v>0</v>
      </c>
      <c r="DP344" s="163" t="str">
        <f>IF(AND(SnapshotTable[[#This Row],[LC Exp Date]]&gt;0, SnapshotTable[[#This Row],[LC Strike Price]]&gt;0,SnapshotTable[[#This Row],[LC Qty]]&gt;0,SnapshotTable[[#This Row],[LC Book Date]]&gt;0,SnapshotTable[[#This Row],[LC Book Price]]&gt;0,SnapshotTable[[#This Row],[LC Fill Date]]=0),"Y","")</f>
        <v/>
      </c>
      <c r="DQ344" s="386" t="str">
        <f>IF(SnapshotTable[[#This Row],[LC Premium]] &gt; 0,SnapshotTable[[#This Row],[LC Exp Date]]-MAX(SnapshotTable[[#This Row],[LC Book Date]], SnapshotTable[[#This Row],[LC Fill Date]]),"")</f>
        <v/>
      </c>
      <c r="DR344" s="386" t="str">
        <f>IF(ISNUMBER(SnapshotTable[[#This Row],[LC Term]]), SnapshotTable[[#This Row],[LC Exp Date]] - MockToday, "")</f>
        <v/>
      </c>
      <c r="DS344" s="234" t="str">
        <f>IF(SnapshotTable[[#This Row],[LC Premium]]&gt;0,SnapshotTable[[#This Row],[LC Strike Price]] + SnapshotTable[[#This Row],[LC Book Price]],"")</f>
        <v/>
      </c>
      <c r="DU344" s="9" t="str">
        <f>IF(AND(SnapshotTable[[#This Row],[LC Symbol Count]]&gt;0, SnapshotTable[[#This Row],[LC Contract Value]]&gt;0), SnapshotTable[[#This Row],[LC Contract Value]] * SnapshotTable[[#This Row],[LC Qty]] * 100, "")</f>
        <v/>
      </c>
      <c r="DV344" s="9" t="str">
        <f>IF(AND(ISNUMBER(SnapshotTable[[#This Row],[LC Total Value]]), SnapshotTable[[#This Row],[LC Not Filled]]&lt;&gt;"Y"), SnapshotTable[[#This Row],[LC Total Value]]-SnapshotTable[[#This Row],[LC Premium]],"")</f>
        <v/>
      </c>
      <c r="DW344" s="240" t="str">
        <f>IF(ISNUMBER(SnapshotTable[[#This Row],[LC Actual Gain Loss]]), SnapshotTable[[#This Row],[LC Actual Gain Loss]] / SnapshotTable[[#This Row],[LC Premium]],"")</f>
        <v/>
      </c>
      <c r="DX344" s="284" t="str">
        <f>IF(ISNUMBER(SnapshotTable[[#This Row],[LC Book Price]]),SnapshotTable[[#This Row],[LC Book Price]] * 1.5,"")</f>
        <v/>
      </c>
      <c r="DY344" s="265" t="str">
        <f>IF(SnapshotTable[[#This Row],[LC Premium]]&gt;0, SnapshotTable[[#This Row],[LC Next Target]] * SnapshotTable[[#This Row],[LC Qty]] * 100,"")</f>
        <v/>
      </c>
      <c r="DZ344" s="265" t="str">
        <f>IF(ISNUMBER(SnapshotTable[[#This Row],[LC Target Gross]]), SnapshotTable[[#This Row],[LC Target Gross]] - SnapshotTable[[#This Row],[LC Premium]], "")</f>
        <v/>
      </c>
      <c r="EA344" s="305" t="str">
        <f>IF(ISNUMBER(SnapshotTable[[#This Row],[LC Target Gain Loss]]), SnapshotTable[[#This Row],[LC Target Gain Loss]]/SnapshotTable[[#This Row],[LC Premium]], "")</f>
        <v/>
      </c>
      <c r="EB344" s="262"/>
      <c r="EC344" s="283" t="str">
        <f>IF(SnapshotTable[[#This Row],[LC Premium]]&gt;0, SnapshotTable[[#This Row],[LC Book Price]] * (1 - LC_StopLoss_Pct),"")</f>
        <v/>
      </c>
      <c r="ED344" s="284"/>
      <c r="EE344" s="283" t="str">
        <f>IF(ISNUMBER(SnapshotTable[[#This Row],[LC Contract Value]]),IF(ISNUMBER(SnapshotTable[[#This Row],[LC Stop Loss Override]]), SnapshotTable[[#This Row],[LC Stop Loss Override]],SnapshotTable[[#This Row],[LC Stop Loss Calc Target]]),"")</f>
        <v/>
      </c>
      <c r="EF344" s="31" t="str">
        <f>IF(ISNUMBER(SnapshotTable[[#This Row],[LC Stop  To Use]]), (SnapshotTable[[#This Row],[LC Stop  To Use]] * SnapshotTable[[#This Row],[LC Qty]] * 100),"")</f>
        <v/>
      </c>
      <c r="EG344" s="9" t="str">
        <f>IF(ISNUMBER(SnapshotTable[[#This Row],[LC Total Value]]),SnapshotTable[[#This Row],[LC Stop Loss Amount]] - SnapshotTable[[#This Row],[LC Premium]],"")</f>
        <v/>
      </c>
      <c r="EH344" s="9">
        <f>IF(ISNUMBER(SnapshotTable[[#This Row],[LC Premium]]), SnapshotTable[[#This Row],[LC Qty]] * 100 * SnapshotTable[[#This Row],[LC Strike Price]], "")</f>
        <v>0</v>
      </c>
      <c r="EI344" s="240" t="str">
        <f>IF(AND(ISNUMBER(SnapshotTable[[#This Row],[LC Total Value]]),SnapshotTable[[#This Row],[LC Total Value]]&gt;0),SnapshotTable[[#This Row],[LC Stop Gain Loss]]  / SnapshotTable[[#This Row],[LC Premium]],"")</f>
        <v/>
      </c>
      <c r="EJ344" s="35">
        <f>IF(ISNUMBER(SnapshotTable[[#This Row],[Equity Shares]]),TRUNC(SnapshotTable[[#This Row],[Equity Shares]] / 100),0) + SnapshotTable[[#This Row],[LC Qty]]</f>
        <v>0</v>
      </c>
      <c r="EK344" s="147"/>
      <c r="EL344" s="138" t="str">
        <f>IF(SnapshotTable[[#This Row],[SC Exp Date]]&lt;&gt;"",TRUNC(SnapshotTable[[#This Row],[Last Price]]),"")</f>
        <v/>
      </c>
      <c r="EM344" s="148"/>
      <c r="EN344" s="147"/>
      <c r="EO344" s="147"/>
      <c r="EP344" s="138"/>
      <c r="EQ344" s="419" t="b">
        <f>AND(ISNUMBER(SnapshotTable[[#This Row],[SC Exp Date]]), ISNUMBER(SnapshotTable[[#This Row],[SC Strike Price]]), ISNUMBER(SnapshotTable[[#This Row],[SC Qty]]), ISNUMBER(SnapshotTable[[#This Row],[SC Book Date]]), ISNUMBER(SnapshotTable[[#This Row],[SC Book Price]]))</f>
        <v>0</v>
      </c>
      <c r="ER344" s="419" t="b">
        <f>AND(SnapshotTable[[#This Row],[SC Is Booked]], NOT(ISBLANK(SnapshotTable[[#This Row],[SC Fill Date]])))</f>
        <v>0</v>
      </c>
      <c r="ES344" s="370"/>
      <c r="ET344" s="34" t="str">
        <f>IF(AND(ISNUMBER(SnapshotTable[[#This Row],[SC Exp Date]]), ISNUMBER(SnapshotTable[[#This Row],[SC Book Date]])), SnapshotTable[[#This Row],[SC Exp Date]] - MAX(SnapshotTable[[#This Row],[SC Book Date]], SnapshotTable[[#This Row],[SC Fill Date]]) + 1, "")</f>
        <v/>
      </c>
      <c r="EU344" s="34" t="str">
        <f>IF(ISNUMBER(SnapshotTable[[#This Row],[SC Term]]), SnapshotTable[[#This Row],[SC Exp Date]]- MockToday, "")</f>
        <v/>
      </c>
      <c r="EV344" s="31">
        <f>IF(SnapshotTable[[#This Row],[SC Is Booked]], SnapshotTable[[#This Row],[SC Qty]] * SnapshotTable[[#This Row],[SC Book Price]] * 100, 0)</f>
        <v>0</v>
      </c>
      <c r="EW344" s="4" t="str">
        <f>IF(AND(ISNUMBER(SnapshotTable[[#This Row],[Last Price]]), ISNUMBER( SnapshotTable[[#This Row],[SC Book Price]])), SnapshotTable[[#This Row],[Last Price]] - SnapshotTable[[#This Row],[SC Book Price]],"")</f>
        <v/>
      </c>
      <c r="EX344" s="234" t="str">
        <f>IF(SnapshotTable[[#This Row],[SC Is Booked]],IF(SnapshotTable[[#This Row],[SC Intrinsic Value]] &gt; 0, SnapshotTable[[#This Row],[SC Strike Price]], SnapshotTable[[#This Row],[Last Price]]), "")</f>
        <v/>
      </c>
      <c r="EY344" s="4">
        <f>IF(SnapshotTable[[#This Row],[SC Is Booked]], (MinimumPremiumRequired * SnapshotTable[[#This Row],[SC Basis]] * SnapshotTable[[#This Row],[SC Term]]), 0)</f>
        <v>0</v>
      </c>
      <c r="EZ344" s="283"/>
      <c r="FA344" s="218"/>
      <c r="FB344" s="370"/>
      <c r="FC344" s="4">
        <f>IF(SnapshotTable[[#This Row],[SC Is Filled]], btc_max_buyback_amount(SnapshotTable[[#This Row],[SC Fill Date]],SnapshotTable[[#This Row],[SC Exp Date]], SnapshotTable[[#This Row],[SC Book Price]]),0)</f>
        <v>0</v>
      </c>
      <c r="FD344" s="5"/>
      <c r="FE344" s="144" t="str">
        <f>IF(SnapshotTable[[#This Row],[SC Is Filled]], btc_next_cutoff_date(SnapshotTable[[#This Row],[SC Fill Date]],SnapshotTable[[#This Row],[SC Exp Date]]),"")</f>
        <v/>
      </c>
      <c r="FF344" s="4" t="str" cm="1">
        <f t="array" ref="FF344">IF(SnapshotTable[[#This Row],[SC Is Filled]], btc_should_buy_back(SnapshotTable[[#This Row],[SC Fill Date]], SnapshotTable[[#This Row],[SC Exp Date]], SnapshotTable[[#This Row],[SC Book Price]], SnapshotTable[[#This Row],[SC Current Ask]], MockToday, SnapshotTable[[#This Row],[SC Buyback Override]]),"")</f>
        <v/>
      </c>
      <c r="FG344" s="4">
        <f>IF(SnapshotTable[[#This Row],[SC Is Filled]], MAX(0,SnapshotTable[[#This Row],[Last Price]]  - SnapshotTable[[#This Row],[SC Strike Price]]), 0)</f>
        <v>0</v>
      </c>
      <c r="FH344" s="382">
        <f>IF(SnapshotTable[[#This Row],[SC Is Filled]], IF(ISNUMBER(SnapshotTable[[#This Row],[SC Current Ask]]), SnapshotTable[[#This Row],[SC Current Ask]], SnapshotTable[[#This Row],[SC Book Price]]) - SnapshotTable[[#This Row],[SC Intrinsic Value]], 0)</f>
        <v>0</v>
      </c>
      <c r="FI344" s="143"/>
      <c r="FJ344" s="32" t="str">
        <f>IF(SnapshotTable[[#This Row],[SC Is Filled]],100 * SnapshotTable[[#This Row],[SC Qty]] * IF(ISNUMBER(SnapshotTable[[#This Row],[SC Buyback Override]]), SnapshotTable[[#This Row],[SC Buyback Override]], SnapshotTable[[#This Row],[SC Current Ask]]), "")</f>
        <v/>
      </c>
      <c r="FK344" s="250" t="str">
        <f>IF(SnapshotTable[[#This Row],[SC Time Val]]&gt;0, SnapshotTable[[#This Row],[SC Time Val]] / SnapshotTable[[#This Row],[Last Price]],"")</f>
        <v/>
      </c>
      <c r="FL344" s="302" t="str">
        <f>IF(SnapshotTable[[#This Row],[SC Is Booked]], ((SnapshotTable[[#This Row],[Last Price]] -SnapshotTable[[#This Row],[SC Strike Price]]) / SnapshotTable[[#This Row],[Last Price]]) * -1, "")</f>
        <v/>
      </c>
      <c r="FM344" s="157" t="str">
        <f>IF(SnapshotTable[[#This Row],[SC Is Booked]],  (SnapshotTable[[#This Row],[SC Qty]] * 100 * SnapshotTable[[#This Row],[SC Strike Price]]) - SnapshotTable[[#This Row],[SC Current Ask]], "")</f>
        <v/>
      </c>
      <c r="FN34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4" s="31" t="str">
        <f>IF(AND(ISNUMBER(SnapshotTable[[#This Row],[SC Exercise Gross]]), ISNUMBER(SnapshotTable[[#This Row],[Equity Basis Per Share]] )), SnapshotTable[[#This Row],[SC Exercise Gross]] - SnapshotTable[[#This Row],[Equity Basis Total]] +  SnapshotTable[[#This Row],[SC Premium]], "")</f>
        <v/>
      </c>
      <c r="FP344" s="5" t="str">
        <f>IF(ISNUMBER(SnapshotTable[[#This Row],[SC Exercise Gross]]), (SnapshotTable[[#This Row],[SC Exercise Gross]]) / (SnapshotTable[[#This Row],[SC Qty]] * 100), "")</f>
        <v/>
      </c>
      <c r="FQ344" s="27" t="str">
        <f>IF(SnapshotTable[[#This Row],[SC Is Booked]],SnapshotTable[[#This Row],[SC Time Val]] /SnapshotTable[[#This Row],[SC Basis]], "")</f>
        <v/>
      </c>
      <c r="FR344" s="27" t="str" cm="1">
        <f t="array" ref="FR344">IF(AND(ISNUMBER(SnapshotTable[[#This Row],[SC Term]]),ISNUMBER(SnapshotTable[[#This Row],[SC Simple ROO]])), EllmanAnnualize(SnapshotTable[[#This Row],[SC DTE]], SnapshotTable[[#This Row],[SC Simple ROO]] ),"")</f>
        <v/>
      </c>
      <c r="FS344" s="4" t="e">
        <f>IF(SnapshotTable[[#This Row],[SC Strike Price]] &gt; SnapshotTable[[#This Row],[Last Price]], SnapshotTable[[#This Row],[SC Strike Price]] - SnapshotTable[[#This Row],[Last Price]],0)</f>
        <v>#VALUE!</v>
      </c>
      <c r="FT344" s="27" t="e">
        <f>IF(AND(ISNUMBER(SnapshotTable[[#This Row],[SC Upside Potential]]), SnapshotTable[[#This Row],[SC Upside Potential]] &gt; 0),(SnapshotTable[[#This Row],[SC Upside Potential]]/ SnapshotTable[[#This Row],[ACB]]),"")</f>
        <v>#VALUE!</v>
      </c>
      <c r="FU344" s="333" t="str">
        <f>IF(SnapshotTable[[#This Row],[SC Intrinsic Value]] &gt; 0,SnapshotTable[[#This Row],[SC Intrinsic Value]],"")</f>
        <v/>
      </c>
      <c r="FV344" s="27" t="str">
        <f>IF(AND( ISNUMBER( SnapshotTable[[#This Row],[ACB]]),ISNUMBER(SnapshotTable[[#This Row],[SC Downside Protect]])),SnapshotTable[[#This Row],[SC Downside Protect]] / SnapshotTable[[#This Row],[ACB]],"")</f>
        <v/>
      </c>
      <c r="FW344" s="236" t="str">
        <f>IF(AND(ISNUMBER(SnapshotTable[[#This Row],[SC Simple ROO]]),SnapshotTable[[#This Row],[SC Simple ROO]] &gt; 0), SnapshotTable[[#This Row],[SC Premium]] + (SnapshotTable[[#This Row],[SC Qty]] * SnapshotTable[[#This Row],[SC Upside Potential]]), "")</f>
        <v/>
      </c>
      <c r="FX344" s="302" t="str" cm="1">
        <f t="array" ref="FX344">IF(ISNUMBER(SnapshotTable[[#This Row],[SC Max Dollars]]), annualize(SnapshotTable[[#This Row],[SC Term]],(SnapshotTable[[#This Row],[SC Max Dollars]]/SnapshotTable[[#This Row],[SC Basis]])),"")</f>
        <v/>
      </c>
      <c r="FY344" s="236" t="str">
        <f>IF(AND(SnapshotTable[[#This Row],[SC Qty]]&gt;0,SnapshotTable[[#This Row],[SC Current Ask]]&gt;0), SnapshotTable[[#This Row],[SC Qty]] * SnapshotTable[[#This Row],[SC Current Ask]] * -100, "")</f>
        <v/>
      </c>
      <c r="FZ344" s="31" t="str">
        <f>IF(ISNUMBER((SnapshotTable[[#This Row],[SC Current Value]])), SnapshotTable[[#This Row],[SC Premium]] + SnapshotTable[[#This Row],[SC Current Value]], "")</f>
        <v/>
      </c>
      <c r="GA344" s="294" t="str">
        <f>IFERROR( IF(ISNUMBER((SnapshotTable[[#This Row],[SC Current Value]])), SnapshotTable[[#This Row],[SC Gain Loss]] / SnapshotTable[[#This Row],[SC Premium]], ""), "")</f>
        <v/>
      </c>
      <c r="GB344" s="42">
        <f>SnapshotTable[[#This Row],[Equity Shares]] * SaleSharesToConsiderPercentage</f>
        <v>0</v>
      </c>
      <c r="GC344" s="40">
        <f>SnapshotTable[[#This Row],[Long Term Target]] * SellingPriceToConsiderBasedOnTargetPercentage</f>
        <v>137.75</v>
      </c>
      <c r="GD344" s="40">
        <f>SnapshotTable[[#This Row],[Last Price]] * (1+ SellingPriceToConsiderBasedOnTargetPercentage)</f>
        <v>587.26200000000006</v>
      </c>
      <c r="GE344" s="41"/>
      <c r="GF344" s="40"/>
      <c r="GG344" s="31">
        <f>SnapshotTable[[#This Row],[Booked Sale Shares]] * SnapshotTable[[#This Row],[Booked Sale Price]]</f>
        <v>0</v>
      </c>
      <c r="GH344" s="31" t="str">
        <f>IF(SnapshotTable[[#This Row],[Equity Basis Total]] &gt; 0, SnapshotTable[[#This Row],[Equity Basis Per Share]] * SnapshotTable[[#This Row],[Booked Sale Shares]], "")</f>
        <v/>
      </c>
      <c r="GI344" s="31">
        <f>IF(SnapshotTable[[#This Row],[Sale Proceeds]]&gt;0, SnapshotTable[[#This Row],[Sale Proceeds]] - SnapshotTable[[#This Row],[Sale Basis]], 0)</f>
        <v>0</v>
      </c>
      <c r="GJ344" s="27" t="str">
        <f>IF(SnapshotTable[[#This Row],[Sale G/L]]&gt;0, SnapshotTable[[#This Row],[Sale G/L]] / SnapshotTable[[#This Row],[Sale Basis]], IF(ISNUMBER(SnapshotTable[[#This Row],[SC Exercise P&amp;L (TAX)]]), SnapshotTable[[#This Row],[SC Exercise P&amp;L (TAX)]] / SnapshotTable[[#This Row],[SC Basis]], ""))</f>
        <v/>
      </c>
      <c r="GK344" s="27"/>
      <c r="GL344" s="43" t="str">
        <f>IF(AND(SnapshotTable[[#This Row],[LP Exp Date]]&gt;0,SnapshotTable[[#This Row],[LP Strike Price]]&gt;0), [1]!ToOptionSymbol(SnapshotTable[[#This Row],[Symbol]], SnapshotTable[[#This Row],[LP Strike Price]],SnapshotTable[[#This Row],[LP Exp Date]],1), "")</f>
        <v/>
      </c>
      <c r="GM344" s="30" t="str">
        <f>IF(LEN(SnapshotTable[[#This Row],[LP Symbol]])&gt;0, 1, "")</f>
        <v/>
      </c>
      <c r="GN344" s="43" t="str">
        <f>IF(AND(SnapshotTable[[#This Row],[SP Exp Date]]&gt;0,SnapshotTable[[#This Row],[SP Strike Price]]&gt;0), [1]!ToOptionSymbol(SnapshotTable[[#This Row],[Symbol]], SnapshotTable[[#This Row],[SP Strike Price]],SnapshotTable[[#This Row],[SP Exp Date]],1), "")</f>
        <v/>
      </c>
      <c r="GO344" s="30" t="str">
        <f>IF(LEN(SnapshotTable[[#This Row],[SP Symbol]])&gt;0, 1, "")</f>
        <v/>
      </c>
      <c r="GP344" s="43" t="str">
        <f>IF(AND(SnapshotTable[[#This Row],[LC Exp Date]]&gt;0,SnapshotTable[[#This Row],[LC Strike Price]]&gt;0), [1]!ToOptionSymbol(SnapshotTable[[#This Row],[Symbol]], SnapshotTable[[#This Row],[LC Strike Price]],SnapshotTable[[#This Row],[LC Exp Date]],0), "")</f>
        <v/>
      </c>
      <c r="GQ344" s="30" t="str">
        <f>IF(LEN(SnapshotTable[[#This Row],[LC Symbol]])&gt;0, 1, "")</f>
        <v/>
      </c>
      <c r="GR344" s="43" t="str">
        <f>IF(AND(SnapshotTable[[#This Row],[SC Exp Date]]&gt;0,SnapshotTable[[#This Row],[SC Strike Price]]&gt;0), [1]!ToOptionSymbol(SnapshotTable[[#This Row],[Symbol]], SnapshotTable[[#This Row],[SC Strike Price]],SnapshotTable[[#This Row],[SC Exp Date]],0), "")</f>
        <v/>
      </c>
      <c r="GS344" s="30" t="str">
        <f>IF(LEN(SnapshotTable[[#This Row],[SC Symbol]])&gt;0, 1, "")</f>
        <v/>
      </c>
      <c r="GT344" s="29" t="str">
        <f>IF(COUNT(SnapshotTable[[#This Row],[LP Symbol Count]],SnapshotTable[[#This Row],[SP Symbol Count]],SnapshotTable[[#This Row],[LC Symbol Count]],SnapshotTable[[#This Row],[SC Symbol Count]])&gt;0, "Y", "")</f>
        <v/>
      </c>
      <c r="GU34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44" s="231" t="e">
        <f>MAX(SnapshotTable[[#This Row],[Equity Basis Total]],SnapshotTable[[#This Row],[Equity Value]]) + (SnapshotTable[[#This Row],[SP Potential Spend]]- SnapshotTable[[#This Row],[SP Premium]] + SnapshotTable[[#This Row],[LP Premium]])+ (SnapshotTable[[#This Row],[LC Premium]] - SnapshotTable[[#This Row],[SC Premium]])</f>
        <v>#VALUE!</v>
      </c>
      <c r="GW344" s="139" t="e">
        <f>IF(AND(SnapshotTable[[#This Row],[Exposure]] &lt;&gt; 0),SnapshotTable[[#This Row],[Exposure]] / SnapshotTable[[#Totals],[Exposure]], "")</f>
        <v>#VALUE!</v>
      </c>
      <c r="HK344" s="1"/>
      <c r="HL344" s="1"/>
      <c r="HM344" s="1"/>
      <c r="HN344" s="1"/>
      <c r="HO344" s="1"/>
      <c r="HP344" s="1"/>
    </row>
    <row r="345" spans="2:224" ht="12.75" hidden="1" customHeight="1" x14ac:dyDescent="0.25">
      <c r="B345" s="12" t="s">
        <v>896</v>
      </c>
      <c r="C345" s="422">
        <v>21.53</v>
      </c>
      <c r="D345" s="208" t="s">
        <v>578</v>
      </c>
      <c r="E345" s="39">
        <f>SnapshotTable[[#This Row],[Last Price]]*(1 -CrashDiscount)</f>
        <v>18.3005</v>
      </c>
      <c r="F345" s="26" t="s">
        <v>814</v>
      </c>
      <c r="G345" s="26" t="s">
        <v>610</v>
      </c>
      <c r="H345" s="149"/>
      <c r="I345" s="194">
        <v>44777.208333333336</v>
      </c>
      <c r="J345" s="195">
        <v>44777.208333333336</v>
      </c>
      <c r="K345" s="196"/>
      <c r="L345" s="326"/>
      <c r="M345" s="140"/>
      <c r="N345" s="140"/>
      <c r="O345" s="140"/>
      <c r="P345" s="22"/>
      <c r="Q345" s="25"/>
      <c r="R345" s="4" t="str">
        <f>IF(SnapshotTable[[#This Row],[Equity Basis Total]] &gt; 0, SnapshotTable[[#This Row],[Equity Basis Total]] / SnapshotTable[[#This Row],[Equity Shares]], "")</f>
        <v/>
      </c>
      <c r="S345" s="269">
        <f>SnapshotTable[[#This Row],[Last Price]] * SnapshotTable[[#This Row],[Equity Shares]]</f>
        <v>0</v>
      </c>
      <c r="T345" s="269">
        <f>SnapshotTable[[#This Row],[Equity Value]] - SnapshotTable[[#This Row],[Equity Basis Total]]</f>
        <v>0</v>
      </c>
      <c r="U345" s="270" t="str">
        <f>IF(SnapshotTable[[#This Row],[Equity Basis Total]] &gt; 0, SnapshotTable[[#This Row],[Equity G/L]] / SnapshotTable[[#This Row],[Equity Basis Total]], "")</f>
        <v/>
      </c>
      <c r="V345" s="268"/>
      <c r="W345" s="268"/>
      <c r="X345" s="4" t="str">
        <f>IF(AND(ISNUMBER(SnapshotTable[[#This Row],[Equity Basis Per Share]]),ISNUMBER(SnapshotTable[[#This Row],[Equity Target]])),SnapshotTable[[#This Row],[Equity Target]]-SnapshotTable[[#This Row],[Equity Basis Per Share]],"")</f>
        <v/>
      </c>
      <c r="Y345" s="4" t="str">
        <f>IF(AND(ISNUMBER(SnapshotTable[[#This Row],[Equity Basis Per Share]]),ISNUMBER(SnapshotTable[[#This Row],[Equity Stop Loss]])),SnapshotTable[[#This Row],[Equity Stop Loss]]-SnapshotTable[[#This Row],[Equity Basis Per Share]],"")</f>
        <v/>
      </c>
      <c r="Z345" s="275" t="str">
        <f>IFERROR( TEXT(SnapshotTable[[#This Row],[Equity Max Gain Per Share]] /ABS( SnapshotTable[[#This Row],[Equity Max Loss Per Share]]),"0.0 " ) &amp; " : 1", "")</f>
        <v/>
      </c>
      <c r="AA345" s="31" t="str">
        <f>IF(ISNUMBER(SnapshotTable[[#This Row],[Equity Max Gain Per Share]]),SnapshotTable[[#This Row],[Equity Max Gain Per Share]] * SnapshotTable[[#This Row],[Equity Shares]],"")</f>
        <v/>
      </c>
      <c r="AB345" s="31" t="str">
        <f>IF(ISNUMBER(SnapshotTable[[#This Row],[Equity Max Loss Per Share]]),SnapshotTable[[#This Row],[Equity Max Loss Per Share]] * SnapshotTable[[#This Row],[Equity Shares]],"")</f>
        <v/>
      </c>
      <c r="AC345" s="150"/>
      <c r="AD345" s="151"/>
      <c r="AE345" s="31">
        <f>(SnapshotTable[[#This Row],[Annual Dividend Per Share]] / 4) * SnapshotTable[[#This Row],[Equity Shares]]</f>
        <v>0</v>
      </c>
      <c r="AF345" s="31">
        <f>SnapshotTable[[#This Row],[Quarterly Div $]] * 4</f>
        <v>0</v>
      </c>
      <c r="AG345" s="7">
        <f>IF(SnapshotTable[[#This Row],[Annual Dividend Per Share]]&gt;0, SnapshotTable[[#This Row],[Annual Dividend Per Share]]  / SnapshotTable[[#This Row],[Last Price]], 0)</f>
        <v>0</v>
      </c>
      <c r="AH345" s="151"/>
      <c r="AI345" s="5"/>
      <c r="AJ345" s="138">
        <v>29.6</v>
      </c>
      <c r="AK345" s="152" t="str">
        <f>IF(ISNUMBER( SnapshotTable[[#This Row],[EBF Target]]),(SnapshotTable[[#This Row],[EBF Target]] - SnapshotTable[[#This Row],[Last Price]]) / SnapshotTable[[#This Row],[Last Price]], "")</f>
        <v/>
      </c>
      <c r="AL345" s="152" t="str">
        <f>IF(AND(SnapshotTable[[#This Row],[Equity Basis Total]] &gt; 0,ISNUMBER( SnapshotTable[[#This Row],[Long Term Target]])), SnapshotTable[[#This Row],[From Basis $]] / SnapshotTable[[#This Row],[Equity Basis Total]], "")</f>
        <v/>
      </c>
      <c r="AM345" s="9">
        <f>IF( AND(SnapshotTable[[#This Row],[Equity Shares]] &gt;0,ISNUMBER( SnapshotTable[[#This Row],[Long Term Target]])),(SnapshotTable[[#This Row],[Equity Shares]] * SnapshotTable[[#This Row],[Long Term Target]]) - SnapshotTable[[#This Row],[Equity Basis Total]],0)</f>
        <v>0</v>
      </c>
      <c r="AN345" s="9">
        <f>IF( AND(SnapshotTable[[#This Row],[Equity Shares]] &gt;0,ISNUMBER( SnapshotTable[[#This Row],[Long Term Target]])),(SnapshotTable[[#This Row],[Equity Shares]]*SnapshotTable[[#This Row],[Long Term Target]]) - SnapshotTable[[#This Row],[Equity Value]],0)</f>
        <v>0</v>
      </c>
      <c r="AO345" s="152">
        <f>IF(AND(ISNUMBER( SnapshotTable[[#This Row],[Long Term Target]]), ISNUMBER(SnapshotTable[[#This Row],[Last Price]])),(SnapshotTable[[#This Row],[Long Term Target]] - SnapshotTable[[#This Row],[Last Price]]) / SnapshotTable[[#This Row],[Last Price]], "")</f>
        <v>0.37482582443102647</v>
      </c>
      <c r="AP345" s="5"/>
      <c r="AQ345" s="38"/>
      <c r="AR345" s="5"/>
      <c r="AS345" s="38"/>
      <c r="AT345" s="146"/>
      <c r="AU345" s="187" t="str">
        <f>IF(OR(SnapshotTable[[#This Row],[LP No Fill]]="Y",SnapshotTable[[#This Row],[SP Is Filled]],SnapshotTable[[#This Row],[LC Not Filled]]="Y",SnapshotTable[[#This Row],[SC Is Filled]]),"Y","")</f>
        <v/>
      </c>
      <c r="AV345" s="219"/>
      <c r="AW345" s="225"/>
      <c r="AX345" s="220"/>
      <c r="AY345" s="219" t="str">
        <f>IF(SnapshotTable[[#This Row],[Implied Move]]&gt;0, SnapshotTable[[#This Row],[Last Price]]-SnapshotTable[[#This Row],[Implied Move]],"")</f>
        <v/>
      </c>
      <c r="AZ345" s="219" t="str">
        <f>IF(SnapshotTable[[#This Row],[Implied Move]]&gt;0, SnapshotTable[[#This Row],[Last Price]] + SnapshotTable[[#This Row],[Implied Move]],"")</f>
        <v/>
      </c>
      <c r="BA345" s="331"/>
      <c r="BB345" s="347"/>
      <c r="BC34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5" s="351"/>
      <c r="BE345" s="138"/>
      <c r="BF345" s="166"/>
      <c r="BG345" s="167"/>
      <c r="BH345" s="167"/>
      <c r="BI345" s="221"/>
      <c r="BJ345" s="153">
        <f>IF(SnapshotTable[[#This Row],[LP Qty]] &gt; 0, SnapshotTable[[#This Row],[LP Qty]] * SnapshotTable[[#This Row],[LP Book Price]] * 100,0)</f>
        <v>0</v>
      </c>
      <c r="BK345" s="136">
        <f>IF(SnapshotTable[[#This Row],[LP Premium]] &gt; 0, SnapshotTable[[#This Row],[LP Qty]] * SnapshotTable[[#This Row],[LP Strike Price]] * 100,0)</f>
        <v>0</v>
      </c>
      <c r="BL345" s="154"/>
      <c r="BM345" s="385" t="str">
        <f>IF(SnapshotTable[[#This Row],[LP Premium]] &gt; 0,SnapshotTable[[#This Row],[LP Exp Date]]-MAX(SnapshotTable[[#This Row],[LP Book Date]], SnapshotTable[[#This Row],[LP Fill Date]]),"")</f>
        <v/>
      </c>
      <c r="BN345" s="385" t="str">
        <f>IF(ISNUMBER( SnapshotTable[[#This Row],[LP Term]]), SnapshotTable[[#This Row],[LP Exp Date]] - MockToday,"")</f>
        <v/>
      </c>
      <c r="BO345" s="163" t="str">
        <f>IF(AND(SnapshotTable[[#This Row],[LP Exp Date]]&gt;0, SnapshotTable[[#This Row],[LP Strike Price]]&gt;0,SnapshotTable[[#This Row],[LP Qty]]&gt;0,SnapshotTable[[#This Row],[LP Book Date]]&gt;0,SnapshotTable[[#This Row],[LP Book Price]]&gt;0,SnapshotTable[[#This Row],[LP Fill Date]]=0),"Y","")</f>
        <v/>
      </c>
      <c r="BP345" s="31" t="str">
        <f>IF(AND(SnapshotTable[[#This Row],[LP No Fill]]&lt;&gt;"Y",SnapshotTable[[#This Row],[LP Contract Value]]&gt;0, SnapshotTable[[#This Row],[LP Qty]]&gt;0), SnapshotTable[[#This Row],[LP Contract Value]]*SnapshotTable[[#This Row],[LP Qty]]*100,"")</f>
        <v/>
      </c>
      <c r="BQ345" s="13"/>
      <c r="BR345" s="5" t="str">
        <f>IF(SnapshotTable[[#This Row],[SP Exp Date]]&lt;&gt;"",TRUNC(SnapshotTable[[#This Row],[Last Price]]),"")</f>
        <v/>
      </c>
      <c r="BS345" s="36"/>
      <c r="BT345" s="147"/>
      <c r="BU345" s="13"/>
      <c r="BV345" s="5"/>
      <c r="BW345" s="419" t="b">
        <f>AND(ISNUMBER(SnapshotTable[[#This Row],[SP Exp Date]]), ISNUMBER(SnapshotTable[[#This Row],[SP Strike Price]]), ISNUMBER(SnapshotTable[[#This Row],[SP Qty]]), ISNUMBER(SnapshotTable[[#This Row],[SP Book Date]]), ISNUMBER(SnapshotTable[[#This Row],[SP Book Price]]))</f>
        <v>0</v>
      </c>
      <c r="BX345" s="419" t="b">
        <f>AND(SnapshotTable[[#This Row],[SP Is Booked]], NOT(ISBLANK(SnapshotTable[[#This Row],[SP Fill Date]])))</f>
        <v>0</v>
      </c>
      <c r="BY345" s="33">
        <f>IF(SnapshotTable[[#This Row],[SP Is Booked]], SnapshotTable[[#This Row],[SP Qty]] * SnapshotTable[[#This Row],[SP Book Price]] * 100, 0)</f>
        <v>0</v>
      </c>
      <c r="BZ345" s="369"/>
      <c r="CA345" s="368">
        <f>SnapshotTable[[#This Row],[LP Qty]]</f>
        <v>0</v>
      </c>
      <c r="CB345" s="4" t="str">
        <f>IF(SnapshotTable[[#This Row],[SP Is Booked]], SnapshotTable[[#This Row],[SP Strike Price]] - SnapshotTable[[#This Row],[SP Book Price]], "")</f>
        <v/>
      </c>
      <c r="CC345" s="19" t="str">
        <f>IF(SnapshotTable[[#This Row],[SP Is Booked]],SnapshotTable[[#This Row],[SP Exp Date]]-MAX(SnapshotTable[[#This Row],[SP Book Date]], SnapshotTable[[#This Row],[SP Fill Date]]),"")</f>
        <v/>
      </c>
      <c r="CD345" s="7" t="str">
        <f>IF(SnapshotTable[[#This Row],[SP Is Booked]], SnapshotTable[[#This Row],[SP Book Price]]/SnapshotTable[[#This Row],[SP Strike Price]], "")</f>
        <v/>
      </c>
      <c r="CE345" s="7" t="str">
        <f>IF(ISNUMBER(SnapshotTable[[#This Row],[SP ROO Term]]),SnapshotTable[[#This Row],[SP ROO Term]]*(365/SnapshotTable[[#This Row],[SP Term]]),"")</f>
        <v/>
      </c>
      <c r="CF345" s="236">
        <f>SnapshotTable[[#This Row],[LP Strike Price]] * SnapshotTable[[#This Row],[LP Qty]] * 100</f>
        <v>0</v>
      </c>
      <c r="CG345" s="31" t="e">
        <f>IF(ISNUMBER(SnapshotTable[[#This Row],[SP Premium]]), (SnapshotTable[[#This Row],[SP Qty]] * SnapshotTable[[#This Row],[SP Strike Price]]* 100) - SnapshotTable[[#This Row],[LP Protection]], 0)</f>
        <v>#VALUE!</v>
      </c>
      <c r="CH345" s="7" t="str">
        <f>IF(ISNUMBER(SnapshotTable[[#This Row],[SP Break Even]]),-1 * (SnapshotTable[[#This Row],[SP Break Even]] - SnapshotTable[[#This Row],[Last Price]]) / SnapshotTable[[#This Row],[Last Price]], "")</f>
        <v/>
      </c>
      <c r="CI345" s="31">
        <f>IF(AND(ISNUMBER((SnapshotTable[[#This Row],[SP Potential Spend]])), SnapshotTable[[#This Row],[SP Strike Price]] &gt; SnapshotTable[[#This Row],[Last Price]], SnapshotTable[[#This Row],[SP Is Filled]]), SnapshotTable[[#This Row],[SP Potential Spend]] -  SnapshotTable[[#This Row],[LP Max Value]], 0)</f>
        <v>0</v>
      </c>
      <c r="CJ345" s="244"/>
      <c r="CK345" s="31" t="str">
        <f>IF(ISNUMBER(SnapshotTable[[#This Row],[SP Potential Spend]]),IF(ISNUMBER(SnapshotTable[[#This Row],[SP POW]]), SnapshotTable[[#This Row],[SP POW]] * SnapshotTable[[#This Row],[SP Potential Spend]], SnapshotTable[[#This Row],[SP Potential Spend]]), "")</f>
        <v/>
      </c>
      <c r="CL345" s="164" t="e">
        <f>IF(NOT(SnapshotTable[[#This Row],[SP Is Filled]]),(SnapshotTable[[#This Row],[SP Qty]] * SnapshotTable[[#This Row],[SP Strike Price]] * 100) - SnapshotTable[[#This Row],[LP Max Value]],"")</f>
        <v>#VALUE!</v>
      </c>
      <c r="CM345" s="31" t="str">
        <f>IF(SnapshotTable[[#This Row],[SP Actual Spend]]&lt;&gt;0, ((SnapshotTable[[#This Row],[SP Strike Price]]-SnapshotTable[[#This Row],[Last Price]]) *(SnapshotTable[[#This Row],[SP Qty]]*100) - SnapshotTable[[#This Row],[SP Premium]]) * - 1, "")</f>
        <v/>
      </c>
      <c r="CN345" s="154"/>
      <c r="CO345" s="369"/>
      <c r="CP345" s="4" t="str">
        <f>IF(SnapshotTable[[#This Row],[SP Is Filled]], btc_max_buyback_amount(SnapshotTable[[#This Row],[SP Fill Date]],SnapshotTable[[#This Row],[SP Exp Date]], SnapshotTable[[#This Row],[SP Book Price]]),"")</f>
        <v/>
      </c>
      <c r="CQ345" s="78"/>
      <c r="CR34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5" s="155" t="str">
        <f>IF(SnapshotTable[[#This Row],[SP Is Filled]], btc_next_cutoff_date(SnapshotTable[[#This Row],[SP Fill Date]],SnapshotTable[[#This Row],[SP Exp Date]]),"")</f>
        <v/>
      </c>
      <c r="CT345" s="235" t="str" cm="1">
        <f t="array" ref="CT345">IF(SnapshotTable[[#This Row],[SP Is Filled]], btc_should_buy_back(SnapshotTable[[#This Row],[SP Fill Date]], SnapshotTable[[#This Row],[SP Exp Date]], SnapshotTable[[#This Row],[SP Book Price]], SnapshotTable[[#This Row],[SP Current Ask]], MockToday, SnapshotTable[[#This Row],[SP Buyback Override]]),"")</f>
        <v/>
      </c>
      <c r="CU345" s="156"/>
      <c r="CV345" s="235"/>
      <c r="CW345" s="378" t="str">
        <f>IF(ISNUMBER( SnapshotTable[[#This Row],[SP Term]]), SnapshotTable[[#This Row],[SP Exp Date]] - MockToday,"")</f>
        <v/>
      </c>
      <c r="CX345" s="31" t="str">
        <f>IF(SnapshotTable[[#This Row],[SP Is Filled]],SnapshotTable[[#This Row],[SP Buyback Price to Use]] * 100 * SnapshotTable[[#This Row],[SP Qty]], "")</f>
        <v/>
      </c>
      <c r="CY345" s="4" t="str">
        <f>IF(ISNUMBER(SnapshotTable[[#This Row],[SP Strike Price]]), SnapshotTable[[#This Row],[SP Strike Price]] * (1 - SP_MaxLoss_StrikePct), "")</f>
        <v/>
      </c>
      <c r="CZ345" s="31" t="str">
        <f>IF(ISNUMBER(SnapshotTable[[#This Row],[SP Strike  Stop Per Share]]),SnapshotTable[[#This Row],[SP Premium]] - ((SnapshotTable[[#This Row],[SP Strike Price]]-SnapshotTable[[#This Row],[SP Strike  Stop Per Share]]) *(SnapshotTable[[#This Row],[SP Qty]] * 100)),"")</f>
        <v/>
      </c>
      <c r="DA345" s="4" t="str">
        <f>IF(AND(ISNUMBER(SnapshotTable[[#This Row],[SP Premium]]),SnapshotTable[[#This Row],[SP Premium]]&gt;0), SnapshotTable[[#This Row],[SP Book Price]] * (1 + SP_MaxLoss_OptionPct), "")</f>
        <v/>
      </c>
      <c r="DB345" s="31" t="str">
        <f>IF(ISNUMBER(SnapshotTable[[#This Row],[SP Option  Stop Contract]]),(SnapshotTable[[#This Row],[SP Option  Stop Contract]] *(SnapshotTable[[#This Row],[SP Qty]] * 100) - SnapshotTable[[#This Row],[SP Premium]]),"")</f>
        <v/>
      </c>
      <c r="DC345" s="4"/>
      <c r="DD345" s="4"/>
      <c r="DE345" s="4" t="str">
        <f>IF(AND(SnapshotTable[[#This Row],[SP Qty]]&gt;0, SnapshotTable[[#This Row],[SP Stop To Use]]&gt;0),SnapshotTable[[#This Row],[SP Premium]] - ( SnapshotTable[[#This Row],[SP Qty]] * SnapshotTable[[#This Row],[SP Stop To Use]] * 100), "")</f>
        <v/>
      </c>
      <c r="DF345" s="31" t="str">
        <f>IF(AND(SnapshotTable[[#This Row],[SP Qty]]&gt;0,SnapshotTable[[#This Row],[SP Current Ask]]&gt;0), SnapshotTable[[#This Row],[SP Qty]] * SnapshotTable[[#This Row],[SP Current Ask]] * -100, "")</f>
        <v/>
      </c>
      <c r="DG345" s="31" t="str">
        <f>IF(ISNUMBER((SnapshotTable[[#This Row],[SP Total Value]])), SnapshotTable[[#This Row],[SP Premium]] + SnapshotTable[[#This Row],[SP Total Value]], "")</f>
        <v/>
      </c>
      <c r="DH345" s="294" t="str">
        <f>IF(ISNUMBER((SnapshotTable[[#This Row],[SP Total Value]])), SnapshotTable[[#This Row],[SP Gain Loss]] / SnapshotTable[[#This Row],[SP Premium]], "")</f>
        <v/>
      </c>
      <c r="DI345" s="406"/>
      <c r="DJ345" s="138"/>
      <c r="DK345" s="148"/>
      <c r="DL345" s="147"/>
      <c r="DM345" s="147"/>
      <c r="DO345" s="31">
        <f>IF(SnapshotTable[[#This Row],[LC Symbol Count]]=1, SnapshotTable[[#This Row],[LC Qty]] * SnapshotTable[[#This Row],[LC Book Price]] * 100, 0)</f>
        <v>0</v>
      </c>
      <c r="DP345" s="289" t="str">
        <f>IF(AND(SnapshotTable[[#This Row],[LC Exp Date]]&gt;0, SnapshotTable[[#This Row],[LC Strike Price]]&gt;0,SnapshotTable[[#This Row],[LC Qty]]&gt;0,SnapshotTable[[#This Row],[LC Book Date]]&gt;0,SnapshotTable[[#This Row],[LC Book Price]]&gt;0,SnapshotTable[[#This Row],[LC Fill Date]]=0),"Y","")</f>
        <v/>
      </c>
      <c r="DQ345" s="386" t="str">
        <f>IF(SnapshotTable[[#This Row],[LC Premium]] &gt; 0,SnapshotTable[[#This Row],[LC Exp Date]]-MAX(SnapshotTable[[#This Row],[LC Book Date]], SnapshotTable[[#This Row],[LC Fill Date]]),"")</f>
        <v/>
      </c>
      <c r="DR345" s="386" t="str">
        <f>IF(ISNUMBER(SnapshotTable[[#This Row],[LC Term]]), SnapshotTable[[#This Row],[LC Exp Date]] - MockToday, "")</f>
        <v/>
      </c>
      <c r="DS345" s="234" t="str">
        <f>IF(SnapshotTable[[#This Row],[LC Premium]]&gt;0,SnapshotTable[[#This Row],[LC Strike Price]] + SnapshotTable[[#This Row],[LC Book Price]],"")</f>
        <v/>
      </c>
      <c r="DU345" s="9" t="str">
        <f>IF(AND(SnapshotTable[[#This Row],[LC Symbol Count]]&gt;0, SnapshotTable[[#This Row],[LC Contract Value]]&gt;0), SnapshotTable[[#This Row],[LC Contract Value]] * SnapshotTable[[#This Row],[LC Qty]] * 100, "")</f>
        <v/>
      </c>
      <c r="DV345" s="9" t="str">
        <f>IF(AND(ISNUMBER(SnapshotTable[[#This Row],[LC Total Value]]), SnapshotTable[[#This Row],[LC Not Filled]]&lt;&gt;"Y"), SnapshotTable[[#This Row],[LC Total Value]]-SnapshotTable[[#This Row],[LC Premium]],"")</f>
        <v/>
      </c>
      <c r="DW345" s="240" t="str">
        <f>IF(ISNUMBER(SnapshotTable[[#This Row],[LC Actual Gain Loss]]), SnapshotTable[[#This Row],[LC Actual Gain Loss]] / SnapshotTable[[#This Row],[LC Premium]],"")</f>
        <v/>
      </c>
      <c r="DX345" s="284" t="str">
        <f>IF(ISNUMBER(SnapshotTable[[#This Row],[LC Book Price]]),SnapshotTable[[#This Row],[LC Book Price]] * 1.5,"")</f>
        <v/>
      </c>
      <c r="DY345" s="265" t="str">
        <f>IF(SnapshotTable[[#This Row],[LC Premium]]&gt;0, SnapshotTable[[#This Row],[LC Next Target]] * SnapshotTable[[#This Row],[LC Qty]] * 100,"")</f>
        <v/>
      </c>
      <c r="DZ345" s="265" t="str">
        <f>IF(ISNUMBER(SnapshotTable[[#This Row],[LC Target Gross]]), SnapshotTable[[#This Row],[LC Target Gross]] - SnapshotTable[[#This Row],[LC Premium]], "")</f>
        <v/>
      </c>
      <c r="EA345" s="305" t="str">
        <f>IF(ISNUMBER(SnapshotTable[[#This Row],[LC Target Gain Loss]]), SnapshotTable[[#This Row],[LC Target Gain Loss]]/SnapshotTable[[#This Row],[LC Premium]], "")</f>
        <v/>
      </c>
      <c r="EB345" s="262"/>
      <c r="EC345" s="283" t="str">
        <f>IF(SnapshotTable[[#This Row],[LC Premium]]&gt;0, SnapshotTable[[#This Row],[LC Book Price]] * (1 - LC_StopLoss_Pct),"")</f>
        <v/>
      </c>
      <c r="ED345" s="284"/>
      <c r="EE345" s="283" t="str">
        <f>IF(ISNUMBER(SnapshotTable[[#This Row],[LC Contract Value]]),IF(ISNUMBER(SnapshotTable[[#This Row],[LC Stop Loss Override]]), SnapshotTable[[#This Row],[LC Stop Loss Override]],SnapshotTable[[#This Row],[LC Stop Loss Calc Target]]),"")</f>
        <v/>
      </c>
      <c r="EF345" s="31" t="str">
        <f>IF(ISNUMBER(SnapshotTable[[#This Row],[LC Stop  To Use]]), (SnapshotTable[[#This Row],[LC Stop  To Use]] * SnapshotTable[[#This Row],[LC Qty]] * 100),"")</f>
        <v/>
      </c>
      <c r="EG345" s="9" t="str">
        <f>IF(ISNUMBER(SnapshotTable[[#This Row],[LC Total Value]]),SnapshotTable[[#This Row],[LC Stop Loss Amount]] - SnapshotTable[[#This Row],[LC Premium]],"")</f>
        <v/>
      </c>
      <c r="EH345" s="9">
        <f>IF(ISNUMBER(SnapshotTable[[#This Row],[LC Premium]]), SnapshotTable[[#This Row],[LC Qty]] * 100 * SnapshotTable[[#This Row],[LC Strike Price]], "")</f>
        <v>0</v>
      </c>
      <c r="EI345" s="240" t="str">
        <f>IF(AND(ISNUMBER(SnapshotTable[[#This Row],[LC Total Value]]),SnapshotTable[[#This Row],[LC Total Value]]&gt;0),SnapshotTable[[#This Row],[LC Stop Gain Loss]]  / SnapshotTable[[#This Row],[LC Premium]],"")</f>
        <v/>
      </c>
      <c r="EJ345" s="35">
        <f>IF(ISNUMBER(SnapshotTable[[#This Row],[Equity Shares]]),TRUNC(SnapshotTable[[#This Row],[Equity Shares]] / 100),0) + SnapshotTable[[#This Row],[LC Qty]]</f>
        <v>0</v>
      </c>
      <c r="EK345" s="147"/>
      <c r="EL345" s="138" t="str">
        <f>IF(SnapshotTable[[#This Row],[SC Exp Date]]&lt;&gt;"",TRUNC(SnapshotTable[[#This Row],[Last Price]]),"")</f>
        <v/>
      </c>
      <c r="EM345" s="148"/>
      <c r="EN345" s="147"/>
      <c r="EO345" s="147"/>
      <c r="EP345" s="138"/>
      <c r="EQ345" s="419" t="b">
        <f>AND(ISNUMBER(SnapshotTable[[#This Row],[SC Exp Date]]), ISNUMBER(SnapshotTable[[#This Row],[SC Strike Price]]), ISNUMBER(SnapshotTable[[#This Row],[SC Qty]]), ISNUMBER(SnapshotTable[[#This Row],[SC Book Date]]), ISNUMBER(SnapshotTable[[#This Row],[SC Book Price]]))</f>
        <v>0</v>
      </c>
      <c r="ER345" s="419" t="b">
        <f>AND(SnapshotTable[[#This Row],[SC Is Booked]], NOT(ISBLANK(SnapshotTable[[#This Row],[SC Fill Date]])))</f>
        <v>0</v>
      </c>
      <c r="ES345" s="370"/>
      <c r="ET345" s="34" t="str">
        <f>IF(AND(ISNUMBER(SnapshotTable[[#This Row],[SC Exp Date]]), ISNUMBER(SnapshotTable[[#This Row],[SC Book Date]])), SnapshotTable[[#This Row],[SC Exp Date]] - MAX(SnapshotTable[[#This Row],[SC Book Date]], SnapshotTable[[#This Row],[SC Fill Date]]) + 1, "")</f>
        <v/>
      </c>
      <c r="EU345" s="34" t="str">
        <f>IF(ISNUMBER(SnapshotTable[[#This Row],[SC Term]]), SnapshotTable[[#This Row],[SC Exp Date]]- MockToday, "")</f>
        <v/>
      </c>
      <c r="EV345" s="31">
        <f>IF(SnapshotTable[[#This Row],[SC Is Booked]], SnapshotTable[[#This Row],[SC Qty]] * SnapshotTable[[#This Row],[SC Book Price]] * 100, 0)</f>
        <v>0</v>
      </c>
      <c r="EW345" s="4" t="str">
        <f>IF(AND(ISNUMBER(SnapshotTable[[#This Row],[Last Price]]), ISNUMBER( SnapshotTable[[#This Row],[SC Book Price]])), SnapshotTable[[#This Row],[Last Price]] - SnapshotTable[[#This Row],[SC Book Price]],"")</f>
        <v/>
      </c>
      <c r="EX345" s="234" t="str">
        <f>IF(SnapshotTable[[#This Row],[SC Is Booked]],IF(SnapshotTable[[#This Row],[SC Intrinsic Value]] &gt; 0, SnapshotTable[[#This Row],[SC Strike Price]], SnapshotTable[[#This Row],[Last Price]]), "")</f>
        <v/>
      </c>
      <c r="EY345" s="4">
        <f>IF(SnapshotTable[[#This Row],[SC Is Booked]], (MinimumPremiumRequired * SnapshotTable[[#This Row],[SC Basis]] * SnapshotTable[[#This Row],[SC Term]]), 0)</f>
        <v>0</v>
      </c>
      <c r="EZ345" s="283"/>
      <c r="FA345" s="218"/>
      <c r="FB345" s="370"/>
      <c r="FC345" s="4">
        <f>IF(SnapshotTable[[#This Row],[SC Is Filled]], btc_max_buyback_amount(SnapshotTable[[#This Row],[SC Fill Date]],SnapshotTable[[#This Row],[SC Exp Date]], SnapshotTable[[#This Row],[SC Book Price]]),0)</f>
        <v>0</v>
      </c>
      <c r="FD345" s="5"/>
      <c r="FE345" s="144" t="str">
        <f>IF(SnapshotTable[[#This Row],[SC Is Filled]], btc_next_cutoff_date(SnapshotTable[[#This Row],[SC Fill Date]],SnapshotTable[[#This Row],[SC Exp Date]]),"")</f>
        <v/>
      </c>
      <c r="FF345" s="4" t="str" cm="1">
        <f t="array" ref="FF345">IF(SnapshotTable[[#This Row],[SC Is Filled]], btc_should_buy_back(SnapshotTable[[#This Row],[SC Fill Date]], SnapshotTable[[#This Row],[SC Exp Date]], SnapshotTable[[#This Row],[SC Book Price]], SnapshotTable[[#This Row],[SC Current Ask]], MockToday, SnapshotTable[[#This Row],[SC Buyback Override]]),"")</f>
        <v/>
      </c>
      <c r="FG345" s="4">
        <f>IF(SnapshotTable[[#This Row],[SC Is Filled]], MAX(0,SnapshotTable[[#This Row],[Last Price]]  - SnapshotTable[[#This Row],[SC Strike Price]]), 0)</f>
        <v>0</v>
      </c>
      <c r="FH345" s="382">
        <f>IF(SnapshotTable[[#This Row],[SC Is Filled]], IF(ISNUMBER(SnapshotTable[[#This Row],[SC Current Ask]]), SnapshotTable[[#This Row],[SC Current Ask]], SnapshotTable[[#This Row],[SC Book Price]]) - SnapshotTable[[#This Row],[SC Intrinsic Value]], 0)</f>
        <v>0</v>
      </c>
      <c r="FI345" s="143"/>
      <c r="FJ345" s="32" t="str">
        <f>IF(SnapshotTable[[#This Row],[SC Is Filled]],100 * SnapshotTable[[#This Row],[SC Qty]] * IF(ISNUMBER(SnapshotTable[[#This Row],[SC Buyback Override]]), SnapshotTable[[#This Row],[SC Buyback Override]], SnapshotTable[[#This Row],[SC Current Ask]]), "")</f>
        <v/>
      </c>
      <c r="FK345" s="250" t="str">
        <f>IF(SnapshotTable[[#This Row],[SC Time Val]]&gt;0, SnapshotTable[[#This Row],[SC Time Val]] / SnapshotTable[[#This Row],[Last Price]],"")</f>
        <v/>
      </c>
      <c r="FL345" s="302" t="str">
        <f>IF(SnapshotTable[[#This Row],[SC Is Booked]], ((SnapshotTable[[#This Row],[Last Price]] -SnapshotTable[[#This Row],[SC Strike Price]]) / SnapshotTable[[#This Row],[Last Price]]) * -1, "")</f>
        <v/>
      </c>
      <c r="FM345" s="157" t="str">
        <f>IF(SnapshotTable[[#This Row],[SC Is Booked]],  (SnapshotTable[[#This Row],[SC Qty]] * 100 * SnapshotTable[[#This Row],[SC Strike Price]]) - SnapshotTable[[#This Row],[SC Current Ask]], "")</f>
        <v/>
      </c>
      <c r="FN345"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5" s="157" t="str">
        <f>IF(AND(ISNUMBER(SnapshotTable[[#This Row],[SC Exercise Gross]]), ISNUMBER(SnapshotTable[[#This Row],[Equity Basis Per Share]] )), SnapshotTable[[#This Row],[SC Exercise Gross]] - SnapshotTable[[#This Row],[Equity Basis Total]] +  SnapshotTable[[#This Row],[SC Premium]], "")</f>
        <v/>
      </c>
      <c r="FP345" s="5" t="str">
        <f>IF(ISNUMBER(SnapshotTable[[#This Row],[SC Exercise Gross]]), (SnapshotTable[[#This Row],[SC Exercise Gross]]) / (SnapshotTable[[#This Row],[SC Qty]] * 100), "")</f>
        <v/>
      </c>
      <c r="FQ345" s="27" t="str">
        <f>IF(SnapshotTable[[#This Row],[SC Is Booked]],SnapshotTable[[#This Row],[SC Time Val]] /SnapshotTable[[#This Row],[SC Basis]], "")</f>
        <v/>
      </c>
      <c r="FR345" s="27" t="str" cm="1">
        <f t="array" ref="FR345">IF(AND(ISNUMBER(SnapshotTable[[#This Row],[SC Term]]),ISNUMBER(SnapshotTable[[#This Row],[SC Simple ROO]])), EllmanAnnualize(SnapshotTable[[#This Row],[SC DTE]], SnapshotTable[[#This Row],[SC Simple ROO]] ),"")</f>
        <v/>
      </c>
      <c r="FS345" s="4" t="e">
        <f>IF(SnapshotTable[[#This Row],[SC Strike Price]] &gt; SnapshotTable[[#This Row],[Last Price]], SnapshotTable[[#This Row],[SC Strike Price]] - SnapshotTable[[#This Row],[Last Price]],0)</f>
        <v>#VALUE!</v>
      </c>
      <c r="FT345" s="27" t="e">
        <f>IF(AND(ISNUMBER(SnapshotTable[[#This Row],[SC Upside Potential]]), SnapshotTable[[#This Row],[SC Upside Potential]] &gt; 0),(SnapshotTable[[#This Row],[SC Upside Potential]]/ SnapshotTable[[#This Row],[ACB]]),"")</f>
        <v>#VALUE!</v>
      </c>
      <c r="FU345" s="333" t="str">
        <f>IF(SnapshotTable[[#This Row],[SC Intrinsic Value]] &gt; 0,SnapshotTable[[#This Row],[SC Intrinsic Value]],"")</f>
        <v/>
      </c>
      <c r="FV345" s="27" t="str">
        <f>IF(AND( ISNUMBER( SnapshotTable[[#This Row],[ACB]]),ISNUMBER(SnapshotTable[[#This Row],[SC Downside Protect]])),SnapshotTable[[#This Row],[SC Downside Protect]] / SnapshotTable[[#This Row],[ACB]],"")</f>
        <v/>
      </c>
      <c r="FW345" s="236" t="str">
        <f>IF(AND(ISNUMBER(SnapshotTable[[#This Row],[SC Simple ROO]]),SnapshotTable[[#This Row],[SC Simple ROO]] &gt; 0), SnapshotTable[[#This Row],[SC Premium]] + (SnapshotTable[[#This Row],[SC Qty]] * SnapshotTable[[#This Row],[SC Upside Potential]]), "")</f>
        <v/>
      </c>
      <c r="FX345" s="302" t="str" cm="1">
        <f t="array" ref="FX345">IF(ISNUMBER(SnapshotTable[[#This Row],[SC Max Dollars]]), annualize(SnapshotTable[[#This Row],[SC Term]],(SnapshotTable[[#This Row],[SC Max Dollars]]/SnapshotTable[[#This Row],[SC Basis]])),"")</f>
        <v/>
      </c>
      <c r="FY345" s="236" t="str">
        <f>IF(AND(SnapshotTable[[#This Row],[SC Qty]]&gt;0,SnapshotTable[[#This Row],[SC Current Ask]]&gt;0), SnapshotTable[[#This Row],[SC Qty]] * SnapshotTable[[#This Row],[SC Current Ask]] * -100, "")</f>
        <v/>
      </c>
      <c r="FZ345" s="235" t="str">
        <f>IF(ISNUMBER((SnapshotTable[[#This Row],[SC Current Value]])), SnapshotTable[[#This Row],[SC Premium]] + SnapshotTable[[#This Row],[SC Current Value]], "")</f>
        <v/>
      </c>
      <c r="GA345" s="294" t="str">
        <f>IFERROR( IF(ISNUMBER((SnapshotTable[[#This Row],[SC Current Value]])), SnapshotTable[[#This Row],[SC Gain Loss]] / SnapshotTable[[#This Row],[SC Premium]], ""), "")</f>
        <v/>
      </c>
      <c r="GB345" s="42">
        <f>SnapshotTable[[#This Row],[Equity Shares]] * SaleSharesToConsiderPercentage</f>
        <v>0</v>
      </c>
      <c r="GC345" s="40">
        <f>SnapshotTable[[#This Row],[Long Term Target]] * SellingPriceToConsiderBasedOnTargetPercentage</f>
        <v>28.12</v>
      </c>
      <c r="GD345" s="40">
        <f>SnapshotTable[[#This Row],[Last Price]] * (1+ SellingPriceToConsiderBasedOnTargetPercentage)</f>
        <v>41.983499999999999</v>
      </c>
      <c r="GE345" s="41"/>
      <c r="GF345" s="40"/>
      <c r="GG345" s="31">
        <f>SnapshotTable[[#This Row],[Booked Sale Shares]] * SnapshotTable[[#This Row],[Booked Sale Price]]</f>
        <v>0</v>
      </c>
      <c r="GH345" s="31" t="str">
        <f>IF(SnapshotTable[[#This Row],[Equity Basis Total]] &gt; 0, SnapshotTable[[#This Row],[Equity Basis Per Share]] * SnapshotTable[[#This Row],[Booked Sale Shares]], "")</f>
        <v/>
      </c>
      <c r="GI345" s="31">
        <f>IF(SnapshotTable[[#This Row],[Sale Proceeds]]&gt;0, SnapshotTable[[#This Row],[Sale Proceeds]] - SnapshotTable[[#This Row],[Sale Basis]], 0)</f>
        <v>0</v>
      </c>
      <c r="GJ345" s="158" t="str">
        <f>IF(SnapshotTable[[#This Row],[Sale G/L]]&gt;0, SnapshotTable[[#This Row],[Sale G/L]] / SnapshotTable[[#This Row],[Sale Basis]], IF(ISNUMBER(SnapshotTable[[#This Row],[SC Exercise P&amp;L (TAX)]]), SnapshotTable[[#This Row],[SC Exercise P&amp;L (TAX)]] / SnapshotTable[[#This Row],[SC Basis]], ""))</f>
        <v/>
      </c>
      <c r="GK345" s="158"/>
      <c r="GL345" s="159" t="str">
        <f>IF(AND(SnapshotTable[[#This Row],[LP Exp Date]]&gt;0,SnapshotTable[[#This Row],[LP Strike Price]]&gt;0), [1]!ToOptionSymbol(SnapshotTable[[#This Row],[Symbol]], SnapshotTable[[#This Row],[LP Strike Price]],SnapshotTable[[#This Row],[LP Exp Date]],1), "")</f>
        <v/>
      </c>
      <c r="GM345" s="30" t="str">
        <f>IF(LEN(SnapshotTable[[#This Row],[LP Symbol]])&gt;0, 1, "")</f>
        <v/>
      </c>
      <c r="GN345" s="43" t="str">
        <f>IF(AND(SnapshotTable[[#This Row],[SP Exp Date]]&gt;0,SnapshotTable[[#This Row],[SP Strike Price]]&gt;0), [1]!ToOptionSymbol(SnapshotTable[[#This Row],[Symbol]], SnapshotTable[[#This Row],[SP Strike Price]],SnapshotTable[[#This Row],[SP Exp Date]],1), "")</f>
        <v/>
      </c>
      <c r="GO345" s="30" t="str">
        <f>IF(LEN(SnapshotTable[[#This Row],[SP Symbol]])&gt;0, 1, "")</f>
        <v/>
      </c>
      <c r="GP345" s="159" t="str">
        <f>IF(AND(SnapshotTable[[#This Row],[LC Exp Date]]&gt;0,SnapshotTable[[#This Row],[LC Strike Price]]&gt;0), [1]!ToOptionSymbol(SnapshotTable[[#This Row],[Symbol]], SnapshotTable[[#This Row],[LC Strike Price]],SnapshotTable[[#This Row],[LC Exp Date]],0), "")</f>
        <v/>
      </c>
      <c r="GQ345" s="160" t="str">
        <f>IF(LEN(SnapshotTable[[#This Row],[LC Symbol]])&gt;0, 1, "")</f>
        <v/>
      </c>
      <c r="GR345" s="159" t="str">
        <f>IF(AND(SnapshotTable[[#This Row],[SC Exp Date]]&gt;0,SnapshotTable[[#This Row],[SC Strike Price]]&gt;0), [1]!ToOptionSymbol(SnapshotTable[[#This Row],[Symbol]], SnapshotTable[[#This Row],[SC Strike Price]],SnapshotTable[[#This Row],[SC Exp Date]],0), "")</f>
        <v/>
      </c>
      <c r="GS345" s="160" t="str">
        <f>IF(LEN(SnapshotTable[[#This Row],[SC Symbol]])&gt;0, 1, "")</f>
        <v/>
      </c>
      <c r="GT345" s="161" t="str">
        <f>IF(COUNT(SnapshotTable[[#This Row],[LP Symbol Count]],SnapshotTable[[#This Row],[SP Symbol Count]],SnapshotTable[[#This Row],[LC Symbol Count]],SnapshotTable[[#This Row],[SC Symbol Count]])&gt;0, "Y", "")</f>
        <v/>
      </c>
      <c r="GU34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45" s="231" t="e">
        <f>MAX(SnapshotTable[[#This Row],[Equity Basis Total]],SnapshotTable[[#This Row],[Equity Value]]) + (SnapshotTable[[#This Row],[SP Potential Spend]]- SnapshotTable[[#This Row],[SP Premium]] + SnapshotTable[[#This Row],[LP Premium]])+ (SnapshotTable[[#This Row],[LC Premium]] - SnapshotTable[[#This Row],[SC Premium]])</f>
        <v>#VALUE!</v>
      </c>
      <c r="GW345" s="139" t="e">
        <f>IF(AND(SnapshotTable[[#This Row],[Exposure]] &lt;&gt; 0),SnapshotTable[[#This Row],[Exposure]] / SnapshotTable[[#Totals],[Exposure]], "")</f>
        <v>#VALUE!</v>
      </c>
      <c r="HK345" s="1"/>
      <c r="HL345" s="1"/>
      <c r="HM345" s="1"/>
      <c r="HN345" s="1"/>
      <c r="HO345" s="1"/>
      <c r="HP345" s="1"/>
    </row>
    <row r="346" spans="2:224" ht="12.75" hidden="1" customHeight="1" x14ac:dyDescent="0.25">
      <c r="B346" s="12" t="s">
        <v>1168</v>
      </c>
      <c r="C346" s="422">
        <v>8.27</v>
      </c>
      <c r="D346" s="208" t="s">
        <v>258</v>
      </c>
      <c r="E346" s="39">
        <f>SnapshotTable[[#This Row],[Last Price]]*(1 -CrashDiscount)</f>
        <v>7.0294999999999996</v>
      </c>
      <c r="F346" s="26" t="s">
        <v>1169</v>
      </c>
      <c r="G346" s="325" t="s">
        <v>610</v>
      </c>
      <c r="H346" s="149"/>
      <c r="I346" s="194"/>
      <c r="J346" s="195"/>
      <c r="K346" s="196"/>
      <c r="L346" s="326"/>
      <c r="M346" s="140"/>
      <c r="N346" s="140"/>
      <c r="O346" s="140"/>
      <c r="P346" s="22"/>
      <c r="Q346" s="25"/>
      <c r="R346" s="4" t="str">
        <f>IF(SnapshotTable[[#This Row],[Equity Basis Total]] &gt; 0, SnapshotTable[[#This Row],[Equity Basis Total]] / SnapshotTable[[#This Row],[Equity Shares]], "")</f>
        <v/>
      </c>
      <c r="S346" s="269">
        <f>SnapshotTable[[#This Row],[Last Price]] * SnapshotTable[[#This Row],[Equity Shares]]</f>
        <v>0</v>
      </c>
      <c r="T346" s="269">
        <f>SnapshotTable[[#This Row],[Equity Value]] - SnapshotTable[[#This Row],[Equity Basis Total]]</f>
        <v>0</v>
      </c>
      <c r="U346" s="270" t="str">
        <f>IF(SnapshotTable[[#This Row],[Equity Basis Total]] &gt; 0, SnapshotTable[[#This Row],[Equity G/L]] / SnapshotTable[[#This Row],[Equity Basis Total]], "")</f>
        <v/>
      </c>
      <c r="V346" s="268">
        <v>15</v>
      </c>
      <c r="W346" s="268"/>
      <c r="X346" s="4" t="str">
        <f>IF(AND(ISNUMBER(SnapshotTable[[#This Row],[Equity Basis Per Share]]),ISNUMBER(SnapshotTable[[#This Row],[Equity Target]])),SnapshotTable[[#This Row],[Equity Target]]-SnapshotTable[[#This Row],[Equity Basis Per Share]],"")</f>
        <v/>
      </c>
      <c r="Y346" s="4" t="str">
        <f>IF(AND(ISNUMBER(SnapshotTable[[#This Row],[Equity Basis Per Share]]),ISNUMBER(SnapshotTable[[#This Row],[Equity Stop Loss]])),SnapshotTable[[#This Row],[Equity Stop Loss]]-SnapshotTable[[#This Row],[Equity Basis Per Share]],"")</f>
        <v/>
      </c>
      <c r="Z346" s="275" t="str">
        <f>IFERROR( TEXT(SnapshotTable[[#This Row],[Equity Max Gain Per Share]] /ABS( SnapshotTable[[#This Row],[Equity Max Loss Per Share]]),"0.0 " ) &amp; " : 1", "")</f>
        <v/>
      </c>
      <c r="AA346" s="31" t="str">
        <f>IF(ISNUMBER(SnapshotTable[[#This Row],[Equity Max Gain Per Share]]),SnapshotTable[[#This Row],[Equity Max Gain Per Share]] * SnapshotTable[[#This Row],[Equity Shares]],"")</f>
        <v/>
      </c>
      <c r="AB346" s="31" t="str">
        <f>IF(ISNUMBER(SnapshotTable[[#This Row],[Equity Max Loss Per Share]]),SnapshotTable[[#This Row],[Equity Max Loss Per Share]] * SnapshotTable[[#This Row],[Equity Shares]],"")</f>
        <v/>
      </c>
      <c r="AC346" s="150"/>
      <c r="AD346" s="151"/>
      <c r="AE346" s="31">
        <f>(SnapshotTable[[#This Row],[Annual Dividend Per Share]] / 4) * SnapshotTable[[#This Row],[Equity Shares]]</f>
        <v>0</v>
      </c>
      <c r="AF346" s="31">
        <f>SnapshotTable[[#This Row],[Quarterly Div $]] * 4</f>
        <v>0</v>
      </c>
      <c r="AG346" s="7">
        <f>IF(SnapshotTable[[#This Row],[Annual Dividend Per Share]]&gt;0, SnapshotTable[[#This Row],[Annual Dividend Per Share]]  / SnapshotTable[[#This Row],[Last Price]], 0)</f>
        <v>0</v>
      </c>
      <c r="AH346" s="151"/>
      <c r="AI346" s="5"/>
      <c r="AJ346" s="138"/>
      <c r="AK346" s="152" t="str">
        <f>IF(ISNUMBER( SnapshotTable[[#This Row],[EBF Target]]),(SnapshotTable[[#This Row],[EBF Target]] - SnapshotTable[[#This Row],[Last Price]]) / SnapshotTable[[#This Row],[Last Price]], "")</f>
        <v/>
      </c>
      <c r="AL346" s="152" t="str">
        <f>IF(AND(SnapshotTable[[#This Row],[Equity Basis Total]] &gt; 0,ISNUMBER( SnapshotTable[[#This Row],[Long Term Target]])), SnapshotTable[[#This Row],[From Basis $]] / SnapshotTable[[#This Row],[Equity Basis Total]], "")</f>
        <v/>
      </c>
      <c r="AM346" s="9">
        <f>IF( AND(SnapshotTable[[#This Row],[Equity Shares]] &gt;0,ISNUMBER( SnapshotTable[[#This Row],[Long Term Target]])),(SnapshotTable[[#This Row],[Equity Shares]] * SnapshotTable[[#This Row],[Long Term Target]]) - SnapshotTable[[#This Row],[Equity Basis Total]],0)</f>
        <v>0</v>
      </c>
      <c r="AN346" s="9">
        <f>IF( AND(SnapshotTable[[#This Row],[Equity Shares]] &gt;0,ISNUMBER( SnapshotTable[[#This Row],[Long Term Target]])),(SnapshotTable[[#This Row],[Equity Shares]]*SnapshotTable[[#This Row],[Long Term Target]]) - SnapshotTable[[#This Row],[Equity Value]],0)</f>
        <v>0</v>
      </c>
      <c r="AO346" s="152" t="str">
        <f>IF(AND(ISNUMBER( SnapshotTable[[#This Row],[Long Term Target]]), ISNUMBER(SnapshotTable[[#This Row],[Last Price]])),(SnapshotTable[[#This Row],[Long Term Target]] - SnapshotTable[[#This Row],[Last Price]]) / SnapshotTable[[#This Row],[Last Price]], "")</f>
        <v/>
      </c>
      <c r="AP346" s="5"/>
      <c r="AQ346" s="38"/>
      <c r="AR346" s="5"/>
      <c r="AS346" s="38"/>
      <c r="AT346" s="146" t="s">
        <v>1132</v>
      </c>
      <c r="AU346" s="187" t="str">
        <f>IF(OR(SnapshotTable[[#This Row],[LP No Fill]]="Y",SnapshotTable[[#This Row],[SP Is Filled]],SnapshotTable[[#This Row],[LC Not Filled]]="Y",SnapshotTable[[#This Row],[SC Is Filled]]),"Y","")</f>
        <v/>
      </c>
      <c r="AV346" s="219"/>
      <c r="AW346" s="225"/>
      <c r="AX346" s="220"/>
      <c r="AY346" s="219" t="str">
        <f>IF(SnapshotTable[[#This Row],[Implied Move]]&gt;0, SnapshotTable[[#This Row],[Last Price]]-SnapshotTable[[#This Row],[Implied Move]],"")</f>
        <v/>
      </c>
      <c r="AZ346" s="219" t="str">
        <f>IF(SnapshotTable[[#This Row],[Implied Move]]&gt;0, SnapshotTable[[#This Row],[Last Price]] + SnapshotTable[[#This Row],[Implied Move]],"")</f>
        <v/>
      </c>
      <c r="BA346" s="331">
        <v>11.53</v>
      </c>
      <c r="BB346" s="347"/>
      <c r="BC34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6" s="351"/>
      <c r="BE346" s="5"/>
      <c r="BF346" s="14"/>
      <c r="BG346" s="13"/>
      <c r="BH346" s="13"/>
      <c r="BI346" s="5"/>
      <c r="BJ346" s="136">
        <f>IF(SnapshotTable[[#This Row],[LP Qty]] &gt; 0, SnapshotTable[[#This Row],[LP Qty]] * SnapshotTable[[#This Row],[LP Book Price]] * 100,0)</f>
        <v>0</v>
      </c>
      <c r="BK346" s="136">
        <f>IF(SnapshotTable[[#This Row],[LP Premium]] &gt; 0, SnapshotTable[[#This Row],[LP Qty]] * SnapshotTable[[#This Row],[LP Strike Price]] * 100,0)</f>
        <v>0</v>
      </c>
      <c r="BL346" s="154"/>
      <c r="BM346" s="385" t="str">
        <f>IF(SnapshotTable[[#This Row],[LP Premium]] &gt; 0,SnapshotTable[[#This Row],[LP Exp Date]]-MAX(SnapshotTable[[#This Row],[LP Book Date]], SnapshotTable[[#This Row],[LP Fill Date]]),"")</f>
        <v/>
      </c>
      <c r="BN346" s="385" t="str">
        <f>IF(ISNUMBER( SnapshotTable[[#This Row],[LP Term]]), SnapshotTable[[#This Row],[LP Exp Date]] - MockToday,"")</f>
        <v/>
      </c>
      <c r="BO346" s="163" t="str">
        <f>IF(AND(SnapshotTable[[#This Row],[LP Exp Date]]&gt;0, SnapshotTable[[#This Row],[LP Strike Price]]&gt;0,SnapshotTable[[#This Row],[LP Qty]]&gt;0,SnapshotTable[[#This Row],[LP Book Date]]&gt;0,SnapshotTable[[#This Row],[LP Book Price]]&gt;0,SnapshotTable[[#This Row],[LP Fill Date]]=0),"Y","")</f>
        <v/>
      </c>
      <c r="BP346" s="31" t="str">
        <f>IF(AND(SnapshotTable[[#This Row],[LP No Fill]]&lt;&gt;"Y",SnapshotTable[[#This Row],[LP Contract Value]]&gt;0, SnapshotTable[[#This Row],[LP Qty]]&gt;0), SnapshotTable[[#This Row],[LP Contract Value]]*SnapshotTable[[#This Row],[LP Qty]]*100,"")</f>
        <v/>
      </c>
      <c r="BQ346" s="13"/>
      <c r="BR346" s="5" t="str">
        <f>IF(SnapshotTable[[#This Row],[SP Exp Date]]&lt;&gt;"",TRUNC(SnapshotTable[[#This Row],[Last Price]]),"")</f>
        <v/>
      </c>
      <c r="BS346" s="36"/>
      <c r="BT346" s="147"/>
      <c r="BU346" s="13"/>
      <c r="BV346" s="5"/>
      <c r="BW346" s="419" t="b">
        <f>AND(ISNUMBER(SnapshotTable[[#This Row],[SP Exp Date]]), ISNUMBER(SnapshotTable[[#This Row],[SP Strike Price]]), ISNUMBER(SnapshotTable[[#This Row],[SP Qty]]), ISNUMBER(SnapshotTable[[#This Row],[SP Book Date]]), ISNUMBER(SnapshotTable[[#This Row],[SP Book Price]]))</f>
        <v>0</v>
      </c>
      <c r="BX346" s="419" t="b">
        <f>AND(SnapshotTable[[#This Row],[SP Is Booked]], NOT(ISBLANK(SnapshotTable[[#This Row],[SP Fill Date]])))</f>
        <v>0</v>
      </c>
      <c r="BY346" s="33">
        <f>IF(SnapshotTable[[#This Row],[SP Is Booked]], SnapshotTable[[#This Row],[SP Qty]] * SnapshotTable[[#This Row],[SP Book Price]] * 100, 0)</f>
        <v>0</v>
      </c>
      <c r="BZ346" s="369"/>
      <c r="CA346" s="368">
        <f>SnapshotTable[[#This Row],[LP Qty]]</f>
        <v>0</v>
      </c>
      <c r="CB346" s="4" t="str">
        <f>IF(SnapshotTable[[#This Row],[SP Is Booked]], SnapshotTable[[#This Row],[SP Strike Price]] - SnapshotTable[[#This Row],[SP Book Price]], "")</f>
        <v/>
      </c>
      <c r="CC346" s="19" t="str">
        <f>IF(SnapshotTable[[#This Row],[SP Is Booked]],SnapshotTable[[#This Row],[SP Exp Date]]-MAX(SnapshotTable[[#This Row],[SP Book Date]], SnapshotTable[[#This Row],[SP Fill Date]]),"")</f>
        <v/>
      </c>
      <c r="CD346" s="7" t="str">
        <f>IF(SnapshotTable[[#This Row],[SP Is Booked]], SnapshotTable[[#This Row],[SP Book Price]]/SnapshotTable[[#This Row],[SP Strike Price]], "")</f>
        <v/>
      </c>
      <c r="CE346" s="7" t="str">
        <f>IF(ISNUMBER(SnapshotTable[[#This Row],[SP ROO Term]]),SnapshotTable[[#This Row],[SP ROO Term]]*(365/SnapshotTable[[#This Row],[SP Term]]),"")</f>
        <v/>
      </c>
      <c r="CF346" s="236">
        <f>SnapshotTable[[#This Row],[LP Strike Price]] * SnapshotTable[[#This Row],[LP Qty]] * 100</f>
        <v>0</v>
      </c>
      <c r="CG346" s="31" t="e">
        <f>IF(ISNUMBER(SnapshotTable[[#This Row],[SP Premium]]), (SnapshotTable[[#This Row],[SP Qty]] * SnapshotTable[[#This Row],[SP Strike Price]]* 100) - SnapshotTable[[#This Row],[LP Protection]], 0)</f>
        <v>#VALUE!</v>
      </c>
      <c r="CH346" s="7" t="str">
        <f>IF(ISNUMBER(SnapshotTable[[#This Row],[SP Break Even]]),-1 * (SnapshotTable[[#This Row],[SP Break Even]] - SnapshotTable[[#This Row],[Last Price]]) / SnapshotTable[[#This Row],[Last Price]], "")</f>
        <v/>
      </c>
      <c r="CI346" s="31">
        <f>IF(AND(ISNUMBER((SnapshotTable[[#This Row],[SP Potential Spend]])), SnapshotTable[[#This Row],[SP Strike Price]] &gt; SnapshotTable[[#This Row],[Last Price]], SnapshotTable[[#This Row],[SP Is Filled]]), SnapshotTable[[#This Row],[SP Potential Spend]] -  SnapshotTable[[#This Row],[LP Max Value]], 0)</f>
        <v>0</v>
      </c>
      <c r="CJ346" s="244"/>
      <c r="CK346" s="31" t="str">
        <f>IF(ISNUMBER(SnapshotTable[[#This Row],[SP Potential Spend]]),IF(ISNUMBER(SnapshotTable[[#This Row],[SP POW]]), SnapshotTable[[#This Row],[SP POW]] * SnapshotTable[[#This Row],[SP Potential Spend]], SnapshotTable[[#This Row],[SP Potential Spend]]), "")</f>
        <v/>
      </c>
      <c r="CL346" s="164" t="e">
        <f>IF(NOT(SnapshotTable[[#This Row],[SP Is Filled]]),(SnapshotTable[[#This Row],[SP Qty]] * SnapshotTable[[#This Row],[SP Strike Price]] * 100) - SnapshotTable[[#This Row],[LP Max Value]],"")</f>
        <v>#VALUE!</v>
      </c>
      <c r="CM346" s="31" t="str">
        <f>IF(SnapshotTable[[#This Row],[SP Actual Spend]]&lt;&gt;0, ((SnapshotTable[[#This Row],[SP Strike Price]]-SnapshotTable[[#This Row],[Last Price]]) *(SnapshotTable[[#This Row],[SP Qty]]*100) - SnapshotTable[[#This Row],[SP Premium]]) * - 1, "")</f>
        <v/>
      </c>
      <c r="CN346" s="78"/>
      <c r="CO346" s="369"/>
      <c r="CP346" s="4" t="str">
        <f>IF(SnapshotTable[[#This Row],[SP Is Filled]], btc_max_buyback_amount(SnapshotTable[[#This Row],[SP Fill Date]],SnapshotTable[[#This Row],[SP Exp Date]], SnapshotTable[[#This Row],[SP Book Price]]),"")</f>
        <v/>
      </c>
      <c r="CQ346" s="78"/>
      <c r="CR34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6" s="155" t="str">
        <f>IF(SnapshotTable[[#This Row],[SP Is Filled]], btc_next_cutoff_date(SnapshotTable[[#This Row],[SP Fill Date]],SnapshotTable[[#This Row],[SP Exp Date]]),"")</f>
        <v/>
      </c>
      <c r="CT346" s="235" t="str" cm="1">
        <f t="array" ref="CT346">IF(SnapshotTable[[#This Row],[SP Is Filled]], btc_should_buy_back(SnapshotTable[[#This Row],[SP Fill Date]], SnapshotTable[[#This Row],[SP Exp Date]], SnapshotTable[[#This Row],[SP Book Price]], SnapshotTable[[#This Row],[SP Current Ask]], MockToday, SnapshotTable[[#This Row],[SP Buyback Override]]),"")</f>
        <v/>
      </c>
      <c r="CU346" s="143"/>
      <c r="CV346" s="235"/>
      <c r="CW346" s="378" t="str">
        <f>IF(ISNUMBER( SnapshotTable[[#This Row],[SP Term]]), SnapshotTable[[#This Row],[SP Exp Date]] - MockToday,"")</f>
        <v/>
      </c>
      <c r="CX346" s="31" t="str">
        <f>IF(SnapshotTable[[#This Row],[SP Is Filled]],SnapshotTable[[#This Row],[SP Buyback Price to Use]] * 100 * SnapshotTable[[#This Row],[SP Qty]], "")</f>
        <v/>
      </c>
      <c r="CY346" s="4" t="str">
        <f>IF(ISNUMBER(SnapshotTable[[#This Row],[SP Strike Price]]), SnapshotTable[[#This Row],[SP Strike Price]] * (1 - SP_MaxLoss_StrikePct), "")</f>
        <v/>
      </c>
      <c r="CZ346" s="31" t="str">
        <f>IF(ISNUMBER(SnapshotTable[[#This Row],[SP Strike  Stop Per Share]]),SnapshotTable[[#This Row],[SP Premium]] - ((SnapshotTable[[#This Row],[SP Strike Price]]-SnapshotTable[[#This Row],[SP Strike  Stop Per Share]]) *(SnapshotTable[[#This Row],[SP Qty]] * 100)),"")</f>
        <v/>
      </c>
      <c r="DA346" s="4" t="str">
        <f>IF(AND(ISNUMBER(SnapshotTable[[#This Row],[SP Premium]]),SnapshotTable[[#This Row],[SP Premium]]&gt;0), SnapshotTable[[#This Row],[SP Book Price]] * (1 + SP_MaxLoss_OptionPct), "")</f>
        <v/>
      </c>
      <c r="DB346" s="31" t="str">
        <f>IF(ISNUMBER(SnapshotTable[[#This Row],[SP Option  Stop Contract]]),(SnapshotTable[[#This Row],[SP Option  Stop Contract]] *(SnapshotTable[[#This Row],[SP Qty]] * 100) - SnapshotTable[[#This Row],[SP Premium]]),"")</f>
        <v/>
      </c>
      <c r="DC346" s="4"/>
      <c r="DD346" s="4"/>
      <c r="DE346" s="4" t="str">
        <f>IF(AND(SnapshotTable[[#This Row],[SP Qty]]&gt;0, SnapshotTable[[#This Row],[SP Stop To Use]]&gt;0),SnapshotTable[[#This Row],[SP Premium]] - ( SnapshotTable[[#This Row],[SP Qty]] * SnapshotTable[[#This Row],[SP Stop To Use]] * 100), "")</f>
        <v/>
      </c>
      <c r="DF346" s="31" t="str">
        <f>IF(AND(SnapshotTable[[#This Row],[SP Qty]]&gt;0,SnapshotTable[[#This Row],[SP Current Ask]]&gt;0), SnapshotTable[[#This Row],[SP Qty]] * SnapshotTable[[#This Row],[SP Current Ask]] * -100, "")</f>
        <v/>
      </c>
      <c r="DG346" s="31" t="str">
        <f>IF(ISNUMBER((SnapshotTable[[#This Row],[SP Total Value]])), SnapshotTable[[#This Row],[SP Premium]] + SnapshotTable[[#This Row],[SP Total Value]], "")</f>
        <v/>
      </c>
      <c r="DH346" s="294" t="str">
        <f>IF(ISNUMBER((SnapshotTable[[#This Row],[SP Total Value]])), SnapshotTable[[#This Row],[SP Gain Loss]] / SnapshotTable[[#This Row],[SP Premium]], "")</f>
        <v/>
      </c>
      <c r="DI346" s="406"/>
      <c r="DJ346" s="138"/>
      <c r="DK346" s="148"/>
      <c r="DL346" s="13"/>
      <c r="DM346" s="13"/>
      <c r="DO346" s="31">
        <f>IF(SnapshotTable[[#This Row],[LC Symbol Count]]=1, SnapshotTable[[#This Row],[LC Qty]] * SnapshotTable[[#This Row],[LC Book Price]] * 100, 0)</f>
        <v>0</v>
      </c>
      <c r="DP346" s="163" t="str">
        <f>IF(AND(SnapshotTable[[#This Row],[LC Exp Date]]&gt;0, SnapshotTable[[#This Row],[LC Strike Price]]&gt;0,SnapshotTable[[#This Row],[LC Qty]]&gt;0,SnapshotTable[[#This Row],[LC Book Date]]&gt;0,SnapshotTable[[#This Row],[LC Book Price]]&gt;0,SnapshotTable[[#This Row],[LC Fill Date]]=0),"Y","")</f>
        <v/>
      </c>
      <c r="DQ346" s="386" t="str">
        <f>IF(SnapshotTable[[#This Row],[LC Premium]] &gt; 0,SnapshotTable[[#This Row],[LC Exp Date]]-MAX(SnapshotTable[[#This Row],[LC Book Date]], SnapshotTable[[#This Row],[LC Fill Date]]),"")</f>
        <v/>
      </c>
      <c r="DR346" s="386" t="str">
        <f>IF(ISNUMBER(SnapshotTable[[#This Row],[LC Term]]), SnapshotTable[[#This Row],[LC Exp Date]] - MockToday, "")</f>
        <v/>
      </c>
      <c r="DS346" s="234" t="str">
        <f>IF(SnapshotTable[[#This Row],[LC Premium]]&gt;0,SnapshotTable[[#This Row],[LC Strike Price]] + SnapshotTable[[#This Row],[LC Book Price]],"")</f>
        <v/>
      </c>
      <c r="DU346" s="9" t="str">
        <f>IF(AND(SnapshotTable[[#This Row],[LC Symbol Count]]&gt;0, SnapshotTable[[#This Row],[LC Contract Value]]&gt;0), SnapshotTable[[#This Row],[LC Contract Value]] * SnapshotTable[[#This Row],[LC Qty]] * 100, "")</f>
        <v/>
      </c>
      <c r="DV346" s="9" t="str">
        <f>IF(AND(ISNUMBER(SnapshotTable[[#This Row],[LC Total Value]]), SnapshotTable[[#This Row],[LC Not Filled]]&lt;&gt;"Y"), SnapshotTable[[#This Row],[LC Total Value]]-SnapshotTable[[#This Row],[LC Premium]],"")</f>
        <v/>
      </c>
      <c r="DW346" s="240" t="str">
        <f>IF(ISNUMBER(SnapshotTable[[#This Row],[LC Actual Gain Loss]]), SnapshotTable[[#This Row],[LC Actual Gain Loss]] / SnapshotTable[[#This Row],[LC Premium]],"")</f>
        <v/>
      </c>
      <c r="DX346" s="284" t="str">
        <f>IF(ISNUMBER(SnapshotTable[[#This Row],[LC Book Price]]),SnapshotTable[[#This Row],[LC Book Price]] * 1.5,"")</f>
        <v/>
      </c>
      <c r="DY346" s="265" t="str">
        <f>IF(SnapshotTable[[#This Row],[LC Premium]]&gt;0, SnapshotTable[[#This Row],[LC Next Target]] * SnapshotTable[[#This Row],[LC Qty]] * 100,"")</f>
        <v/>
      </c>
      <c r="DZ346" s="265" t="str">
        <f>IF(ISNUMBER(SnapshotTable[[#This Row],[LC Target Gross]]), SnapshotTable[[#This Row],[LC Target Gross]] - SnapshotTable[[#This Row],[LC Premium]], "")</f>
        <v/>
      </c>
      <c r="EA346" s="305" t="str">
        <f>IF(ISNUMBER(SnapshotTable[[#This Row],[LC Target Gain Loss]]), SnapshotTable[[#This Row],[LC Target Gain Loss]]/SnapshotTable[[#This Row],[LC Premium]], "")</f>
        <v/>
      </c>
      <c r="EB346" s="262"/>
      <c r="EC346" s="283" t="str">
        <f>IF(SnapshotTable[[#This Row],[LC Premium]]&gt;0, SnapshotTable[[#This Row],[LC Book Price]] * (1 - LC_StopLoss_Pct),"")</f>
        <v/>
      </c>
      <c r="ED346" s="284"/>
      <c r="EE346" s="283" t="str">
        <f>IF(ISNUMBER(SnapshotTable[[#This Row],[LC Contract Value]]),IF(ISNUMBER(SnapshotTable[[#This Row],[LC Stop Loss Override]]), SnapshotTable[[#This Row],[LC Stop Loss Override]],SnapshotTable[[#This Row],[LC Stop Loss Calc Target]]),"")</f>
        <v/>
      </c>
      <c r="EF346" s="31" t="str">
        <f>IF(ISNUMBER(SnapshotTable[[#This Row],[LC Stop  To Use]]), (SnapshotTable[[#This Row],[LC Stop  To Use]] * SnapshotTable[[#This Row],[LC Qty]] * 100),"")</f>
        <v/>
      </c>
      <c r="EG346" s="9" t="str">
        <f>IF(ISNUMBER(SnapshotTable[[#This Row],[LC Total Value]]),SnapshotTable[[#This Row],[LC Stop Loss Amount]] - SnapshotTable[[#This Row],[LC Premium]],"")</f>
        <v/>
      </c>
      <c r="EH346" s="9">
        <f>IF(ISNUMBER(SnapshotTable[[#This Row],[LC Premium]]), SnapshotTable[[#This Row],[LC Qty]] * 100 * SnapshotTable[[#This Row],[LC Strike Price]], "")</f>
        <v>0</v>
      </c>
      <c r="EI346" s="240" t="str">
        <f>IF(AND(ISNUMBER(SnapshotTable[[#This Row],[LC Total Value]]),SnapshotTable[[#This Row],[LC Total Value]]&gt;0),SnapshotTable[[#This Row],[LC Stop Gain Loss]]  / SnapshotTable[[#This Row],[LC Premium]],"")</f>
        <v/>
      </c>
      <c r="EJ346" s="35">
        <f>IF(ISNUMBER(SnapshotTable[[#This Row],[Equity Shares]]),TRUNC(SnapshotTable[[#This Row],[Equity Shares]] / 100),0) + SnapshotTable[[#This Row],[LC Qty]]</f>
        <v>0</v>
      </c>
      <c r="EK346" s="147"/>
      <c r="EL346" s="138" t="str">
        <f>IF(SnapshotTable[[#This Row],[SC Exp Date]]&lt;&gt;"",TRUNC(SnapshotTable[[#This Row],[Last Price]]),"")</f>
        <v/>
      </c>
      <c r="EM346" s="148"/>
      <c r="EN346" s="147"/>
      <c r="EO346" s="147"/>
      <c r="EP346" s="138"/>
      <c r="EQ346" s="419" t="b">
        <f>AND(ISNUMBER(SnapshotTable[[#This Row],[SC Exp Date]]), ISNUMBER(SnapshotTable[[#This Row],[SC Strike Price]]), ISNUMBER(SnapshotTable[[#This Row],[SC Qty]]), ISNUMBER(SnapshotTable[[#This Row],[SC Book Date]]), ISNUMBER(SnapshotTable[[#This Row],[SC Book Price]]))</f>
        <v>0</v>
      </c>
      <c r="ER346" s="419" t="b">
        <f>AND(SnapshotTable[[#This Row],[SC Is Booked]], NOT(ISBLANK(SnapshotTable[[#This Row],[SC Fill Date]])))</f>
        <v>0</v>
      </c>
      <c r="ES346" s="370"/>
      <c r="ET346" s="34" t="str">
        <f>IF(AND(ISNUMBER(SnapshotTable[[#This Row],[SC Exp Date]]), ISNUMBER(SnapshotTable[[#This Row],[SC Book Date]])), SnapshotTable[[#This Row],[SC Exp Date]] - MAX(SnapshotTable[[#This Row],[SC Book Date]], SnapshotTable[[#This Row],[SC Fill Date]]) + 1, "")</f>
        <v/>
      </c>
      <c r="EU346" s="34" t="str">
        <f>IF(ISNUMBER(SnapshotTable[[#This Row],[SC Term]]), SnapshotTable[[#This Row],[SC Exp Date]]- MockToday, "")</f>
        <v/>
      </c>
      <c r="EV346" s="31">
        <f>IF(SnapshotTable[[#This Row],[SC Is Booked]], SnapshotTable[[#This Row],[SC Qty]] * SnapshotTable[[#This Row],[SC Book Price]] * 100, 0)</f>
        <v>0</v>
      </c>
      <c r="EW346" s="4" t="str">
        <f>IF(AND(ISNUMBER(SnapshotTable[[#This Row],[Last Price]]), ISNUMBER( SnapshotTable[[#This Row],[SC Book Price]])), SnapshotTable[[#This Row],[Last Price]] - SnapshotTable[[#This Row],[SC Book Price]],"")</f>
        <v/>
      </c>
      <c r="EX346" s="234" t="str">
        <f>IF(SnapshotTable[[#This Row],[SC Is Booked]],IF(SnapshotTable[[#This Row],[SC Intrinsic Value]] &gt; 0, SnapshotTable[[#This Row],[SC Strike Price]], SnapshotTable[[#This Row],[Last Price]]), "")</f>
        <v/>
      </c>
      <c r="EY346" s="4">
        <f>IF(SnapshotTable[[#This Row],[SC Is Booked]], (MinimumPremiumRequired * SnapshotTable[[#This Row],[SC Basis]] * SnapshotTable[[#This Row],[SC Term]]), 0)</f>
        <v>0</v>
      </c>
      <c r="EZ346" s="283"/>
      <c r="FA346" s="218"/>
      <c r="FB346" s="370"/>
      <c r="FC346" s="4">
        <f>IF(SnapshotTable[[#This Row],[SC Is Filled]], btc_max_buyback_amount(SnapshotTable[[#This Row],[SC Fill Date]],SnapshotTable[[#This Row],[SC Exp Date]], SnapshotTable[[#This Row],[SC Book Price]]),0)</f>
        <v>0</v>
      </c>
      <c r="FD346" s="5"/>
      <c r="FE346" s="144" t="str">
        <f>IF(SnapshotTable[[#This Row],[SC Is Filled]], btc_next_cutoff_date(SnapshotTable[[#This Row],[SC Fill Date]],SnapshotTable[[#This Row],[SC Exp Date]]),"")</f>
        <v/>
      </c>
      <c r="FF346" s="4" t="str" cm="1">
        <f t="array" ref="FF346">IF(SnapshotTable[[#This Row],[SC Is Filled]], btc_should_buy_back(SnapshotTable[[#This Row],[SC Fill Date]], SnapshotTable[[#This Row],[SC Exp Date]], SnapshotTable[[#This Row],[SC Book Price]], SnapshotTable[[#This Row],[SC Current Ask]], MockToday, SnapshotTable[[#This Row],[SC Buyback Override]]),"")</f>
        <v/>
      </c>
      <c r="FG346" s="4">
        <f>IF(SnapshotTable[[#This Row],[SC Is Filled]], MAX(0,SnapshotTable[[#This Row],[Last Price]]  - SnapshotTable[[#This Row],[SC Strike Price]]), 0)</f>
        <v>0</v>
      </c>
      <c r="FH346" s="382">
        <f>IF(SnapshotTable[[#This Row],[SC Is Filled]], IF(ISNUMBER(SnapshotTable[[#This Row],[SC Current Ask]]), SnapshotTable[[#This Row],[SC Current Ask]], SnapshotTable[[#This Row],[SC Book Price]]) - SnapshotTable[[#This Row],[SC Intrinsic Value]], 0)</f>
        <v>0</v>
      </c>
      <c r="FI346" s="143"/>
      <c r="FJ346" s="32" t="str">
        <f>IF(SnapshotTable[[#This Row],[SC Is Filled]],100 * SnapshotTable[[#This Row],[SC Qty]] * IF(ISNUMBER(SnapshotTable[[#This Row],[SC Buyback Override]]), SnapshotTable[[#This Row],[SC Buyback Override]], SnapshotTable[[#This Row],[SC Current Ask]]), "")</f>
        <v/>
      </c>
      <c r="FK346" s="250" t="str">
        <f>IF(SnapshotTable[[#This Row],[SC Time Val]]&gt;0, SnapshotTable[[#This Row],[SC Time Val]] / SnapshotTable[[#This Row],[Last Price]],"")</f>
        <v/>
      </c>
      <c r="FL346" s="302" t="str">
        <f>IF(SnapshotTable[[#This Row],[SC Is Booked]], ((SnapshotTable[[#This Row],[Last Price]] -SnapshotTable[[#This Row],[SC Strike Price]]) / SnapshotTable[[#This Row],[Last Price]]) * -1, "")</f>
        <v/>
      </c>
      <c r="FM346" s="157" t="str">
        <f>IF(SnapshotTable[[#This Row],[SC Is Booked]],  (SnapshotTable[[#This Row],[SC Qty]] * 100 * SnapshotTable[[#This Row],[SC Strike Price]]) - SnapshotTable[[#This Row],[SC Current Ask]], "")</f>
        <v/>
      </c>
      <c r="FN34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6" s="31" t="str">
        <f>IF(AND(ISNUMBER(SnapshotTable[[#This Row],[SC Exercise Gross]]), ISNUMBER(SnapshotTable[[#This Row],[Equity Basis Per Share]] )), SnapshotTable[[#This Row],[SC Exercise Gross]] - SnapshotTable[[#This Row],[Equity Basis Total]] +  SnapshotTable[[#This Row],[SC Premium]], "")</f>
        <v/>
      </c>
      <c r="FP346" s="5" t="str">
        <f>IF(ISNUMBER(SnapshotTable[[#This Row],[SC Exercise Gross]]), (SnapshotTable[[#This Row],[SC Exercise Gross]]) / (SnapshotTable[[#This Row],[SC Qty]] * 100), "")</f>
        <v/>
      </c>
      <c r="FQ346" s="27" t="str">
        <f>IF(SnapshotTable[[#This Row],[SC Is Booked]],SnapshotTable[[#This Row],[SC Time Val]] /SnapshotTable[[#This Row],[SC Basis]], "")</f>
        <v/>
      </c>
      <c r="FR346" s="27" t="str" cm="1">
        <f t="array" ref="FR346">IF(AND(ISNUMBER(SnapshotTable[[#This Row],[SC Term]]),ISNUMBER(SnapshotTable[[#This Row],[SC Simple ROO]])), EllmanAnnualize(SnapshotTable[[#This Row],[SC DTE]], SnapshotTable[[#This Row],[SC Simple ROO]] ),"")</f>
        <v/>
      </c>
      <c r="FS346" s="4" t="e">
        <f>IF(SnapshotTable[[#This Row],[SC Strike Price]] &gt; SnapshotTable[[#This Row],[Last Price]], SnapshotTable[[#This Row],[SC Strike Price]] - SnapshotTable[[#This Row],[Last Price]],0)</f>
        <v>#VALUE!</v>
      </c>
      <c r="FT346" s="27" t="e">
        <f>IF(AND(ISNUMBER(SnapshotTable[[#This Row],[SC Upside Potential]]), SnapshotTable[[#This Row],[SC Upside Potential]] &gt; 0),(SnapshotTable[[#This Row],[SC Upside Potential]]/ SnapshotTable[[#This Row],[ACB]]),"")</f>
        <v>#VALUE!</v>
      </c>
      <c r="FU346" s="333" t="str">
        <f>IF(SnapshotTable[[#This Row],[SC Intrinsic Value]] &gt; 0,SnapshotTable[[#This Row],[SC Intrinsic Value]],"")</f>
        <v/>
      </c>
      <c r="FV346" s="27" t="str">
        <f>IF(AND( ISNUMBER( SnapshotTable[[#This Row],[ACB]]),ISNUMBER(SnapshotTable[[#This Row],[SC Downside Protect]])),SnapshotTable[[#This Row],[SC Downside Protect]] / SnapshotTable[[#This Row],[ACB]],"")</f>
        <v/>
      </c>
      <c r="FW346" s="236" t="str">
        <f>IF(AND(ISNUMBER(SnapshotTable[[#This Row],[SC Simple ROO]]),SnapshotTable[[#This Row],[SC Simple ROO]] &gt; 0), SnapshotTable[[#This Row],[SC Premium]] + (SnapshotTable[[#This Row],[SC Qty]] * SnapshotTable[[#This Row],[SC Upside Potential]]), "")</f>
        <v/>
      </c>
      <c r="FX346" s="302" t="str" cm="1">
        <f t="array" ref="FX346">IF(ISNUMBER(SnapshotTable[[#This Row],[SC Max Dollars]]), annualize(SnapshotTable[[#This Row],[SC Term]],(SnapshotTable[[#This Row],[SC Max Dollars]]/SnapshotTable[[#This Row],[SC Basis]])),"")</f>
        <v/>
      </c>
      <c r="FY346" s="236" t="str">
        <f>IF(AND(SnapshotTable[[#This Row],[SC Qty]]&gt;0,SnapshotTable[[#This Row],[SC Current Ask]]&gt;0), SnapshotTable[[#This Row],[SC Qty]] * SnapshotTable[[#This Row],[SC Current Ask]] * -100, "")</f>
        <v/>
      </c>
      <c r="FZ346" s="31" t="str">
        <f>IF(ISNUMBER((SnapshotTable[[#This Row],[SC Current Value]])), SnapshotTable[[#This Row],[SC Premium]] + SnapshotTable[[#This Row],[SC Current Value]], "")</f>
        <v/>
      </c>
      <c r="GA346" s="294" t="str">
        <f>IFERROR( IF(ISNUMBER((SnapshotTable[[#This Row],[SC Current Value]])), SnapshotTable[[#This Row],[SC Gain Loss]] / SnapshotTable[[#This Row],[SC Premium]], ""), "")</f>
        <v/>
      </c>
      <c r="GB346" s="42">
        <f>SnapshotTable[[#This Row],[Equity Shares]] * SaleSharesToConsiderPercentage</f>
        <v>0</v>
      </c>
      <c r="GC346" s="40">
        <f>SnapshotTable[[#This Row],[Long Term Target]] * SellingPriceToConsiderBasedOnTargetPercentage</f>
        <v>0</v>
      </c>
      <c r="GD346" s="40">
        <f>SnapshotTable[[#This Row],[Last Price]] * (1+ SellingPriceToConsiderBasedOnTargetPercentage)</f>
        <v>16.1265</v>
      </c>
      <c r="GE346" s="41"/>
      <c r="GF346" s="40"/>
      <c r="GG346" s="31">
        <f>SnapshotTable[[#This Row],[Booked Sale Shares]] * SnapshotTable[[#This Row],[Booked Sale Price]]</f>
        <v>0</v>
      </c>
      <c r="GH346" s="31" t="str">
        <f>IF(SnapshotTable[[#This Row],[Equity Basis Total]] &gt; 0, SnapshotTable[[#This Row],[Equity Basis Per Share]] * SnapshotTable[[#This Row],[Booked Sale Shares]], "")</f>
        <v/>
      </c>
      <c r="GI346" s="31">
        <f>IF(SnapshotTable[[#This Row],[Sale Proceeds]]&gt;0, SnapshotTable[[#This Row],[Sale Proceeds]] - SnapshotTable[[#This Row],[Sale Basis]], 0)</f>
        <v>0</v>
      </c>
      <c r="GJ346" s="27" t="str">
        <f>IF(SnapshotTable[[#This Row],[Sale G/L]]&gt;0, SnapshotTable[[#This Row],[Sale G/L]] / SnapshotTable[[#This Row],[Sale Basis]], IF(ISNUMBER(SnapshotTable[[#This Row],[SC Exercise P&amp;L (TAX)]]), SnapshotTable[[#This Row],[SC Exercise P&amp;L (TAX)]] / SnapshotTable[[#This Row],[SC Basis]], ""))</f>
        <v/>
      </c>
      <c r="GK346" s="27"/>
      <c r="GL346" s="43" t="str">
        <f>IF(AND(SnapshotTable[[#This Row],[LP Exp Date]]&gt;0,SnapshotTable[[#This Row],[LP Strike Price]]&gt;0), [1]!ToOptionSymbol(SnapshotTable[[#This Row],[Symbol]], SnapshotTable[[#This Row],[LP Strike Price]],SnapshotTable[[#This Row],[LP Exp Date]],1), "")</f>
        <v/>
      </c>
      <c r="GM346" s="30" t="str">
        <f>IF(LEN(SnapshotTable[[#This Row],[LP Symbol]])&gt;0, 1, "")</f>
        <v/>
      </c>
      <c r="GN346" s="43" t="str">
        <f>IF(AND(SnapshotTable[[#This Row],[SP Exp Date]]&gt;0,SnapshotTable[[#This Row],[SP Strike Price]]&gt;0), [1]!ToOptionSymbol(SnapshotTable[[#This Row],[Symbol]], SnapshotTable[[#This Row],[SP Strike Price]],SnapshotTable[[#This Row],[SP Exp Date]],1), "")</f>
        <v/>
      </c>
      <c r="GO346" s="30" t="str">
        <f>IF(LEN(SnapshotTable[[#This Row],[SP Symbol]])&gt;0, 1, "")</f>
        <v/>
      </c>
      <c r="GP346" s="43" t="str">
        <f>IF(AND(SnapshotTable[[#This Row],[LC Exp Date]]&gt;0,SnapshotTable[[#This Row],[LC Strike Price]]&gt;0), [1]!ToOptionSymbol(SnapshotTable[[#This Row],[Symbol]], SnapshotTable[[#This Row],[LC Strike Price]],SnapshotTable[[#This Row],[LC Exp Date]],0), "")</f>
        <v/>
      </c>
      <c r="GQ346" s="30" t="str">
        <f>IF(LEN(SnapshotTable[[#This Row],[LC Symbol]])&gt;0, 1, "")</f>
        <v/>
      </c>
      <c r="GR346" s="43" t="str">
        <f>IF(AND(SnapshotTable[[#This Row],[SC Exp Date]]&gt;0,SnapshotTable[[#This Row],[SC Strike Price]]&gt;0), [1]!ToOptionSymbol(SnapshotTable[[#This Row],[Symbol]], SnapshotTable[[#This Row],[SC Strike Price]],SnapshotTable[[#This Row],[SC Exp Date]],0), "")</f>
        <v/>
      </c>
      <c r="GS346" s="30" t="str">
        <f>IF(LEN(SnapshotTable[[#This Row],[SC Symbol]])&gt;0, 1, "")</f>
        <v/>
      </c>
      <c r="GT346" s="29" t="str">
        <f>IF(COUNT(SnapshotTable[[#This Row],[LP Symbol Count]],SnapshotTable[[#This Row],[SP Symbol Count]],SnapshotTable[[#This Row],[LC Symbol Count]],SnapshotTable[[#This Row],[SC Symbol Count]])&gt;0, "Y", "")</f>
        <v/>
      </c>
      <c r="GU34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46" s="231" t="e">
        <f>MAX(SnapshotTable[[#This Row],[Equity Basis Total]],SnapshotTable[[#This Row],[Equity Value]]) + (SnapshotTable[[#This Row],[SP Potential Spend]]- SnapshotTable[[#This Row],[SP Premium]] + SnapshotTable[[#This Row],[LP Premium]])+ (SnapshotTable[[#This Row],[LC Premium]] - SnapshotTable[[#This Row],[SC Premium]])</f>
        <v>#VALUE!</v>
      </c>
      <c r="GW346" s="139" t="e">
        <f>IF(AND(SnapshotTable[[#This Row],[Exposure]] &lt;&gt; 0),SnapshotTable[[#This Row],[Exposure]] / SnapshotTable[[#Totals],[Exposure]], "")</f>
        <v>#VALUE!</v>
      </c>
      <c r="HK346" s="1"/>
      <c r="HL346" s="1"/>
      <c r="HM346" s="1"/>
      <c r="HN346" s="1"/>
      <c r="HO346" s="1"/>
      <c r="HP346" s="1"/>
    </row>
    <row r="347" spans="2:224" ht="12.75" hidden="1" customHeight="1" x14ac:dyDescent="0.25">
      <c r="B347" s="12" t="s">
        <v>971</v>
      </c>
      <c r="C347" s="422">
        <v>21.55</v>
      </c>
      <c r="D347" s="208" t="s">
        <v>972</v>
      </c>
      <c r="E347" s="39">
        <f>SnapshotTable[[#This Row],[Last Price]]*(1 -CrashDiscount)</f>
        <v>18.317499999999999</v>
      </c>
      <c r="F347" s="26" t="s">
        <v>5</v>
      </c>
      <c r="G347" s="325" t="s">
        <v>4</v>
      </c>
      <c r="H347" s="149"/>
      <c r="I347" s="194">
        <v>44777.208333333336</v>
      </c>
      <c r="J347" s="195">
        <v>44777.208333333336</v>
      </c>
      <c r="K347" s="196"/>
      <c r="L347" s="326"/>
      <c r="M347" s="140"/>
      <c r="N347" s="140"/>
      <c r="O347" s="140"/>
      <c r="P347" s="22"/>
      <c r="Q347" s="25"/>
      <c r="R347" s="4" t="str">
        <f>IF(SnapshotTable[[#This Row],[Equity Basis Total]] &gt; 0, SnapshotTable[[#This Row],[Equity Basis Total]] / SnapshotTable[[#This Row],[Equity Shares]], "")</f>
        <v/>
      </c>
      <c r="S347" s="269">
        <f>SnapshotTable[[#This Row],[Last Price]] * SnapshotTable[[#This Row],[Equity Shares]]</f>
        <v>0</v>
      </c>
      <c r="T347" s="269">
        <f>SnapshotTable[[#This Row],[Equity Value]] - SnapshotTable[[#This Row],[Equity Basis Total]]</f>
        <v>0</v>
      </c>
      <c r="U347" s="270" t="str">
        <f>IF(SnapshotTable[[#This Row],[Equity Basis Total]] &gt; 0, SnapshotTable[[#This Row],[Equity G/L]] / SnapshotTable[[#This Row],[Equity Basis Total]], "")</f>
        <v/>
      </c>
      <c r="V347" s="268"/>
      <c r="W347" s="268"/>
      <c r="X347" s="4" t="str">
        <f>IF(AND(ISNUMBER(SnapshotTable[[#This Row],[Equity Basis Per Share]]),ISNUMBER(SnapshotTable[[#This Row],[Equity Target]])),SnapshotTable[[#This Row],[Equity Target]]-SnapshotTable[[#This Row],[Equity Basis Per Share]],"")</f>
        <v/>
      </c>
      <c r="Y347" s="4" t="str">
        <f>IF(AND(ISNUMBER(SnapshotTable[[#This Row],[Equity Basis Per Share]]),ISNUMBER(SnapshotTable[[#This Row],[Equity Stop Loss]])),SnapshotTable[[#This Row],[Equity Stop Loss]]-SnapshotTable[[#This Row],[Equity Basis Per Share]],"")</f>
        <v/>
      </c>
      <c r="Z347" s="275" t="str">
        <f>IFERROR( TEXT(SnapshotTable[[#This Row],[Equity Max Gain Per Share]] /ABS( SnapshotTable[[#This Row],[Equity Max Loss Per Share]]),"0.0 " ) &amp; " : 1", "")</f>
        <v/>
      </c>
      <c r="AA347" s="31" t="str">
        <f>IF(ISNUMBER(SnapshotTable[[#This Row],[Equity Max Gain Per Share]]),SnapshotTable[[#This Row],[Equity Max Gain Per Share]] * SnapshotTable[[#This Row],[Equity Shares]],"")</f>
        <v/>
      </c>
      <c r="AB347" s="31" t="str">
        <f>IF(ISNUMBER(SnapshotTable[[#This Row],[Equity Max Loss Per Share]]),SnapshotTable[[#This Row],[Equity Max Loss Per Share]] * SnapshotTable[[#This Row],[Equity Shares]],"")</f>
        <v/>
      </c>
      <c r="AC347" s="150"/>
      <c r="AD347" s="151"/>
      <c r="AE347" s="31">
        <f>(SnapshotTable[[#This Row],[Annual Dividend Per Share]] / 4) * SnapshotTable[[#This Row],[Equity Shares]]</f>
        <v>0</v>
      </c>
      <c r="AF347" s="31">
        <f>SnapshotTable[[#This Row],[Quarterly Div $]] * 4</f>
        <v>0</v>
      </c>
      <c r="AG347" s="7">
        <f>IF(SnapshotTable[[#This Row],[Annual Dividend Per Share]]&gt;0, SnapshotTable[[#This Row],[Annual Dividend Per Share]]  / SnapshotTable[[#This Row],[Last Price]], 0)</f>
        <v>0</v>
      </c>
      <c r="AH347" s="151"/>
      <c r="AI347" s="5"/>
      <c r="AJ347" s="138" t="s">
        <v>164</v>
      </c>
      <c r="AK347" s="152" t="str">
        <f>IF(ISNUMBER( SnapshotTable[[#This Row],[EBF Target]]),(SnapshotTable[[#This Row],[EBF Target]] - SnapshotTable[[#This Row],[Last Price]]) / SnapshotTable[[#This Row],[Last Price]], "")</f>
        <v/>
      </c>
      <c r="AL347" s="152" t="str">
        <f>IF(AND(SnapshotTable[[#This Row],[Equity Basis Total]] &gt; 0,ISNUMBER( SnapshotTable[[#This Row],[Long Term Target]])), SnapshotTable[[#This Row],[From Basis $]] / SnapshotTable[[#This Row],[Equity Basis Total]], "")</f>
        <v/>
      </c>
      <c r="AM347" s="9">
        <f>IF( AND(SnapshotTable[[#This Row],[Equity Shares]] &gt;0,ISNUMBER( SnapshotTable[[#This Row],[Long Term Target]])),(SnapshotTable[[#This Row],[Equity Shares]] * SnapshotTable[[#This Row],[Long Term Target]]) - SnapshotTable[[#This Row],[Equity Basis Total]],0)</f>
        <v>0</v>
      </c>
      <c r="AN347" s="9">
        <f>IF( AND(SnapshotTable[[#This Row],[Equity Shares]] &gt;0,ISNUMBER( SnapshotTable[[#This Row],[Long Term Target]])),(SnapshotTable[[#This Row],[Equity Shares]]*SnapshotTable[[#This Row],[Long Term Target]]) - SnapshotTable[[#This Row],[Equity Value]],0)</f>
        <v>0</v>
      </c>
      <c r="AO347" s="152" t="str">
        <f>IF(AND(ISNUMBER( SnapshotTable[[#This Row],[Long Term Target]]), ISNUMBER(SnapshotTable[[#This Row],[Last Price]])),(SnapshotTable[[#This Row],[Long Term Target]] - SnapshotTable[[#This Row],[Last Price]]) / SnapshotTable[[#This Row],[Last Price]], "")</f>
        <v/>
      </c>
      <c r="AP347" s="5">
        <v>23.5</v>
      </c>
      <c r="AQ347" s="38" t="s">
        <v>89</v>
      </c>
      <c r="AR347" s="5">
        <v>19.2</v>
      </c>
      <c r="AS347" s="38" t="s">
        <v>32</v>
      </c>
      <c r="AT347" s="146" t="s">
        <v>1132</v>
      </c>
      <c r="AU347" s="187" t="str">
        <f>IF(OR(SnapshotTable[[#This Row],[LP No Fill]]="Y",SnapshotTable[[#This Row],[SP Is Filled]],SnapshotTable[[#This Row],[LC Not Filled]]="Y",SnapshotTable[[#This Row],[SC Is Filled]]),"Y","")</f>
        <v/>
      </c>
      <c r="AV347" s="219"/>
      <c r="AW347" s="225"/>
      <c r="AX347" s="220"/>
      <c r="AY347" s="219" t="str">
        <f>IF(SnapshotTable[[#This Row],[Implied Move]]&gt;0, SnapshotTable[[#This Row],[Last Price]]-SnapshotTable[[#This Row],[Implied Move]],"")</f>
        <v/>
      </c>
      <c r="AZ347" s="219" t="str">
        <f>IF(SnapshotTable[[#This Row],[Implied Move]]&gt;0, SnapshotTable[[#This Row],[Last Price]] + SnapshotTable[[#This Row],[Implied Move]],"")</f>
        <v/>
      </c>
      <c r="BA347" s="331">
        <v>20.11</v>
      </c>
      <c r="BB347" s="347"/>
      <c r="BC34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7" s="351"/>
      <c r="BE347" s="5"/>
      <c r="BF347" s="14"/>
      <c r="BG347" s="13"/>
      <c r="BH347" s="13"/>
      <c r="BI347" s="5"/>
      <c r="BJ347" s="136">
        <f>IF(SnapshotTable[[#This Row],[LP Qty]] &gt; 0, SnapshotTable[[#This Row],[LP Qty]] * SnapshotTable[[#This Row],[LP Book Price]] * 100,0)</f>
        <v>0</v>
      </c>
      <c r="BK347" s="136">
        <f>IF(SnapshotTable[[#This Row],[LP Premium]] &gt; 0, SnapshotTable[[#This Row],[LP Qty]] * SnapshotTable[[#This Row],[LP Strike Price]] * 100,0)</f>
        <v>0</v>
      </c>
      <c r="BL347" s="154"/>
      <c r="BM347" s="385" t="str">
        <f>IF(SnapshotTable[[#This Row],[LP Premium]] &gt; 0,SnapshotTable[[#This Row],[LP Exp Date]]-MAX(SnapshotTable[[#This Row],[LP Book Date]], SnapshotTable[[#This Row],[LP Fill Date]]),"")</f>
        <v/>
      </c>
      <c r="BN347" s="385" t="str">
        <f>IF(ISNUMBER( SnapshotTable[[#This Row],[LP Term]]), SnapshotTable[[#This Row],[LP Exp Date]] - MockToday,"")</f>
        <v/>
      </c>
      <c r="BO347" s="163" t="str">
        <f>IF(AND(SnapshotTable[[#This Row],[LP Exp Date]]&gt;0, SnapshotTable[[#This Row],[LP Strike Price]]&gt;0,SnapshotTable[[#This Row],[LP Qty]]&gt;0,SnapshotTable[[#This Row],[LP Book Date]]&gt;0,SnapshotTable[[#This Row],[LP Book Price]]&gt;0,SnapshotTable[[#This Row],[LP Fill Date]]=0),"Y","")</f>
        <v/>
      </c>
      <c r="BP347" s="31" t="str">
        <f>IF(AND(SnapshotTable[[#This Row],[LP No Fill]]&lt;&gt;"Y",SnapshotTable[[#This Row],[LP Contract Value]]&gt;0, SnapshotTable[[#This Row],[LP Qty]]&gt;0), SnapshotTable[[#This Row],[LP Contract Value]]*SnapshotTable[[#This Row],[LP Qty]]*100,"")</f>
        <v/>
      </c>
      <c r="BQ347" s="13"/>
      <c r="BR347" s="5" t="str">
        <f>IF(SnapshotTable[[#This Row],[SP Exp Date]]&lt;&gt;"",TRUNC(SnapshotTable[[#This Row],[Last Price]]),"")</f>
        <v/>
      </c>
      <c r="BS347" s="36"/>
      <c r="BT347" s="147"/>
      <c r="BU347" s="13"/>
      <c r="BV347" s="5"/>
      <c r="BW347" s="419" t="b">
        <f>AND(ISNUMBER(SnapshotTable[[#This Row],[SP Exp Date]]), ISNUMBER(SnapshotTable[[#This Row],[SP Strike Price]]), ISNUMBER(SnapshotTable[[#This Row],[SP Qty]]), ISNUMBER(SnapshotTable[[#This Row],[SP Book Date]]), ISNUMBER(SnapshotTable[[#This Row],[SP Book Price]]))</f>
        <v>0</v>
      </c>
      <c r="BX347" s="419" t="b">
        <f>AND(SnapshotTable[[#This Row],[SP Is Booked]], NOT(ISBLANK(SnapshotTable[[#This Row],[SP Fill Date]])))</f>
        <v>0</v>
      </c>
      <c r="BY347" s="33">
        <f>IF(SnapshotTable[[#This Row],[SP Is Booked]], SnapshotTable[[#This Row],[SP Qty]] * SnapshotTable[[#This Row],[SP Book Price]] * 100, 0)</f>
        <v>0</v>
      </c>
      <c r="BZ347" s="369"/>
      <c r="CA347" s="368">
        <f>SnapshotTable[[#This Row],[LP Qty]]</f>
        <v>0</v>
      </c>
      <c r="CB347" s="4" t="str">
        <f>IF(SnapshotTable[[#This Row],[SP Is Booked]], SnapshotTable[[#This Row],[SP Strike Price]] - SnapshotTable[[#This Row],[SP Book Price]], "")</f>
        <v/>
      </c>
      <c r="CC347" s="19" t="str">
        <f>IF(SnapshotTable[[#This Row],[SP Is Booked]],SnapshotTable[[#This Row],[SP Exp Date]]-MAX(SnapshotTable[[#This Row],[SP Book Date]], SnapshotTable[[#This Row],[SP Fill Date]]),"")</f>
        <v/>
      </c>
      <c r="CD347" s="7" t="str">
        <f>IF(SnapshotTable[[#This Row],[SP Is Booked]], SnapshotTable[[#This Row],[SP Book Price]]/SnapshotTable[[#This Row],[SP Strike Price]], "")</f>
        <v/>
      </c>
      <c r="CE347" s="7" t="str">
        <f>IF(ISNUMBER(SnapshotTable[[#This Row],[SP ROO Term]]),SnapshotTable[[#This Row],[SP ROO Term]]*(365/SnapshotTable[[#This Row],[SP Term]]),"")</f>
        <v/>
      </c>
      <c r="CF347" s="236">
        <f>SnapshotTable[[#This Row],[LP Strike Price]] * SnapshotTable[[#This Row],[LP Qty]] * 100</f>
        <v>0</v>
      </c>
      <c r="CG347" s="31" t="e">
        <f>IF(ISNUMBER(SnapshotTable[[#This Row],[SP Premium]]), (SnapshotTable[[#This Row],[SP Qty]] * SnapshotTable[[#This Row],[SP Strike Price]]* 100) - SnapshotTable[[#This Row],[LP Protection]], 0)</f>
        <v>#VALUE!</v>
      </c>
      <c r="CH347" s="7" t="str">
        <f>IF(ISNUMBER(SnapshotTable[[#This Row],[SP Break Even]]),-1 * (SnapshotTable[[#This Row],[SP Break Even]] - SnapshotTable[[#This Row],[Last Price]]) / SnapshotTable[[#This Row],[Last Price]], "")</f>
        <v/>
      </c>
      <c r="CI347" s="31">
        <f>IF(AND(ISNUMBER((SnapshotTable[[#This Row],[SP Potential Spend]])), SnapshotTable[[#This Row],[SP Strike Price]] &gt; SnapshotTable[[#This Row],[Last Price]], SnapshotTable[[#This Row],[SP Is Filled]]), SnapshotTable[[#This Row],[SP Potential Spend]] -  SnapshotTable[[#This Row],[LP Max Value]], 0)</f>
        <v>0</v>
      </c>
      <c r="CJ347" s="244"/>
      <c r="CK347" s="31" t="str">
        <f>IF(ISNUMBER(SnapshotTable[[#This Row],[SP Potential Spend]]),IF(ISNUMBER(SnapshotTable[[#This Row],[SP POW]]), SnapshotTable[[#This Row],[SP POW]] * SnapshotTable[[#This Row],[SP Potential Spend]], SnapshotTable[[#This Row],[SP Potential Spend]]), "")</f>
        <v/>
      </c>
      <c r="CL347" s="164" t="e">
        <f>IF(NOT(SnapshotTable[[#This Row],[SP Is Filled]]),(SnapshotTable[[#This Row],[SP Qty]] * SnapshotTable[[#This Row],[SP Strike Price]] * 100) - SnapshotTable[[#This Row],[LP Max Value]],"")</f>
        <v>#VALUE!</v>
      </c>
      <c r="CM347" s="31" t="str">
        <f>IF(SnapshotTable[[#This Row],[SP Actual Spend]]&lt;&gt;0, ((SnapshotTable[[#This Row],[SP Strike Price]]-SnapshotTable[[#This Row],[Last Price]]) *(SnapshotTable[[#This Row],[SP Qty]]*100) - SnapshotTable[[#This Row],[SP Premium]]) * - 1, "")</f>
        <v/>
      </c>
      <c r="CN347" s="218"/>
      <c r="CO347" s="369"/>
      <c r="CP347" s="4" t="str">
        <f>IF(SnapshotTable[[#This Row],[SP Is Filled]], btc_max_buyback_amount(SnapshotTable[[#This Row],[SP Fill Date]],SnapshotTable[[#This Row],[SP Exp Date]], SnapshotTable[[#This Row],[SP Book Price]]),"")</f>
        <v/>
      </c>
      <c r="CQ347" s="78"/>
      <c r="CR34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7" s="155" t="str">
        <f>IF(SnapshotTable[[#This Row],[SP Is Filled]], btc_next_cutoff_date(SnapshotTable[[#This Row],[SP Fill Date]],SnapshotTable[[#This Row],[SP Exp Date]]),"")</f>
        <v/>
      </c>
      <c r="CT347" s="235" t="str" cm="1">
        <f t="array" ref="CT347">IF(SnapshotTable[[#This Row],[SP Is Filled]], btc_should_buy_back(SnapshotTable[[#This Row],[SP Fill Date]], SnapshotTable[[#This Row],[SP Exp Date]], SnapshotTable[[#This Row],[SP Book Price]], SnapshotTable[[#This Row],[SP Current Ask]], MockToday, SnapshotTable[[#This Row],[SP Buyback Override]]),"")</f>
        <v/>
      </c>
      <c r="CU347" s="143"/>
      <c r="CV347" s="235"/>
      <c r="CW347" s="378" t="str">
        <f>IF(ISNUMBER( SnapshotTable[[#This Row],[SP Term]]), SnapshotTable[[#This Row],[SP Exp Date]] - MockToday,"")</f>
        <v/>
      </c>
      <c r="CX347" s="31" t="str">
        <f>IF(SnapshotTable[[#This Row],[SP Is Filled]],SnapshotTable[[#This Row],[SP Buyback Price to Use]] * 100 * SnapshotTable[[#This Row],[SP Qty]], "")</f>
        <v/>
      </c>
      <c r="CY347" s="4" t="str">
        <f>IF(ISNUMBER(SnapshotTable[[#This Row],[SP Strike Price]]), SnapshotTable[[#This Row],[SP Strike Price]] * (1 - SP_MaxLoss_StrikePct), "")</f>
        <v/>
      </c>
      <c r="CZ347" s="31" t="str">
        <f>IF(ISNUMBER(SnapshotTable[[#This Row],[SP Strike  Stop Per Share]]),SnapshotTable[[#This Row],[SP Premium]] - ((SnapshotTable[[#This Row],[SP Strike Price]]-SnapshotTable[[#This Row],[SP Strike  Stop Per Share]]) *(SnapshotTable[[#This Row],[SP Qty]] * 100)),"")</f>
        <v/>
      </c>
      <c r="DA347" s="4" t="str">
        <f>IF(AND(ISNUMBER(SnapshotTable[[#This Row],[SP Premium]]),SnapshotTable[[#This Row],[SP Premium]]&gt;0), SnapshotTable[[#This Row],[SP Book Price]] * (1 + SP_MaxLoss_OptionPct), "")</f>
        <v/>
      </c>
      <c r="DB347" s="31" t="str">
        <f>IF(ISNUMBER(SnapshotTable[[#This Row],[SP Option  Stop Contract]]),(SnapshotTable[[#This Row],[SP Option  Stop Contract]] *(SnapshotTable[[#This Row],[SP Qty]] * 100) - SnapshotTable[[#This Row],[SP Premium]]),"")</f>
        <v/>
      </c>
      <c r="DC347" s="4"/>
      <c r="DD347" s="4"/>
      <c r="DE347" s="4" t="str">
        <f>IF(AND(SnapshotTable[[#This Row],[SP Qty]]&gt;0, SnapshotTable[[#This Row],[SP Stop To Use]]&gt;0),SnapshotTable[[#This Row],[SP Premium]] - ( SnapshotTable[[#This Row],[SP Qty]] * SnapshotTable[[#This Row],[SP Stop To Use]] * 100), "")</f>
        <v/>
      </c>
      <c r="DF347" s="31" t="str">
        <f>IF(AND(SnapshotTable[[#This Row],[SP Qty]]&gt;0,SnapshotTable[[#This Row],[SP Current Ask]]&gt;0), SnapshotTable[[#This Row],[SP Qty]] * SnapshotTable[[#This Row],[SP Current Ask]] * -100, "")</f>
        <v/>
      </c>
      <c r="DG347" s="31" t="str">
        <f>IF(ISNUMBER((SnapshotTable[[#This Row],[SP Total Value]])), SnapshotTable[[#This Row],[SP Premium]] + SnapshotTable[[#This Row],[SP Total Value]], "")</f>
        <v/>
      </c>
      <c r="DH347" s="294" t="str">
        <f>IF(ISNUMBER((SnapshotTable[[#This Row],[SP Total Value]])), SnapshotTable[[#This Row],[SP Gain Loss]] / SnapshotTable[[#This Row],[SP Premium]], "")</f>
        <v/>
      </c>
      <c r="DI347" s="406"/>
      <c r="DJ347" s="138"/>
      <c r="DK347" s="148"/>
      <c r="DL347" s="13"/>
      <c r="DM347" s="13"/>
      <c r="DO347" s="31">
        <f>IF(SnapshotTable[[#This Row],[LC Symbol Count]]=1, SnapshotTable[[#This Row],[LC Qty]] * SnapshotTable[[#This Row],[LC Book Price]] * 100, 0)</f>
        <v>0</v>
      </c>
      <c r="DP347" s="163" t="str">
        <f>IF(AND(SnapshotTable[[#This Row],[LC Exp Date]]&gt;0, SnapshotTable[[#This Row],[LC Strike Price]]&gt;0,SnapshotTable[[#This Row],[LC Qty]]&gt;0,SnapshotTable[[#This Row],[LC Book Date]]&gt;0,SnapshotTable[[#This Row],[LC Book Price]]&gt;0,SnapshotTable[[#This Row],[LC Fill Date]]=0),"Y","")</f>
        <v/>
      </c>
      <c r="DQ347" s="386" t="str">
        <f>IF(SnapshotTable[[#This Row],[LC Premium]] &gt; 0,SnapshotTable[[#This Row],[LC Exp Date]]-MAX(SnapshotTable[[#This Row],[LC Book Date]], SnapshotTable[[#This Row],[LC Fill Date]]),"")</f>
        <v/>
      </c>
      <c r="DR347" s="386" t="str">
        <f>IF(ISNUMBER(SnapshotTable[[#This Row],[LC Term]]), SnapshotTable[[#This Row],[LC Exp Date]] - MockToday, "")</f>
        <v/>
      </c>
      <c r="DS347" s="234" t="str">
        <f>IF(SnapshotTable[[#This Row],[LC Premium]]&gt;0,SnapshotTable[[#This Row],[LC Strike Price]] + SnapshotTable[[#This Row],[LC Book Price]],"")</f>
        <v/>
      </c>
      <c r="DU347" s="9" t="str">
        <f>IF(AND(SnapshotTable[[#This Row],[LC Symbol Count]]&gt;0, SnapshotTable[[#This Row],[LC Contract Value]]&gt;0), SnapshotTable[[#This Row],[LC Contract Value]] * SnapshotTable[[#This Row],[LC Qty]] * 100, "")</f>
        <v/>
      </c>
      <c r="DV347" s="9" t="str">
        <f>IF(AND(ISNUMBER(SnapshotTable[[#This Row],[LC Total Value]]), SnapshotTable[[#This Row],[LC Not Filled]]&lt;&gt;"Y"), SnapshotTable[[#This Row],[LC Total Value]]-SnapshotTable[[#This Row],[LC Premium]],"")</f>
        <v/>
      </c>
      <c r="DW347" s="240" t="str">
        <f>IF(ISNUMBER(SnapshotTable[[#This Row],[LC Actual Gain Loss]]), SnapshotTable[[#This Row],[LC Actual Gain Loss]] / SnapshotTable[[#This Row],[LC Premium]],"")</f>
        <v/>
      </c>
      <c r="DX347" s="284" t="str">
        <f>IF(ISNUMBER(SnapshotTable[[#This Row],[LC Book Price]]),SnapshotTable[[#This Row],[LC Book Price]] * 1.5,"")</f>
        <v/>
      </c>
      <c r="DY347" s="265" t="str">
        <f>IF(SnapshotTable[[#This Row],[LC Premium]]&gt;0, SnapshotTable[[#This Row],[LC Next Target]] * SnapshotTable[[#This Row],[LC Qty]] * 100,"")</f>
        <v/>
      </c>
      <c r="DZ347" s="265" t="str">
        <f>IF(ISNUMBER(SnapshotTable[[#This Row],[LC Target Gross]]), SnapshotTable[[#This Row],[LC Target Gross]] - SnapshotTable[[#This Row],[LC Premium]], "")</f>
        <v/>
      </c>
      <c r="EA347" s="305" t="str">
        <f>IF(ISNUMBER(SnapshotTable[[#This Row],[LC Target Gain Loss]]), SnapshotTable[[#This Row],[LC Target Gain Loss]]/SnapshotTable[[#This Row],[LC Premium]], "")</f>
        <v/>
      </c>
      <c r="EB347" s="262"/>
      <c r="EC347" s="283" t="str">
        <f>IF(SnapshotTable[[#This Row],[LC Premium]]&gt;0, SnapshotTable[[#This Row],[LC Book Price]] * (1 - LC_StopLoss_Pct),"")</f>
        <v/>
      </c>
      <c r="ED347" s="284"/>
      <c r="EE347" s="283" t="str">
        <f>IF(ISNUMBER(SnapshotTable[[#This Row],[LC Contract Value]]),IF(ISNUMBER(SnapshotTable[[#This Row],[LC Stop Loss Override]]), SnapshotTable[[#This Row],[LC Stop Loss Override]],SnapshotTable[[#This Row],[LC Stop Loss Calc Target]]),"")</f>
        <v/>
      </c>
      <c r="EF347" s="31" t="str">
        <f>IF(ISNUMBER(SnapshotTable[[#This Row],[LC Stop  To Use]]), (SnapshotTable[[#This Row],[LC Stop  To Use]] * SnapshotTable[[#This Row],[LC Qty]] * 100),"")</f>
        <v/>
      </c>
      <c r="EG347" s="9" t="str">
        <f>IF(ISNUMBER(SnapshotTable[[#This Row],[LC Total Value]]),SnapshotTable[[#This Row],[LC Stop Loss Amount]] - SnapshotTable[[#This Row],[LC Premium]],"")</f>
        <v/>
      </c>
      <c r="EH347" s="9">
        <f>IF(ISNUMBER(SnapshotTable[[#This Row],[LC Premium]]), SnapshotTable[[#This Row],[LC Qty]] * 100 * SnapshotTable[[#This Row],[LC Strike Price]], "")</f>
        <v>0</v>
      </c>
      <c r="EI347" s="240" t="str">
        <f>IF(AND(ISNUMBER(SnapshotTable[[#This Row],[LC Total Value]]),SnapshotTable[[#This Row],[LC Total Value]]&gt;0),SnapshotTable[[#This Row],[LC Stop Gain Loss]]  / SnapshotTable[[#This Row],[LC Premium]],"")</f>
        <v/>
      </c>
      <c r="EJ347" s="35">
        <f>IF(ISNUMBER(SnapshotTable[[#This Row],[Equity Shares]]),TRUNC(SnapshotTable[[#This Row],[Equity Shares]] / 100),0) + SnapshotTable[[#This Row],[LC Qty]]</f>
        <v>0</v>
      </c>
      <c r="EK347" s="147"/>
      <c r="EL347" s="138" t="str">
        <f>IF(SnapshotTable[[#This Row],[SC Exp Date]]&lt;&gt;"",TRUNC(SnapshotTable[[#This Row],[Last Price]]),"")</f>
        <v/>
      </c>
      <c r="EM347" s="148"/>
      <c r="EN347" s="147"/>
      <c r="EO347" s="147"/>
      <c r="EP347" s="138"/>
      <c r="EQ347" s="419" t="b">
        <f>AND(ISNUMBER(SnapshotTable[[#This Row],[SC Exp Date]]), ISNUMBER(SnapshotTable[[#This Row],[SC Strike Price]]), ISNUMBER(SnapshotTable[[#This Row],[SC Qty]]), ISNUMBER(SnapshotTable[[#This Row],[SC Book Date]]), ISNUMBER(SnapshotTable[[#This Row],[SC Book Price]]))</f>
        <v>0</v>
      </c>
      <c r="ER347" s="419" t="b">
        <f>AND(SnapshotTable[[#This Row],[SC Is Booked]], NOT(ISBLANK(SnapshotTable[[#This Row],[SC Fill Date]])))</f>
        <v>0</v>
      </c>
      <c r="ES347" s="370"/>
      <c r="ET347" s="34" t="str">
        <f>IF(AND(ISNUMBER(SnapshotTable[[#This Row],[SC Exp Date]]), ISNUMBER(SnapshotTable[[#This Row],[SC Book Date]])), SnapshotTable[[#This Row],[SC Exp Date]] - MAX(SnapshotTable[[#This Row],[SC Book Date]], SnapshotTable[[#This Row],[SC Fill Date]]) + 1, "")</f>
        <v/>
      </c>
      <c r="EU347" s="34" t="str">
        <f>IF(ISNUMBER(SnapshotTable[[#This Row],[SC Term]]), SnapshotTable[[#This Row],[SC Exp Date]]- MockToday, "")</f>
        <v/>
      </c>
      <c r="EV347" s="31">
        <f>IF(SnapshotTable[[#This Row],[SC Is Booked]], SnapshotTable[[#This Row],[SC Qty]] * SnapshotTable[[#This Row],[SC Book Price]] * 100, 0)</f>
        <v>0</v>
      </c>
      <c r="EW347" s="4" t="str">
        <f>IF(AND(ISNUMBER(SnapshotTable[[#This Row],[Last Price]]), ISNUMBER( SnapshotTable[[#This Row],[SC Book Price]])), SnapshotTable[[#This Row],[Last Price]] - SnapshotTable[[#This Row],[SC Book Price]],"")</f>
        <v/>
      </c>
      <c r="EX347" s="234" t="str">
        <f>IF(SnapshotTable[[#This Row],[SC Is Booked]],IF(SnapshotTable[[#This Row],[SC Intrinsic Value]] &gt; 0, SnapshotTable[[#This Row],[SC Strike Price]], SnapshotTable[[#This Row],[Last Price]]), "")</f>
        <v/>
      </c>
      <c r="EY347" s="4">
        <f>IF(SnapshotTable[[#This Row],[SC Is Booked]], (MinimumPremiumRequired * SnapshotTable[[#This Row],[SC Basis]] * SnapshotTable[[#This Row],[SC Term]]), 0)</f>
        <v>0</v>
      </c>
      <c r="EZ347" s="283"/>
      <c r="FA347" s="218"/>
      <c r="FB347" s="370"/>
      <c r="FC347" s="4">
        <f>IF(SnapshotTable[[#This Row],[SC Is Filled]], btc_max_buyback_amount(SnapshotTable[[#This Row],[SC Fill Date]],SnapshotTable[[#This Row],[SC Exp Date]], SnapshotTable[[#This Row],[SC Book Price]]),0)</f>
        <v>0</v>
      </c>
      <c r="FD347" s="5"/>
      <c r="FE347" s="144" t="str">
        <f>IF(SnapshotTable[[#This Row],[SC Is Filled]], btc_next_cutoff_date(SnapshotTable[[#This Row],[SC Fill Date]],SnapshotTable[[#This Row],[SC Exp Date]]),"")</f>
        <v/>
      </c>
      <c r="FF347" s="4" t="str" cm="1">
        <f t="array" ref="FF347">IF(SnapshotTable[[#This Row],[SC Is Filled]], btc_should_buy_back(SnapshotTable[[#This Row],[SC Fill Date]], SnapshotTable[[#This Row],[SC Exp Date]], SnapshotTable[[#This Row],[SC Book Price]], SnapshotTable[[#This Row],[SC Current Ask]], MockToday, SnapshotTable[[#This Row],[SC Buyback Override]]),"")</f>
        <v/>
      </c>
      <c r="FG347" s="4">
        <f>IF(SnapshotTable[[#This Row],[SC Is Filled]], MAX(0,SnapshotTable[[#This Row],[Last Price]]  - SnapshotTable[[#This Row],[SC Strike Price]]), 0)</f>
        <v>0</v>
      </c>
      <c r="FH347" s="382">
        <f>IF(SnapshotTable[[#This Row],[SC Is Filled]], IF(ISNUMBER(SnapshotTable[[#This Row],[SC Current Ask]]), SnapshotTable[[#This Row],[SC Current Ask]], SnapshotTable[[#This Row],[SC Book Price]]) - SnapshotTable[[#This Row],[SC Intrinsic Value]], 0)</f>
        <v>0</v>
      </c>
      <c r="FI347" s="143"/>
      <c r="FJ347" s="32" t="str">
        <f>IF(SnapshotTable[[#This Row],[SC Is Filled]],100 * SnapshotTable[[#This Row],[SC Qty]] * IF(ISNUMBER(SnapshotTable[[#This Row],[SC Buyback Override]]), SnapshotTable[[#This Row],[SC Buyback Override]], SnapshotTable[[#This Row],[SC Current Ask]]), "")</f>
        <v/>
      </c>
      <c r="FK347" s="250" t="str">
        <f>IF(SnapshotTable[[#This Row],[SC Time Val]]&gt;0, SnapshotTable[[#This Row],[SC Time Val]] / SnapshotTable[[#This Row],[Last Price]],"")</f>
        <v/>
      </c>
      <c r="FL347" s="302" t="str">
        <f>IF(SnapshotTable[[#This Row],[SC Is Booked]], ((SnapshotTable[[#This Row],[Last Price]] -SnapshotTable[[#This Row],[SC Strike Price]]) / SnapshotTable[[#This Row],[Last Price]]) * -1, "")</f>
        <v/>
      </c>
      <c r="FM347" s="157" t="str">
        <f>IF(SnapshotTable[[#This Row],[SC Is Booked]],  (SnapshotTable[[#This Row],[SC Qty]] * 100 * SnapshotTable[[#This Row],[SC Strike Price]]) - SnapshotTable[[#This Row],[SC Current Ask]], "")</f>
        <v/>
      </c>
      <c r="FN34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7" s="31" t="str">
        <f>IF(AND(ISNUMBER(SnapshotTable[[#This Row],[SC Exercise Gross]]), ISNUMBER(SnapshotTable[[#This Row],[Equity Basis Per Share]] )), SnapshotTable[[#This Row],[SC Exercise Gross]] - SnapshotTable[[#This Row],[Equity Basis Total]] +  SnapshotTable[[#This Row],[SC Premium]], "")</f>
        <v/>
      </c>
      <c r="FP347" s="5" t="str">
        <f>IF(ISNUMBER(SnapshotTable[[#This Row],[SC Exercise Gross]]), (SnapshotTable[[#This Row],[SC Exercise Gross]]) / (SnapshotTable[[#This Row],[SC Qty]] * 100), "")</f>
        <v/>
      </c>
      <c r="FQ347" s="27" t="str">
        <f>IF(SnapshotTable[[#This Row],[SC Is Booked]],SnapshotTable[[#This Row],[SC Time Val]] /SnapshotTable[[#This Row],[SC Basis]], "")</f>
        <v/>
      </c>
      <c r="FR347" s="27" t="str" cm="1">
        <f t="array" ref="FR347">IF(AND(ISNUMBER(SnapshotTable[[#This Row],[SC Term]]),ISNUMBER(SnapshotTable[[#This Row],[SC Simple ROO]])), EllmanAnnualize(SnapshotTable[[#This Row],[SC DTE]], SnapshotTable[[#This Row],[SC Simple ROO]] ),"")</f>
        <v/>
      </c>
      <c r="FS347" s="4" t="e">
        <f>IF(SnapshotTable[[#This Row],[SC Strike Price]] &gt; SnapshotTable[[#This Row],[Last Price]], SnapshotTable[[#This Row],[SC Strike Price]] - SnapshotTable[[#This Row],[Last Price]],0)</f>
        <v>#VALUE!</v>
      </c>
      <c r="FT347" s="27" t="e">
        <f>IF(AND(ISNUMBER(SnapshotTable[[#This Row],[SC Upside Potential]]), SnapshotTable[[#This Row],[SC Upside Potential]] &gt; 0),(SnapshotTable[[#This Row],[SC Upside Potential]]/ SnapshotTable[[#This Row],[ACB]]),"")</f>
        <v>#VALUE!</v>
      </c>
      <c r="FU347" s="333" t="str">
        <f>IF(SnapshotTable[[#This Row],[SC Intrinsic Value]] &gt; 0,SnapshotTable[[#This Row],[SC Intrinsic Value]],"")</f>
        <v/>
      </c>
      <c r="FV347" s="27" t="str">
        <f>IF(AND( ISNUMBER( SnapshotTable[[#This Row],[ACB]]),ISNUMBER(SnapshotTable[[#This Row],[SC Downside Protect]])),SnapshotTable[[#This Row],[SC Downside Protect]] / SnapshotTable[[#This Row],[ACB]],"")</f>
        <v/>
      </c>
      <c r="FW347" s="236" t="str">
        <f>IF(AND(ISNUMBER(SnapshotTable[[#This Row],[SC Simple ROO]]),SnapshotTable[[#This Row],[SC Simple ROO]] &gt; 0), SnapshotTable[[#This Row],[SC Premium]] + (SnapshotTable[[#This Row],[SC Qty]] * SnapshotTable[[#This Row],[SC Upside Potential]]), "")</f>
        <v/>
      </c>
      <c r="FX347" s="302" t="str" cm="1">
        <f t="array" ref="FX347">IF(ISNUMBER(SnapshotTable[[#This Row],[SC Max Dollars]]), annualize(SnapshotTable[[#This Row],[SC Term]],(SnapshotTable[[#This Row],[SC Max Dollars]]/SnapshotTable[[#This Row],[SC Basis]])),"")</f>
        <v/>
      </c>
      <c r="FY347" s="236" t="str">
        <f>IF(AND(SnapshotTable[[#This Row],[SC Qty]]&gt;0,SnapshotTable[[#This Row],[SC Current Ask]]&gt;0), SnapshotTable[[#This Row],[SC Qty]] * SnapshotTable[[#This Row],[SC Current Ask]] * -100, "")</f>
        <v/>
      </c>
      <c r="FZ347" s="31" t="str">
        <f>IF(ISNUMBER((SnapshotTable[[#This Row],[SC Current Value]])), SnapshotTable[[#This Row],[SC Premium]] + SnapshotTable[[#This Row],[SC Current Value]], "")</f>
        <v/>
      </c>
      <c r="GA347" s="294" t="str">
        <f>IFERROR( IF(ISNUMBER((SnapshotTable[[#This Row],[SC Current Value]])), SnapshotTable[[#This Row],[SC Gain Loss]] / SnapshotTable[[#This Row],[SC Premium]], ""), "")</f>
        <v/>
      </c>
      <c r="GB347" s="42">
        <f>SnapshotTable[[#This Row],[Equity Shares]] * SaleSharesToConsiderPercentage</f>
        <v>0</v>
      </c>
      <c r="GC347" s="40" t="e">
        <f>SnapshotTable[[#This Row],[Long Term Target]] * SellingPriceToConsiderBasedOnTargetPercentage</f>
        <v>#VALUE!</v>
      </c>
      <c r="GD347" s="40">
        <f>SnapshotTable[[#This Row],[Last Price]] * (1+ SellingPriceToConsiderBasedOnTargetPercentage)</f>
        <v>42.022500000000001</v>
      </c>
      <c r="GE347" s="41"/>
      <c r="GF347" s="40"/>
      <c r="GG347" s="31">
        <f>SnapshotTable[[#This Row],[Booked Sale Shares]] * SnapshotTable[[#This Row],[Booked Sale Price]]</f>
        <v>0</v>
      </c>
      <c r="GH347" s="31" t="str">
        <f>IF(SnapshotTable[[#This Row],[Equity Basis Total]] &gt; 0, SnapshotTable[[#This Row],[Equity Basis Per Share]] * SnapshotTable[[#This Row],[Booked Sale Shares]], "")</f>
        <v/>
      </c>
      <c r="GI347" s="31">
        <f>IF(SnapshotTable[[#This Row],[Sale Proceeds]]&gt;0, SnapshotTable[[#This Row],[Sale Proceeds]] - SnapshotTable[[#This Row],[Sale Basis]], 0)</f>
        <v>0</v>
      </c>
      <c r="GJ347" s="27" t="str">
        <f>IF(SnapshotTable[[#This Row],[Sale G/L]]&gt;0, SnapshotTable[[#This Row],[Sale G/L]] / SnapshotTable[[#This Row],[Sale Basis]], IF(ISNUMBER(SnapshotTable[[#This Row],[SC Exercise P&amp;L (TAX)]]), SnapshotTable[[#This Row],[SC Exercise P&amp;L (TAX)]] / SnapshotTable[[#This Row],[SC Basis]], ""))</f>
        <v/>
      </c>
      <c r="GK347" s="27"/>
      <c r="GL347" s="43" t="str">
        <f>IF(AND(SnapshotTable[[#This Row],[LP Exp Date]]&gt;0,SnapshotTable[[#This Row],[LP Strike Price]]&gt;0), [1]!ToOptionSymbol(SnapshotTable[[#This Row],[Symbol]], SnapshotTable[[#This Row],[LP Strike Price]],SnapshotTable[[#This Row],[LP Exp Date]],1), "")</f>
        <v/>
      </c>
      <c r="GM347" s="30" t="str">
        <f>IF(LEN(SnapshotTable[[#This Row],[LP Symbol]])&gt;0, 1, "")</f>
        <v/>
      </c>
      <c r="GN347" s="43" t="str">
        <f>IF(AND(SnapshotTable[[#This Row],[SP Exp Date]]&gt;0,SnapshotTable[[#This Row],[SP Strike Price]]&gt;0), [1]!ToOptionSymbol(SnapshotTable[[#This Row],[Symbol]], SnapshotTable[[#This Row],[SP Strike Price]],SnapshotTable[[#This Row],[SP Exp Date]],1), "")</f>
        <v/>
      </c>
      <c r="GO347" s="30" t="str">
        <f>IF(LEN(SnapshotTable[[#This Row],[SP Symbol]])&gt;0, 1, "")</f>
        <v/>
      </c>
      <c r="GP347" s="43" t="str">
        <f>IF(AND(SnapshotTable[[#This Row],[LC Exp Date]]&gt;0,SnapshotTable[[#This Row],[LC Strike Price]]&gt;0), [1]!ToOptionSymbol(SnapshotTable[[#This Row],[Symbol]], SnapshotTable[[#This Row],[LC Strike Price]],SnapshotTable[[#This Row],[LC Exp Date]],0), "")</f>
        <v/>
      </c>
      <c r="GQ347" s="30" t="str">
        <f>IF(LEN(SnapshotTable[[#This Row],[LC Symbol]])&gt;0, 1, "")</f>
        <v/>
      </c>
      <c r="GR347" s="43" t="str">
        <f>IF(AND(SnapshotTable[[#This Row],[SC Exp Date]]&gt;0,SnapshotTable[[#This Row],[SC Strike Price]]&gt;0), [1]!ToOptionSymbol(SnapshotTable[[#This Row],[Symbol]], SnapshotTable[[#This Row],[SC Strike Price]],SnapshotTable[[#This Row],[SC Exp Date]],0), "")</f>
        <v/>
      </c>
      <c r="GS347" s="30" t="str">
        <f>IF(LEN(SnapshotTable[[#This Row],[SC Symbol]])&gt;0, 1, "")</f>
        <v/>
      </c>
      <c r="GT347" s="29" t="str">
        <f>IF(COUNT(SnapshotTable[[#This Row],[LP Symbol Count]],SnapshotTable[[#This Row],[SP Symbol Count]],SnapshotTable[[#This Row],[LC Symbol Count]],SnapshotTable[[#This Row],[SC Symbol Count]])&gt;0, "Y", "")</f>
        <v/>
      </c>
      <c r="GU34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47" s="231" t="e">
        <f>MAX(SnapshotTable[[#This Row],[Equity Basis Total]],SnapshotTable[[#This Row],[Equity Value]]) + (SnapshotTable[[#This Row],[SP Potential Spend]]- SnapshotTable[[#This Row],[SP Premium]] + SnapshotTable[[#This Row],[LP Premium]])+ (SnapshotTable[[#This Row],[LC Premium]] - SnapshotTable[[#This Row],[SC Premium]])</f>
        <v>#VALUE!</v>
      </c>
      <c r="GW347" s="139" t="e">
        <f>IF(AND(SnapshotTable[[#This Row],[Exposure]] &lt;&gt; 0),SnapshotTable[[#This Row],[Exposure]] / SnapshotTable[[#Totals],[Exposure]], "")</f>
        <v>#VALUE!</v>
      </c>
      <c r="HK347" s="1"/>
      <c r="HL347" s="1"/>
      <c r="HM347" s="1"/>
      <c r="HN347" s="1"/>
      <c r="HO347" s="1"/>
      <c r="HP347" s="1"/>
    </row>
    <row r="348" spans="2:224" ht="12.75" hidden="1" customHeight="1" x14ac:dyDescent="0.25">
      <c r="B348" s="12" t="s">
        <v>37</v>
      </c>
      <c r="C348" s="422">
        <v>44.29</v>
      </c>
      <c r="D348" s="208"/>
      <c r="E348" s="39">
        <f>SnapshotTable[[#This Row],[Last Price]]*(1 -CrashDiscount)</f>
        <v>37.646499999999996</v>
      </c>
      <c r="F348" s="26" t="s">
        <v>36</v>
      </c>
      <c r="G348" s="26" t="s">
        <v>9</v>
      </c>
      <c r="H348" s="149"/>
      <c r="I348" s="194">
        <v>44764.3125</v>
      </c>
      <c r="J348" s="195">
        <v>44764.3125</v>
      </c>
      <c r="K348" s="196"/>
      <c r="L348" s="326"/>
      <c r="M348" s="140"/>
      <c r="N348" s="140"/>
      <c r="O348" s="140">
        <v>6</v>
      </c>
      <c r="P348" s="22"/>
      <c r="Q348" s="25"/>
      <c r="R348" s="4" t="str">
        <f>IF(SnapshotTable[[#This Row],[Equity Basis Total]] &gt; 0, SnapshotTable[[#This Row],[Equity Basis Total]] / SnapshotTable[[#This Row],[Equity Shares]], "")</f>
        <v/>
      </c>
      <c r="S348" s="269">
        <f>SnapshotTable[[#This Row],[Last Price]] * SnapshotTable[[#This Row],[Equity Shares]]</f>
        <v>0</v>
      </c>
      <c r="T348" s="269">
        <f>SnapshotTable[[#This Row],[Equity Value]] - SnapshotTable[[#This Row],[Equity Basis Total]]</f>
        <v>0</v>
      </c>
      <c r="U348" s="270" t="str">
        <f>IF(SnapshotTable[[#This Row],[Equity Basis Total]] &gt; 0, SnapshotTable[[#This Row],[Equity G/L]] / SnapshotTable[[#This Row],[Equity Basis Total]], "")</f>
        <v/>
      </c>
      <c r="V348" s="268"/>
      <c r="W348" s="268"/>
      <c r="X348" s="4" t="str">
        <f>IF(AND(ISNUMBER(SnapshotTable[[#This Row],[Equity Basis Per Share]]),ISNUMBER(SnapshotTable[[#This Row],[Equity Target]])),SnapshotTable[[#This Row],[Equity Target]]-SnapshotTable[[#This Row],[Equity Basis Per Share]],"")</f>
        <v/>
      </c>
      <c r="Y348" s="4" t="str">
        <f>IF(AND(ISNUMBER(SnapshotTable[[#This Row],[Equity Basis Per Share]]),ISNUMBER(SnapshotTable[[#This Row],[Equity Stop Loss]])),SnapshotTable[[#This Row],[Equity Stop Loss]]-SnapshotTable[[#This Row],[Equity Basis Per Share]],"")</f>
        <v/>
      </c>
      <c r="Z348" s="275" t="str">
        <f>IFERROR( TEXT(SnapshotTable[[#This Row],[Equity Max Gain Per Share]] /ABS( SnapshotTable[[#This Row],[Equity Max Loss Per Share]]),"0.0 " ) &amp; " : 1", "")</f>
        <v/>
      </c>
      <c r="AA348" s="31" t="str">
        <f>IF(ISNUMBER(SnapshotTable[[#This Row],[Equity Max Gain Per Share]]),SnapshotTable[[#This Row],[Equity Max Gain Per Share]] * SnapshotTable[[#This Row],[Equity Shares]],"")</f>
        <v/>
      </c>
      <c r="AB348" s="31" t="str">
        <f>IF(ISNUMBER(SnapshotTable[[#This Row],[Equity Max Loss Per Share]]),SnapshotTable[[#This Row],[Equity Max Loss Per Share]] * SnapshotTable[[#This Row],[Equity Shares]],"")</f>
        <v/>
      </c>
      <c r="AC348" s="150">
        <v>0.2</v>
      </c>
      <c r="AD348" s="151" t="s">
        <v>2</v>
      </c>
      <c r="AE348" s="31">
        <f>(SnapshotTable[[#This Row],[Annual Dividend Per Share]] / 4) * SnapshotTable[[#This Row],[Equity Shares]]</f>
        <v>0</v>
      </c>
      <c r="AF348" s="31">
        <f>SnapshotTable[[#This Row],[Quarterly Div $]] * 4</f>
        <v>0</v>
      </c>
      <c r="AG348" s="7">
        <f>IF(SnapshotTable[[#This Row],[Annual Dividend Per Share]]&gt;0, SnapshotTable[[#This Row],[Annual Dividend Per Share]]  / SnapshotTable[[#This Row],[Last Price]], 0)</f>
        <v>4.5156920298035676E-3</v>
      </c>
      <c r="AH348" s="151" t="s">
        <v>2</v>
      </c>
      <c r="AI348" s="5"/>
      <c r="AJ348" s="138">
        <v>59.96</v>
      </c>
      <c r="AK348" s="152" t="str">
        <f>IF(ISNUMBER( SnapshotTable[[#This Row],[EBF Target]]),(SnapshotTable[[#This Row],[EBF Target]] - SnapshotTable[[#This Row],[Last Price]]) / SnapshotTable[[#This Row],[Last Price]], "")</f>
        <v/>
      </c>
      <c r="AL348" s="152" t="str">
        <f>IF(AND(SnapshotTable[[#This Row],[Equity Basis Total]] &gt; 0,ISNUMBER( SnapshotTable[[#This Row],[Long Term Target]])), SnapshotTable[[#This Row],[From Basis $]] / SnapshotTable[[#This Row],[Equity Basis Total]], "")</f>
        <v/>
      </c>
      <c r="AM348" s="9">
        <f>IF( AND(SnapshotTable[[#This Row],[Equity Shares]] &gt;0,ISNUMBER( SnapshotTable[[#This Row],[Long Term Target]])),(SnapshotTable[[#This Row],[Equity Shares]] * SnapshotTable[[#This Row],[Long Term Target]]) - SnapshotTable[[#This Row],[Equity Basis Total]],0)</f>
        <v>0</v>
      </c>
      <c r="AN348" s="9">
        <f>IF( AND(SnapshotTable[[#This Row],[Equity Shares]] &gt;0,ISNUMBER( SnapshotTable[[#This Row],[Long Term Target]])),(SnapshotTable[[#This Row],[Equity Shares]]*SnapshotTable[[#This Row],[Long Term Target]]) - SnapshotTable[[#This Row],[Equity Value]],0)</f>
        <v>0</v>
      </c>
      <c r="AO348" s="152">
        <f>IF(AND(ISNUMBER( SnapshotTable[[#This Row],[Long Term Target]]), ISNUMBER(SnapshotTable[[#This Row],[Last Price]])),(SnapshotTable[[#This Row],[Long Term Target]] - SnapshotTable[[#This Row],[Last Price]]) / SnapshotTable[[#This Row],[Last Price]], "")</f>
        <v>0.35380447053510955</v>
      </c>
      <c r="AP348" s="5"/>
      <c r="AQ348" s="38"/>
      <c r="AR348" s="5"/>
      <c r="AS348" s="38"/>
      <c r="AT348" s="146"/>
      <c r="AU348" s="187" t="str">
        <f>IF(OR(SnapshotTable[[#This Row],[LP No Fill]]="Y",SnapshotTable[[#This Row],[SP Is Filled]],SnapshotTable[[#This Row],[LC Not Filled]]="Y",SnapshotTable[[#This Row],[SC Is Filled]]),"Y","")</f>
        <v/>
      </c>
      <c r="AV348" s="219"/>
      <c r="AW348" s="225"/>
      <c r="AX348" s="220"/>
      <c r="AY348" s="219" t="str">
        <f>IF(SnapshotTable[[#This Row],[Implied Move]]&gt;0, SnapshotTable[[#This Row],[Last Price]]-SnapshotTable[[#This Row],[Implied Move]],"")</f>
        <v/>
      </c>
      <c r="AZ348" s="219" t="str">
        <f>IF(SnapshotTable[[#This Row],[Implied Move]]&gt;0, SnapshotTable[[#This Row],[Last Price]] + SnapshotTable[[#This Row],[Implied Move]],"")</f>
        <v/>
      </c>
      <c r="BA348" s="331"/>
      <c r="BB348" s="347"/>
      <c r="BC34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8" s="351"/>
      <c r="BE348" s="5"/>
      <c r="BF348" s="14"/>
      <c r="BG348" s="13"/>
      <c r="BH348" s="13"/>
      <c r="BI348" s="5"/>
      <c r="BJ348" s="136">
        <f>IF(SnapshotTable[[#This Row],[LP Qty]] &gt; 0, SnapshotTable[[#This Row],[LP Qty]] * SnapshotTable[[#This Row],[LP Book Price]] * 100,0)</f>
        <v>0</v>
      </c>
      <c r="BK348" s="136">
        <f>IF(SnapshotTable[[#This Row],[LP Premium]] &gt; 0, SnapshotTable[[#This Row],[LP Qty]] * SnapshotTable[[#This Row],[LP Strike Price]] * 100,0)</f>
        <v>0</v>
      </c>
      <c r="BL348" s="154"/>
      <c r="BM348" s="385" t="str">
        <f>IF(SnapshotTable[[#This Row],[LP Premium]] &gt; 0,SnapshotTable[[#This Row],[LP Exp Date]]-MAX(SnapshotTable[[#This Row],[LP Book Date]], SnapshotTable[[#This Row],[LP Fill Date]]),"")</f>
        <v/>
      </c>
      <c r="BN348" s="385" t="str">
        <f>IF(ISNUMBER( SnapshotTable[[#This Row],[LP Term]]), SnapshotTable[[#This Row],[LP Exp Date]] - MockToday,"")</f>
        <v/>
      </c>
      <c r="BO348" s="163" t="str">
        <f>IF(AND(SnapshotTable[[#This Row],[LP Exp Date]]&gt;0, SnapshotTable[[#This Row],[LP Strike Price]]&gt;0,SnapshotTable[[#This Row],[LP Qty]]&gt;0,SnapshotTable[[#This Row],[LP Book Date]]&gt;0,SnapshotTable[[#This Row],[LP Book Price]]&gt;0,SnapshotTable[[#This Row],[LP Fill Date]]=0),"Y","")</f>
        <v/>
      </c>
      <c r="BP348" s="31" t="str">
        <f>IF(AND(SnapshotTable[[#This Row],[LP No Fill]]&lt;&gt;"Y",SnapshotTable[[#This Row],[LP Contract Value]]&gt;0, SnapshotTable[[#This Row],[LP Qty]]&gt;0), SnapshotTable[[#This Row],[LP Contract Value]]*SnapshotTable[[#This Row],[LP Qty]]*100,"")</f>
        <v/>
      </c>
      <c r="BQ348" s="13"/>
      <c r="BR348" s="5" t="str">
        <f>IF(SnapshotTable[[#This Row],[SP Exp Date]]&lt;&gt;"",TRUNC(SnapshotTable[[#This Row],[Last Price]]),"")</f>
        <v/>
      </c>
      <c r="BS348" s="36"/>
      <c r="BT348" s="147"/>
      <c r="BU348" s="13"/>
      <c r="BV348" s="5"/>
      <c r="BW348" s="419" t="b">
        <f>AND(ISNUMBER(SnapshotTable[[#This Row],[SP Exp Date]]), ISNUMBER(SnapshotTable[[#This Row],[SP Strike Price]]), ISNUMBER(SnapshotTable[[#This Row],[SP Qty]]), ISNUMBER(SnapshotTable[[#This Row],[SP Book Date]]), ISNUMBER(SnapshotTable[[#This Row],[SP Book Price]]))</f>
        <v>0</v>
      </c>
      <c r="BX348" s="419" t="b">
        <f>AND(SnapshotTable[[#This Row],[SP Is Booked]], NOT(ISBLANK(SnapshotTable[[#This Row],[SP Fill Date]])))</f>
        <v>0</v>
      </c>
      <c r="BY348" s="33">
        <f>IF(SnapshotTable[[#This Row],[SP Is Booked]], SnapshotTable[[#This Row],[SP Qty]] * SnapshotTable[[#This Row],[SP Book Price]] * 100, 0)</f>
        <v>0</v>
      </c>
      <c r="BZ348" s="369"/>
      <c r="CA348" s="368">
        <f>SnapshotTable[[#This Row],[LP Qty]]</f>
        <v>0</v>
      </c>
      <c r="CB348" s="4" t="str">
        <f>IF(SnapshotTable[[#This Row],[SP Is Booked]], SnapshotTable[[#This Row],[SP Strike Price]] - SnapshotTable[[#This Row],[SP Book Price]], "")</f>
        <v/>
      </c>
      <c r="CC348" s="19" t="str">
        <f>IF(SnapshotTable[[#This Row],[SP Is Booked]],SnapshotTable[[#This Row],[SP Exp Date]]-MAX(SnapshotTable[[#This Row],[SP Book Date]], SnapshotTable[[#This Row],[SP Fill Date]]),"")</f>
        <v/>
      </c>
      <c r="CD348" s="7" t="str">
        <f>IF(SnapshotTable[[#This Row],[SP Is Booked]], SnapshotTable[[#This Row],[SP Book Price]]/SnapshotTable[[#This Row],[SP Strike Price]], "")</f>
        <v/>
      </c>
      <c r="CE348" s="7" t="str">
        <f>IF(ISNUMBER(SnapshotTable[[#This Row],[SP ROO Term]]),SnapshotTable[[#This Row],[SP ROO Term]]*(365/SnapshotTable[[#This Row],[SP Term]]),"")</f>
        <v/>
      </c>
      <c r="CF348" s="236">
        <f>SnapshotTable[[#This Row],[LP Strike Price]] * SnapshotTable[[#This Row],[LP Qty]] * 100</f>
        <v>0</v>
      </c>
      <c r="CG348" s="31" t="e">
        <f>IF(ISNUMBER(SnapshotTable[[#This Row],[SP Premium]]), (SnapshotTable[[#This Row],[SP Qty]] * SnapshotTable[[#This Row],[SP Strike Price]]* 100) - SnapshotTable[[#This Row],[LP Protection]], 0)</f>
        <v>#VALUE!</v>
      </c>
      <c r="CH348" s="7" t="str">
        <f>IF(ISNUMBER(SnapshotTable[[#This Row],[SP Break Even]]),-1 * (SnapshotTable[[#This Row],[SP Break Even]] - SnapshotTable[[#This Row],[Last Price]]) / SnapshotTable[[#This Row],[Last Price]], "")</f>
        <v/>
      </c>
      <c r="CI348" s="31">
        <f>IF(AND(ISNUMBER((SnapshotTable[[#This Row],[SP Potential Spend]])), SnapshotTable[[#This Row],[SP Strike Price]] &gt; SnapshotTable[[#This Row],[Last Price]], SnapshotTable[[#This Row],[SP Is Filled]]), SnapshotTable[[#This Row],[SP Potential Spend]] -  SnapshotTable[[#This Row],[LP Max Value]], 0)</f>
        <v>0</v>
      </c>
      <c r="CJ348" s="244"/>
      <c r="CK348" s="31" t="str">
        <f>IF(ISNUMBER(SnapshotTable[[#This Row],[SP Potential Spend]]),IF(ISNUMBER(SnapshotTable[[#This Row],[SP POW]]), SnapshotTable[[#This Row],[SP POW]] * SnapshotTable[[#This Row],[SP Potential Spend]], SnapshotTable[[#This Row],[SP Potential Spend]]), "")</f>
        <v/>
      </c>
      <c r="CL348" s="164" t="e">
        <f>IF(NOT(SnapshotTable[[#This Row],[SP Is Filled]]),(SnapshotTable[[#This Row],[SP Qty]] * SnapshotTable[[#This Row],[SP Strike Price]] * 100) - SnapshotTable[[#This Row],[LP Max Value]],"")</f>
        <v>#VALUE!</v>
      </c>
      <c r="CM348" s="31" t="str">
        <f>IF(SnapshotTable[[#This Row],[SP Actual Spend]]&lt;&gt;0, ((SnapshotTable[[#This Row],[SP Strike Price]]-SnapshotTable[[#This Row],[Last Price]]) *(SnapshotTable[[#This Row],[SP Qty]]*100) - SnapshotTable[[#This Row],[SP Premium]]) * - 1, "")</f>
        <v/>
      </c>
      <c r="CN348" s="78"/>
      <c r="CO348" s="369"/>
      <c r="CP348" s="4" t="str">
        <f>IF(SnapshotTable[[#This Row],[SP Is Filled]], btc_max_buyback_amount(SnapshotTable[[#This Row],[SP Fill Date]],SnapshotTable[[#This Row],[SP Exp Date]], SnapshotTable[[#This Row],[SP Book Price]]),"")</f>
        <v/>
      </c>
      <c r="CQ348" s="78"/>
      <c r="CR34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8" s="155" t="str">
        <f>IF(SnapshotTable[[#This Row],[SP Is Filled]], btc_next_cutoff_date(SnapshotTable[[#This Row],[SP Fill Date]],SnapshotTable[[#This Row],[SP Exp Date]]),"")</f>
        <v/>
      </c>
      <c r="CT348" s="235" t="str" cm="1">
        <f t="array" ref="CT348">IF(SnapshotTable[[#This Row],[SP Is Filled]], btc_should_buy_back(SnapshotTable[[#This Row],[SP Fill Date]], SnapshotTable[[#This Row],[SP Exp Date]], SnapshotTable[[#This Row],[SP Book Price]], SnapshotTable[[#This Row],[SP Current Ask]], MockToday, SnapshotTable[[#This Row],[SP Buyback Override]]),"")</f>
        <v/>
      </c>
      <c r="CU348" s="143"/>
      <c r="CV348" s="235"/>
      <c r="CW348" s="378" t="str">
        <f>IF(ISNUMBER( SnapshotTable[[#This Row],[SP Term]]), SnapshotTable[[#This Row],[SP Exp Date]] - MockToday,"")</f>
        <v/>
      </c>
      <c r="CX348" s="31" t="str">
        <f>IF(SnapshotTable[[#This Row],[SP Is Filled]],SnapshotTable[[#This Row],[SP Buyback Price to Use]] * 100 * SnapshotTable[[#This Row],[SP Qty]], "")</f>
        <v/>
      </c>
      <c r="CY348" s="4" t="str">
        <f>IF(ISNUMBER(SnapshotTable[[#This Row],[SP Strike Price]]), SnapshotTable[[#This Row],[SP Strike Price]] * (1 - SP_MaxLoss_StrikePct), "")</f>
        <v/>
      </c>
      <c r="CZ348" s="31" t="str">
        <f>IF(ISNUMBER(SnapshotTable[[#This Row],[SP Strike  Stop Per Share]]),SnapshotTable[[#This Row],[SP Premium]] - ((SnapshotTable[[#This Row],[SP Strike Price]]-SnapshotTable[[#This Row],[SP Strike  Stop Per Share]]) *(SnapshotTable[[#This Row],[SP Qty]] * 100)),"")</f>
        <v/>
      </c>
      <c r="DA348" s="4" t="str">
        <f>IF(AND(ISNUMBER(SnapshotTable[[#This Row],[SP Premium]]),SnapshotTable[[#This Row],[SP Premium]]&gt;0), SnapshotTable[[#This Row],[SP Book Price]] * (1 + SP_MaxLoss_OptionPct), "")</f>
        <v/>
      </c>
      <c r="DB348" s="31" t="str">
        <f>IF(ISNUMBER(SnapshotTable[[#This Row],[SP Option  Stop Contract]]),(SnapshotTable[[#This Row],[SP Option  Stop Contract]] *(SnapshotTable[[#This Row],[SP Qty]] * 100) - SnapshotTable[[#This Row],[SP Premium]]),"")</f>
        <v/>
      </c>
      <c r="DC348" s="4"/>
      <c r="DD348" s="4"/>
      <c r="DE348" s="4" t="str">
        <f>IF(AND(SnapshotTable[[#This Row],[SP Qty]]&gt;0, SnapshotTable[[#This Row],[SP Stop To Use]]&gt;0),SnapshotTable[[#This Row],[SP Premium]] - ( SnapshotTable[[#This Row],[SP Qty]] * SnapshotTable[[#This Row],[SP Stop To Use]] * 100), "")</f>
        <v/>
      </c>
      <c r="DF348" s="31" t="str">
        <f>IF(AND(SnapshotTable[[#This Row],[SP Qty]]&gt;0,SnapshotTable[[#This Row],[SP Current Ask]]&gt;0), SnapshotTable[[#This Row],[SP Qty]] * SnapshotTable[[#This Row],[SP Current Ask]] * -100, "")</f>
        <v/>
      </c>
      <c r="DG348" s="31" t="str">
        <f>IF(ISNUMBER((SnapshotTable[[#This Row],[SP Total Value]])), SnapshotTable[[#This Row],[SP Premium]] + SnapshotTable[[#This Row],[SP Total Value]], "")</f>
        <v/>
      </c>
      <c r="DH348" s="294" t="str">
        <f>IF(ISNUMBER((SnapshotTable[[#This Row],[SP Total Value]])), SnapshotTable[[#This Row],[SP Gain Loss]] / SnapshotTable[[#This Row],[SP Premium]], "")</f>
        <v/>
      </c>
      <c r="DI348" s="406"/>
      <c r="DJ348" s="138"/>
      <c r="DK348" s="148"/>
      <c r="DL348" s="13"/>
      <c r="DM348" s="13"/>
      <c r="DO348" s="31">
        <f>IF(SnapshotTable[[#This Row],[LC Symbol Count]]=1, SnapshotTable[[#This Row],[LC Qty]] * SnapshotTable[[#This Row],[LC Book Price]] * 100, 0)</f>
        <v>0</v>
      </c>
      <c r="DP348" s="163" t="str">
        <f>IF(AND(SnapshotTable[[#This Row],[LC Exp Date]]&gt;0, SnapshotTable[[#This Row],[LC Strike Price]]&gt;0,SnapshotTable[[#This Row],[LC Qty]]&gt;0,SnapshotTable[[#This Row],[LC Book Date]]&gt;0,SnapshotTable[[#This Row],[LC Book Price]]&gt;0,SnapshotTable[[#This Row],[LC Fill Date]]=0),"Y","")</f>
        <v/>
      </c>
      <c r="DQ348" s="386" t="str">
        <f>IF(SnapshotTable[[#This Row],[LC Premium]] &gt; 0,SnapshotTable[[#This Row],[LC Exp Date]]-MAX(SnapshotTable[[#This Row],[LC Book Date]], SnapshotTable[[#This Row],[LC Fill Date]]),"")</f>
        <v/>
      </c>
      <c r="DR348" s="386" t="str">
        <f>IF(ISNUMBER(SnapshotTable[[#This Row],[LC Term]]), SnapshotTable[[#This Row],[LC Exp Date]] - MockToday, "")</f>
        <v/>
      </c>
      <c r="DS348" s="234" t="str">
        <f>IF(SnapshotTable[[#This Row],[LC Premium]]&gt;0,SnapshotTable[[#This Row],[LC Strike Price]] + SnapshotTable[[#This Row],[LC Book Price]],"")</f>
        <v/>
      </c>
      <c r="DU348" s="9" t="str">
        <f>IF(AND(SnapshotTable[[#This Row],[LC Symbol Count]]&gt;0, SnapshotTable[[#This Row],[LC Contract Value]]&gt;0), SnapshotTable[[#This Row],[LC Contract Value]] * SnapshotTable[[#This Row],[LC Qty]] * 100, "")</f>
        <v/>
      </c>
      <c r="DV348" s="9" t="str">
        <f>IF(AND(ISNUMBER(SnapshotTable[[#This Row],[LC Total Value]]), SnapshotTable[[#This Row],[LC Not Filled]]&lt;&gt;"Y"), SnapshotTable[[#This Row],[LC Total Value]]-SnapshotTable[[#This Row],[LC Premium]],"")</f>
        <v/>
      </c>
      <c r="DW348" s="240" t="str">
        <f>IF(ISNUMBER(SnapshotTable[[#This Row],[LC Actual Gain Loss]]), SnapshotTable[[#This Row],[LC Actual Gain Loss]] / SnapshotTable[[#This Row],[LC Premium]],"")</f>
        <v/>
      </c>
      <c r="DX348" s="284" t="str">
        <f>IF(ISNUMBER(SnapshotTable[[#This Row],[LC Book Price]]),SnapshotTable[[#This Row],[LC Book Price]] * 1.5,"")</f>
        <v/>
      </c>
      <c r="DY348" s="265" t="str">
        <f>IF(SnapshotTable[[#This Row],[LC Premium]]&gt;0, SnapshotTable[[#This Row],[LC Next Target]] * SnapshotTable[[#This Row],[LC Qty]] * 100,"")</f>
        <v/>
      </c>
      <c r="DZ348" s="265" t="str">
        <f>IF(ISNUMBER(SnapshotTable[[#This Row],[LC Target Gross]]), SnapshotTable[[#This Row],[LC Target Gross]] - SnapshotTable[[#This Row],[LC Premium]], "")</f>
        <v/>
      </c>
      <c r="EA348" s="305" t="str">
        <f>IF(ISNUMBER(SnapshotTable[[#This Row],[LC Target Gain Loss]]), SnapshotTable[[#This Row],[LC Target Gain Loss]]/SnapshotTable[[#This Row],[LC Premium]], "")</f>
        <v/>
      </c>
      <c r="EB348" s="262"/>
      <c r="EC348" s="283" t="str">
        <f>IF(SnapshotTable[[#This Row],[LC Premium]]&gt;0, SnapshotTable[[#This Row],[LC Book Price]] * (1 - LC_StopLoss_Pct),"")</f>
        <v/>
      </c>
      <c r="ED348" s="284"/>
      <c r="EE348" s="283" t="str">
        <f>IF(ISNUMBER(SnapshotTable[[#This Row],[LC Contract Value]]),IF(ISNUMBER(SnapshotTable[[#This Row],[LC Stop Loss Override]]), SnapshotTable[[#This Row],[LC Stop Loss Override]],SnapshotTable[[#This Row],[LC Stop Loss Calc Target]]),"")</f>
        <v/>
      </c>
      <c r="EF348" s="31" t="str">
        <f>IF(ISNUMBER(SnapshotTable[[#This Row],[LC Stop  To Use]]), (SnapshotTable[[#This Row],[LC Stop  To Use]] * SnapshotTable[[#This Row],[LC Qty]] * 100),"")</f>
        <v/>
      </c>
      <c r="EG348" s="9" t="str">
        <f>IF(ISNUMBER(SnapshotTable[[#This Row],[LC Total Value]]),SnapshotTable[[#This Row],[LC Stop Loss Amount]] - SnapshotTable[[#This Row],[LC Premium]],"")</f>
        <v/>
      </c>
      <c r="EH348" s="9">
        <f>IF(ISNUMBER(SnapshotTable[[#This Row],[LC Premium]]), SnapshotTable[[#This Row],[LC Qty]] * 100 * SnapshotTable[[#This Row],[LC Strike Price]], "")</f>
        <v>0</v>
      </c>
      <c r="EI348" s="240" t="str">
        <f>IF(AND(ISNUMBER(SnapshotTable[[#This Row],[LC Total Value]]),SnapshotTable[[#This Row],[LC Total Value]]&gt;0),SnapshotTable[[#This Row],[LC Stop Gain Loss]]  / SnapshotTable[[#This Row],[LC Premium]],"")</f>
        <v/>
      </c>
      <c r="EJ348" s="35">
        <f>IF(ISNUMBER(SnapshotTable[[#This Row],[Equity Shares]]),TRUNC(SnapshotTable[[#This Row],[Equity Shares]] / 100),0) + SnapshotTable[[#This Row],[LC Qty]]</f>
        <v>0</v>
      </c>
      <c r="EK348" s="147"/>
      <c r="EL348" s="138" t="str">
        <f>IF(SnapshotTable[[#This Row],[SC Exp Date]]&lt;&gt;"",TRUNC(SnapshotTable[[#This Row],[Last Price]]),"")</f>
        <v/>
      </c>
      <c r="EM348" s="148"/>
      <c r="EN348" s="147"/>
      <c r="EO348" s="147"/>
      <c r="EP348" s="138"/>
      <c r="EQ348" s="419" t="b">
        <f>AND(ISNUMBER(SnapshotTable[[#This Row],[SC Exp Date]]), ISNUMBER(SnapshotTable[[#This Row],[SC Strike Price]]), ISNUMBER(SnapshotTable[[#This Row],[SC Qty]]), ISNUMBER(SnapshotTable[[#This Row],[SC Book Date]]), ISNUMBER(SnapshotTable[[#This Row],[SC Book Price]]))</f>
        <v>0</v>
      </c>
      <c r="ER348" s="419" t="b">
        <f>AND(SnapshotTable[[#This Row],[SC Is Booked]], NOT(ISBLANK(SnapshotTable[[#This Row],[SC Fill Date]])))</f>
        <v>0</v>
      </c>
      <c r="ES348" s="370"/>
      <c r="ET348" s="34" t="str">
        <f>IF(AND(ISNUMBER(SnapshotTable[[#This Row],[SC Exp Date]]), ISNUMBER(SnapshotTable[[#This Row],[SC Book Date]])), SnapshotTable[[#This Row],[SC Exp Date]] - MAX(SnapshotTable[[#This Row],[SC Book Date]], SnapshotTable[[#This Row],[SC Fill Date]]) + 1, "")</f>
        <v/>
      </c>
      <c r="EU348" s="34" t="str">
        <f>IF(ISNUMBER(SnapshotTable[[#This Row],[SC Term]]), SnapshotTable[[#This Row],[SC Exp Date]]- MockToday, "")</f>
        <v/>
      </c>
      <c r="EV348" s="31">
        <f>IF(SnapshotTable[[#This Row],[SC Is Booked]], SnapshotTable[[#This Row],[SC Qty]] * SnapshotTable[[#This Row],[SC Book Price]] * 100, 0)</f>
        <v>0</v>
      </c>
      <c r="EW348" s="4" t="str">
        <f>IF(AND(ISNUMBER(SnapshotTable[[#This Row],[Last Price]]), ISNUMBER( SnapshotTable[[#This Row],[SC Book Price]])), SnapshotTable[[#This Row],[Last Price]] - SnapshotTable[[#This Row],[SC Book Price]],"")</f>
        <v/>
      </c>
      <c r="EX348" s="234" t="str">
        <f>IF(SnapshotTable[[#This Row],[SC Is Booked]],IF(SnapshotTable[[#This Row],[SC Intrinsic Value]] &gt; 0, SnapshotTable[[#This Row],[SC Strike Price]], SnapshotTable[[#This Row],[Last Price]]), "")</f>
        <v/>
      </c>
      <c r="EY348" s="4">
        <f>IF(SnapshotTable[[#This Row],[SC Is Booked]], (MinimumPremiumRequired * SnapshotTable[[#This Row],[SC Basis]] * SnapshotTable[[#This Row],[SC Term]]), 0)</f>
        <v>0</v>
      </c>
      <c r="EZ348" s="283"/>
      <c r="FA348" s="218"/>
      <c r="FB348" s="370"/>
      <c r="FC348" s="4">
        <f>IF(SnapshotTable[[#This Row],[SC Is Filled]], btc_max_buyback_amount(SnapshotTable[[#This Row],[SC Fill Date]],SnapshotTable[[#This Row],[SC Exp Date]], SnapshotTable[[#This Row],[SC Book Price]]),0)</f>
        <v>0</v>
      </c>
      <c r="FD348" s="5"/>
      <c r="FE348" s="144" t="str">
        <f>IF(SnapshotTable[[#This Row],[SC Is Filled]], btc_next_cutoff_date(SnapshotTable[[#This Row],[SC Fill Date]],SnapshotTable[[#This Row],[SC Exp Date]]),"")</f>
        <v/>
      </c>
      <c r="FF348" s="4" t="str" cm="1">
        <f t="array" ref="FF348">IF(SnapshotTable[[#This Row],[SC Is Filled]], btc_should_buy_back(SnapshotTable[[#This Row],[SC Fill Date]], SnapshotTable[[#This Row],[SC Exp Date]], SnapshotTable[[#This Row],[SC Book Price]], SnapshotTable[[#This Row],[SC Current Ask]], MockToday, SnapshotTable[[#This Row],[SC Buyback Override]]),"")</f>
        <v/>
      </c>
      <c r="FG348" s="4">
        <f>IF(SnapshotTable[[#This Row],[SC Is Filled]], MAX(0,SnapshotTable[[#This Row],[Last Price]]  - SnapshotTable[[#This Row],[SC Strike Price]]), 0)</f>
        <v>0</v>
      </c>
      <c r="FH348" s="382">
        <f>IF(SnapshotTable[[#This Row],[SC Is Filled]], IF(ISNUMBER(SnapshotTable[[#This Row],[SC Current Ask]]), SnapshotTable[[#This Row],[SC Current Ask]], SnapshotTable[[#This Row],[SC Book Price]]) - SnapshotTable[[#This Row],[SC Intrinsic Value]], 0)</f>
        <v>0</v>
      </c>
      <c r="FI348" s="143"/>
      <c r="FJ348" s="32" t="str">
        <f>IF(SnapshotTable[[#This Row],[SC Is Filled]],100 * SnapshotTable[[#This Row],[SC Qty]] * IF(ISNUMBER(SnapshotTable[[#This Row],[SC Buyback Override]]), SnapshotTable[[#This Row],[SC Buyback Override]], SnapshotTable[[#This Row],[SC Current Ask]]), "")</f>
        <v/>
      </c>
      <c r="FK348" s="250" t="str">
        <f>IF(SnapshotTable[[#This Row],[SC Time Val]]&gt;0, SnapshotTable[[#This Row],[SC Time Val]] / SnapshotTable[[#This Row],[Last Price]],"")</f>
        <v/>
      </c>
      <c r="FL348" s="302" t="str">
        <f>IF(SnapshotTable[[#This Row],[SC Is Booked]], ((SnapshotTable[[#This Row],[Last Price]] -SnapshotTable[[#This Row],[SC Strike Price]]) / SnapshotTable[[#This Row],[Last Price]]) * -1, "")</f>
        <v/>
      </c>
      <c r="FM348" s="157" t="str">
        <f>IF(SnapshotTable[[#This Row],[SC Is Booked]],  (SnapshotTable[[#This Row],[SC Qty]] * 100 * SnapshotTable[[#This Row],[SC Strike Price]]) - SnapshotTable[[#This Row],[SC Current Ask]], "")</f>
        <v/>
      </c>
      <c r="FN34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8" s="31" t="str">
        <f>IF(AND(ISNUMBER(SnapshotTable[[#This Row],[SC Exercise Gross]]), ISNUMBER(SnapshotTable[[#This Row],[Equity Basis Per Share]] )), SnapshotTable[[#This Row],[SC Exercise Gross]] - SnapshotTable[[#This Row],[Equity Basis Total]] +  SnapshotTable[[#This Row],[SC Premium]], "")</f>
        <v/>
      </c>
      <c r="FP348" s="5" t="str">
        <f>IF(ISNUMBER(SnapshotTable[[#This Row],[SC Exercise Gross]]), (SnapshotTable[[#This Row],[SC Exercise Gross]]) / (SnapshotTable[[#This Row],[SC Qty]] * 100), "")</f>
        <v/>
      </c>
      <c r="FQ348" s="27" t="str">
        <f>IF(SnapshotTable[[#This Row],[SC Is Booked]],SnapshotTable[[#This Row],[SC Time Val]] /SnapshotTable[[#This Row],[SC Basis]], "")</f>
        <v/>
      </c>
      <c r="FR348" s="27" t="str" cm="1">
        <f t="array" ref="FR348">IF(AND(ISNUMBER(SnapshotTable[[#This Row],[SC Term]]),ISNUMBER(SnapshotTable[[#This Row],[SC Simple ROO]])), EllmanAnnualize(SnapshotTable[[#This Row],[SC DTE]], SnapshotTable[[#This Row],[SC Simple ROO]] ),"")</f>
        <v/>
      </c>
      <c r="FS348" s="4" t="e">
        <f>IF(SnapshotTable[[#This Row],[SC Strike Price]] &gt; SnapshotTable[[#This Row],[Last Price]], SnapshotTable[[#This Row],[SC Strike Price]] - SnapshotTable[[#This Row],[Last Price]],0)</f>
        <v>#VALUE!</v>
      </c>
      <c r="FT348" s="27" t="e">
        <f>IF(AND(ISNUMBER(SnapshotTable[[#This Row],[SC Upside Potential]]), SnapshotTable[[#This Row],[SC Upside Potential]] &gt; 0),(SnapshotTable[[#This Row],[SC Upside Potential]]/ SnapshotTable[[#This Row],[ACB]]),"")</f>
        <v>#VALUE!</v>
      </c>
      <c r="FU348" s="333" t="str">
        <f>IF(SnapshotTable[[#This Row],[SC Intrinsic Value]] &gt; 0,SnapshotTable[[#This Row],[SC Intrinsic Value]],"")</f>
        <v/>
      </c>
      <c r="FV348" s="27" t="str">
        <f>IF(AND( ISNUMBER( SnapshotTable[[#This Row],[ACB]]),ISNUMBER(SnapshotTable[[#This Row],[SC Downside Protect]])),SnapshotTable[[#This Row],[SC Downside Protect]] / SnapshotTable[[#This Row],[ACB]],"")</f>
        <v/>
      </c>
      <c r="FW348" s="236" t="str">
        <f>IF(AND(ISNUMBER(SnapshotTable[[#This Row],[SC Simple ROO]]),SnapshotTable[[#This Row],[SC Simple ROO]] &gt; 0), SnapshotTable[[#This Row],[SC Premium]] + (SnapshotTable[[#This Row],[SC Qty]] * SnapshotTable[[#This Row],[SC Upside Potential]]), "")</f>
        <v/>
      </c>
      <c r="FX348" s="302" t="str" cm="1">
        <f t="array" ref="FX348">IF(ISNUMBER(SnapshotTable[[#This Row],[SC Max Dollars]]), annualize(SnapshotTable[[#This Row],[SC Term]],(SnapshotTable[[#This Row],[SC Max Dollars]]/SnapshotTable[[#This Row],[SC Basis]])),"")</f>
        <v/>
      </c>
      <c r="FY348" s="236" t="str">
        <f>IF(AND(SnapshotTable[[#This Row],[SC Qty]]&gt;0,SnapshotTable[[#This Row],[SC Current Ask]]&gt;0), SnapshotTable[[#This Row],[SC Qty]] * SnapshotTable[[#This Row],[SC Current Ask]] * -100, "")</f>
        <v/>
      </c>
      <c r="FZ348" s="31" t="str">
        <f>IF(ISNUMBER((SnapshotTable[[#This Row],[SC Current Value]])), SnapshotTable[[#This Row],[SC Premium]] + SnapshotTable[[#This Row],[SC Current Value]], "")</f>
        <v/>
      </c>
      <c r="GA348" s="294" t="str">
        <f>IFERROR( IF(ISNUMBER((SnapshotTable[[#This Row],[SC Current Value]])), SnapshotTable[[#This Row],[SC Gain Loss]] / SnapshotTable[[#This Row],[SC Premium]], ""), "")</f>
        <v/>
      </c>
      <c r="GB348" s="42">
        <f>SnapshotTable[[#This Row],[Equity Shares]] * SaleSharesToConsiderPercentage</f>
        <v>0</v>
      </c>
      <c r="GC348" s="40">
        <f>SnapshotTable[[#This Row],[Long Term Target]] * SellingPriceToConsiderBasedOnTargetPercentage</f>
        <v>56.961999999999996</v>
      </c>
      <c r="GD348" s="40">
        <f>SnapshotTable[[#This Row],[Last Price]] * (1+ SellingPriceToConsiderBasedOnTargetPercentage)</f>
        <v>86.365499999999997</v>
      </c>
      <c r="GE348" s="41"/>
      <c r="GF348" s="40"/>
      <c r="GG348" s="31">
        <f>SnapshotTable[[#This Row],[Booked Sale Shares]] * SnapshotTable[[#This Row],[Booked Sale Price]]</f>
        <v>0</v>
      </c>
      <c r="GH348" s="31" t="str">
        <f>IF(SnapshotTable[[#This Row],[Equity Basis Total]] &gt; 0, SnapshotTable[[#This Row],[Equity Basis Per Share]] * SnapshotTable[[#This Row],[Booked Sale Shares]], "")</f>
        <v/>
      </c>
      <c r="GI348" s="31">
        <f>IF(SnapshotTable[[#This Row],[Sale Proceeds]]&gt;0, SnapshotTable[[#This Row],[Sale Proceeds]] - SnapshotTable[[#This Row],[Sale Basis]], 0)</f>
        <v>0</v>
      </c>
      <c r="GJ348" s="27" t="str">
        <f>IF(SnapshotTable[[#This Row],[Sale G/L]]&gt;0, SnapshotTable[[#This Row],[Sale G/L]] / SnapshotTable[[#This Row],[Sale Basis]], IF(ISNUMBER(SnapshotTable[[#This Row],[SC Exercise P&amp;L (TAX)]]), SnapshotTable[[#This Row],[SC Exercise P&amp;L (TAX)]] / SnapshotTable[[#This Row],[SC Basis]], ""))</f>
        <v/>
      </c>
      <c r="GK348" s="27" t="s">
        <v>792</v>
      </c>
      <c r="GL348" s="43" t="str">
        <f>IF(AND(SnapshotTable[[#This Row],[LP Exp Date]]&gt;0,SnapshotTable[[#This Row],[LP Strike Price]]&gt;0), [1]!ToOptionSymbol(SnapshotTable[[#This Row],[Symbol]], SnapshotTable[[#This Row],[LP Strike Price]],SnapshotTable[[#This Row],[LP Exp Date]],1), "")</f>
        <v/>
      </c>
      <c r="GM348" s="30" t="str">
        <f>IF(LEN(SnapshotTable[[#This Row],[LP Symbol]])&gt;0, 1, "")</f>
        <v/>
      </c>
      <c r="GN348" s="43" t="str">
        <f>IF(AND(SnapshotTable[[#This Row],[SP Exp Date]]&gt;0,SnapshotTable[[#This Row],[SP Strike Price]]&gt;0), [1]!ToOptionSymbol(SnapshotTable[[#This Row],[Symbol]], SnapshotTable[[#This Row],[SP Strike Price]],SnapshotTable[[#This Row],[SP Exp Date]],1), "")</f>
        <v/>
      </c>
      <c r="GO348" s="30" t="str">
        <f>IF(LEN(SnapshotTable[[#This Row],[SP Symbol]])&gt;0, 1, "")</f>
        <v/>
      </c>
      <c r="GP348" s="43" t="str">
        <f>IF(AND(SnapshotTable[[#This Row],[LC Exp Date]]&gt;0,SnapshotTable[[#This Row],[LC Strike Price]]&gt;0), [1]!ToOptionSymbol(SnapshotTable[[#This Row],[Symbol]], SnapshotTable[[#This Row],[LC Strike Price]],SnapshotTable[[#This Row],[LC Exp Date]],0), "")</f>
        <v/>
      </c>
      <c r="GQ348" s="30" t="str">
        <f>IF(LEN(SnapshotTable[[#This Row],[LC Symbol]])&gt;0, 1, "")</f>
        <v/>
      </c>
      <c r="GR348" s="43" t="str">
        <f>IF(AND(SnapshotTable[[#This Row],[SC Exp Date]]&gt;0,SnapshotTable[[#This Row],[SC Strike Price]]&gt;0), [1]!ToOptionSymbol(SnapshotTable[[#This Row],[Symbol]], SnapshotTable[[#This Row],[SC Strike Price]],SnapshotTable[[#This Row],[SC Exp Date]],0), "")</f>
        <v/>
      </c>
      <c r="GS348" s="30" t="str">
        <f>IF(LEN(SnapshotTable[[#This Row],[SC Symbol]])&gt;0, 1, "")</f>
        <v/>
      </c>
      <c r="GT348" s="29" t="str">
        <f>IF(COUNT(SnapshotTable[[#This Row],[LP Symbol Count]],SnapshotTable[[#This Row],[SP Symbol Count]],SnapshotTable[[#This Row],[LC Symbol Count]],SnapshotTable[[#This Row],[SC Symbol Count]])&gt;0, "Y", "")</f>
        <v/>
      </c>
      <c r="GU34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48" s="231" t="e">
        <f>MAX(SnapshotTable[[#This Row],[Equity Basis Total]],SnapshotTable[[#This Row],[Equity Value]]) + (SnapshotTable[[#This Row],[SP Potential Spend]]- SnapshotTable[[#This Row],[SP Premium]] + SnapshotTable[[#This Row],[LP Premium]])+ (SnapshotTable[[#This Row],[LC Premium]] - SnapshotTable[[#This Row],[SC Premium]])</f>
        <v>#VALUE!</v>
      </c>
      <c r="GW348" s="139" t="e">
        <f>IF(AND(SnapshotTable[[#This Row],[Exposure]] &lt;&gt; 0),SnapshotTable[[#This Row],[Exposure]] / SnapshotTable[[#Totals],[Exposure]], "")</f>
        <v>#VALUE!</v>
      </c>
      <c r="HK348" s="1"/>
      <c r="HL348" s="1"/>
      <c r="HM348" s="1"/>
      <c r="HN348" s="1"/>
      <c r="HO348" s="1"/>
      <c r="HP348" s="1"/>
    </row>
    <row r="349" spans="2:224" ht="12.75" hidden="1" customHeight="1" x14ac:dyDescent="0.25">
      <c r="B349" s="12" t="s">
        <v>185</v>
      </c>
      <c r="C349" s="422">
        <v>52.79</v>
      </c>
      <c r="D349" s="208"/>
      <c r="E349" s="39">
        <f>SnapshotTable[[#This Row],[Last Price]]*(1 -CrashDiscount)</f>
        <v>44.871499999999997</v>
      </c>
      <c r="F349" s="26" t="s">
        <v>184</v>
      </c>
      <c r="G349" s="26" t="s">
        <v>14</v>
      </c>
      <c r="H349" s="149"/>
      <c r="I349" s="194">
        <v>44742.291666666664</v>
      </c>
      <c r="J349" s="195">
        <v>44742.291666666664</v>
      </c>
      <c r="K349" s="196" t="s">
        <v>3</v>
      </c>
      <c r="L349" s="326"/>
      <c r="M349" s="140"/>
      <c r="N349" s="140"/>
      <c r="O349" s="140">
        <v>1</v>
      </c>
      <c r="P349" s="22"/>
      <c r="Q349" s="25"/>
      <c r="R349" s="4" t="str">
        <f>IF(SnapshotTable[[#This Row],[Equity Basis Total]] &gt; 0, SnapshotTable[[#This Row],[Equity Basis Total]] / SnapshotTable[[#This Row],[Equity Shares]], "")</f>
        <v/>
      </c>
      <c r="S349" s="269">
        <f>SnapshotTable[[#This Row],[Last Price]] * SnapshotTable[[#This Row],[Equity Shares]]</f>
        <v>0</v>
      </c>
      <c r="T349" s="269">
        <f>SnapshotTable[[#This Row],[Equity Value]] - SnapshotTable[[#This Row],[Equity Basis Total]]</f>
        <v>0</v>
      </c>
      <c r="U349" s="270" t="str">
        <f>IF(SnapshotTable[[#This Row],[Equity Basis Total]] &gt; 0, SnapshotTable[[#This Row],[Equity G/L]] / SnapshotTable[[#This Row],[Equity Basis Total]], "")</f>
        <v/>
      </c>
      <c r="V349" s="268"/>
      <c r="W349" s="268"/>
      <c r="X349" s="4" t="str">
        <f>IF(AND(ISNUMBER(SnapshotTable[[#This Row],[Equity Basis Per Share]]),ISNUMBER(SnapshotTable[[#This Row],[Equity Target]])),SnapshotTable[[#This Row],[Equity Target]]-SnapshotTable[[#This Row],[Equity Basis Per Share]],"")</f>
        <v/>
      </c>
      <c r="Y349" s="4" t="str">
        <f>IF(AND(ISNUMBER(SnapshotTable[[#This Row],[Equity Basis Per Share]]),ISNUMBER(SnapshotTable[[#This Row],[Equity Stop Loss]])),SnapshotTable[[#This Row],[Equity Stop Loss]]-SnapshotTable[[#This Row],[Equity Basis Per Share]],"")</f>
        <v/>
      </c>
      <c r="Z349" s="275" t="str">
        <f>IFERROR( TEXT(SnapshotTable[[#This Row],[Equity Max Gain Per Share]] /ABS( SnapshotTable[[#This Row],[Equity Max Loss Per Share]]),"0.0 " ) &amp; " : 1", "")</f>
        <v/>
      </c>
      <c r="AA349" s="31" t="str">
        <f>IF(ISNUMBER(SnapshotTable[[#This Row],[Equity Max Gain Per Share]]),SnapshotTable[[#This Row],[Equity Max Gain Per Share]] * SnapshotTable[[#This Row],[Equity Shares]],"")</f>
        <v/>
      </c>
      <c r="AB349" s="31" t="str">
        <f>IF(ISNUMBER(SnapshotTable[[#This Row],[Equity Max Loss Per Share]]),SnapshotTable[[#This Row],[Equity Max Loss Per Share]] * SnapshotTable[[#This Row],[Equity Shares]],"")</f>
        <v/>
      </c>
      <c r="AC349" s="150">
        <v>0.2</v>
      </c>
      <c r="AD349" s="151" t="s">
        <v>2</v>
      </c>
      <c r="AE349" s="31">
        <f>(SnapshotTable[[#This Row],[Annual Dividend Per Share]] / 4) * SnapshotTable[[#This Row],[Equity Shares]]</f>
        <v>0</v>
      </c>
      <c r="AF349" s="31">
        <f>SnapshotTable[[#This Row],[Quarterly Div $]] * 4</f>
        <v>0</v>
      </c>
      <c r="AG349" s="7">
        <f>IF(SnapshotTable[[#This Row],[Annual Dividend Per Share]]&gt;0, SnapshotTable[[#This Row],[Annual Dividend Per Share]]  / SnapshotTable[[#This Row],[Last Price]], 0)</f>
        <v>3.7885963250615649E-3</v>
      </c>
      <c r="AH349" s="151" t="s">
        <v>2</v>
      </c>
      <c r="AI349" s="5"/>
      <c r="AJ349" s="138">
        <v>47.28</v>
      </c>
      <c r="AK349" s="152" t="str">
        <f>IF(ISNUMBER( SnapshotTable[[#This Row],[EBF Target]]),(SnapshotTable[[#This Row],[EBF Target]] - SnapshotTable[[#This Row],[Last Price]]) / SnapshotTable[[#This Row],[Last Price]], "")</f>
        <v/>
      </c>
      <c r="AL349" s="152" t="str">
        <f>IF(AND(SnapshotTable[[#This Row],[Equity Basis Total]] &gt; 0,ISNUMBER( SnapshotTable[[#This Row],[Long Term Target]])), SnapshotTable[[#This Row],[From Basis $]] / SnapshotTable[[#This Row],[Equity Basis Total]], "")</f>
        <v/>
      </c>
      <c r="AM349" s="9">
        <f>IF( AND(SnapshotTable[[#This Row],[Equity Shares]] &gt;0,ISNUMBER( SnapshotTable[[#This Row],[Long Term Target]])),(SnapshotTable[[#This Row],[Equity Shares]] * SnapshotTable[[#This Row],[Long Term Target]]) - SnapshotTable[[#This Row],[Equity Basis Total]],0)</f>
        <v>0</v>
      </c>
      <c r="AN349" s="9">
        <f>IF( AND(SnapshotTable[[#This Row],[Equity Shares]] &gt;0,ISNUMBER( SnapshotTable[[#This Row],[Long Term Target]])),(SnapshotTable[[#This Row],[Equity Shares]]*SnapshotTable[[#This Row],[Long Term Target]]) - SnapshotTable[[#This Row],[Equity Value]],0)</f>
        <v>0</v>
      </c>
      <c r="AO349" s="152">
        <f>IF(AND(ISNUMBER( SnapshotTable[[#This Row],[Long Term Target]]), ISNUMBER(SnapshotTable[[#This Row],[Last Price]])),(SnapshotTable[[#This Row],[Long Term Target]] - SnapshotTable[[#This Row],[Last Price]]) / SnapshotTable[[#This Row],[Last Price]], "")</f>
        <v>-0.10437582875544607</v>
      </c>
      <c r="AP349" s="5"/>
      <c r="AQ349" s="38"/>
      <c r="AR349" s="5"/>
      <c r="AS349" s="38"/>
      <c r="AT349" s="146"/>
      <c r="AU349" s="187" t="str">
        <f>IF(OR(SnapshotTable[[#This Row],[LP No Fill]]="Y",SnapshotTable[[#This Row],[SP Is Filled]],SnapshotTable[[#This Row],[LC Not Filled]]="Y",SnapshotTable[[#This Row],[SC Is Filled]]),"Y","")</f>
        <v/>
      </c>
      <c r="AV349" s="219"/>
      <c r="AW349" s="225"/>
      <c r="AX349" s="220"/>
      <c r="AY349" s="219" t="str">
        <f>IF(SnapshotTable[[#This Row],[Implied Move]]&gt;0, SnapshotTable[[#This Row],[Last Price]]-SnapshotTable[[#This Row],[Implied Move]],"")</f>
        <v/>
      </c>
      <c r="AZ349" s="219" t="str">
        <f>IF(SnapshotTable[[#This Row],[Implied Move]]&gt;0, SnapshotTable[[#This Row],[Last Price]] + SnapshotTable[[#This Row],[Implied Move]],"")</f>
        <v/>
      </c>
      <c r="BA349" s="331"/>
      <c r="BB349" s="347"/>
      <c r="BC34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9" s="351"/>
      <c r="BE349" s="5"/>
      <c r="BF349" s="14"/>
      <c r="BG349" s="13"/>
      <c r="BH349" s="13"/>
      <c r="BI349" s="5"/>
      <c r="BJ349" s="136">
        <f>IF(SnapshotTable[[#This Row],[LP Qty]] &gt; 0, SnapshotTable[[#This Row],[LP Qty]] * SnapshotTable[[#This Row],[LP Book Price]] * 100,0)</f>
        <v>0</v>
      </c>
      <c r="BK349" s="136">
        <f>IF(SnapshotTable[[#This Row],[LP Premium]] &gt; 0, SnapshotTable[[#This Row],[LP Qty]] * SnapshotTable[[#This Row],[LP Strike Price]] * 100,0)</f>
        <v>0</v>
      </c>
      <c r="BL349" s="154"/>
      <c r="BM349" s="385" t="str">
        <f>IF(SnapshotTable[[#This Row],[LP Premium]] &gt; 0,SnapshotTable[[#This Row],[LP Exp Date]]-MAX(SnapshotTable[[#This Row],[LP Book Date]], SnapshotTable[[#This Row],[LP Fill Date]]),"")</f>
        <v/>
      </c>
      <c r="BN349" s="385" t="str">
        <f>IF(ISNUMBER( SnapshotTable[[#This Row],[LP Term]]), SnapshotTable[[#This Row],[LP Exp Date]] - MockToday,"")</f>
        <v/>
      </c>
      <c r="BO349" s="163" t="str">
        <f>IF(AND(SnapshotTable[[#This Row],[LP Exp Date]]&gt;0, SnapshotTable[[#This Row],[LP Strike Price]]&gt;0,SnapshotTable[[#This Row],[LP Qty]]&gt;0,SnapshotTable[[#This Row],[LP Book Date]]&gt;0,SnapshotTable[[#This Row],[LP Book Price]]&gt;0,SnapshotTable[[#This Row],[LP Fill Date]]=0),"Y","")</f>
        <v/>
      </c>
      <c r="BP349" s="31" t="str">
        <f>IF(AND(SnapshotTable[[#This Row],[LP No Fill]]&lt;&gt;"Y",SnapshotTable[[#This Row],[LP Contract Value]]&gt;0, SnapshotTable[[#This Row],[LP Qty]]&gt;0), SnapshotTable[[#This Row],[LP Contract Value]]*SnapshotTable[[#This Row],[LP Qty]]*100,"")</f>
        <v/>
      </c>
      <c r="BQ349" s="13"/>
      <c r="BR349" s="5" t="str">
        <f>IF(SnapshotTable[[#This Row],[SP Exp Date]]&lt;&gt;"",TRUNC(SnapshotTable[[#This Row],[Last Price]]),"")</f>
        <v/>
      </c>
      <c r="BS349" s="36"/>
      <c r="BT349" s="147"/>
      <c r="BU349" s="13"/>
      <c r="BV349" s="5"/>
      <c r="BW349" s="419" t="b">
        <f>AND(ISNUMBER(SnapshotTable[[#This Row],[SP Exp Date]]), ISNUMBER(SnapshotTable[[#This Row],[SP Strike Price]]), ISNUMBER(SnapshotTable[[#This Row],[SP Qty]]), ISNUMBER(SnapshotTable[[#This Row],[SP Book Date]]), ISNUMBER(SnapshotTable[[#This Row],[SP Book Price]]))</f>
        <v>0</v>
      </c>
      <c r="BX349" s="419" t="b">
        <f>AND(SnapshotTable[[#This Row],[SP Is Booked]], NOT(ISBLANK(SnapshotTable[[#This Row],[SP Fill Date]])))</f>
        <v>0</v>
      </c>
      <c r="BY349" s="33">
        <f>IF(SnapshotTable[[#This Row],[SP Is Booked]], SnapshotTable[[#This Row],[SP Qty]] * SnapshotTable[[#This Row],[SP Book Price]] * 100, 0)</f>
        <v>0</v>
      </c>
      <c r="BZ349" s="369"/>
      <c r="CA349" s="368">
        <f>SnapshotTable[[#This Row],[LP Qty]]</f>
        <v>0</v>
      </c>
      <c r="CB349" s="4" t="str">
        <f>IF(SnapshotTable[[#This Row],[SP Is Booked]], SnapshotTable[[#This Row],[SP Strike Price]] - SnapshotTable[[#This Row],[SP Book Price]], "")</f>
        <v/>
      </c>
      <c r="CC349" s="19" t="str">
        <f>IF(SnapshotTable[[#This Row],[SP Is Booked]],SnapshotTable[[#This Row],[SP Exp Date]]-MAX(SnapshotTable[[#This Row],[SP Book Date]], SnapshotTable[[#This Row],[SP Fill Date]]),"")</f>
        <v/>
      </c>
      <c r="CD349" s="7" t="str">
        <f>IF(SnapshotTable[[#This Row],[SP Is Booked]], SnapshotTable[[#This Row],[SP Book Price]]/SnapshotTable[[#This Row],[SP Strike Price]], "")</f>
        <v/>
      </c>
      <c r="CE349" s="7" t="str">
        <f>IF(ISNUMBER(SnapshotTable[[#This Row],[SP ROO Term]]),SnapshotTable[[#This Row],[SP ROO Term]]*(365/SnapshotTable[[#This Row],[SP Term]]),"")</f>
        <v/>
      </c>
      <c r="CF349" s="236">
        <f>SnapshotTable[[#This Row],[LP Strike Price]] * SnapshotTable[[#This Row],[LP Qty]] * 100</f>
        <v>0</v>
      </c>
      <c r="CG349" s="31" t="e">
        <f>IF(ISNUMBER(SnapshotTable[[#This Row],[SP Premium]]), (SnapshotTable[[#This Row],[SP Qty]] * SnapshotTable[[#This Row],[SP Strike Price]]* 100) - SnapshotTable[[#This Row],[LP Protection]], 0)</f>
        <v>#VALUE!</v>
      </c>
      <c r="CH349" s="7" t="str">
        <f>IF(ISNUMBER(SnapshotTable[[#This Row],[SP Break Even]]),-1 * (SnapshotTable[[#This Row],[SP Break Even]] - SnapshotTable[[#This Row],[Last Price]]) / SnapshotTable[[#This Row],[Last Price]], "")</f>
        <v/>
      </c>
      <c r="CI349" s="31">
        <f>IF(AND(ISNUMBER((SnapshotTable[[#This Row],[SP Potential Spend]])), SnapshotTable[[#This Row],[SP Strike Price]] &gt; SnapshotTable[[#This Row],[Last Price]], SnapshotTable[[#This Row],[SP Is Filled]]), SnapshotTable[[#This Row],[SP Potential Spend]] -  SnapshotTable[[#This Row],[LP Max Value]], 0)</f>
        <v>0</v>
      </c>
      <c r="CJ349" s="244"/>
      <c r="CK349" s="31" t="str">
        <f>IF(ISNUMBER(SnapshotTable[[#This Row],[SP Potential Spend]]),IF(ISNUMBER(SnapshotTable[[#This Row],[SP POW]]), SnapshotTable[[#This Row],[SP POW]] * SnapshotTable[[#This Row],[SP Potential Spend]], SnapshotTable[[#This Row],[SP Potential Spend]]), "")</f>
        <v/>
      </c>
      <c r="CL349" s="164" t="e">
        <f>IF(NOT(SnapshotTable[[#This Row],[SP Is Filled]]),(SnapshotTable[[#This Row],[SP Qty]] * SnapshotTable[[#This Row],[SP Strike Price]] * 100) - SnapshotTable[[#This Row],[LP Max Value]],"")</f>
        <v>#VALUE!</v>
      </c>
      <c r="CM349" s="31" t="str">
        <f>IF(SnapshotTable[[#This Row],[SP Actual Spend]]&lt;&gt;0, ((SnapshotTable[[#This Row],[SP Strike Price]]-SnapshotTable[[#This Row],[Last Price]]) *(SnapshotTable[[#This Row],[SP Qty]]*100) - SnapshotTable[[#This Row],[SP Premium]]) * - 1, "")</f>
        <v/>
      </c>
      <c r="CN349" s="78"/>
      <c r="CO349" s="369"/>
      <c r="CP349" s="4" t="str">
        <f>IF(SnapshotTable[[#This Row],[SP Is Filled]], btc_max_buyback_amount(SnapshotTable[[#This Row],[SP Fill Date]],SnapshotTable[[#This Row],[SP Exp Date]], SnapshotTable[[#This Row],[SP Book Price]]),"")</f>
        <v/>
      </c>
      <c r="CQ349" s="78"/>
      <c r="CR34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9" s="155" t="str">
        <f>IF(SnapshotTable[[#This Row],[SP Is Filled]], btc_next_cutoff_date(SnapshotTable[[#This Row],[SP Fill Date]],SnapshotTable[[#This Row],[SP Exp Date]]),"")</f>
        <v/>
      </c>
      <c r="CT349" s="235" t="str" cm="1">
        <f t="array" ref="CT349">IF(SnapshotTable[[#This Row],[SP Is Filled]], btc_should_buy_back(SnapshotTable[[#This Row],[SP Fill Date]], SnapshotTable[[#This Row],[SP Exp Date]], SnapshotTable[[#This Row],[SP Book Price]], SnapshotTable[[#This Row],[SP Current Ask]], MockToday, SnapshotTable[[#This Row],[SP Buyback Override]]),"")</f>
        <v/>
      </c>
      <c r="CU349" s="143"/>
      <c r="CV349" s="235"/>
      <c r="CW349" s="378" t="str">
        <f>IF(ISNUMBER( SnapshotTable[[#This Row],[SP Term]]), SnapshotTable[[#This Row],[SP Exp Date]] - MockToday,"")</f>
        <v/>
      </c>
      <c r="CX349" s="31" t="str">
        <f>IF(SnapshotTable[[#This Row],[SP Is Filled]],SnapshotTable[[#This Row],[SP Buyback Price to Use]] * 100 * SnapshotTable[[#This Row],[SP Qty]], "")</f>
        <v/>
      </c>
      <c r="CY349" s="4" t="str">
        <f>IF(ISNUMBER(SnapshotTable[[#This Row],[SP Strike Price]]), SnapshotTable[[#This Row],[SP Strike Price]] * (1 - SP_MaxLoss_StrikePct), "")</f>
        <v/>
      </c>
      <c r="CZ349" s="31" t="str">
        <f>IF(ISNUMBER(SnapshotTable[[#This Row],[SP Strike  Stop Per Share]]),SnapshotTable[[#This Row],[SP Premium]] - ((SnapshotTable[[#This Row],[SP Strike Price]]-SnapshotTable[[#This Row],[SP Strike  Stop Per Share]]) *(SnapshotTable[[#This Row],[SP Qty]] * 100)),"")</f>
        <v/>
      </c>
      <c r="DA349" s="4" t="str">
        <f>IF(AND(ISNUMBER(SnapshotTable[[#This Row],[SP Premium]]),SnapshotTable[[#This Row],[SP Premium]]&gt;0), SnapshotTable[[#This Row],[SP Book Price]] * (1 + SP_MaxLoss_OptionPct), "")</f>
        <v/>
      </c>
      <c r="DB349" s="31" t="str">
        <f>IF(ISNUMBER(SnapshotTable[[#This Row],[SP Option  Stop Contract]]),(SnapshotTable[[#This Row],[SP Option  Stop Contract]] *(SnapshotTable[[#This Row],[SP Qty]] * 100) - SnapshotTable[[#This Row],[SP Premium]]),"")</f>
        <v/>
      </c>
      <c r="DC349" s="4"/>
      <c r="DD349" s="4"/>
      <c r="DE349" s="4" t="str">
        <f>IF(AND(SnapshotTable[[#This Row],[SP Qty]]&gt;0, SnapshotTable[[#This Row],[SP Stop To Use]]&gt;0),SnapshotTable[[#This Row],[SP Premium]] - ( SnapshotTable[[#This Row],[SP Qty]] * SnapshotTable[[#This Row],[SP Stop To Use]] * 100), "")</f>
        <v/>
      </c>
      <c r="DF349" s="31" t="str">
        <f>IF(AND(SnapshotTable[[#This Row],[SP Qty]]&gt;0,SnapshotTable[[#This Row],[SP Current Ask]]&gt;0), SnapshotTable[[#This Row],[SP Qty]] * SnapshotTable[[#This Row],[SP Current Ask]] * -100, "")</f>
        <v/>
      </c>
      <c r="DG349" s="31" t="str">
        <f>IF(ISNUMBER((SnapshotTable[[#This Row],[SP Total Value]])), SnapshotTable[[#This Row],[SP Premium]] + SnapshotTable[[#This Row],[SP Total Value]], "")</f>
        <v/>
      </c>
      <c r="DH349" s="294" t="str">
        <f>IF(ISNUMBER((SnapshotTable[[#This Row],[SP Total Value]])), SnapshotTable[[#This Row],[SP Gain Loss]] / SnapshotTable[[#This Row],[SP Premium]], "")</f>
        <v/>
      </c>
      <c r="DI349" s="406"/>
      <c r="DJ349" s="138"/>
      <c r="DK349" s="148"/>
      <c r="DL349" s="13"/>
      <c r="DM349" s="13"/>
      <c r="DO349" s="31">
        <f>IF(SnapshotTable[[#This Row],[LC Symbol Count]]=1, SnapshotTable[[#This Row],[LC Qty]] * SnapshotTable[[#This Row],[LC Book Price]] * 100, 0)</f>
        <v>0</v>
      </c>
      <c r="DP349" s="163" t="str">
        <f>IF(AND(SnapshotTable[[#This Row],[LC Exp Date]]&gt;0, SnapshotTable[[#This Row],[LC Strike Price]]&gt;0,SnapshotTable[[#This Row],[LC Qty]]&gt;0,SnapshotTable[[#This Row],[LC Book Date]]&gt;0,SnapshotTable[[#This Row],[LC Book Price]]&gt;0,SnapshotTable[[#This Row],[LC Fill Date]]=0),"Y","")</f>
        <v/>
      </c>
      <c r="DQ349" s="386" t="str">
        <f>IF(SnapshotTable[[#This Row],[LC Premium]] &gt; 0,SnapshotTable[[#This Row],[LC Exp Date]]-MAX(SnapshotTable[[#This Row],[LC Book Date]], SnapshotTable[[#This Row],[LC Fill Date]]),"")</f>
        <v/>
      </c>
      <c r="DR349" s="386" t="str">
        <f>IF(ISNUMBER(SnapshotTable[[#This Row],[LC Term]]), SnapshotTable[[#This Row],[LC Exp Date]] - MockToday, "")</f>
        <v/>
      </c>
      <c r="DS349" s="234" t="str">
        <f>IF(SnapshotTable[[#This Row],[LC Premium]]&gt;0,SnapshotTable[[#This Row],[LC Strike Price]] + SnapshotTable[[#This Row],[LC Book Price]],"")</f>
        <v/>
      </c>
      <c r="DU349" s="9" t="str">
        <f>IF(AND(SnapshotTable[[#This Row],[LC Symbol Count]]&gt;0, SnapshotTable[[#This Row],[LC Contract Value]]&gt;0), SnapshotTable[[#This Row],[LC Contract Value]] * SnapshotTable[[#This Row],[LC Qty]] * 100, "")</f>
        <v/>
      </c>
      <c r="DV349" s="9" t="str">
        <f>IF(AND(ISNUMBER(SnapshotTable[[#This Row],[LC Total Value]]), SnapshotTable[[#This Row],[LC Not Filled]]&lt;&gt;"Y"), SnapshotTable[[#This Row],[LC Total Value]]-SnapshotTable[[#This Row],[LC Premium]],"")</f>
        <v/>
      </c>
      <c r="DW349" s="240" t="str">
        <f>IF(ISNUMBER(SnapshotTable[[#This Row],[LC Actual Gain Loss]]), SnapshotTable[[#This Row],[LC Actual Gain Loss]] / SnapshotTable[[#This Row],[LC Premium]],"")</f>
        <v/>
      </c>
      <c r="DX349" s="284" t="str">
        <f>IF(ISNUMBER(SnapshotTable[[#This Row],[LC Book Price]]),SnapshotTable[[#This Row],[LC Book Price]] * 1.5,"")</f>
        <v/>
      </c>
      <c r="DY349" s="265" t="str">
        <f>IF(SnapshotTable[[#This Row],[LC Premium]]&gt;0, SnapshotTable[[#This Row],[LC Next Target]] * SnapshotTable[[#This Row],[LC Qty]] * 100,"")</f>
        <v/>
      </c>
      <c r="DZ349" s="265" t="str">
        <f>IF(ISNUMBER(SnapshotTable[[#This Row],[LC Target Gross]]), SnapshotTable[[#This Row],[LC Target Gross]] - SnapshotTable[[#This Row],[LC Premium]], "")</f>
        <v/>
      </c>
      <c r="EA349" s="305" t="str">
        <f>IF(ISNUMBER(SnapshotTable[[#This Row],[LC Target Gain Loss]]), SnapshotTable[[#This Row],[LC Target Gain Loss]]/SnapshotTable[[#This Row],[LC Premium]], "")</f>
        <v/>
      </c>
      <c r="EB349" s="262"/>
      <c r="EC349" s="283" t="str">
        <f>IF(SnapshotTable[[#This Row],[LC Premium]]&gt;0, SnapshotTable[[#This Row],[LC Book Price]] * (1 - LC_StopLoss_Pct),"")</f>
        <v/>
      </c>
      <c r="ED349" s="284"/>
      <c r="EE349" s="283" t="str">
        <f>IF(ISNUMBER(SnapshotTable[[#This Row],[LC Contract Value]]),IF(ISNUMBER(SnapshotTable[[#This Row],[LC Stop Loss Override]]), SnapshotTable[[#This Row],[LC Stop Loss Override]],SnapshotTable[[#This Row],[LC Stop Loss Calc Target]]),"")</f>
        <v/>
      </c>
      <c r="EF349" s="31" t="str">
        <f>IF(ISNUMBER(SnapshotTable[[#This Row],[LC Stop  To Use]]), (SnapshotTable[[#This Row],[LC Stop  To Use]] * SnapshotTable[[#This Row],[LC Qty]] * 100),"")</f>
        <v/>
      </c>
      <c r="EG349" s="9" t="str">
        <f>IF(ISNUMBER(SnapshotTable[[#This Row],[LC Total Value]]),SnapshotTable[[#This Row],[LC Stop Loss Amount]] - SnapshotTable[[#This Row],[LC Premium]],"")</f>
        <v/>
      </c>
      <c r="EH349" s="9">
        <f>IF(ISNUMBER(SnapshotTable[[#This Row],[LC Premium]]), SnapshotTable[[#This Row],[LC Qty]] * 100 * SnapshotTable[[#This Row],[LC Strike Price]], "")</f>
        <v>0</v>
      </c>
      <c r="EI349" s="240" t="str">
        <f>IF(AND(ISNUMBER(SnapshotTable[[#This Row],[LC Total Value]]),SnapshotTable[[#This Row],[LC Total Value]]&gt;0),SnapshotTable[[#This Row],[LC Stop Gain Loss]]  / SnapshotTable[[#This Row],[LC Premium]],"")</f>
        <v/>
      </c>
      <c r="EJ349" s="35">
        <f>IF(ISNUMBER(SnapshotTable[[#This Row],[Equity Shares]]),TRUNC(SnapshotTable[[#This Row],[Equity Shares]] / 100),0) + SnapshotTable[[#This Row],[LC Qty]]</f>
        <v>0</v>
      </c>
      <c r="EK349" s="147"/>
      <c r="EL349" s="138" t="str">
        <f>IF(SnapshotTable[[#This Row],[SC Exp Date]]&lt;&gt;"",TRUNC(SnapshotTable[[#This Row],[Last Price]]),"")</f>
        <v/>
      </c>
      <c r="EM349" s="148"/>
      <c r="EN349" s="147"/>
      <c r="EO349" s="147"/>
      <c r="EP349" s="138"/>
      <c r="EQ349" s="419" t="b">
        <f>AND(ISNUMBER(SnapshotTable[[#This Row],[SC Exp Date]]), ISNUMBER(SnapshotTable[[#This Row],[SC Strike Price]]), ISNUMBER(SnapshotTable[[#This Row],[SC Qty]]), ISNUMBER(SnapshotTable[[#This Row],[SC Book Date]]), ISNUMBER(SnapshotTable[[#This Row],[SC Book Price]]))</f>
        <v>0</v>
      </c>
      <c r="ER349" s="419" t="b">
        <f>AND(SnapshotTable[[#This Row],[SC Is Booked]], NOT(ISBLANK(SnapshotTable[[#This Row],[SC Fill Date]])))</f>
        <v>0</v>
      </c>
      <c r="ES349" s="370"/>
      <c r="ET349" s="34" t="str">
        <f>IF(AND(ISNUMBER(SnapshotTable[[#This Row],[SC Exp Date]]), ISNUMBER(SnapshotTable[[#This Row],[SC Book Date]])), SnapshotTable[[#This Row],[SC Exp Date]] - MAX(SnapshotTable[[#This Row],[SC Book Date]], SnapshotTable[[#This Row],[SC Fill Date]]) + 1, "")</f>
        <v/>
      </c>
      <c r="EU349" s="34" t="str">
        <f>IF(ISNUMBER(SnapshotTable[[#This Row],[SC Term]]), SnapshotTable[[#This Row],[SC Exp Date]]- MockToday, "")</f>
        <v/>
      </c>
      <c r="EV349" s="31">
        <f>IF(SnapshotTable[[#This Row],[SC Is Booked]], SnapshotTable[[#This Row],[SC Qty]] * SnapshotTable[[#This Row],[SC Book Price]] * 100, 0)</f>
        <v>0</v>
      </c>
      <c r="EW349" s="4" t="str">
        <f>IF(AND(ISNUMBER(SnapshotTable[[#This Row],[Last Price]]), ISNUMBER( SnapshotTable[[#This Row],[SC Book Price]])), SnapshotTable[[#This Row],[Last Price]] - SnapshotTable[[#This Row],[SC Book Price]],"")</f>
        <v/>
      </c>
      <c r="EX349" s="234" t="str">
        <f>IF(SnapshotTable[[#This Row],[SC Is Booked]],IF(SnapshotTable[[#This Row],[SC Intrinsic Value]] &gt; 0, SnapshotTable[[#This Row],[SC Strike Price]], SnapshotTable[[#This Row],[Last Price]]), "")</f>
        <v/>
      </c>
      <c r="EY349" s="4">
        <f>IF(SnapshotTable[[#This Row],[SC Is Booked]], (MinimumPremiumRequired * SnapshotTable[[#This Row],[SC Basis]] * SnapshotTable[[#This Row],[SC Term]]), 0)</f>
        <v>0</v>
      </c>
      <c r="EZ349" s="283"/>
      <c r="FA349" s="218"/>
      <c r="FB349" s="370"/>
      <c r="FC349" s="4">
        <f>IF(SnapshotTable[[#This Row],[SC Is Filled]], btc_max_buyback_amount(SnapshotTable[[#This Row],[SC Fill Date]],SnapshotTable[[#This Row],[SC Exp Date]], SnapshotTable[[#This Row],[SC Book Price]]),0)</f>
        <v>0</v>
      </c>
      <c r="FD349" s="5"/>
      <c r="FE349" s="144" t="str">
        <f>IF(SnapshotTable[[#This Row],[SC Is Filled]], btc_next_cutoff_date(SnapshotTable[[#This Row],[SC Fill Date]],SnapshotTable[[#This Row],[SC Exp Date]]),"")</f>
        <v/>
      </c>
      <c r="FF349" s="4" t="str" cm="1">
        <f t="array" ref="FF349">IF(SnapshotTable[[#This Row],[SC Is Filled]], btc_should_buy_back(SnapshotTable[[#This Row],[SC Fill Date]], SnapshotTable[[#This Row],[SC Exp Date]], SnapshotTable[[#This Row],[SC Book Price]], SnapshotTable[[#This Row],[SC Current Ask]], MockToday, SnapshotTable[[#This Row],[SC Buyback Override]]),"")</f>
        <v/>
      </c>
      <c r="FG349" s="4">
        <f>IF(SnapshotTable[[#This Row],[SC Is Filled]], MAX(0,SnapshotTable[[#This Row],[Last Price]]  - SnapshotTable[[#This Row],[SC Strike Price]]), 0)</f>
        <v>0</v>
      </c>
      <c r="FH349" s="382">
        <f>IF(SnapshotTable[[#This Row],[SC Is Filled]], IF(ISNUMBER(SnapshotTable[[#This Row],[SC Current Ask]]), SnapshotTable[[#This Row],[SC Current Ask]], SnapshotTable[[#This Row],[SC Book Price]]) - SnapshotTable[[#This Row],[SC Intrinsic Value]], 0)</f>
        <v>0</v>
      </c>
      <c r="FI349" s="143"/>
      <c r="FJ349" s="32" t="str">
        <f>IF(SnapshotTable[[#This Row],[SC Is Filled]],100 * SnapshotTable[[#This Row],[SC Qty]] * IF(ISNUMBER(SnapshotTable[[#This Row],[SC Buyback Override]]), SnapshotTable[[#This Row],[SC Buyback Override]], SnapshotTable[[#This Row],[SC Current Ask]]), "")</f>
        <v/>
      </c>
      <c r="FK349" s="250" t="str">
        <f>IF(SnapshotTable[[#This Row],[SC Time Val]]&gt;0, SnapshotTable[[#This Row],[SC Time Val]] / SnapshotTable[[#This Row],[Last Price]],"")</f>
        <v/>
      </c>
      <c r="FL349" s="302" t="str">
        <f>IF(SnapshotTable[[#This Row],[SC Is Booked]], ((SnapshotTable[[#This Row],[Last Price]] -SnapshotTable[[#This Row],[SC Strike Price]]) / SnapshotTable[[#This Row],[Last Price]]) * -1, "")</f>
        <v/>
      </c>
      <c r="FM349" s="157" t="str">
        <f>IF(SnapshotTable[[#This Row],[SC Is Booked]],  (SnapshotTable[[#This Row],[SC Qty]] * 100 * SnapshotTable[[#This Row],[SC Strike Price]]) - SnapshotTable[[#This Row],[SC Current Ask]], "")</f>
        <v/>
      </c>
      <c r="FN34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9" s="31" t="str">
        <f>IF(AND(ISNUMBER(SnapshotTable[[#This Row],[SC Exercise Gross]]), ISNUMBER(SnapshotTable[[#This Row],[Equity Basis Per Share]] )), SnapshotTable[[#This Row],[SC Exercise Gross]] - SnapshotTable[[#This Row],[Equity Basis Total]] +  SnapshotTable[[#This Row],[SC Premium]], "")</f>
        <v/>
      </c>
      <c r="FP349" s="5" t="str">
        <f>IF(ISNUMBER(SnapshotTable[[#This Row],[SC Exercise Gross]]), (SnapshotTable[[#This Row],[SC Exercise Gross]]) / (SnapshotTable[[#This Row],[SC Qty]] * 100), "")</f>
        <v/>
      </c>
      <c r="FQ349" s="27" t="str">
        <f>IF(SnapshotTable[[#This Row],[SC Is Booked]],SnapshotTable[[#This Row],[SC Time Val]] /SnapshotTable[[#This Row],[SC Basis]], "")</f>
        <v/>
      </c>
      <c r="FR349" s="27" t="str" cm="1">
        <f t="array" ref="FR349">IF(AND(ISNUMBER(SnapshotTable[[#This Row],[SC Term]]),ISNUMBER(SnapshotTable[[#This Row],[SC Simple ROO]])), EllmanAnnualize(SnapshotTable[[#This Row],[SC DTE]], SnapshotTable[[#This Row],[SC Simple ROO]] ),"")</f>
        <v/>
      </c>
      <c r="FS349" s="4" t="e">
        <f>IF(SnapshotTable[[#This Row],[SC Strike Price]] &gt; SnapshotTable[[#This Row],[Last Price]], SnapshotTable[[#This Row],[SC Strike Price]] - SnapshotTable[[#This Row],[Last Price]],0)</f>
        <v>#VALUE!</v>
      </c>
      <c r="FT349" s="27" t="e">
        <f>IF(AND(ISNUMBER(SnapshotTable[[#This Row],[SC Upside Potential]]), SnapshotTable[[#This Row],[SC Upside Potential]] &gt; 0),(SnapshotTable[[#This Row],[SC Upside Potential]]/ SnapshotTable[[#This Row],[ACB]]),"")</f>
        <v>#VALUE!</v>
      </c>
      <c r="FU349" s="333" t="str">
        <f>IF(SnapshotTable[[#This Row],[SC Intrinsic Value]] &gt; 0,SnapshotTable[[#This Row],[SC Intrinsic Value]],"")</f>
        <v/>
      </c>
      <c r="FV349" s="27" t="str">
        <f>IF(AND( ISNUMBER( SnapshotTable[[#This Row],[ACB]]),ISNUMBER(SnapshotTable[[#This Row],[SC Downside Protect]])),SnapshotTable[[#This Row],[SC Downside Protect]] / SnapshotTable[[#This Row],[ACB]],"")</f>
        <v/>
      </c>
      <c r="FW349" s="236" t="str">
        <f>IF(AND(ISNUMBER(SnapshotTable[[#This Row],[SC Simple ROO]]),SnapshotTable[[#This Row],[SC Simple ROO]] &gt; 0), SnapshotTable[[#This Row],[SC Premium]] + (SnapshotTable[[#This Row],[SC Qty]] * SnapshotTable[[#This Row],[SC Upside Potential]]), "")</f>
        <v/>
      </c>
      <c r="FX349" s="302" t="str" cm="1">
        <f t="array" ref="FX349">IF(ISNUMBER(SnapshotTable[[#This Row],[SC Max Dollars]]), annualize(SnapshotTable[[#This Row],[SC Term]],(SnapshotTable[[#This Row],[SC Max Dollars]]/SnapshotTable[[#This Row],[SC Basis]])),"")</f>
        <v/>
      </c>
      <c r="FY349" s="236" t="str">
        <f>IF(AND(SnapshotTable[[#This Row],[SC Qty]]&gt;0,SnapshotTable[[#This Row],[SC Current Ask]]&gt;0), SnapshotTable[[#This Row],[SC Qty]] * SnapshotTable[[#This Row],[SC Current Ask]] * -100, "")</f>
        <v/>
      </c>
      <c r="FZ349" s="31" t="str">
        <f>IF(ISNUMBER((SnapshotTable[[#This Row],[SC Current Value]])), SnapshotTable[[#This Row],[SC Premium]] + SnapshotTable[[#This Row],[SC Current Value]], "")</f>
        <v/>
      </c>
      <c r="GA349" s="294" t="str">
        <f>IFERROR( IF(ISNUMBER((SnapshotTable[[#This Row],[SC Current Value]])), SnapshotTable[[#This Row],[SC Gain Loss]] / SnapshotTable[[#This Row],[SC Premium]], ""), "")</f>
        <v/>
      </c>
      <c r="GB349" s="42">
        <f>SnapshotTable[[#This Row],[Equity Shares]] * SaleSharesToConsiderPercentage</f>
        <v>0</v>
      </c>
      <c r="GC349" s="40">
        <f>SnapshotTable[[#This Row],[Long Term Target]] * SellingPriceToConsiderBasedOnTargetPercentage</f>
        <v>44.915999999999997</v>
      </c>
      <c r="GD349" s="40">
        <f>SnapshotTable[[#This Row],[Last Price]] * (1+ SellingPriceToConsiderBasedOnTargetPercentage)</f>
        <v>102.9405</v>
      </c>
      <c r="GE349" s="41"/>
      <c r="GF349" s="40"/>
      <c r="GG349" s="31">
        <f>SnapshotTable[[#This Row],[Booked Sale Shares]] * SnapshotTable[[#This Row],[Booked Sale Price]]</f>
        <v>0</v>
      </c>
      <c r="GH349" s="31" t="str">
        <f>IF(SnapshotTable[[#This Row],[Equity Basis Total]] &gt; 0, SnapshotTable[[#This Row],[Equity Basis Per Share]] * SnapshotTable[[#This Row],[Booked Sale Shares]], "")</f>
        <v/>
      </c>
      <c r="GI349" s="31">
        <f>IF(SnapshotTable[[#This Row],[Sale Proceeds]]&gt;0, SnapshotTable[[#This Row],[Sale Proceeds]] - SnapshotTable[[#This Row],[Sale Basis]], 0)</f>
        <v>0</v>
      </c>
      <c r="GJ349" s="27" t="str">
        <f>IF(SnapshotTable[[#This Row],[Sale G/L]]&gt;0, SnapshotTable[[#This Row],[Sale G/L]] / SnapshotTable[[#This Row],[Sale Basis]], IF(ISNUMBER(SnapshotTable[[#This Row],[SC Exercise P&amp;L (TAX)]]), SnapshotTable[[#This Row],[SC Exercise P&amp;L (TAX)]] / SnapshotTable[[#This Row],[SC Basis]], ""))</f>
        <v/>
      </c>
      <c r="GK349" s="27" t="s">
        <v>793</v>
      </c>
      <c r="GL349" s="43" t="str">
        <f>IF(AND(SnapshotTable[[#This Row],[LP Exp Date]]&gt;0,SnapshotTable[[#This Row],[LP Strike Price]]&gt;0), [1]!ToOptionSymbol(SnapshotTable[[#This Row],[Symbol]], SnapshotTable[[#This Row],[LP Strike Price]],SnapshotTable[[#This Row],[LP Exp Date]],1), "")</f>
        <v/>
      </c>
      <c r="GM349" s="30" t="str">
        <f>IF(LEN(SnapshotTable[[#This Row],[LP Symbol]])&gt;0, 1, "")</f>
        <v/>
      </c>
      <c r="GN349" s="43" t="str">
        <f>IF(AND(SnapshotTable[[#This Row],[SP Exp Date]]&gt;0,SnapshotTable[[#This Row],[SP Strike Price]]&gt;0), [1]!ToOptionSymbol(SnapshotTable[[#This Row],[Symbol]], SnapshotTable[[#This Row],[SP Strike Price]],SnapshotTable[[#This Row],[SP Exp Date]],1), "")</f>
        <v/>
      </c>
      <c r="GO349" s="30" t="str">
        <f>IF(LEN(SnapshotTable[[#This Row],[SP Symbol]])&gt;0, 1, "")</f>
        <v/>
      </c>
      <c r="GP349" s="43" t="str">
        <f>IF(AND(SnapshotTable[[#This Row],[LC Exp Date]]&gt;0,SnapshotTable[[#This Row],[LC Strike Price]]&gt;0), [1]!ToOptionSymbol(SnapshotTable[[#This Row],[Symbol]], SnapshotTable[[#This Row],[LC Strike Price]],SnapshotTable[[#This Row],[LC Exp Date]],0), "")</f>
        <v/>
      </c>
      <c r="GQ349" s="30" t="str">
        <f>IF(LEN(SnapshotTable[[#This Row],[LC Symbol]])&gt;0, 1, "")</f>
        <v/>
      </c>
      <c r="GR349" s="43" t="str">
        <f>IF(AND(SnapshotTable[[#This Row],[SC Exp Date]]&gt;0,SnapshotTable[[#This Row],[SC Strike Price]]&gt;0), [1]!ToOptionSymbol(SnapshotTable[[#This Row],[Symbol]], SnapshotTable[[#This Row],[SC Strike Price]],SnapshotTable[[#This Row],[SC Exp Date]],0), "")</f>
        <v/>
      </c>
      <c r="GS349" s="30" t="str">
        <f>IF(LEN(SnapshotTable[[#This Row],[SC Symbol]])&gt;0, 1, "")</f>
        <v/>
      </c>
      <c r="GT349" s="29" t="str">
        <f>IF(COUNT(SnapshotTable[[#This Row],[LP Symbol Count]],SnapshotTable[[#This Row],[SP Symbol Count]],SnapshotTable[[#This Row],[LC Symbol Count]],SnapshotTable[[#This Row],[SC Symbol Count]])&gt;0, "Y", "")</f>
        <v/>
      </c>
      <c r="GU34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49" s="231" t="e">
        <f>MAX(SnapshotTable[[#This Row],[Equity Basis Total]],SnapshotTable[[#This Row],[Equity Value]]) + (SnapshotTable[[#This Row],[SP Potential Spend]]- SnapshotTable[[#This Row],[SP Premium]] + SnapshotTable[[#This Row],[LP Premium]])+ (SnapshotTable[[#This Row],[LC Premium]] - SnapshotTable[[#This Row],[SC Premium]])</f>
        <v>#VALUE!</v>
      </c>
      <c r="GW349" s="139" t="e">
        <f>IF(AND(SnapshotTable[[#This Row],[Exposure]] &lt;&gt; 0),SnapshotTable[[#This Row],[Exposure]] / SnapshotTable[[#Totals],[Exposure]], "")</f>
        <v>#VALUE!</v>
      </c>
      <c r="HK349" s="1"/>
      <c r="HL349" s="1"/>
      <c r="HM349" s="1"/>
      <c r="HN349" s="1"/>
      <c r="HO349" s="1"/>
      <c r="HP349" s="1"/>
    </row>
    <row r="350" spans="2:224" ht="12.75" hidden="1" customHeight="1" x14ac:dyDescent="0.25">
      <c r="B350" s="12" t="s">
        <v>1030</v>
      </c>
      <c r="C350" s="422">
        <v>25.85</v>
      </c>
      <c r="D350" s="208"/>
      <c r="E350" s="39">
        <f>SnapshotTable[[#This Row],[Last Price]]*(1 -CrashDiscount)</f>
        <v>21.9725</v>
      </c>
      <c r="F350" s="26" t="s">
        <v>945</v>
      </c>
      <c r="G350" s="26" t="s">
        <v>606</v>
      </c>
      <c r="H350" s="149"/>
      <c r="I350" s="194">
        <v>44768.291666666664</v>
      </c>
      <c r="J350" s="195">
        <v>44768.291666666664</v>
      </c>
      <c r="K350" s="196"/>
      <c r="L350" s="326"/>
      <c r="M350" s="140"/>
      <c r="N350" s="140"/>
      <c r="O350" s="140"/>
      <c r="P350" s="22"/>
      <c r="Q350" s="25"/>
      <c r="R350" s="4" t="str">
        <f>IF(SnapshotTable[[#This Row],[Equity Basis Total]] &gt; 0, SnapshotTable[[#This Row],[Equity Basis Total]] / SnapshotTable[[#This Row],[Equity Shares]], "")</f>
        <v/>
      </c>
      <c r="S350" s="269">
        <f>SnapshotTable[[#This Row],[Last Price]] * SnapshotTable[[#This Row],[Equity Shares]]</f>
        <v>0</v>
      </c>
      <c r="T350" s="269">
        <f>SnapshotTable[[#This Row],[Equity Value]] - SnapshotTable[[#This Row],[Equity Basis Total]]</f>
        <v>0</v>
      </c>
      <c r="U350" s="270" t="str">
        <f>IF(SnapshotTable[[#This Row],[Equity Basis Total]] &gt; 0, SnapshotTable[[#This Row],[Equity G/L]] / SnapshotTable[[#This Row],[Equity Basis Total]], "")</f>
        <v/>
      </c>
      <c r="V350" s="268"/>
      <c r="W350" s="334"/>
      <c r="X350" s="4" t="str">
        <f>IF(AND(ISNUMBER(SnapshotTable[[#This Row],[Equity Basis Per Share]]),ISNUMBER(SnapshotTable[[#This Row],[Equity Target]])),SnapshotTable[[#This Row],[Equity Target]]-SnapshotTable[[#This Row],[Equity Basis Per Share]],"")</f>
        <v/>
      </c>
      <c r="Y350" s="4" t="str">
        <f>IF(AND(ISNUMBER(SnapshotTable[[#This Row],[Equity Basis Per Share]]),ISNUMBER(SnapshotTable[[#This Row],[Equity Stop Loss]])),SnapshotTable[[#This Row],[Equity Stop Loss]]-SnapshotTable[[#This Row],[Equity Basis Per Share]],"")</f>
        <v/>
      </c>
      <c r="Z350" s="275" t="str">
        <f>IFERROR( TEXT(SnapshotTable[[#This Row],[Equity Max Gain Per Share]] /ABS( SnapshotTable[[#This Row],[Equity Max Loss Per Share]]),"0.0 " ) &amp; " : 1", "")</f>
        <v/>
      </c>
      <c r="AA350" s="31" t="str">
        <f>IF(ISNUMBER(SnapshotTable[[#This Row],[Equity Max Gain Per Share]]),SnapshotTable[[#This Row],[Equity Max Gain Per Share]] * SnapshotTable[[#This Row],[Equity Shares]],"")</f>
        <v/>
      </c>
      <c r="AB350" s="31" t="str">
        <f>IF(ISNUMBER(SnapshotTable[[#This Row],[Equity Max Loss Per Share]]),SnapshotTable[[#This Row],[Equity Max Loss Per Share]] * SnapshotTable[[#This Row],[Equity Shares]],"")</f>
        <v/>
      </c>
      <c r="AC350" s="150"/>
      <c r="AD350" s="151"/>
      <c r="AE350" s="31">
        <f>(SnapshotTable[[#This Row],[Annual Dividend Per Share]] / 4) * SnapshotTable[[#This Row],[Equity Shares]]</f>
        <v>0</v>
      </c>
      <c r="AF350" s="31">
        <f>SnapshotTable[[#This Row],[Quarterly Div $]] * 4</f>
        <v>0</v>
      </c>
      <c r="AG350" s="7">
        <f>IF(SnapshotTable[[#This Row],[Annual Dividend Per Share]]&gt;0, SnapshotTable[[#This Row],[Annual Dividend Per Share]]  / SnapshotTable[[#This Row],[Last Price]], 0)</f>
        <v>0</v>
      </c>
      <c r="AH350" s="151"/>
      <c r="AI350" s="5"/>
      <c r="AJ350" s="138">
        <v>37.159999999999997</v>
      </c>
      <c r="AK350" s="152" t="str">
        <f>IF(ISNUMBER( SnapshotTable[[#This Row],[EBF Target]]),(SnapshotTable[[#This Row],[EBF Target]] - SnapshotTable[[#This Row],[Last Price]]) / SnapshotTable[[#This Row],[Last Price]], "")</f>
        <v/>
      </c>
      <c r="AL350" s="152" t="str">
        <f>IF(AND(SnapshotTable[[#This Row],[Equity Basis Total]] &gt; 0,ISNUMBER( SnapshotTable[[#This Row],[Long Term Target]])), SnapshotTable[[#This Row],[From Basis $]] / SnapshotTable[[#This Row],[Equity Basis Total]], "")</f>
        <v/>
      </c>
      <c r="AM350" s="9">
        <f>IF( AND(SnapshotTable[[#This Row],[Equity Shares]] &gt;0,ISNUMBER( SnapshotTable[[#This Row],[Long Term Target]])),(SnapshotTable[[#This Row],[Equity Shares]] * SnapshotTable[[#This Row],[Long Term Target]]) - SnapshotTable[[#This Row],[Equity Basis Total]],0)</f>
        <v>0</v>
      </c>
      <c r="AN350" s="9">
        <f>IF( AND(SnapshotTable[[#This Row],[Equity Shares]] &gt;0,ISNUMBER( SnapshotTable[[#This Row],[Long Term Target]])),(SnapshotTable[[#This Row],[Equity Shares]]*SnapshotTable[[#This Row],[Long Term Target]]) - SnapshotTable[[#This Row],[Equity Value]],0)</f>
        <v>0</v>
      </c>
      <c r="AO350" s="152">
        <f>IF(AND(ISNUMBER( SnapshotTable[[#This Row],[Long Term Target]]), ISNUMBER(SnapshotTable[[#This Row],[Last Price]])),(SnapshotTable[[#This Row],[Long Term Target]] - SnapshotTable[[#This Row],[Last Price]]) / SnapshotTable[[#This Row],[Last Price]], "")</f>
        <v>0.43752417794970966</v>
      </c>
      <c r="AP350" s="5"/>
      <c r="AQ350" s="38"/>
      <c r="AR350" s="5"/>
      <c r="AS350" s="38"/>
      <c r="AT350" s="146"/>
      <c r="AU350" s="187" t="str">
        <f>IF(OR(SnapshotTable[[#This Row],[LP No Fill]]="Y",SnapshotTable[[#This Row],[SP Is Filled]],SnapshotTable[[#This Row],[LC Not Filled]]="Y",SnapshotTable[[#This Row],[SC Is Filled]]),"Y","")</f>
        <v/>
      </c>
      <c r="AV350" s="219"/>
      <c r="AW350" s="225"/>
      <c r="AX350" s="220"/>
      <c r="AY350" s="219" t="str">
        <f>IF(SnapshotTable[[#This Row],[Implied Move]]&gt;0, SnapshotTable[[#This Row],[Last Price]]-SnapshotTable[[#This Row],[Implied Move]],"")</f>
        <v/>
      </c>
      <c r="AZ350" s="219" t="str">
        <f>IF(SnapshotTable[[#This Row],[Implied Move]]&gt;0, SnapshotTable[[#This Row],[Last Price]] + SnapshotTable[[#This Row],[Implied Move]],"")</f>
        <v/>
      </c>
      <c r="BA350" s="331">
        <v>33.86</v>
      </c>
      <c r="BB350" s="347"/>
      <c r="BC35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0" s="351"/>
      <c r="BE350" s="138"/>
      <c r="BF350" s="166"/>
      <c r="BG350" s="167"/>
      <c r="BH350" s="167"/>
      <c r="BI350" s="221"/>
      <c r="BJ350" s="153">
        <f>IF(SnapshotTable[[#This Row],[LP Qty]] &gt; 0, SnapshotTable[[#This Row],[LP Qty]] * SnapshotTable[[#This Row],[LP Book Price]] * 100,0)</f>
        <v>0</v>
      </c>
      <c r="BK350" s="136">
        <f>IF(SnapshotTable[[#This Row],[LP Premium]] &gt; 0, SnapshotTable[[#This Row],[LP Qty]] * SnapshotTable[[#This Row],[LP Strike Price]] * 100,0)</f>
        <v>0</v>
      </c>
      <c r="BL350" s="154"/>
      <c r="BM350" s="385" t="str">
        <f>IF(SnapshotTable[[#This Row],[LP Premium]] &gt; 0,SnapshotTable[[#This Row],[LP Exp Date]]-MAX(SnapshotTable[[#This Row],[LP Book Date]], SnapshotTable[[#This Row],[LP Fill Date]]),"")</f>
        <v/>
      </c>
      <c r="BN350" s="385" t="str">
        <f>IF(ISNUMBER( SnapshotTable[[#This Row],[LP Term]]), SnapshotTable[[#This Row],[LP Exp Date]] - MockToday,"")</f>
        <v/>
      </c>
      <c r="BO350" s="163" t="str">
        <f>IF(AND(SnapshotTable[[#This Row],[LP Exp Date]]&gt;0, SnapshotTable[[#This Row],[LP Strike Price]]&gt;0,SnapshotTable[[#This Row],[LP Qty]]&gt;0,SnapshotTable[[#This Row],[LP Book Date]]&gt;0,SnapshotTable[[#This Row],[LP Book Price]]&gt;0,SnapshotTable[[#This Row],[LP Fill Date]]=0),"Y","")</f>
        <v/>
      </c>
      <c r="BP350" s="31" t="str">
        <f>IF(AND(SnapshotTable[[#This Row],[LP No Fill]]&lt;&gt;"Y",SnapshotTable[[#This Row],[LP Contract Value]]&gt;0, SnapshotTable[[#This Row],[LP Qty]]&gt;0), SnapshotTable[[#This Row],[LP Contract Value]]*SnapshotTable[[#This Row],[LP Qty]]*100,"")</f>
        <v/>
      </c>
      <c r="BQ350" s="13"/>
      <c r="BR350" s="5" t="str">
        <f>IF(SnapshotTable[[#This Row],[SP Exp Date]]&lt;&gt;"",TRUNC(SnapshotTable[[#This Row],[Last Price]]),"")</f>
        <v/>
      </c>
      <c r="BS350" s="36"/>
      <c r="BT350" s="147"/>
      <c r="BU350" s="13"/>
      <c r="BV350" s="5"/>
      <c r="BW350" s="419" t="b">
        <f>AND(ISNUMBER(SnapshotTable[[#This Row],[SP Exp Date]]), ISNUMBER(SnapshotTable[[#This Row],[SP Strike Price]]), ISNUMBER(SnapshotTable[[#This Row],[SP Qty]]), ISNUMBER(SnapshotTable[[#This Row],[SP Book Date]]), ISNUMBER(SnapshotTable[[#This Row],[SP Book Price]]))</f>
        <v>0</v>
      </c>
      <c r="BX350" s="419" t="b">
        <f>AND(SnapshotTable[[#This Row],[SP Is Booked]], NOT(ISBLANK(SnapshotTable[[#This Row],[SP Fill Date]])))</f>
        <v>0</v>
      </c>
      <c r="BY350" s="33">
        <f>IF(SnapshotTable[[#This Row],[SP Is Booked]], SnapshotTable[[#This Row],[SP Qty]] * SnapshotTable[[#This Row],[SP Book Price]] * 100, 0)</f>
        <v>0</v>
      </c>
      <c r="BZ350" s="369"/>
      <c r="CA350" s="368">
        <f>SnapshotTable[[#This Row],[LP Qty]]</f>
        <v>0</v>
      </c>
      <c r="CB350" s="4" t="str">
        <f>IF(SnapshotTable[[#This Row],[SP Is Booked]], SnapshotTable[[#This Row],[SP Strike Price]] - SnapshotTable[[#This Row],[SP Book Price]], "")</f>
        <v/>
      </c>
      <c r="CC350" s="19" t="str">
        <f>IF(SnapshotTable[[#This Row],[SP Is Booked]],SnapshotTable[[#This Row],[SP Exp Date]]-MAX(SnapshotTable[[#This Row],[SP Book Date]], SnapshotTable[[#This Row],[SP Fill Date]]),"")</f>
        <v/>
      </c>
      <c r="CD350" s="7" t="str">
        <f>IF(SnapshotTable[[#This Row],[SP Is Booked]], SnapshotTable[[#This Row],[SP Book Price]]/SnapshotTable[[#This Row],[SP Strike Price]], "")</f>
        <v/>
      </c>
      <c r="CE350" s="7" t="str">
        <f>IF(ISNUMBER(SnapshotTable[[#This Row],[SP ROO Term]]),SnapshotTable[[#This Row],[SP ROO Term]]*(365/SnapshotTable[[#This Row],[SP Term]]),"")</f>
        <v/>
      </c>
      <c r="CF350" s="236">
        <f>SnapshotTable[[#This Row],[LP Strike Price]] * SnapshotTable[[#This Row],[LP Qty]] * 100</f>
        <v>0</v>
      </c>
      <c r="CG350" s="31" t="e">
        <f>IF(ISNUMBER(SnapshotTable[[#This Row],[SP Premium]]), (SnapshotTable[[#This Row],[SP Qty]] * SnapshotTable[[#This Row],[SP Strike Price]]* 100) - SnapshotTable[[#This Row],[LP Protection]], 0)</f>
        <v>#VALUE!</v>
      </c>
      <c r="CH350" s="7" t="str">
        <f>IF(ISNUMBER(SnapshotTable[[#This Row],[SP Break Even]]),-1 * (SnapshotTable[[#This Row],[SP Break Even]] - SnapshotTable[[#This Row],[Last Price]]) / SnapshotTable[[#This Row],[Last Price]], "")</f>
        <v/>
      </c>
      <c r="CI350" s="31">
        <f>IF(AND(ISNUMBER((SnapshotTable[[#This Row],[SP Potential Spend]])), SnapshotTable[[#This Row],[SP Strike Price]] &gt; SnapshotTable[[#This Row],[Last Price]], SnapshotTable[[#This Row],[SP Is Filled]]), SnapshotTable[[#This Row],[SP Potential Spend]] -  SnapshotTable[[#This Row],[LP Max Value]], 0)</f>
        <v>0</v>
      </c>
      <c r="CJ350" s="244"/>
      <c r="CK350" s="31" t="str">
        <f>IF(ISNUMBER(SnapshotTable[[#This Row],[SP Potential Spend]]),IF(ISNUMBER(SnapshotTable[[#This Row],[SP POW]]), SnapshotTable[[#This Row],[SP POW]] * SnapshotTable[[#This Row],[SP Potential Spend]], SnapshotTable[[#This Row],[SP Potential Spend]]), "")</f>
        <v/>
      </c>
      <c r="CL350" s="164" t="e">
        <f>IF(NOT(SnapshotTable[[#This Row],[SP Is Filled]]),(SnapshotTable[[#This Row],[SP Qty]] * SnapshotTable[[#This Row],[SP Strike Price]] * 100) - SnapshotTable[[#This Row],[LP Max Value]],"")</f>
        <v>#VALUE!</v>
      </c>
      <c r="CM350" s="31" t="str">
        <f>IF(SnapshotTable[[#This Row],[SP Actual Spend]]&lt;&gt;0, ((SnapshotTable[[#This Row],[SP Strike Price]]-SnapshotTable[[#This Row],[Last Price]]) *(SnapshotTable[[#This Row],[SP Qty]]*100) - SnapshotTable[[#This Row],[SP Premium]]) * - 1, "")</f>
        <v/>
      </c>
      <c r="CN350" s="154"/>
      <c r="CO350" s="369"/>
      <c r="CP350" s="4" t="str">
        <f>IF(SnapshotTable[[#This Row],[SP Is Filled]], btc_max_buyback_amount(SnapshotTable[[#This Row],[SP Fill Date]],SnapshotTable[[#This Row],[SP Exp Date]], SnapshotTable[[#This Row],[SP Book Price]]),"")</f>
        <v/>
      </c>
      <c r="CQ350" s="78"/>
      <c r="CR35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0" s="155" t="str">
        <f>IF(SnapshotTable[[#This Row],[SP Is Filled]], btc_next_cutoff_date(SnapshotTable[[#This Row],[SP Fill Date]],SnapshotTable[[#This Row],[SP Exp Date]]),"")</f>
        <v/>
      </c>
      <c r="CT350" s="235" t="str" cm="1">
        <f t="array" ref="CT350">IF(SnapshotTable[[#This Row],[SP Is Filled]], btc_should_buy_back(SnapshotTable[[#This Row],[SP Fill Date]], SnapshotTable[[#This Row],[SP Exp Date]], SnapshotTable[[#This Row],[SP Book Price]], SnapshotTable[[#This Row],[SP Current Ask]], MockToday, SnapshotTable[[#This Row],[SP Buyback Override]]),"")</f>
        <v/>
      </c>
      <c r="CU350" s="143"/>
      <c r="CV350" s="235"/>
      <c r="CW350" s="378" t="str">
        <f>IF(ISNUMBER( SnapshotTable[[#This Row],[SP Term]]), SnapshotTable[[#This Row],[SP Exp Date]] - MockToday,"")</f>
        <v/>
      </c>
      <c r="CX350" s="31" t="str">
        <f>IF(SnapshotTable[[#This Row],[SP Is Filled]],SnapshotTable[[#This Row],[SP Buyback Price to Use]] * 100 * SnapshotTable[[#This Row],[SP Qty]], "")</f>
        <v/>
      </c>
      <c r="CY350" s="4" t="str">
        <f>IF(ISNUMBER(SnapshotTable[[#This Row],[SP Strike Price]]), SnapshotTable[[#This Row],[SP Strike Price]] * (1 - SP_MaxLoss_StrikePct), "")</f>
        <v/>
      </c>
      <c r="CZ350" s="31" t="str">
        <f>IF(ISNUMBER(SnapshotTable[[#This Row],[SP Strike  Stop Per Share]]),SnapshotTable[[#This Row],[SP Premium]] - ((SnapshotTable[[#This Row],[SP Strike Price]]-SnapshotTable[[#This Row],[SP Strike  Stop Per Share]]) *(SnapshotTable[[#This Row],[SP Qty]] * 100)),"")</f>
        <v/>
      </c>
      <c r="DA350" s="4" t="str">
        <f>IF(AND(ISNUMBER(SnapshotTable[[#This Row],[SP Premium]]),SnapshotTable[[#This Row],[SP Premium]]&gt;0), SnapshotTable[[#This Row],[SP Book Price]] * (1 + SP_MaxLoss_OptionPct), "")</f>
        <v/>
      </c>
      <c r="DB350" s="31" t="str">
        <f>IF(ISNUMBER(SnapshotTable[[#This Row],[SP Option  Stop Contract]]),(SnapshotTable[[#This Row],[SP Option  Stop Contract]] *(SnapshotTable[[#This Row],[SP Qty]] * 100) - SnapshotTable[[#This Row],[SP Premium]]),"")</f>
        <v/>
      </c>
      <c r="DC350" s="4"/>
      <c r="DD350" s="4"/>
      <c r="DE350" s="4" t="str">
        <f>IF(AND(SnapshotTable[[#This Row],[SP Qty]]&gt;0, SnapshotTable[[#This Row],[SP Stop To Use]]&gt;0),SnapshotTable[[#This Row],[SP Premium]] - ( SnapshotTable[[#This Row],[SP Qty]] * SnapshotTable[[#This Row],[SP Stop To Use]] * 100), "")</f>
        <v/>
      </c>
      <c r="DF350" s="31" t="str">
        <f>IF(AND(SnapshotTable[[#This Row],[SP Qty]]&gt;0,SnapshotTable[[#This Row],[SP Current Ask]]&gt;0), SnapshotTable[[#This Row],[SP Qty]] * SnapshotTable[[#This Row],[SP Current Ask]] * -100, "")</f>
        <v/>
      </c>
      <c r="DG350" s="31" t="str">
        <f>IF(ISNUMBER((SnapshotTable[[#This Row],[SP Total Value]])), SnapshotTable[[#This Row],[SP Premium]] + SnapshotTable[[#This Row],[SP Total Value]], "")</f>
        <v/>
      </c>
      <c r="DH350" s="294" t="str">
        <f>IF(ISNUMBER((SnapshotTable[[#This Row],[SP Total Value]])), SnapshotTable[[#This Row],[SP Gain Loss]] / SnapshotTable[[#This Row],[SP Premium]], "")</f>
        <v/>
      </c>
      <c r="DI350" s="406"/>
      <c r="DJ350" s="138"/>
      <c r="DK350" s="148"/>
      <c r="DL350" s="147"/>
      <c r="DM350" s="147"/>
      <c r="DO350" s="31">
        <f>IF(SnapshotTable[[#This Row],[LC Symbol Count]]=1, SnapshotTable[[#This Row],[LC Qty]] * SnapshotTable[[#This Row],[LC Book Price]] * 100, 0)</f>
        <v>0</v>
      </c>
      <c r="DP350" s="163" t="str">
        <f>IF(AND(SnapshotTable[[#This Row],[LC Exp Date]]&gt;0, SnapshotTable[[#This Row],[LC Strike Price]]&gt;0,SnapshotTable[[#This Row],[LC Qty]]&gt;0,SnapshotTable[[#This Row],[LC Book Date]]&gt;0,SnapshotTable[[#This Row],[LC Book Price]]&gt;0,SnapshotTable[[#This Row],[LC Fill Date]]=0),"Y","")</f>
        <v/>
      </c>
      <c r="DQ350" s="386" t="str">
        <f>IF(SnapshotTable[[#This Row],[LC Premium]] &gt; 0,SnapshotTable[[#This Row],[LC Exp Date]]-MAX(SnapshotTable[[#This Row],[LC Book Date]], SnapshotTable[[#This Row],[LC Fill Date]]),"")</f>
        <v/>
      </c>
      <c r="DR350" s="386" t="str">
        <f>IF(ISNUMBER(SnapshotTable[[#This Row],[LC Term]]), SnapshotTable[[#This Row],[LC Exp Date]] - MockToday, "")</f>
        <v/>
      </c>
      <c r="DS350" s="234" t="str">
        <f>IF(SnapshotTable[[#This Row],[LC Premium]]&gt;0,SnapshotTable[[#This Row],[LC Strike Price]] + SnapshotTable[[#This Row],[LC Book Price]],"")</f>
        <v/>
      </c>
      <c r="DU350" s="9" t="str">
        <f>IF(AND(SnapshotTable[[#This Row],[LC Symbol Count]]&gt;0, SnapshotTable[[#This Row],[LC Contract Value]]&gt;0), SnapshotTable[[#This Row],[LC Contract Value]] * SnapshotTable[[#This Row],[LC Qty]] * 100, "")</f>
        <v/>
      </c>
      <c r="DV350" s="9" t="str">
        <f>IF(AND(ISNUMBER(SnapshotTable[[#This Row],[LC Total Value]]), SnapshotTable[[#This Row],[LC Not Filled]]&lt;&gt;"Y"), SnapshotTable[[#This Row],[LC Total Value]]-SnapshotTable[[#This Row],[LC Premium]],"")</f>
        <v/>
      </c>
      <c r="DW350" s="240" t="str">
        <f>IF(ISNUMBER(SnapshotTable[[#This Row],[LC Actual Gain Loss]]), SnapshotTable[[#This Row],[LC Actual Gain Loss]] / SnapshotTable[[#This Row],[LC Premium]],"")</f>
        <v/>
      </c>
      <c r="DX350" s="284" t="str">
        <f>IF(ISNUMBER(SnapshotTable[[#This Row],[LC Book Price]]),SnapshotTable[[#This Row],[LC Book Price]] * 1.5,"")</f>
        <v/>
      </c>
      <c r="DY350" s="265" t="str">
        <f>IF(SnapshotTable[[#This Row],[LC Premium]]&gt;0, SnapshotTable[[#This Row],[LC Next Target]] * SnapshotTable[[#This Row],[LC Qty]] * 100,"")</f>
        <v/>
      </c>
      <c r="DZ350" s="265" t="str">
        <f>IF(ISNUMBER(SnapshotTable[[#This Row],[LC Target Gross]]), SnapshotTable[[#This Row],[LC Target Gross]] - SnapshotTable[[#This Row],[LC Premium]], "")</f>
        <v/>
      </c>
      <c r="EA350" s="305" t="str">
        <f>IF(ISNUMBER(SnapshotTable[[#This Row],[LC Target Gain Loss]]), SnapshotTable[[#This Row],[LC Target Gain Loss]]/SnapshotTable[[#This Row],[LC Premium]], "")</f>
        <v/>
      </c>
      <c r="EB350" s="262"/>
      <c r="EC350" s="283" t="str">
        <f>IF(SnapshotTable[[#This Row],[LC Premium]]&gt;0, SnapshotTable[[#This Row],[LC Book Price]] * (1 - LC_StopLoss_Pct),"")</f>
        <v/>
      </c>
      <c r="ED350" s="284"/>
      <c r="EE350" s="283" t="str">
        <f>IF(ISNUMBER(SnapshotTable[[#This Row],[LC Contract Value]]),IF(ISNUMBER(SnapshotTable[[#This Row],[LC Stop Loss Override]]), SnapshotTable[[#This Row],[LC Stop Loss Override]],SnapshotTable[[#This Row],[LC Stop Loss Calc Target]]),"")</f>
        <v/>
      </c>
      <c r="EF350" s="31" t="str">
        <f>IF(ISNUMBER(SnapshotTable[[#This Row],[LC Stop  To Use]]), (SnapshotTable[[#This Row],[LC Stop  To Use]] * SnapshotTable[[#This Row],[LC Qty]] * 100),"")</f>
        <v/>
      </c>
      <c r="EG350" s="9" t="str">
        <f>IF(ISNUMBER(SnapshotTable[[#This Row],[LC Total Value]]),SnapshotTable[[#This Row],[LC Stop Loss Amount]] - SnapshotTable[[#This Row],[LC Premium]],"")</f>
        <v/>
      </c>
      <c r="EH350" s="9">
        <f>IF(ISNUMBER(SnapshotTable[[#This Row],[LC Premium]]), SnapshotTable[[#This Row],[LC Qty]] * 100 * SnapshotTable[[#This Row],[LC Strike Price]], "")</f>
        <v>0</v>
      </c>
      <c r="EI350" s="240" t="str">
        <f>IF(AND(ISNUMBER(SnapshotTable[[#This Row],[LC Total Value]]),SnapshotTable[[#This Row],[LC Total Value]]&gt;0),SnapshotTable[[#This Row],[LC Stop Gain Loss]]  / SnapshotTable[[#This Row],[LC Premium]],"")</f>
        <v/>
      </c>
      <c r="EJ350" s="35">
        <f>IF(ISNUMBER(SnapshotTable[[#This Row],[Equity Shares]]),TRUNC(SnapshotTable[[#This Row],[Equity Shares]] / 100),0) + SnapshotTable[[#This Row],[LC Qty]]</f>
        <v>0</v>
      </c>
      <c r="EK350" s="147"/>
      <c r="EL350" s="138" t="str">
        <f>IF(SnapshotTable[[#This Row],[SC Exp Date]]&lt;&gt;"",TRUNC(SnapshotTable[[#This Row],[Last Price]]),"")</f>
        <v/>
      </c>
      <c r="EM350" s="148"/>
      <c r="EN350" s="147"/>
      <c r="EO350" s="147"/>
      <c r="EP350" s="138"/>
      <c r="EQ350" s="419" t="b">
        <f>AND(ISNUMBER(SnapshotTable[[#This Row],[SC Exp Date]]), ISNUMBER(SnapshotTable[[#This Row],[SC Strike Price]]), ISNUMBER(SnapshotTable[[#This Row],[SC Qty]]), ISNUMBER(SnapshotTable[[#This Row],[SC Book Date]]), ISNUMBER(SnapshotTable[[#This Row],[SC Book Price]]))</f>
        <v>0</v>
      </c>
      <c r="ER350" s="419" t="b">
        <f>AND(SnapshotTable[[#This Row],[SC Is Booked]], NOT(ISBLANK(SnapshotTable[[#This Row],[SC Fill Date]])))</f>
        <v>0</v>
      </c>
      <c r="ES350" s="370"/>
      <c r="ET350" s="34" t="str">
        <f>IF(AND(ISNUMBER(SnapshotTable[[#This Row],[SC Exp Date]]), ISNUMBER(SnapshotTable[[#This Row],[SC Book Date]])), SnapshotTable[[#This Row],[SC Exp Date]] - MAX(SnapshotTable[[#This Row],[SC Book Date]], SnapshotTable[[#This Row],[SC Fill Date]]) + 1, "")</f>
        <v/>
      </c>
      <c r="EU350" s="34" t="str">
        <f>IF(ISNUMBER(SnapshotTable[[#This Row],[SC Term]]), SnapshotTable[[#This Row],[SC Exp Date]]- MockToday, "")</f>
        <v/>
      </c>
      <c r="EV350" s="31">
        <f>IF(SnapshotTable[[#This Row],[SC Is Booked]], SnapshotTable[[#This Row],[SC Qty]] * SnapshotTable[[#This Row],[SC Book Price]] * 100, 0)</f>
        <v>0</v>
      </c>
      <c r="EW350" s="4" t="str">
        <f>IF(AND(ISNUMBER(SnapshotTable[[#This Row],[Last Price]]), ISNUMBER( SnapshotTable[[#This Row],[SC Book Price]])), SnapshotTable[[#This Row],[Last Price]] - SnapshotTable[[#This Row],[SC Book Price]],"")</f>
        <v/>
      </c>
      <c r="EX350" s="234" t="str">
        <f>IF(SnapshotTable[[#This Row],[SC Is Booked]],IF(SnapshotTable[[#This Row],[SC Intrinsic Value]] &gt; 0, SnapshotTable[[#This Row],[SC Strike Price]], SnapshotTable[[#This Row],[Last Price]]), "")</f>
        <v/>
      </c>
      <c r="EY350" s="4">
        <f>IF(SnapshotTable[[#This Row],[SC Is Booked]], (MinimumPremiumRequired * SnapshotTable[[#This Row],[SC Basis]] * SnapshotTable[[#This Row],[SC Term]]), 0)</f>
        <v>0</v>
      </c>
      <c r="EZ350" s="283"/>
      <c r="FA350" s="218"/>
      <c r="FB350" s="370"/>
      <c r="FC350" s="4">
        <f>IF(SnapshotTable[[#This Row],[SC Is Filled]], btc_max_buyback_amount(SnapshotTable[[#This Row],[SC Fill Date]],SnapshotTable[[#This Row],[SC Exp Date]], SnapshotTable[[#This Row],[SC Book Price]]),0)</f>
        <v>0</v>
      </c>
      <c r="FD350" s="5"/>
      <c r="FE350" s="144" t="str">
        <f>IF(SnapshotTable[[#This Row],[SC Is Filled]], btc_next_cutoff_date(SnapshotTable[[#This Row],[SC Fill Date]],SnapshotTable[[#This Row],[SC Exp Date]]),"")</f>
        <v/>
      </c>
      <c r="FF350" s="4" t="str" cm="1">
        <f t="array" ref="FF350">IF(SnapshotTable[[#This Row],[SC Is Filled]], btc_should_buy_back(SnapshotTable[[#This Row],[SC Fill Date]], SnapshotTable[[#This Row],[SC Exp Date]], SnapshotTable[[#This Row],[SC Book Price]], SnapshotTable[[#This Row],[SC Current Ask]], MockToday, SnapshotTable[[#This Row],[SC Buyback Override]]),"")</f>
        <v/>
      </c>
      <c r="FG350" s="4">
        <f>IF(SnapshotTable[[#This Row],[SC Is Filled]], MAX(0,SnapshotTable[[#This Row],[Last Price]]  - SnapshotTable[[#This Row],[SC Strike Price]]), 0)</f>
        <v>0</v>
      </c>
      <c r="FH350" s="382">
        <f>IF(SnapshotTable[[#This Row],[SC Is Filled]], IF(ISNUMBER(SnapshotTable[[#This Row],[SC Current Ask]]), SnapshotTable[[#This Row],[SC Current Ask]], SnapshotTable[[#This Row],[SC Book Price]]) - SnapshotTable[[#This Row],[SC Intrinsic Value]], 0)</f>
        <v>0</v>
      </c>
      <c r="FI350" s="143"/>
      <c r="FJ350" s="32" t="str">
        <f>IF(SnapshotTable[[#This Row],[SC Is Filled]],100 * SnapshotTable[[#This Row],[SC Qty]] * IF(ISNUMBER(SnapshotTable[[#This Row],[SC Buyback Override]]), SnapshotTable[[#This Row],[SC Buyback Override]], SnapshotTable[[#This Row],[SC Current Ask]]), "")</f>
        <v/>
      </c>
      <c r="FK350" s="250" t="str">
        <f>IF(SnapshotTable[[#This Row],[SC Time Val]]&gt;0, SnapshotTable[[#This Row],[SC Time Val]] / SnapshotTable[[#This Row],[Last Price]],"")</f>
        <v/>
      </c>
      <c r="FL350" s="302" t="str">
        <f>IF(SnapshotTable[[#This Row],[SC Is Booked]], ((SnapshotTable[[#This Row],[Last Price]] -SnapshotTable[[#This Row],[SC Strike Price]]) / SnapshotTable[[#This Row],[Last Price]]) * -1, "")</f>
        <v/>
      </c>
      <c r="FM350" s="157" t="str">
        <f>IF(SnapshotTable[[#This Row],[SC Is Booked]],  (SnapshotTable[[#This Row],[SC Qty]] * 100 * SnapshotTable[[#This Row],[SC Strike Price]]) - SnapshotTable[[#This Row],[SC Current Ask]], "")</f>
        <v/>
      </c>
      <c r="FN350"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0" s="157" t="str">
        <f>IF(AND(ISNUMBER(SnapshotTable[[#This Row],[SC Exercise Gross]]), ISNUMBER(SnapshotTable[[#This Row],[Equity Basis Per Share]] )), SnapshotTable[[#This Row],[SC Exercise Gross]] - SnapshotTable[[#This Row],[Equity Basis Total]] +  SnapshotTable[[#This Row],[SC Premium]], "")</f>
        <v/>
      </c>
      <c r="FP350" s="5" t="str">
        <f>IF(ISNUMBER(SnapshotTable[[#This Row],[SC Exercise Gross]]), (SnapshotTable[[#This Row],[SC Exercise Gross]]) / (SnapshotTable[[#This Row],[SC Qty]] * 100), "")</f>
        <v/>
      </c>
      <c r="FQ350" s="27" t="str">
        <f>IF(SnapshotTable[[#This Row],[SC Is Booked]],SnapshotTable[[#This Row],[SC Time Val]] /SnapshotTable[[#This Row],[SC Basis]], "")</f>
        <v/>
      </c>
      <c r="FR350" s="27" t="str" cm="1">
        <f t="array" ref="FR350">IF(AND(ISNUMBER(SnapshotTable[[#This Row],[SC Term]]),ISNUMBER(SnapshotTable[[#This Row],[SC Simple ROO]])), EllmanAnnualize(SnapshotTable[[#This Row],[SC DTE]], SnapshotTable[[#This Row],[SC Simple ROO]] ),"")</f>
        <v/>
      </c>
      <c r="FS350" s="4" t="e">
        <f>IF(SnapshotTable[[#This Row],[SC Strike Price]] &gt; SnapshotTable[[#This Row],[Last Price]], SnapshotTable[[#This Row],[SC Strike Price]] - SnapshotTable[[#This Row],[Last Price]],0)</f>
        <v>#VALUE!</v>
      </c>
      <c r="FT350" s="27" t="e">
        <f>IF(AND(ISNUMBER(SnapshotTable[[#This Row],[SC Upside Potential]]), SnapshotTable[[#This Row],[SC Upside Potential]] &gt; 0),(SnapshotTable[[#This Row],[SC Upside Potential]]/ SnapshotTable[[#This Row],[ACB]]),"")</f>
        <v>#VALUE!</v>
      </c>
      <c r="FU350" s="333" t="str">
        <f>IF(SnapshotTable[[#This Row],[SC Intrinsic Value]] &gt; 0,SnapshotTable[[#This Row],[SC Intrinsic Value]],"")</f>
        <v/>
      </c>
      <c r="FV350" s="27" t="str">
        <f>IF(AND( ISNUMBER( SnapshotTable[[#This Row],[ACB]]),ISNUMBER(SnapshotTable[[#This Row],[SC Downside Protect]])),SnapshotTable[[#This Row],[SC Downside Protect]] / SnapshotTable[[#This Row],[ACB]],"")</f>
        <v/>
      </c>
      <c r="FW350" s="236" t="str">
        <f>IF(AND(ISNUMBER(SnapshotTable[[#This Row],[SC Simple ROO]]),SnapshotTable[[#This Row],[SC Simple ROO]] &gt; 0), SnapshotTable[[#This Row],[SC Premium]] + (SnapshotTable[[#This Row],[SC Qty]] * SnapshotTable[[#This Row],[SC Upside Potential]]), "")</f>
        <v/>
      </c>
      <c r="FX350" s="302" t="str" cm="1">
        <f t="array" ref="FX350">IF(ISNUMBER(SnapshotTable[[#This Row],[SC Max Dollars]]), annualize(SnapshotTable[[#This Row],[SC Term]],(SnapshotTable[[#This Row],[SC Max Dollars]]/SnapshotTable[[#This Row],[SC Basis]])),"")</f>
        <v/>
      </c>
      <c r="FY350" s="236" t="str">
        <f>IF(AND(SnapshotTable[[#This Row],[SC Qty]]&gt;0,SnapshotTable[[#This Row],[SC Current Ask]]&gt;0), SnapshotTable[[#This Row],[SC Qty]] * SnapshotTable[[#This Row],[SC Current Ask]] * -100, "")</f>
        <v/>
      </c>
      <c r="FZ350" s="235" t="str">
        <f>IF(ISNUMBER((SnapshotTable[[#This Row],[SC Current Value]])), SnapshotTable[[#This Row],[SC Premium]] + SnapshotTable[[#This Row],[SC Current Value]], "")</f>
        <v/>
      </c>
      <c r="GA350" s="294" t="str">
        <f>IFERROR( IF(ISNUMBER((SnapshotTable[[#This Row],[SC Current Value]])), SnapshotTable[[#This Row],[SC Gain Loss]] / SnapshotTable[[#This Row],[SC Premium]], ""), "")</f>
        <v/>
      </c>
      <c r="GB350" s="42">
        <f>SnapshotTable[[#This Row],[Equity Shares]] * SaleSharesToConsiderPercentage</f>
        <v>0</v>
      </c>
      <c r="GC350" s="40">
        <f>SnapshotTable[[#This Row],[Long Term Target]] * SellingPriceToConsiderBasedOnTargetPercentage</f>
        <v>35.301999999999992</v>
      </c>
      <c r="GD350" s="40">
        <f>SnapshotTable[[#This Row],[Last Price]] * (1+ SellingPriceToConsiderBasedOnTargetPercentage)</f>
        <v>50.407499999999999</v>
      </c>
      <c r="GE350" s="41"/>
      <c r="GF350" s="40"/>
      <c r="GG350" s="31">
        <f>SnapshotTable[[#This Row],[Booked Sale Shares]] * SnapshotTable[[#This Row],[Booked Sale Price]]</f>
        <v>0</v>
      </c>
      <c r="GH350" s="31" t="str">
        <f>IF(SnapshotTable[[#This Row],[Equity Basis Total]] &gt; 0, SnapshotTable[[#This Row],[Equity Basis Per Share]] * SnapshotTable[[#This Row],[Booked Sale Shares]], "")</f>
        <v/>
      </c>
      <c r="GI350" s="31">
        <f>IF(SnapshotTable[[#This Row],[Sale Proceeds]]&gt;0, SnapshotTable[[#This Row],[Sale Proceeds]] - SnapshotTable[[#This Row],[Sale Basis]], 0)</f>
        <v>0</v>
      </c>
      <c r="GJ350" s="158" t="str">
        <f>IF(SnapshotTable[[#This Row],[Sale G/L]]&gt;0, SnapshotTable[[#This Row],[Sale G/L]] / SnapshotTable[[#This Row],[Sale Basis]], IF(ISNUMBER(SnapshotTable[[#This Row],[SC Exercise P&amp;L (TAX)]]), SnapshotTable[[#This Row],[SC Exercise P&amp;L (TAX)]] / SnapshotTable[[#This Row],[SC Basis]], ""))</f>
        <v/>
      </c>
      <c r="GK350" s="27"/>
      <c r="GL350" s="159" t="str">
        <f>IF(AND(SnapshotTable[[#This Row],[LP Exp Date]]&gt;0,SnapshotTable[[#This Row],[LP Strike Price]]&gt;0), [1]!ToOptionSymbol(SnapshotTable[[#This Row],[Symbol]], SnapshotTable[[#This Row],[LP Strike Price]],SnapshotTable[[#This Row],[LP Exp Date]],1), "")</f>
        <v/>
      </c>
      <c r="GM350" s="30" t="str">
        <f>IF(LEN(SnapshotTable[[#This Row],[LP Symbol]])&gt;0, 1, "")</f>
        <v/>
      </c>
      <c r="GN350" s="43" t="str">
        <f>IF(AND(SnapshotTable[[#This Row],[SP Exp Date]]&gt;0,SnapshotTable[[#This Row],[SP Strike Price]]&gt;0), [1]!ToOptionSymbol(SnapshotTable[[#This Row],[Symbol]], SnapshotTable[[#This Row],[SP Strike Price]],SnapshotTable[[#This Row],[SP Exp Date]],1), "")</f>
        <v/>
      </c>
      <c r="GO350" s="30" t="str">
        <f>IF(LEN(SnapshotTable[[#This Row],[SP Symbol]])&gt;0, 1, "")</f>
        <v/>
      </c>
      <c r="GP350" s="159" t="str">
        <f>IF(AND(SnapshotTable[[#This Row],[LC Exp Date]]&gt;0,SnapshotTable[[#This Row],[LC Strike Price]]&gt;0), [1]!ToOptionSymbol(SnapshotTable[[#This Row],[Symbol]], SnapshotTable[[#This Row],[LC Strike Price]],SnapshotTable[[#This Row],[LC Exp Date]],0), "")</f>
        <v/>
      </c>
      <c r="GQ350" s="160" t="str">
        <f>IF(LEN(SnapshotTable[[#This Row],[LC Symbol]])&gt;0, 1, "")</f>
        <v/>
      </c>
      <c r="GR350" s="159" t="str">
        <f>IF(AND(SnapshotTable[[#This Row],[SC Exp Date]]&gt;0,SnapshotTable[[#This Row],[SC Strike Price]]&gt;0), [1]!ToOptionSymbol(SnapshotTable[[#This Row],[Symbol]], SnapshotTable[[#This Row],[SC Strike Price]],SnapshotTable[[#This Row],[SC Exp Date]],0), "")</f>
        <v/>
      </c>
      <c r="GS350" s="160" t="str">
        <f>IF(LEN(SnapshotTable[[#This Row],[SC Symbol]])&gt;0, 1, "")</f>
        <v/>
      </c>
      <c r="GT350" s="161" t="str">
        <f>IF(COUNT(SnapshotTable[[#This Row],[LP Symbol Count]],SnapshotTable[[#This Row],[SP Symbol Count]],SnapshotTable[[#This Row],[LC Symbol Count]],SnapshotTable[[#This Row],[SC Symbol Count]])&gt;0, "Y", "")</f>
        <v/>
      </c>
      <c r="GU35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0" s="231" t="e">
        <f>MAX(SnapshotTable[[#This Row],[Equity Basis Total]],SnapshotTable[[#This Row],[Equity Value]]) + (SnapshotTable[[#This Row],[SP Potential Spend]]- SnapshotTable[[#This Row],[SP Premium]] + SnapshotTable[[#This Row],[LP Premium]])+ (SnapshotTable[[#This Row],[LC Premium]] - SnapshotTable[[#This Row],[SC Premium]])</f>
        <v>#VALUE!</v>
      </c>
      <c r="GW350" s="139" t="e">
        <f>IF(AND(SnapshotTable[[#This Row],[Exposure]] &lt;&gt; 0),SnapshotTable[[#This Row],[Exposure]] / SnapshotTable[[#Totals],[Exposure]], "")</f>
        <v>#VALUE!</v>
      </c>
      <c r="HK350" s="1"/>
      <c r="HL350" s="1"/>
      <c r="HM350" s="1"/>
      <c r="HN350" s="1"/>
      <c r="HO350" s="1"/>
      <c r="HP350" s="1"/>
    </row>
    <row r="351" spans="2:224" ht="12.75" hidden="1" customHeight="1" x14ac:dyDescent="0.25">
      <c r="B351" s="12" t="s">
        <v>895</v>
      </c>
      <c r="C351" s="422">
        <v>132.41999999999999</v>
      </c>
      <c r="D351" s="208"/>
      <c r="E351" s="39">
        <f>SnapshotTable[[#This Row],[Last Price]]*(1 -CrashDiscount)</f>
        <v>112.55699999999999</v>
      </c>
      <c r="F351" s="26" t="s">
        <v>613</v>
      </c>
      <c r="G351" s="26" t="s">
        <v>9</v>
      </c>
      <c r="H351" s="149"/>
      <c r="I351" s="194">
        <v>44798.666666666664</v>
      </c>
      <c r="J351" s="195">
        <v>44798.666666666664</v>
      </c>
      <c r="K351" s="196"/>
      <c r="L351" s="326"/>
      <c r="M351" s="140"/>
      <c r="N351" s="140"/>
      <c r="O351" s="140"/>
      <c r="P351" s="22"/>
      <c r="Q351" s="25"/>
      <c r="R351" s="4" t="str">
        <f>IF(SnapshotTable[[#This Row],[Equity Basis Total]] &gt; 0, SnapshotTable[[#This Row],[Equity Basis Total]] / SnapshotTable[[#This Row],[Equity Shares]], "")</f>
        <v/>
      </c>
      <c r="S351" s="269">
        <f>SnapshotTable[[#This Row],[Last Price]] * SnapshotTable[[#This Row],[Equity Shares]]</f>
        <v>0</v>
      </c>
      <c r="T351" s="269">
        <f>SnapshotTable[[#This Row],[Equity Value]] - SnapshotTable[[#This Row],[Equity Basis Total]]</f>
        <v>0</v>
      </c>
      <c r="U351" s="270" t="str">
        <f>IF(SnapshotTable[[#This Row],[Equity Basis Total]] &gt; 0, SnapshotTable[[#This Row],[Equity G/L]] / SnapshotTable[[#This Row],[Equity Basis Total]], "")</f>
        <v/>
      </c>
      <c r="V351" s="268"/>
      <c r="W351" s="268"/>
      <c r="X351" s="4" t="str">
        <f>IF(AND(ISNUMBER(SnapshotTable[[#This Row],[Equity Basis Per Share]]),ISNUMBER(SnapshotTable[[#This Row],[Equity Target]])),SnapshotTable[[#This Row],[Equity Target]]-SnapshotTable[[#This Row],[Equity Basis Per Share]],"")</f>
        <v/>
      </c>
      <c r="Y351" s="4" t="str">
        <f>IF(AND(ISNUMBER(SnapshotTable[[#This Row],[Equity Basis Per Share]]),ISNUMBER(SnapshotTable[[#This Row],[Equity Stop Loss]])),SnapshotTable[[#This Row],[Equity Stop Loss]]-SnapshotTable[[#This Row],[Equity Basis Per Share]],"")</f>
        <v/>
      </c>
      <c r="Z351" s="275" t="str">
        <f>IFERROR( TEXT(SnapshotTable[[#This Row],[Equity Max Gain Per Share]] /ABS( SnapshotTable[[#This Row],[Equity Max Loss Per Share]]),"0.0 " ) &amp; " : 1", "")</f>
        <v/>
      </c>
      <c r="AA351" s="31" t="str">
        <f>IF(ISNUMBER(SnapshotTable[[#This Row],[Equity Max Gain Per Share]]),SnapshotTable[[#This Row],[Equity Max Gain Per Share]] * SnapshotTable[[#This Row],[Equity Shares]],"")</f>
        <v/>
      </c>
      <c r="AB351" s="31" t="str">
        <f>IF(ISNUMBER(SnapshotTable[[#This Row],[Equity Max Loss Per Share]]),SnapshotTable[[#This Row],[Equity Max Loss Per Share]] * SnapshotTable[[#This Row],[Equity Shares]],"")</f>
        <v/>
      </c>
      <c r="AC351" s="150"/>
      <c r="AD351" s="151"/>
      <c r="AE351" s="31">
        <f>(SnapshotTable[[#This Row],[Annual Dividend Per Share]] / 4) * SnapshotTable[[#This Row],[Equity Shares]]</f>
        <v>0</v>
      </c>
      <c r="AF351" s="31">
        <f>SnapshotTable[[#This Row],[Quarterly Div $]] * 4</f>
        <v>0</v>
      </c>
      <c r="AG351" s="7">
        <f>IF(SnapshotTable[[#This Row],[Annual Dividend Per Share]]&gt;0, SnapshotTable[[#This Row],[Annual Dividend Per Share]]  / SnapshotTable[[#This Row],[Last Price]], 0)</f>
        <v>0</v>
      </c>
      <c r="AH351" s="151"/>
      <c r="AI351" s="5"/>
      <c r="AJ351" s="138">
        <v>191.81</v>
      </c>
      <c r="AK351" s="152" t="str">
        <f>IF(ISNUMBER( SnapshotTable[[#This Row],[EBF Target]]),(SnapshotTable[[#This Row],[EBF Target]] - SnapshotTable[[#This Row],[Last Price]]) / SnapshotTable[[#This Row],[Last Price]], "")</f>
        <v/>
      </c>
      <c r="AL351" s="152" t="str">
        <f>IF(AND(SnapshotTable[[#This Row],[Equity Basis Total]] &gt; 0,ISNUMBER( SnapshotTable[[#This Row],[Long Term Target]])), SnapshotTable[[#This Row],[From Basis $]] / SnapshotTable[[#This Row],[Equity Basis Total]], "")</f>
        <v/>
      </c>
      <c r="AM351" s="9">
        <f>IF( AND(SnapshotTable[[#This Row],[Equity Shares]] &gt;0,ISNUMBER( SnapshotTable[[#This Row],[Long Term Target]])),(SnapshotTable[[#This Row],[Equity Shares]] * SnapshotTable[[#This Row],[Long Term Target]]) - SnapshotTable[[#This Row],[Equity Basis Total]],0)</f>
        <v>0</v>
      </c>
      <c r="AN351" s="9">
        <f>IF( AND(SnapshotTable[[#This Row],[Equity Shares]] &gt;0,ISNUMBER( SnapshotTable[[#This Row],[Long Term Target]])),(SnapshotTable[[#This Row],[Equity Shares]]*SnapshotTable[[#This Row],[Long Term Target]]) - SnapshotTable[[#This Row],[Equity Value]],0)</f>
        <v>0</v>
      </c>
      <c r="AO351" s="152">
        <f>IF(AND(ISNUMBER( SnapshotTable[[#This Row],[Long Term Target]]), ISNUMBER(SnapshotTable[[#This Row],[Last Price]])),(SnapshotTable[[#This Row],[Long Term Target]] - SnapshotTable[[#This Row],[Last Price]]) / SnapshotTable[[#This Row],[Last Price]], "")</f>
        <v>0.44849720586014213</v>
      </c>
      <c r="AP351" s="5"/>
      <c r="AQ351" s="38"/>
      <c r="AR351" s="5"/>
      <c r="AS351" s="38"/>
      <c r="AT351" s="146"/>
      <c r="AU351" s="187" t="str">
        <f>IF(OR(SnapshotTable[[#This Row],[LP No Fill]]="Y",SnapshotTable[[#This Row],[SP Is Filled]],SnapshotTable[[#This Row],[LC Not Filled]]="Y",SnapshotTable[[#This Row],[SC Is Filled]]),"Y","")</f>
        <v/>
      </c>
      <c r="AV351" s="219"/>
      <c r="AW351" s="225"/>
      <c r="AX351" s="220"/>
      <c r="AY351" s="219" t="str">
        <f>IF(SnapshotTable[[#This Row],[Implied Move]]&gt;0, SnapshotTable[[#This Row],[Last Price]]-SnapshotTable[[#This Row],[Implied Move]],"")</f>
        <v/>
      </c>
      <c r="AZ351" s="219" t="str">
        <f>IF(SnapshotTable[[#This Row],[Implied Move]]&gt;0, SnapshotTable[[#This Row],[Last Price]] + SnapshotTable[[#This Row],[Implied Move]],"")</f>
        <v/>
      </c>
      <c r="BA351" s="331"/>
      <c r="BB351" s="347"/>
      <c r="BC35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1" s="351"/>
      <c r="BE351" s="138"/>
      <c r="BF351" s="166"/>
      <c r="BG351" s="167"/>
      <c r="BH351" s="167"/>
      <c r="BI351" s="221"/>
      <c r="BJ351" s="153">
        <f>IF(SnapshotTable[[#This Row],[LP Qty]] &gt; 0, SnapshotTable[[#This Row],[LP Qty]] * SnapshotTable[[#This Row],[LP Book Price]] * 100,0)</f>
        <v>0</v>
      </c>
      <c r="BK351" s="136">
        <f>IF(SnapshotTable[[#This Row],[LP Premium]] &gt; 0, SnapshotTable[[#This Row],[LP Qty]] * SnapshotTable[[#This Row],[LP Strike Price]] * 100,0)</f>
        <v>0</v>
      </c>
      <c r="BL351" s="154"/>
      <c r="BM351" s="385" t="str">
        <f>IF(SnapshotTable[[#This Row],[LP Premium]] &gt; 0,SnapshotTable[[#This Row],[LP Exp Date]]-MAX(SnapshotTable[[#This Row],[LP Book Date]], SnapshotTable[[#This Row],[LP Fill Date]]),"")</f>
        <v/>
      </c>
      <c r="BN351" s="385" t="str">
        <f>IF(ISNUMBER( SnapshotTable[[#This Row],[LP Term]]), SnapshotTable[[#This Row],[LP Exp Date]] - MockToday,"")</f>
        <v/>
      </c>
      <c r="BO351" s="163" t="str">
        <f>IF(AND(SnapshotTable[[#This Row],[LP Exp Date]]&gt;0, SnapshotTable[[#This Row],[LP Strike Price]]&gt;0,SnapshotTable[[#This Row],[LP Qty]]&gt;0,SnapshotTable[[#This Row],[LP Book Date]]&gt;0,SnapshotTable[[#This Row],[LP Book Price]]&gt;0,SnapshotTable[[#This Row],[LP Fill Date]]=0),"Y","")</f>
        <v/>
      </c>
      <c r="BP351" s="31" t="str">
        <f>IF(AND(SnapshotTable[[#This Row],[LP No Fill]]&lt;&gt;"Y",SnapshotTable[[#This Row],[LP Contract Value]]&gt;0, SnapshotTable[[#This Row],[LP Qty]]&gt;0), SnapshotTable[[#This Row],[LP Contract Value]]*SnapshotTable[[#This Row],[LP Qty]]*100,"")</f>
        <v/>
      </c>
      <c r="BQ351" s="13"/>
      <c r="BR351" s="5" t="str">
        <f>IF(SnapshotTable[[#This Row],[SP Exp Date]]&lt;&gt;"",TRUNC(SnapshotTable[[#This Row],[Last Price]]),"")</f>
        <v/>
      </c>
      <c r="BS351" s="36"/>
      <c r="BT351" s="147"/>
      <c r="BU351" s="13"/>
      <c r="BV351" s="5"/>
      <c r="BW351" s="419" t="b">
        <f>AND(ISNUMBER(SnapshotTable[[#This Row],[SP Exp Date]]), ISNUMBER(SnapshotTable[[#This Row],[SP Strike Price]]), ISNUMBER(SnapshotTable[[#This Row],[SP Qty]]), ISNUMBER(SnapshotTable[[#This Row],[SP Book Date]]), ISNUMBER(SnapshotTable[[#This Row],[SP Book Price]]))</f>
        <v>0</v>
      </c>
      <c r="BX351" s="419" t="b">
        <f>AND(SnapshotTable[[#This Row],[SP Is Booked]], NOT(ISBLANK(SnapshotTable[[#This Row],[SP Fill Date]])))</f>
        <v>0</v>
      </c>
      <c r="BY351" s="33">
        <f>IF(SnapshotTable[[#This Row],[SP Is Booked]], SnapshotTable[[#This Row],[SP Qty]] * SnapshotTable[[#This Row],[SP Book Price]] * 100, 0)</f>
        <v>0</v>
      </c>
      <c r="BZ351" s="369"/>
      <c r="CA351" s="368">
        <f>SnapshotTable[[#This Row],[LP Qty]]</f>
        <v>0</v>
      </c>
      <c r="CB351" s="4" t="str">
        <f>IF(SnapshotTable[[#This Row],[SP Is Booked]], SnapshotTable[[#This Row],[SP Strike Price]] - SnapshotTable[[#This Row],[SP Book Price]], "")</f>
        <v/>
      </c>
      <c r="CC351" s="19" t="str">
        <f>IF(SnapshotTable[[#This Row],[SP Is Booked]],SnapshotTable[[#This Row],[SP Exp Date]]-MAX(SnapshotTable[[#This Row],[SP Book Date]], SnapshotTable[[#This Row],[SP Fill Date]]),"")</f>
        <v/>
      </c>
      <c r="CD351" s="7" t="str">
        <f>IF(SnapshotTable[[#This Row],[SP Is Booked]], SnapshotTable[[#This Row],[SP Book Price]]/SnapshotTable[[#This Row],[SP Strike Price]], "")</f>
        <v/>
      </c>
      <c r="CE351" s="7" t="str">
        <f>IF(ISNUMBER(SnapshotTable[[#This Row],[SP ROO Term]]),SnapshotTable[[#This Row],[SP ROO Term]]*(365/SnapshotTable[[#This Row],[SP Term]]),"")</f>
        <v/>
      </c>
      <c r="CF351" s="236">
        <f>SnapshotTable[[#This Row],[LP Strike Price]] * SnapshotTable[[#This Row],[LP Qty]] * 100</f>
        <v>0</v>
      </c>
      <c r="CG351" s="31" t="e">
        <f>IF(ISNUMBER(SnapshotTable[[#This Row],[SP Premium]]), (SnapshotTable[[#This Row],[SP Qty]] * SnapshotTable[[#This Row],[SP Strike Price]]* 100) - SnapshotTable[[#This Row],[LP Protection]], 0)</f>
        <v>#VALUE!</v>
      </c>
      <c r="CH351" s="7" t="str">
        <f>IF(ISNUMBER(SnapshotTable[[#This Row],[SP Break Even]]),-1 * (SnapshotTable[[#This Row],[SP Break Even]] - SnapshotTable[[#This Row],[Last Price]]) / SnapshotTable[[#This Row],[Last Price]], "")</f>
        <v/>
      </c>
      <c r="CI351" s="31">
        <f>IF(AND(ISNUMBER((SnapshotTable[[#This Row],[SP Potential Spend]])), SnapshotTable[[#This Row],[SP Strike Price]] &gt; SnapshotTable[[#This Row],[Last Price]], SnapshotTable[[#This Row],[SP Is Filled]]), SnapshotTable[[#This Row],[SP Potential Spend]] -  SnapshotTable[[#This Row],[LP Max Value]], 0)</f>
        <v>0</v>
      </c>
      <c r="CJ351" s="244"/>
      <c r="CK351" s="31" t="str">
        <f>IF(ISNUMBER(SnapshotTable[[#This Row],[SP Potential Spend]]),IF(ISNUMBER(SnapshotTable[[#This Row],[SP POW]]), SnapshotTable[[#This Row],[SP POW]] * SnapshotTable[[#This Row],[SP Potential Spend]], SnapshotTable[[#This Row],[SP Potential Spend]]), "")</f>
        <v/>
      </c>
      <c r="CL351" s="164" t="e">
        <f>IF(NOT(SnapshotTable[[#This Row],[SP Is Filled]]),(SnapshotTable[[#This Row],[SP Qty]] * SnapshotTable[[#This Row],[SP Strike Price]] * 100) - SnapshotTable[[#This Row],[LP Max Value]],"")</f>
        <v>#VALUE!</v>
      </c>
      <c r="CM351" s="31" t="str">
        <f>IF(SnapshotTable[[#This Row],[SP Actual Spend]]&lt;&gt;0, ((SnapshotTable[[#This Row],[SP Strike Price]]-SnapshotTable[[#This Row],[Last Price]]) *(SnapshotTable[[#This Row],[SP Qty]]*100) - SnapshotTable[[#This Row],[SP Premium]]) * - 1, "")</f>
        <v/>
      </c>
      <c r="CN351" s="154"/>
      <c r="CO351" s="369"/>
      <c r="CP351" s="4" t="str">
        <f>IF(SnapshotTable[[#This Row],[SP Is Filled]], btc_max_buyback_amount(SnapshotTable[[#This Row],[SP Fill Date]],SnapshotTable[[#This Row],[SP Exp Date]], SnapshotTable[[#This Row],[SP Book Price]]),"")</f>
        <v/>
      </c>
      <c r="CQ351" s="78"/>
      <c r="CR35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1" s="155" t="str">
        <f>IF(SnapshotTable[[#This Row],[SP Is Filled]], btc_next_cutoff_date(SnapshotTable[[#This Row],[SP Fill Date]],SnapshotTable[[#This Row],[SP Exp Date]]),"")</f>
        <v/>
      </c>
      <c r="CT351" s="235" t="str" cm="1">
        <f t="array" ref="CT351">IF(SnapshotTable[[#This Row],[SP Is Filled]], btc_should_buy_back(SnapshotTable[[#This Row],[SP Fill Date]], SnapshotTable[[#This Row],[SP Exp Date]], SnapshotTable[[#This Row],[SP Book Price]], SnapshotTable[[#This Row],[SP Current Ask]], MockToday, SnapshotTable[[#This Row],[SP Buyback Override]]),"")</f>
        <v/>
      </c>
      <c r="CU351" s="156"/>
      <c r="CV351" s="235"/>
      <c r="CW351" s="378" t="str">
        <f>IF(ISNUMBER( SnapshotTable[[#This Row],[SP Term]]), SnapshotTable[[#This Row],[SP Exp Date]] - MockToday,"")</f>
        <v/>
      </c>
      <c r="CX351" s="31" t="str">
        <f>IF(SnapshotTable[[#This Row],[SP Is Filled]],SnapshotTable[[#This Row],[SP Buyback Price to Use]] * 100 * SnapshotTable[[#This Row],[SP Qty]], "")</f>
        <v/>
      </c>
      <c r="CY351" s="4" t="str">
        <f>IF(ISNUMBER(SnapshotTable[[#This Row],[SP Strike Price]]), SnapshotTable[[#This Row],[SP Strike Price]] * (1 - SP_MaxLoss_StrikePct), "")</f>
        <v/>
      </c>
      <c r="CZ351" s="31" t="str">
        <f>IF(ISNUMBER(SnapshotTable[[#This Row],[SP Strike  Stop Per Share]]),SnapshotTable[[#This Row],[SP Premium]] - ((SnapshotTable[[#This Row],[SP Strike Price]]-SnapshotTable[[#This Row],[SP Strike  Stop Per Share]]) *(SnapshotTable[[#This Row],[SP Qty]] * 100)),"")</f>
        <v/>
      </c>
      <c r="DA351" s="4" t="str">
        <f>IF(AND(ISNUMBER(SnapshotTable[[#This Row],[SP Premium]]),SnapshotTable[[#This Row],[SP Premium]]&gt;0), SnapshotTable[[#This Row],[SP Book Price]] * (1 + SP_MaxLoss_OptionPct), "")</f>
        <v/>
      </c>
      <c r="DB351" s="31" t="str">
        <f>IF(ISNUMBER(SnapshotTable[[#This Row],[SP Option  Stop Contract]]),(SnapshotTable[[#This Row],[SP Option  Stop Contract]] *(SnapshotTable[[#This Row],[SP Qty]] * 100) - SnapshotTable[[#This Row],[SP Premium]]),"")</f>
        <v/>
      </c>
      <c r="DC351" s="4"/>
      <c r="DD351" s="4"/>
      <c r="DE351" s="4" t="str">
        <f>IF(AND(SnapshotTable[[#This Row],[SP Qty]]&gt;0, SnapshotTable[[#This Row],[SP Stop To Use]]&gt;0),SnapshotTable[[#This Row],[SP Premium]] - ( SnapshotTable[[#This Row],[SP Qty]] * SnapshotTable[[#This Row],[SP Stop To Use]] * 100), "")</f>
        <v/>
      </c>
      <c r="DF351" s="31" t="str">
        <f>IF(AND(SnapshotTable[[#This Row],[SP Qty]]&gt;0,SnapshotTable[[#This Row],[SP Current Ask]]&gt;0), SnapshotTable[[#This Row],[SP Qty]] * SnapshotTable[[#This Row],[SP Current Ask]] * -100, "")</f>
        <v/>
      </c>
      <c r="DG351" s="31" t="str">
        <f>IF(ISNUMBER((SnapshotTable[[#This Row],[SP Total Value]])), SnapshotTable[[#This Row],[SP Premium]] + SnapshotTable[[#This Row],[SP Total Value]], "")</f>
        <v/>
      </c>
      <c r="DH351" s="294" t="str">
        <f>IF(ISNUMBER((SnapshotTable[[#This Row],[SP Total Value]])), SnapshotTable[[#This Row],[SP Gain Loss]] / SnapshotTable[[#This Row],[SP Premium]], "")</f>
        <v/>
      </c>
      <c r="DI351" s="406"/>
      <c r="DJ351" s="138"/>
      <c r="DK351" s="148"/>
      <c r="DL351" s="147"/>
      <c r="DM351" s="147"/>
      <c r="DO351" s="31">
        <f>IF(SnapshotTable[[#This Row],[LC Symbol Count]]=1, SnapshotTable[[#This Row],[LC Qty]] * SnapshotTable[[#This Row],[LC Book Price]] * 100, 0)</f>
        <v>0</v>
      </c>
      <c r="DP351" s="289" t="str">
        <f>IF(AND(SnapshotTable[[#This Row],[LC Exp Date]]&gt;0, SnapshotTable[[#This Row],[LC Strike Price]]&gt;0,SnapshotTable[[#This Row],[LC Qty]]&gt;0,SnapshotTable[[#This Row],[LC Book Date]]&gt;0,SnapshotTable[[#This Row],[LC Book Price]]&gt;0,SnapshotTable[[#This Row],[LC Fill Date]]=0),"Y","")</f>
        <v/>
      </c>
      <c r="DQ351" s="386" t="str">
        <f>IF(SnapshotTable[[#This Row],[LC Premium]] &gt; 0,SnapshotTable[[#This Row],[LC Exp Date]]-MAX(SnapshotTable[[#This Row],[LC Book Date]], SnapshotTable[[#This Row],[LC Fill Date]]),"")</f>
        <v/>
      </c>
      <c r="DR351" s="386" t="str">
        <f>IF(ISNUMBER(SnapshotTable[[#This Row],[LC Term]]), SnapshotTable[[#This Row],[LC Exp Date]] - MockToday, "")</f>
        <v/>
      </c>
      <c r="DS351" s="234" t="str">
        <f>IF(SnapshotTable[[#This Row],[LC Premium]]&gt;0,SnapshotTable[[#This Row],[LC Strike Price]] + SnapshotTable[[#This Row],[LC Book Price]],"")</f>
        <v/>
      </c>
      <c r="DU351" s="9" t="str">
        <f>IF(AND(SnapshotTable[[#This Row],[LC Symbol Count]]&gt;0, SnapshotTable[[#This Row],[LC Contract Value]]&gt;0), SnapshotTable[[#This Row],[LC Contract Value]] * SnapshotTable[[#This Row],[LC Qty]] * 100, "")</f>
        <v/>
      </c>
      <c r="DV351" s="9" t="str">
        <f>IF(AND(ISNUMBER(SnapshotTable[[#This Row],[LC Total Value]]), SnapshotTable[[#This Row],[LC Not Filled]]&lt;&gt;"Y"), SnapshotTable[[#This Row],[LC Total Value]]-SnapshotTable[[#This Row],[LC Premium]],"")</f>
        <v/>
      </c>
      <c r="DW351" s="240" t="str">
        <f>IF(ISNUMBER(SnapshotTable[[#This Row],[LC Actual Gain Loss]]), SnapshotTable[[#This Row],[LC Actual Gain Loss]] / SnapshotTable[[#This Row],[LC Premium]],"")</f>
        <v/>
      </c>
      <c r="DX351" s="284" t="str">
        <f>IF(ISNUMBER(SnapshotTable[[#This Row],[LC Book Price]]),SnapshotTable[[#This Row],[LC Book Price]] * 1.5,"")</f>
        <v/>
      </c>
      <c r="DY351" s="265" t="str">
        <f>IF(SnapshotTable[[#This Row],[LC Premium]]&gt;0, SnapshotTable[[#This Row],[LC Next Target]] * SnapshotTable[[#This Row],[LC Qty]] * 100,"")</f>
        <v/>
      </c>
      <c r="DZ351" s="265" t="str">
        <f>IF(ISNUMBER(SnapshotTable[[#This Row],[LC Target Gross]]), SnapshotTable[[#This Row],[LC Target Gross]] - SnapshotTable[[#This Row],[LC Premium]], "")</f>
        <v/>
      </c>
      <c r="EA351" s="305" t="str">
        <f>IF(ISNUMBER(SnapshotTable[[#This Row],[LC Target Gain Loss]]), SnapshotTable[[#This Row],[LC Target Gain Loss]]/SnapshotTable[[#This Row],[LC Premium]], "")</f>
        <v/>
      </c>
      <c r="EB351" s="262"/>
      <c r="EC351" s="283" t="str">
        <f>IF(SnapshotTable[[#This Row],[LC Premium]]&gt;0, SnapshotTable[[#This Row],[LC Book Price]] * (1 - LC_StopLoss_Pct),"")</f>
        <v/>
      </c>
      <c r="ED351" s="284"/>
      <c r="EE351" s="283" t="str">
        <f>IF(ISNUMBER(SnapshotTable[[#This Row],[LC Contract Value]]),IF(ISNUMBER(SnapshotTable[[#This Row],[LC Stop Loss Override]]), SnapshotTable[[#This Row],[LC Stop Loss Override]],SnapshotTable[[#This Row],[LC Stop Loss Calc Target]]),"")</f>
        <v/>
      </c>
      <c r="EF351" s="31" t="str">
        <f>IF(ISNUMBER(SnapshotTable[[#This Row],[LC Stop  To Use]]), (SnapshotTable[[#This Row],[LC Stop  To Use]] * SnapshotTable[[#This Row],[LC Qty]] * 100),"")</f>
        <v/>
      </c>
      <c r="EG351" s="9" t="str">
        <f>IF(ISNUMBER(SnapshotTable[[#This Row],[LC Total Value]]),SnapshotTable[[#This Row],[LC Stop Loss Amount]] - SnapshotTable[[#This Row],[LC Premium]],"")</f>
        <v/>
      </c>
      <c r="EH351" s="9">
        <f>IF(ISNUMBER(SnapshotTable[[#This Row],[LC Premium]]), SnapshotTable[[#This Row],[LC Qty]] * 100 * SnapshotTable[[#This Row],[LC Strike Price]], "")</f>
        <v>0</v>
      </c>
      <c r="EI351" s="240" t="str">
        <f>IF(AND(ISNUMBER(SnapshotTable[[#This Row],[LC Total Value]]),SnapshotTable[[#This Row],[LC Total Value]]&gt;0),SnapshotTable[[#This Row],[LC Stop Gain Loss]]  / SnapshotTable[[#This Row],[LC Premium]],"")</f>
        <v/>
      </c>
      <c r="EJ351" s="35">
        <f>IF(ISNUMBER(SnapshotTable[[#This Row],[Equity Shares]]),TRUNC(SnapshotTable[[#This Row],[Equity Shares]] / 100),0) + SnapshotTable[[#This Row],[LC Qty]]</f>
        <v>0</v>
      </c>
      <c r="EK351" s="147"/>
      <c r="EL351" s="138" t="str">
        <f>IF(SnapshotTable[[#This Row],[SC Exp Date]]&lt;&gt;"",TRUNC(SnapshotTable[[#This Row],[Last Price]]),"")</f>
        <v/>
      </c>
      <c r="EM351" s="148"/>
      <c r="EN351" s="147"/>
      <c r="EO351" s="147"/>
      <c r="EP351" s="138"/>
      <c r="EQ351" s="419" t="b">
        <f>AND(ISNUMBER(SnapshotTable[[#This Row],[SC Exp Date]]), ISNUMBER(SnapshotTable[[#This Row],[SC Strike Price]]), ISNUMBER(SnapshotTable[[#This Row],[SC Qty]]), ISNUMBER(SnapshotTable[[#This Row],[SC Book Date]]), ISNUMBER(SnapshotTable[[#This Row],[SC Book Price]]))</f>
        <v>0</v>
      </c>
      <c r="ER351" s="419" t="b">
        <f>AND(SnapshotTable[[#This Row],[SC Is Booked]], NOT(ISBLANK(SnapshotTable[[#This Row],[SC Fill Date]])))</f>
        <v>0</v>
      </c>
      <c r="ES351" s="370"/>
      <c r="ET351" s="34" t="str">
        <f>IF(AND(ISNUMBER(SnapshotTable[[#This Row],[SC Exp Date]]), ISNUMBER(SnapshotTable[[#This Row],[SC Book Date]])), SnapshotTable[[#This Row],[SC Exp Date]] - MAX(SnapshotTable[[#This Row],[SC Book Date]], SnapshotTable[[#This Row],[SC Fill Date]]) + 1, "")</f>
        <v/>
      </c>
      <c r="EU351" s="34" t="str">
        <f>IF(ISNUMBER(SnapshotTable[[#This Row],[SC Term]]), SnapshotTable[[#This Row],[SC Exp Date]]- MockToday, "")</f>
        <v/>
      </c>
      <c r="EV351" s="31">
        <f>IF(SnapshotTable[[#This Row],[SC Is Booked]], SnapshotTable[[#This Row],[SC Qty]] * SnapshotTable[[#This Row],[SC Book Price]] * 100, 0)</f>
        <v>0</v>
      </c>
      <c r="EW351" s="4" t="str">
        <f>IF(AND(ISNUMBER(SnapshotTable[[#This Row],[Last Price]]), ISNUMBER( SnapshotTable[[#This Row],[SC Book Price]])), SnapshotTable[[#This Row],[Last Price]] - SnapshotTable[[#This Row],[SC Book Price]],"")</f>
        <v/>
      </c>
      <c r="EX351" s="234" t="str">
        <f>IF(SnapshotTable[[#This Row],[SC Is Booked]],IF(SnapshotTable[[#This Row],[SC Intrinsic Value]] &gt; 0, SnapshotTable[[#This Row],[SC Strike Price]], SnapshotTable[[#This Row],[Last Price]]), "")</f>
        <v/>
      </c>
      <c r="EY351" s="4">
        <f>IF(SnapshotTable[[#This Row],[SC Is Booked]], (MinimumPremiumRequired * SnapshotTable[[#This Row],[SC Basis]] * SnapshotTable[[#This Row],[SC Term]]), 0)</f>
        <v>0</v>
      </c>
      <c r="EZ351" s="283"/>
      <c r="FA351" s="218"/>
      <c r="FB351" s="370"/>
      <c r="FC351" s="4">
        <f>IF(SnapshotTable[[#This Row],[SC Is Filled]], btc_max_buyback_amount(SnapshotTable[[#This Row],[SC Fill Date]],SnapshotTable[[#This Row],[SC Exp Date]], SnapshotTable[[#This Row],[SC Book Price]]),0)</f>
        <v>0</v>
      </c>
      <c r="FD351" s="5"/>
      <c r="FE351" s="144" t="str">
        <f>IF(SnapshotTable[[#This Row],[SC Is Filled]], btc_next_cutoff_date(SnapshotTable[[#This Row],[SC Fill Date]],SnapshotTable[[#This Row],[SC Exp Date]]),"")</f>
        <v/>
      </c>
      <c r="FF351" s="4" t="str" cm="1">
        <f t="array" ref="FF351">IF(SnapshotTable[[#This Row],[SC Is Filled]], btc_should_buy_back(SnapshotTable[[#This Row],[SC Fill Date]], SnapshotTable[[#This Row],[SC Exp Date]], SnapshotTable[[#This Row],[SC Book Price]], SnapshotTable[[#This Row],[SC Current Ask]], MockToday, SnapshotTable[[#This Row],[SC Buyback Override]]),"")</f>
        <v/>
      </c>
      <c r="FG351" s="4">
        <f>IF(SnapshotTable[[#This Row],[SC Is Filled]], MAX(0,SnapshotTable[[#This Row],[Last Price]]  - SnapshotTable[[#This Row],[SC Strike Price]]), 0)</f>
        <v>0</v>
      </c>
      <c r="FH351" s="382">
        <f>IF(SnapshotTable[[#This Row],[SC Is Filled]], IF(ISNUMBER(SnapshotTable[[#This Row],[SC Current Ask]]), SnapshotTable[[#This Row],[SC Current Ask]], SnapshotTable[[#This Row],[SC Book Price]]) - SnapshotTable[[#This Row],[SC Intrinsic Value]], 0)</f>
        <v>0</v>
      </c>
      <c r="FI351" s="143"/>
      <c r="FJ351" s="32" t="str">
        <f>IF(SnapshotTable[[#This Row],[SC Is Filled]],100 * SnapshotTable[[#This Row],[SC Qty]] * IF(ISNUMBER(SnapshotTable[[#This Row],[SC Buyback Override]]), SnapshotTable[[#This Row],[SC Buyback Override]], SnapshotTable[[#This Row],[SC Current Ask]]), "")</f>
        <v/>
      </c>
      <c r="FK351" s="250" t="str">
        <f>IF(SnapshotTable[[#This Row],[SC Time Val]]&gt;0, SnapshotTable[[#This Row],[SC Time Val]] / SnapshotTable[[#This Row],[Last Price]],"")</f>
        <v/>
      </c>
      <c r="FL351" s="302" t="str">
        <f>IF(SnapshotTable[[#This Row],[SC Is Booked]], ((SnapshotTable[[#This Row],[Last Price]] -SnapshotTable[[#This Row],[SC Strike Price]]) / SnapshotTable[[#This Row],[Last Price]]) * -1, "")</f>
        <v/>
      </c>
      <c r="FM351" s="157" t="str">
        <f>IF(SnapshotTable[[#This Row],[SC Is Booked]],  (SnapshotTable[[#This Row],[SC Qty]] * 100 * SnapshotTable[[#This Row],[SC Strike Price]]) - SnapshotTable[[#This Row],[SC Current Ask]], "")</f>
        <v/>
      </c>
      <c r="FN351"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1" s="157" t="str">
        <f>IF(AND(ISNUMBER(SnapshotTable[[#This Row],[SC Exercise Gross]]), ISNUMBER(SnapshotTable[[#This Row],[Equity Basis Per Share]] )), SnapshotTable[[#This Row],[SC Exercise Gross]] - SnapshotTable[[#This Row],[Equity Basis Total]] +  SnapshotTable[[#This Row],[SC Premium]], "")</f>
        <v/>
      </c>
      <c r="FP351" s="5" t="str">
        <f>IF(ISNUMBER(SnapshotTable[[#This Row],[SC Exercise Gross]]), (SnapshotTable[[#This Row],[SC Exercise Gross]]) / (SnapshotTable[[#This Row],[SC Qty]] * 100), "")</f>
        <v/>
      </c>
      <c r="FQ351" s="27" t="str">
        <f>IF(SnapshotTable[[#This Row],[SC Is Booked]],SnapshotTable[[#This Row],[SC Time Val]] /SnapshotTable[[#This Row],[SC Basis]], "")</f>
        <v/>
      </c>
      <c r="FR351" s="27" t="str" cm="1">
        <f t="array" ref="FR351">IF(AND(ISNUMBER(SnapshotTable[[#This Row],[SC Term]]),ISNUMBER(SnapshotTable[[#This Row],[SC Simple ROO]])), EllmanAnnualize(SnapshotTable[[#This Row],[SC DTE]], SnapshotTable[[#This Row],[SC Simple ROO]] ),"")</f>
        <v/>
      </c>
      <c r="FS351" s="4" t="e">
        <f>IF(SnapshotTable[[#This Row],[SC Strike Price]] &gt; SnapshotTable[[#This Row],[Last Price]], SnapshotTable[[#This Row],[SC Strike Price]] - SnapshotTable[[#This Row],[Last Price]],0)</f>
        <v>#VALUE!</v>
      </c>
      <c r="FT351" s="27" t="e">
        <f>IF(AND(ISNUMBER(SnapshotTable[[#This Row],[SC Upside Potential]]), SnapshotTable[[#This Row],[SC Upside Potential]] &gt; 0),(SnapshotTable[[#This Row],[SC Upside Potential]]/ SnapshotTable[[#This Row],[ACB]]),"")</f>
        <v>#VALUE!</v>
      </c>
      <c r="FU351" s="333" t="str">
        <f>IF(SnapshotTable[[#This Row],[SC Intrinsic Value]] &gt; 0,SnapshotTable[[#This Row],[SC Intrinsic Value]],"")</f>
        <v/>
      </c>
      <c r="FV351" s="27" t="str">
        <f>IF(AND( ISNUMBER( SnapshotTable[[#This Row],[ACB]]),ISNUMBER(SnapshotTable[[#This Row],[SC Downside Protect]])),SnapshotTable[[#This Row],[SC Downside Protect]] / SnapshotTable[[#This Row],[ACB]],"")</f>
        <v/>
      </c>
      <c r="FW351" s="236" t="str">
        <f>IF(AND(ISNUMBER(SnapshotTable[[#This Row],[SC Simple ROO]]),SnapshotTable[[#This Row],[SC Simple ROO]] &gt; 0), SnapshotTable[[#This Row],[SC Premium]] + (SnapshotTable[[#This Row],[SC Qty]] * SnapshotTable[[#This Row],[SC Upside Potential]]), "")</f>
        <v/>
      </c>
      <c r="FX351" s="302" t="str" cm="1">
        <f t="array" ref="FX351">IF(ISNUMBER(SnapshotTable[[#This Row],[SC Max Dollars]]), annualize(SnapshotTable[[#This Row],[SC Term]],(SnapshotTable[[#This Row],[SC Max Dollars]]/SnapshotTable[[#This Row],[SC Basis]])),"")</f>
        <v/>
      </c>
      <c r="FY351" s="236" t="str">
        <f>IF(AND(SnapshotTable[[#This Row],[SC Qty]]&gt;0,SnapshotTable[[#This Row],[SC Current Ask]]&gt;0), SnapshotTable[[#This Row],[SC Qty]] * SnapshotTable[[#This Row],[SC Current Ask]] * -100, "")</f>
        <v/>
      </c>
      <c r="FZ351" s="235" t="str">
        <f>IF(ISNUMBER((SnapshotTable[[#This Row],[SC Current Value]])), SnapshotTable[[#This Row],[SC Premium]] + SnapshotTable[[#This Row],[SC Current Value]], "")</f>
        <v/>
      </c>
      <c r="GA351" s="294" t="str">
        <f>IFERROR( IF(ISNUMBER((SnapshotTable[[#This Row],[SC Current Value]])), SnapshotTable[[#This Row],[SC Gain Loss]] / SnapshotTable[[#This Row],[SC Premium]], ""), "")</f>
        <v/>
      </c>
      <c r="GB351" s="42">
        <f>SnapshotTable[[#This Row],[Equity Shares]] * SaleSharesToConsiderPercentage</f>
        <v>0</v>
      </c>
      <c r="GC351" s="40">
        <f>SnapshotTable[[#This Row],[Long Term Target]] * SellingPriceToConsiderBasedOnTargetPercentage</f>
        <v>182.21949999999998</v>
      </c>
      <c r="GD351" s="40">
        <f>SnapshotTable[[#This Row],[Last Price]] * (1+ SellingPriceToConsiderBasedOnTargetPercentage)</f>
        <v>258.21899999999999</v>
      </c>
      <c r="GE351" s="41"/>
      <c r="GF351" s="40"/>
      <c r="GG351" s="31">
        <f>SnapshotTable[[#This Row],[Booked Sale Shares]] * SnapshotTable[[#This Row],[Booked Sale Price]]</f>
        <v>0</v>
      </c>
      <c r="GH351" s="31" t="str">
        <f>IF(SnapshotTable[[#This Row],[Equity Basis Total]] &gt; 0, SnapshotTable[[#This Row],[Equity Basis Per Share]] * SnapshotTable[[#This Row],[Booked Sale Shares]], "")</f>
        <v/>
      </c>
      <c r="GI351" s="31">
        <f>IF(SnapshotTable[[#This Row],[Sale Proceeds]]&gt;0, SnapshotTable[[#This Row],[Sale Proceeds]] - SnapshotTable[[#This Row],[Sale Basis]], 0)</f>
        <v>0</v>
      </c>
      <c r="GJ351" s="158" t="str">
        <f>IF(SnapshotTable[[#This Row],[Sale G/L]]&gt;0, SnapshotTable[[#This Row],[Sale G/L]] / SnapshotTable[[#This Row],[Sale Basis]], IF(ISNUMBER(SnapshotTable[[#This Row],[SC Exercise P&amp;L (TAX)]]), SnapshotTable[[#This Row],[SC Exercise P&amp;L (TAX)]] / SnapshotTable[[#This Row],[SC Basis]], ""))</f>
        <v/>
      </c>
      <c r="GK351" s="158"/>
      <c r="GL351" s="159" t="str">
        <f>IF(AND(SnapshotTable[[#This Row],[LP Exp Date]]&gt;0,SnapshotTable[[#This Row],[LP Strike Price]]&gt;0), [1]!ToOptionSymbol(SnapshotTable[[#This Row],[Symbol]], SnapshotTable[[#This Row],[LP Strike Price]],SnapshotTable[[#This Row],[LP Exp Date]],1), "")</f>
        <v/>
      </c>
      <c r="GM351" s="30" t="str">
        <f>IF(LEN(SnapshotTable[[#This Row],[LP Symbol]])&gt;0, 1, "")</f>
        <v/>
      </c>
      <c r="GN351" s="43" t="str">
        <f>IF(AND(SnapshotTable[[#This Row],[SP Exp Date]]&gt;0,SnapshotTable[[#This Row],[SP Strike Price]]&gt;0), [1]!ToOptionSymbol(SnapshotTable[[#This Row],[Symbol]], SnapshotTable[[#This Row],[SP Strike Price]],SnapshotTable[[#This Row],[SP Exp Date]],1), "")</f>
        <v/>
      </c>
      <c r="GO351" s="30" t="str">
        <f>IF(LEN(SnapshotTable[[#This Row],[SP Symbol]])&gt;0, 1, "")</f>
        <v/>
      </c>
      <c r="GP351" s="159" t="str">
        <f>IF(AND(SnapshotTable[[#This Row],[LC Exp Date]]&gt;0,SnapshotTable[[#This Row],[LC Strike Price]]&gt;0), [1]!ToOptionSymbol(SnapshotTable[[#This Row],[Symbol]], SnapshotTable[[#This Row],[LC Strike Price]],SnapshotTable[[#This Row],[LC Exp Date]],0), "")</f>
        <v/>
      </c>
      <c r="GQ351" s="160" t="str">
        <f>IF(LEN(SnapshotTable[[#This Row],[LC Symbol]])&gt;0, 1, "")</f>
        <v/>
      </c>
      <c r="GR351" s="159" t="str">
        <f>IF(AND(SnapshotTable[[#This Row],[SC Exp Date]]&gt;0,SnapshotTable[[#This Row],[SC Strike Price]]&gt;0), [1]!ToOptionSymbol(SnapshotTable[[#This Row],[Symbol]], SnapshotTable[[#This Row],[SC Strike Price]],SnapshotTable[[#This Row],[SC Exp Date]],0), "")</f>
        <v/>
      </c>
      <c r="GS351" s="160" t="str">
        <f>IF(LEN(SnapshotTable[[#This Row],[SC Symbol]])&gt;0, 1, "")</f>
        <v/>
      </c>
      <c r="GT351" s="161" t="str">
        <f>IF(COUNT(SnapshotTable[[#This Row],[LP Symbol Count]],SnapshotTable[[#This Row],[SP Symbol Count]],SnapshotTable[[#This Row],[LC Symbol Count]],SnapshotTable[[#This Row],[SC Symbol Count]])&gt;0, "Y", "")</f>
        <v/>
      </c>
      <c r="GU35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1" s="231" t="e">
        <f>MAX(SnapshotTable[[#This Row],[Equity Basis Total]],SnapshotTable[[#This Row],[Equity Value]]) + (SnapshotTable[[#This Row],[SP Potential Spend]]- SnapshotTable[[#This Row],[SP Premium]] + SnapshotTable[[#This Row],[LP Premium]])+ (SnapshotTable[[#This Row],[LC Premium]] - SnapshotTable[[#This Row],[SC Premium]])</f>
        <v>#VALUE!</v>
      </c>
      <c r="GW351" s="139" t="e">
        <f>IF(AND(SnapshotTable[[#This Row],[Exposure]] &lt;&gt; 0),SnapshotTable[[#This Row],[Exposure]] / SnapshotTable[[#Totals],[Exposure]], "")</f>
        <v>#VALUE!</v>
      </c>
      <c r="HK351" s="1"/>
      <c r="HL351" s="1"/>
      <c r="HM351" s="1"/>
      <c r="HN351" s="1"/>
      <c r="HO351" s="1"/>
      <c r="HP351" s="1"/>
    </row>
    <row r="352" spans="2:224" ht="12.75" hidden="1" customHeight="1" x14ac:dyDescent="0.25">
      <c r="B352" s="12" t="s">
        <v>1035</v>
      </c>
      <c r="C352" s="422">
        <v>26</v>
      </c>
      <c r="D352" s="208"/>
      <c r="E352" s="39">
        <f>SnapshotTable[[#This Row],[Last Price]]*(1 -CrashDiscount)</f>
        <v>22.099999999999998</v>
      </c>
      <c r="F352" s="26" t="s">
        <v>5</v>
      </c>
      <c r="G352" s="26" t="s">
        <v>4</v>
      </c>
      <c r="H352" s="149"/>
      <c r="I352" s="194">
        <v>44770.25</v>
      </c>
      <c r="J352" s="195">
        <v>44770.25</v>
      </c>
      <c r="K352" s="196"/>
      <c r="L352" s="326"/>
      <c r="M352" s="140"/>
      <c r="N352" s="140"/>
      <c r="O352" s="140"/>
      <c r="P352" s="22"/>
      <c r="Q352" s="25"/>
      <c r="R352" s="4" t="str">
        <f>IF(SnapshotTable[[#This Row],[Equity Basis Total]] &gt; 0, SnapshotTable[[#This Row],[Equity Basis Total]] / SnapshotTable[[#This Row],[Equity Shares]], "")</f>
        <v/>
      </c>
      <c r="S352" s="269">
        <f>SnapshotTable[[#This Row],[Last Price]] * SnapshotTable[[#This Row],[Equity Shares]]</f>
        <v>0</v>
      </c>
      <c r="T352" s="269">
        <f>SnapshotTable[[#This Row],[Equity Value]] - SnapshotTable[[#This Row],[Equity Basis Total]]</f>
        <v>0</v>
      </c>
      <c r="U352" s="270" t="str">
        <f>IF(SnapshotTable[[#This Row],[Equity Basis Total]] &gt; 0, SnapshotTable[[#This Row],[Equity G/L]] / SnapshotTable[[#This Row],[Equity Basis Total]], "")</f>
        <v/>
      </c>
      <c r="V352" s="268"/>
      <c r="W352" s="268"/>
      <c r="X352" s="4" t="str">
        <f>IF(AND(ISNUMBER(SnapshotTable[[#This Row],[Equity Basis Per Share]]),ISNUMBER(SnapshotTable[[#This Row],[Equity Target]])),SnapshotTable[[#This Row],[Equity Target]]-SnapshotTable[[#This Row],[Equity Basis Per Share]],"")</f>
        <v/>
      </c>
      <c r="Y352" s="4" t="str">
        <f>IF(AND(ISNUMBER(SnapshotTable[[#This Row],[Equity Basis Per Share]]),ISNUMBER(SnapshotTable[[#This Row],[Equity Stop Loss]])),SnapshotTable[[#This Row],[Equity Stop Loss]]-SnapshotTable[[#This Row],[Equity Basis Per Share]],"")</f>
        <v/>
      </c>
      <c r="Z352" s="275" t="str">
        <f>IFERROR( TEXT(SnapshotTable[[#This Row],[Equity Max Gain Per Share]] /ABS( SnapshotTable[[#This Row],[Equity Max Loss Per Share]]),"0.0 " ) &amp; " : 1", "")</f>
        <v/>
      </c>
      <c r="AA352" s="31" t="str">
        <f>IF(ISNUMBER(SnapshotTable[[#This Row],[Equity Max Gain Per Share]]),SnapshotTable[[#This Row],[Equity Max Gain Per Share]] * SnapshotTable[[#This Row],[Equity Shares]],"")</f>
        <v/>
      </c>
      <c r="AB352" s="31" t="str">
        <f>IF(ISNUMBER(SnapshotTable[[#This Row],[Equity Max Loss Per Share]]),SnapshotTable[[#This Row],[Equity Max Loss Per Share]] * SnapshotTable[[#This Row],[Equity Shares]],"")</f>
        <v/>
      </c>
      <c r="AC352" s="150"/>
      <c r="AD352" s="151"/>
      <c r="AE352" s="31">
        <f>(SnapshotTable[[#This Row],[Annual Dividend Per Share]] / 4) * SnapshotTable[[#This Row],[Equity Shares]]</f>
        <v>0</v>
      </c>
      <c r="AF352" s="31">
        <f>SnapshotTable[[#This Row],[Quarterly Div $]] * 4</f>
        <v>0</v>
      </c>
      <c r="AG352" s="7">
        <f>IF(SnapshotTable[[#This Row],[Annual Dividend Per Share]]&gt;0, SnapshotTable[[#This Row],[Annual Dividend Per Share]]  / SnapshotTable[[#This Row],[Last Price]], 0)</f>
        <v>0</v>
      </c>
      <c r="AH352" s="151"/>
      <c r="AI352" s="5"/>
      <c r="AJ352" s="138"/>
      <c r="AK352" s="152" t="str">
        <f>IF(ISNUMBER( SnapshotTable[[#This Row],[EBF Target]]),(SnapshotTable[[#This Row],[EBF Target]] - SnapshotTable[[#This Row],[Last Price]]) / SnapshotTable[[#This Row],[Last Price]], "")</f>
        <v/>
      </c>
      <c r="AL352" s="152" t="str">
        <f>IF(AND(SnapshotTable[[#This Row],[Equity Basis Total]] &gt; 0,ISNUMBER( SnapshotTable[[#This Row],[Long Term Target]])), SnapshotTable[[#This Row],[From Basis $]] / SnapshotTable[[#This Row],[Equity Basis Total]], "")</f>
        <v/>
      </c>
      <c r="AM352" s="9">
        <f>IF( AND(SnapshotTable[[#This Row],[Equity Shares]] &gt;0,ISNUMBER( SnapshotTable[[#This Row],[Long Term Target]])),(SnapshotTable[[#This Row],[Equity Shares]] * SnapshotTable[[#This Row],[Long Term Target]]) - SnapshotTable[[#This Row],[Equity Basis Total]],0)</f>
        <v>0</v>
      </c>
      <c r="AN352" s="9">
        <f>IF( AND(SnapshotTable[[#This Row],[Equity Shares]] &gt;0,ISNUMBER( SnapshotTable[[#This Row],[Long Term Target]])),(SnapshotTable[[#This Row],[Equity Shares]]*SnapshotTable[[#This Row],[Long Term Target]]) - SnapshotTable[[#This Row],[Equity Value]],0)</f>
        <v>0</v>
      </c>
      <c r="AO352" s="152" t="str">
        <f>IF(AND(ISNUMBER( SnapshotTable[[#This Row],[Long Term Target]]), ISNUMBER(SnapshotTable[[#This Row],[Last Price]])),(SnapshotTable[[#This Row],[Long Term Target]] - SnapshotTable[[#This Row],[Last Price]]) / SnapshotTable[[#This Row],[Last Price]], "")</f>
        <v/>
      </c>
      <c r="AP352" s="5">
        <v>12</v>
      </c>
      <c r="AQ352" s="38" t="s">
        <v>27</v>
      </c>
      <c r="AR352" s="5">
        <v>12</v>
      </c>
      <c r="AS352" s="38" t="s">
        <v>38</v>
      </c>
      <c r="AT352" s="146" t="s">
        <v>542</v>
      </c>
      <c r="AU352" s="187" t="str">
        <f>IF(OR(SnapshotTable[[#This Row],[LP No Fill]]="Y",SnapshotTable[[#This Row],[SP Is Filled]],SnapshotTable[[#This Row],[LC Not Filled]]="Y",SnapshotTable[[#This Row],[SC Is Filled]]),"Y","")</f>
        <v/>
      </c>
      <c r="AV352" s="219"/>
      <c r="AW352" s="225"/>
      <c r="AX352" s="220"/>
      <c r="AY352" s="219" t="str">
        <f>IF(SnapshotTable[[#This Row],[Implied Move]]&gt;0, SnapshotTable[[#This Row],[Last Price]]-SnapshotTable[[#This Row],[Implied Move]],"")</f>
        <v/>
      </c>
      <c r="AZ352" s="219" t="str">
        <f>IF(SnapshotTable[[#This Row],[Implied Move]]&gt;0, SnapshotTable[[#This Row],[Last Price]] + SnapshotTable[[#This Row],[Implied Move]],"")</f>
        <v/>
      </c>
      <c r="BA352" s="331">
        <v>11.21</v>
      </c>
      <c r="BB352" s="347"/>
      <c r="BC35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2" s="351"/>
      <c r="BE352" s="5"/>
      <c r="BF352" s="14"/>
      <c r="BG352" s="13"/>
      <c r="BH352" s="13"/>
      <c r="BI352" s="5"/>
      <c r="BJ352" s="136">
        <f>IF(SnapshotTable[[#This Row],[LP Qty]] &gt; 0, SnapshotTable[[#This Row],[LP Qty]] * SnapshotTable[[#This Row],[LP Book Price]] * 100,0)</f>
        <v>0</v>
      </c>
      <c r="BK352" s="136">
        <f>IF(SnapshotTable[[#This Row],[LP Premium]] &gt; 0, SnapshotTable[[#This Row],[LP Qty]] * SnapshotTable[[#This Row],[LP Strike Price]] * 100,0)</f>
        <v>0</v>
      </c>
      <c r="BL352" s="154"/>
      <c r="BM352" s="385" t="str">
        <f>IF(SnapshotTable[[#This Row],[LP Premium]] &gt; 0,SnapshotTable[[#This Row],[LP Exp Date]]-MAX(SnapshotTable[[#This Row],[LP Book Date]], SnapshotTable[[#This Row],[LP Fill Date]]),"")</f>
        <v/>
      </c>
      <c r="BN352" s="385" t="str">
        <f>IF(ISNUMBER( SnapshotTable[[#This Row],[LP Term]]), SnapshotTable[[#This Row],[LP Exp Date]] - MockToday,"")</f>
        <v/>
      </c>
      <c r="BO352" s="163" t="str">
        <f>IF(AND(SnapshotTable[[#This Row],[LP Exp Date]]&gt;0, SnapshotTable[[#This Row],[LP Strike Price]]&gt;0,SnapshotTable[[#This Row],[LP Qty]]&gt;0,SnapshotTable[[#This Row],[LP Book Date]]&gt;0,SnapshotTable[[#This Row],[LP Book Price]]&gt;0,SnapshotTable[[#This Row],[LP Fill Date]]=0),"Y","")</f>
        <v/>
      </c>
      <c r="BP352" s="31" t="str">
        <f>IF(AND(SnapshotTable[[#This Row],[LP No Fill]]&lt;&gt;"Y",SnapshotTable[[#This Row],[LP Contract Value]]&gt;0, SnapshotTable[[#This Row],[LP Qty]]&gt;0), SnapshotTable[[#This Row],[LP Contract Value]]*SnapshotTable[[#This Row],[LP Qty]]*100,"")</f>
        <v/>
      </c>
      <c r="BQ352" s="13"/>
      <c r="BR352" s="5" t="str">
        <f>IF(SnapshotTable[[#This Row],[SP Exp Date]]&lt;&gt;"",TRUNC(SnapshotTable[[#This Row],[Last Price]]),"")</f>
        <v/>
      </c>
      <c r="BS352" s="36"/>
      <c r="BT352" s="147"/>
      <c r="BU352" s="13"/>
      <c r="BV352" s="5"/>
      <c r="BW352" s="419" t="b">
        <f>AND(ISNUMBER(SnapshotTable[[#This Row],[SP Exp Date]]), ISNUMBER(SnapshotTable[[#This Row],[SP Strike Price]]), ISNUMBER(SnapshotTable[[#This Row],[SP Qty]]), ISNUMBER(SnapshotTable[[#This Row],[SP Book Date]]), ISNUMBER(SnapshotTable[[#This Row],[SP Book Price]]))</f>
        <v>0</v>
      </c>
      <c r="BX352" s="419" t="b">
        <f>AND(SnapshotTable[[#This Row],[SP Is Booked]], NOT(ISBLANK(SnapshotTable[[#This Row],[SP Fill Date]])))</f>
        <v>0</v>
      </c>
      <c r="BY352" s="33">
        <f>IF(SnapshotTable[[#This Row],[SP Is Booked]], SnapshotTable[[#This Row],[SP Qty]] * SnapshotTable[[#This Row],[SP Book Price]] * 100, 0)</f>
        <v>0</v>
      </c>
      <c r="BZ352" s="369"/>
      <c r="CA352" s="368">
        <f>SnapshotTable[[#This Row],[LP Qty]]</f>
        <v>0</v>
      </c>
      <c r="CB352" s="4" t="str">
        <f>IF(SnapshotTable[[#This Row],[SP Is Booked]], SnapshotTable[[#This Row],[SP Strike Price]] - SnapshotTable[[#This Row],[SP Book Price]], "")</f>
        <v/>
      </c>
      <c r="CC352" s="19" t="str">
        <f>IF(SnapshotTable[[#This Row],[SP Is Booked]],SnapshotTable[[#This Row],[SP Exp Date]]-MAX(SnapshotTable[[#This Row],[SP Book Date]], SnapshotTable[[#This Row],[SP Fill Date]]),"")</f>
        <v/>
      </c>
      <c r="CD352" s="7" t="str">
        <f>IF(SnapshotTable[[#This Row],[SP Is Booked]], SnapshotTable[[#This Row],[SP Book Price]]/SnapshotTable[[#This Row],[SP Strike Price]], "")</f>
        <v/>
      </c>
      <c r="CE352" s="7" t="str">
        <f>IF(ISNUMBER(SnapshotTable[[#This Row],[SP ROO Term]]),SnapshotTable[[#This Row],[SP ROO Term]]*(365/SnapshotTable[[#This Row],[SP Term]]),"")</f>
        <v/>
      </c>
      <c r="CF352" s="236">
        <f>SnapshotTable[[#This Row],[LP Strike Price]] * SnapshotTable[[#This Row],[LP Qty]] * 100</f>
        <v>0</v>
      </c>
      <c r="CG352" s="31" t="e">
        <f>IF(ISNUMBER(SnapshotTable[[#This Row],[SP Premium]]), (SnapshotTable[[#This Row],[SP Qty]] * SnapshotTable[[#This Row],[SP Strike Price]]* 100) - SnapshotTable[[#This Row],[LP Protection]], 0)</f>
        <v>#VALUE!</v>
      </c>
      <c r="CH352" s="7" t="str">
        <f>IF(ISNUMBER(SnapshotTable[[#This Row],[SP Break Even]]),-1 * (SnapshotTable[[#This Row],[SP Break Even]] - SnapshotTable[[#This Row],[Last Price]]) / SnapshotTable[[#This Row],[Last Price]], "")</f>
        <v/>
      </c>
      <c r="CI352" s="31">
        <f>IF(AND(ISNUMBER((SnapshotTable[[#This Row],[SP Potential Spend]])), SnapshotTable[[#This Row],[SP Strike Price]] &gt; SnapshotTable[[#This Row],[Last Price]], SnapshotTable[[#This Row],[SP Is Filled]]), SnapshotTable[[#This Row],[SP Potential Spend]] -  SnapshotTable[[#This Row],[LP Max Value]], 0)</f>
        <v>0</v>
      </c>
      <c r="CJ352" s="244"/>
      <c r="CK352" s="31" t="str">
        <f>IF(ISNUMBER(SnapshotTable[[#This Row],[SP Potential Spend]]),IF(ISNUMBER(SnapshotTable[[#This Row],[SP POW]]), SnapshotTable[[#This Row],[SP POW]] * SnapshotTable[[#This Row],[SP Potential Spend]], SnapshotTable[[#This Row],[SP Potential Spend]]), "")</f>
        <v/>
      </c>
      <c r="CL352" s="164" t="e">
        <f>IF(NOT(SnapshotTable[[#This Row],[SP Is Filled]]),(SnapshotTable[[#This Row],[SP Qty]] * SnapshotTable[[#This Row],[SP Strike Price]] * 100) - SnapshotTable[[#This Row],[LP Max Value]],"")</f>
        <v>#VALUE!</v>
      </c>
      <c r="CM352" s="31" t="str">
        <f>IF(SnapshotTable[[#This Row],[SP Actual Spend]]&lt;&gt;0, ((SnapshotTable[[#This Row],[SP Strike Price]]-SnapshotTable[[#This Row],[Last Price]]) *(SnapshotTable[[#This Row],[SP Qty]]*100) - SnapshotTable[[#This Row],[SP Premium]]) * - 1, "")</f>
        <v/>
      </c>
      <c r="CN352" s="218"/>
      <c r="CO352" s="369"/>
      <c r="CP352" s="4" t="str">
        <f>IF(SnapshotTable[[#This Row],[SP Is Filled]], btc_max_buyback_amount(SnapshotTable[[#This Row],[SP Fill Date]],SnapshotTable[[#This Row],[SP Exp Date]], SnapshotTable[[#This Row],[SP Book Price]]),"")</f>
        <v/>
      </c>
      <c r="CQ352" s="78"/>
      <c r="CR35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2" s="155" t="str">
        <f>IF(SnapshotTable[[#This Row],[SP Is Filled]], btc_next_cutoff_date(SnapshotTable[[#This Row],[SP Fill Date]],SnapshotTable[[#This Row],[SP Exp Date]]),"")</f>
        <v/>
      </c>
      <c r="CT352" s="235" t="str" cm="1">
        <f t="array" ref="CT352">IF(SnapshotTable[[#This Row],[SP Is Filled]], btc_should_buy_back(SnapshotTable[[#This Row],[SP Fill Date]], SnapshotTable[[#This Row],[SP Exp Date]], SnapshotTable[[#This Row],[SP Book Price]], SnapshotTable[[#This Row],[SP Current Ask]], MockToday, SnapshotTable[[#This Row],[SP Buyback Override]]),"")</f>
        <v/>
      </c>
      <c r="CU352" s="143"/>
      <c r="CV352" s="235"/>
      <c r="CW352" s="378" t="str">
        <f>IF(ISNUMBER( SnapshotTable[[#This Row],[SP Term]]), SnapshotTable[[#This Row],[SP Exp Date]] - MockToday,"")</f>
        <v/>
      </c>
      <c r="CX352" s="31" t="str">
        <f>IF(SnapshotTable[[#This Row],[SP Is Filled]],SnapshotTable[[#This Row],[SP Buyback Price to Use]] * 100 * SnapshotTable[[#This Row],[SP Qty]], "")</f>
        <v/>
      </c>
      <c r="CY352" s="4" t="str">
        <f>IF(ISNUMBER(SnapshotTable[[#This Row],[SP Strike Price]]), SnapshotTable[[#This Row],[SP Strike Price]] * (1 - SP_MaxLoss_StrikePct), "")</f>
        <v/>
      </c>
      <c r="CZ352" s="31" t="str">
        <f>IF(ISNUMBER(SnapshotTable[[#This Row],[SP Strike  Stop Per Share]]),SnapshotTable[[#This Row],[SP Premium]] - ((SnapshotTable[[#This Row],[SP Strike Price]]-SnapshotTable[[#This Row],[SP Strike  Stop Per Share]]) *(SnapshotTable[[#This Row],[SP Qty]] * 100)),"")</f>
        <v/>
      </c>
      <c r="DA352" s="4" t="str">
        <f>IF(AND(ISNUMBER(SnapshotTable[[#This Row],[SP Premium]]),SnapshotTable[[#This Row],[SP Premium]]&gt;0), SnapshotTable[[#This Row],[SP Book Price]] * (1 + SP_MaxLoss_OptionPct), "")</f>
        <v/>
      </c>
      <c r="DB352" s="31" t="str">
        <f>IF(ISNUMBER(SnapshotTable[[#This Row],[SP Option  Stop Contract]]),(SnapshotTable[[#This Row],[SP Option  Stop Contract]] *(SnapshotTable[[#This Row],[SP Qty]] * 100) - SnapshotTable[[#This Row],[SP Premium]]),"")</f>
        <v/>
      </c>
      <c r="DC352" s="4"/>
      <c r="DD352" s="4"/>
      <c r="DE352" s="4" t="str">
        <f>IF(AND(SnapshotTable[[#This Row],[SP Qty]]&gt;0, SnapshotTable[[#This Row],[SP Stop To Use]]&gt;0),SnapshotTable[[#This Row],[SP Premium]] - ( SnapshotTable[[#This Row],[SP Qty]] * SnapshotTable[[#This Row],[SP Stop To Use]] * 100), "")</f>
        <v/>
      </c>
      <c r="DF352" s="31" t="str">
        <f>IF(AND(SnapshotTable[[#This Row],[SP Qty]]&gt;0,SnapshotTable[[#This Row],[SP Current Ask]]&gt;0), SnapshotTable[[#This Row],[SP Qty]] * SnapshotTable[[#This Row],[SP Current Ask]] * -100, "")</f>
        <v/>
      </c>
      <c r="DG352" s="31" t="str">
        <f>IF(ISNUMBER((SnapshotTable[[#This Row],[SP Total Value]])), SnapshotTable[[#This Row],[SP Premium]] + SnapshotTable[[#This Row],[SP Total Value]], "")</f>
        <v/>
      </c>
      <c r="DH352" s="294" t="str">
        <f>IF(ISNUMBER((SnapshotTable[[#This Row],[SP Total Value]])), SnapshotTable[[#This Row],[SP Gain Loss]] / SnapshotTable[[#This Row],[SP Premium]], "")</f>
        <v/>
      </c>
      <c r="DI352" s="406"/>
      <c r="DJ352" s="138"/>
      <c r="DK352" s="148"/>
      <c r="DL352" s="13"/>
      <c r="DM352" s="13"/>
      <c r="DO352" s="31">
        <f>IF(SnapshotTable[[#This Row],[LC Symbol Count]]=1, SnapshotTable[[#This Row],[LC Qty]] * SnapshotTable[[#This Row],[LC Book Price]] * 100, 0)</f>
        <v>0</v>
      </c>
      <c r="DP352" s="163" t="str">
        <f>IF(AND(SnapshotTable[[#This Row],[LC Exp Date]]&gt;0, SnapshotTable[[#This Row],[LC Strike Price]]&gt;0,SnapshotTable[[#This Row],[LC Qty]]&gt;0,SnapshotTable[[#This Row],[LC Book Date]]&gt;0,SnapshotTable[[#This Row],[LC Book Price]]&gt;0,SnapshotTable[[#This Row],[LC Fill Date]]=0),"Y","")</f>
        <v/>
      </c>
      <c r="DQ352" s="386" t="str">
        <f>IF(SnapshotTable[[#This Row],[LC Premium]] &gt; 0,SnapshotTable[[#This Row],[LC Exp Date]]-MAX(SnapshotTable[[#This Row],[LC Book Date]], SnapshotTable[[#This Row],[LC Fill Date]]),"")</f>
        <v/>
      </c>
      <c r="DR352" s="386" t="str">
        <f>IF(ISNUMBER(SnapshotTable[[#This Row],[LC Term]]), SnapshotTable[[#This Row],[LC Exp Date]] - MockToday, "")</f>
        <v/>
      </c>
      <c r="DS352" s="234" t="str">
        <f>IF(SnapshotTable[[#This Row],[LC Premium]]&gt;0,SnapshotTable[[#This Row],[LC Strike Price]] + SnapshotTable[[#This Row],[LC Book Price]],"")</f>
        <v/>
      </c>
      <c r="DU352" s="9" t="str">
        <f>IF(AND(SnapshotTable[[#This Row],[LC Symbol Count]]&gt;0, SnapshotTable[[#This Row],[LC Contract Value]]&gt;0), SnapshotTable[[#This Row],[LC Contract Value]] * SnapshotTable[[#This Row],[LC Qty]] * 100, "")</f>
        <v/>
      </c>
      <c r="DV352" s="9" t="str">
        <f>IF(AND(ISNUMBER(SnapshotTable[[#This Row],[LC Total Value]]), SnapshotTable[[#This Row],[LC Not Filled]]&lt;&gt;"Y"), SnapshotTable[[#This Row],[LC Total Value]]-SnapshotTable[[#This Row],[LC Premium]],"")</f>
        <v/>
      </c>
      <c r="DW352" s="240" t="str">
        <f>IF(ISNUMBER(SnapshotTable[[#This Row],[LC Actual Gain Loss]]), SnapshotTable[[#This Row],[LC Actual Gain Loss]] / SnapshotTable[[#This Row],[LC Premium]],"")</f>
        <v/>
      </c>
      <c r="DX352" s="284" t="str">
        <f>IF(ISNUMBER(SnapshotTable[[#This Row],[LC Book Price]]),SnapshotTable[[#This Row],[LC Book Price]] * 1.5,"")</f>
        <v/>
      </c>
      <c r="DY352" s="265" t="str">
        <f>IF(SnapshotTable[[#This Row],[LC Premium]]&gt;0, SnapshotTable[[#This Row],[LC Next Target]] * SnapshotTable[[#This Row],[LC Qty]] * 100,"")</f>
        <v/>
      </c>
      <c r="DZ352" s="265" t="str">
        <f>IF(ISNUMBER(SnapshotTable[[#This Row],[LC Target Gross]]), SnapshotTable[[#This Row],[LC Target Gross]] - SnapshotTable[[#This Row],[LC Premium]], "")</f>
        <v/>
      </c>
      <c r="EA352" s="305" t="str">
        <f>IF(ISNUMBER(SnapshotTable[[#This Row],[LC Target Gain Loss]]), SnapshotTable[[#This Row],[LC Target Gain Loss]]/SnapshotTable[[#This Row],[LC Premium]], "")</f>
        <v/>
      </c>
      <c r="EB352" s="262"/>
      <c r="EC352" s="283" t="str">
        <f>IF(SnapshotTable[[#This Row],[LC Premium]]&gt;0, SnapshotTable[[#This Row],[LC Book Price]] * (1 - LC_StopLoss_Pct),"")</f>
        <v/>
      </c>
      <c r="ED352" s="284"/>
      <c r="EE352" s="283" t="str">
        <f>IF(ISNUMBER(SnapshotTable[[#This Row],[LC Contract Value]]),IF(ISNUMBER(SnapshotTable[[#This Row],[LC Stop Loss Override]]), SnapshotTable[[#This Row],[LC Stop Loss Override]],SnapshotTable[[#This Row],[LC Stop Loss Calc Target]]),"")</f>
        <v/>
      </c>
      <c r="EF352" s="31" t="str">
        <f>IF(ISNUMBER(SnapshotTable[[#This Row],[LC Stop  To Use]]), (SnapshotTable[[#This Row],[LC Stop  To Use]] * SnapshotTable[[#This Row],[LC Qty]] * 100),"")</f>
        <v/>
      </c>
      <c r="EG352" s="9" t="str">
        <f>IF(ISNUMBER(SnapshotTable[[#This Row],[LC Total Value]]),SnapshotTable[[#This Row],[LC Stop Loss Amount]] - SnapshotTable[[#This Row],[LC Premium]],"")</f>
        <v/>
      </c>
      <c r="EH352" s="9">
        <f>IF(ISNUMBER(SnapshotTable[[#This Row],[LC Premium]]), SnapshotTable[[#This Row],[LC Qty]] * 100 * SnapshotTable[[#This Row],[LC Strike Price]], "")</f>
        <v>0</v>
      </c>
      <c r="EI352" s="240" t="str">
        <f>IF(AND(ISNUMBER(SnapshotTable[[#This Row],[LC Total Value]]),SnapshotTable[[#This Row],[LC Total Value]]&gt;0),SnapshotTable[[#This Row],[LC Stop Gain Loss]]  / SnapshotTable[[#This Row],[LC Premium]],"")</f>
        <v/>
      </c>
      <c r="EJ352" s="35">
        <f>IF(ISNUMBER(SnapshotTable[[#This Row],[Equity Shares]]),TRUNC(SnapshotTable[[#This Row],[Equity Shares]] / 100),0) + SnapshotTable[[#This Row],[LC Qty]]</f>
        <v>0</v>
      </c>
      <c r="EK352" s="147"/>
      <c r="EL352" s="138" t="str">
        <f>IF(SnapshotTable[[#This Row],[SC Exp Date]]&lt;&gt;"",TRUNC(SnapshotTable[[#This Row],[Last Price]]),"")</f>
        <v/>
      </c>
      <c r="EM352" s="148"/>
      <c r="EN352" s="147"/>
      <c r="EO352" s="147"/>
      <c r="EP352" s="138"/>
      <c r="EQ352" s="419" t="b">
        <f>AND(ISNUMBER(SnapshotTable[[#This Row],[SC Exp Date]]), ISNUMBER(SnapshotTable[[#This Row],[SC Strike Price]]), ISNUMBER(SnapshotTable[[#This Row],[SC Qty]]), ISNUMBER(SnapshotTable[[#This Row],[SC Book Date]]), ISNUMBER(SnapshotTable[[#This Row],[SC Book Price]]))</f>
        <v>0</v>
      </c>
      <c r="ER352" s="419" t="b">
        <f>AND(SnapshotTable[[#This Row],[SC Is Booked]], NOT(ISBLANK(SnapshotTable[[#This Row],[SC Fill Date]])))</f>
        <v>0</v>
      </c>
      <c r="ES352" s="370"/>
      <c r="ET352" s="34" t="str">
        <f>IF(AND(ISNUMBER(SnapshotTable[[#This Row],[SC Exp Date]]), ISNUMBER(SnapshotTable[[#This Row],[SC Book Date]])), SnapshotTable[[#This Row],[SC Exp Date]] - MAX(SnapshotTable[[#This Row],[SC Book Date]], SnapshotTable[[#This Row],[SC Fill Date]]) + 1, "")</f>
        <v/>
      </c>
      <c r="EU352" s="34" t="str">
        <f>IF(ISNUMBER(SnapshotTable[[#This Row],[SC Term]]), SnapshotTable[[#This Row],[SC Exp Date]]- MockToday, "")</f>
        <v/>
      </c>
      <c r="EV352" s="31">
        <f>IF(SnapshotTable[[#This Row],[SC Is Booked]], SnapshotTable[[#This Row],[SC Qty]] * SnapshotTable[[#This Row],[SC Book Price]] * 100, 0)</f>
        <v>0</v>
      </c>
      <c r="EW352" s="4" t="str">
        <f>IF(AND(ISNUMBER(SnapshotTable[[#This Row],[Last Price]]), ISNUMBER( SnapshotTable[[#This Row],[SC Book Price]])), SnapshotTable[[#This Row],[Last Price]] - SnapshotTable[[#This Row],[SC Book Price]],"")</f>
        <v/>
      </c>
      <c r="EX352" s="234" t="str">
        <f>IF(SnapshotTable[[#This Row],[SC Is Booked]],IF(SnapshotTable[[#This Row],[SC Intrinsic Value]] &gt; 0, SnapshotTable[[#This Row],[SC Strike Price]], SnapshotTable[[#This Row],[Last Price]]), "")</f>
        <v/>
      </c>
      <c r="EY352" s="4">
        <f>IF(SnapshotTable[[#This Row],[SC Is Booked]], (MinimumPremiumRequired * SnapshotTable[[#This Row],[SC Basis]] * SnapshotTable[[#This Row],[SC Term]]), 0)</f>
        <v>0</v>
      </c>
      <c r="EZ352" s="283"/>
      <c r="FA352" s="218"/>
      <c r="FB352" s="370"/>
      <c r="FC352" s="4">
        <f>IF(SnapshotTable[[#This Row],[SC Is Filled]], btc_max_buyback_amount(SnapshotTable[[#This Row],[SC Fill Date]],SnapshotTable[[#This Row],[SC Exp Date]], SnapshotTable[[#This Row],[SC Book Price]]),0)</f>
        <v>0</v>
      </c>
      <c r="FD352" s="5"/>
      <c r="FE352" s="144" t="str">
        <f>IF(SnapshotTable[[#This Row],[SC Is Filled]], btc_next_cutoff_date(SnapshotTable[[#This Row],[SC Fill Date]],SnapshotTable[[#This Row],[SC Exp Date]]),"")</f>
        <v/>
      </c>
      <c r="FF352" s="4" t="str" cm="1">
        <f t="array" ref="FF352">IF(SnapshotTable[[#This Row],[SC Is Filled]], btc_should_buy_back(SnapshotTable[[#This Row],[SC Fill Date]], SnapshotTable[[#This Row],[SC Exp Date]], SnapshotTable[[#This Row],[SC Book Price]], SnapshotTable[[#This Row],[SC Current Ask]], MockToday, SnapshotTable[[#This Row],[SC Buyback Override]]),"")</f>
        <v/>
      </c>
      <c r="FG352" s="4">
        <f>IF(SnapshotTable[[#This Row],[SC Is Filled]], MAX(0,SnapshotTable[[#This Row],[Last Price]]  - SnapshotTable[[#This Row],[SC Strike Price]]), 0)</f>
        <v>0</v>
      </c>
      <c r="FH352" s="382">
        <f>IF(SnapshotTable[[#This Row],[SC Is Filled]], IF(ISNUMBER(SnapshotTable[[#This Row],[SC Current Ask]]), SnapshotTable[[#This Row],[SC Current Ask]], SnapshotTable[[#This Row],[SC Book Price]]) - SnapshotTable[[#This Row],[SC Intrinsic Value]], 0)</f>
        <v>0</v>
      </c>
      <c r="FI352" s="143"/>
      <c r="FJ352" s="32" t="str">
        <f>IF(SnapshotTable[[#This Row],[SC Is Filled]],100 * SnapshotTable[[#This Row],[SC Qty]] * IF(ISNUMBER(SnapshotTable[[#This Row],[SC Buyback Override]]), SnapshotTable[[#This Row],[SC Buyback Override]], SnapshotTable[[#This Row],[SC Current Ask]]), "")</f>
        <v/>
      </c>
      <c r="FK352" s="250" t="str">
        <f>IF(SnapshotTable[[#This Row],[SC Time Val]]&gt;0, SnapshotTable[[#This Row],[SC Time Val]] / SnapshotTable[[#This Row],[Last Price]],"")</f>
        <v/>
      </c>
      <c r="FL352" s="302" t="str">
        <f>IF(SnapshotTable[[#This Row],[SC Is Booked]], ((SnapshotTable[[#This Row],[Last Price]] -SnapshotTable[[#This Row],[SC Strike Price]]) / SnapshotTable[[#This Row],[Last Price]]) * -1, "")</f>
        <v/>
      </c>
      <c r="FM352" s="157" t="str">
        <f>IF(SnapshotTable[[#This Row],[SC Is Booked]],  (SnapshotTable[[#This Row],[SC Qty]] * 100 * SnapshotTable[[#This Row],[SC Strike Price]]) - SnapshotTable[[#This Row],[SC Current Ask]], "")</f>
        <v/>
      </c>
      <c r="FN35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2" s="31" t="str">
        <f>IF(AND(ISNUMBER(SnapshotTable[[#This Row],[SC Exercise Gross]]), ISNUMBER(SnapshotTable[[#This Row],[Equity Basis Per Share]] )), SnapshotTable[[#This Row],[SC Exercise Gross]] - SnapshotTable[[#This Row],[Equity Basis Total]] +  SnapshotTable[[#This Row],[SC Premium]], "")</f>
        <v/>
      </c>
      <c r="FP352" s="5" t="str">
        <f>IF(ISNUMBER(SnapshotTable[[#This Row],[SC Exercise Gross]]), (SnapshotTable[[#This Row],[SC Exercise Gross]]) / (SnapshotTable[[#This Row],[SC Qty]] * 100), "")</f>
        <v/>
      </c>
      <c r="FQ352" s="27" t="str">
        <f>IF(SnapshotTable[[#This Row],[SC Is Booked]],SnapshotTable[[#This Row],[SC Time Val]] /SnapshotTable[[#This Row],[SC Basis]], "")</f>
        <v/>
      </c>
      <c r="FR352" s="27" t="str" cm="1">
        <f t="array" ref="FR352">IF(AND(ISNUMBER(SnapshotTable[[#This Row],[SC Term]]),ISNUMBER(SnapshotTable[[#This Row],[SC Simple ROO]])), EllmanAnnualize(SnapshotTable[[#This Row],[SC DTE]], SnapshotTable[[#This Row],[SC Simple ROO]] ),"")</f>
        <v/>
      </c>
      <c r="FS352" s="4" t="e">
        <f>IF(SnapshotTable[[#This Row],[SC Strike Price]] &gt; SnapshotTable[[#This Row],[Last Price]], SnapshotTable[[#This Row],[SC Strike Price]] - SnapshotTable[[#This Row],[Last Price]],0)</f>
        <v>#VALUE!</v>
      </c>
      <c r="FT352" s="27" t="e">
        <f>IF(AND(ISNUMBER(SnapshotTable[[#This Row],[SC Upside Potential]]), SnapshotTable[[#This Row],[SC Upside Potential]] &gt; 0),(SnapshotTable[[#This Row],[SC Upside Potential]]/ SnapshotTable[[#This Row],[ACB]]),"")</f>
        <v>#VALUE!</v>
      </c>
      <c r="FU352" s="333" t="str">
        <f>IF(SnapshotTable[[#This Row],[SC Intrinsic Value]] &gt; 0,SnapshotTable[[#This Row],[SC Intrinsic Value]],"")</f>
        <v/>
      </c>
      <c r="FV352" s="27" t="str">
        <f>IF(AND( ISNUMBER( SnapshotTable[[#This Row],[ACB]]),ISNUMBER(SnapshotTable[[#This Row],[SC Downside Protect]])),SnapshotTable[[#This Row],[SC Downside Protect]] / SnapshotTable[[#This Row],[ACB]],"")</f>
        <v/>
      </c>
      <c r="FW352" s="236" t="str">
        <f>IF(AND(ISNUMBER(SnapshotTable[[#This Row],[SC Simple ROO]]),SnapshotTable[[#This Row],[SC Simple ROO]] &gt; 0), SnapshotTable[[#This Row],[SC Premium]] + (SnapshotTable[[#This Row],[SC Qty]] * SnapshotTable[[#This Row],[SC Upside Potential]]), "")</f>
        <v/>
      </c>
      <c r="FX352" s="302" t="str" cm="1">
        <f t="array" ref="FX352">IF(ISNUMBER(SnapshotTable[[#This Row],[SC Max Dollars]]), annualize(SnapshotTable[[#This Row],[SC Term]],(SnapshotTable[[#This Row],[SC Max Dollars]]/SnapshotTable[[#This Row],[SC Basis]])),"")</f>
        <v/>
      </c>
      <c r="FY352" s="236" t="str">
        <f>IF(AND(SnapshotTable[[#This Row],[SC Qty]]&gt;0,SnapshotTable[[#This Row],[SC Current Ask]]&gt;0), SnapshotTable[[#This Row],[SC Qty]] * SnapshotTable[[#This Row],[SC Current Ask]] * -100, "")</f>
        <v/>
      </c>
      <c r="FZ352" s="31" t="str">
        <f>IF(ISNUMBER((SnapshotTable[[#This Row],[SC Current Value]])), SnapshotTable[[#This Row],[SC Premium]] + SnapshotTable[[#This Row],[SC Current Value]], "")</f>
        <v/>
      </c>
      <c r="GA352" s="294" t="str">
        <f>IFERROR( IF(ISNUMBER((SnapshotTable[[#This Row],[SC Current Value]])), SnapshotTable[[#This Row],[SC Gain Loss]] / SnapshotTable[[#This Row],[SC Premium]], ""), "")</f>
        <v/>
      </c>
      <c r="GB352" s="42">
        <f>SnapshotTable[[#This Row],[Equity Shares]] * SaleSharesToConsiderPercentage</f>
        <v>0</v>
      </c>
      <c r="GC352" s="40">
        <f>SnapshotTable[[#This Row],[Long Term Target]] * SellingPriceToConsiderBasedOnTargetPercentage</f>
        <v>0</v>
      </c>
      <c r="GD352" s="40">
        <f>SnapshotTable[[#This Row],[Last Price]] * (1+ SellingPriceToConsiderBasedOnTargetPercentage)</f>
        <v>50.699999999999996</v>
      </c>
      <c r="GE352" s="41"/>
      <c r="GF352" s="40"/>
      <c r="GG352" s="31">
        <f>SnapshotTable[[#This Row],[Booked Sale Shares]] * SnapshotTable[[#This Row],[Booked Sale Price]]</f>
        <v>0</v>
      </c>
      <c r="GH352" s="31" t="str">
        <f>IF(SnapshotTable[[#This Row],[Equity Basis Total]] &gt; 0, SnapshotTable[[#This Row],[Equity Basis Per Share]] * SnapshotTable[[#This Row],[Booked Sale Shares]], "")</f>
        <v/>
      </c>
      <c r="GI352" s="31">
        <f>IF(SnapshotTable[[#This Row],[Sale Proceeds]]&gt;0, SnapshotTable[[#This Row],[Sale Proceeds]] - SnapshotTable[[#This Row],[Sale Basis]], 0)</f>
        <v>0</v>
      </c>
      <c r="GJ352" s="27" t="str">
        <f>IF(SnapshotTable[[#This Row],[Sale G/L]]&gt;0, SnapshotTable[[#This Row],[Sale G/L]] / SnapshotTable[[#This Row],[Sale Basis]], IF(ISNUMBER(SnapshotTable[[#This Row],[SC Exercise P&amp;L (TAX)]]), SnapshotTable[[#This Row],[SC Exercise P&amp;L (TAX)]] / SnapshotTable[[#This Row],[SC Basis]], ""))</f>
        <v/>
      </c>
      <c r="GK352" s="27"/>
      <c r="GL352" s="43" t="str">
        <f>IF(AND(SnapshotTable[[#This Row],[LP Exp Date]]&gt;0,SnapshotTable[[#This Row],[LP Strike Price]]&gt;0), [1]!ToOptionSymbol(SnapshotTable[[#This Row],[Symbol]], SnapshotTable[[#This Row],[LP Strike Price]],SnapshotTable[[#This Row],[LP Exp Date]],1), "")</f>
        <v/>
      </c>
      <c r="GM352" s="30" t="str">
        <f>IF(LEN(SnapshotTable[[#This Row],[LP Symbol]])&gt;0, 1, "")</f>
        <v/>
      </c>
      <c r="GN352" s="43" t="str">
        <f>IF(AND(SnapshotTable[[#This Row],[SP Exp Date]]&gt;0,SnapshotTable[[#This Row],[SP Strike Price]]&gt;0), [1]!ToOptionSymbol(SnapshotTable[[#This Row],[Symbol]], SnapshotTable[[#This Row],[SP Strike Price]],SnapshotTable[[#This Row],[SP Exp Date]],1), "")</f>
        <v/>
      </c>
      <c r="GO352" s="30" t="str">
        <f>IF(LEN(SnapshotTable[[#This Row],[SP Symbol]])&gt;0, 1, "")</f>
        <v/>
      </c>
      <c r="GP352" s="43" t="str">
        <f>IF(AND(SnapshotTable[[#This Row],[LC Exp Date]]&gt;0,SnapshotTable[[#This Row],[LC Strike Price]]&gt;0), [1]!ToOptionSymbol(SnapshotTable[[#This Row],[Symbol]], SnapshotTable[[#This Row],[LC Strike Price]],SnapshotTable[[#This Row],[LC Exp Date]],0), "")</f>
        <v/>
      </c>
      <c r="GQ352" s="30" t="str">
        <f>IF(LEN(SnapshotTable[[#This Row],[LC Symbol]])&gt;0, 1, "")</f>
        <v/>
      </c>
      <c r="GR352" s="43" t="str">
        <f>IF(AND(SnapshotTable[[#This Row],[SC Exp Date]]&gt;0,SnapshotTable[[#This Row],[SC Strike Price]]&gt;0), [1]!ToOptionSymbol(SnapshotTable[[#This Row],[Symbol]], SnapshotTable[[#This Row],[SC Strike Price]],SnapshotTable[[#This Row],[SC Exp Date]],0), "")</f>
        <v/>
      </c>
      <c r="GS352" s="30" t="str">
        <f>IF(LEN(SnapshotTable[[#This Row],[SC Symbol]])&gt;0, 1, "")</f>
        <v/>
      </c>
      <c r="GT352" s="29" t="str">
        <f>IF(COUNT(SnapshotTable[[#This Row],[LP Symbol Count]],SnapshotTable[[#This Row],[SP Symbol Count]],SnapshotTable[[#This Row],[LC Symbol Count]],SnapshotTable[[#This Row],[SC Symbol Count]])&gt;0, "Y", "")</f>
        <v/>
      </c>
      <c r="GU35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2" s="231" t="e">
        <f>MAX(SnapshotTable[[#This Row],[Equity Basis Total]],SnapshotTable[[#This Row],[Equity Value]]) + (SnapshotTable[[#This Row],[SP Potential Spend]]- SnapshotTable[[#This Row],[SP Premium]] + SnapshotTable[[#This Row],[LP Premium]])+ (SnapshotTable[[#This Row],[LC Premium]] - SnapshotTable[[#This Row],[SC Premium]])</f>
        <v>#VALUE!</v>
      </c>
      <c r="GW352" s="139" t="e">
        <f>IF(AND(SnapshotTable[[#This Row],[Exposure]] &lt;&gt; 0),SnapshotTable[[#This Row],[Exposure]] / SnapshotTable[[#Totals],[Exposure]], "")</f>
        <v>#VALUE!</v>
      </c>
      <c r="HK352" s="1"/>
      <c r="HL352" s="1"/>
      <c r="HM352" s="1"/>
      <c r="HN352" s="1"/>
      <c r="HO352" s="1"/>
      <c r="HP352" s="1"/>
    </row>
    <row r="353" spans="2:224" ht="12.75" hidden="1" customHeight="1" x14ac:dyDescent="0.25">
      <c r="B353" s="12" t="s">
        <v>101</v>
      </c>
      <c r="C353" s="422">
        <v>86.42</v>
      </c>
      <c r="D353" s="208"/>
      <c r="E353" s="39">
        <f>SnapshotTable[[#This Row],[Last Price]]*(1 -CrashDiscount)</f>
        <v>73.456999999999994</v>
      </c>
      <c r="F353" s="26" t="s">
        <v>24</v>
      </c>
      <c r="G353" s="26" t="s">
        <v>4</v>
      </c>
      <c r="H353" s="149"/>
      <c r="I353" s="194">
        <v>44756.298611111109</v>
      </c>
      <c r="J353" s="195">
        <v>44756.298611111109</v>
      </c>
      <c r="K353" s="196"/>
      <c r="L353" s="326"/>
      <c r="M353" s="140"/>
      <c r="N353" s="140"/>
      <c r="O353" s="140"/>
      <c r="P353" s="22"/>
      <c r="Q353" s="25"/>
      <c r="R353" s="4" t="str">
        <f>IF(SnapshotTable[[#This Row],[Equity Basis Total]] &gt; 0, SnapshotTable[[#This Row],[Equity Basis Total]] / SnapshotTable[[#This Row],[Equity Shares]], "")</f>
        <v/>
      </c>
      <c r="S353" s="269">
        <f>SnapshotTable[[#This Row],[Last Price]] * SnapshotTable[[#This Row],[Equity Shares]]</f>
        <v>0</v>
      </c>
      <c r="T353" s="269">
        <f>SnapshotTable[[#This Row],[Equity Value]] - SnapshotTable[[#This Row],[Equity Basis Total]]</f>
        <v>0</v>
      </c>
      <c r="U353" s="270" t="str">
        <f>IF(SnapshotTable[[#This Row],[Equity Basis Total]] &gt; 0, SnapshotTable[[#This Row],[Equity G/L]] / SnapshotTable[[#This Row],[Equity Basis Total]], "")</f>
        <v/>
      </c>
      <c r="V353" s="268"/>
      <c r="W353" s="268"/>
      <c r="X353" s="4" t="str">
        <f>IF(AND(ISNUMBER(SnapshotTable[[#This Row],[Equity Basis Per Share]]),ISNUMBER(SnapshotTable[[#This Row],[Equity Target]])),SnapshotTable[[#This Row],[Equity Target]]-SnapshotTable[[#This Row],[Equity Basis Per Share]],"")</f>
        <v/>
      </c>
      <c r="Y353" s="4" t="str">
        <f>IF(AND(ISNUMBER(SnapshotTable[[#This Row],[Equity Basis Per Share]]),ISNUMBER(SnapshotTable[[#This Row],[Equity Stop Loss]])),SnapshotTable[[#This Row],[Equity Stop Loss]]-SnapshotTable[[#This Row],[Equity Basis Per Share]],"")</f>
        <v/>
      </c>
      <c r="Z353" s="275" t="str">
        <f>IFERROR( TEXT(SnapshotTable[[#This Row],[Equity Max Gain Per Share]] /ABS( SnapshotTable[[#This Row],[Equity Max Loss Per Share]]),"0.0 " ) &amp; " : 1", "")</f>
        <v/>
      </c>
      <c r="AA353" s="31" t="str">
        <f>IF(ISNUMBER(SnapshotTable[[#This Row],[Equity Max Gain Per Share]]),SnapshotTable[[#This Row],[Equity Max Gain Per Share]] * SnapshotTable[[#This Row],[Equity Shares]],"")</f>
        <v/>
      </c>
      <c r="AB353" s="31" t="str">
        <f>IF(ISNUMBER(SnapshotTable[[#This Row],[Equity Max Loss Per Share]]),SnapshotTable[[#This Row],[Equity Max Loss Per Share]] * SnapshotTable[[#This Row],[Equity Shares]],"")</f>
        <v/>
      </c>
      <c r="AC353" s="150">
        <v>0.2</v>
      </c>
      <c r="AD353" s="151" t="s">
        <v>2</v>
      </c>
      <c r="AE353" s="31">
        <f>(SnapshotTable[[#This Row],[Annual Dividend Per Share]] / 4) * SnapshotTable[[#This Row],[Equity Shares]]</f>
        <v>0</v>
      </c>
      <c r="AF353" s="31">
        <f>SnapshotTable[[#This Row],[Quarterly Div $]] * 4</f>
        <v>0</v>
      </c>
      <c r="AG353" s="7">
        <f>IF(SnapshotTable[[#This Row],[Annual Dividend Per Share]]&gt;0, SnapshotTable[[#This Row],[Annual Dividend Per Share]]  / SnapshotTable[[#This Row],[Last Price]], 0)</f>
        <v>2.3142791020597086E-3</v>
      </c>
      <c r="AH353" s="151" t="s">
        <v>2</v>
      </c>
      <c r="AI353" s="5"/>
      <c r="AJ353" s="138">
        <v>38.090000000000003</v>
      </c>
      <c r="AK353" s="152" t="str">
        <f>IF(ISNUMBER( SnapshotTable[[#This Row],[EBF Target]]),(SnapshotTable[[#This Row],[EBF Target]] - SnapshotTable[[#This Row],[Last Price]]) / SnapshotTable[[#This Row],[Last Price]], "")</f>
        <v/>
      </c>
      <c r="AL353" s="152" t="str">
        <f>IF(AND(SnapshotTable[[#This Row],[Equity Basis Total]] &gt; 0,ISNUMBER( SnapshotTable[[#This Row],[Long Term Target]])), SnapshotTable[[#This Row],[From Basis $]] / SnapshotTable[[#This Row],[Equity Basis Total]], "")</f>
        <v/>
      </c>
      <c r="AM353" s="9">
        <f>IF( AND(SnapshotTable[[#This Row],[Equity Shares]] &gt;0,ISNUMBER( SnapshotTable[[#This Row],[Long Term Target]])),(SnapshotTable[[#This Row],[Equity Shares]] * SnapshotTable[[#This Row],[Long Term Target]]) - SnapshotTable[[#This Row],[Equity Basis Total]],0)</f>
        <v>0</v>
      </c>
      <c r="AN353" s="9">
        <f>IF( AND(SnapshotTable[[#This Row],[Equity Shares]] &gt;0,ISNUMBER( SnapshotTable[[#This Row],[Long Term Target]])),(SnapshotTable[[#This Row],[Equity Shares]]*SnapshotTable[[#This Row],[Long Term Target]]) - SnapshotTable[[#This Row],[Equity Value]],0)</f>
        <v>0</v>
      </c>
      <c r="AO353" s="152">
        <f>IF(AND(ISNUMBER( SnapshotTable[[#This Row],[Long Term Target]]), ISNUMBER(SnapshotTable[[#This Row],[Last Price]])),(SnapshotTable[[#This Row],[Long Term Target]] - SnapshotTable[[#This Row],[Last Price]]) / SnapshotTable[[#This Row],[Last Price]], "")</f>
        <v>-0.5592455450127285</v>
      </c>
      <c r="AP353" s="5">
        <v>1.52</v>
      </c>
      <c r="AQ353" s="38" t="s">
        <v>27</v>
      </c>
      <c r="AR353" s="5">
        <v>1.52</v>
      </c>
      <c r="AS353" s="38" t="s">
        <v>26</v>
      </c>
      <c r="AT353" s="146" t="s">
        <v>538</v>
      </c>
      <c r="AU353" s="187" t="str">
        <f>IF(OR(SnapshotTable[[#This Row],[LP No Fill]]="Y",SnapshotTable[[#This Row],[SP Is Filled]],SnapshotTable[[#This Row],[LC Not Filled]]="Y",SnapshotTable[[#This Row],[SC Is Filled]]),"Y","")</f>
        <v/>
      </c>
      <c r="AV353" s="219"/>
      <c r="AW353" s="225"/>
      <c r="AX353" s="220"/>
      <c r="AY353" s="219" t="str">
        <f>IF(SnapshotTable[[#This Row],[Implied Move]]&gt;0, SnapshotTable[[#This Row],[Last Price]]-SnapshotTable[[#This Row],[Implied Move]],"")</f>
        <v/>
      </c>
      <c r="AZ353" s="219" t="str">
        <f>IF(SnapshotTable[[#This Row],[Implied Move]]&gt;0, SnapshotTable[[#This Row],[Last Price]] + SnapshotTable[[#This Row],[Implied Move]],"")</f>
        <v/>
      </c>
      <c r="BA353" s="331"/>
      <c r="BB353" s="347"/>
      <c r="BC35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3" s="351"/>
      <c r="BE353" s="5"/>
      <c r="BF353" s="14"/>
      <c r="BG353" s="13"/>
      <c r="BH353" s="13"/>
      <c r="BI353" s="5"/>
      <c r="BJ353" s="136">
        <f>IF(SnapshotTable[[#This Row],[LP Qty]] &gt; 0, SnapshotTable[[#This Row],[LP Qty]] * SnapshotTable[[#This Row],[LP Book Price]] * 100,0)</f>
        <v>0</v>
      </c>
      <c r="BK353" s="136">
        <f>IF(SnapshotTable[[#This Row],[LP Premium]] &gt; 0, SnapshotTable[[#This Row],[LP Qty]] * SnapshotTable[[#This Row],[LP Strike Price]] * 100,0)</f>
        <v>0</v>
      </c>
      <c r="BL353" s="154"/>
      <c r="BM353" s="385" t="str">
        <f>IF(SnapshotTable[[#This Row],[LP Premium]] &gt; 0,SnapshotTable[[#This Row],[LP Exp Date]]-MAX(SnapshotTable[[#This Row],[LP Book Date]], SnapshotTable[[#This Row],[LP Fill Date]]),"")</f>
        <v/>
      </c>
      <c r="BN353" s="385" t="str">
        <f>IF(ISNUMBER( SnapshotTable[[#This Row],[LP Term]]), SnapshotTable[[#This Row],[LP Exp Date]] - MockToday,"")</f>
        <v/>
      </c>
      <c r="BO353" s="163" t="str">
        <f>IF(AND(SnapshotTable[[#This Row],[LP Exp Date]]&gt;0, SnapshotTable[[#This Row],[LP Strike Price]]&gt;0,SnapshotTable[[#This Row],[LP Qty]]&gt;0,SnapshotTable[[#This Row],[LP Book Date]]&gt;0,SnapshotTable[[#This Row],[LP Book Price]]&gt;0,SnapshotTable[[#This Row],[LP Fill Date]]=0),"Y","")</f>
        <v/>
      </c>
      <c r="BP353" s="31" t="str">
        <f>IF(AND(SnapshotTable[[#This Row],[LP No Fill]]&lt;&gt;"Y",SnapshotTable[[#This Row],[LP Contract Value]]&gt;0, SnapshotTable[[#This Row],[LP Qty]]&gt;0), SnapshotTable[[#This Row],[LP Contract Value]]*SnapshotTable[[#This Row],[LP Qty]]*100,"")</f>
        <v/>
      </c>
      <c r="BQ353" s="13"/>
      <c r="BR353" s="5" t="str">
        <f>IF(SnapshotTable[[#This Row],[SP Exp Date]]&lt;&gt;"",TRUNC(SnapshotTable[[#This Row],[Last Price]]),"")</f>
        <v/>
      </c>
      <c r="BS353" s="36"/>
      <c r="BT353" s="147"/>
      <c r="BU353" s="13"/>
      <c r="BV353" s="5"/>
      <c r="BW353" s="419" t="b">
        <f>AND(ISNUMBER(SnapshotTable[[#This Row],[SP Exp Date]]), ISNUMBER(SnapshotTable[[#This Row],[SP Strike Price]]), ISNUMBER(SnapshotTable[[#This Row],[SP Qty]]), ISNUMBER(SnapshotTable[[#This Row],[SP Book Date]]), ISNUMBER(SnapshotTable[[#This Row],[SP Book Price]]))</f>
        <v>0</v>
      </c>
      <c r="BX353" s="419" t="b">
        <f>AND(SnapshotTable[[#This Row],[SP Is Booked]], NOT(ISBLANK(SnapshotTable[[#This Row],[SP Fill Date]])))</f>
        <v>0</v>
      </c>
      <c r="BY353" s="33">
        <f>IF(SnapshotTable[[#This Row],[SP Is Booked]], SnapshotTable[[#This Row],[SP Qty]] * SnapshotTable[[#This Row],[SP Book Price]] * 100, 0)</f>
        <v>0</v>
      </c>
      <c r="BZ353" s="369"/>
      <c r="CA353" s="368">
        <f>SnapshotTable[[#This Row],[LP Qty]]</f>
        <v>0</v>
      </c>
      <c r="CB353" s="4" t="str">
        <f>IF(SnapshotTable[[#This Row],[SP Is Booked]], SnapshotTable[[#This Row],[SP Strike Price]] - SnapshotTable[[#This Row],[SP Book Price]], "")</f>
        <v/>
      </c>
      <c r="CC353" s="19" t="str">
        <f>IF(SnapshotTable[[#This Row],[SP Is Booked]],SnapshotTable[[#This Row],[SP Exp Date]]-MAX(SnapshotTable[[#This Row],[SP Book Date]], SnapshotTable[[#This Row],[SP Fill Date]]),"")</f>
        <v/>
      </c>
      <c r="CD353" s="7" t="str">
        <f>IF(SnapshotTable[[#This Row],[SP Is Booked]], SnapshotTable[[#This Row],[SP Book Price]]/SnapshotTable[[#This Row],[SP Strike Price]], "")</f>
        <v/>
      </c>
      <c r="CE353" s="7" t="str">
        <f>IF(ISNUMBER(SnapshotTable[[#This Row],[SP ROO Term]]),SnapshotTable[[#This Row],[SP ROO Term]]*(365/SnapshotTable[[#This Row],[SP Term]]),"")</f>
        <v/>
      </c>
      <c r="CF353" s="236">
        <f>SnapshotTable[[#This Row],[LP Strike Price]] * SnapshotTable[[#This Row],[LP Qty]] * 100</f>
        <v>0</v>
      </c>
      <c r="CG353" s="31" t="e">
        <f>IF(ISNUMBER(SnapshotTable[[#This Row],[SP Premium]]), (SnapshotTable[[#This Row],[SP Qty]] * SnapshotTable[[#This Row],[SP Strike Price]]* 100) - SnapshotTable[[#This Row],[LP Protection]], 0)</f>
        <v>#VALUE!</v>
      </c>
      <c r="CH353" s="7" t="str">
        <f>IF(ISNUMBER(SnapshotTable[[#This Row],[SP Break Even]]),-1 * (SnapshotTable[[#This Row],[SP Break Even]] - SnapshotTable[[#This Row],[Last Price]]) / SnapshotTable[[#This Row],[Last Price]], "")</f>
        <v/>
      </c>
      <c r="CI353" s="31">
        <f>IF(AND(ISNUMBER((SnapshotTable[[#This Row],[SP Potential Spend]])), SnapshotTable[[#This Row],[SP Strike Price]] &gt; SnapshotTable[[#This Row],[Last Price]], SnapshotTable[[#This Row],[SP Is Filled]]), SnapshotTable[[#This Row],[SP Potential Spend]] -  SnapshotTable[[#This Row],[LP Max Value]], 0)</f>
        <v>0</v>
      </c>
      <c r="CJ353" s="244"/>
      <c r="CK353" s="31" t="str">
        <f>IF(ISNUMBER(SnapshotTable[[#This Row],[SP Potential Spend]]),IF(ISNUMBER(SnapshotTable[[#This Row],[SP POW]]), SnapshotTable[[#This Row],[SP POW]] * SnapshotTable[[#This Row],[SP Potential Spend]], SnapshotTable[[#This Row],[SP Potential Spend]]), "")</f>
        <v/>
      </c>
      <c r="CL353" s="164" t="e">
        <f>IF(NOT(SnapshotTable[[#This Row],[SP Is Filled]]),(SnapshotTable[[#This Row],[SP Qty]] * SnapshotTable[[#This Row],[SP Strike Price]] * 100) - SnapshotTable[[#This Row],[LP Max Value]],"")</f>
        <v>#VALUE!</v>
      </c>
      <c r="CM353" s="31" t="str">
        <f>IF(SnapshotTable[[#This Row],[SP Actual Spend]]&lt;&gt;0, ((SnapshotTable[[#This Row],[SP Strike Price]]-SnapshotTable[[#This Row],[Last Price]]) *(SnapshotTable[[#This Row],[SP Qty]]*100) - SnapshotTable[[#This Row],[SP Premium]]) * - 1, "")</f>
        <v/>
      </c>
      <c r="CN353" s="78"/>
      <c r="CO353" s="369"/>
      <c r="CP353" s="4" t="str">
        <f>IF(SnapshotTable[[#This Row],[SP Is Filled]], btc_max_buyback_amount(SnapshotTable[[#This Row],[SP Fill Date]],SnapshotTable[[#This Row],[SP Exp Date]], SnapshotTable[[#This Row],[SP Book Price]]),"")</f>
        <v/>
      </c>
      <c r="CQ353" s="78"/>
      <c r="CR35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3" s="155" t="str">
        <f>IF(SnapshotTable[[#This Row],[SP Is Filled]], btc_next_cutoff_date(SnapshotTable[[#This Row],[SP Fill Date]],SnapshotTable[[#This Row],[SP Exp Date]]),"")</f>
        <v/>
      </c>
      <c r="CT353" s="235" t="str" cm="1">
        <f t="array" ref="CT353">IF(SnapshotTable[[#This Row],[SP Is Filled]], btc_should_buy_back(SnapshotTable[[#This Row],[SP Fill Date]], SnapshotTable[[#This Row],[SP Exp Date]], SnapshotTable[[#This Row],[SP Book Price]], SnapshotTable[[#This Row],[SP Current Ask]], MockToday, SnapshotTable[[#This Row],[SP Buyback Override]]),"")</f>
        <v/>
      </c>
      <c r="CU353" s="143"/>
      <c r="CV353" s="235"/>
      <c r="CW353" s="378" t="str">
        <f>IF(ISNUMBER( SnapshotTable[[#This Row],[SP Term]]), SnapshotTable[[#This Row],[SP Exp Date]] - MockToday,"")</f>
        <v/>
      </c>
      <c r="CX353" s="31" t="str">
        <f>IF(SnapshotTable[[#This Row],[SP Is Filled]],SnapshotTable[[#This Row],[SP Buyback Price to Use]] * 100 * SnapshotTable[[#This Row],[SP Qty]], "")</f>
        <v/>
      </c>
      <c r="CY353" s="4" t="str">
        <f>IF(ISNUMBER(SnapshotTable[[#This Row],[SP Strike Price]]), SnapshotTable[[#This Row],[SP Strike Price]] * (1 - SP_MaxLoss_StrikePct), "")</f>
        <v/>
      </c>
      <c r="CZ353" s="31" t="str">
        <f>IF(ISNUMBER(SnapshotTable[[#This Row],[SP Strike  Stop Per Share]]),SnapshotTable[[#This Row],[SP Premium]] - ((SnapshotTable[[#This Row],[SP Strike Price]]-SnapshotTable[[#This Row],[SP Strike  Stop Per Share]]) *(SnapshotTable[[#This Row],[SP Qty]] * 100)),"")</f>
        <v/>
      </c>
      <c r="DA353" s="4" t="str">
        <f>IF(AND(ISNUMBER(SnapshotTable[[#This Row],[SP Premium]]),SnapshotTable[[#This Row],[SP Premium]]&gt;0), SnapshotTable[[#This Row],[SP Book Price]] * (1 + SP_MaxLoss_OptionPct), "")</f>
        <v/>
      </c>
      <c r="DB353" s="31" t="str">
        <f>IF(ISNUMBER(SnapshotTable[[#This Row],[SP Option  Stop Contract]]),(SnapshotTable[[#This Row],[SP Option  Stop Contract]] *(SnapshotTable[[#This Row],[SP Qty]] * 100) - SnapshotTable[[#This Row],[SP Premium]]),"")</f>
        <v/>
      </c>
      <c r="DC353" s="4"/>
      <c r="DD353" s="4"/>
      <c r="DE353" s="4" t="str">
        <f>IF(AND(SnapshotTable[[#This Row],[SP Qty]]&gt;0, SnapshotTable[[#This Row],[SP Stop To Use]]&gt;0),SnapshotTable[[#This Row],[SP Premium]] - ( SnapshotTable[[#This Row],[SP Qty]] * SnapshotTable[[#This Row],[SP Stop To Use]] * 100), "")</f>
        <v/>
      </c>
      <c r="DF353" s="31" t="str">
        <f>IF(AND(SnapshotTable[[#This Row],[SP Qty]]&gt;0,SnapshotTable[[#This Row],[SP Current Ask]]&gt;0), SnapshotTable[[#This Row],[SP Qty]] * SnapshotTable[[#This Row],[SP Current Ask]] * -100, "")</f>
        <v/>
      </c>
      <c r="DG353" s="31" t="str">
        <f>IF(ISNUMBER((SnapshotTable[[#This Row],[SP Total Value]])), SnapshotTable[[#This Row],[SP Premium]] + SnapshotTable[[#This Row],[SP Total Value]], "")</f>
        <v/>
      </c>
      <c r="DH353" s="294" t="str">
        <f>IF(ISNUMBER((SnapshotTable[[#This Row],[SP Total Value]])), SnapshotTable[[#This Row],[SP Gain Loss]] / SnapshotTable[[#This Row],[SP Premium]], "")</f>
        <v/>
      </c>
      <c r="DI353" s="406"/>
      <c r="DJ353" s="138"/>
      <c r="DK353" s="148"/>
      <c r="DL353" s="13"/>
      <c r="DM353" s="13"/>
      <c r="DO353" s="31">
        <f>IF(SnapshotTable[[#This Row],[LC Symbol Count]]=1, SnapshotTable[[#This Row],[LC Qty]] * SnapshotTable[[#This Row],[LC Book Price]] * 100, 0)</f>
        <v>0</v>
      </c>
      <c r="DP353" s="163" t="str">
        <f>IF(AND(SnapshotTable[[#This Row],[LC Exp Date]]&gt;0, SnapshotTable[[#This Row],[LC Strike Price]]&gt;0,SnapshotTable[[#This Row],[LC Qty]]&gt;0,SnapshotTable[[#This Row],[LC Book Date]]&gt;0,SnapshotTable[[#This Row],[LC Book Price]]&gt;0,SnapshotTable[[#This Row],[LC Fill Date]]=0),"Y","")</f>
        <v/>
      </c>
      <c r="DQ353" s="386" t="str">
        <f>IF(SnapshotTable[[#This Row],[LC Premium]] &gt; 0,SnapshotTable[[#This Row],[LC Exp Date]]-MAX(SnapshotTable[[#This Row],[LC Book Date]], SnapshotTable[[#This Row],[LC Fill Date]]),"")</f>
        <v/>
      </c>
      <c r="DR353" s="386" t="str">
        <f>IF(ISNUMBER(SnapshotTable[[#This Row],[LC Term]]), SnapshotTable[[#This Row],[LC Exp Date]] - MockToday, "")</f>
        <v/>
      </c>
      <c r="DS353" s="234" t="str">
        <f>IF(SnapshotTable[[#This Row],[LC Premium]]&gt;0,SnapshotTable[[#This Row],[LC Strike Price]] + SnapshotTable[[#This Row],[LC Book Price]],"")</f>
        <v/>
      </c>
      <c r="DU353" s="9" t="str">
        <f>IF(AND(SnapshotTable[[#This Row],[LC Symbol Count]]&gt;0, SnapshotTable[[#This Row],[LC Contract Value]]&gt;0), SnapshotTable[[#This Row],[LC Contract Value]] * SnapshotTable[[#This Row],[LC Qty]] * 100, "")</f>
        <v/>
      </c>
      <c r="DV353" s="9" t="str">
        <f>IF(AND(ISNUMBER(SnapshotTable[[#This Row],[LC Total Value]]), SnapshotTable[[#This Row],[LC Not Filled]]&lt;&gt;"Y"), SnapshotTable[[#This Row],[LC Total Value]]-SnapshotTable[[#This Row],[LC Premium]],"")</f>
        <v/>
      </c>
      <c r="DW353" s="240" t="str">
        <f>IF(ISNUMBER(SnapshotTable[[#This Row],[LC Actual Gain Loss]]), SnapshotTable[[#This Row],[LC Actual Gain Loss]] / SnapshotTable[[#This Row],[LC Premium]],"")</f>
        <v/>
      </c>
      <c r="DX353" s="284" t="str">
        <f>IF(ISNUMBER(SnapshotTable[[#This Row],[LC Book Price]]),SnapshotTable[[#This Row],[LC Book Price]] * 1.5,"")</f>
        <v/>
      </c>
      <c r="DY353" s="265" t="str">
        <f>IF(SnapshotTable[[#This Row],[LC Premium]]&gt;0, SnapshotTable[[#This Row],[LC Next Target]] * SnapshotTable[[#This Row],[LC Qty]] * 100,"")</f>
        <v/>
      </c>
      <c r="DZ353" s="265" t="str">
        <f>IF(ISNUMBER(SnapshotTable[[#This Row],[LC Target Gross]]), SnapshotTable[[#This Row],[LC Target Gross]] - SnapshotTable[[#This Row],[LC Premium]], "")</f>
        <v/>
      </c>
      <c r="EA353" s="305" t="str">
        <f>IF(ISNUMBER(SnapshotTable[[#This Row],[LC Target Gain Loss]]), SnapshotTable[[#This Row],[LC Target Gain Loss]]/SnapshotTable[[#This Row],[LC Premium]], "")</f>
        <v/>
      </c>
      <c r="EB353" s="262"/>
      <c r="EC353" s="283" t="str">
        <f>IF(SnapshotTable[[#This Row],[LC Premium]]&gt;0, SnapshotTable[[#This Row],[LC Book Price]] * (1 - LC_StopLoss_Pct),"")</f>
        <v/>
      </c>
      <c r="ED353" s="284"/>
      <c r="EE353" s="283" t="str">
        <f>IF(ISNUMBER(SnapshotTable[[#This Row],[LC Contract Value]]),IF(ISNUMBER(SnapshotTable[[#This Row],[LC Stop Loss Override]]), SnapshotTable[[#This Row],[LC Stop Loss Override]],SnapshotTable[[#This Row],[LC Stop Loss Calc Target]]),"")</f>
        <v/>
      </c>
      <c r="EF353" s="31" t="str">
        <f>IF(ISNUMBER(SnapshotTable[[#This Row],[LC Stop  To Use]]), (SnapshotTable[[#This Row],[LC Stop  To Use]] * SnapshotTable[[#This Row],[LC Qty]] * 100),"")</f>
        <v/>
      </c>
      <c r="EG353" s="9" t="str">
        <f>IF(ISNUMBER(SnapshotTable[[#This Row],[LC Total Value]]),SnapshotTable[[#This Row],[LC Stop Loss Amount]] - SnapshotTable[[#This Row],[LC Premium]],"")</f>
        <v/>
      </c>
      <c r="EH353" s="9">
        <f>IF(ISNUMBER(SnapshotTable[[#This Row],[LC Premium]]), SnapshotTable[[#This Row],[LC Qty]] * 100 * SnapshotTable[[#This Row],[LC Strike Price]], "")</f>
        <v>0</v>
      </c>
      <c r="EI353" s="240" t="str">
        <f>IF(AND(ISNUMBER(SnapshotTable[[#This Row],[LC Total Value]]),SnapshotTable[[#This Row],[LC Total Value]]&gt;0),SnapshotTable[[#This Row],[LC Stop Gain Loss]]  / SnapshotTable[[#This Row],[LC Premium]],"")</f>
        <v/>
      </c>
      <c r="EJ353" s="35">
        <f>IF(ISNUMBER(SnapshotTable[[#This Row],[Equity Shares]]),TRUNC(SnapshotTable[[#This Row],[Equity Shares]] / 100),0) + SnapshotTable[[#This Row],[LC Qty]]</f>
        <v>0</v>
      </c>
      <c r="EK353" s="147"/>
      <c r="EL353" s="138" t="str">
        <f>IF(SnapshotTable[[#This Row],[SC Exp Date]]&lt;&gt;"",TRUNC(SnapshotTable[[#This Row],[Last Price]]),"")</f>
        <v/>
      </c>
      <c r="EM353" s="148"/>
      <c r="EN353" s="147"/>
      <c r="EO353" s="147"/>
      <c r="EP353" s="138"/>
      <c r="EQ353" s="419" t="b">
        <f>AND(ISNUMBER(SnapshotTable[[#This Row],[SC Exp Date]]), ISNUMBER(SnapshotTable[[#This Row],[SC Strike Price]]), ISNUMBER(SnapshotTable[[#This Row],[SC Qty]]), ISNUMBER(SnapshotTable[[#This Row],[SC Book Date]]), ISNUMBER(SnapshotTable[[#This Row],[SC Book Price]]))</f>
        <v>0</v>
      </c>
      <c r="ER353" s="419" t="b">
        <f>AND(SnapshotTable[[#This Row],[SC Is Booked]], NOT(ISBLANK(SnapshotTable[[#This Row],[SC Fill Date]])))</f>
        <v>0</v>
      </c>
      <c r="ES353" s="370"/>
      <c r="ET353" s="34" t="str">
        <f>IF(AND(ISNUMBER(SnapshotTable[[#This Row],[SC Exp Date]]), ISNUMBER(SnapshotTable[[#This Row],[SC Book Date]])), SnapshotTable[[#This Row],[SC Exp Date]] - MAX(SnapshotTable[[#This Row],[SC Book Date]], SnapshotTable[[#This Row],[SC Fill Date]]) + 1, "")</f>
        <v/>
      </c>
      <c r="EU353" s="34" t="str">
        <f>IF(ISNUMBER(SnapshotTable[[#This Row],[SC Term]]), SnapshotTable[[#This Row],[SC Exp Date]]- MockToday, "")</f>
        <v/>
      </c>
      <c r="EV353" s="31">
        <f>IF(SnapshotTable[[#This Row],[SC Is Booked]], SnapshotTable[[#This Row],[SC Qty]] * SnapshotTable[[#This Row],[SC Book Price]] * 100, 0)</f>
        <v>0</v>
      </c>
      <c r="EW353" s="4" t="str">
        <f>IF(AND(ISNUMBER(SnapshotTable[[#This Row],[Last Price]]), ISNUMBER( SnapshotTable[[#This Row],[SC Book Price]])), SnapshotTable[[#This Row],[Last Price]] - SnapshotTable[[#This Row],[SC Book Price]],"")</f>
        <v/>
      </c>
      <c r="EX353" s="234" t="str">
        <f>IF(SnapshotTable[[#This Row],[SC Is Booked]],IF(SnapshotTable[[#This Row],[SC Intrinsic Value]] &gt; 0, SnapshotTable[[#This Row],[SC Strike Price]], SnapshotTable[[#This Row],[Last Price]]), "")</f>
        <v/>
      </c>
      <c r="EY353" s="4">
        <f>IF(SnapshotTable[[#This Row],[SC Is Booked]], (MinimumPremiumRequired * SnapshotTable[[#This Row],[SC Basis]] * SnapshotTable[[#This Row],[SC Term]]), 0)</f>
        <v>0</v>
      </c>
      <c r="EZ353" s="283"/>
      <c r="FA353" s="218"/>
      <c r="FB353" s="370"/>
      <c r="FC353" s="4">
        <f>IF(SnapshotTable[[#This Row],[SC Is Filled]], btc_max_buyback_amount(SnapshotTable[[#This Row],[SC Fill Date]],SnapshotTable[[#This Row],[SC Exp Date]], SnapshotTable[[#This Row],[SC Book Price]]),0)</f>
        <v>0</v>
      </c>
      <c r="FD353" s="5"/>
      <c r="FE353" s="144" t="str">
        <f>IF(SnapshotTable[[#This Row],[SC Is Filled]], btc_next_cutoff_date(SnapshotTable[[#This Row],[SC Fill Date]],SnapshotTable[[#This Row],[SC Exp Date]]),"")</f>
        <v/>
      </c>
      <c r="FF353" s="4" t="str" cm="1">
        <f t="array" ref="FF353">IF(SnapshotTable[[#This Row],[SC Is Filled]], btc_should_buy_back(SnapshotTable[[#This Row],[SC Fill Date]], SnapshotTable[[#This Row],[SC Exp Date]], SnapshotTable[[#This Row],[SC Book Price]], SnapshotTable[[#This Row],[SC Current Ask]], MockToday, SnapshotTable[[#This Row],[SC Buyback Override]]),"")</f>
        <v/>
      </c>
      <c r="FG353" s="4">
        <f>IF(SnapshotTable[[#This Row],[SC Is Filled]], MAX(0,SnapshotTable[[#This Row],[Last Price]]  - SnapshotTable[[#This Row],[SC Strike Price]]), 0)</f>
        <v>0</v>
      </c>
      <c r="FH353" s="382">
        <f>IF(SnapshotTable[[#This Row],[SC Is Filled]], IF(ISNUMBER(SnapshotTable[[#This Row],[SC Current Ask]]), SnapshotTable[[#This Row],[SC Current Ask]], SnapshotTable[[#This Row],[SC Book Price]]) - SnapshotTable[[#This Row],[SC Intrinsic Value]], 0)</f>
        <v>0</v>
      </c>
      <c r="FI353" s="143"/>
      <c r="FJ353" s="32" t="str">
        <f>IF(SnapshotTable[[#This Row],[SC Is Filled]],100 * SnapshotTable[[#This Row],[SC Qty]] * IF(ISNUMBER(SnapshotTable[[#This Row],[SC Buyback Override]]), SnapshotTable[[#This Row],[SC Buyback Override]], SnapshotTable[[#This Row],[SC Current Ask]]), "")</f>
        <v/>
      </c>
      <c r="FK353" s="250" t="str">
        <f>IF(SnapshotTable[[#This Row],[SC Time Val]]&gt;0, SnapshotTable[[#This Row],[SC Time Val]] / SnapshotTable[[#This Row],[Last Price]],"")</f>
        <v/>
      </c>
      <c r="FL353" s="302" t="str">
        <f>IF(SnapshotTable[[#This Row],[SC Is Booked]], ((SnapshotTable[[#This Row],[Last Price]] -SnapshotTable[[#This Row],[SC Strike Price]]) / SnapshotTable[[#This Row],[Last Price]]) * -1, "")</f>
        <v/>
      </c>
      <c r="FM353" s="157" t="str">
        <f>IF(SnapshotTable[[#This Row],[SC Is Booked]],  (SnapshotTable[[#This Row],[SC Qty]] * 100 * SnapshotTable[[#This Row],[SC Strike Price]]) - SnapshotTable[[#This Row],[SC Current Ask]], "")</f>
        <v/>
      </c>
      <c r="FN35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3" s="31" t="str">
        <f>IF(AND(ISNUMBER(SnapshotTable[[#This Row],[SC Exercise Gross]]), ISNUMBER(SnapshotTable[[#This Row],[Equity Basis Per Share]] )), SnapshotTable[[#This Row],[SC Exercise Gross]] - SnapshotTable[[#This Row],[Equity Basis Total]] +  SnapshotTable[[#This Row],[SC Premium]], "")</f>
        <v/>
      </c>
      <c r="FP353" s="5" t="str">
        <f>IF(ISNUMBER(SnapshotTable[[#This Row],[SC Exercise Gross]]), (SnapshotTable[[#This Row],[SC Exercise Gross]]) / (SnapshotTable[[#This Row],[SC Qty]] * 100), "")</f>
        <v/>
      </c>
      <c r="FQ353" s="27" t="str">
        <f>IF(SnapshotTable[[#This Row],[SC Is Booked]],SnapshotTable[[#This Row],[SC Time Val]] /SnapshotTable[[#This Row],[SC Basis]], "")</f>
        <v/>
      </c>
      <c r="FR353" s="27" t="str" cm="1">
        <f t="array" ref="FR353">IF(AND(ISNUMBER(SnapshotTable[[#This Row],[SC Term]]),ISNUMBER(SnapshotTable[[#This Row],[SC Simple ROO]])), EllmanAnnualize(SnapshotTable[[#This Row],[SC DTE]], SnapshotTable[[#This Row],[SC Simple ROO]] ),"")</f>
        <v/>
      </c>
      <c r="FS353" s="4" t="e">
        <f>IF(SnapshotTable[[#This Row],[SC Strike Price]] &gt; SnapshotTable[[#This Row],[Last Price]], SnapshotTable[[#This Row],[SC Strike Price]] - SnapshotTable[[#This Row],[Last Price]],0)</f>
        <v>#VALUE!</v>
      </c>
      <c r="FT353" s="27" t="e">
        <f>IF(AND(ISNUMBER(SnapshotTable[[#This Row],[SC Upside Potential]]), SnapshotTable[[#This Row],[SC Upside Potential]] &gt; 0),(SnapshotTable[[#This Row],[SC Upside Potential]]/ SnapshotTable[[#This Row],[ACB]]),"")</f>
        <v>#VALUE!</v>
      </c>
      <c r="FU353" s="333" t="str">
        <f>IF(SnapshotTable[[#This Row],[SC Intrinsic Value]] &gt; 0,SnapshotTable[[#This Row],[SC Intrinsic Value]],"")</f>
        <v/>
      </c>
      <c r="FV353" s="27" t="str">
        <f>IF(AND( ISNUMBER( SnapshotTable[[#This Row],[ACB]]),ISNUMBER(SnapshotTable[[#This Row],[SC Downside Protect]])),SnapshotTable[[#This Row],[SC Downside Protect]] / SnapshotTable[[#This Row],[ACB]],"")</f>
        <v/>
      </c>
      <c r="FW353" s="236" t="str">
        <f>IF(AND(ISNUMBER(SnapshotTable[[#This Row],[SC Simple ROO]]),SnapshotTable[[#This Row],[SC Simple ROO]] &gt; 0), SnapshotTable[[#This Row],[SC Premium]] + (SnapshotTable[[#This Row],[SC Qty]] * SnapshotTable[[#This Row],[SC Upside Potential]]), "")</f>
        <v/>
      </c>
      <c r="FX353" s="302" t="str" cm="1">
        <f t="array" ref="FX353">IF(ISNUMBER(SnapshotTable[[#This Row],[SC Max Dollars]]), annualize(SnapshotTable[[#This Row],[SC Term]],(SnapshotTable[[#This Row],[SC Max Dollars]]/SnapshotTable[[#This Row],[SC Basis]])),"")</f>
        <v/>
      </c>
      <c r="FY353" s="236" t="str">
        <f>IF(AND(SnapshotTable[[#This Row],[SC Qty]]&gt;0,SnapshotTable[[#This Row],[SC Current Ask]]&gt;0), SnapshotTable[[#This Row],[SC Qty]] * SnapshotTable[[#This Row],[SC Current Ask]] * -100, "")</f>
        <v/>
      </c>
      <c r="FZ353" s="31" t="str">
        <f>IF(ISNUMBER((SnapshotTable[[#This Row],[SC Current Value]])), SnapshotTable[[#This Row],[SC Premium]] + SnapshotTable[[#This Row],[SC Current Value]], "")</f>
        <v/>
      </c>
      <c r="GA353" s="294" t="str">
        <f>IFERROR( IF(ISNUMBER((SnapshotTable[[#This Row],[SC Current Value]])), SnapshotTable[[#This Row],[SC Gain Loss]] / SnapshotTable[[#This Row],[SC Premium]], ""), "")</f>
        <v/>
      </c>
      <c r="GB353" s="42">
        <f>SnapshotTable[[#This Row],[Equity Shares]] * SaleSharesToConsiderPercentage</f>
        <v>0</v>
      </c>
      <c r="GC353" s="40">
        <f>SnapshotTable[[#This Row],[Long Term Target]] * SellingPriceToConsiderBasedOnTargetPercentage</f>
        <v>36.185500000000005</v>
      </c>
      <c r="GD353" s="40">
        <f>SnapshotTable[[#This Row],[Last Price]] * (1+ SellingPriceToConsiderBasedOnTargetPercentage)</f>
        <v>168.51900000000001</v>
      </c>
      <c r="GE353" s="41"/>
      <c r="GF353" s="40"/>
      <c r="GG353" s="31">
        <f>SnapshotTable[[#This Row],[Booked Sale Shares]] * SnapshotTable[[#This Row],[Booked Sale Price]]</f>
        <v>0</v>
      </c>
      <c r="GH353" s="31" t="str">
        <f>IF(SnapshotTable[[#This Row],[Equity Basis Total]] &gt; 0, SnapshotTable[[#This Row],[Equity Basis Per Share]] * SnapshotTable[[#This Row],[Booked Sale Shares]], "")</f>
        <v/>
      </c>
      <c r="GI353" s="31">
        <f>IF(SnapshotTable[[#This Row],[Sale Proceeds]]&gt;0, SnapshotTable[[#This Row],[Sale Proceeds]] - SnapshotTable[[#This Row],[Sale Basis]], 0)</f>
        <v>0</v>
      </c>
      <c r="GJ353" s="27" t="str">
        <f>IF(SnapshotTable[[#This Row],[Sale G/L]]&gt;0, SnapshotTable[[#This Row],[Sale G/L]] / SnapshotTable[[#This Row],[Sale Basis]], IF(ISNUMBER(SnapshotTable[[#This Row],[SC Exercise P&amp;L (TAX)]]), SnapshotTable[[#This Row],[SC Exercise P&amp;L (TAX)]] / SnapshotTable[[#This Row],[SC Basis]], ""))</f>
        <v/>
      </c>
      <c r="GK353" s="27" t="s">
        <v>794</v>
      </c>
      <c r="GL353" s="43" t="str">
        <f>IF(AND(SnapshotTable[[#This Row],[LP Exp Date]]&gt;0,SnapshotTable[[#This Row],[LP Strike Price]]&gt;0), [1]!ToOptionSymbol(SnapshotTable[[#This Row],[Symbol]], SnapshotTable[[#This Row],[LP Strike Price]],SnapshotTable[[#This Row],[LP Exp Date]],1), "")</f>
        <v/>
      </c>
      <c r="GM353" s="30" t="str">
        <f>IF(LEN(SnapshotTable[[#This Row],[LP Symbol]])&gt;0, 1, "")</f>
        <v/>
      </c>
      <c r="GN353" s="43" t="str">
        <f>IF(AND(SnapshotTable[[#This Row],[SP Exp Date]]&gt;0,SnapshotTable[[#This Row],[SP Strike Price]]&gt;0), [1]!ToOptionSymbol(SnapshotTable[[#This Row],[Symbol]], SnapshotTable[[#This Row],[SP Strike Price]],SnapshotTable[[#This Row],[SP Exp Date]],1), "")</f>
        <v/>
      </c>
      <c r="GO353" s="30" t="str">
        <f>IF(LEN(SnapshotTable[[#This Row],[SP Symbol]])&gt;0, 1, "")</f>
        <v/>
      </c>
      <c r="GP353" s="43" t="str">
        <f>IF(AND(SnapshotTable[[#This Row],[LC Exp Date]]&gt;0,SnapshotTable[[#This Row],[LC Strike Price]]&gt;0), [1]!ToOptionSymbol(SnapshotTable[[#This Row],[Symbol]], SnapshotTable[[#This Row],[LC Strike Price]],SnapshotTable[[#This Row],[LC Exp Date]],0), "")</f>
        <v/>
      </c>
      <c r="GQ353" s="30" t="str">
        <f>IF(LEN(SnapshotTable[[#This Row],[LC Symbol]])&gt;0, 1, "")</f>
        <v/>
      </c>
      <c r="GR353" s="43" t="str">
        <f>IF(AND(SnapshotTable[[#This Row],[SC Exp Date]]&gt;0,SnapshotTable[[#This Row],[SC Strike Price]]&gt;0), [1]!ToOptionSymbol(SnapshotTable[[#This Row],[Symbol]], SnapshotTable[[#This Row],[SC Strike Price]],SnapshotTable[[#This Row],[SC Exp Date]],0), "")</f>
        <v/>
      </c>
      <c r="GS353" s="30" t="str">
        <f>IF(LEN(SnapshotTable[[#This Row],[SC Symbol]])&gt;0, 1, "")</f>
        <v/>
      </c>
      <c r="GT353" s="29" t="str">
        <f>IF(COUNT(SnapshotTable[[#This Row],[LP Symbol Count]],SnapshotTable[[#This Row],[SP Symbol Count]],SnapshotTable[[#This Row],[LC Symbol Count]],SnapshotTable[[#This Row],[SC Symbol Count]])&gt;0, "Y", "")</f>
        <v/>
      </c>
      <c r="GU35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3" s="231" t="e">
        <f>MAX(SnapshotTable[[#This Row],[Equity Basis Total]],SnapshotTable[[#This Row],[Equity Value]]) + (SnapshotTable[[#This Row],[SP Potential Spend]]- SnapshotTable[[#This Row],[SP Premium]] + SnapshotTable[[#This Row],[LP Premium]])+ (SnapshotTable[[#This Row],[LC Premium]] - SnapshotTable[[#This Row],[SC Premium]])</f>
        <v>#VALUE!</v>
      </c>
      <c r="GW353" s="139" t="e">
        <f>IF(AND(SnapshotTable[[#This Row],[Exposure]] &lt;&gt; 0),SnapshotTable[[#This Row],[Exposure]] / SnapshotTable[[#Totals],[Exposure]], "")</f>
        <v>#VALUE!</v>
      </c>
      <c r="HK353" s="1"/>
      <c r="HL353" s="1"/>
      <c r="HM353" s="1"/>
      <c r="HN353" s="1"/>
      <c r="HO353" s="1"/>
      <c r="HP353" s="1"/>
    </row>
    <row r="354" spans="2:224" ht="12.75" hidden="1" customHeight="1" x14ac:dyDescent="0.25">
      <c r="B354" s="12" t="s">
        <v>1130</v>
      </c>
      <c r="C354" s="422">
        <v>87.11</v>
      </c>
      <c r="D354" s="208"/>
      <c r="E354" s="39">
        <f>SnapshotTable[[#This Row],[Last Price]]*(1 -CrashDiscount)</f>
        <v>74.043499999999995</v>
      </c>
      <c r="F354" s="26" t="s">
        <v>42</v>
      </c>
      <c r="G354" s="26" t="s">
        <v>822</v>
      </c>
      <c r="H354" s="149"/>
      <c r="I354" s="194">
        <v>45222</v>
      </c>
      <c r="J354" s="195"/>
      <c r="K354" s="196"/>
      <c r="L354" s="326"/>
      <c r="M354" s="140"/>
      <c r="N354" s="140"/>
      <c r="O354" s="140"/>
      <c r="P354" s="22"/>
      <c r="Q354" s="25"/>
      <c r="R354" s="4" t="str">
        <f>IF(SnapshotTable[[#This Row],[Equity Basis Total]] &gt; 0, SnapshotTable[[#This Row],[Equity Basis Total]] / SnapshotTable[[#This Row],[Equity Shares]], "")</f>
        <v/>
      </c>
      <c r="S354" s="269">
        <f>SnapshotTable[[#This Row],[Last Price]] * SnapshotTable[[#This Row],[Equity Shares]]</f>
        <v>0</v>
      </c>
      <c r="T354" s="269">
        <f>SnapshotTable[[#This Row],[Equity Value]] - SnapshotTable[[#This Row],[Equity Basis Total]]</f>
        <v>0</v>
      </c>
      <c r="U354" s="270" t="str">
        <f>IF(SnapshotTable[[#This Row],[Equity Basis Total]] &gt; 0, SnapshotTable[[#This Row],[Equity G/L]] / SnapshotTable[[#This Row],[Equity Basis Total]], "")</f>
        <v/>
      </c>
      <c r="V354" s="268"/>
      <c r="W354" s="268">
        <v>86.35</v>
      </c>
      <c r="X354" s="4" t="str">
        <f>IF(AND(ISNUMBER(SnapshotTable[[#This Row],[Equity Basis Per Share]]),ISNUMBER(SnapshotTable[[#This Row],[Equity Target]])),SnapshotTable[[#This Row],[Equity Target]]-SnapshotTable[[#This Row],[Equity Basis Per Share]],"")</f>
        <v/>
      </c>
      <c r="Y354" s="4" t="str">
        <f>IF(AND(ISNUMBER(SnapshotTable[[#This Row],[Equity Basis Per Share]]),ISNUMBER(SnapshotTable[[#This Row],[Equity Stop Loss]])),SnapshotTable[[#This Row],[Equity Stop Loss]]-SnapshotTable[[#This Row],[Equity Basis Per Share]],"")</f>
        <v/>
      </c>
      <c r="Z354" s="275" t="str">
        <f>IFERROR( TEXT(SnapshotTable[[#This Row],[Equity Max Gain Per Share]] /ABS( SnapshotTable[[#This Row],[Equity Max Loss Per Share]]),"0.0 " ) &amp; " : 1", "")</f>
        <v/>
      </c>
      <c r="AA354" s="31" t="str">
        <f>IF(ISNUMBER(SnapshotTable[[#This Row],[Equity Max Gain Per Share]]),SnapshotTable[[#This Row],[Equity Max Gain Per Share]] * SnapshotTable[[#This Row],[Equity Shares]],"")</f>
        <v/>
      </c>
      <c r="AB354" s="31" t="str">
        <f>IF(ISNUMBER(SnapshotTable[[#This Row],[Equity Max Loss Per Share]]),SnapshotTable[[#This Row],[Equity Max Loss Per Share]] * SnapshotTable[[#This Row],[Equity Shares]],"")</f>
        <v/>
      </c>
      <c r="AC354" s="150"/>
      <c r="AD354" s="151"/>
      <c r="AE354" s="31">
        <f>(SnapshotTable[[#This Row],[Annual Dividend Per Share]] / 4) * SnapshotTable[[#This Row],[Equity Shares]]</f>
        <v>0</v>
      </c>
      <c r="AF354" s="31">
        <f>SnapshotTable[[#This Row],[Quarterly Div $]] * 4</f>
        <v>0</v>
      </c>
      <c r="AG354" s="7">
        <f>IF(SnapshotTable[[#This Row],[Annual Dividend Per Share]]&gt;0, SnapshotTable[[#This Row],[Annual Dividend Per Share]]  / SnapshotTable[[#This Row],[Last Price]], 0)</f>
        <v>0</v>
      </c>
      <c r="AH354" s="151"/>
      <c r="AI354" s="5"/>
      <c r="AJ354" s="138">
        <v>107.33</v>
      </c>
      <c r="AK354" s="152" t="str">
        <f>IF(ISNUMBER( SnapshotTable[[#This Row],[EBF Target]]),(SnapshotTable[[#This Row],[EBF Target]] - SnapshotTable[[#This Row],[Last Price]]) / SnapshotTable[[#This Row],[Last Price]], "")</f>
        <v/>
      </c>
      <c r="AL354" s="152" t="str">
        <f>IF(AND(SnapshotTable[[#This Row],[Equity Basis Total]] &gt; 0,ISNUMBER( SnapshotTable[[#This Row],[Long Term Target]])), SnapshotTable[[#This Row],[From Basis $]] / SnapshotTable[[#This Row],[Equity Basis Total]], "")</f>
        <v/>
      </c>
      <c r="AM354" s="9">
        <f>IF( AND(SnapshotTable[[#This Row],[Equity Shares]] &gt;0,ISNUMBER( SnapshotTable[[#This Row],[Long Term Target]])),(SnapshotTable[[#This Row],[Equity Shares]] * SnapshotTable[[#This Row],[Long Term Target]]) - SnapshotTable[[#This Row],[Equity Basis Total]],0)</f>
        <v>0</v>
      </c>
      <c r="AN354" s="9">
        <f>IF( AND(SnapshotTable[[#This Row],[Equity Shares]] &gt;0,ISNUMBER( SnapshotTable[[#This Row],[Long Term Target]])),(SnapshotTable[[#This Row],[Equity Shares]]*SnapshotTable[[#This Row],[Long Term Target]]) - SnapshotTable[[#This Row],[Equity Value]],0)</f>
        <v>0</v>
      </c>
      <c r="AO354" s="152">
        <f>IF(AND(ISNUMBER( SnapshotTable[[#This Row],[Long Term Target]]), ISNUMBER(SnapshotTable[[#This Row],[Last Price]])),(SnapshotTable[[#This Row],[Long Term Target]] - SnapshotTable[[#This Row],[Last Price]]) / SnapshotTable[[#This Row],[Last Price]], "")</f>
        <v>0.23212030765698541</v>
      </c>
      <c r="AP354" s="5">
        <v>104</v>
      </c>
      <c r="AQ354" s="38" t="s">
        <v>89</v>
      </c>
      <c r="AR354" s="5">
        <v>90</v>
      </c>
      <c r="AS354" s="38" t="s">
        <v>32</v>
      </c>
      <c r="AT354" s="146" t="s">
        <v>1132</v>
      </c>
      <c r="AU354" s="187" t="str">
        <f>IF(OR(SnapshotTable[[#This Row],[LP No Fill]]="Y",SnapshotTable[[#This Row],[SP Is Filled]],SnapshotTable[[#This Row],[LC Not Filled]]="Y",SnapshotTable[[#This Row],[SC Is Filled]]),"Y","")</f>
        <v/>
      </c>
      <c r="AV354" s="219"/>
      <c r="AW354" s="225"/>
      <c r="AX354" s="220"/>
      <c r="AY354" s="219" t="str">
        <f>IF(SnapshotTable[[#This Row],[Implied Move]]&gt;0, SnapshotTable[[#This Row],[Last Price]]-SnapshotTable[[#This Row],[Implied Move]],"")</f>
        <v/>
      </c>
      <c r="AZ354" s="219" t="str">
        <f>IF(SnapshotTable[[#This Row],[Implied Move]]&gt;0, SnapshotTable[[#This Row],[Last Price]] + SnapshotTable[[#This Row],[Implied Move]],"")</f>
        <v/>
      </c>
      <c r="BA354" s="331">
        <v>93.03</v>
      </c>
      <c r="BB354" s="347"/>
      <c r="BC35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4" s="351"/>
      <c r="BE354" s="138"/>
      <c r="BF354" s="166"/>
      <c r="BG354" s="167"/>
      <c r="BH354" s="167"/>
      <c r="BI354" s="221"/>
      <c r="BJ354" s="153">
        <f>IF(SnapshotTable[[#This Row],[LP Qty]] &gt; 0, SnapshotTable[[#This Row],[LP Qty]] * SnapshotTable[[#This Row],[LP Book Price]] * 100,0)</f>
        <v>0</v>
      </c>
      <c r="BK354" s="136">
        <f>IF(SnapshotTable[[#This Row],[LP Premium]] &gt; 0, SnapshotTable[[#This Row],[LP Qty]] * SnapshotTable[[#This Row],[LP Strike Price]] * 100,0)</f>
        <v>0</v>
      </c>
      <c r="BL354" s="154"/>
      <c r="BM354" s="385" t="str">
        <f>IF(SnapshotTable[[#This Row],[LP Premium]] &gt; 0,SnapshotTable[[#This Row],[LP Exp Date]]-MAX(SnapshotTable[[#This Row],[LP Book Date]], SnapshotTable[[#This Row],[LP Fill Date]]),"")</f>
        <v/>
      </c>
      <c r="BN354" s="385" t="str">
        <f>IF(ISNUMBER( SnapshotTable[[#This Row],[LP Term]]), SnapshotTable[[#This Row],[LP Exp Date]] - MockToday,"")</f>
        <v/>
      </c>
      <c r="BO354" s="163" t="str">
        <f>IF(AND(SnapshotTable[[#This Row],[LP Exp Date]]&gt;0, SnapshotTable[[#This Row],[LP Strike Price]]&gt;0,SnapshotTable[[#This Row],[LP Qty]]&gt;0,SnapshotTable[[#This Row],[LP Book Date]]&gt;0,SnapshotTable[[#This Row],[LP Book Price]]&gt;0,SnapshotTable[[#This Row],[LP Fill Date]]=0),"Y","")</f>
        <v/>
      </c>
      <c r="BP354" s="31" t="str">
        <f>IF(AND(SnapshotTable[[#This Row],[LP No Fill]]&lt;&gt;"Y",SnapshotTable[[#This Row],[LP Contract Value]]&gt;0, SnapshotTable[[#This Row],[LP Qty]]&gt;0), SnapshotTable[[#This Row],[LP Contract Value]]*SnapshotTable[[#This Row],[LP Qty]]*100,"")</f>
        <v/>
      </c>
      <c r="BQ354" s="13"/>
      <c r="BR354" s="5" t="str">
        <f>IF(SnapshotTable[[#This Row],[SP Exp Date]]&lt;&gt;"",TRUNC(SnapshotTable[[#This Row],[Last Price]]),"")</f>
        <v/>
      </c>
      <c r="BS354" s="36"/>
      <c r="BT354" s="147"/>
      <c r="BU354" s="13"/>
      <c r="BV354" s="5"/>
      <c r="BW354" s="419" t="b">
        <f>AND(ISNUMBER(SnapshotTable[[#This Row],[SP Exp Date]]), ISNUMBER(SnapshotTable[[#This Row],[SP Strike Price]]), ISNUMBER(SnapshotTable[[#This Row],[SP Qty]]), ISNUMBER(SnapshotTable[[#This Row],[SP Book Date]]), ISNUMBER(SnapshotTable[[#This Row],[SP Book Price]]))</f>
        <v>0</v>
      </c>
      <c r="BX354" s="419" t="b">
        <f>AND(SnapshotTable[[#This Row],[SP Is Booked]], NOT(ISBLANK(SnapshotTable[[#This Row],[SP Fill Date]])))</f>
        <v>0</v>
      </c>
      <c r="BY354" s="33">
        <f>IF(SnapshotTable[[#This Row],[SP Is Booked]], SnapshotTable[[#This Row],[SP Qty]] * SnapshotTable[[#This Row],[SP Book Price]] * 100, 0)</f>
        <v>0</v>
      </c>
      <c r="BZ354" s="369"/>
      <c r="CA354" s="368">
        <f>SnapshotTable[[#This Row],[LP Qty]]</f>
        <v>0</v>
      </c>
      <c r="CB354" s="4" t="str">
        <f>IF(SnapshotTable[[#This Row],[SP Is Booked]], SnapshotTable[[#This Row],[SP Strike Price]] - SnapshotTable[[#This Row],[SP Book Price]], "")</f>
        <v/>
      </c>
      <c r="CC354" s="19" t="str">
        <f>IF(SnapshotTable[[#This Row],[SP Is Booked]],SnapshotTable[[#This Row],[SP Exp Date]]-MAX(SnapshotTable[[#This Row],[SP Book Date]], SnapshotTable[[#This Row],[SP Fill Date]]),"")</f>
        <v/>
      </c>
      <c r="CD354" s="7" t="str">
        <f>IF(SnapshotTable[[#This Row],[SP Is Booked]], SnapshotTable[[#This Row],[SP Book Price]]/SnapshotTable[[#This Row],[SP Strike Price]], "")</f>
        <v/>
      </c>
      <c r="CE354" s="7" t="str">
        <f>IF(ISNUMBER(SnapshotTable[[#This Row],[SP ROO Term]]),SnapshotTable[[#This Row],[SP ROO Term]]*(365/SnapshotTable[[#This Row],[SP Term]]),"")</f>
        <v/>
      </c>
      <c r="CF354" s="236">
        <f>SnapshotTable[[#This Row],[LP Strike Price]] * SnapshotTable[[#This Row],[LP Qty]] * 100</f>
        <v>0</v>
      </c>
      <c r="CG354" s="31" t="e">
        <f>IF(ISNUMBER(SnapshotTable[[#This Row],[SP Premium]]), (SnapshotTable[[#This Row],[SP Qty]] * SnapshotTable[[#This Row],[SP Strike Price]]* 100) - SnapshotTable[[#This Row],[LP Protection]], 0)</f>
        <v>#VALUE!</v>
      </c>
      <c r="CH354" s="7" t="str">
        <f>IF(ISNUMBER(SnapshotTable[[#This Row],[SP Break Even]]),-1 * (SnapshotTable[[#This Row],[SP Break Even]] - SnapshotTable[[#This Row],[Last Price]]) / SnapshotTable[[#This Row],[Last Price]], "")</f>
        <v/>
      </c>
      <c r="CI354" s="31">
        <f>IF(AND(ISNUMBER((SnapshotTable[[#This Row],[SP Potential Spend]])), SnapshotTable[[#This Row],[SP Strike Price]] &gt; SnapshotTable[[#This Row],[Last Price]], SnapshotTable[[#This Row],[SP Is Filled]]), SnapshotTable[[#This Row],[SP Potential Spend]] -  SnapshotTable[[#This Row],[LP Max Value]], 0)</f>
        <v>0</v>
      </c>
      <c r="CJ354" s="244"/>
      <c r="CK354" s="31" t="str">
        <f>IF(ISNUMBER(SnapshotTable[[#This Row],[SP Potential Spend]]),IF(ISNUMBER(SnapshotTable[[#This Row],[SP POW]]), SnapshotTable[[#This Row],[SP POW]] * SnapshotTable[[#This Row],[SP Potential Spend]], SnapshotTable[[#This Row],[SP Potential Spend]]), "")</f>
        <v/>
      </c>
      <c r="CL354" s="164" t="e">
        <f>IF(NOT(SnapshotTable[[#This Row],[SP Is Filled]]),(SnapshotTable[[#This Row],[SP Qty]] * SnapshotTable[[#This Row],[SP Strike Price]] * 100) - SnapshotTable[[#This Row],[LP Max Value]],"")</f>
        <v>#VALUE!</v>
      </c>
      <c r="CM354" s="31" t="str">
        <f>IF(SnapshotTable[[#This Row],[SP Actual Spend]]&lt;&gt;0, ((SnapshotTable[[#This Row],[SP Strike Price]]-SnapshotTable[[#This Row],[Last Price]]) *(SnapshotTable[[#This Row],[SP Qty]]*100) - SnapshotTable[[#This Row],[SP Premium]]) * - 1, "")</f>
        <v/>
      </c>
      <c r="CN354" s="227"/>
      <c r="CO354" s="369"/>
      <c r="CP354" s="4" t="str">
        <f>IF(SnapshotTable[[#This Row],[SP Is Filled]], btc_max_buyback_amount(SnapshotTable[[#This Row],[SP Fill Date]],SnapshotTable[[#This Row],[SP Exp Date]], SnapshotTable[[#This Row],[SP Book Price]]),"")</f>
        <v/>
      </c>
      <c r="CQ354" s="78"/>
      <c r="CR35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4" s="155" t="str">
        <f>IF(SnapshotTable[[#This Row],[SP Is Filled]], btc_next_cutoff_date(SnapshotTable[[#This Row],[SP Fill Date]],SnapshotTable[[#This Row],[SP Exp Date]]),"")</f>
        <v/>
      </c>
      <c r="CT354" s="235" t="str" cm="1">
        <f t="array" ref="CT354">IF(SnapshotTable[[#This Row],[SP Is Filled]], btc_should_buy_back(SnapshotTable[[#This Row],[SP Fill Date]], SnapshotTable[[#This Row],[SP Exp Date]], SnapshotTable[[#This Row],[SP Book Price]], SnapshotTable[[#This Row],[SP Current Ask]], MockToday, SnapshotTable[[#This Row],[SP Buyback Override]]),"")</f>
        <v/>
      </c>
      <c r="CU354" s="156"/>
      <c r="CV354" s="235"/>
      <c r="CW354" s="378" t="str">
        <f>IF(ISNUMBER( SnapshotTable[[#This Row],[SP Term]]), SnapshotTable[[#This Row],[SP Exp Date]] - MockToday,"")</f>
        <v/>
      </c>
      <c r="CX354" s="31" t="str">
        <f>IF(SnapshotTable[[#This Row],[SP Is Filled]],SnapshotTable[[#This Row],[SP Buyback Price to Use]] * 100 * SnapshotTable[[#This Row],[SP Qty]], "")</f>
        <v/>
      </c>
      <c r="CY354" s="4" t="str">
        <f>IF(ISNUMBER(SnapshotTable[[#This Row],[SP Strike Price]]), SnapshotTable[[#This Row],[SP Strike Price]] * (1 - SP_MaxLoss_StrikePct), "")</f>
        <v/>
      </c>
      <c r="CZ354" s="31" t="str">
        <f>IF(ISNUMBER(SnapshotTable[[#This Row],[SP Strike  Stop Per Share]]),SnapshotTable[[#This Row],[SP Premium]] - ((SnapshotTable[[#This Row],[SP Strike Price]]-SnapshotTable[[#This Row],[SP Strike  Stop Per Share]]) *(SnapshotTable[[#This Row],[SP Qty]] * 100)),"")</f>
        <v/>
      </c>
      <c r="DA354" s="4" t="str">
        <f>IF(AND(ISNUMBER(SnapshotTable[[#This Row],[SP Premium]]),SnapshotTable[[#This Row],[SP Premium]]&gt;0), SnapshotTable[[#This Row],[SP Book Price]] * (1 + SP_MaxLoss_OptionPct), "")</f>
        <v/>
      </c>
      <c r="DB354" s="31" t="str">
        <f>IF(ISNUMBER(SnapshotTable[[#This Row],[SP Option  Stop Contract]]),(SnapshotTable[[#This Row],[SP Option  Stop Contract]] *(SnapshotTable[[#This Row],[SP Qty]] * 100) - SnapshotTable[[#This Row],[SP Premium]]),"")</f>
        <v/>
      </c>
      <c r="DC354" s="4"/>
      <c r="DD354" s="4"/>
      <c r="DE354" s="4" t="str">
        <f>IF(AND(SnapshotTable[[#This Row],[SP Qty]]&gt;0, SnapshotTable[[#This Row],[SP Stop To Use]]&gt;0),SnapshotTable[[#This Row],[SP Premium]] - ( SnapshotTable[[#This Row],[SP Qty]] * SnapshotTable[[#This Row],[SP Stop To Use]] * 100), "")</f>
        <v/>
      </c>
      <c r="DF354" s="31" t="str">
        <f>IF(AND(SnapshotTable[[#This Row],[SP Qty]]&gt;0,SnapshotTable[[#This Row],[SP Current Ask]]&gt;0), SnapshotTable[[#This Row],[SP Qty]] * SnapshotTable[[#This Row],[SP Current Ask]] * -100, "")</f>
        <v/>
      </c>
      <c r="DG354" s="31" t="str">
        <f>IF(ISNUMBER((SnapshotTable[[#This Row],[SP Total Value]])), SnapshotTable[[#This Row],[SP Premium]] + SnapshotTable[[#This Row],[SP Total Value]], "")</f>
        <v/>
      </c>
      <c r="DH354" s="294" t="str">
        <f>IF(ISNUMBER((SnapshotTable[[#This Row],[SP Total Value]])), SnapshotTable[[#This Row],[SP Gain Loss]] / SnapshotTable[[#This Row],[SP Premium]], "")</f>
        <v/>
      </c>
      <c r="DI354" s="406"/>
      <c r="DJ354" s="138"/>
      <c r="DK354" s="148"/>
      <c r="DL354" s="147"/>
      <c r="DM354" s="147"/>
      <c r="DO354" s="31">
        <f>IF(SnapshotTable[[#This Row],[LC Symbol Count]]=1, SnapshotTable[[#This Row],[LC Qty]] * SnapshotTable[[#This Row],[LC Book Price]] * 100, 0)</f>
        <v>0</v>
      </c>
      <c r="DP354" s="163" t="str">
        <f>IF(AND(SnapshotTable[[#This Row],[LC Exp Date]]&gt;0, SnapshotTable[[#This Row],[LC Strike Price]]&gt;0,SnapshotTable[[#This Row],[LC Qty]]&gt;0,SnapshotTable[[#This Row],[LC Book Date]]&gt;0,SnapshotTable[[#This Row],[LC Book Price]]&gt;0,SnapshotTable[[#This Row],[LC Fill Date]]=0),"Y","")</f>
        <v/>
      </c>
      <c r="DQ354" s="386" t="str">
        <f>IF(SnapshotTable[[#This Row],[LC Premium]] &gt; 0,SnapshotTable[[#This Row],[LC Exp Date]]-MAX(SnapshotTable[[#This Row],[LC Book Date]], SnapshotTable[[#This Row],[LC Fill Date]]),"")</f>
        <v/>
      </c>
      <c r="DR354" s="386" t="str">
        <f>IF(ISNUMBER(SnapshotTable[[#This Row],[LC Term]]), SnapshotTable[[#This Row],[LC Exp Date]] - MockToday, "")</f>
        <v/>
      </c>
      <c r="DS354" s="234" t="str">
        <f>IF(SnapshotTable[[#This Row],[LC Premium]]&gt;0,SnapshotTable[[#This Row],[LC Strike Price]] + SnapshotTable[[#This Row],[LC Book Price]],"")</f>
        <v/>
      </c>
      <c r="DU354" s="9" t="str">
        <f>IF(AND(SnapshotTable[[#This Row],[LC Symbol Count]]&gt;0, SnapshotTable[[#This Row],[LC Contract Value]]&gt;0), SnapshotTable[[#This Row],[LC Contract Value]] * SnapshotTable[[#This Row],[LC Qty]] * 100, "")</f>
        <v/>
      </c>
      <c r="DV354" s="9" t="str">
        <f>IF(AND(ISNUMBER(SnapshotTable[[#This Row],[LC Total Value]]), SnapshotTable[[#This Row],[LC Not Filled]]&lt;&gt;"Y"), SnapshotTable[[#This Row],[LC Total Value]]-SnapshotTable[[#This Row],[LC Premium]],"")</f>
        <v/>
      </c>
      <c r="DW354" s="240" t="str">
        <f>IF(ISNUMBER(SnapshotTable[[#This Row],[LC Actual Gain Loss]]), SnapshotTable[[#This Row],[LC Actual Gain Loss]] / SnapshotTable[[#This Row],[LC Premium]],"")</f>
        <v/>
      </c>
      <c r="DX354" s="284" t="str">
        <f>IF(ISNUMBER(SnapshotTable[[#This Row],[LC Book Price]]),SnapshotTable[[#This Row],[LC Book Price]] * 1.5,"")</f>
        <v/>
      </c>
      <c r="DY354" s="265" t="str">
        <f>IF(SnapshotTable[[#This Row],[LC Premium]]&gt;0, SnapshotTable[[#This Row],[LC Next Target]] * SnapshotTable[[#This Row],[LC Qty]] * 100,"")</f>
        <v/>
      </c>
      <c r="DZ354" s="265" t="str">
        <f>IF(ISNUMBER(SnapshotTable[[#This Row],[LC Target Gross]]), SnapshotTable[[#This Row],[LC Target Gross]] - SnapshotTable[[#This Row],[LC Premium]], "")</f>
        <v/>
      </c>
      <c r="EA354" s="305" t="str">
        <f>IF(ISNUMBER(SnapshotTable[[#This Row],[LC Target Gain Loss]]), SnapshotTable[[#This Row],[LC Target Gain Loss]]/SnapshotTable[[#This Row],[LC Premium]], "")</f>
        <v/>
      </c>
      <c r="EB354" s="262"/>
      <c r="EC354" s="283" t="str">
        <f>IF(SnapshotTable[[#This Row],[LC Premium]]&gt;0, SnapshotTable[[#This Row],[LC Book Price]] * (1 - LC_StopLoss_Pct),"")</f>
        <v/>
      </c>
      <c r="ED354" s="284"/>
      <c r="EE354" s="283" t="str">
        <f>IF(ISNUMBER(SnapshotTable[[#This Row],[LC Contract Value]]),IF(ISNUMBER(SnapshotTable[[#This Row],[LC Stop Loss Override]]), SnapshotTable[[#This Row],[LC Stop Loss Override]],SnapshotTable[[#This Row],[LC Stop Loss Calc Target]]),"")</f>
        <v/>
      </c>
      <c r="EF354" s="31" t="str">
        <f>IF(ISNUMBER(SnapshotTable[[#This Row],[LC Stop  To Use]]), (SnapshotTable[[#This Row],[LC Stop  To Use]] * SnapshotTable[[#This Row],[LC Qty]] * 100),"")</f>
        <v/>
      </c>
      <c r="EG354" s="9" t="str">
        <f>IF(ISNUMBER(SnapshotTable[[#This Row],[LC Total Value]]),SnapshotTable[[#This Row],[LC Stop Loss Amount]] - SnapshotTable[[#This Row],[LC Premium]],"")</f>
        <v/>
      </c>
      <c r="EH354" s="9">
        <f>IF(ISNUMBER(SnapshotTable[[#This Row],[LC Premium]]), SnapshotTable[[#This Row],[LC Qty]] * 100 * SnapshotTable[[#This Row],[LC Strike Price]], "")</f>
        <v>0</v>
      </c>
      <c r="EI354" s="240" t="str">
        <f>IF(AND(ISNUMBER(SnapshotTable[[#This Row],[LC Total Value]]),SnapshotTable[[#This Row],[LC Total Value]]&gt;0),SnapshotTable[[#This Row],[LC Stop Gain Loss]]  / SnapshotTable[[#This Row],[LC Premium]],"")</f>
        <v/>
      </c>
      <c r="EJ354" s="35">
        <f>IF(ISNUMBER(SnapshotTable[[#This Row],[Equity Shares]]),TRUNC(SnapshotTable[[#This Row],[Equity Shares]] / 100),0) + SnapshotTable[[#This Row],[LC Qty]]</f>
        <v>0</v>
      </c>
      <c r="EK354" s="147"/>
      <c r="EL354" s="138" t="str">
        <f>IF(SnapshotTable[[#This Row],[SC Exp Date]]&lt;&gt;"",TRUNC(SnapshotTable[[#This Row],[Last Price]]),"")</f>
        <v/>
      </c>
      <c r="EM354" s="148"/>
      <c r="EN354" s="147"/>
      <c r="EO354" s="147"/>
      <c r="EP354" s="138"/>
      <c r="EQ354" s="419" t="b">
        <f>AND(ISNUMBER(SnapshotTable[[#This Row],[SC Exp Date]]), ISNUMBER(SnapshotTable[[#This Row],[SC Strike Price]]), ISNUMBER(SnapshotTable[[#This Row],[SC Qty]]), ISNUMBER(SnapshotTable[[#This Row],[SC Book Date]]), ISNUMBER(SnapshotTable[[#This Row],[SC Book Price]]))</f>
        <v>0</v>
      </c>
      <c r="ER354" s="419" t="b">
        <f>AND(SnapshotTable[[#This Row],[SC Is Booked]], NOT(ISBLANK(SnapshotTable[[#This Row],[SC Fill Date]])))</f>
        <v>0</v>
      </c>
      <c r="ES354" s="370"/>
      <c r="ET354" s="34" t="str">
        <f>IF(AND(ISNUMBER(SnapshotTable[[#This Row],[SC Exp Date]]), ISNUMBER(SnapshotTable[[#This Row],[SC Book Date]])), SnapshotTable[[#This Row],[SC Exp Date]] - MAX(SnapshotTable[[#This Row],[SC Book Date]], SnapshotTable[[#This Row],[SC Fill Date]]) + 1, "")</f>
        <v/>
      </c>
      <c r="EU354" s="34" t="str">
        <f>IF(ISNUMBER(SnapshotTable[[#This Row],[SC Term]]), SnapshotTable[[#This Row],[SC Exp Date]]- MockToday, "")</f>
        <v/>
      </c>
      <c r="EV354" s="31">
        <f>IF(SnapshotTable[[#This Row],[SC Is Booked]], SnapshotTable[[#This Row],[SC Qty]] * SnapshotTable[[#This Row],[SC Book Price]] * 100, 0)</f>
        <v>0</v>
      </c>
      <c r="EW354" s="4" t="str">
        <f>IF(AND(ISNUMBER(SnapshotTable[[#This Row],[Last Price]]), ISNUMBER( SnapshotTable[[#This Row],[SC Book Price]])), SnapshotTable[[#This Row],[Last Price]] - SnapshotTable[[#This Row],[SC Book Price]],"")</f>
        <v/>
      </c>
      <c r="EX354" s="234" t="str">
        <f>IF(SnapshotTable[[#This Row],[SC Is Booked]],IF(SnapshotTable[[#This Row],[SC Intrinsic Value]] &gt; 0, SnapshotTable[[#This Row],[SC Strike Price]], SnapshotTable[[#This Row],[Last Price]]), "")</f>
        <v/>
      </c>
      <c r="EY354" s="4">
        <f>IF(SnapshotTable[[#This Row],[SC Is Booked]], (MinimumPremiumRequired * SnapshotTable[[#This Row],[SC Basis]] * SnapshotTable[[#This Row],[SC Term]]), 0)</f>
        <v>0</v>
      </c>
      <c r="EZ354" s="283"/>
      <c r="FA354" s="218"/>
      <c r="FB354" s="370"/>
      <c r="FC354" s="4">
        <f>IF(SnapshotTable[[#This Row],[SC Is Filled]], btc_max_buyback_amount(SnapshotTable[[#This Row],[SC Fill Date]],SnapshotTable[[#This Row],[SC Exp Date]], SnapshotTable[[#This Row],[SC Book Price]]),0)</f>
        <v>0</v>
      </c>
      <c r="FD354" s="5"/>
      <c r="FE354" s="144" t="str">
        <f>IF(SnapshotTable[[#This Row],[SC Is Filled]], btc_next_cutoff_date(SnapshotTable[[#This Row],[SC Fill Date]],SnapshotTable[[#This Row],[SC Exp Date]]),"")</f>
        <v/>
      </c>
      <c r="FF354" s="4" t="str" cm="1">
        <f t="array" ref="FF354">IF(SnapshotTable[[#This Row],[SC Is Filled]], btc_should_buy_back(SnapshotTable[[#This Row],[SC Fill Date]], SnapshotTable[[#This Row],[SC Exp Date]], SnapshotTable[[#This Row],[SC Book Price]], SnapshotTable[[#This Row],[SC Current Ask]], MockToday, SnapshotTable[[#This Row],[SC Buyback Override]]),"")</f>
        <v/>
      </c>
      <c r="FG354" s="4">
        <f>IF(SnapshotTable[[#This Row],[SC Is Filled]], MAX(0,SnapshotTable[[#This Row],[Last Price]]  - SnapshotTable[[#This Row],[SC Strike Price]]), 0)</f>
        <v>0</v>
      </c>
      <c r="FH354" s="382">
        <f>IF(SnapshotTable[[#This Row],[SC Is Filled]], IF(ISNUMBER(SnapshotTable[[#This Row],[SC Current Ask]]), SnapshotTable[[#This Row],[SC Current Ask]], SnapshotTable[[#This Row],[SC Book Price]]) - SnapshotTable[[#This Row],[SC Intrinsic Value]], 0)</f>
        <v>0</v>
      </c>
      <c r="FI354" s="143"/>
      <c r="FJ354" s="32" t="str">
        <f>IF(SnapshotTable[[#This Row],[SC Is Filled]],100 * SnapshotTable[[#This Row],[SC Qty]] * IF(ISNUMBER(SnapshotTable[[#This Row],[SC Buyback Override]]), SnapshotTable[[#This Row],[SC Buyback Override]], SnapshotTable[[#This Row],[SC Current Ask]]), "")</f>
        <v/>
      </c>
      <c r="FK354" s="250" t="str">
        <f>IF(SnapshotTable[[#This Row],[SC Time Val]]&gt;0, SnapshotTable[[#This Row],[SC Time Val]] / SnapshotTable[[#This Row],[Last Price]],"")</f>
        <v/>
      </c>
      <c r="FL354" s="302" t="str">
        <f>IF(SnapshotTable[[#This Row],[SC Is Booked]], ((SnapshotTable[[#This Row],[Last Price]] -SnapshotTable[[#This Row],[SC Strike Price]]) / SnapshotTable[[#This Row],[Last Price]]) * -1, "")</f>
        <v/>
      </c>
      <c r="FM354" s="157" t="str">
        <f>IF(SnapshotTable[[#This Row],[SC Is Booked]],  (SnapshotTable[[#This Row],[SC Qty]] * 100 * SnapshotTable[[#This Row],[SC Strike Price]]) - SnapshotTable[[#This Row],[SC Current Ask]], "")</f>
        <v/>
      </c>
      <c r="FN354"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4" s="157" t="str">
        <f>IF(AND(ISNUMBER(SnapshotTable[[#This Row],[SC Exercise Gross]]), ISNUMBER(SnapshotTable[[#This Row],[Equity Basis Per Share]] )), SnapshotTable[[#This Row],[SC Exercise Gross]] - SnapshotTable[[#This Row],[Equity Basis Total]] +  SnapshotTable[[#This Row],[SC Premium]], "")</f>
        <v/>
      </c>
      <c r="FP354" s="5" t="str">
        <f>IF(ISNUMBER(SnapshotTable[[#This Row],[SC Exercise Gross]]), (SnapshotTable[[#This Row],[SC Exercise Gross]]) / (SnapshotTable[[#This Row],[SC Qty]] * 100), "")</f>
        <v/>
      </c>
      <c r="FQ354" s="27" t="str">
        <f>IF(SnapshotTable[[#This Row],[SC Is Booked]],SnapshotTable[[#This Row],[SC Time Val]] /SnapshotTable[[#This Row],[SC Basis]], "")</f>
        <v/>
      </c>
      <c r="FR354" s="27" t="str" cm="1">
        <f t="array" ref="FR354">IF(AND(ISNUMBER(SnapshotTable[[#This Row],[SC Term]]),ISNUMBER(SnapshotTable[[#This Row],[SC Simple ROO]])), EllmanAnnualize(SnapshotTable[[#This Row],[SC DTE]], SnapshotTable[[#This Row],[SC Simple ROO]] ),"")</f>
        <v/>
      </c>
      <c r="FS354" s="4" t="e">
        <f>IF(SnapshotTable[[#This Row],[SC Strike Price]] &gt; SnapshotTable[[#This Row],[Last Price]], SnapshotTable[[#This Row],[SC Strike Price]] - SnapshotTable[[#This Row],[Last Price]],0)</f>
        <v>#VALUE!</v>
      </c>
      <c r="FT354" s="27" t="e">
        <f>IF(AND(ISNUMBER(SnapshotTable[[#This Row],[SC Upside Potential]]), SnapshotTable[[#This Row],[SC Upside Potential]] &gt; 0),(SnapshotTable[[#This Row],[SC Upside Potential]]/ SnapshotTable[[#This Row],[ACB]]),"")</f>
        <v>#VALUE!</v>
      </c>
      <c r="FU354" s="333" t="str">
        <f>IF(SnapshotTable[[#This Row],[SC Intrinsic Value]] &gt; 0,SnapshotTable[[#This Row],[SC Intrinsic Value]],"")</f>
        <v/>
      </c>
      <c r="FV354" s="27" t="str">
        <f>IF(AND( ISNUMBER( SnapshotTable[[#This Row],[ACB]]),ISNUMBER(SnapshotTable[[#This Row],[SC Downside Protect]])),SnapshotTable[[#This Row],[SC Downside Protect]] / SnapshotTable[[#This Row],[ACB]],"")</f>
        <v/>
      </c>
      <c r="FW354" s="236" t="str">
        <f>IF(AND(ISNUMBER(SnapshotTable[[#This Row],[SC Simple ROO]]),SnapshotTable[[#This Row],[SC Simple ROO]] &gt; 0), SnapshotTable[[#This Row],[SC Premium]] + (SnapshotTable[[#This Row],[SC Qty]] * SnapshotTable[[#This Row],[SC Upside Potential]]), "")</f>
        <v/>
      </c>
      <c r="FX354" s="302" t="str" cm="1">
        <f t="array" ref="FX354">IF(ISNUMBER(SnapshotTable[[#This Row],[SC Max Dollars]]), annualize(SnapshotTable[[#This Row],[SC Term]],(SnapshotTable[[#This Row],[SC Max Dollars]]/SnapshotTable[[#This Row],[SC Basis]])),"")</f>
        <v/>
      </c>
      <c r="FY354" s="236" t="str">
        <f>IF(AND(SnapshotTable[[#This Row],[SC Qty]]&gt;0,SnapshotTable[[#This Row],[SC Current Ask]]&gt;0), SnapshotTable[[#This Row],[SC Qty]] * SnapshotTable[[#This Row],[SC Current Ask]] * -100, "")</f>
        <v/>
      </c>
      <c r="FZ354" s="31" t="str">
        <f>IF(ISNUMBER((SnapshotTable[[#This Row],[SC Current Value]])), SnapshotTable[[#This Row],[SC Premium]] + SnapshotTable[[#This Row],[SC Current Value]], "")</f>
        <v/>
      </c>
      <c r="GA354" s="294" t="str">
        <f>IFERROR( IF(ISNUMBER((SnapshotTable[[#This Row],[SC Current Value]])), SnapshotTable[[#This Row],[SC Gain Loss]] / SnapshotTable[[#This Row],[SC Premium]], ""), "")</f>
        <v/>
      </c>
      <c r="GB354" s="42">
        <f>SnapshotTable[[#This Row],[Equity Shares]] * SaleSharesToConsiderPercentage</f>
        <v>0</v>
      </c>
      <c r="GC354" s="40">
        <f>SnapshotTable[[#This Row],[Long Term Target]] * SellingPriceToConsiderBasedOnTargetPercentage</f>
        <v>101.9635</v>
      </c>
      <c r="GD354" s="40">
        <f>SnapshotTable[[#This Row],[Last Price]] * (1+ SellingPriceToConsiderBasedOnTargetPercentage)</f>
        <v>169.86449999999999</v>
      </c>
      <c r="GE354" s="41"/>
      <c r="GF354" s="40"/>
      <c r="GG354" s="31">
        <f>SnapshotTable[[#This Row],[Booked Sale Shares]] * SnapshotTable[[#This Row],[Booked Sale Price]]</f>
        <v>0</v>
      </c>
      <c r="GH354" s="31" t="str">
        <f>IF(SnapshotTable[[#This Row],[Equity Basis Total]] &gt; 0, SnapshotTable[[#This Row],[Equity Basis Per Share]] * SnapshotTable[[#This Row],[Booked Sale Shares]], "")</f>
        <v/>
      </c>
      <c r="GI354" s="31">
        <f>IF(SnapshotTable[[#This Row],[Sale Proceeds]]&gt;0, SnapshotTable[[#This Row],[Sale Proceeds]] - SnapshotTable[[#This Row],[Sale Basis]], 0)</f>
        <v>0</v>
      </c>
      <c r="GJ354" s="158" t="str">
        <f>IF(SnapshotTable[[#This Row],[Sale G/L]]&gt;0, SnapshotTable[[#This Row],[Sale G/L]] / SnapshotTable[[#This Row],[Sale Basis]], IF(ISNUMBER(SnapshotTable[[#This Row],[SC Exercise P&amp;L (TAX)]]), SnapshotTable[[#This Row],[SC Exercise P&amp;L (TAX)]] / SnapshotTable[[#This Row],[SC Basis]], ""))</f>
        <v/>
      </c>
      <c r="GK354" s="158"/>
      <c r="GL354" s="159" t="str">
        <f>IF(AND(SnapshotTable[[#This Row],[LP Exp Date]]&gt;0,SnapshotTable[[#This Row],[LP Strike Price]]&gt;0), [1]!ToOptionSymbol(SnapshotTable[[#This Row],[Symbol]], SnapshotTable[[#This Row],[LP Strike Price]],SnapshotTable[[#This Row],[LP Exp Date]],1), "")</f>
        <v/>
      </c>
      <c r="GM354" s="30" t="str">
        <f>IF(LEN(SnapshotTable[[#This Row],[LP Symbol]])&gt;0, 1, "")</f>
        <v/>
      </c>
      <c r="GN354" s="43" t="str">
        <f>IF(AND(SnapshotTable[[#This Row],[SP Exp Date]]&gt;0,SnapshotTable[[#This Row],[SP Strike Price]]&gt;0), [1]!ToOptionSymbol(SnapshotTable[[#This Row],[Symbol]], SnapshotTable[[#This Row],[SP Strike Price]],SnapshotTable[[#This Row],[SP Exp Date]],1), "")</f>
        <v/>
      </c>
      <c r="GO354" s="30" t="str">
        <f>IF(LEN(SnapshotTable[[#This Row],[SP Symbol]])&gt;0, 1, "")</f>
        <v/>
      </c>
      <c r="GP354" s="159" t="str">
        <f>IF(AND(SnapshotTable[[#This Row],[LC Exp Date]]&gt;0,SnapshotTable[[#This Row],[LC Strike Price]]&gt;0), [1]!ToOptionSymbol(SnapshotTable[[#This Row],[Symbol]], SnapshotTable[[#This Row],[LC Strike Price]],SnapshotTable[[#This Row],[LC Exp Date]],0), "")</f>
        <v/>
      </c>
      <c r="GQ354" s="160" t="str">
        <f>IF(LEN(SnapshotTable[[#This Row],[LC Symbol]])&gt;0, 1, "")</f>
        <v/>
      </c>
      <c r="GR354" s="159" t="str">
        <f>IF(AND(SnapshotTable[[#This Row],[SC Exp Date]]&gt;0,SnapshotTable[[#This Row],[SC Strike Price]]&gt;0), [1]!ToOptionSymbol(SnapshotTable[[#This Row],[Symbol]], SnapshotTable[[#This Row],[SC Strike Price]],SnapshotTable[[#This Row],[SC Exp Date]],0), "")</f>
        <v/>
      </c>
      <c r="GS354" s="160" t="str">
        <f>IF(LEN(SnapshotTable[[#This Row],[SC Symbol]])&gt;0, 1, "")</f>
        <v/>
      </c>
      <c r="GT354" s="161" t="str">
        <f>IF(COUNT(SnapshotTable[[#This Row],[LP Symbol Count]],SnapshotTable[[#This Row],[SP Symbol Count]],SnapshotTable[[#This Row],[LC Symbol Count]],SnapshotTable[[#This Row],[SC Symbol Count]])&gt;0, "Y", "")</f>
        <v/>
      </c>
      <c r="GU35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4" s="231" t="e">
        <f>MAX(SnapshotTable[[#This Row],[Equity Basis Total]],SnapshotTable[[#This Row],[Equity Value]]) + (SnapshotTable[[#This Row],[SP Potential Spend]]- SnapshotTable[[#This Row],[SP Premium]] + SnapshotTable[[#This Row],[LP Premium]])+ (SnapshotTable[[#This Row],[LC Premium]] - SnapshotTable[[#This Row],[SC Premium]])</f>
        <v>#VALUE!</v>
      </c>
      <c r="GW354" s="139" t="e">
        <f>IF(AND(SnapshotTable[[#This Row],[Exposure]] &lt;&gt; 0),SnapshotTable[[#This Row],[Exposure]] / SnapshotTable[[#Totals],[Exposure]], "")</f>
        <v>#VALUE!</v>
      </c>
      <c r="HK354" s="1"/>
      <c r="HL354" s="1"/>
      <c r="HM354" s="1"/>
      <c r="HN354" s="1"/>
      <c r="HO354" s="1"/>
      <c r="HP354" s="1"/>
    </row>
    <row r="355" spans="2:224" ht="12.75" hidden="1" customHeight="1" x14ac:dyDescent="0.25">
      <c r="B355" s="12" t="s">
        <v>914</v>
      </c>
      <c r="C355" s="422">
        <v>2.79</v>
      </c>
      <c r="D355" s="208" t="s">
        <v>578</v>
      </c>
      <c r="E355" s="39">
        <f>SnapshotTable[[#This Row],[Last Price]]*(1 -CrashDiscount)</f>
        <v>2.3715000000000002</v>
      </c>
      <c r="F355" s="26" t="s">
        <v>905</v>
      </c>
      <c r="G355" s="26" t="s">
        <v>610</v>
      </c>
      <c r="H355" s="149"/>
      <c r="I355" s="194">
        <v>44782</v>
      </c>
      <c r="J355" s="195">
        <v>44782</v>
      </c>
      <c r="K355" s="196"/>
      <c r="L355" s="326"/>
      <c r="M355" s="140"/>
      <c r="N355" s="140"/>
      <c r="O355" s="140"/>
      <c r="P355" s="22"/>
      <c r="Q355" s="25"/>
      <c r="R355" s="4" t="str">
        <f>IF(SnapshotTable[[#This Row],[Equity Basis Total]] &gt; 0, SnapshotTable[[#This Row],[Equity Basis Total]] / SnapshotTable[[#This Row],[Equity Shares]], "")</f>
        <v/>
      </c>
      <c r="S355" s="269">
        <f>SnapshotTable[[#This Row],[Last Price]] * SnapshotTable[[#This Row],[Equity Shares]]</f>
        <v>0</v>
      </c>
      <c r="T355" s="269">
        <f>SnapshotTable[[#This Row],[Equity Value]] - SnapshotTable[[#This Row],[Equity Basis Total]]</f>
        <v>0</v>
      </c>
      <c r="U355" s="270" t="str">
        <f>IF(SnapshotTable[[#This Row],[Equity Basis Total]] &gt; 0, SnapshotTable[[#This Row],[Equity G/L]] / SnapshotTable[[#This Row],[Equity Basis Total]], "")</f>
        <v/>
      </c>
      <c r="V355" s="268"/>
      <c r="W355" s="268"/>
      <c r="X355" s="4" t="str">
        <f>IF(AND(ISNUMBER(SnapshotTable[[#This Row],[Equity Basis Per Share]]),ISNUMBER(SnapshotTable[[#This Row],[Equity Target]])),SnapshotTable[[#This Row],[Equity Target]]-SnapshotTable[[#This Row],[Equity Basis Per Share]],"")</f>
        <v/>
      </c>
      <c r="Y355" s="4" t="str">
        <f>IF(AND(ISNUMBER(SnapshotTable[[#This Row],[Equity Basis Per Share]]),ISNUMBER(SnapshotTable[[#This Row],[Equity Stop Loss]])),SnapshotTable[[#This Row],[Equity Stop Loss]]-SnapshotTable[[#This Row],[Equity Basis Per Share]],"")</f>
        <v/>
      </c>
      <c r="Z355" s="275" t="str">
        <f>IFERROR( TEXT(SnapshotTable[[#This Row],[Equity Max Gain Per Share]] /ABS( SnapshotTable[[#This Row],[Equity Max Loss Per Share]]),"0.0 " ) &amp; " : 1", "")</f>
        <v/>
      </c>
      <c r="AA355" s="31" t="str">
        <f>IF(ISNUMBER(SnapshotTable[[#This Row],[Equity Max Gain Per Share]]),SnapshotTable[[#This Row],[Equity Max Gain Per Share]] * SnapshotTable[[#This Row],[Equity Shares]],"")</f>
        <v/>
      </c>
      <c r="AB355" s="31" t="str">
        <f>IF(ISNUMBER(SnapshotTable[[#This Row],[Equity Max Loss Per Share]]),SnapshotTable[[#This Row],[Equity Max Loss Per Share]] * SnapshotTable[[#This Row],[Equity Shares]],"")</f>
        <v/>
      </c>
      <c r="AC355" s="150"/>
      <c r="AD355" s="151"/>
      <c r="AE355" s="31">
        <f>(SnapshotTable[[#This Row],[Annual Dividend Per Share]] / 4) * SnapshotTable[[#This Row],[Equity Shares]]</f>
        <v>0</v>
      </c>
      <c r="AF355" s="31">
        <f>SnapshotTable[[#This Row],[Quarterly Div $]] * 4</f>
        <v>0</v>
      </c>
      <c r="AG355" s="7">
        <f>IF(SnapshotTable[[#This Row],[Annual Dividend Per Share]]&gt;0, SnapshotTable[[#This Row],[Annual Dividend Per Share]]  / SnapshotTable[[#This Row],[Last Price]], 0)</f>
        <v>0</v>
      </c>
      <c r="AH355" s="151"/>
      <c r="AI355" s="5"/>
      <c r="AJ355" s="138">
        <v>25.5</v>
      </c>
      <c r="AK355" s="152" t="str">
        <f>IF(ISNUMBER( SnapshotTable[[#This Row],[EBF Target]]),(SnapshotTable[[#This Row],[EBF Target]] - SnapshotTable[[#This Row],[Last Price]]) / SnapshotTable[[#This Row],[Last Price]], "")</f>
        <v/>
      </c>
      <c r="AL355" s="152" t="str">
        <f>IF(AND(SnapshotTable[[#This Row],[Equity Basis Total]] &gt; 0,ISNUMBER( SnapshotTable[[#This Row],[Long Term Target]])), SnapshotTable[[#This Row],[From Basis $]] / SnapshotTable[[#This Row],[Equity Basis Total]], "")</f>
        <v/>
      </c>
      <c r="AM355" s="9">
        <f>IF( AND(SnapshotTable[[#This Row],[Equity Shares]] &gt;0,ISNUMBER( SnapshotTable[[#This Row],[Long Term Target]])),(SnapshotTable[[#This Row],[Equity Shares]] * SnapshotTable[[#This Row],[Long Term Target]]) - SnapshotTable[[#This Row],[Equity Basis Total]],0)</f>
        <v>0</v>
      </c>
      <c r="AN355" s="9">
        <f>IF( AND(SnapshotTable[[#This Row],[Equity Shares]] &gt;0,ISNUMBER( SnapshotTable[[#This Row],[Long Term Target]])),(SnapshotTable[[#This Row],[Equity Shares]]*SnapshotTable[[#This Row],[Long Term Target]]) - SnapshotTable[[#This Row],[Equity Value]],0)</f>
        <v>0</v>
      </c>
      <c r="AO355" s="152">
        <f>IF(AND(ISNUMBER( SnapshotTable[[#This Row],[Long Term Target]]), ISNUMBER(SnapshotTable[[#This Row],[Last Price]])),(SnapshotTable[[#This Row],[Long Term Target]] - SnapshotTable[[#This Row],[Last Price]]) / SnapshotTable[[#This Row],[Last Price]], "")</f>
        <v>8.1397849462365599</v>
      </c>
      <c r="AP355" s="5">
        <v>30</v>
      </c>
      <c r="AQ355" s="38" t="s">
        <v>110</v>
      </c>
      <c r="AR355" s="5">
        <v>24</v>
      </c>
      <c r="AS355" s="38" t="s">
        <v>45</v>
      </c>
      <c r="AT355" s="146" t="s">
        <v>533</v>
      </c>
      <c r="AU355" s="187" t="str">
        <f>IF(OR(SnapshotTable[[#This Row],[LP No Fill]]="Y",SnapshotTable[[#This Row],[SP Is Filled]],SnapshotTable[[#This Row],[LC Not Filled]]="Y",SnapshotTable[[#This Row],[SC Is Filled]]),"Y","")</f>
        <v/>
      </c>
      <c r="AV355" s="219"/>
      <c r="AW355" s="225"/>
      <c r="AX355" s="220"/>
      <c r="AY355" s="219" t="str">
        <f>IF(SnapshotTable[[#This Row],[Implied Move]]&gt;0, SnapshotTable[[#This Row],[Last Price]]-SnapshotTable[[#This Row],[Implied Move]],"")</f>
        <v/>
      </c>
      <c r="AZ355" s="219" t="str">
        <f>IF(SnapshotTable[[#This Row],[Implied Move]]&gt;0, SnapshotTable[[#This Row],[Last Price]] + SnapshotTable[[#This Row],[Implied Move]],"")</f>
        <v/>
      </c>
      <c r="BA355" s="331"/>
      <c r="BB355" s="347"/>
      <c r="BC35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5" s="351"/>
      <c r="BE355" s="138"/>
      <c r="BF355" s="166"/>
      <c r="BG355" s="167"/>
      <c r="BH355" s="167"/>
      <c r="BI355" s="221"/>
      <c r="BJ355" s="153">
        <f>IF(SnapshotTable[[#This Row],[LP Qty]] &gt; 0, SnapshotTable[[#This Row],[LP Qty]] * SnapshotTable[[#This Row],[LP Book Price]] * 100,0)</f>
        <v>0</v>
      </c>
      <c r="BK355" s="136">
        <f>IF(SnapshotTable[[#This Row],[LP Premium]] &gt; 0, SnapshotTable[[#This Row],[LP Qty]] * SnapshotTable[[#This Row],[LP Strike Price]] * 100,0)</f>
        <v>0</v>
      </c>
      <c r="BL355" s="154"/>
      <c r="BM355" s="385" t="str">
        <f>IF(SnapshotTable[[#This Row],[LP Premium]] &gt; 0,SnapshotTable[[#This Row],[LP Exp Date]]-MAX(SnapshotTable[[#This Row],[LP Book Date]], SnapshotTable[[#This Row],[LP Fill Date]]),"")</f>
        <v/>
      </c>
      <c r="BN355" s="385" t="str">
        <f>IF(ISNUMBER( SnapshotTable[[#This Row],[LP Term]]), SnapshotTable[[#This Row],[LP Exp Date]] - MockToday,"")</f>
        <v/>
      </c>
      <c r="BO355" s="163" t="str">
        <f>IF(AND(SnapshotTable[[#This Row],[LP Exp Date]]&gt;0, SnapshotTable[[#This Row],[LP Strike Price]]&gt;0,SnapshotTable[[#This Row],[LP Qty]]&gt;0,SnapshotTable[[#This Row],[LP Book Date]]&gt;0,SnapshotTable[[#This Row],[LP Book Price]]&gt;0,SnapshotTable[[#This Row],[LP Fill Date]]=0),"Y","")</f>
        <v/>
      </c>
      <c r="BP355" s="31" t="str">
        <f>IF(AND(SnapshotTable[[#This Row],[LP No Fill]]&lt;&gt;"Y",SnapshotTable[[#This Row],[LP Contract Value]]&gt;0, SnapshotTable[[#This Row],[LP Qty]]&gt;0), SnapshotTable[[#This Row],[LP Contract Value]]*SnapshotTable[[#This Row],[LP Qty]]*100,"")</f>
        <v/>
      </c>
      <c r="BQ355" s="13"/>
      <c r="BR355" s="5" t="str">
        <f>IF(SnapshotTable[[#This Row],[SP Exp Date]]&lt;&gt;"",TRUNC(SnapshotTable[[#This Row],[Last Price]]),"")</f>
        <v/>
      </c>
      <c r="BS355" s="36"/>
      <c r="BT355" s="147"/>
      <c r="BU355" s="13"/>
      <c r="BV355" s="5"/>
      <c r="BW355" s="419" t="b">
        <f>AND(ISNUMBER(SnapshotTable[[#This Row],[SP Exp Date]]), ISNUMBER(SnapshotTable[[#This Row],[SP Strike Price]]), ISNUMBER(SnapshotTable[[#This Row],[SP Qty]]), ISNUMBER(SnapshotTable[[#This Row],[SP Book Date]]), ISNUMBER(SnapshotTable[[#This Row],[SP Book Price]]))</f>
        <v>0</v>
      </c>
      <c r="BX355" s="419" t="b">
        <f>AND(SnapshotTable[[#This Row],[SP Is Booked]], NOT(ISBLANK(SnapshotTable[[#This Row],[SP Fill Date]])))</f>
        <v>0</v>
      </c>
      <c r="BY355" s="33">
        <f>IF(SnapshotTable[[#This Row],[SP Is Booked]], SnapshotTable[[#This Row],[SP Qty]] * SnapshotTable[[#This Row],[SP Book Price]] * 100, 0)</f>
        <v>0</v>
      </c>
      <c r="BZ355" s="369"/>
      <c r="CA355" s="368">
        <f>SnapshotTable[[#This Row],[LP Qty]]</f>
        <v>0</v>
      </c>
      <c r="CB355" s="4" t="str">
        <f>IF(SnapshotTable[[#This Row],[SP Is Booked]], SnapshotTable[[#This Row],[SP Strike Price]] - SnapshotTable[[#This Row],[SP Book Price]], "")</f>
        <v/>
      </c>
      <c r="CC355" s="19" t="str">
        <f>IF(SnapshotTable[[#This Row],[SP Is Booked]],SnapshotTable[[#This Row],[SP Exp Date]]-MAX(SnapshotTable[[#This Row],[SP Book Date]], SnapshotTable[[#This Row],[SP Fill Date]]),"")</f>
        <v/>
      </c>
      <c r="CD355" s="7" t="str">
        <f>IF(SnapshotTable[[#This Row],[SP Is Booked]], SnapshotTable[[#This Row],[SP Book Price]]/SnapshotTable[[#This Row],[SP Strike Price]], "")</f>
        <v/>
      </c>
      <c r="CE355" s="7" t="str">
        <f>IF(ISNUMBER(SnapshotTable[[#This Row],[SP ROO Term]]),SnapshotTable[[#This Row],[SP ROO Term]]*(365/SnapshotTable[[#This Row],[SP Term]]),"")</f>
        <v/>
      </c>
      <c r="CF355" s="236">
        <f>SnapshotTable[[#This Row],[LP Strike Price]] * SnapshotTable[[#This Row],[LP Qty]] * 100</f>
        <v>0</v>
      </c>
      <c r="CG355" s="31" t="e">
        <f>IF(ISNUMBER(SnapshotTable[[#This Row],[SP Premium]]), (SnapshotTable[[#This Row],[SP Qty]] * SnapshotTable[[#This Row],[SP Strike Price]]* 100) - SnapshotTable[[#This Row],[LP Protection]], 0)</f>
        <v>#VALUE!</v>
      </c>
      <c r="CH355" s="7" t="str">
        <f>IF(ISNUMBER(SnapshotTable[[#This Row],[SP Break Even]]),-1 * (SnapshotTable[[#This Row],[SP Break Even]] - SnapshotTable[[#This Row],[Last Price]]) / SnapshotTable[[#This Row],[Last Price]], "")</f>
        <v/>
      </c>
      <c r="CI355" s="31">
        <f>IF(AND(ISNUMBER((SnapshotTable[[#This Row],[SP Potential Spend]])), SnapshotTable[[#This Row],[SP Strike Price]] &gt; SnapshotTable[[#This Row],[Last Price]], SnapshotTable[[#This Row],[SP Is Filled]]), SnapshotTable[[#This Row],[SP Potential Spend]] -  SnapshotTable[[#This Row],[LP Max Value]], 0)</f>
        <v>0</v>
      </c>
      <c r="CJ355" s="244"/>
      <c r="CK355" s="31" t="str">
        <f>IF(ISNUMBER(SnapshotTable[[#This Row],[SP Potential Spend]]),IF(ISNUMBER(SnapshotTable[[#This Row],[SP POW]]), SnapshotTable[[#This Row],[SP POW]] * SnapshotTable[[#This Row],[SP Potential Spend]], SnapshotTable[[#This Row],[SP Potential Spend]]), "")</f>
        <v/>
      </c>
      <c r="CL355" s="164" t="e">
        <f>IF(NOT(SnapshotTable[[#This Row],[SP Is Filled]]),(SnapshotTable[[#This Row],[SP Qty]] * SnapshotTable[[#This Row],[SP Strike Price]] * 100) - SnapshotTable[[#This Row],[LP Max Value]],"")</f>
        <v>#VALUE!</v>
      </c>
      <c r="CM355" s="31" t="str">
        <f>IF(SnapshotTable[[#This Row],[SP Actual Spend]]&lt;&gt;0, ((SnapshotTable[[#This Row],[SP Strike Price]]-SnapshotTable[[#This Row],[Last Price]]) *(SnapshotTable[[#This Row],[SP Qty]]*100) - SnapshotTable[[#This Row],[SP Premium]]) * - 1, "")</f>
        <v/>
      </c>
      <c r="CN355" s="154"/>
      <c r="CO355" s="369"/>
      <c r="CP355" s="4" t="str">
        <f>IF(SnapshotTable[[#This Row],[SP Is Filled]], btc_max_buyback_amount(SnapshotTable[[#This Row],[SP Fill Date]],SnapshotTable[[#This Row],[SP Exp Date]], SnapshotTable[[#This Row],[SP Book Price]]),"")</f>
        <v/>
      </c>
      <c r="CQ355" s="78"/>
      <c r="CR35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5" s="155" t="str">
        <f>IF(SnapshotTable[[#This Row],[SP Is Filled]], btc_next_cutoff_date(SnapshotTable[[#This Row],[SP Fill Date]],SnapshotTable[[#This Row],[SP Exp Date]]),"")</f>
        <v/>
      </c>
      <c r="CT355" s="235" t="str" cm="1">
        <f t="array" ref="CT355">IF(SnapshotTable[[#This Row],[SP Is Filled]], btc_should_buy_back(SnapshotTable[[#This Row],[SP Fill Date]], SnapshotTable[[#This Row],[SP Exp Date]], SnapshotTable[[#This Row],[SP Book Price]], SnapshotTable[[#This Row],[SP Current Ask]], MockToday, SnapshotTable[[#This Row],[SP Buyback Override]]),"")</f>
        <v/>
      </c>
      <c r="CU355" s="156"/>
      <c r="CV355" s="235"/>
      <c r="CW355" s="378" t="str">
        <f>IF(ISNUMBER( SnapshotTable[[#This Row],[SP Term]]), SnapshotTable[[#This Row],[SP Exp Date]] - MockToday,"")</f>
        <v/>
      </c>
      <c r="CX355" s="31" t="str">
        <f>IF(SnapshotTable[[#This Row],[SP Is Filled]],SnapshotTable[[#This Row],[SP Buyback Price to Use]] * 100 * SnapshotTable[[#This Row],[SP Qty]], "")</f>
        <v/>
      </c>
      <c r="CY355" s="4" t="str">
        <f>IF(ISNUMBER(SnapshotTable[[#This Row],[SP Strike Price]]), SnapshotTable[[#This Row],[SP Strike Price]] * (1 - SP_MaxLoss_StrikePct), "")</f>
        <v/>
      </c>
      <c r="CZ355" s="31" t="str">
        <f>IF(ISNUMBER(SnapshotTable[[#This Row],[SP Strike  Stop Per Share]]),SnapshotTable[[#This Row],[SP Premium]] - ((SnapshotTable[[#This Row],[SP Strike Price]]-SnapshotTable[[#This Row],[SP Strike  Stop Per Share]]) *(SnapshotTable[[#This Row],[SP Qty]] * 100)),"")</f>
        <v/>
      </c>
      <c r="DA355" s="4" t="str">
        <f>IF(AND(ISNUMBER(SnapshotTable[[#This Row],[SP Premium]]),SnapshotTable[[#This Row],[SP Premium]]&gt;0), SnapshotTable[[#This Row],[SP Book Price]] * (1 + SP_MaxLoss_OptionPct), "")</f>
        <v/>
      </c>
      <c r="DB355" s="31" t="str">
        <f>IF(ISNUMBER(SnapshotTable[[#This Row],[SP Option  Stop Contract]]),(SnapshotTable[[#This Row],[SP Option  Stop Contract]] *(SnapshotTable[[#This Row],[SP Qty]] * 100) - SnapshotTable[[#This Row],[SP Premium]]),"")</f>
        <v/>
      </c>
      <c r="DC355" s="4"/>
      <c r="DD355" s="4"/>
      <c r="DE355" s="4" t="str">
        <f>IF(AND(SnapshotTable[[#This Row],[SP Qty]]&gt;0, SnapshotTable[[#This Row],[SP Stop To Use]]&gt;0),SnapshotTable[[#This Row],[SP Premium]] - ( SnapshotTable[[#This Row],[SP Qty]] * SnapshotTable[[#This Row],[SP Stop To Use]] * 100), "")</f>
        <v/>
      </c>
      <c r="DF355" s="31" t="str">
        <f>IF(AND(SnapshotTable[[#This Row],[SP Qty]]&gt;0,SnapshotTable[[#This Row],[SP Current Ask]]&gt;0), SnapshotTable[[#This Row],[SP Qty]] * SnapshotTable[[#This Row],[SP Current Ask]] * -100, "")</f>
        <v/>
      </c>
      <c r="DG355" s="31" t="str">
        <f>IF(ISNUMBER((SnapshotTable[[#This Row],[SP Total Value]])), SnapshotTable[[#This Row],[SP Premium]] + SnapshotTable[[#This Row],[SP Total Value]], "")</f>
        <v/>
      </c>
      <c r="DH355" s="294" t="str">
        <f>IF(ISNUMBER((SnapshotTable[[#This Row],[SP Total Value]])), SnapshotTable[[#This Row],[SP Gain Loss]] / SnapshotTable[[#This Row],[SP Premium]], "")</f>
        <v/>
      </c>
      <c r="DI355" s="406"/>
      <c r="DJ355" s="138"/>
      <c r="DK355" s="148"/>
      <c r="DL355" s="147"/>
      <c r="DM355" s="147"/>
      <c r="DO355" s="31">
        <f>IF(SnapshotTable[[#This Row],[LC Symbol Count]]=1, SnapshotTable[[#This Row],[LC Qty]] * SnapshotTable[[#This Row],[LC Book Price]] * 100, 0)</f>
        <v>0</v>
      </c>
      <c r="DP355" s="289" t="str">
        <f>IF(AND(SnapshotTable[[#This Row],[LC Exp Date]]&gt;0, SnapshotTable[[#This Row],[LC Strike Price]]&gt;0,SnapshotTable[[#This Row],[LC Qty]]&gt;0,SnapshotTable[[#This Row],[LC Book Date]]&gt;0,SnapshotTable[[#This Row],[LC Book Price]]&gt;0,SnapshotTable[[#This Row],[LC Fill Date]]=0),"Y","")</f>
        <v/>
      </c>
      <c r="DQ355" s="386" t="str">
        <f>IF(SnapshotTable[[#This Row],[LC Premium]] &gt; 0,SnapshotTable[[#This Row],[LC Exp Date]]-MAX(SnapshotTable[[#This Row],[LC Book Date]], SnapshotTable[[#This Row],[LC Fill Date]]),"")</f>
        <v/>
      </c>
      <c r="DR355" s="386" t="str">
        <f>IF(ISNUMBER(SnapshotTable[[#This Row],[LC Term]]), SnapshotTable[[#This Row],[LC Exp Date]] - MockToday, "")</f>
        <v/>
      </c>
      <c r="DS355" s="234" t="str">
        <f>IF(SnapshotTable[[#This Row],[LC Premium]]&gt;0,SnapshotTable[[#This Row],[LC Strike Price]] + SnapshotTable[[#This Row],[LC Book Price]],"")</f>
        <v/>
      </c>
      <c r="DU355" s="9" t="str">
        <f>IF(AND(SnapshotTable[[#This Row],[LC Symbol Count]]&gt;0, SnapshotTable[[#This Row],[LC Contract Value]]&gt;0), SnapshotTable[[#This Row],[LC Contract Value]] * SnapshotTable[[#This Row],[LC Qty]] * 100, "")</f>
        <v/>
      </c>
      <c r="DV355" s="9" t="str">
        <f>IF(AND(ISNUMBER(SnapshotTable[[#This Row],[LC Total Value]]), SnapshotTable[[#This Row],[LC Not Filled]]&lt;&gt;"Y"), SnapshotTable[[#This Row],[LC Total Value]]-SnapshotTable[[#This Row],[LC Premium]],"")</f>
        <v/>
      </c>
      <c r="DW355" s="240" t="str">
        <f>IF(ISNUMBER(SnapshotTable[[#This Row],[LC Actual Gain Loss]]), SnapshotTable[[#This Row],[LC Actual Gain Loss]] / SnapshotTable[[#This Row],[LC Premium]],"")</f>
        <v/>
      </c>
      <c r="DX355" s="284" t="str">
        <f>IF(ISNUMBER(SnapshotTable[[#This Row],[LC Book Price]]),SnapshotTable[[#This Row],[LC Book Price]] * 1.5,"")</f>
        <v/>
      </c>
      <c r="DY355" s="265" t="str">
        <f>IF(SnapshotTable[[#This Row],[LC Premium]]&gt;0, SnapshotTable[[#This Row],[LC Next Target]] * SnapshotTable[[#This Row],[LC Qty]] * 100,"")</f>
        <v/>
      </c>
      <c r="DZ355" s="265" t="str">
        <f>IF(ISNUMBER(SnapshotTable[[#This Row],[LC Target Gross]]), SnapshotTable[[#This Row],[LC Target Gross]] - SnapshotTable[[#This Row],[LC Premium]], "")</f>
        <v/>
      </c>
      <c r="EA355" s="305" t="str">
        <f>IF(ISNUMBER(SnapshotTable[[#This Row],[LC Target Gain Loss]]), SnapshotTable[[#This Row],[LC Target Gain Loss]]/SnapshotTable[[#This Row],[LC Premium]], "")</f>
        <v/>
      </c>
      <c r="EB355" s="262"/>
      <c r="EC355" s="283" t="str">
        <f>IF(SnapshotTable[[#This Row],[LC Premium]]&gt;0, SnapshotTable[[#This Row],[LC Book Price]] * (1 - LC_StopLoss_Pct),"")</f>
        <v/>
      </c>
      <c r="ED355" s="284"/>
      <c r="EE355" s="283" t="str">
        <f>IF(ISNUMBER(SnapshotTable[[#This Row],[LC Contract Value]]),IF(ISNUMBER(SnapshotTable[[#This Row],[LC Stop Loss Override]]), SnapshotTable[[#This Row],[LC Stop Loss Override]],SnapshotTable[[#This Row],[LC Stop Loss Calc Target]]),"")</f>
        <v/>
      </c>
      <c r="EF355" s="31" t="str">
        <f>IF(ISNUMBER(SnapshotTable[[#This Row],[LC Stop  To Use]]), (SnapshotTable[[#This Row],[LC Stop  To Use]] * SnapshotTable[[#This Row],[LC Qty]] * 100),"")</f>
        <v/>
      </c>
      <c r="EG355" s="9" t="str">
        <f>IF(ISNUMBER(SnapshotTable[[#This Row],[LC Total Value]]),SnapshotTable[[#This Row],[LC Stop Loss Amount]] - SnapshotTable[[#This Row],[LC Premium]],"")</f>
        <v/>
      </c>
      <c r="EH355" s="9">
        <f>IF(ISNUMBER(SnapshotTable[[#This Row],[LC Premium]]), SnapshotTable[[#This Row],[LC Qty]] * 100 * SnapshotTable[[#This Row],[LC Strike Price]], "")</f>
        <v>0</v>
      </c>
      <c r="EI355" s="240" t="str">
        <f>IF(AND(ISNUMBER(SnapshotTable[[#This Row],[LC Total Value]]),SnapshotTable[[#This Row],[LC Total Value]]&gt;0),SnapshotTable[[#This Row],[LC Stop Gain Loss]]  / SnapshotTable[[#This Row],[LC Premium]],"")</f>
        <v/>
      </c>
      <c r="EJ355" s="35">
        <f>IF(ISNUMBER(SnapshotTable[[#This Row],[Equity Shares]]),TRUNC(SnapshotTable[[#This Row],[Equity Shares]] / 100),0) + SnapshotTable[[#This Row],[LC Qty]]</f>
        <v>0</v>
      </c>
      <c r="EK355" s="147"/>
      <c r="EL355" s="138" t="str">
        <f>IF(SnapshotTable[[#This Row],[SC Exp Date]]&lt;&gt;"",TRUNC(SnapshotTable[[#This Row],[Last Price]]),"")</f>
        <v/>
      </c>
      <c r="EM355" s="148"/>
      <c r="EN355" s="147"/>
      <c r="EO355" s="147"/>
      <c r="EP355" s="138"/>
      <c r="EQ355" s="419" t="b">
        <f>AND(ISNUMBER(SnapshotTable[[#This Row],[SC Exp Date]]), ISNUMBER(SnapshotTable[[#This Row],[SC Strike Price]]), ISNUMBER(SnapshotTable[[#This Row],[SC Qty]]), ISNUMBER(SnapshotTable[[#This Row],[SC Book Date]]), ISNUMBER(SnapshotTable[[#This Row],[SC Book Price]]))</f>
        <v>0</v>
      </c>
      <c r="ER355" s="419" t="b">
        <f>AND(SnapshotTable[[#This Row],[SC Is Booked]], NOT(ISBLANK(SnapshotTable[[#This Row],[SC Fill Date]])))</f>
        <v>0</v>
      </c>
      <c r="ES355" s="370"/>
      <c r="ET355" s="34" t="str">
        <f>IF(AND(ISNUMBER(SnapshotTable[[#This Row],[SC Exp Date]]), ISNUMBER(SnapshotTable[[#This Row],[SC Book Date]])), SnapshotTable[[#This Row],[SC Exp Date]] - MAX(SnapshotTable[[#This Row],[SC Book Date]], SnapshotTable[[#This Row],[SC Fill Date]]) + 1, "")</f>
        <v/>
      </c>
      <c r="EU355" s="34" t="str">
        <f>IF(ISNUMBER(SnapshotTable[[#This Row],[SC Term]]), SnapshotTable[[#This Row],[SC Exp Date]]- MockToday, "")</f>
        <v/>
      </c>
      <c r="EV355" s="31">
        <f>IF(SnapshotTable[[#This Row],[SC Is Booked]], SnapshotTable[[#This Row],[SC Qty]] * SnapshotTable[[#This Row],[SC Book Price]] * 100, 0)</f>
        <v>0</v>
      </c>
      <c r="EW355" s="4" t="str">
        <f>IF(AND(ISNUMBER(SnapshotTable[[#This Row],[Last Price]]), ISNUMBER( SnapshotTable[[#This Row],[SC Book Price]])), SnapshotTable[[#This Row],[Last Price]] - SnapshotTable[[#This Row],[SC Book Price]],"")</f>
        <v/>
      </c>
      <c r="EX355" s="234" t="str">
        <f>IF(SnapshotTable[[#This Row],[SC Is Booked]],IF(SnapshotTable[[#This Row],[SC Intrinsic Value]] &gt; 0, SnapshotTable[[#This Row],[SC Strike Price]], SnapshotTable[[#This Row],[Last Price]]), "")</f>
        <v/>
      </c>
      <c r="EY355" s="4">
        <f>IF(SnapshotTable[[#This Row],[SC Is Booked]], (MinimumPremiumRequired * SnapshotTable[[#This Row],[SC Basis]] * SnapshotTable[[#This Row],[SC Term]]), 0)</f>
        <v>0</v>
      </c>
      <c r="EZ355" s="283"/>
      <c r="FA355" s="218"/>
      <c r="FB355" s="370"/>
      <c r="FC355" s="4">
        <f>IF(SnapshotTable[[#This Row],[SC Is Filled]], btc_max_buyback_amount(SnapshotTable[[#This Row],[SC Fill Date]],SnapshotTable[[#This Row],[SC Exp Date]], SnapshotTable[[#This Row],[SC Book Price]]),0)</f>
        <v>0</v>
      </c>
      <c r="FD355" s="5"/>
      <c r="FE355" s="144" t="str">
        <f>IF(SnapshotTable[[#This Row],[SC Is Filled]], btc_next_cutoff_date(SnapshotTable[[#This Row],[SC Fill Date]],SnapshotTable[[#This Row],[SC Exp Date]]),"")</f>
        <v/>
      </c>
      <c r="FF355" s="4" t="str" cm="1">
        <f t="array" ref="FF355">IF(SnapshotTable[[#This Row],[SC Is Filled]], btc_should_buy_back(SnapshotTable[[#This Row],[SC Fill Date]], SnapshotTable[[#This Row],[SC Exp Date]], SnapshotTable[[#This Row],[SC Book Price]], SnapshotTable[[#This Row],[SC Current Ask]], MockToday, SnapshotTable[[#This Row],[SC Buyback Override]]),"")</f>
        <v/>
      </c>
      <c r="FG355" s="4">
        <f>IF(SnapshotTable[[#This Row],[SC Is Filled]], MAX(0,SnapshotTable[[#This Row],[Last Price]]  - SnapshotTable[[#This Row],[SC Strike Price]]), 0)</f>
        <v>0</v>
      </c>
      <c r="FH355" s="382">
        <f>IF(SnapshotTable[[#This Row],[SC Is Filled]], IF(ISNUMBER(SnapshotTable[[#This Row],[SC Current Ask]]), SnapshotTable[[#This Row],[SC Current Ask]], SnapshotTable[[#This Row],[SC Book Price]]) - SnapshotTable[[#This Row],[SC Intrinsic Value]], 0)</f>
        <v>0</v>
      </c>
      <c r="FI355" s="143"/>
      <c r="FJ355" s="32" t="str">
        <f>IF(SnapshotTable[[#This Row],[SC Is Filled]],100 * SnapshotTable[[#This Row],[SC Qty]] * IF(ISNUMBER(SnapshotTable[[#This Row],[SC Buyback Override]]), SnapshotTable[[#This Row],[SC Buyback Override]], SnapshotTable[[#This Row],[SC Current Ask]]), "")</f>
        <v/>
      </c>
      <c r="FK355" s="250" t="str">
        <f>IF(SnapshotTable[[#This Row],[SC Time Val]]&gt;0, SnapshotTable[[#This Row],[SC Time Val]] / SnapshotTable[[#This Row],[Last Price]],"")</f>
        <v/>
      </c>
      <c r="FL355" s="302" t="str">
        <f>IF(SnapshotTable[[#This Row],[SC Is Booked]], ((SnapshotTable[[#This Row],[Last Price]] -SnapshotTable[[#This Row],[SC Strike Price]]) / SnapshotTable[[#This Row],[Last Price]]) * -1, "")</f>
        <v/>
      </c>
      <c r="FM355" s="157" t="str">
        <f>IF(SnapshotTable[[#This Row],[SC Is Booked]],  (SnapshotTable[[#This Row],[SC Qty]] * 100 * SnapshotTable[[#This Row],[SC Strike Price]]) - SnapshotTable[[#This Row],[SC Current Ask]], "")</f>
        <v/>
      </c>
      <c r="FN355"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5" s="157" t="str">
        <f>IF(AND(ISNUMBER(SnapshotTable[[#This Row],[SC Exercise Gross]]), ISNUMBER(SnapshotTable[[#This Row],[Equity Basis Per Share]] )), SnapshotTable[[#This Row],[SC Exercise Gross]] - SnapshotTable[[#This Row],[Equity Basis Total]] +  SnapshotTable[[#This Row],[SC Premium]], "")</f>
        <v/>
      </c>
      <c r="FP355" s="5" t="str">
        <f>IF(ISNUMBER(SnapshotTable[[#This Row],[SC Exercise Gross]]), (SnapshotTable[[#This Row],[SC Exercise Gross]]) / (SnapshotTable[[#This Row],[SC Qty]] * 100), "")</f>
        <v/>
      </c>
      <c r="FQ355" s="27" t="str">
        <f>IF(SnapshotTable[[#This Row],[SC Is Booked]],SnapshotTable[[#This Row],[SC Time Val]] /SnapshotTable[[#This Row],[SC Basis]], "")</f>
        <v/>
      </c>
      <c r="FR355" s="27" t="str" cm="1">
        <f t="array" ref="FR355">IF(AND(ISNUMBER(SnapshotTable[[#This Row],[SC Term]]),ISNUMBER(SnapshotTable[[#This Row],[SC Simple ROO]])), EllmanAnnualize(SnapshotTable[[#This Row],[SC DTE]], SnapshotTable[[#This Row],[SC Simple ROO]] ),"")</f>
        <v/>
      </c>
      <c r="FS355" s="4" t="e">
        <f>IF(SnapshotTable[[#This Row],[SC Strike Price]] &gt; SnapshotTable[[#This Row],[Last Price]], SnapshotTable[[#This Row],[SC Strike Price]] - SnapshotTable[[#This Row],[Last Price]],0)</f>
        <v>#VALUE!</v>
      </c>
      <c r="FT355" s="27" t="e">
        <f>IF(AND(ISNUMBER(SnapshotTable[[#This Row],[SC Upside Potential]]), SnapshotTable[[#This Row],[SC Upside Potential]] &gt; 0),(SnapshotTable[[#This Row],[SC Upside Potential]]/ SnapshotTable[[#This Row],[ACB]]),"")</f>
        <v>#VALUE!</v>
      </c>
      <c r="FU355" s="333" t="str">
        <f>IF(SnapshotTable[[#This Row],[SC Intrinsic Value]] &gt; 0,SnapshotTable[[#This Row],[SC Intrinsic Value]],"")</f>
        <v/>
      </c>
      <c r="FV355" s="27" t="str">
        <f>IF(AND( ISNUMBER( SnapshotTable[[#This Row],[ACB]]),ISNUMBER(SnapshotTable[[#This Row],[SC Downside Protect]])),SnapshotTable[[#This Row],[SC Downside Protect]] / SnapshotTable[[#This Row],[ACB]],"")</f>
        <v/>
      </c>
      <c r="FW355" s="236" t="str">
        <f>IF(AND(ISNUMBER(SnapshotTable[[#This Row],[SC Simple ROO]]),SnapshotTable[[#This Row],[SC Simple ROO]] &gt; 0), SnapshotTable[[#This Row],[SC Premium]] + (SnapshotTable[[#This Row],[SC Qty]] * SnapshotTable[[#This Row],[SC Upside Potential]]), "")</f>
        <v/>
      </c>
      <c r="FX355" s="302" t="str" cm="1">
        <f t="array" ref="FX355">IF(ISNUMBER(SnapshotTable[[#This Row],[SC Max Dollars]]), annualize(SnapshotTable[[#This Row],[SC Term]],(SnapshotTable[[#This Row],[SC Max Dollars]]/SnapshotTable[[#This Row],[SC Basis]])),"")</f>
        <v/>
      </c>
      <c r="FY355" s="236" t="str">
        <f>IF(AND(SnapshotTable[[#This Row],[SC Qty]]&gt;0,SnapshotTable[[#This Row],[SC Current Ask]]&gt;0), SnapshotTable[[#This Row],[SC Qty]] * SnapshotTable[[#This Row],[SC Current Ask]] * -100, "")</f>
        <v/>
      </c>
      <c r="FZ355" s="235" t="str">
        <f>IF(ISNUMBER((SnapshotTable[[#This Row],[SC Current Value]])), SnapshotTable[[#This Row],[SC Premium]] + SnapshotTable[[#This Row],[SC Current Value]], "")</f>
        <v/>
      </c>
      <c r="GA355" s="294" t="str">
        <f>IFERROR( IF(ISNUMBER((SnapshotTable[[#This Row],[SC Current Value]])), SnapshotTable[[#This Row],[SC Gain Loss]] / SnapshotTable[[#This Row],[SC Premium]], ""), "")</f>
        <v/>
      </c>
      <c r="GB355" s="42">
        <f>SnapshotTable[[#This Row],[Equity Shares]] * SaleSharesToConsiderPercentage</f>
        <v>0</v>
      </c>
      <c r="GC355" s="40">
        <f>SnapshotTable[[#This Row],[Long Term Target]] * SellingPriceToConsiderBasedOnTargetPercentage</f>
        <v>24.224999999999998</v>
      </c>
      <c r="GD355" s="40">
        <f>SnapshotTable[[#This Row],[Last Price]] * (1+ SellingPriceToConsiderBasedOnTargetPercentage)</f>
        <v>5.4405000000000001</v>
      </c>
      <c r="GE355" s="41"/>
      <c r="GF355" s="40"/>
      <c r="GG355" s="31">
        <f>SnapshotTable[[#This Row],[Booked Sale Shares]] * SnapshotTable[[#This Row],[Booked Sale Price]]</f>
        <v>0</v>
      </c>
      <c r="GH355" s="31" t="str">
        <f>IF(SnapshotTable[[#This Row],[Equity Basis Total]] &gt; 0, SnapshotTable[[#This Row],[Equity Basis Per Share]] * SnapshotTable[[#This Row],[Booked Sale Shares]], "")</f>
        <v/>
      </c>
      <c r="GI355" s="31">
        <f>IF(SnapshotTable[[#This Row],[Sale Proceeds]]&gt;0, SnapshotTable[[#This Row],[Sale Proceeds]] - SnapshotTable[[#This Row],[Sale Basis]], 0)</f>
        <v>0</v>
      </c>
      <c r="GJ355" s="158" t="str">
        <f>IF(SnapshotTable[[#This Row],[Sale G/L]]&gt;0, SnapshotTable[[#This Row],[Sale G/L]] / SnapshotTable[[#This Row],[Sale Basis]], IF(ISNUMBER(SnapshotTable[[#This Row],[SC Exercise P&amp;L (TAX)]]), SnapshotTable[[#This Row],[SC Exercise P&amp;L (TAX)]] / SnapshotTable[[#This Row],[SC Basis]], ""))</f>
        <v/>
      </c>
      <c r="GK355" s="158"/>
      <c r="GL355" s="159" t="str">
        <f>IF(AND(SnapshotTable[[#This Row],[LP Exp Date]]&gt;0,SnapshotTable[[#This Row],[LP Strike Price]]&gt;0), [1]!ToOptionSymbol(SnapshotTable[[#This Row],[Symbol]], SnapshotTable[[#This Row],[LP Strike Price]],SnapshotTable[[#This Row],[LP Exp Date]],1), "")</f>
        <v/>
      </c>
      <c r="GM355" s="30" t="str">
        <f>IF(LEN(SnapshotTable[[#This Row],[LP Symbol]])&gt;0, 1, "")</f>
        <v/>
      </c>
      <c r="GN355" s="43" t="str">
        <f>IF(AND(SnapshotTable[[#This Row],[SP Exp Date]]&gt;0,SnapshotTable[[#This Row],[SP Strike Price]]&gt;0), [1]!ToOptionSymbol(SnapshotTable[[#This Row],[Symbol]], SnapshotTable[[#This Row],[SP Strike Price]],SnapshotTable[[#This Row],[SP Exp Date]],1), "")</f>
        <v/>
      </c>
      <c r="GO355" s="30" t="str">
        <f>IF(LEN(SnapshotTable[[#This Row],[SP Symbol]])&gt;0, 1, "")</f>
        <v/>
      </c>
      <c r="GP355" s="159" t="str">
        <f>IF(AND(SnapshotTable[[#This Row],[LC Exp Date]]&gt;0,SnapshotTable[[#This Row],[LC Strike Price]]&gt;0), [1]!ToOptionSymbol(SnapshotTable[[#This Row],[Symbol]], SnapshotTable[[#This Row],[LC Strike Price]],SnapshotTable[[#This Row],[LC Exp Date]],0), "")</f>
        <v/>
      </c>
      <c r="GQ355" s="160" t="str">
        <f>IF(LEN(SnapshotTable[[#This Row],[LC Symbol]])&gt;0, 1, "")</f>
        <v/>
      </c>
      <c r="GR355" s="159" t="str">
        <f>IF(AND(SnapshotTable[[#This Row],[SC Exp Date]]&gt;0,SnapshotTable[[#This Row],[SC Strike Price]]&gt;0), [1]!ToOptionSymbol(SnapshotTable[[#This Row],[Symbol]], SnapshotTable[[#This Row],[SC Strike Price]],SnapshotTable[[#This Row],[SC Exp Date]],0), "")</f>
        <v/>
      </c>
      <c r="GS355" s="160" t="str">
        <f>IF(LEN(SnapshotTable[[#This Row],[SC Symbol]])&gt;0, 1, "")</f>
        <v/>
      </c>
      <c r="GT355" s="161" t="str">
        <f>IF(COUNT(SnapshotTable[[#This Row],[LP Symbol Count]],SnapshotTable[[#This Row],[SP Symbol Count]],SnapshotTable[[#This Row],[LC Symbol Count]],SnapshotTable[[#This Row],[SC Symbol Count]])&gt;0, "Y", "")</f>
        <v/>
      </c>
      <c r="GU35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5" s="231" t="e">
        <f>MAX(SnapshotTable[[#This Row],[Equity Basis Total]],SnapshotTable[[#This Row],[Equity Value]]) + (SnapshotTable[[#This Row],[SP Potential Spend]]- SnapshotTable[[#This Row],[SP Premium]] + SnapshotTable[[#This Row],[LP Premium]])+ (SnapshotTable[[#This Row],[LC Premium]] - SnapshotTable[[#This Row],[SC Premium]])</f>
        <v>#VALUE!</v>
      </c>
      <c r="GW355" s="139" t="e">
        <f>IF(AND(SnapshotTable[[#This Row],[Exposure]] &lt;&gt; 0),SnapshotTable[[#This Row],[Exposure]] / SnapshotTable[[#Totals],[Exposure]], "")</f>
        <v>#VALUE!</v>
      </c>
      <c r="HK355" s="1"/>
      <c r="HL355" s="1"/>
      <c r="HM355" s="1"/>
      <c r="HN355" s="1"/>
      <c r="HO355" s="1"/>
      <c r="HP355" s="1"/>
    </row>
    <row r="356" spans="2:224" ht="12.75" hidden="1" customHeight="1" x14ac:dyDescent="0.25">
      <c r="B356" s="12" t="s">
        <v>190</v>
      </c>
      <c r="C356" s="422">
        <v>253.3</v>
      </c>
      <c r="D356" s="208" t="s">
        <v>850</v>
      </c>
      <c r="E356" s="39">
        <f>SnapshotTable[[#This Row],[Last Price]]*(1 -CrashDiscount)</f>
        <v>215.30500000000001</v>
      </c>
      <c r="F356" s="26" t="s">
        <v>941</v>
      </c>
      <c r="G356" s="26" t="s">
        <v>49</v>
      </c>
      <c r="H356" s="149"/>
      <c r="I356" s="194">
        <v>44771.322916666664</v>
      </c>
      <c r="J356" s="195">
        <v>44771.322916666664</v>
      </c>
      <c r="K356" s="196"/>
      <c r="L356" s="326"/>
      <c r="M356" s="140">
        <v>1</v>
      </c>
      <c r="N356" s="140" t="b">
        <v>1</v>
      </c>
      <c r="O356" s="140"/>
      <c r="P356" s="22"/>
      <c r="Q356" s="25"/>
      <c r="R356" s="4" t="str">
        <f>IF(SnapshotTable[[#This Row],[Equity Basis Total]] &gt; 0, SnapshotTable[[#This Row],[Equity Basis Total]] / SnapshotTable[[#This Row],[Equity Shares]], "")</f>
        <v/>
      </c>
      <c r="S356" s="269">
        <f>SnapshotTable[[#This Row],[Last Price]] * SnapshotTable[[#This Row],[Equity Shares]]</f>
        <v>0</v>
      </c>
      <c r="T356" s="269">
        <f>SnapshotTable[[#This Row],[Equity Value]] - SnapshotTable[[#This Row],[Equity Basis Total]]</f>
        <v>0</v>
      </c>
      <c r="U356" s="270" t="str">
        <f>IF(SnapshotTable[[#This Row],[Equity Basis Total]] &gt; 0, SnapshotTable[[#This Row],[Equity G/L]] / SnapshotTable[[#This Row],[Equity Basis Total]], "")</f>
        <v/>
      </c>
      <c r="V356" s="268"/>
      <c r="W356" s="268"/>
      <c r="X356" s="4" t="str">
        <f>IF(AND(ISNUMBER(SnapshotTable[[#This Row],[Equity Basis Per Share]]),ISNUMBER(SnapshotTable[[#This Row],[Equity Target]])),SnapshotTable[[#This Row],[Equity Target]]-SnapshotTable[[#This Row],[Equity Basis Per Share]],"")</f>
        <v/>
      </c>
      <c r="Y356" s="4" t="str">
        <f>IF(AND(ISNUMBER(SnapshotTable[[#This Row],[Equity Basis Per Share]]),ISNUMBER(SnapshotTable[[#This Row],[Equity Stop Loss]])),SnapshotTable[[#This Row],[Equity Stop Loss]]-SnapshotTable[[#This Row],[Equity Basis Per Share]],"")</f>
        <v/>
      </c>
      <c r="Z356" s="275" t="str">
        <f>IFERROR( TEXT(SnapshotTable[[#This Row],[Equity Max Gain Per Share]] /ABS( SnapshotTable[[#This Row],[Equity Max Loss Per Share]]),"0.0 " ) &amp; " : 1", "")</f>
        <v/>
      </c>
      <c r="AA356" s="31" t="str">
        <f>IF(ISNUMBER(SnapshotTable[[#This Row],[Equity Max Gain Per Share]]),SnapshotTable[[#This Row],[Equity Max Gain Per Share]] * SnapshotTable[[#This Row],[Equity Shares]],"")</f>
        <v/>
      </c>
      <c r="AB356" s="31" t="str">
        <f>IF(ISNUMBER(SnapshotTable[[#This Row],[Equity Max Loss Per Share]]),SnapshotTable[[#This Row],[Equity Max Loss Per Share]] * SnapshotTable[[#This Row],[Equity Shares]],"")</f>
        <v/>
      </c>
      <c r="AC356" s="150">
        <v>5.2</v>
      </c>
      <c r="AD356" s="151">
        <v>44424</v>
      </c>
      <c r="AE356" s="31">
        <f>(SnapshotTable[[#This Row],[Annual Dividend Per Share]] / 4) * SnapshotTable[[#This Row],[Equity Shares]]</f>
        <v>0</v>
      </c>
      <c r="AF356" s="31">
        <f>SnapshotTable[[#This Row],[Quarterly Div $]] * 4</f>
        <v>0</v>
      </c>
      <c r="AG356" s="7">
        <f>IF(SnapshotTable[[#This Row],[Annual Dividend Per Share]]&gt;0, SnapshotTable[[#This Row],[Annual Dividend Per Share]]  / SnapshotTable[[#This Row],[Last Price]], 0)</f>
        <v>2.0529016975917885E-2</v>
      </c>
      <c r="AH356" s="151">
        <v>44391</v>
      </c>
      <c r="AI356" s="5">
        <f>SnapshotTable[[#This Row],[Equity Target]]</f>
        <v>0</v>
      </c>
      <c r="AJ356" s="138">
        <v>167.88</v>
      </c>
      <c r="AK356" s="152">
        <f>IF(ISNUMBER( SnapshotTable[[#This Row],[EBF Target]]),(SnapshotTable[[#This Row],[EBF Target]] - SnapshotTable[[#This Row],[Last Price]]) / SnapshotTable[[#This Row],[Last Price]], "")</f>
        <v>-1</v>
      </c>
      <c r="AL356" s="152" t="str">
        <f>IF(AND(SnapshotTable[[#This Row],[Equity Basis Total]] &gt; 0,ISNUMBER( SnapshotTable[[#This Row],[Long Term Target]])), SnapshotTable[[#This Row],[From Basis $]] / SnapshotTable[[#This Row],[Equity Basis Total]], "")</f>
        <v/>
      </c>
      <c r="AM356" s="9">
        <f>IF( AND(SnapshotTable[[#This Row],[Equity Shares]] &gt;0,ISNUMBER( SnapshotTable[[#This Row],[Long Term Target]])),(SnapshotTable[[#This Row],[Equity Shares]] * SnapshotTable[[#This Row],[Long Term Target]]) - SnapshotTable[[#This Row],[Equity Basis Total]],0)</f>
        <v>0</v>
      </c>
      <c r="AN356" s="9">
        <f>IF( AND(SnapshotTable[[#This Row],[Equity Shares]] &gt;0,ISNUMBER( SnapshotTable[[#This Row],[Long Term Target]])),(SnapshotTable[[#This Row],[Equity Shares]]*SnapshotTable[[#This Row],[Long Term Target]]) - SnapshotTable[[#This Row],[Equity Value]],0)</f>
        <v>0</v>
      </c>
      <c r="AO356" s="152">
        <f>IF(AND(ISNUMBER( SnapshotTable[[#This Row],[Long Term Target]]), ISNUMBER(SnapshotTable[[#This Row],[Last Price]])),(SnapshotTable[[#This Row],[Long Term Target]] - SnapshotTable[[#This Row],[Last Price]]) / SnapshotTable[[#This Row],[Last Price]], "")</f>
        <v>-0.33722858270825112</v>
      </c>
      <c r="AP356" s="5"/>
      <c r="AQ356" s="38"/>
      <c r="AR356" s="5"/>
      <c r="AS356" s="38"/>
      <c r="AT356" s="146"/>
      <c r="AU356" s="187" t="str">
        <f>IF(OR(SnapshotTable[[#This Row],[LP No Fill]]="Y",SnapshotTable[[#This Row],[SP Is Filled]],SnapshotTable[[#This Row],[LC Not Filled]]="Y",SnapshotTable[[#This Row],[SC Is Filled]]),"Y","")</f>
        <v/>
      </c>
      <c r="AV356" s="219" t="s">
        <v>1006</v>
      </c>
      <c r="AW356" s="225"/>
      <c r="AX356" s="220"/>
      <c r="AY356" s="219" t="str">
        <f>IF(SnapshotTable[[#This Row],[Implied Move]]&gt;0, SnapshotTable[[#This Row],[Last Price]]-SnapshotTable[[#This Row],[Implied Move]],"")</f>
        <v/>
      </c>
      <c r="AZ356" s="219" t="str">
        <f>IF(SnapshotTable[[#This Row],[Implied Move]]&gt;0, SnapshotTable[[#This Row],[Last Price]] + SnapshotTable[[#This Row],[Implied Move]],"")</f>
        <v/>
      </c>
      <c r="BA356" s="331">
        <v>74.31</v>
      </c>
      <c r="BB356" s="347"/>
      <c r="BC35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6" s="351"/>
      <c r="BE356" s="5"/>
      <c r="BF356" s="14"/>
      <c r="BG356" s="13"/>
      <c r="BH356" s="13"/>
      <c r="BI356" s="5"/>
      <c r="BJ356" s="136">
        <f>IF(SnapshotTable[[#This Row],[LP Qty]] &gt; 0, SnapshotTable[[#This Row],[LP Qty]] * SnapshotTable[[#This Row],[LP Book Price]] * 100,0)</f>
        <v>0</v>
      </c>
      <c r="BK356" s="136">
        <f>IF(SnapshotTable[[#This Row],[LP Premium]] &gt; 0, SnapshotTable[[#This Row],[LP Qty]] * SnapshotTable[[#This Row],[LP Strike Price]] * 100,0)</f>
        <v>0</v>
      </c>
      <c r="BL356" s="154"/>
      <c r="BM356" s="385" t="str">
        <f>IF(SnapshotTable[[#This Row],[LP Premium]] &gt; 0,SnapshotTable[[#This Row],[LP Exp Date]]-MAX(SnapshotTable[[#This Row],[LP Book Date]], SnapshotTable[[#This Row],[LP Fill Date]]),"")</f>
        <v/>
      </c>
      <c r="BN356" s="385" t="str">
        <f>IF(ISNUMBER( SnapshotTable[[#This Row],[LP Term]]), SnapshotTable[[#This Row],[LP Exp Date]] - MockToday,"")</f>
        <v/>
      </c>
      <c r="BO356" s="163" t="str">
        <f>IF(AND(SnapshotTable[[#This Row],[LP Exp Date]]&gt;0, SnapshotTable[[#This Row],[LP Strike Price]]&gt;0,SnapshotTable[[#This Row],[LP Qty]]&gt;0,SnapshotTable[[#This Row],[LP Book Date]]&gt;0,SnapshotTable[[#This Row],[LP Book Price]]&gt;0,SnapshotTable[[#This Row],[LP Fill Date]]=0),"Y","")</f>
        <v/>
      </c>
      <c r="BP356" s="31" t="str">
        <f>IF(AND(SnapshotTable[[#This Row],[LP No Fill]]&lt;&gt;"Y",SnapshotTable[[#This Row],[LP Contract Value]]&gt;0, SnapshotTable[[#This Row],[LP Qty]]&gt;0), SnapshotTable[[#This Row],[LP Contract Value]]*SnapshotTable[[#This Row],[LP Qty]]*100,"")</f>
        <v/>
      </c>
      <c r="BQ356" s="13"/>
      <c r="BR356" s="5" t="str">
        <f>IF(SnapshotTable[[#This Row],[SP Exp Date]]&lt;&gt;"",TRUNC(SnapshotTable[[#This Row],[Last Price]]),"")</f>
        <v/>
      </c>
      <c r="BS356" s="36"/>
      <c r="BT356" s="147"/>
      <c r="BU356" s="13"/>
      <c r="BV356" s="5"/>
      <c r="BW356" s="419" t="b">
        <f>AND(ISNUMBER(SnapshotTable[[#This Row],[SP Exp Date]]), ISNUMBER(SnapshotTable[[#This Row],[SP Strike Price]]), ISNUMBER(SnapshotTable[[#This Row],[SP Qty]]), ISNUMBER(SnapshotTable[[#This Row],[SP Book Date]]), ISNUMBER(SnapshotTable[[#This Row],[SP Book Price]]))</f>
        <v>0</v>
      </c>
      <c r="BX356" s="419" t="b">
        <f>AND(SnapshotTable[[#This Row],[SP Is Booked]], NOT(ISBLANK(SnapshotTable[[#This Row],[SP Fill Date]])))</f>
        <v>0</v>
      </c>
      <c r="BY356" s="33">
        <f>IF(SnapshotTable[[#This Row],[SP Is Booked]], SnapshotTable[[#This Row],[SP Qty]] * SnapshotTable[[#This Row],[SP Book Price]] * 100, 0)</f>
        <v>0</v>
      </c>
      <c r="BZ356" s="369"/>
      <c r="CA356" s="368">
        <f>SnapshotTable[[#This Row],[LP Qty]]</f>
        <v>0</v>
      </c>
      <c r="CB356" s="4" t="str">
        <f>IF(SnapshotTable[[#This Row],[SP Is Booked]], SnapshotTable[[#This Row],[SP Strike Price]] - SnapshotTable[[#This Row],[SP Book Price]], "")</f>
        <v/>
      </c>
      <c r="CC356" s="19" t="str">
        <f>IF(SnapshotTable[[#This Row],[SP Is Booked]],SnapshotTable[[#This Row],[SP Exp Date]]-MAX(SnapshotTable[[#This Row],[SP Book Date]], SnapshotTable[[#This Row],[SP Fill Date]]),"")</f>
        <v/>
      </c>
      <c r="CD356" s="7" t="str">
        <f>IF(SnapshotTable[[#This Row],[SP Is Booked]], SnapshotTable[[#This Row],[SP Book Price]]/SnapshotTable[[#This Row],[SP Strike Price]], "")</f>
        <v/>
      </c>
      <c r="CE356" s="7" t="str">
        <f>IF(ISNUMBER(SnapshotTable[[#This Row],[SP ROO Term]]),SnapshotTable[[#This Row],[SP ROO Term]]*(365/SnapshotTable[[#This Row],[SP Term]]),"")</f>
        <v/>
      </c>
      <c r="CF356" s="236">
        <f>SnapshotTable[[#This Row],[LP Strike Price]] * SnapshotTable[[#This Row],[LP Qty]] * 100</f>
        <v>0</v>
      </c>
      <c r="CG356" s="31" t="e">
        <f>IF(ISNUMBER(SnapshotTable[[#This Row],[SP Premium]]), (SnapshotTable[[#This Row],[SP Qty]] * SnapshotTable[[#This Row],[SP Strike Price]]* 100) - SnapshotTable[[#This Row],[LP Protection]], 0)</f>
        <v>#VALUE!</v>
      </c>
      <c r="CH356" s="7" t="str">
        <f>IF(ISNUMBER(SnapshotTable[[#This Row],[SP Break Even]]),-1 * (SnapshotTable[[#This Row],[SP Break Even]] - SnapshotTable[[#This Row],[Last Price]]) / SnapshotTable[[#This Row],[Last Price]], "")</f>
        <v/>
      </c>
      <c r="CI356" s="31">
        <f>IF(AND(ISNUMBER((SnapshotTable[[#This Row],[SP Potential Spend]])), SnapshotTable[[#This Row],[SP Strike Price]] &gt; SnapshotTable[[#This Row],[Last Price]], SnapshotTable[[#This Row],[SP Is Filled]]), SnapshotTable[[#This Row],[SP Potential Spend]] -  SnapshotTable[[#This Row],[LP Max Value]], 0)</f>
        <v>0</v>
      </c>
      <c r="CJ356" s="244"/>
      <c r="CK356" s="31" t="str">
        <f>IF(ISNUMBER(SnapshotTable[[#This Row],[SP Potential Spend]]),IF(ISNUMBER(SnapshotTable[[#This Row],[SP POW]]), SnapshotTable[[#This Row],[SP POW]] * SnapshotTable[[#This Row],[SP Potential Spend]], SnapshotTable[[#This Row],[SP Potential Spend]]), "")</f>
        <v/>
      </c>
      <c r="CL356" s="164" t="e">
        <f>IF(NOT(SnapshotTable[[#This Row],[SP Is Filled]]),(SnapshotTable[[#This Row],[SP Qty]] * SnapshotTable[[#This Row],[SP Strike Price]] * 100) - SnapshotTable[[#This Row],[LP Max Value]],"")</f>
        <v>#VALUE!</v>
      </c>
      <c r="CM356" s="31" t="str">
        <f>IF(SnapshotTable[[#This Row],[SP Actual Spend]]&lt;&gt;0, ((SnapshotTable[[#This Row],[SP Strike Price]]-SnapshotTable[[#This Row],[Last Price]]) *(SnapshotTable[[#This Row],[SP Qty]]*100) - SnapshotTable[[#This Row],[SP Premium]]) * - 1, "")</f>
        <v/>
      </c>
      <c r="CN356" s="154"/>
      <c r="CO356" s="369"/>
      <c r="CP356" s="4" t="str">
        <f>IF(SnapshotTable[[#This Row],[SP Is Filled]], btc_max_buyback_amount(SnapshotTable[[#This Row],[SP Fill Date]],SnapshotTable[[#This Row],[SP Exp Date]], SnapshotTable[[#This Row],[SP Book Price]]),"")</f>
        <v/>
      </c>
      <c r="CQ356" s="78"/>
      <c r="CR35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6" s="155" t="str">
        <f>IF(SnapshotTable[[#This Row],[SP Is Filled]], btc_next_cutoff_date(SnapshotTable[[#This Row],[SP Fill Date]],SnapshotTable[[#This Row],[SP Exp Date]]),"")</f>
        <v/>
      </c>
      <c r="CT356" s="235" t="str" cm="1">
        <f t="array" ref="CT356">IF(SnapshotTable[[#This Row],[SP Is Filled]], btc_should_buy_back(SnapshotTable[[#This Row],[SP Fill Date]], SnapshotTable[[#This Row],[SP Exp Date]], SnapshotTable[[#This Row],[SP Book Price]], SnapshotTable[[#This Row],[SP Current Ask]], MockToday, SnapshotTable[[#This Row],[SP Buyback Override]]),"")</f>
        <v/>
      </c>
      <c r="CU356" s="143"/>
      <c r="CV356" s="235"/>
      <c r="CW356" s="378" t="str">
        <f>IF(ISNUMBER( SnapshotTable[[#This Row],[SP Term]]), SnapshotTable[[#This Row],[SP Exp Date]] - MockToday,"")</f>
        <v/>
      </c>
      <c r="CX356" s="31" t="str">
        <f>IF(SnapshotTable[[#This Row],[SP Is Filled]],SnapshotTable[[#This Row],[SP Buyback Price to Use]] * 100 * SnapshotTable[[#This Row],[SP Qty]], "")</f>
        <v/>
      </c>
      <c r="CY356" s="4" t="str">
        <f>IF(ISNUMBER(SnapshotTable[[#This Row],[SP Strike Price]]), SnapshotTable[[#This Row],[SP Strike Price]] * (1 - SP_MaxLoss_StrikePct), "")</f>
        <v/>
      </c>
      <c r="CZ356" s="31" t="str">
        <f>IF(ISNUMBER(SnapshotTable[[#This Row],[SP Strike  Stop Per Share]]),SnapshotTable[[#This Row],[SP Premium]] - ((SnapshotTable[[#This Row],[SP Strike Price]]-SnapshotTable[[#This Row],[SP Strike  Stop Per Share]]) *(SnapshotTable[[#This Row],[SP Qty]] * 100)),"")</f>
        <v/>
      </c>
      <c r="DA356" s="4" t="str">
        <f>IF(AND(ISNUMBER(SnapshotTable[[#This Row],[SP Premium]]),SnapshotTable[[#This Row],[SP Premium]]&gt;0), SnapshotTable[[#This Row],[SP Book Price]] * (1 + SP_MaxLoss_OptionPct), "")</f>
        <v/>
      </c>
      <c r="DB356" s="31" t="str">
        <f>IF(ISNUMBER(SnapshotTable[[#This Row],[SP Option  Stop Contract]]),(SnapshotTable[[#This Row],[SP Option  Stop Contract]] *(SnapshotTable[[#This Row],[SP Qty]] * 100) - SnapshotTable[[#This Row],[SP Premium]]),"")</f>
        <v/>
      </c>
      <c r="DC356" s="4"/>
      <c r="DD356" s="4"/>
      <c r="DE356" s="4" t="str">
        <f>IF(AND(SnapshotTable[[#This Row],[SP Qty]]&gt;0, SnapshotTable[[#This Row],[SP Stop To Use]]&gt;0),SnapshotTable[[#This Row],[SP Premium]] - ( SnapshotTable[[#This Row],[SP Qty]] * SnapshotTable[[#This Row],[SP Stop To Use]] * 100), "")</f>
        <v/>
      </c>
      <c r="DF356" s="31" t="str">
        <f>IF(AND(SnapshotTable[[#This Row],[SP Qty]]&gt;0,SnapshotTable[[#This Row],[SP Current Ask]]&gt;0), SnapshotTable[[#This Row],[SP Qty]] * SnapshotTable[[#This Row],[SP Current Ask]] * -100, "")</f>
        <v/>
      </c>
      <c r="DG356" s="31" t="str">
        <f>IF(ISNUMBER((SnapshotTable[[#This Row],[SP Total Value]])), SnapshotTable[[#This Row],[SP Premium]] + SnapshotTable[[#This Row],[SP Total Value]], "")</f>
        <v/>
      </c>
      <c r="DH356" s="294" t="str">
        <f>IF(ISNUMBER((SnapshotTable[[#This Row],[SP Total Value]])), SnapshotTable[[#This Row],[SP Gain Loss]] / SnapshotTable[[#This Row],[SP Premium]], "")</f>
        <v/>
      </c>
      <c r="DI356" s="406"/>
      <c r="DJ356" s="138"/>
      <c r="DK356" s="148"/>
      <c r="DL356" s="13"/>
      <c r="DM356" s="13"/>
      <c r="DO356" s="31">
        <f>IF(SnapshotTable[[#This Row],[LC Symbol Count]]=1, SnapshotTable[[#This Row],[LC Qty]] * SnapshotTable[[#This Row],[LC Book Price]] * 100, 0)</f>
        <v>0</v>
      </c>
      <c r="DP356" s="163" t="str">
        <f>IF(AND(SnapshotTable[[#This Row],[LC Exp Date]]&gt;0, SnapshotTable[[#This Row],[LC Strike Price]]&gt;0,SnapshotTable[[#This Row],[LC Qty]]&gt;0,SnapshotTable[[#This Row],[LC Book Date]]&gt;0,SnapshotTable[[#This Row],[LC Book Price]]&gt;0,SnapshotTable[[#This Row],[LC Fill Date]]=0),"Y","")</f>
        <v/>
      </c>
      <c r="DQ356" s="386" t="str">
        <f>IF(SnapshotTable[[#This Row],[LC Premium]] &gt; 0,SnapshotTable[[#This Row],[LC Exp Date]]-MAX(SnapshotTable[[#This Row],[LC Book Date]], SnapshotTable[[#This Row],[LC Fill Date]]),"")</f>
        <v/>
      </c>
      <c r="DR356" s="386" t="str">
        <f>IF(ISNUMBER(SnapshotTable[[#This Row],[LC Term]]), SnapshotTable[[#This Row],[LC Exp Date]] - MockToday, "")</f>
        <v/>
      </c>
      <c r="DS356" s="234" t="str">
        <f>IF(SnapshotTable[[#This Row],[LC Premium]]&gt;0,SnapshotTable[[#This Row],[LC Strike Price]] + SnapshotTable[[#This Row],[LC Book Price]],"")</f>
        <v/>
      </c>
      <c r="DU356" s="9" t="str">
        <f>IF(AND(SnapshotTable[[#This Row],[LC Symbol Count]]&gt;0, SnapshotTable[[#This Row],[LC Contract Value]]&gt;0), SnapshotTable[[#This Row],[LC Contract Value]] * SnapshotTable[[#This Row],[LC Qty]] * 100, "")</f>
        <v/>
      </c>
      <c r="DV356" s="9" t="str">
        <f>IF(AND(ISNUMBER(SnapshotTable[[#This Row],[LC Total Value]]), SnapshotTable[[#This Row],[LC Not Filled]]&lt;&gt;"Y"), SnapshotTable[[#This Row],[LC Total Value]]-SnapshotTable[[#This Row],[LC Premium]],"")</f>
        <v/>
      </c>
      <c r="DW356" s="240" t="str">
        <f>IF(ISNUMBER(SnapshotTable[[#This Row],[LC Actual Gain Loss]]), SnapshotTable[[#This Row],[LC Actual Gain Loss]] / SnapshotTable[[#This Row],[LC Premium]],"")</f>
        <v/>
      </c>
      <c r="DX356" s="284" t="str">
        <f>IF(ISNUMBER(SnapshotTable[[#This Row],[LC Book Price]]),SnapshotTable[[#This Row],[LC Book Price]] * 1.5,"")</f>
        <v/>
      </c>
      <c r="DY356" s="265" t="str">
        <f>IF(SnapshotTable[[#This Row],[LC Premium]]&gt;0, SnapshotTable[[#This Row],[LC Next Target]] * SnapshotTable[[#This Row],[LC Qty]] * 100,"")</f>
        <v/>
      </c>
      <c r="DZ356" s="265" t="str">
        <f>IF(ISNUMBER(SnapshotTable[[#This Row],[LC Target Gross]]), SnapshotTable[[#This Row],[LC Target Gross]] - SnapshotTable[[#This Row],[LC Premium]], "")</f>
        <v/>
      </c>
      <c r="EA356" s="305" t="str">
        <f>IF(ISNUMBER(SnapshotTable[[#This Row],[LC Target Gain Loss]]), SnapshotTable[[#This Row],[LC Target Gain Loss]]/SnapshotTable[[#This Row],[LC Premium]], "")</f>
        <v/>
      </c>
      <c r="EB356" s="262"/>
      <c r="EC356" s="283" t="str">
        <f>IF(SnapshotTable[[#This Row],[LC Premium]]&gt;0, SnapshotTable[[#This Row],[LC Book Price]] * (1 - LC_StopLoss_Pct),"")</f>
        <v/>
      </c>
      <c r="ED356" s="284"/>
      <c r="EE356" s="283" t="str">
        <f>IF(ISNUMBER(SnapshotTable[[#This Row],[LC Contract Value]]),IF(ISNUMBER(SnapshotTable[[#This Row],[LC Stop Loss Override]]), SnapshotTable[[#This Row],[LC Stop Loss Override]],SnapshotTable[[#This Row],[LC Stop Loss Calc Target]]),"")</f>
        <v/>
      </c>
      <c r="EF356" s="31" t="str">
        <f>IF(ISNUMBER(SnapshotTable[[#This Row],[LC Stop  To Use]]), (SnapshotTable[[#This Row],[LC Stop  To Use]] * SnapshotTable[[#This Row],[LC Qty]] * 100),"")</f>
        <v/>
      </c>
      <c r="EG356" s="9" t="str">
        <f>IF(ISNUMBER(SnapshotTable[[#This Row],[LC Total Value]]),SnapshotTable[[#This Row],[LC Stop Loss Amount]] - SnapshotTable[[#This Row],[LC Premium]],"")</f>
        <v/>
      </c>
      <c r="EH356" s="9">
        <f>IF(ISNUMBER(SnapshotTable[[#This Row],[LC Premium]]), SnapshotTable[[#This Row],[LC Qty]] * 100 * SnapshotTable[[#This Row],[LC Strike Price]], "")</f>
        <v>0</v>
      </c>
      <c r="EI356" s="240" t="str">
        <f>IF(AND(ISNUMBER(SnapshotTable[[#This Row],[LC Total Value]]),SnapshotTable[[#This Row],[LC Total Value]]&gt;0),SnapshotTable[[#This Row],[LC Stop Gain Loss]]  / SnapshotTable[[#This Row],[LC Premium]],"")</f>
        <v/>
      </c>
      <c r="EJ356" s="35">
        <f>IF(ISNUMBER(SnapshotTable[[#This Row],[Equity Shares]]),TRUNC(SnapshotTable[[#This Row],[Equity Shares]] / 100),0) + SnapshotTable[[#This Row],[LC Qty]]</f>
        <v>0</v>
      </c>
      <c r="EK356" s="147"/>
      <c r="EL356" s="138" t="str">
        <f>IF(SnapshotTable[[#This Row],[SC Exp Date]]&lt;&gt;"",TRUNC(SnapshotTable[[#This Row],[Last Price]]),"")</f>
        <v/>
      </c>
      <c r="EM356" s="148"/>
      <c r="EN356" s="147"/>
      <c r="EO356" s="147"/>
      <c r="EP356" s="138"/>
      <c r="EQ356" s="419" t="b">
        <f>AND(ISNUMBER(SnapshotTable[[#This Row],[SC Exp Date]]), ISNUMBER(SnapshotTable[[#This Row],[SC Strike Price]]), ISNUMBER(SnapshotTable[[#This Row],[SC Qty]]), ISNUMBER(SnapshotTable[[#This Row],[SC Book Date]]), ISNUMBER(SnapshotTable[[#This Row],[SC Book Price]]))</f>
        <v>0</v>
      </c>
      <c r="ER356" s="419" t="b">
        <f>AND(SnapshotTable[[#This Row],[SC Is Booked]], NOT(ISBLANK(SnapshotTable[[#This Row],[SC Fill Date]])))</f>
        <v>0</v>
      </c>
      <c r="ES356" s="370"/>
      <c r="ET356" s="34" t="str">
        <f>IF(AND(ISNUMBER(SnapshotTable[[#This Row],[SC Exp Date]]), ISNUMBER(SnapshotTable[[#This Row],[SC Book Date]])), SnapshotTable[[#This Row],[SC Exp Date]] - MAX(SnapshotTable[[#This Row],[SC Book Date]], SnapshotTable[[#This Row],[SC Fill Date]]) + 1, "")</f>
        <v/>
      </c>
      <c r="EU356" s="34" t="str">
        <f>IF(ISNUMBER(SnapshotTable[[#This Row],[SC Term]]), SnapshotTable[[#This Row],[SC Exp Date]]- MockToday, "")</f>
        <v/>
      </c>
      <c r="EV356" s="31">
        <f>IF(SnapshotTable[[#This Row],[SC Is Booked]], SnapshotTable[[#This Row],[SC Qty]] * SnapshotTable[[#This Row],[SC Book Price]] * 100, 0)</f>
        <v>0</v>
      </c>
      <c r="EW356" s="4" t="str">
        <f>IF(AND(ISNUMBER(SnapshotTable[[#This Row],[Last Price]]), ISNUMBER( SnapshotTable[[#This Row],[SC Book Price]])), SnapshotTable[[#This Row],[Last Price]] - SnapshotTable[[#This Row],[SC Book Price]],"")</f>
        <v/>
      </c>
      <c r="EX356" s="234" t="str">
        <f>IF(SnapshotTable[[#This Row],[SC Is Booked]],IF(SnapshotTable[[#This Row],[SC Intrinsic Value]] &gt; 0, SnapshotTable[[#This Row],[SC Strike Price]], SnapshotTable[[#This Row],[Last Price]]), "")</f>
        <v/>
      </c>
      <c r="EY356" s="4">
        <f>IF(SnapshotTable[[#This Row],[SC Is Booked]], (MinimumPremiumRequired * SnapshotTable[[#This Row],[SC Basis]] * SnapshotTable[[#This Row],[SC Term]]), 0)</f>
        <v>0</v>
      </c>
      <c r="EZ356" s="283"/>
      <c r="FA356" s="218"/>
      <c r="FB356" s="370"/>
      <c r="FC356" s="4">
        <f>IF(SnapshotTable[[#This Row],[SC Is Filled]], btc_max_buyback_amount(SnapshotTable[[#This Row],[SC Fill Date]],SnapshotTable[[#This Row],[SC Exp Date]], SnapshotTable[[#This Row],[SC Book Price]]),0)</f>
        <v>0</v>
      </c>
      <c r="FD356" s="5"/>
      <c r="FE356" s="144" t="str">
        <f>IF(SnapshotTable[[#This Row],[SC Is Filled]], btc_next_cutoff_date(SnapshotTable[[#This Row],[SC Fill Date]],SnapshotTable[[#This Row],[SC Exp Date]]),"")</f>
        <v/>
      </c>
      <c r="FF356" s="4" t="str" cm="1">
        <f t="array" ref="FF356">IF(SnapshotTable[[#This Row],[SC Is Filled]], btc_should_buy_back(SnapshotTable[[#This Row],[SC Fill Date]], SnapshotTable[[#This Row],[SC Exp Date]], SnapshotTable[[#This Row],[SC Book Price]], SnapshotTable[[#This Row],[SC Current Ask]], MockToday, SnapshotTable[[#This Row],[SC Buyback Override]]),"")</f>
        <v/>
      </c>
      <c r="FG356" s="4">
        <f>IF(SnapshotTable[[#This Row],[SC Is Filled]], MAX(0,SnapshotTable[[#This Row],[Last Price]]  - SnapshotTable[[#This Row],[SC Strike Price]]), 0)</f>
        <v>0</v>
      </c>
      <c r="FH356" s="382">
        <f>IF(SnapshotTable[[#This Row],[SC Is Filled]], IF(ISNUMBER(SnapshotTable[[#This Row],[SC Current Ask]]), SnapshotTable[[#This Row],[SC Current Ask]], SnapshotTable[[#This Row],[SC Book Price]]) - SnapshotTable[[#This Row],[SC Intrinsic Value]], 0)</f>
        <v>0</v>
      </c>
      <c r="FI356" s="143"/>
      <c r="FJ356" s="32" t="str">
        <f>IF(SnapshotTable[[#This Row],[SC Is Filled]],100 * SnapshotTable[[#This Row],[SC Qty]] * IF(ISNUMBER(SnapshotTable[[#This Row],[SC Buyback Override]]), SnapshotTable[[#This Row],[SC Buyback Override]], SnapshotTable[[#This Row],[SC Current Ask]]), "")</f>
        <v/>
      </c>
      <c r="FK356" s="250" t="str">
        <f>IF(SnapshotTable[[#This Row],[SC Time Val]]&gt;0, SnapshotTable[[#This Row],[SC Time Val]] / SnapshotTable[[#This Row],[Last Price]],"")</f>
        <v/>
      </c>
      <c r="FL356" s="302" t="str">
        <f>IF(SnapshotTable[[#This Row],[SC Is Booked]], ((SnapshotTable[[#This Row],[Last Price]] -SnapshotTable[[#This Row],[SC Strike Price]]) / SnapshotTable[[#This Row],[Last Price]]) * -1, "")</f>
        <v/>
      </c>
      <c r="FM356" s="157" t="str">
        <f>IF(SnapshotTable[[#This Row],[SC Is Booked]],  (SnapshotTable[[#This Row],[SC Qty]] * 100 * SnapshotTable[[#This Row],[SC Strike Price]]) - SnapshotTable[[#This Row],[SC Current Ask]], "")</f>
        <v/>
      </c>
      <c r="FN35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6" s="31" t="str">
        <f>IF(AND(ISNUMBER(SnapshotTable[[#This Row],[SC Exercise Gross]]), ISNUMBER(SnapshotTable[[#This Row],[Equity Basis Per Share]] )), SnapshotTable[[#This Row],[SC Exercise Gross]] - SnapshotTable[[#This Row],[Equity Basis Total]] +  SnapshotTable[[#This Row],[SC Premium]], "")</f>
        <v/>
      </c>
      <c r="FP356" s="5" t="str">
        <f>IF(ISNUMBER(SnapshotTable[[#This Row],[SC Exercise Gross]]), (SnapshotTable[[#This Row],[SC Exercise Gross]]) / (SnapshotTable[[#This Row],[SC Qty]] * 100), "")</f>
        <v/>
      </c>
      <c r="FQ356" s="27" t="str">
        <f>IF(SnapshotTable[[#This Row],[SC Is Booked]],SnapshotTable[[#This Row],[SC Time Val]] /SnapshotTable[[#This Row],[SC Basis]], "")</f>
        <v/>
      </c>
      <c r="FR356" s="27" t="str" cm="1">
        <f t="array" ref="FR356">IF(AND(ISNUMBER(SnapshotTable[[#This Row],[SC Term]]),ISNUMBER(SnapshotTable[[#This Row],[SC Simple ROO]])), EllmanAnnualize(SnapshotTable[[#This Row],[SC DTE]], SnapshotTable[[#This Row],[SC Simple ROO]] ),"")</f>
        <v/>
      </c>
      <c r="FS356" s="4" t="e">
        <f>IF(SnapshotTable[[#This Row],[SC Strike Price]] &gt; SnapshotTable[[#This Row],[Last Price]], SnapshotTable[[#This Row],[SC Strike Price]] - SnapshotTable[[#This Row],[Last Price]],0)</f>
        <v>#VALUE!</v>
      </c>
      <c r="FT356" s="27" t="e">
        <f>IF(AND(ISNUMBER(SnapshotTable[[#This Row],[SC Upside Potential]]), SnapshotTable[[#This Row],[SC Upside Potential]] &gt; 0),(SnapshotTable[[#This Row],[SC Upside Potential]]/ SnapshotTable[[#This Row],[ACB]]),"")</f>
        <v>#VALUE!</v>
      </c>
      <c r="FU356" s="333" t="str">
        <f>IF(SnapshotTable[[#This Row],[SC Intrinsic Value]] &gt; 0,SnapshotTable[[#This Row],[SC Intrinsic Value]],"")</f>
        <v/>
      </c>
      <c r="FV356" s="27" t="str">
        <f>IF(AND( ISNUMBER( SnapshotTable[[#This Row],[ACB]]),ISNUMBER(SnapshotTable[[#This Row],[SC Downside Protect]])),SnapshotTable[[#This Row],[SC Downside Protect]] / SnapshotTable[[#This Row],[ACB]],"")</f>
        <v/>
      </c>
      <c r="FW356" s="236" t="str">
        <f>IF(AND(ISNUMBER(SnapshotTable[[#This Row],[SC Simple ROO]]),SnapshotTable[[#This Row],[SC Simple ROO]] &gt; 0), SnapshotTable[[#This Row],[SC Premium]] + (SnapshotTable[[#This Row],[SC Qty]] * SnapshotTable[[#This Row],[SC Upside Potential]]), "")</f>
        <v/>
      </c>
      <c r="FX356" s="302" t="str" cm="1">
        <f t="array" ref="FX356">IF(ISNUMBER(SnapshotTable[[#This Row],[SC Max Dollars]]), annualize(SnapshotTable[[#This Row],[SC Term]],(SnapshotTable[[#This Row],[SC Max Dollars]]/SnapshotTable[[#This Row],[SC Basis]])),"")</f>
        <v/>
      </c>
      <c r="FY356" s="236" t="str">
        <f>IF(AND(SnapshotTable[[#This Row],[SC Qty]]&gt;0,SnapshotTable[[#This Row],[SC Current Ask]]&gt;0), SnapshotTable[[#This Row],[SC Qty]] * SnapshotTable[[#This Row],[SC Current Ask]] * -100, "")</f>
        <v/>
      </c>
      <c r="FZ356" s="31" t="str">
        <f>IF(ISNUMBER((SnapshotTable[[#This Row],[SC Current Value]])), SnapshotTable[[#This Row],[SC Premium]] + SnapshotTable[[#This Row],[SC Current Value]], "")</f>
        <v/>
      </c>
      <c r="GA356" s="294" t="str">
        <f>IFERROR( IF(ISNUMBER((SnapshotTable[[#This Row],[SC Current Value]])), SnapshotTable[[#This Row],[SC Gain Loss]] / SnapshotTable[[#This Row],[SC Premium]], ""), "")</f>
        <v/>
      </c>
      <c r="GB356" s="42">
        <f>SnapshotTable[[#This Row],[Equity Shares]] * SaleSharesToConsiderPercentage</f>
        <v>0</v>
      </c>
      <c r="GC356" s="40">
        <f>SnapshotTable[[#This Row],[Long Term Target]] * SellingPriceToConsiderBasedOnTargetPercentage</f>
        <v>159.48599999999999</v>
      </c>
      <c r="GD356" s="40">
        <f>SnapshotTable[[#This Row],[Last Price]] * (1+ SellingPriceToConsiderBasedOnTargetPercentage)</f>
        <v>493.935</v>
      </c>
      <c r="GE356" s="41"/>
      <c r="GF356" s="40"/>
      <c r="GG356" s="31">
        <f>SnapshotTable[[#This Row],[Booked Sale Shares]] * SnapshotTable[[#This Row],[Booked Sale Price]]</f>
        <v>0</v>
      </c>
      <c r="GH356" s="31" t="str">
        <f>IF(SnapshotTable[[#This Row],[Equity Basis Total]] &gt; 0, SnapshotTable[[#This Row],[Equity Basis Per Share]] * SnapshotTable[[#This Row],[Booked Sale Shares]], "")</f>
        <v/>
      </c>
      <c r="GI356" s="31">
        <f>IF(SnapshotTable[[#This Row],[Sale Proceeds]]&gt;0, SnapshotTable[[#This Row],[Sale Proceeds]] - SnapshotTable[[#This Row],[Sale Basis]], 0)</f>
        <v>0</v>
      </c>
      <c r="GJ356" s="27" t="str">
        <f>IF(SnapshotTable[[#This Row],[Sale G/L]]&gt;0, SnapshotTable[[#This Row],[Sale G/L]] / SnapshotTable[[#This Row],[Sale Basis]], IF(ISNUMBER(SnapshotTable[[#This Row],[SC Exercise P&amp;L (TAX)]]), SnapshotTable[[#This Row],[SC Exercise P&amp;L (TAX)]] / SnapshotTable[[#This Row],[SC Basis]], ""))</f>
        <v/>
      </c>
      <c r="GK356" s="27" t="s">
        <v>719</v>
      </c>
      <c r="GL356" s="43" t="str">
        <f>IF(AND(SnapshotTable[[#This Row],[LP Exp Date]]&gt;0,SnapshotTable[[#This Row],[LP Strike Price]]&gt;0), [1]!ToOptionSymbol(SnapshotTable[[#This Row],[Symbol]], SnapshotTable[[#This Row],[LP Strike Price]],SnapshotTable[[#This Row],[LP Exp Date]],1), "")</f>
        <v/>
      </c>
      <c r="GM356" s="30" t="str">
        <f>IF(LEN(SnapshotTable[[#This Row],[LP Symbol]])&gt;0, 1, "")</f>
        <v/>
      </c>
      <c r="GN356" s="43" t="str">
        <f>IF(AND(SnapshotTable[[#This Row],[SP Exp Date]]&gt;0,SnapshotTable[[#This Row],[SP Strike Price]]&gt;0), [1]!ToOptionSymbol(SnapshotTable[[#This Row],[Symbol]], SnapshotTable[[#This Row],[SP Strike Price]],SnapshotTable[[#This Row],[SP Exp Date]],1), "")</f>
        <v/>
      </c>
      <c r="GO356" s="30" t="str">
        <f>IF(LEN(SnapshotTable[[#This Row],[SP Symbol]])&gt;0, 1, "")</f>
        <v/>
      </c>
      <c r="GP356" s="43" t="str">
        <f>IF(AND(SnapshotTable[[#This Row],[LC Exp Date]]&gt;0,SnapshotTable[[#This Row],[LC Strike Price]]&gt;0), [1]!ToOptionSymbol(SnapshotTable[[#This Row],[Symbol]], SnapshotTable[[#This Row],[LC Strike Price]],SnapshotTable[[#This Row],[LC Exp Date]],0), "")</f>
        <v/>
      </c>
      <c r="GQ356" s="30" t="str">
        <f>IF(LEN(SnapshotTable[[#This Row],[LC Symbol]])&gt;0, 1, "")</f>
        <v/>
      </c>
      <c r="GR356" s="43" t="str">
        <f>IF(AND(SnapshotTable[[#This Row],[SC Exp Date]]&gt;0,SnapshotTable[[#This Row],[SC Strike Price]]&gt;0), [1]!ToOptionSymbol(SnapshotTable[[#This Row],[Symbol]], SnapshotTable[[#This Row],[SC Strike Price]],SnapshotTable[[#This Row],[SC Exp Date]],0), "")</f>
        <v/>
      </c>
      <c r="GS356" s="30" t="str">
        <f>IF(LEN(SnapshotTable[[#This Row],[SC Symbol]])&gt;0, 1, "")</f>
        <v/>
      </c>
      <c r="GT356" s="29" t="str">
        <f>IF(COUNT(SnapshotTable[[#This Row],[LP Symbol Count]],SnapshotTable[[#This Row],[SP Symbol Count]],SnapshotTable[[#This Row],[LC Symbol Count]],SnapshotTable[[#This Row],[SC Symbol Count]])&gt;0, "Y", "")</f>
        <v/>
      </c>
      <c r="GU35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6" s="231" t="e">
        <f>MAX(SnapshotTable[[#This Row],[Equity Basis Total]],SnapshotTable[[#This Row],[Equity Value]]) + (SnapshotTable[[#This Row],[SP Potential Spend]]- SnapshotTable[[#This Row],[SP Premium]] + SnapshotTable[[#This Row],[LP Premium]])+ (SnapshotTable[[#This Row],[LC Premium]] - SnapshotTable[[#This Row],[SC Premium]])</f>
        <v>#VALUE!</v>
      </c>
      <c r="GW356" s="139" t="e">
        <f>IF(AND(SnapshotTable[[#This Row],[Exposure]] &lt;&gt; 0),SnapshotTable[[#This Row],[Exposure]] / SnapshotTable[[#Totals],[Exposure]], "")</f>
        <v>#VALUE!</v>
      </c>
      <c r="HK356" s="1"/>
      <c r="HL356" s="1"/>
      <c r="HM356" s="1"/>
      <c r="HN356" s="1"/>
      <c r="HO356" s="1"/>
      <c r="HP356" s="1"/>
    </row>
    <row r="357" spans="2:224" ht="12.75" hidden="1" customHeight="1" x14ac:dyDescent="0.25">
      <c r="B357" s="12" t="s">
        <v>125</v>
      </c>
      <c r="C357" s="422">
        <v>109.33</v>
      </c>
      <c r="D357" s="208" t="s">
        <v>850</v>
      </c>
      <c r="E357" s="39">
        <f>SnapshotTable[[#This Row],[Last Price]]*(1 -CrashDiscount)</f>
        <v>92.930499999999995</v>
      </c>
      <c r="F357" s="26" t="s">
        <v>124</v>
      </c>
      <c r="G357" s="26" t="s">
        <v>14</v>
      </c>
      <c r="H357" s="149"/>
      <c r="I357" s="194">
        <v>44789.291666666664</v>
      </c>
      <c r="J357" s="195">
        <v>44789.291666666664</v>
      </c>
      <c r="K357" s="196"/>
      <c r="L357" s="326"/>
      <c r="M357" s="140"/>
      <c r="N357" s="140"/>
      <c r="O357" s="140"/>
      <c r="P357" s="22"/>
      <c r="Q357" s="25"/>
      <c r="R357" s="4" t="str">
        <f>IF(SnapshotTable[[#This Row],[Equity Basis Total]] &gt; 0, SnapshotTable[[#This Row],[Equity Basis Total]] / SnapshotTable[[#This Row],[Equity Shares]], "")</f>
        <v/>
      </c>
      <c r="S357" s="269">
        <f>SnapshotTable[[#This Row],[Last Price]] * SnapshotTable[[#This Row],[Equity Shares]]</f>
        <v>0</v>
      </c>
      <c r="T357" s="269">
        <f>SnapshotTable[[#This Row],[Equity Value]] - SnapshotTable[[#This Row],[Equity Basis Total]]</f>
        <v>0</v>
      </c>
      <c r="U357" s="270" t="str">
        <f>IF(SnapshotTable[[#This Row],[Equity Basis Total]] &gt; 0, SnapshotTable[[#This Row],[Equity G/L]] / SnapshotTable[[#This Row],[Equity Basis Total]], "")</f>
        <v/>
      </c>
      <c r="V357" s="268"/>
      <c r="W357" s="268"/>
      <c r="X357" s="4" t="str">
        <f>IF(AND(ISNUMBER(SnapshotTable[[#This Row],[Equity Basis Per Share]]),ISNUMBER(SnapshotTable[[#This Row],[Equity Target]])),SnapshotTable[[#This Row],[Equity Target]]-SnapshotTable[[#This Row],[Equity Basis Per Share]],"")</f>
        <v/>
      </c>
      <c r="Y357" s="4" t="str">
        <f>IF(AND(ISNUMBER(SnapshotTable[[#This Row],[Equity Basis Per Share]]),ISNUMBER(SnapshotTable[[#This Row],[Equity Stop Loss]])),SnapshotTable[[#This Row],[Equity Stop Loss]]-SnapshotTable[[#This Row],[Equity Basis Per Share]],"")</f>
        <v/>
      </c>
      <c r="Z357" s="275" t="str">
        <f>IFERROR( TEXT(SnapshotTable[[#This Row],[Equity Max Gain Per Share]] /ABS( SnapshotTable[[#This Row],[Equity Max Loss Per Share]]),"0.0 " ) &amp; " : 1", "")</f>
        <v/>
      </c>
      <c r="AA357" s="31" t="str">
        <f>IF(ISNUMBER(SnapshotTable[[#This Row],[Equity Max Gain Per Share]]),SnapshotTable[[#This Row],[Equity Max Gain Per Share]] * SnapshotTable[[#This Row],[Equity Shares]],"")</f>
        <v/>
      </c>
      <c r="AB357" s="31" t="str">
        <f>IF(ISNUMBER(SnapshotTable[[#This Row],[Equity Max Loss Per Share]]),SnapshotTable[[#This Row],[Equity Max Loss Per Share]] * SnapshotTable[[#This Row],[Equity Shares]],"")</f>
        <v/>
      </c>
      <c r="AC357" s="150">
        <v>2.2000000000000002</v>
      </c>
      <c r="AD357" s="151">
        <v>44446</v>
      </c>
      <c r="AE357" s="31">
        <f>(SnapshotTable[[#This Row],[Annual Dividend Per Share]] / 4) * SnapshotTable[[#This Row],[Equity Shares]]</f>
        <v>0</v>
      </c>
      <c r="AF357" s="31">
        <f>SnapshotTable[[#This Row],[Quarterly Div $]] * 4</f>
        <v>0</v>
      </c>
      <c r="AG357" s="7">
        <f>IF(SnapshotTable[[#This Row],[Annual Dividend Per Share]]&gt;0, SnapshotTable[[#This Row],[Annual Dividend Per Share]]  / SnapshotTable[[#This Row],[Last Price]], 0)</f>
        <v>2.0122564712338791E-2</v>
      </c>
      <c r="AH357" s="151">
        <v>44420</v>
      </c>
      <c r="AI357" s="5">
        <v>125</v>
      </c>
      <c r="AJ357" s="138">
        <v>163.24</v>
      </c>
      <c r="AK357" s="152">
        <f>IF(ISNUMBER( SnapshotTable[[#This Row],[EBF Target]]),(SnapshotTable[[#This Row],[EBF Target]] - SnapshotTable[[#This Row],[Last Price]]) / SnapshotTable[[#This Row],[Last Price]], "")</f>
        <v>0.14332754047379495</v>
      </c>
      <c r="AL357" s="152" t="str">
        <f>IF(AND(SnapshotTable[[#This Row],[Equity Basis Total]] &gt; 0,ISNUMBER( SnapshotTable[[#This Row],[Long Term Target]])), SnapshotTable[[#This Row],[From Basis $]] / SnapshotTable[[#This Row],[Equity Basis Total]], "")</f>
        <v/>
      </c>
      <c r="AM357" s="9">
        <f>IF( AND(SnapshotTable[[#This Row],[Equity Shares]] &gt;0,ISNUMBER( SnapshotTable[[#This Row],[Long Term Target]])),(SnapshotTable[[#This Row],[Equity Shares]] * SnapshotTable[[#This Row],[Long Term Target]]) - SnapshotTable[[#This Row],[Equity Basis Total]],0)</f>
        <v>0</v>
      </c>
      <c r="AN357" s="9">
        <f>IF( AND(SnapshotTable[[#This Row],[Equity Shares]] &gt;0,ISNUMBER( SnapshotTable[[#This Row],[Long Term Target]])),(SnapshotTable[[#This Row],[Equity Shares]]*SnapshotTable[[#This Row],[Long Term Target]]) - SnapshotTable[[#This Row],[Equity Value]],0)</f>
        <v>0</v>
      </c>
      <c r="AO357" s="152">
        <f>IF(AND(ISNUMBER( SnapshotTable[[#This Row],[Long Term Target]]), ISNUMBER(SnapshotTable[[#This Row],[Last Price]])),(SnapshotTable[[#This Row],[Long Term Target]] - SnapshotTable[[#This Row],[Last Price]]) / SnapshotTable[[#This Row],[Last Price]], "")</f>
        <v>0.49309430165553836</v>
      </c>
      <c r="AP357" s="5">
        <v>145</v>
      </c>
      <c r="AQ357" s="38" t="s">
        <v>38</v>
      </c>
      <c r="AR357" s="5">
        <v>145</v>
      </c>
      <c r="AS357" s="38" t="s">
        <v>26</v>
      </c>
      <c r="AT357" s="146" t="s">
        <v>538</v>
      </c>
      <c r="AU357" s="187" t="str">
        <f>IF(OR(SnapshotTable[[#This Row],[LP No Fill]]="Y",SnapshotTable[[#This Row],[SP Is Filled]],SnapshotTable[[#This Row],[LC Not Filled]]="Y",SnapshotTable[[#This Row],[SC Is Filled]]),"Y","")</f>
        <v/>
      </c>
      <c r="AV357" s="219"/>
      <c r="AW357" s="225"/>
      <c r="AX357" s="220"/>
      <c r="AY357" s="219" t="str">
        <f>IF(SnapshotTable[[#This Row],[Implied Move]]&gt;0, SnapshotTable[[#This Row],[Last Price]]-SnapshotTable[[#This Row],[Implied Move]],"")</f>
        <v/>
      </c>
      <c r="AZ357" s="219" t="str">
        <f>IF(SnapshotTable[[#This Row],[Implied Move]]&gt;0, SnapshotTable[[#This Row],[Last Price]] + SnapshotTable[[#This Row],[Implied Move]],"")</f>
        <v/>
      </c>
      <c r="BA357" s="331">
        <v>140.53</v>
      </c>
      <c r="BB357" s="347"/>
      <c r="BC35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7" s="351"/>
      <c r="BE357" s="5"/>
      <c r="BF357" s="14"/>
      <c r="BG357" s="13"/>
      <c r="BH357" s="13"/>
      <c r="BI357" s="5"/>
      <c r="BJ357" s="136">
        <f>IF(SnapshotTable[[#This Row],[LP Qty]] &gt; 0, SnapshotTable[[#This Row],[LP Qty]] * SnapshotTable[[#This Row],[LP Book Price]] * 100,0)</f>
        <v>0</v>
      </c>
      <c r="BK357" s="136">
        <f>IF(SnapshotTable[[#This Row],[LP Premium]] &gt; 0, SnapshotTable[[#This Row],[LP Qty]] * SnapshotTable[[#This Row],[LP Strike Price]] * 100,0)</f>
        <v>0</v>
      </c>
      <c r="BL357" s="154"/>
      <c r="BM357" s="385" t="str">
        <f>IF(SnapshotTable[[#This Row],[LP Premium]] &gt; 0,SnapshotTable[[#This Row],[LP Exp Date]]-MAX(SnapshotTable[[#This Row],[LP Book Date]], SnapshotTable[[#This Row],[LP Fill Date]]),"")</f>
        <v/>
      </c>
      <c r="BN357" s="385" t="str">
        <f>IF(ISNUMBER( SnapshotTable[[#This Row],[LP Term]]), SnapshotTable[[#This Row],[LP Exp Date]] - MockToday,"")</f>
        <v/>
      </c>
      <c r="BO357" s="163" t="str">
        <f>IF(AND(SnapshotTable[[#This Row],[LP Exp Date]]&gt;0, SnapshotTable[[#This Row],[LP Strike Price]]&gt;0,SnapshotTable[[#This Row],[LP Qty]]&gt;0,SnapshotTable[[#This Row],[LP Book Date]]&gt;0,SnapshotTable[[#This Row],[LP Book Price]]&gt;0,SnapshotTable[[#This Row],[LP Fill Date]]=0),"Y","")</f>
        <v/>
      </c>
      <c r="BP357" s="31" t="str">
        <f>IF(AND(SnapshotTable[[#This Row],[LP No Fill]]&lt;&gt;"Y",SnapshotTable[[#This Row],[LP Contract Value]]&gt;0, SnapshotTable[[#This Row],[LP Qty]]&gt;0), SnapshotTable[[#This Row],[LP Contract Value]]*SnapshotTable[[#This Row],[LP Qty]]*100,"")</f>
        <v/>
      </c>
      <c r="BQ357" s="13"/>
      <c r="BR357" s="5" t="str">
        <f>IF(SnapshotTable[[#This Row],[SP Exp Date]]&lt;&gt;"",TRUNC(SnapshotTable[[#This Row],[Last Price]]),"")</f>
        <v/>
      </c>
      <c r="BS357" s="36"/>
      <c r="BT357" s="147"/>
      <c r="BU357" s="13"/>
      <c r="BV357" s="5"/>
      <c r="BW357" s="419" t="b">
        <f>AND(ISNUMBER(SnapshotTable[[#This Row],[SP Exp Date]]), ISNUMBER(SnapshotTable[[#This Row],[SP Strike Price]]), ISNUMBER(SnapshotTable[[#This Row],[SP Qty]]), ISNUMBER(SnapshotTable[[#This Row],[SP Book Date]]), ISNUMBER(SnapshotTable[[#This Row],[SP Book Price]]))</f>
        <v>0</v>
      </c>
      <c r="BX357" s="419" t="b">
        <f>AND(SnapshotTable[[#This Row],[SP Is Booked]], NOT(ISBLANK(SnapshotTable[[#This Row],[SP Fill Date]])))</f>
        <v>0</v>
      </c>
      <c r="BY357" s="33">
        <f>IF(SnapshotTable[[#This Row],[SP Is Booked]], SnapshotTable[[#This Row],[SP Qty]] * SnapshotTable[[#This Row],[SP Book Price]] * 100, 0)</f>
        <v>0</v>
      </c>
      <c r="BZ357" s="369"/>
      <c r="CA357" s="368">
        <f>SnapshotTable[[#This Row],[LP Qty]]</f>
        <v>0</v>
      </c>
      <c r="CB357" s="4" t="str">
        <f>IF(SnapshotTable[[#This Row],[SP Is Booked]], SnapshotTable[[#This Row],[SP Strike Price]] - SnapshotTable[[#This Row],[SP Book Price]], "")</f>
        <v/>
      </c>
      <c r="CC357" s="19" t="str">
        <f>IF(SnapshotTable[[#This Row],[SP Is Booked]],SnapshotTable[[#This Row],[SP Exp Date]]-MAX(SnapshotTable[[#This Row],[SP Book Date]], SnapshotTable[[#This Row],[SP Fill Date]]),"")</f>
        <v/>
      </c>
      <c r="CD357" s="7" t="str">
        <f>IF(SnapshotTable[[#This Row],[SP Is Booked]], SnapshotTable[[#This Row],[SP Book Price]]/SnapshotTable[[#This Row],[SP Strike Price]], "")</f>
        <v/>
      </c>
      <c r="CE357" s="7" t="str">
        <f>IF(ISNUMBER(SnapshotTable[[#This Row],[SP ROO Term]]),SnapshotTable[[#This Row],[SP ROO Term]]*(365/SnapshotTable[[#This Row],[SP Term]]),"")</f>
        <v/>
      </c>
      <c r="CF357" s="236">
        <f>SnapshotTable[[#This Row],[LP Strike Price]] * SnapshotTable[[#This Row],[LP Qty]] * 100</f>
        <v>0</v>
      </c>
      <c r="CG357" s="31" t="e">
        <f>IF(ISNUMBER(SnapshotTable[[#This Row],[SP Premium]]), (SnapshotTable[[#This Row],[SP Qty]] * SnapshotTable[[#This Row],[SP Strike Price]]* 100) - SnapshotTable[[#This Row],[LP Protection]], 0)</f>
        <v>#VALUE!</v>
      </c>
      <c r="CH357" s="7" t="str">
        <f>IF(ISNUMBER(SnapshotTable[[#This Row],[SP Break Even]]),-1 * (SnapshotTable[[#This Row],[SP Break Even]] - SnapshotTable[[#This Row],[Last Price]]) / SnapshotTable[[#This Row],[Last Price]], "")</f>
        <v/>
      </c>
      <c r="CI357" s="31">
        <f>IF(AND(ISNUMBER((SnapshotTable[[#This Row],[SP Potential Spend]])), SnapshotTable[[#This Row],[SP Strike Price]] &gt; SnapshotTable[[#This Row],[Last Price]], SnapshotTable[[#This Row],[SP Is Filled]]), SnapshotTable[[#This Row],[SP Potential Spend]] -  SnapshotTable[[#This Row],[LP Max Value]], 0)</f>
        <v>0</v>
      </c>
      <c r="CJ357" s="244"/>
      <c r="CK357" s="31" t="str">
        <f>IF(ISNUMBER(SnapshotTable[[#This Row],[SP Potential Spend]]),IF(ISNUMBER(SnapshotTable[[#This Row],[SP POW]]), SnapshotTable[[#This Row],[SP POW]] * SnapshotTable[[#This Row],[SP Potential Spend]], SnapshotTable[[#This Row],[SP Potential Spend]]), "")</f>
        <v/>
      </c>
      <c r="CL357" s="164" t="e">
        <f>IF(NOT(SnapshotTable[[#This Row],[SP Is Filled]]),(SnapshotTable[[#This Row],[SP Qty]] * SnapshotTable[[#This Row],[SP Strike Price]] * 100) - SnapshotTable[[#This Row],[LP Max Value]],"")</f>
        <v>#VALUE!</v>
      </c>
      <c r="CM357" s="31" t="str">
        <f>IF(SnapshotTable[[#This Row],[SP Actual Spend]]&lt;&gt;0, ((SnapshotTable[[#This Row],[SP Strike Price]]-SnapshotTable[[#This Row],[Last Price]]) *(SnapshotTable[[#This Row],[SP Qty]]*100) - SnapshotTable[[#This Row],[SP Premium]]) * - 1, "")</f>
        <v/>
      </c>
      <c r="CN357" s="78"/>
      <c r="CO357" s="369"/>
      <c r="CP357" s="4" t="str">
        <f>IF(SnapshotTable[[#This Row],[SP Is Filled]], btc_max_buyback_amount(SnapshotTable[[#This Row],[SP Fill Date]],SnapshotTable[[#This Row],[SP Exp Date]], SnapshotTable[[#This Row],[SP Book Price]]),"")</f>
        <v/>
      </c>
      <c r="CQ357" s="78"/>
      <c r="CR35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7" s="155" t="str">
        <f>IF(SnapshotTable[[#This Row],[SP Is Filled]], btc_next_cutoff_date(SnapshotTable[[#This Row],[SP Fill Date]],SnapshotTable[[#This Row],[SP Exp Date]]),"")</f>
        <v/>
      </c>
      <c r="CT357" s="235" t="str" cm="1">
        <f t="array" ref="CT357">IF(SnapshotTable[[#This Row],[SP Is Filled]], btc_should_buy_back(SnapshotTable[[#This Row],[SP Fill Date]], SnapshotTable[[#This Row],[SP Exp Date]], SnapshotTable[[#This Row],[SP Book Price]], SnapshotTable[[#This Row],[SP Current Ask]], MockToday, SnapshotTable[[#This Row],[SP Buyback Override]]),"")</f>
        <v/>
      </c>
      <c r="CU357" s="143"/>
      <c r="CV357" s="235"/>
      <c r="CW357" s="378" t="str">
        <f>IF(ISNUMBER( SnapshotTable[[#This Row],[SP Term]]), SnapshotTable[[#This Row],[SP Exp Date]] - MockToday,"")</f>
        <v/>
      </c>
      <c r="CX357" s="31" t="str">
        <f>IF(SnapshotTable[[#This Row],[SP Is Filled]],SnapshotTable[[#This Row],[SP Buyback Price to Use]] * 100 * SnapshotTable[[#This Row],[SP Qty]], "")</f>
        <v/>
      </c>
      <c r="CY357" s="4" t="str">
        <f>IF(ISNUMBER(SnapshotTable[[#This Row],[SP Strike Price]]), SnapshotTable[[#This Row],[SP Strike Price]] * (1 - SP_MaxLoss_StrikePct), "")</f>
        <v/>
      </c>
      <c r="CZ357" s="31" t="str">
        <f>IF(ISNUMBER(SnapshotTable[[#This Row],[SP Strike  Stop Per Share]]),SnapshotTable[[#This Row],[SP Premium]] - ((SnapshotTable[[#This Row],[SP Strike Price]]-SnapshotTable[[#This Row],[SP Strike  Stop Per Share]]) *(SnapshotTable[[#This Row],[SP Qty]] * 100)),"")</f>
        <v/>
      </c>
      <c r="DA357" s="4" t="str">
        <f>IF(AND(ISNUMBER(SnapshotTable[[#This Row],[SP Premium]]),SnapshotTable[[#This Row],[SP Premium]]&gt;0), SnapshotTable[[#This Row],[SP Book Price]] * (1 + SP_MaxLoss_OptionPct), "")</f>
        <v/>
      </c>
      <c r="DB357" s="31" t="str">
        <f>IF(ISNUMBER(SnapshotTable[[#This Row],[SP Option  Stop Contract]]),(SnapshotTable[[#This Row],[SP Option  Stop Contract]] *(SnapshotTable[[#This Row],[SP Qty]] * 100) - SnapshotTable[[#This Row],[SP Premium]]),"")</f>
        <v/>
      </c>
      <c r="DC357" s="4"/>
      <c r="DD357" s="4"/>
      <c r="DE357" s="4" t="str">
        <f>IF(AND(SnapshotTable[[#This Row],[SP Qty]]&gt;0, SnapshotTable[[#This Row],[SP Stop To Use]]&gt;0),SnapshotTable[[#This Row],[SP Premium]] - ( SnapshotTable[[#This Row],[SP Qty]] * SnapshotTable[[#This Row],[SP Stop To Use]] * 100), "")</f>
        <v/>
      </c>
      <c r="DF357" s="31" t="str">
        <f>IF(AND(SnapshotTable[[#This Row],[SP Qty]]&gt;0,SnapshotTable[[#This Row],[SP Current Ask]]&gt;0), SnapshotTable[[#This Row],[SP Qty]] * SnapshotTable[[#This Row],[SP Current Ask]] * -100, "")</f>
        <v/>
      </c>
      <c r="DG357" s="31" t="str">
        <f>IF(ISNUMBER((SnapshotTable[[#This Row],[SP Total Value]])), SnapshotTable[[#This Row],[SP Premium]] + SnapshotTable[[#This Row],[SP Total Value]], "")</f>
        <v/>
      </c>
      <c r="DH357" s="294" t="str">
        <f>IF(ISNUMBER((SnapshotTable[[#This Row],[SP Total Value]])), SnapshotTable[[#This Row],[SP Gain Loss]] / SnapshotTable[[#This Row],[SP Premium]], "")</f>
        <v/>
      </c>
      <c r="DI357" s="406"/>
      <c r="DJ357" s="138"/>
      <c r="DK357" s="148"/>
      <c r="DL357" s="13"/>
      <c r="DM357" s="13"/>
      <c r="DO357" s="31">
        <f>IF(SnapshotTable[[#This Row],[LC Symbol Count]]=1, SnapshotTable[[#This Row],[LC Qty]] * SnapshotTable[[#This Row],[LC Book Price]] * 100, 0)</f>
        <v>0</v>
      </c>
      <c r="DP357" s="163" t="str">
        <f>IF(AND(SnapshotTable[[#This Row],[LC Exp Date]]&gt;0, SnapshotTable[[#This Row],[LC Strike Price]]&gt;0,SnapshotTable[[#This Row],[LC Qty]]&gt;0,SnapshotTable[[#This Row],[LC Book Date]]&gt;0,SnapshotTable[[#This Row],[LC Book Price]]&gt;0,SnapshotTable[[#This Row],[LC Fill Date]]=0),"Y","")</f>
        <v/>
      </c>
      <c r="DQ357" s="386" t="str">
        <f>IF(SnapshotTable[[#This Row],[LC Premium]] &gt; 0,SnapshotTable[[#This Row],[LC Exp Date]]-MAX(SnapshotTable[[#This Row],[LC Book Date]], SnapshotTable[[#This Row],[LC Fill Date]]),"")</f>
        <v/>
      </c>
      <c r="DR357" s="386" t="str">
        <f>IF(ISNUMBER(SnapshotTable[[#This Row],[LC Term]]), SnapshotTable[[#This Row],[LC Exp Date]] - MockToday, "")</f>
        <v/>
      </c>
      <c r="DS357" s="234" t="str">
        <f>IF(SnapshotTable[[#This Row],[LC Premium]]&gt;0,SnapshotTable[[#This Row],[LC Strike Price]] + SnapshotTable[[#This Row],[LC Book Price]],"")</f>
        <v/>
      </c>
      <c r="DU357" s="9" t="str">
        <f>IF(AND(SnapshotTable[[#This Row],[LC Symbol Count]]&gt;0, SnapshotTable[[#This Row],[LC Contract Value]]&gt;0), SnapshotTable[[#This Row],[LC Contract Value]] * SnapshotTable[[#This Row],[LC Qty]] * 100, "")</f>
        <v/>
      </c>
      <c r="DV357" s="9" t="str">
        <f>IF(AND(ISNUMBER(SnapshotTable[[#This Row],[LC Total Value]]), SnapshotTable[[#This Row],[LC Not Filled]]&lt;&gt;"Y"), SnapshotTable[[#This Row],[LC Total Value]]-SnapshotTable[[#This Row],[LC Premium]],"")</f>
        <v/>
      </c>
      <c r="DW357" s="240" t="str">
        <f>IF(ISNUMBER(SnapshotTable[[#This Row],[LC Actual Gain Loss]]), SnapshotTable[[#This Row],[LC Actual Gain Loss]] / SnapshotTable[[#This Row],[LC Premium]],"")</f>
        <v/>
      </c>
      <c r="DX357" s="284" t="str">
        <f>IF(ISNUMBER(SnapshotTable[[#This Row],[LC Book Price]]),SnapshotTable[[#This Row],[LC Book Price]] * 1.5,"")</f>
        <v/>
      </c>
      <c r="DY357" s="265" t="str">
        <f>IF(SnapshotTable[[#This Row],[LC Premium]]&gt;0, SnapshotTable[[#This Row],[LC Next Target]] * SnapshotTable[[#This Row],[LC Qty]] * 100,"")</f>
        <v/>
      </c>
      <c r="DZ357" s="265" t="str">
        <f>IF(ISNUMBER(SnapshotTable[[#This Row],[LC Target Gross]]), SnapshotTable[[#This Row],[LC Target Gross]] - SnapshotTable[[#This Row],[LC Premium]], "")</f>
        <v/>
      </c>
      <c r="EA357" s="305" t="str">
        <f>IF(ISNUMBER(SnapshotTable[[#This Row],[LC Target Gain Loss]]), SnapshotTable[[#This Row],[LC Target Gain Loss]]/SnapshotTable[[#This Row],[LC Premium]], "")</f>
        <v/>
      </c>
      <c r="EB357" s="262"/>
      <c r="EC357" s="283" t="str">
        <f>IF(SnapshotTable[[#This Row],[LC Premium]]&gt;0, SnapshotTable[[#This Row],[LC Book Price]] * (1 - LC_StopLoss_Pct),"")</f>
        <v/>
      </c>
      <c r="ED357" s="284"/>
      <c r="EE357" s="283" t="str">
        <f>IF(ISNUMBER(SnapshotTable[[#This Row],[LC Contract Value]]),IF(ISNUMBER(SnapshotTable[[#This Row],[LC Stop Loss Override]]), SnapshotTable[[#This Row],[LC Stop Loss Override]],SnapshotTable[[#This Row],[LC Stop Loss Calc Target]]),"")</f>
        <v/>
      </c>
      <c r="EF357" s="31" t="str">
        <f>IF(ISNUMBER(SnapshotTable[[#This Row],[LC Stop  To Use]]), (SnapshotTable[[#This Row],[LC Stop  To Use]] * SnapshotTable[[#This Row],[LC Qty]] * 100),"")</f>
        <v/>
      </c>
      <c r="EG357" s="9" t="str">
        <f>IF(ISNUMBER(SnapshotTable[[#This Row],[LC Total Value]]),SnapshotTable[[#This Row],[LC Stop Loss Amount]] - SnapshotTable[[#This Row],[LC Premium]],"")</f>
        <v/>
      </c>
      <c r="EH357" s="9">
        <f>IF(ISNUMBER(SnapshotTable[[#This Row],[LC Premium]]), SnapshotTable[[#This Row],[LC Qty]] * 100 * SnapshotTable[[#This Row],[LC Strike Price]], "")</f>
        <v>0</v>
      </c>
      <c r="EI357" s="240" t="str">
        <f>IF(AND(ISNUMBER(SnapshotTable[[#This Row],[LC Total Value]]),SnapshotTable[[#This Row],[LC Total Value]]&gt;0),SnapshotTable[[#This Row],[LC Stop Gain Loss]]  / SnapshotTable[[#This Row],[LC Premium]],"")</f>
        <v/>
      </c>
      <c r="EJ357" s="35">
        <f>IF(ISNUMBER(SnapshotTable[[#This Row],[Equity Shares]]),TRUNC(SnapshotTable[[#This Row],[Equity Shares]] / 100),0) + SnapshotTable[[#This Row],[LC Qty]]</f>
        <v>0</v>
      </c>
      <c r="EK357" s="147"/>
      <c r="EL357" s="138" t="str">
        <f>IF(SnapshotTable[[#This Row],[SC Exp Date]]&lt;&gt;"",TRUNC(SnapshotTable[[#This Row],[Last Price]]),"")</f>
        <v/>
      </c>
      <c r="EM357" s="148"/>
      <c r="EN357" s="147"/>
      <c r="EO357" s="147"/>
      <c r="EP357" s="138"/>
      <c r="EQ357" s="419" t="b">
        <f>AND(ISNUMBER(SnapshotTable[[#This Row],[SC Exp Date]]), ISNUMBER(SnapshotTable[[#This Row],[SC Strike Price]]), ISNUMBER(SnapshotTable[[#This Row],[SC Qty]]), ISNUMBER(SnapshotTable[[#This Row],[SC Book Date]]), ISNUMBER(SnapshotTable[[#This Row],[SC Book Price]]))</f>
        <v>0</v>
      </c>
      <c r="ER357" s="419" t="b">
        <f>AND(SnapshotTable[[#This Row],[SC Is Booked]], NOT(ISBLANK(SnapshotTable[[#This Row],[SC Fill Date]])))</f>
        <v>0</v>
      </c>
      <c r="ES357" s="370"/>
      <c r="ET357" s="34" t="str">
        <f>IF(AND(ISNUMBER(SnapshotTable[[#This Row],[SC Exp Date]]), ISNUMBER(SnapshotTable[[#This Row],[SC Book Date]])), SnapshotTable[[#This Row],[SC Exp Date]] - MAX(SnapshotTable[[#This Row],[SC Book Date]], SnapshotTable[[#This Row],[SC Fill Date]]) + 1, "")</f>
        <v/>
      </c>
      <c r="EU357" s="34" t="str">
        <f>IF(ISNUMBER(SnapshotTable[[#This Row],[SC Term]]), SnapshotTable[[#This Row],[SC Exp Date]]- MockToday, "")</f>
        <v/>
      </c>
      <c r="EV357" s="31">
        <f>IF(SnapshotTable[[#This Row],[SC Is Booked]], SnapshotTable[[#This Row],[SC Qty]] * SnapshotTable[[#This Row],[SC Book Price]] * 100, 0)</f>
        <v>0</v>
      </c>
      <c r="EW357" s="4" t="str">
        <f>IF(AND(ISNUMBER(SnapshotTable[[#This Row],[Last Price]]), ISNUMBER( SnapshotTable[[#This Row],[SC Book Price]])), SnapshotTable[[#This Row],[Last Price]] - SnapshotTable[[#This Row],[SC Book Price]],"")</f>
        <v/>
      </c>
      <c r="EX357" s="234" t="str">
        <f>IF(SnapshotTable[[#This Row],[SC Is Booked]],IF(SnapshotTable[[#This Row],[SC Intrinsic Value]] &gt; 0, SnapshotTable[[#This Row],[SC Strike Price]], SnapshotTable[[#This Row],[Last Price]]), "")</f>
        <v/>
      </c>
      <c r="EY357" s="4">
        <f>IF(SnapshotTable[[#This Row],[SC Is Booked]], (MinimumPremiumRequired * SnapshotTable[[#This Row],[SC Basis]] * SnapshotTable[[#This Row],[SC Term]]), 0)</f>
        <v>0</v>
      </c>
      <c r="EZ357" s="283"/>
      <c r="FA357" s="218"/>
      <c r="FB357" s="370"/>
      <c r="FC357" s="4">
        <f>IF(SnapshotTable[[#This Row],[SC Is Filled]], btc_max_buyback_amount(SnapshotTable[[#This Row],[SC Fill Date]],SnapshotTable[[#This Row],[SC Exp Date]], SnapshotTable[[#This Row],[SC Book Price]]),0)</f>
        <v>0</v>
      </c>
      <c r="FD357" s="5"/>
      <c r="FE357" s="144" t="str">
        <f>IF(SnapshotTable[[#This Row],[SC Is Filled]], btc_next_cutoff_date(SnapshotTable[[#This Row],[SC Fill Date]],SnapshotTable[[#This Row],[SC Exp Date]]),"")</f>
        <v/>
      </c>
      <c r="FF357" s="4" t="str" cm="1">
        <f t="array" ref="FF357">IF(SnapshotTable[[#This Row],[SC Is Filled]], btc_should_buy_back(SnapshotTable[[#This Row],[SC Fill Date]], SnapshotTable[[#This Row],[SC Exp Date]], SnapshotTable[[#This Row],[SC Book Price]], SnapshotTable[[#This Row],[SC Current Ask]], MockToday, SnapshotTable[[#This Row],[SC Buyback Override]]),"")</f>
        <v/>
      </c>
      <c r="FG357" s="4">
        <f>IF(SnapshotTable[[#This Row],[SC Is Filled]], MAX(0,SnapshotTable[[#This Row],[Last Price]]  - SnapshotTable[[#This Row],[SC Strike Price]]), 0)</f>
        <v>0</v>
      </c>
      <c r="FH357" s="382">
        <f>IF(SnapshotTable[[#This Row],[SC Is Filled]], IF(ISNUMBER(SnapshotTable[[#This Row],[SC Current Ask]]), SnapshotTable[[#This Row],[SC Current Ask]], SnapshotTable[[#This Row],[SC Book Price]]) - SnapshotTable[[#This Row],[SC Intrinsic Value]], 0)</f>
        <v>0</v>
      </c>
      <c r="FI357" s="143"/>
      <c r="FJ357" s="32" t="str">
        <f>IF(SnapshotTable[[#This Row],[SC Is Filled]],100 * SnapshotTable[[#This Row],[SC Qty]] * IF(ISNUMBER(SnapshotTable[[#This Row],[SC Buyback Override]]), SnapshotTable[[#This Row],[SC Buyback Override]], SnapshotTable[[#This Row],[SC Current Ask]]), "")</f>
        <v/>
      </c>
      <c r="FK357" s="250" t="str">
        <f>IF(SnapshotTable[[#This Row],[SC Time Val]]&gt;0, SnapshotTable[[#This Row],[SC Time Val]] / SnapshotTable[[#This Row],[Last Price]],"")</f>
        <v/>
      </c>
      <c r="FL357" s="302" t="str">
        <f>IF(SnapshotTable[[#This Row],[SC Is Booked]], ((SnapshotTable[[#This Row],[Last Price]] -SnapshotTable[[#This Row],[SC Strike Price]]) / SnapshotTable[[#This Row],[Last Price]]) * -1, "")</f>
        <v/>
      </c>
      <c r="FM357" s="157" t="str">
        <f>IF(SnapshotTable[[#This Row],[SC Is Booked]],  (SnapshotTable[[#This Row],[SC Qty]] * 100 * SnapshotTable[[#This Row],[SC Strike Price]]) - SnapshotTable[[#This Row],[SC Current Ask]], "")</f>
        <v/>
      </c>
      <c r="FN35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7" s="31" t="str">
        <f>IF(AND(ISNUMBER(SnapshotTable[[#This Row],[SC Exercise Gross]]), ISNUMBER(SnapshotTable[[#This Row],[Equity Basis Per Share]] )), SnapshotTable[[#This Row],[SC Exercise Gross]] - SnapshotTable[[#This Row],[Equity Basis Total]] +  SnapshotTable[[#This Row],[SC Premium]], "")</f>
        <v/>
      </c>
      <c r="FP357" s="5" t="str">
        <f>IF(ISNUMBER(SnapshotTable[[#This Row],[SC Exercise Gross]]), (SnapshotTable[[#This Row],[SC Exercise Gross]]) / (SnapshotTable[[#This Row],[SC Qty]] * 100), "")</f>
        <v/>
      </c>
      <c r="FQ357" s="27" t="str">
        <f>IF(SnapshotTable[[#This Row],[SC Is Booked]],SnapshotTable[[#This Row],[SC Time Val]] /SnapshotTable[[#This Row],[SC Basis]], "")</f>
        <v/>
      </c>
      <c r="FR357" s="27" t="str" cm="1">
        <f t="array" ref="FR357">IF(AND(ISNUMBER(SnapshotTable[[#This Row],[SC Term]]),ISNUMBER(SnapshotTable[[#This Row],[SC Simple ROO]])), EllmanAnnualize(SnapshotTable[[#This Row],[SC DTE]], SnapshotTable[[#This Row],[SC Simple ROO]] ),"")</f>
        <v/>
      </c>
      <c r="FS357" s="4" t="e">
        <f>IF(SnapshotTable[[#This Row],[SC Strike Price]] &gt; SnapshotTable[[#This Row],[Last Price]], SnapshotTable[[#This Row],[SC Strike Price]] - SnapshotTable[[#This Row],[Last Price]],0)</f>
        <v>#VALUE!</v>
      </c>
      <c r="FT357" s="27" t="e">
        <f>IF(AND(ISNUMBER(SnapshotTable[[#This Row],[SC Upside Potential]]), SnapshotTable[[#This Row],[SC Upside Potential]] &gt; 0),(SnapshotTable[[#This Row],[SC Upside Potential]]/ SnapshotTable[[#This Row],[ACB]]),"")</f>
        <v>#VALUE!</v>
      </c>
      <c r="FU357" s="333" t="str">
        <f>IF(SnapshotTable[[#This Row],[SC Intrinsic Value]] &gt; 0,SnapshotTable[[#This Row],[SC Intrinsic Value]],"")</f>
        <v/>
      </c>
      <c r="FV357" s="27" t="str">
        <f>IF(AND( ISNUMBER( SnapshotTable[[#This Row],[ACB]]),ISNUMBER(SnapshotTable[[#This Row],[SC Downside Protect]])),SnapshotTable[[#This Row],[SC Downside Protect]] / SnapshotTable[[#This Row],[ACB]],"")</f>
        <v/>
      </c>
      <c r="FW357" s="236" t="str">
        <f>IF(AND(ISNUMBER(SnapshotTable[[#This Row],[SC Simple ROO]]),SnapshotTable[[#This Row],[SC Simple ROO]] &gt; 0), SnapshotTable[[#This Row],[SC Premium]] + (SnapshotTable[[#This Row],[SC Qty]] * SnapshotTable[[#This Row],[SC Upside Potential]]), "")</f>
        <v/>
      </c>
      <c r="FX357" s="302" t="str" cm="1">
        <f t="array" ref="FX357">IF(ISNUMBER(SnapshotTable[[#This Row],[SC Max Dollars]]), annualize(SnapshotTable[[#This Row],[SC Term]],(SnapshotTable[[#This Row],[SC Max Dollars]]/SnapshotTable[[#This Row],[SC Basis]])),"")</f>
        <v/>
      </c>
      <c r="FY357" s="236" t="str">
        <f>IF(AND(SnapshotTable[[#This Row],[SC Qty]]&gt;0,SnapshotTable[[#This Row],[SC Current Ask]]&gt;0), SnapshotTable[[#This Row],[SC Qty]] * SnapshotTable[[#This Row],[SC Current Ask]] * -100, "")</f>
        <v/>
      </c>
      <c r="FZ357" s="31" t="str">
        <f>IF(ISNUMBER((SnapshotTable[[#This Row],[SC Current Value]])), SnapshotTable[[#This Row],[SC Premium]] + SnapshotTable[[#This Row],[SC Current Value]], "")</f>
        <v/>
      </c>
      <c r="GA357" s="294" t="str">
        <f>IFERROR( IF(ISNUMBER((SnapshotTable[[#This Row],[SC Current Value]])), SnapshotTable[[#This Row],[SC Gain Loss]] / SnapshotTable[[#This Row],[SC Premium]], ""), "")</f>
        <v/>
      </c>
      <c r="GB357" s="42">
        <f>SnapshotTable[[#This Row],[Equity Shares]] * SaleSharesToConsiderPercentage</f>
        <v>0</v>
      </c>
      <c r="GC357" s="40">
        <f>SnapshotTable[[#This Row],[Long Term Target]] * SellingPriceToConsiderBasedOnTargetPercentage</f>
        <v>155.078</v>
      </c>
      <c r="GD357" s="40">
        <f>SnapshotTable[[#This Row],[Last Price]] * (1+ SellingPriceToConsiderBasedOnTargetPercentage)</f>
        <v>213.1935</v>
      </c>
      <c r="GE357" s="41"/>
      <c r="GF357" s="40"/>
      <c r="GG357" s="31">
        <f>SnapshotTable[[#This Row],[Booked Sale Shares]] * SnapshotTable[[#This Row],[Booked Sale Price]]</f>
        <v>0</v>
      </c>
      <c r="GH357" s="31" t="str">
        <f>IF(SnapshotTable[[#This Row],[Equity Basis Total]] &gt; 0, SnapshotTable[[#This Row],[Equity Basis Per Share]] * SnapshotTable[[#This Row],[Booked Sale Shares]], "")</f>
        <v/>
      </c>
      <c r="GI357" s="31">
        <f>IF(SnapshotTable[[#This Row],[Sale Proceeds]]&gt;0, SnapshotTable[[#This Row],[Sale Proceeds]] - SnapshotTable[[#This Row],[Sale Basis]], 0)</f>
        <v>0</v>
      </c>
      <c r="GJ357" s="27" t="str">
        <f>IF(SnapshotTable[[#This Row],[Sale G/L]]&gt;0, SnapshotTable[[#This Row],[Sale G/L]] / SnapshotTable[[#This Row],[Sale Basis]], IF(ISNUMBER(SnapshotTable[[#This Row],[SC Exercise P&amp;L (TAX)]]), SnapshotTable[[#This Row],[SC Exercise P&amp;L (TAX)]] / SnapshotTable[[#This Row],[SC Basis]], ""))</f>
        <v/>
      </c>
      <c r="GK357" s="27" t="s">
        <v>1022</v>
      </c>
      <c r="GL357" s="43" t="str">
        <f>IF(AND(SnapshotTable[[#This Row],[LP Exp Date]]&gt;0,SnapshotTable[[#This Row],[LP Strike Price]]&gt;0), [1]!ToOptionSymbol(SnapshotTable[[#This Row],[Symbol]], SnapshotTable[[#This Row],[LP Strike Price]],SnapshotTable[[#This Row],[LP Exp Date]],1), "")</f>
        <v/>
      </c>
      <c r="GM357" s="30" t="str">
        <f>IF(LEN(SnapshotTable[[#This Row],[LP Symbol]])&gt;0, 1, "")</f>
        <v/>
      </c>
      <c r="GN357" s="43" t="str">
        <f>IF(AND(SnapshotTable[[#This Row],[SP Exp Date]]&gt;0,SnapshotTable[[#This Row],[SP Strike Price]]&gt;0), [1]!ToOptionSymbol(SnapshotTable[[#This Row],[Symbol]], SnapshotTable[[#This Row],[SP Strike Price]],SnapshotTable[[#This Row],[SP Exp Date]],1), "")</f>
        <v/>
      </c>
      <c r="GO357" s="30" t="str">
        <f>IF(LEN(SnapshotTable[[#This Row],[SP Symbol]])&gt;0, 1, "")</f>
        <v/>
      </c>
      <c r="GP357" s="43" t="str">
        <f>IF(AND(SnapshotTable[[#This Row],[LC Exp Date]]&gt;0,SnapshotTable[[#This Row],[LC Strike Price]]&gt;0), [1]!ToOptionSymbol(SnapshotTable[[#This Row],[Symbol]], SnapshotTable[[#This Row],[LC Strike Price]],SnapshotTable[[#This Row],[LC Exp Date]],0), "")</f>
        <v/>
      </c>
      <c r="GQ357" s="30" t="str">
        <f>IF(LEN(SnapshotTable[[#This Row],[LC Symbol]])&gt;0, 1, "")</f>
        <v/>
      </c>
      <c r="GR357" s="43" t="str">
        <f>IF(AND(SnapshotTable[[#This Row],[SC Exp Date]]&gt;0,SnapshotTable[[#This Row],[SC Strike Price]]&gt;0), [1]!ToOptionSymbol(SnapshotTable[[#This Row],[Symbol]], SnapshotTable[[#This Row],[SC Strike Price]],SnapshotTable[[#This Row],[SC Exp Date]],0), "")</f>
        <v/>
      </c>
      <c r="GS357" s="30" t="str">
        <f>IF(LEN(SnapshotTable[[#This Row],[SC Symbol]])&gt;0, 1, "")</f>
        <v/>
      </c>
      <c r="GT357" s="29" t="str">
        <f>IF(COUNT(SnapshotTable[[#This Row],[LP Symbol Count]],SnapshotTable[[#This Row],[SP Symbol Count]],SnapshotTable[[#This Row],[LC Symbol Count]],SnapshotTable[[#This Row],[SC Symbol Count]])&gt;0, "Y", "")</f>
        <v/>
      </c>
      <c r="GU35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7" s="231" t="e">
        <f>MAX(SnapshotTable[[#This Row],[Equity Basis Total]],SnapshotTable[[#This Row],[Equity Value]]) + (SnapshotTable[[#This Row],[SP Potential Spend]]- SnapshotTable[[#This Row],[SP Premium]] + SnapshotTable[[#This Row],[LP Premium]])+ (SnapshotTable[[#This Row],[LC Premium]] - SnapshotTable[[#This Row],[SC Premium]])</f>
        <v>#VALUE!</v>
      </c>
      <c r="GW357" s="139" t="e">
        <f>IF(AND(SnapshotTable[[#This Row],[Exposure]] &lt;&gt; 0),SnapshotTable[[#This Row],[Exposure]] / SnapshotTable[[#Totals],[Exposure]], "")</f>
        <v>#VALUE!</v>
      </c>
      <c r="HB357" s="348"/>
      <c r="HK357" s="1"/>
      <c r="HL357" s="1"/>
      <c r="HM357" s="1"/>
      <c r="HN357" s="1"/>
      <c r="HO357" s="1"/>
      <c r="HP357" s="1"/>
    </row>
    <row r="358" spans="2:224" ht="12.75" hidden="1" customHeight="1" x14ac:dyDescent="0.25">
      <c r="B358" s="12" t="s">
        <v>593</v>
      </c>
      <c r="C358" s="422">
        <v>31.66</v>
      </c>
      <c r="D358" s="208" t="s">
        <v>594</v>
      </c>
      <c r="E358" s="39">
        <f>SnapshotTable[[#This Row],[Last Price]]*(1 -CrashDiscount)</f>
        <v>26.910999999999998</v>
      </c>
      <c r="F358" s="26" t="s">
        <v>230</v>
      </c>
      <c r="G358" s="26" t="s">
        <v>9</v>
      </c>
      <c r="H358" s="149"/>
      <c r="I358" s="194">
        <v>44789.291666666664</v>
      </c>
      <c r="J358" s="195">
        <v>44789.291666666664</v>
      </c>
      <c r="K358" s="196"/>
      <c r="L358" s="326"/>
      <c r="M358" s="140"/>
      <c r="N358" s="140"/>
      <c r="O358" s="140"/>
      <c r="P358" s="22"/>
      <c r="Q358" s="25"/>
      <c r="R358" s="4" t="str">
        <f>IF(SnapshotTable[[#This Row],[Equity Basis Total]] &gt; 0, SnapshotTable[[#This Row],[Equity Basis Total]] / SnapshotTable[[#This Row],[Equity Shares]], "")</f>
        <v/>
      </c>
      <c r="S358" s="269">
        <f>SnapshotTable[[#This Row],[Last Price]] * SnapshotTable[[#This Row],[Equity Shares]]</f>
        <v>0</v>
      </c>
      <c r="T358" s="269">
        <f>SnapshotTable[[#This Row],[Equity Value]] - SnapshotTable[[#This Row],[Equity Basis Total]]</f>
        <v>0</v>
      </c>
      <c r="U358" s="270" t="str">
        <f>IF(SnapshotTable[[#This Row],[Equity Basis Total]] &gt; 0, SnapshotTable[[#This Row],[Equity G/L]] / SnapshotTable[[#This Row],[Equity Basis Total]], "")</f>
        <v/>
      </c>
      <c r="V358" s="268"/>
      <c r="W358" s="268"/>
      <c r="X358" s="4" t="str">
        <f>IF(AND(ISNUMBER(SnapshotTable[[#This Row],[Equity Basis Per Share]]),ISNUMBER(SnapshotTable[[#This Row],[Equity Target]])),SnapshotTable[[#This Row],[Equity Target]]-SnapshotTable[[#This Row],[Equity Basis Per Share]],"")</f>
        <v/>
      </c>
      <c r="Y358" s="4" t="str">
        <f>IF(AND(ISNUMBER(SnapshotTable[[#This Row],[Equity Basis Per Share]]),ISNUMBER(SnapshotTable[[#This Row],[Equity Stop Loss]])),SnapshotTable[[#This Row],[Equity Stop Loss]]-SnapshotTable[[#This Row],[Equity Basis Per Share]],"")</f>
        <v/>
      </c>
      <c r="Z358" s="275" t="str">
        <f>IFERROR( TEXT(SnapshotTable[[#This Row],[Equity Max Gain Per Share]] /ABS( SnapshotTable[[#This Row],[Equity Max Loss Per Share]]),"0.0 " ) &amp; " : 1", "")</f>
        <v/>
      </c>
      <c r="AA358" s="31" t="str">
        <f>IF(ISNUMBER(SnapshotTable[[#This Row],[Equity Max Gain Per Share]]),SnapshotTable[[#This Row],[Equity Max Gain Per Share]] * SnapshotTable[[#This Row],[Equity Shares]],"")</f>
        <v/>
      </c>
      <c r="AB358" s="31" t="str">
        <f>IF(ISNUMBER(SnapshotTable[[#This Row],[Equity Max Loss Per Share]]),SnapshotTable[[#This Row],[Equity Max Loss Per Share]] * SnapshotTable[[#This Row],[Equity Shares]],"")</f>
        <v/>
      </c>
      <c r="AC358" s="150"/>
      <c r="AD358" s="151"/>
      <c r="AE358" s="31">
        <f>(SnapshotTable[[#This Row],[Annual Dividend Per Share]] / 4) * SnapshotTable[[#This Row],[Equity Shares]]</f>
        <v>0</v>
      </c>
      <c r="AF358" s="31">
        <f>SnapshotTable[[#This Row],[Quarterly Div $]] * 4</f>
        <v>0</v>
      </c>
      <c r="AG358" s="7">
        <f>IF(SnapshotTable[[#This Row],[Annual Dividend Per Share]]&gt;0, SnapshotTable[[#This Row],[Annual Dividend Per Share]]  / SnapshotTable[[#This Row],[Last Price]], 0)</f>
        <v>0</v>
      </c>
      <c r="AH358" s="151"/>
      <c r="AI358" s="5"/>
      <c r="AJ358" s="138">
        <v>26.2</v>
      </c>
      <c r="AK358" s="152" t="str">
        <f>IF(ISNUMBER( SnapshotTable[[#This Row],[EBF Target]]),(SnapshotTable[[#This Row],[EBF Target]] - SnapshotTable[[#This Row],[Last Price]]) / SnapshotTable[[#This Row],[Last Price]], "")</f>
        <v/>
      </c>
      <c r="AL358" s="152" t="str">
        <f>IF(AND(SnapshotTable[[#This Row],[Equity Basis Total]] &gt; 0,ISNUMBER( SnapshotTable[[#This Row],[Long Term Target]])), SnapshotTable[[#This Row],[From Basis $]] / SnapshotTable[[#This Row],[Equity Basis Total]], "")</f>
        <v/>
      </c>
      <c r="AM358" s="9">
        <f>IF( AND(SnapshotTable[[#This Row],[Equity Shares]] &gt;0,ISNUMBER( SnapshotTable[[#This Row],[Long Term Target]])),(SnapshotTable[[#This Row],[Equity Shares]] * SnapshotTable[[#This Row],[Long Term Target]]) - SnapshotTable[[#This Row],[Equity Basis Total]],0)</f>
        <v>0</v>
      </c>
      <c r="AN358" s="9">
        <f>IF( AND(SnapshotTable[[#This Row],[Equity Shares]] &gt;0,ISNUMBER( SnapshotTable[[#This Row],[Long Term Target]])),(SnapshotTable[[#This Row],[Equity Shares]]*SnapshotTable[[#This Row],[Long Term Target]]) - SnapshotTable[[#This Row],[Equity Value]],0)</f>
        <v>0</v>
      </c>
      <c r="AO358" s="152">
        <f>IF(AND(ISNUMBER( SnapshotTable[[#This Row],[Long Term Target]]), ISNUMBER(SnapshotTable[[#This Row],[Last Price]])),(SnapshotTable[[#This Row],[Long Term Target]] - SnapshotTable[[#This Row],[Last Price]]) / SnapshotTable[[#This Row],[Last Price]], "")</f>
        <v>-0.17245735944409352</v>
      </c>
      <c r="AP358" s="5">
        <v>30</v>
      </c>
      <c r="AQ358" s="38" t="s">
        <v>38</v>
      </c>
      <c r="AR358" s="5">
        <v>30</v>
      </c>
      <c r="AS358" s="38" t="s">
        <v>26</v>
      </c>
      <c r="AT358" s="146" t="s">
        <v>538</v>
      </c>
      <c r="AU358" s="187" t="str">
        <f>IF(OR(SnapshotTable[[#This Row],[LP No Fill]]="Y",SnapshotTable[[#This Row],[SP Is Filled]],SnapshotTable[[#This Row],[LC Not Filled]]="Y",SnapshotTable[[#This Row],[SC Is Filled]]),"Y","")</f>
        <v/>
      </c>
      <c r="AV358" s="219"/>
      <c r="AW358" s="225"/>
      <c r="AX358" s="220"/>
      <c r="AY358" s="219" t="str">
        <f>IF(SnapshotTable[[#This Row],[Implied Move]]&gt;0, SnapshotTable[[#This Row],[Last Price]]-SnapshotTable[[#This Row],[Implied Move]],"")</f>
        <v/>
      </c>
      <c r="AZ358" s="219" t="str">
        <f>IF(SnapshotTable[[#This Row],[Implied Move]]&gt;0, SnapshotTable[[#This Row],[Last Price]] + SnapshotTable[[#This Row],[Implied Move]],"")</f>
        <v/>
      </c>
      <c r="BA358" s="331"/>
      <c r="BB358" s="347"/>
      <c r="BC35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8" s="351"/>
      <c r="BE358" s="5"/>
      <c r="BF358" s="14"/>
      <c r="BG358" s="13"/>
      <c r="BH358" s="13"/>
      <c r="BI358" s="5"/>
      <c r="BJ358" s="136">
        <f>IF(SnapshotTable[[#This Row],[LP Qty]] &gt; 0, SnapshotTable[[#This Row],[LP Qty]] * SnapshotTable[[#This Row],[LP Book Price]] * 100,0)</f>
        <v>0</v>
      </c>
      <c r="BK358" s="136">
        <f>IF(SnapshotTable[[#This Row],[LP Premium]] &gt; 0, SnapshotTable[[#This Row],[LP Qty]] * SnapshotTable[[#This Row],[LP Strike Price]] * 100,0)</f>
        <v>0</v>
      </c>
      <c r="BL358" s="154"/>
      <c r="BM358" s="385" t="str">
        <f>IF(SnapshotTable[[#This Row],[LP Premium]] &gt; 0,SnapshotTable[[#This Row],[LP Exp Date]]-MAX(SnapshotTable[[#This Row],[LP Book Date]], SnapshotTable[[#This Row],[LP Fill Date]]),"")</f>
        <v/>
      </c>
      <c r="BN358" s="385" t="str">
        <f>IF(ISNUMBER( SnapshotTable[[#This Row],[LP Term]]), SnapshotTable[[#This Row],[LP Exp Date]] - MockToday,"")</f>
        <v/>
      </c>
      <c r="BO358" s="163" t="str">
        <f>IF(AND(SnapshotTable[[#This Row],[LP Exp Date]]&gt;0, SnapshotTable[[#This Row],[LP Strike Price]]&gt;0,SnapshotTable[[#This Row],[LP Qty]]&gt;0,SnapshotTable[[#This Row],[LP Book Date]]&gt;0,SnapshotTable[[#This Row],[LP Book Price]]&gt;0,SnapshotTable[[#This Row],[LP Fill Date]]=0),"Y","")</f>
        <v/>
      </c>
      <c r="BP358" s="31" t="str">
        <f>IF(AND(SnapshotTable[[#This Row],[LP No Fill]]&lt;&gt;"Y",SnapshotTable[[#This Row],[LP Contract Value]]&gt;0, SnapshotTable[[#This Row],[LP Qty]]&gt;0), SnapshotTable[[#This Row],[LP Contract Value]]*SnapshotTable[[#This Row],[LP Qty]]*100,"")</f>
        <v/>
      </c>
      <c r="BQ358" s="13"/>
      <c r="BR358" s="5" t="str">
        <f>IF(SnapshotTable[[#This Row],[SP Exp Date]]&lt;&gt;"",TRUNC(SnapshotTable[[#This Row],[Last Price]]),"")</f>
        <v/>
      </c>
      <c r="BS358" s="36"/>
      <c r="BT358" s="147"/>
      <c r="BU358" s="13"/>
      <c r="BV358" s="5"/>
      <c r="BW358" s="419" t="b">
        <f>AND(ISNUMBER(SnapshotTable[[#This Row],[SP Exp Date]]), ISNUMBER(SnapshotTable[[#This Row],[SP Strike Price]]), ISNUMBER(SnapshotTable[[#This Row],[SP Qty]]), ISNUMBER(SnapshotTable[[#This Row],[SP Book Date]]), ISNUMBER(SnapshotTable[[#This Row],[SP Book Price]]))</f>
        <v>0</v>
      </c>
      <c r="BX358" s="419" t="b">
        <f>AND(SnapshotTable[[#This Row],[SP Is Booked]], NOT(ISBLANK(SnapshotTable[[#This Row],[SP Fill Date]])))</f>
        <v>0</v>
      </c>
      <c r="BY358" s="33">
        <f>IF(SnapshotTable[[#This Row],[SP Is Booked]], SnapshotTable[[#This Row],[SP Qty]] * SnapshotTable[[#This Row],[SP Book Price]] * 100, 0)</f>
        <v>0</v>
      </c>
      <c r="BZ358" s="369"/>
      <c r="CA358" s="368">
        <f>SnapshotTable[[#This Row],[LP Qty]]</f>
        <v>0</v>
      </c>
      <c r="CB358" s="4" t="str">
        <f>IF(SnapshotTable[[#This Row],[SP Is Booked]], SnapshotTable[[#This Row],[SP Strike Price]] - SnapshotTable[[#This Row],[SP Book Price]], "")</f>
        <v/>
      </c>
      <c r="CC358" s="19" t="str">
        <f>IF(SnapshotTable[[#This Row],[SP Is Booked]],SnapshotTable[[#This Row],[SP Exp Date]]-MAX(SnapshotTable[[#This Row],[SP Book Date]], SnapshotTable[[#This Row],[SP Fill Date]]),"")</f>
        <v/>
      </c>
      <c r="CD358" s="7" t="str">
        <f>IF(SnapshotTable[[#This Row],[SP Is Booked]], SnapshotTable[[#This Row],[SP Book Price]]/SnapshotTable[[#This Row],[SP Strike Price]], "")</f>
        <v/>
      </c>
      <c r="CE358" s="7" t="str">
        <f>IF(ISNUMBER(SnapshotTable[[#This Row],[SP ROO Term]]),SnapshotTable[[#This Row],[SP ROO Term]]*(365/SnapshotTable[[#This Row],[SP Term]]),"")</f>
        <v/>
      </c>
      <c r="CF358" s="236">
        <f>SnapshotTable[[#This Row],[LP Strike Price]] * SnapshotTable[[#This Row],[LP Qty]] * 100</f>
        <v>0</v>
      </c>
      <c r="CG358" s="31" t="e">
        <f>IF(ISNUMBER(SnapshotTable[[#This Row],[SP Premium]]), (SnapshotTable[[#This Row],[SP Qty]] * SnapshotTable[[#This Row],[SP Strike Price]]* 100) - SnapshotTable[[#This Row],[LP Protection]], 0)</f>
        <v>#VALUE!</v>
      </c>
      <c r="CH358" s="7" t="str">
        <f>IF(ISNUMBER(SnapshotTable[[#This Row],[SP Break Even]]),-1 * (SnapshotTable[[#This Row],[SP Break Even]] - SnapshotTable[[#This Row],[Last Price]]) / SnapshotTable[[#This Row],[Last Price]], "")</f>
        <v/>
      </c>
      <c r="CI358" s="31">
        <f>IF(AND(ISNUMBER((SnapshotTable[[#This Row],[SP Potential Spend]])), SnapshotTable[[#This Row],[SP Strike Price]] &gt; SnapshotTable[[#This Row],[Last Price]], SnapshotTable[[#This Row],[SP Is Filled]]), SnapshotTable[[#This Row],[SP Potential Spend]] -  SnapshotTable[[#This Row],[LP Max Value]], 0)</f>
        <v>0</v>
      </c>
      <c r="CJ358" s="244"/>
      <c r="CK358" s="31" t="str">
        <f>IF(ISNUMBER(SnapshotTable[[#This Row],[SP Potential Spend]]),IF(ISNUMBER(SnapshotTable[[#This Row],[SP POW]]), SnapshotTable[[#This Row],[SP POW]] * SnapshotTable[[#This Row],[SP Potential Spend]], SnapshotTable[[#This Row],[SP Potential Spend]]), "")</f>
        <v/>
      </c>
      <c r="CL358" s="164" t="e">
        <f>IF(NOT(SnapshotTable[[#This Row],[SP Is Filled]]),(SnapshotTable[[#This Row],[SP Qty]] * SnapshotTable[[#This Row],[SP Strike Price]] * 100) - SnapshotTable[[#This Row],[LP Max Value]],"")</f>
        <v>#VALUE!</v>
      </c>
      <c r="CM358" s="31" t="str">
        <f>IF(SnapshotTable[[#This Row],[SP Actual Spend]]&lt;&gt;0, ((SnapshotTable[[#This Row],[SP Strike Price]]-SnapshotTable[[#This Row],[Last Price]]) *(SnapshotTable[[#This Row],[SP Qty]]*100) - SnapshotTable[[#This Row],[SP Premium]]) * - 1, "")</f>
        <v/>
      </c>
      <c r="CN358" s="218"/>
      <c r="CO358" s="369"/>
      <c r="CP358" s="4" t="str">
        <f>IF(SnapshotTable[[#This Row],[SP Is Filled]], btc_max_buyback_amount(SnapshotTable[[#This Row],[SP Fill Date]],SnapshotTable[[#This Row],[SP Exp Date]], SnapshotTable[[#This Row],[SP Book Price]]),"")</f>
        <v/>
      </c>
      <c r="CQ358" s="78"/>
      <c r="CR35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8" s="155" t="str">
        <f>IF(SnapshotTable[[#This Row],[SP Is Filled]], btc_next_cutoff_date(SnapshotTable[[#This Row],[SP Fill Date]],SnapshotTable[[#This Row],[SP Exp Date]]),"")</f>
        <v/>
      </c>
      <c r="CT358" s="235" t="str" cm="1">
        <f t="array" ref="CT358">IF(SnapshotTable[[#This Row],[SP Is Filled]], btc_should_buy_back(SnapshotTable[[#This Row],[SP Fill Date]], SnapshotTable[[#This Row],[SP Exp Date]], SnapshotTable[[#This Row],[SP Book Price]], SnapshotTable[[#This Row],[SP Current Ask]], MockToday, SnapshotTable[[#This Row],[SP Buyback Override]]),"")</f>
        <v/>
      </c>
      <c r="CU358" s="143"/>
      <c r="CV358" s="235"/>
      <c r="CW358" s="378" t="str">
        <f>IF(ISNUMBER( SnapshotTable[[#This Row],[SP Term]]), SnapshotTable[[#This Row],[SP Exp Date]] - MockToday,"")</f>
        <v/>
      </c>
      <c r="CX358" s="31" t="str">
        <f>IF(SnapshotTable[[#This Row],[SP Is Filled]],SnapshotTable[[#This Row],[SP Buyback Price to Use]] * 100 * SnapshotTable[[#This Row],[SP Qty]], "")</f>
        <v/>
      </c>
      <c r="CY358" s="4" t="str">
        <f>IF(ISNUMBER(SnapshotTable[[#This Row],[SP Strike Price]]), SnapshotTable[[#This Row],[SP Strike Price]] * (1 - SP_MaxLoss_StrikePct), "")</f>
        <v/>
      </c>
      <c r="CZ358" s="31" t="str">
        <f>IF(ISNUMBER(SnapshotTable[[#This Row],[SP Strike  Stop Per Share]]),SnapshotTable[[#This Row],[SP Premium]] - ((SnapshotTable[[#This Row],[SP Strike Price]]-SnapshotTable[[#This Row],[SP Strike  Stop Per Share]]) *(SnapshotTable[[#This Row],[SP Qty]] * 100)),"")</f>
        <v/>
      </c>
      <c r="DA358" s="4" t="str">
        <f>IF(AND(ISNUMBER(SnapshotTable[[#This Row],[SP Premium]]),SnapshotTable[[#This Row],[SP Premium]]&gt;0), SnapshotTable[[#This Row],[SP Book Price]] * (1 + SP_MaxLoss_OptionPct), "")</f>
        <v/>
      </c>
      <c r="DB358" s="31" t="str">
        <f>IF(ISNUMBER(SnapshotTable[[#This Row],[SP Option  Stop Contract]]),(SnapshotTable[[#This Row],[SP Option  Stop Contract]] *(SnapshotTable[[#This Row],[SP Qty]] * 100) - SnapshotTable[[#This Row],[SP Premium]]),"")</f>
        <v/>
      </c>
      <c r="DC358" s="4"/>
      <c r="DD358" s="4"/>
      <c r="DE358" s="4" t="str">
        <f>IF(AND(SnapshotTable[[#This Row],[SP Qty]]&gt;0, SnapshotTable[[#This Row],[SP Stop To Use]]&gt;0),SnapshotTable[[#This Row],[SP Premium]] - ( SnapshotTable[[#This Row],[SP Qty]] * SnapshotTable[[#This Row],[SP Stop To Use]] * 100), "")</f>
        <v/>
      </c>
      <c r="DF358" s="31" t="str">
        <f>IF(AND(SnapshotTable[[#This Row],[SP Qty]]&gt;0,SnapshotTable[[#This Row],[SP Current Ask]]&gt;0), SnapshotTable[[#This Row],[SP Qty]] * SnapshotTable[[#This Row],[SP Current Ask]] * -100, "")</f>
        <v/>
      </c>
      <c r="DG358" s="31" t="str">
        <f>IF(ISNUMBER((SnapshotTable[[#This Row],[SP Total Value]])), SnapshotTable[[#This Row],[SP Premium]] + SnapshotTable[[#This Row],[SP Total Value]], "")</f>
        <v/>
      </c>
      <c r="DH358" s="294" t="str">
        <f>IF(ISNUMBER((SnapshotTable[[#This Row],[SP Total Value]])), SnapshotTable[[#This Row],[SP Gain Loss]] / SnapshotTable[[#This Row],[SP Premium]], "")</f>
        <v/>
      </c>
      <c r="DI358" s="406"/>
      <c r="DJ358" s="138"/>
      <c r="DK358" s="148"/>
      <c r="DL358" s="13"/>
      <c r="DM358" s="13"/>
      <c r="DO358" s="31">
        <f>IF(SnapshotTable[[#This Row],[LC Symbol Count]]=1, SnapshotTable[[#This Row],[LC Qty]] * SnapshotTable[[#This Row],[LC Book Price]] * 100, 0)</f>
        <v>0</v>
      </c>
      <c r="DP358" s="163" t="str">
        <f>IF(AND(SnapshotTable[[#This Row],[LC Exp Date]]&gt;0, SnapshotTable[[#This Row],[LC Strike Price]]&gt;0,SnapshotTable[[#This Row],[LC Qty]]&gt;0,SnapshotTable[[#This Row],[LC Book Date]]&gt;0,SnapshotTable[[#This Row],[LC Book Price]]&gt;0,SnapshotTable[[#This Row],[LC Fill Date]]=0),"Y","")</f>
        <v/>
      </c>
      <c r="DQ358" s="386" t="str">
        <f>IF(SnapshotTable[[#This Row],[LC Premium]] &gt; 0,SnapshotTable[[#This Row],[LC Exp Date]]-MAX(SnapshotTable[[#This Row],[LC Book Date]], SnapshotTable[[#This Row],[LC Fill Date]]),"")</f>
        <v/>
      </c>
      <c r="DR358" s="386" t="str">
        <f>IF(ISNUMBER(SnapshotTable[[#This Row],[LC Term]]), SnapshotTable[[#This Row],[LC Exp Date]] - MockToday, "")</f>
        <v/>
      </c>
      <c r="DS358" s="234" t="str">
        <f>IF(SnapshotTable[[#This Row],[LC Premium]]&gt;0,SnapshotTable[[#This Row],[LC Strike Price]] + SnapshotTable[[#This Row],[LC Book Price]],"")</f>
        <v/>
      </c>
      <c r="DU358" s="9" t="str">
        <f>IF(AND(SnapshotTable[[#This Row],[LC Symbol Count]]&gt;0, SnapshotTable[[#This Row],[LC Contract Value]]&gt;0), SnapshotTable[[#This Row],[LC Contract Value]] * SnapshotTable[[#This Row],[LC Qty]] * 100, "")</f>
        <v/>
      </c>
      <c r="DV358" s="9" t="str">
        <f>IF(AND(ISNUMBER(SnapshotTable[[#This Row],[LC Total Value]]), SnapshotTable[[#This Row],[LC Not Filled]]&lt;&gt;"Y"), SnapshotTable[[#This Row],[LC Total Value]]-SnapshotTable[[#This Row],[LC Premium]],"")</f>
        <v/>
      </c>
      <c r="DW358" s="240" t="str">
        <f>IF(ISNUMBER(SnapshotTable[[#This Row],[LC Actual Gain Loss]]), SnapshotTable[[#This Row],[LC Actual Gain Loss]] / SnapshotTable[[#This Row],[LC Premium]],"")</f>
        <v/>
      </c>
      <c r="DX358" s="284" t="str">
        <f>IF(ISNUMBER(SnapshotTable[[#This Row],[LC Book Price]]),SnapshotTable[[#This Row],[LC Book Price]] * 1.5,"")</f>
        <v/>
      </c>
      <c r="DY358" s="265" t="str">
        <f>IF(SnapshotTable[[#This Row],[LC Premium]]&gt;0, SnapshotTable[[#This Row],[LC Next Target]] * SnapshotTable[[#This Row],[LC Qty]] * 100,"")</f>
        <v/>
      </c>
      <c r="DZ358" s="265" t="str">
        <f>IF(ISNUMBER(SnapshotTable[[#This Row],[LC Target Gross]]), SnapshotTable[[#This Row],[LC Target Gross]] - SnapshotTable[[#This Row],[LC Premium]], "")</f>
        <v/>
      </c>
      <c r="EA358" s="305" t="str">
        <f>IF(ISNUMBER(SnapshotTable[[#This Row],[LC Target Gain Loss]]), SnapshotTable[[#This Row],[LC Target Gain Loss]]/SnapshotTable[[#This Row],[LC Premium]], "")</f>
        <v/>
      </c>
      <c r="EB358" s="262"/>
      <c r="EC358" s="283" t="str">
        <f>IF(SnapshotTable[[#This Row],[LC Premium]]&gt;0, SnapshotTable[[#This Row],[LC Book Price]] * (1 - LC_StopLoss_Pct),"")</f>
        <v/>
      </c>
      <c r="ED358" s="284"/>
      <c r="EE358" s="283" t="str">
        <f>IF(ISNUMBER(SnapshotTable[[#This Row],[LC Contract Value]]),IF(ISNUMBER(SnapshotTable[[#This Row],[LC Stop Loss Override]]), SnapshotTable[[#This Row],[LC Stop Loss Override]],SnapshotTable[[#This Row],[LC Stop Loss Calc Target]]),"")</f>
        <v/>
      </c>
      <c r="EF358" s="31" t="str">
        <f>IF(ISNUMBER(SnapshotTable[[#This Row],[LC Stop  To Use]]), (SnapshotTable[[#This Row],[LC Stop  To Use]] * SnapshotTable[[#This Row],[LC Qty]] * 100),"")</f>
        <v/>
      </c>
      <c r="EG358" s="9" t="str">
        <f>IF(ISNUMBER(SnapshotTable[[#This Row],[LC Total Value]]),SnapshotTable[[#This Row],[LC Stop Loss Amount]] - SnapshotTable[[#This Row],[LC Premium]],"")</f>
        <v/>
      </c>
      <c r="EH358" s="9">
        <f>IF(ISNUMBER(SnapshotTable[[#This Row],[LC Premium]]), SnapshotTable[[#This Row],[LC Qty]] * 100 * SnapshotTable[[#This Row],[LC Strike Price]], "")</f>
        <v>0</v>
      </c>
      <c r="EI358" s="240" t="str">
        <f>IF(AND(ISNUMBER(SnapshotTable[[#This Row],[LC Total Value]]),SnapshotTable[[#This Row],[LC Total Value]]&gt;0),SnapshotTable[[#This Row],[LC Stop Gain Loss]]  / SnapshotTable[[#This Row],[LC Premium]],"")</f>
        <v/>
      </c>
      <c r="EJ358" s="35">
        <f>IF(ISNUMBER(SnapshotTable[[#This Row],[Equity Shares]]),TRUNC(SnapshotTable[[#This Row],[Equity Shares]] / 100),0) + SnapshotTable[[#This Row],[LC Qty]]</f>
        <v>0</v>
      </c>
      <c r="EK358" s="147"/>
      <c r="EL358" s="138" t="str">
        <f>IF(SnapshotTable[[#This Row],[SC Exp Date]]&lt;&gt;"",TRUNC(SnapshotTable[[#This Row],[Last Price]]),"")</f>
        <v/>
      </c>
      <c r="EM358" s="148"/>
      <c r="EN358" s="147"/>
      <c r="EO358" s="147"/>
      <c r="EP358" s="138"/>
      <c r="EQ358" s="419" t="b">
        <f>AND(ISNUMBER(SnapshotTable[[#This Row],[SC Exp Date]]), ISNUMBER(SnapshotTable[[#This Row],[SC Strike Price]]), ISNUMBER(SnapshotTable[[#This Row],[SC Qty]]), ISNUMBER(SnapshotTable[[#This Row],[SC Book Date]]), ISNUMBER(SnapshotTable[[#This Row],[SC Book Price]]))</f>
        <v>0</v>
      </c>
      <c r="ER358" s="419" t="b">
        <f>AND(SnapshotTable[[#This Row],[SC Is Booked]], NOT(ISBLANK(SnapshotTable[[#This Row],[SC Fill Date]])))</f>
        <v>0</v>
      </c>
      <c r="ES358" s="370"/>
      <c r="ET358" s="34" t="str">
        <f>IF(AND(ISNUMBER(SnapshotTable[[#This Row],[SC Exp Date]]), ISNUMBER(SnapshotTable[[#This Row],[SC Book Date]])), SnapshotTable[[#This Row],[SC Exp Date]] - MAX(SnapshotTable[[#This Row],[SC Book Date]], SnapshotTable[[#This Row],[SC Fill Date]]) + 1, "")</f>
        <v/>
      </c>
      <c r="EU358" s="34" t="str">
        <f>IF(ISNUMBER(SnapshotTable[[#This Row],[SC Term]]), SnapshotTable[[#This Row],[SC Exp Date]]- MockToday, "")</f>
        <v/>
      </c>
      <c r="EV358" s="31">
        <f>IF(SnapshotTable[[#This Row],[SC Is Booked]], SnapshotTable[[#This Row],[SC Qty]] * SnapshotTable[[#This Row],[SC Book Price]] * 100, 0)</f>
        <v>0</v>
      </c>
      <c r="EW358" s="4" t="str">
        <f>IF(AND(ISNUMBER(SnapshotTable[[#This Row],[Last Price]]), ISNUMBER( SnapshotTable[[#This Row],[SC Book Price]])), SnapshotTable[[#This Row],[Last Price]] - SnapshotTable[[#This Row],[SC Book Price]],"")</f>
        <v/>
      </c>
      <c r="EX358" s="234" t="str">
        <f>IF(SnapshotTable[[#This Row],[SC Is Booked]],IF(SnapshotTable[[#This Row],[SC Intrinsic Value]] &gt; 0, SnapshotTable[[#This Row],[SC Strike Price]], SnapshotTable[[#This Row],[Last Price]]), "")</f>
        <v/>
      </c>
      <c r="EY358" s="4">
        <f>IF(SnapshotTable[[#This Row],[SC Is Booked]], (MinimumPremiumRequired * SnapshotTable[[#This Row],[SC Basis]] * SnapshotTable[[#This Row],[SC Term]]), 0)</f>
        <v>0</v>
      </c>
      <c r="EZ358" s="283"/>
      <c r="FA358" s="218"/>
      <c r="FB358" s="370"/>
      <c r="FC358" s="4">
        <f>IF(SnapshotTable[[#This Row],[SC Is Filled]], btc_max_buyback_amount(SnapshotTable[[#This Row],[SC Fill Date]],SnapshotTable[[#This Row],[SC Exp Date]], SnapshotTable[[#This Row],[SC Book Price]]),0)</f>
        <v>0</v>
      </c>
      <c r="FD358" s="5"/>
      <c r="FE358" s="144" t="str">
        <f>IF(SnapshotTable[[#This Row],[SC Is Filled]], btc_next_cutoff_date(SnapshotTable[[#This Row],[SC Fill Date]],SnapshotTable[[#This Row],[SC Exp Date]]),"")</f>
        <v/>
      </c>
      <c r="FF358" s="4" t="str" cm="1">
        <f t="array" ref="FF358">IF(SnapshotTable[[#This Row],[SC Is Filled]], btc_should_buy_back(SnapshotTable[[#This Row],[SC Fill Date]], SnapshotTable[[#This Row],[SC Exp Date]], SnapshotTable[[#This Row],[SC Book Price]], SnapshotTable[[#This Row],[SC Current Ask]], MockToday, SnapshotTable[[#This Row],[SC Buyback Override]]),"")</f>
        <v/>
      </c>
      <c r="FG358" s="4">
        <f>IF(SnapshotTable[[#This Row],[SC Is Filled]], MAX(0,SnapshotTable[[#This Row],[Last Price]]  - SnapshotTable[[#This Row],[SC Strike Price]]), 0)</f>
        <v>0</v>
      </c>
      <c r="FH358" s="382">
        <f>IF(SnapshotTable[[#This Row],[SC Is Filled]], IF(ISNUMBER(SnapshotTable[[#This Row],[SC Current Ask]]), SnapshotTable[[#This Row],[SC Current Ask]], SnapshotTable[[#This Row],[SC Book Price]]) - SnapshotTable[[#This Row],[SC Intrinsic Value]], 0)</f>
        <v>0</v>
      </c>
      <c r="FI358" s="143"/>
      <c r="FJ358" s="32" t="str">
        <f>IF(SnapshotTable[[#This Row],[SC Is Filled]],100 * SnapshotTable[[#This Row],[SC Qty]] * IF(ISNUMBER(SnapshotTable[[#This Row],[SC Buyback Override]]), SnapshotTable[[#This Row],[SC Buyback Override]], SnapshotTable[[#This Row],[SC Current Ask]]), "")</f>
        <v/>
      </c>
      <c r="FK358" s="250" t="str">
        <f>IF(SnapshotTable[[#This Row],[SC Time Val]]&gt;0, SnapshotTable[[#This Row],[SC Time Val]] / SnapshotTable[[#This Row],[Last Price]],"")</f>
        <v/>
      </c>
      <c r="FL358" s="302" t="str">
        <f>IF(SnapshotTable[[#This Row],[SC Is Booked]], ((SnapshotTable[[#This Row],[Last Price]] -SnapshotTable[[#This Row],[SC Strike Price]]) / SnapshotTable[[#This Row],[Last Price]]) * -1, "")</f>
        <v/>
      </c>
      <c r="FM358" s="157" t="str">
        <f>IF(SnapshotTable[[#This Row],[SC Is Booked]],  (SnapshotTable[[#This Row],[SC Qty]] * 100 * SnapshotTable[[#This Row],[SC Strike Price]]) - SnapshotTable[[#This Row],[SC Current Ask]], "")</f>
        <v/>
      </c>
      <c r="FN35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8" s="31" t="str">
        <f>IF(AND(ISNUMBER(SnapshotTable[[#This Row],[SC Exercise Gross]]), ISNUMBER(SnapshotTable[[#This Row],[Equity Basis Per Share]] )), SnapshotTable[[#This Row],[SC Exercise Gross]] - SnapshotTable[[#This Row],[Equity Basis Total]] +  SnapshotTable[[#This Row],[SC Premium]], "")</f>
        <v/>
      </c>
      <c r="FP358" s="5" t="str">
        <f>IF(ISNUMBER(SnapshotTable[[#This Row],[SC Exercise Gross]]), (SnapshotTable[[#This Row],[SC Exercise Gross]]) / (SnapshotTable[[#This Row],[SC Qty]] * 100), "")</f>
        <v/>
      </c>
      <c r="FQ358" s="27" t="str">
        <f>IF(SnapshotTable[[#This Row],[SC Is Booked]],SnapshotTable[[#This Row],[SC Time Val]] /SnapshotTable[[#This Row],[SC Basis]], "")</f>
        <v/>
      </c>
      <c r="FR358" s="27" t="str" cm="1">
        <f t="array" ref="FR358">IF(AND(ISNUMBER(SnapshotTable[[#This Row],[SC Term]]),ISNUMBER(SnapshotTable[[#This Row],[SC Simple ROO]])), EllmanAnnualize(SnapshotTable[[#This Row],[SC DTE]], SnapshotTable[[#This Row],[SC Simple ROO]] ),"")</f>
        <v/>
      </c>
      <c r="FS358" s="4" t="e">
        <f>IF(SnapshotTable[[#This Row],[SC Strike Price]] &gt; SnapshotTable[[#This Row],[Last Price]], SnapshotTable[[#This Row],[SC Strike Price]] - SnapshotTable[[#This Row],[Last Price]],0)</f>
        <v>#VALUE!</v>
      </c>
      <c r="FT358" s="27" t="e">
        <f>IF(AND(ISNUMBER(SnapshotTable[[#This Row],[SC Upside Potential]]), SnapshotTable[[#This Row],[SC Upside Potential]] &gt; 0),(SnapshotTable[[#This Row],[SC Upside Potential]]/ SnapshotTable[[#This Row],[ACB]]),"")</f>
        <v>#VALUE!</v>
      </c>
      <c r="FU358" s="333" t="str">
        <f>IF(SnapshotTable[[#This Row],[SC Intrinsic Value]] &gt; 0,SnapshotTable[[#This Row],[SC Intrinsic Value]],"")</f>
        <v/>
      </c>
      <c r="FV358" s="27" t="str">
        <f>IF(AND( ISNUMBER( SnapshotTable[[#This Row],[ACB]]),ISNUMBER(SnapshotTable[[#This Row],[SC Downside Protect]])),SnapshotTable[[#This Row],[SC Downside Protect]] / SnapshotTable[[#This Row],[ACB]],"")</f>
        <v/>
      </c>
      <c r="FW358" s="236" t="str">
        <f>IF(AND(ISNUMBER(SnapshotTable[[#This Row],[SC Simple ROO]]),SnapshotTable[[#This Row],[SC Simple ROO]] &gt; 0), SnapshotTable[[#This Row],[SC Premium]] + (SnapshotTable[[#This Row],[SC Qty]] * SnapshotTable[[#This Row],[SC Upside Potential]]), "")</f>
        <v/>
      </c>
      <c r="FX358" s="302" t="str" cm="1">
        <f t="array" ref="FX358">IF(ISNUMBER(SnapshotTable[[#This Row],[SC Max Dollars]]), annualize(SnapshotTable[[#This Row],[SC Term]],(SnapshotTable[[#This Row],[SC Max Dollars]]/SnapshotTable[[#This Row],[SC Basis]])),"")</f>
        <v/>
      </c>
      <c r="FY358" s="236" t="str">
        <f>IF(AND(SnapshotTable[[#This Row],[SC Qty]]&gt;0,SnapshotTable[[#This Row],[SC Current Ask]]&gt;0), SnapshotTable[[#This Row],[SC Qty]] * SnapshotTable[[#This Row],[SC Current Ask]] * -100, "")</f>
        <v/>
      </c>
      <c r="FZ358" s="31" t="str">
        <f>IF(ISNUMBER((SnapshotTable[[#This Row],[SC Current Value]])), SnapshotTable[[#This Row],[SC Premium]] + SnapshotTable[[#This Row],[SC Current Value]], "")</f>
        <v/>
      </c>
      <c r="GA358" s="294" t="str">
        <f>IFERROR( IF(ISNUMBER((SnapshotTable[[#This Row],[SC Current Value]])), SnapshotTable[[#This Row],[SC Gain Loss]] / SnapshotTable[[#This Row],[SC Premium]], ""), "")</f>
        <v/>
      </c>
      <c r="GB358" s="42">
        <f>SnapshotTable[[#This Row],[Equity Shares]] * SaleSharesToConsiderPercentage</f>
        <v>0</v>
      </c>
      <c r="GC358" s="40">
        <f>SnapshotTable[[#This Row],[Long Term Target]] * SellingPriceToConsiderBasedOnTargetPercentage</f>
        <v>24.889999999999997</v>
      </c>
      <c r="GD358" s="40">
        <f>SnapshotTable[[#This Row],[Last Price]] * (1+ SellingPriceToConsiderBasedOnTargetPercentage)</f>
        <v>61.737000000000002</v>
      </c>
      <c r="GE358" s="41"/>
      <c r="GF358" s="40"/>
      <c r="GG358" s="31">
        <f>SnapshotTable[[#This Row],[Booked Sale Shares]] * SnapshotTable[[#This Row],[Booked Sale Price]]</f>
        <v>0</v>
      </c>
      <c r="GH358" s="31" t="str">
        <f>IF(SnapshotTable[[#This Row],[Equity Basis Total]] &gt; 0, SnapshotTable[[#This Row],[Equity Basis Per Share]] * SnapshotTable[[#This Row],[Booked Sale Shares]], "")</f>
        <v/>
      </c>
      <c r="GI358" s="31">
        <f>IF(SnapshotTable[[#This Row],[Sale Proceeds]]&gt;0, SnapshotTable[[#This Row],[Sale Proceeds]] - SnapshotTable[[#This Row],[Sale Basis]], 0)</f>
        <v>0</v>
      </c>
      <c r="GJ358" s="27" t="str">
        <f>IF(SnapshotTable[[#This Row],[Sale G/L]]&gt;0, SnapshotTable[[#This Row],[Sale G/L]] / SnapshotTable[[#This Row],[Sale Basis]], IF(ISNUMBER(SnapshotTable[[#This Row],[SC Exercise P&amp;L (TAX)]]), SnapshotTable[[#This Row],[SC Exercise P&amp;L (TAX)]] / SnapshotTable[[#This Row],[SC Basis]], ""))</f>
        <v/>
      </c>
      <c r="GK358" s="27" t="s">
        <v>795</v>
      </c>
      <c r="GL358" s="43" t="str">
        <f>IF(AND(SnapshotTable[[#This Row],[LP Exp Date]]&gt;0,SnapshotTable[[#This Row],[LP Strike Price]]&gt;0), [1]!ToOptionSymbol(SnapshotTable[[#This Row],[Symbol]], SnapshotTable[[#This Row],[LP Strike Price]],SnapshotTable[[#This Row],[LP Exp Date]],1), "")</f>
        <v/>
      </c>
      <c r="GM358" s="30" t="str">
        <f>IF(LEN(SnapshotTable[[#This Row],[LP Symbol]])&gt;0, 1, "")</f>
        <v/>
      </c>
      <c r="GN358" s="43" t="str">
        <f>IF(AND(SnapshotTable[[#This Row],[SP Exp Date]]&gt;0,SnapshotTable[[#This Row],[SP Strike Price]]&gt;0), [1]!ToOptionSymbol(SnapshotTable[[#This Row],[Symbol]], SnapshotTable[[#This Row],[SP Strike Price]],SnapshotTable[[#This Row],[SP Exp Date]],1), "")</f>
        <v/>
      </c>
      <c r="GO358" s="30" t="str">
        <f>IF(LEN(SnapshotTable[[#This Row],[SP Symbol]])&gt;0, 1, "")</f>
        <v/>
      </c>
      <c r="GP358" s="43" t="str">
        <f>IF(AND(SnapshotTable[[#This Row],[LC Exp Date]]&gt;0,SnapshotTable[[#This Row],[LC Strike Price]]&gt;0), [1]!ToOptionSymbol(SnapshotTable[[#This Row],[Symbol]], SnapshotTable[[#This Row],[LC Strike Price]],SnapshotTable[[#This Row],[LC Exp Date]],0), "")</f>
        <v/>
      </c>
      <c r="GQ358" s="30" t="str">
        <f>IF(LEN(SnapshotTable[[#This Row],[LC Symbol]])&gt;0, 1, "")</f>
        <v/>
      </c>
      <c r="GR358" s="43" t="str">
        <f>IF(AND(SnapshotTable[[#This Row],[SC Exp Date]]&gt;0,SnapshotTable[[#This Row],[SC Strike Price]]&gt;0), [1]!ToOptionSymbol(SnapshotTable[[#This Row],[Symbol]], SnapshotTable[[#This Row],[SC Strike Price]],SnapshotTable[[#This Row],[SC Exp Date]],0), "")</f>
        <v/>
      </c>
      <c r="GS358" s="30" t="str">
        <f>IF(LEN(SnapshotTable[[#This Row],[SC Symbol]])&gt;0, 1, "")</f>
        <v/>
      </c>
      <c r="GT358" s="29" t="str">
        <f>IF(COUNT(SnapshotTable[[#This Row],[LP Symbol Count]],SnapshotTable[[#This Row],[SP Symbol Count]],SnapshotTable[[#This Row],[LC Symbol Count]],SnapshotTable[[#This Row],[SC Symbol Count]])&gt;0, "Y", "")</f>
        <v/>
      </c>
      <c r="GU35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8" s="231" t="e">
        <f>MAX(SnapshotTable[[#This Row],[Equity Basis Total]],SnapshotTable[[#This Row],[Equity Value]]) + (SnapshotTable[[#This Row],[SP Potential Spend]]- SnapshotTable[[#This Row],[SP Premium]] + SnapshotTable[[#This Row],[LP Premium]])+ (SnapshotTable[[#This Row],[LC Premium]] - SnapshotTable[[#This Row],[SC Premium]])</f>
        <v>#VALUE!</v>
      </c>
      <c r="GW358" s="139" t="e">
        <f>IF(AND(SnapshotTable[[#This Row],[Exposure]] &lt;&gt; 0),SnapshotTable[[#This Row],[Exposure]] / SnapshotTable[[#Totals],[Exposure]], "")</f>
        <v>#VALUE!</v>
      </c>
      <c r="HK358" s="1"/>
      <c r="HL358" s="1"/>
      <c r="HM358" s="1"/>
      <c r="HN358" s="1"/>
      <c r="HO358" s="1"/>
      <c r="HP358" s="1"/>
    </row>
    <row r="359" spans="2:224" ht="12.75" hidden="1" customHeight="1" x14ac:dyDescent="0.25">
      <c r="B359" s="12" t="s">
        <v>969</v>
      </c>
      <c r="C359" s="422">
        <v>111.36</v>
      </c>
      <c r="D359" s="208" t="s">
        <v>587</v>
      </c>
      <c r="E359" s="39">
        <f>SnapshotTable[[#This Row],[Last Price]]*(1 -CrashDiscount)</f>
        <v>94.655999999999992</v>
      </c>
      <c r="F359" s="26" t="s">
        <v>550</v>
      </c>
      <c r="G359" s="26" t="s">
        <v>41</v>
      </c>
      <c r="H359" s="149"/>
      <c r="I359" s="194">
        <v>44868.715277777781</v>
      </c>
      <c r="J359" s="195">
        <v>44868.715277777781</v>
      </c>
      <c r="K359" s="196" t="s">
        <v>3</v>
      </c>
      <c r="L359" s="326"/>
      <c r="M359" s="140"/>
      <c r="N359" s="140"/>
      <c r="O359" s="140"/>
      <c r="P359" s="22"/>
      <c r="Q359" s="25"/>
      <c r="R359" s="4" t="str">
        <f>IF(SnapshotTable[[#This Row],[Equity Basis Total]] &gt; 0, SnapshotTable[[#This Row],[Equity Basis Total]] / SnapshotTable[[#This Row],[Equity Shares]], "")</f>
        <v/>
      </c>
      <c r="S359" s="269">
        <f>SnapshotTable[[#This Row],[Last Price]] * SnapshotTable[[#This Row],[Equity Shares]]</f>
        <v>0</v>
      </c>
      <c r="T359" s="269">
        <f>SnapshotTable[[#This Row],[Equity Value]] - SnapshotTable[[#This Row],[Equity Basis Total]]</f>
        <v>0</v>
      </c>
      <c r="U359" s="270" t="str">
        <f>IF(SnapshotTable[[#This Row],[Equity Basis Total]] &gt; 0, SnapshotTable[[#This Row],[Equity G/L]] / SnapshotTable[[#This Row],[Equity Basis Total]], "")</f>
        <v/>
      </c>
      <c r="V359" s="268"/>
      <c r="W359" s="268"/>
      <c r="X359" s="4" t="str">
        <f>IF(AND(ISNUMBER(SnapshotTable[[#This Row],[Equity Basis Per Share]]),ISNUMBER(SnapshotTable[[#This Row],[Equity Target]])),SnapshotTable[[#This Row],[Equity Target]]-SnapshotTable[[#This Row],[Equity Basis Per Share]],"")</f>
        <v/>
      </c>
      <c r="Y359" s="4" t="str">
        <f>IF(AND(ISNUMBER(SnapshotTable[[#This Row],[Equity Basis Per Share]]),ISNUMBER(SnapshotTable[[#This Row],[Equity Stop Loss]])),SnapshotTable[[#This Row],[Equity Stop Loss]]-SnapshotTable[[#This Row],[Equity Basis Per Share]],"")</f>
        <v/>
      </c>
      <c r="Z359" s="275" t="str">
        <f>IFERROR( TEXT(SnapshotTable[[#This Row],[Equity Max Gain Per Share]] /ABS( SnapshotTable[[#This Row],[Equity Max Loss Per Share]]),"0.0 " ) &amp; " : 1", "")</f>
        <v/>
      </c>
      <c r="AA359" s="31" t="str">
        <f>IF(ISNUMBER(SnapshotTable[[#This Row],[Equity Max Gain Per Share]]),SnapshotTable[[#This Row],[Equity Max Gain Per Share]] * SnapshotTable[[#This Row],[Equity Shares]],"")</f>
        <v/>
      </c>
      <c r="AB359" s="31" t="str">
        <f>IF(ISNUMBER(SnapshotTable[[#This Row],[Equity Max Loss Per Share]]),SnapshotTable[[#This Row],[Equity Max Loss Per Share]] * SnapshotTable[[#This Row],[Equity Shares]],"")</f>
        <v/>
      </c>
      <c r="AC359" s="150"/>
      <c r="AD359" s="151"/>
      <c r="AE359" s="31">
        <f>(SnapshotTable[[#This Row],[Annual Dividend Per Share]] / 4) * SnapshotTable[[#This Row],[Equity Shares]]</f>
        <v>0</v>
      </c>
      <c r="AF359" s="31">
        <f>SnapshotTable[[#This Row],[Quarterly Div $]] * 4</f>
        <v>0</v>
      </c>
      <c r="AG359" s="7">
        <f>IF(SnapshotTable[[#This Row],[Annual Dividend Per Share]]&gt;0, SnapshotTable[[#This Row],[Annual Dividend Per Share]]  / SnapshotTable[[#This Row],[Last Price]], 0)</f>
        <v>0</v>
      </c>
      <c r="AH359" s="151"/>
      <c r="AI359" s="5"/>
      <c r="AJ359" s="138">
        <v>60.45</v>
      </c>
      <c r="AK359" s="152" t="str">
        <f>IF(ISNUMBER( SnapshotTable[[#This Row],[EBF Target]]),(SnapshotTable[[#This Row],[EBF Target]] - SnapshotTable[[#This Row],[Last Price]]) / SnapshotTable[[#This Row],[Last Price]], "")</f>
        <v/>
      </c>
      <c r="AL359" s="152" t="str">
        <f>IF(AND(SnapshotTable[[#This Row],[Equity Basis Total]] &gt; 0,ISNUMBER( SnapshotTable[[#This Row],[Long Term Target]])), SnapshotTable[[#This Row],[From Basis $]] / SnapshotTable[[#This Row],[Equity Basis Total]], "")</f>
        <v/>
      </c>
      <c r="AM359" s="9">
        <f>IF( AND(SnapshotTable[[#This Row],[Equity Shares]] &gt;0,ISNUMBER( SnapshotTable[[#This Row],[Long Term Target]])),(SnapshotTable[[#This Row],[Equity Shares]] * SnapshotTable[[#This Row],[Long Term Target]]) - SnapshotTable[[#This Row],[Equity Basis Total]],0)</f>
        <v>0</v>
      </c>
      <c r="AN359" s="9">
        <f>IF( AND(SnapshotTable[[#This Row],[Equity Shares]] &gt;0,ISNUMBER( SnapshotTable[[#This Row],[Long Term Target]])),(SnapshotTable[[#This Row],[Equity Shares]]*SnapshotTable[[#This Row],[Long Term Target]]) - SnapshotTable[[#This Row],[Equity Value]],0)</f>
        <v>0</v>
      </c>
      <c r="AO359" s="152">
        <f>IF(AND(ISNUMBER( SnapshotTable[[#This Row],[Long Term Target]]), ISNUMBER(SnapshotTable[[#This Row],[Last Price]])),(SnapshotTable[[#This Row],[Long Term Target]] - SnapshotTable[[#This Row],[Last Price]]) / SnapshotTable[[#This Row],[Last Price]], "")</f>
        <v>-0.45716594827586204</v>
      </c>
      <c r="AP359" s="5">
        <v>31</v>
      </c>
      <c r="AQ359" s="38" t="s">
        <v>27</v>
      </c>
      <c r="AR359" s="5">
        <v>31</v>
      </c>
      <c r="AS359" s="38" t="s">
        <v>38</v>
      </c>
      <c r="AT359" s="146" t="s">
        <v>542</v>
      </c>
      <c r="AU359" s="187" t="str">
        <f>IF(OR(SnapshotTable[[#This Row],[LP No Fill]]="Y",SnapshotTable[[#This Row],[SP Is Filled]],SnapshotTable[[#This Row],[LC Not Filled]]="Y",SnapshotTable[[#This Row],[SC Is Filled]]),"Y","")</f>
        <v/>
      </c>
      <c r="AV359" s="219"/>
      <c r="AW359" s="225"/>
      <c r="AX359" s="220"/>
      <c r="AY359" s="219" t="str">
        <f>IF(SnapshotTable[[#This Row],[Implied Move]]&gt;0, SnapshotTable[[#This Row],[Last Price]]-SnapshotTable[[#This Row],[Implied Move]],"")</f>
        <v/>
      </c>
      <c r="AZ359" s="219" t="str">
        <f>IF(SnapshotTable[[#This Row],[Implied Move]]&gt;0, SnapshotTable[[#This Row],[Last Price]] + SnapshotTable[[#This Row],[Implied Move]],"")</f>
        <v/>
      </c>
      <c r="BA359" s="331">
        <v>30.4</v>
      </c>
      <c r="BB359" s="347"/>
      <c r="BC35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9" s="351"/>
      <c r="BE359" s="138"/>
      <c r="BF359" s="166"/>
      <c r="BG359" s="167"/>
      <c r="BH359" s="167"/>
      <c r="BI359" s="221"/>
      <c r="BJ359" s="153">
        <f>IF(SnapshotTable[[#This Row],[LP Qty]] &gt; 0, SnapshotTable[[#This Row],[LP Qty]] * SnapshotTable[[#This Row],[LP Book Price]] * 100,0)</f>
        <v>0</v>
      </c>
      <c r="BK359" s="136">
        <f>IF(SnapshotTable[[#This Row],[LP Premium]] &gt; 0, SnapshotTable[[#This Row],[LP Qty]] * SnapshotTable[[#This Row],[LP Strike Price]] * 100,0)</f>
        <v>0</v>
      </c>
      <c r="BL359" s="154"/>
      <c r="BM359" s="385" t="str">
        <f>IF(SnapshotTable[[#This Row],[LP Premium]] &gt; 0,SnapshotTable[[#This Row],[LP Exp Date]]-MAX(SnapshotTable[[#This Row],[LP Book Date]], SnapshotTable[[#This Row],[LP Fill Date]]),"")</f>
        <v/>
      </c>
      <c r="BN359" s="385" t="str">
        <f>IF(ISNUMBER( SnapshotTable[[#This Row],[LP Term]]), SnapshotTable[[#This Row],[LP Exp Date]] - MockToday,"")</f>
        <v/>
      </c>
      <c r="BO359" s="163" t="str">
        <f>IF(AND(SnapshotTable[[#This Row],[LP Exp Date]]&gt;0, SnapshotTable[[#This Row],[LP Strike Price]]&gt;0,SnapshotTable[[#This Row],[LP Qty]]&gt;0,SnapshotTable[[#This Row],[LP Book Date]]&gt;0,SnapshotTable[[#This Row],[LP Book Price]]&gt;0,SnapshotTable[[#This Row],[LP Fill Date]]=0),"Y","")</f>
        <v/>
      </c>
      <c r="BP359" s="31" t="str">
        <f>IF(AND(SnapshotTable[[#This Row],[LP No Fill]]&lt;&gt;"Y",SnapshotTable[[#This Row],[LP Contract Value]]&gt;0, SnapshotTable[[#This Row],[LP Qty]]&gt;0), SnapshotTable[[#This Row],[LP Contract Value]]*SnapshotTable[[#This Row],[LP Qty]]*100,"")</f>
        <v/>
      </c>
      <c r="BQ359" s="13"/>
      <c r="BR359" s="5" t="str">
        <f>IF(SnapshotTable[[#This Row],[SP Exp Date]]&lt;&gt;"",TRUNC(SnapshotTable[[#This Row],[Last Price]]),"")</f>
        <v/>
      </c>
      <c r="BS359" s="36"/>
      <c r="BT359" s="147"/>
      <c r="BU359" s="13"/>
      <c r="BV359" s="5"/>
      <c r="BW359" s="419" t="b">
        <f>AND(ISNUMBER(SnapshotTable[[#This Row],[SP Exp Date]]), ISNUMBER(SnapshotTable[[#This Row],[SP Strike Price]]), ISNUMBER(SnapshotTable[[#This Row],[SP Qty]]), ISNUMBER(SnapshotTable[[#This Row],[SP Book Date]]), ISNUMBER(SnapshotTable[[#This Row],[SP Book Price]]))</f>
        <v>0</v>
      </c>
      <c r="BX359" s="419" t="b">
        <f>AND(SnapshotTable[[#This Row],[SP Is Booked]], NOT(ISBLANK(SnapshotTable[[#This Row],[SP Fill Date]])))</f>
        <v>0</v>
      </c>
      <c r="BY359" s="33">
        <f>IF(SnapshotTable[[#This Row],[SP Is Booked]], SnapshotTable[[#This Row],[SP Qty]] * SnapshotTable[[#This Row],[SP Book Price]] * 100, 0)</f>
        <v>0</v>
      </c>
      <c r="BZ359" s="369"/>
      <c r="CA359" s="368">
        <f>SnapshotTable[[#This Row],[LP Qty]]</f>
        <v>0</v>
      </c>
      <c r="CB359" s="4" t="str">
        <f>IF(SnapshotTable[[#This Row],[SP Is Booked]], SnapshotTable[[#This Row],[SP Strike Price]] - SnapshotTable[[#This Row],[SP Book Price]], "")</f>
        <v/>
      </c>
      <c r="CC359" s="19" t="str">
        <f>IF(SnapshotTable[[#This Row],[SP Is Booked]],SnapshotTable[[#This Row],[SP Exp Date]]-MAX(SnapshotTable[[#This Row],[SP Book Date]], SnapshotTable[[#This Row],[SP Fill Date]]),"")</f>
        <v/>
      </c>
      <c r="CD359" s="7" t="str">
        <f>IF(SnapshotTable[[#This Row],[SP Is Booked]], SnapshotTable[[#This Row],[SP Book Price]]/SnapshotTable[[#This Row],[SP Strike Price]], "")</f>
        <v/>
      </c>
      <c r="CE359" s="7" t="str">
        <f>IF(ISNUMBER(SnapshotTable[[#This Row],[SP ROO Term]]),SnapshotTable[[#This Row],[SP ROO Term]]*(365/SnapshotTable[[#This Row],[SP Term]]),"")</f>
        <v/>
      </c>
      <c r="CF359" s="236">
        <f>SnapshotTable[[#This Row],[LP Strike Price]] * SnapshotTable[[#This Row],[LP Qty]] * 100</f>
        <v>0</v>
      </c>
      <c r="CG359" s="31" t="e">
        <f>IF(ISNUMBER(SnapshotTable[[#This Row],[SP Premium]]), (SnapshotTable[[#This Row],[SP Qty]] * SnapshotTable[[#This Row],[SP Strike Price]]* 100) - SnapshotTable[[#This Row],[LP Protection]], 0)</f>
        <v>#VALUE!</v>
      </c>
      <c r="CH359" s="7" t="str">
        <f>IF(ISNUMBER(SnapshotTable[[#This Row],[SP Break Even]]),-1 * (SnapshotTable[[#This Row],[SP Break Even]] - SnapshotTable[[#This Row],[Last Price]]) / SnapshotTable[[#This Row],[Last Price]], "")</f>
        <v/>
      </c>
      <c r="CI359" s="31">
        <f>IF(AND(ISNUMBER((SnapshotTable[[#This Row],[SP Potential Spend]])), SnapshotTable[[#This Row],[SP Strike Price]] &gt; SnapshotTable[[#This Row],[Last Price]], SnapshotTable[[#This Row],[SP Is Filled]]), SnapshotTable[[#This Row],[SP Potential Spend]] -  SnapshotTable[[#This Row],[LP Max Value]], 0)</f>
        <v>0</v>
      </c>
      <c r="CJ359" s="244"/>
      <c r="CK359" s="31" t="str">
        <f>IF(ISNUMBER(SnapshotTable[[#This Row],[SP Potential Spend]]),IF(ISNUMBER(SnapshotTable[[#This Row],[SP POW]]), SnapshotTable[[#This Row],[SP POW]] * SnapshotTable[[#This Row],[SP Potential Spend]], SnapshotTable[[#This Row],[SP Potential Spend]]), "")</f>
        <v/>
      </c>
      <c r="CL359" s="164" t="e">
        <f>IF(NOT(SnapshotTable[[#This Row],[SP Is Filled]]),(SnapshotTable[[#This Row],[SP Qty]] * SnapshotTable[[#This Row],[SP Strike Price]] * 100) - SnapshotTable[[#This Row],[LP Max Value]],"")</f>
        <v>#VALUE!</v>
      </c>
      <c r="CM359" s="31" t="str">
        <f>IF(SnapshotTable[[#This Row],[SP Actual Spend]]&lt;&gt;0, ((SnapshotTable[[#This Row],[SP Strike Price]]-SnapshotTable[[#This Row],[Last Price]]) *(SnapshotTable[[#This Row],[SP Qty]]*100) - SnapshotTable[[#This Row],[SP Premium]]) * - 1, "")</f>
        <v/>
      </c>
      <c r="CN359" s="227"/>
      <c r="CO359" s="369"/>
      <c r="CP359" s="4" t="str">
        <f>IF(SnapshotTable[[#This Row],[SP Is Filled]], btc_max_buyback_amount(SnapshotTable[[#This Row],[SP Fill Date]],SnapshotTable[[#This Row],[SP Exp Date]], SnapshotTable[[#This Row],[SP Book Price]]),"")</f>
        <v/>
      </c>
      <c r="CQ359" s="78"/>
      <c r="CR35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9" s="155" t="str">
        <f>IF(SnapshotTable[[#This Row],[SP Is Filled]], btc_next_cutoff_date(SnapshotTable[[#This Row],[SP Fill Date]],SnapshotTable[[#This Row],[SP Exp Date]]),"")</f>
        <v/>
      </c>
      <c r="CT359" s="235" t="str" cm="1">
        <f t="array" ref="CT359">IF(SnapshotTable[[#This Row],[SP Is Filled]], btc_should_buy_back(SnapshotTable[[#This Row],[SP Fill Date]], SnapshotTable[[#This Row],[SP Exp Date]], SnapshotTable[[#This Row],[SP Book Price]], SnapshotTable[[#This Row],[SP Current Ask]], MockToday, SnapshotTable[[#This Row],[SP Buyback Override]]),"")</f>
        <v/>
      </c>
      <c r="CU359" s="156"/>
      <c r="CV359" s="235"/>
      <c r="CW359" s="378" t="str">
        <f>IF(ISNUMBER( SnapshotTable[[#This Row],[SP Term]]), SnapshotTable[[#This Row],[SP Exp Date]] - MockToday,"")</f>
        <v/>
      </c>
      <c r="CX359" s="31" t="str">
        <f>IF(SnapshotTable[[#This Row],[SP Is Filled]],SnapshotTable[[#This Row],[SP Buyback Price to Use]] * 100 * SnapshotTable[[#This Row],[SP Qty]], "")</f>
        <v/>
      </c>
      <c r="CY359" s="4" t="str">
        <f>IF(ISNUMBER(SnapshotTable[[#This Row],[SP Strike Price]]), SnapshotTable[[#This Row],[SP Strike Price]] * (1 - SP_MaxLoss_StrikePct), "")</f>
        <v/>
      </c>
      <c r="CZ359" s="31" t="str">
        <f>IF(ISNUMBER(SnapshotTable[[#This Row],[SP Strike  Stop Per Share]]),SnapshotTable[[#This Row],[SP Premium]] - ((SnapshotTable[[#This Row],[SP Strike Price]]-SnapshotTable[[#This Row],[SP Strike  Stop Per Share]]) *(SnapshotTable[[#This Row],[SP Qty]] * 100)),"")</f>
        <v/>
      </c>
      <c r="DA359" s="4" t="str">
        <f>IF(AND(ISNUMBER(SnapshotTable[[#This Row],[SP Premium]]),SnapshotTable[[#This Row],[SP Premium]]&gt;0), SnapshotTable[[#This Row],[SP Book Price]] * (1 + SP_MaxLoss_OptionPct), "")</f>
        <v/>
      </c>
      <c r="DB359" s="31" t="str">
        <f>IF(ISNUMBER(SnapshotTable[[#This Row],[SP Option  Stop Contract]]),(SnapshotTable[[#This Row],[SP Option  Stop Contract]] *(SnapshotTable[[#This Row],[SP Qty]] * 100) - SnapshotTable[[#This Row],[SP Premium]]),"")</f>
        <v/>
      </c>
      <c r="DC359" s="4"/>
      <c r="DD359" s="4"/>
      <c r="DE359" s="4" t="str">
        <f>IF(AND(SnapshotTable[[#This Row],[SP Qty]]&gt;0, SnapshotTable[[#This Row],[SP Stop To Use]]&gt;0),SnapshotTable[[#This Row],[SP Premium]] - ( SnapshotTable[[#This Row],[SP Qty]] * SnapshotTable[[#This Row],[SP Stop To Use]] * 100), "")</f>
        <v/>
      </c>
      <c r="DF359" s="31" t="str">
        <f>IF(AND(SnapshotTable[[#This Row],[SP Qty]]&gt;0,SnapshotTable[[#This Row],[SP Current Ask]]&gt;0), SnapshotTable[[#This Row],[SP Qty]] * SnapshotTable[[#This Row],[SP Current Ask]] * -100, "")</f>
        <v/>
      </c>
      <c r="DG359" s="31" t="str">
        <f>IF(ISNUMBER((SnapshotTable[[#This Row],[SP Total Value]])), SnapshotTable[[#This Row],[SP Premium]] + SnapshotTable[[#This Row],[SP Total Value]], "")</f>
        <v/>
      </c>
      <c r="DH359" s="294" t="str">
        <f>IF(ISNUMBER((SnapshotTable[[#This Row],[SP Total Value]])), SnapshotTable[[#This Row],[SP Gain Loss]] / SnapshotTable[[#This Row],[SP Premium]], "")</f>
        <v/>
      </c>
      <c r="DI359" s="406"/>
      <c r="DJ359" s="138"/>
      <c r="DK359" s="148"/>
      <c r="DL359" s="147"/>
      <c r="DM359" s="147"/>
      <c r="DO359" s="31">
        <f>IF(SnapshotTable[[#This Row],[LC Symbol Count]]=1, SnapshotTable[[#This Row],[LC Qty]] * SnapshotTable[[#This Row],[LC Book Price]] * 100, 0)</f>
        <v>0</v>
      </c>
      <c r="DP359" s="163" t="str">
        <f>IF(AND(SnapshotTable[[#This Row],[LC Exp Date]]&gt;0, SnapshotTable[[#This Row],[LC Strike Price]]&gt;0,SnapshotTable[[#This Row],[LC Qty]]&gt;0,SnapshotTable[[#This Row],[LC Book Date]]&gt;0,SnapshotTable[[#This Row],[LC Book Price]]&gt;0,SnapshotTable[[#This Row],[LC Fill Date]]=0),"Y","")</f>
        <v/>
      </c>
      <c r="DQ359" s="386" t="str">
        <f>IF(SnapshotTable[[#This Row],[LC Premium]] &gt; 0,SnapshotTable[[#This Row],[LC Exp Date]]-MAX(SnapshotTable[[#This Row],[LC Book Date]], SnapshotTable[[#This Row],[LC Fill Date]]),"")</f>
        <v/>
      </c>
      <c r="DR359" s="386" t="str">
        <f>IF(ISNUMBER(SnapshotTable[[#This Row],[LC Term]]), SnapshotTable[[#This Row],[LC Exp Date]] - MockToday, "")</f>
        <v/>
      </c>
      <c r="DS359" s="234" t="str">
        <f>IF(SnapshotTable[[#This Row],[LC Premium]]&gt;0,SnapshotTable[[#This Row],[LC Strike Price]] + SnapshotTable[[#This Row],[LC Book Price]],"")</f>
        <v/>
      </c>
      <c r="DU359" s="9" t="str">
        <f>IF(AND(SnapshotTable[[#This Row],[LC Symbol Count]]&gt;0, SnapshotTable[[#This Row],[LC Contract Value]]&gt;0), SnapshotTable[[#This Row],[LC Contract Value]] * SnapshotTable[[#This Row],[LC Qty]] * 100, "")</f>
        <v/>
      </c>
      <c r="DV359" s="9" t="str">
        <f>IF(AND(ISNUMBER(SnapshotTable[[#This Row],[LC Total Value]]), SnapshotTable[[#This Row],[LC Not Filled]]&lt;&gt;"Y"), SnapshotTable[[#This Row],[LC Total Value]]-SnapshotTable[[#This Row],[LC Premium]],"")</f>
        <v/>
      </c>
      <c r="DW359" s="240" t="str">
        <f>IF(ISNUMBER(SnapshotTable[[#This Row],[LC Actual Gain Loss]]), SnapshotTable[[#This Row],[LC Actual Gain Loss]] / SnapshotTable[[#This Row],[LC Premium]],"")</f>
        <v/>
      </c>
      <c r="DX359" s="284" t="str">
        <f>IF(ISNUMBER(SnapshotTable[[#This Row],[LC Book Price]]),SnapshotTable[[#This Row],[LC Book Price]] * 1.5,"")</f>
        <v/>
      </c>
      <c r="DY359" s="265" t="str">
        <f>IF(SnapshotTable[[#This Row],[LC Premium]]&gt;0, SnapshotTable[[#This Row],[LC Next Target]] * SnapshotTable[[#This Row],[LC Qty]] * 100,"")</f>
        <v/>
      </c>
      <c r="DZ359" s="265" t="str">
        <f>IF(ISNUMBER(SnapshotTable[[#This Row],[LC Target Gross]]), SnapshotTable[[#This Row],[LC Target Gross]] - SnapshotTable[[#This Row],[LC Premium]], "")</f>
        <v/>
      </c>
      <c r="EA359" s="305" t="str">
        <f>IF(ISNUMBER(SnapshotTable[[#This Row],[LC Target Gain Loss]]), SnapshotTable[[#This Row],[LC Target Gain Loss]]/SnapshotTable[[#This Row],[LC Premium]], "")</f>
        <v/>
      </c>
      <c r="EB359" s="262"/>
      <c r="EC359" s="283" t="str">
        <f>IF(SnapshotTable[[#This Row],[LC Premium]]&gt;0, SnapshotTable[[#This Row],[LC Book Price]] * (1 - LC_StopLoss_Pct),"")</f>
        <v/>
      </c>
      <c r="ED359" s="284"/>
      <c r="EE359" s="283" t="str">
        <f>IF(ISNUMBER(SnapshotTable[[#This Row],[LC Contract Value]]),IF(ISNUMBER(SnapshotTable[[#This Row],[LC Stop Loss Override]]), SnapshotTable[[#This Row],[LC Stop Loss Override]],SnapshotTable[[#This Row],[LC Stop Loss Calc Target]]),"")</f>
        <v/>
      </c>
      <c r="EF359" s="31" t="str">
        <f>IF(ISNUMBER(SnapshotTable[[#This Row],[LC Stop  To Use]]), (SnapshotTable[[#This Row],[LC Stop  To Use]] * SnapshotTable[[#This Row],[LC Qty]] * 100),"")</f>
        <v/>
      </c>
      <c r="EG359" s="9" t="str">
        <f>IF(ISNUMBER(SnapshotTable[[#This Row],[LC Total Value]]),SnapshotTable[[#This Row],[LC Stop Loss Amount]] - SnapshotTable[[#This Row],[LC Premium]],"")</f>
        <v/>
      </c>
      <c r="EH359" s="9">
        <f>IF(ISNUMBER(SnapshotTable[[#This Row],[LC Premium]]), SnapshotTable[[#This Row],[LC Qty]] * 100 * SnapshotTable[[#This Row],[LC Strike Price]], "")</f>
        <v>0</v>
      </c>
      <c r="EI359" s="240" t="str">
        <f>IF(AND(ISNUMBER(SnapshotTable[[#This Row],[LC Total Value]]),SnapshotTable[[#This Row],[LC Total Value]]&gt;0),SnapshotTable[[#This Row],[LC Stop Gain Loss]]  / SnapshotTable[[#This Row],[LC Premium]],"")</f>
        <v/>
      </c>
      <c r="EJ359" s="35">
        <f>IF(ISNUMBER(SnapshotTable[[#This Row],[Equity Shares]]),TRUNC(SnapshotTable[[#This Row],[Equity Shares]] / 100),0) + SnapshotTable[[#This Row],[LC Qty]]</f>
        <v>0</v>
      </c>
      <c r="EK359" s="147"/>
      <c r="EL359" s="138" t="str">
        <f>IF(SnapshotTable[[#This Row],[SC Exp Date]]&lt;&gt;"",TRUNC(SnapshotTable[[#This Row],[Last Price]]),"")</f>
        <v/>
      </c>
      <c r="EM359" s="148"/>
      <c r="EN359" s="147"/>
      <c r="EO359" s="147"/>
      <c r="EP359" s="138"/>
      <c r="EQ359" s="419" t="b">
        <f>AND(ISNUMBER(SnapshotTable[[#This Row],[SC Exp Date]]), ISNUMBER(SnapshotTable[[#This Row],[SC Strike Price]]), ISNUMBER(SnapshotTable[[#This Row],[SC Qty]]), ISNUMBER(SnapshotTable[[#This Row],[SC Book Date]]), ISNUMBER(SnapshotTable[[#This Row],[SC Book Price]]))</f>
        <v>0</v>
      </c>
      <c r="ER359" s="419" t="b">
        <f>AND(SnapshotTable[[#This Row],[SC Is Booked]], NOT(ISBLANK(SnapshotTable[[#This Row],[SC Fill Date]])))</f>
        <v>0</v>
      </c>
      <c r="ES359" s="370"/>
      <c r="ET359" s="34" t="str">
        <f>IF(AND(ISNUMBER(SnapshotTable[[#This Row],[SC Exp Date]]), ISNUMBER(SnapshotTable[[#This Row],[SC Book Date]])), SnapshotTable[[#This Row],[SC Exp Date]] - MAX(SnapshotTable[[#This Row],[SC Book Date]], SnapshotTable[[#This Row],[SC Fill Date]]) + 1, "")</f>
        <v/>
      </c>
      <c r="EU359" s="34" t="str">
        <f>IF(ISNUMBER(SnapshotTable[[#This Row],[SC Term]]), SnapshotTable[[#This Row],[SC Exp Date]]- MockToday, "")</f>
        <v/>
      </c>
      <c r="EV359" s="31">
        <f>IF(SnapshotTable[[#This Row],[SC Is Booked]], SnapshotTable[[#This Row],[SC Qty]] * SnapshotTable[[#This Row],[SC Book Price]] * 100, 0)</f>
        <v>0</v>
      </c>
      <c r="EW359" s="4" t="str">
        <f>IF(AND(ISNUMBER(SnapshotTable[[#This Row],[Last Price]]), ISNUMBER( SnapshotTable[[#This Row],[SC Book Price]])), SnapshotTable[[#This Row],[Last Price]] - SnapshotTable[[#This Row],[SC Book Price]],"")</f>
        <v/>
      </c>
      <c r="EX359" s="234" t="str">
        <f>IF(SnapshotTable[[#This Row],[SC Is Booked]],IF(SnapshotTable[[#This Row],[SC Intrinsic Value]] &gt; 0, SnapshotTable[[#This Row],[SC Strike Price]], SnapshotTable[[#This Row],[Last Price]]), "")</f>
        <v/>
      </c>
      <c r="EY359" s="4">
        <f>IF(SnapshotTable[[#This Row],[SC Is Booked]], (MinimumPremiumRequired * SnapshotTable[[#This Row],[SC Basis]] * SnapshotTable[[#This Row],[SC Term]]), 0)</f>
        <v>0</v>
      </c>
      <c r="EZ359" s="283"/>
      <c r="FA359" s="218"/>
      <c r="FB359" s="370"/>
      <c r="FC359" s="4">
        <f>IF(SnapshotTable[[#This Row],[SC Is Filled]], btc_max_buyback_amount(SnapshotTable[[#This Row],[SC Fill Date]],SnapshotTable[[#This Row],[SC Exp Date]], SnapshotTable[[#This Row],[SC Book Price]]),0)</f>
        <v>0</v>
      </c>
      <c r="FD359" s="5"/>
      <c r="FE359" s="144" t="str">
        <f>IF(SnapshotTable[[#This Row],[SC Is Filled]], btc_next_cutoff_date(SnapshotTable[[#This Row],[SC Fill Date]],SnapshotTable[[#This Row],[SC Exp Date]]),"")</f>
        <v/>
      </c>
      <c r="FF359" s="4" t="str" cm="1">
        <f t="array" ref="FF359">IF(SnapshotTable[[#This Row],[SC Is Filled]], btc_should_buy_back(SnapshotTable[[#This Row],[SC Fill Date]], SnapshotTable[[#This Row],[SC Exp Date]], SnapshotTable[[#This Row],[SC Book Price]], SnapshotTable[[#This Row],[SC Current Ask]], MockToday, SnapshotTable[[#This Row],[SC Buyback Override]]),"")</f>
        <v/>
      </c>
      <c r="FG359" s="4">
        <f>IF(SnapshotTable[[#This Row],[SC Is Filled]], MAX(0,SnapshotTable[[#This Row],[Last Price]]  - SnapshotTable[[#This Row],[SC Strike Price]]), 0)</f>
        <v>0</v>
      </c>
      <c r="FH359" s="382">
        <f>IF(SnapshotTable[[#This Row],[SC Is Filled]], IF(ISNUMBER(SnapshotTable[[#This Row],[SC Current Ask]]), SnapshotTable[[#This Row],[SC Current Ask]], SnapshotTable[[#This Row],[SC Book Price]]) - SnapshotTable[[#This Row],[SC Intrinsic Value]], 0)</f>
        <v>0</v>
      </c>
      <c r="FI359" s="143"/>
      <c r="FJ359" s="32" t="str">
        <f>IF(SnapshotTable[[#This Row],[SC Is Filled]],100 * SnapshotTable[[#This Row],[SC Qty]] * IF(ISNUMBER(SnapshotTable[[#This Row],[SC Buyback Override]]), SnapshotTable[[#This Row],[SC Buyback Override]], SnapshotTable[[#This Row],[SC Current Ask]]), "")</f>
        <v/>
      </c>
      <c r="FK359" s="250" t="str">
        <f>IF(SnapshotTable[[#This Row],[SC Time Val]]&gt;0, SnapshotTable[[#This Row],[SC Time Val]] / SnapshotTable[[#This Row],[Last Price]],"")</f>
        <v/>
      </c>
      <c r="FL359" s="302" t="str">
        <f>IF(SnapshotTable[[#This Row],[SC Is Booked]], ((SnapshotTable[[#This Row],[Last Price]] -SnapshotTable[[#This Row],[SC Strike Price]]) / SnapshotTable[[#This Row],[Last Price]]) * -1, "")</f>
        <v/>
      </c>
      <c r="FM359" s="157" t="str">
        <f>IF(SnapshotTable[[#This Row],[SC Is Booked]],  (SnapshotTable[[#This Row],[SC Qty]] * 100 * SnapshotTable[[#This Row],[SC Strike Price]]) - SnapshotTable[[#This Row],[SC Current Ask]], "")</f>
        <v/>
      </c>
      <c r="FN359"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9" s="157" t="str">
        <f>IF(AND(ISNUMBER(SnapshotTable[[#This Row],[SC Exercise Gross]]), ISNUMBER(SnapshotTable[[#This Row],[Equity Basis Per Share]] )), SnapshotTable[[#This Row],[SC Exercise Gross]] - SnapshotTable[[#This Row],[Equity Basis Total]] +  SnapshotTable[[#This Row],[SC Premium]], "")</f>
        <v/>
      </c>
      <c r="FP359" s="5" t="str">
        <f>IF(ISNUMBER(SnapshotTable[[#This Row],[SC Exercise Gross]]), (SnapshotTable[[#This Row],[SC Exercise Gross]]) / (SnapshotTable[[#This Row],[SC Qty]] * 100), "")</f>
        <v/>
      </c>
      <c r="FQ359" s="27" t="str">
        <f>IF(SnapshotTable[[#This Row],[SC Is Booked]],SnapshotTable[[#This Row],[SC Time Val]] /SnapshotTable[[#This Row],[SC Basis]], "")</f>
        <v/>
      </c>
      <c r="FR359" s="27" t="str" cm="1">
        <f t="array" ref="FR359">IF(AND(ISNUMBER(SnapshotTable[[#This Row],[SC Term]]),ISNUMBER(SnapshotTable[[#This Row],[SC Simple ROO]])), EllmanAnnualize(SnapshotTable[[#This Row],[SC DTE]], SnapshotTable[[#This Row],[SC Simple ROO]] ),"")</f>
        <v/>
      </c>
      <c r="FS359" s="4" t="e">
        <f>IF(SnapshotTable[[#This Row],[SC Strike Price]] &gt; SnapshotTable[[#This Row],[Last Price]], SnapshotTable[[#This Row],[SC Strike Price]] - SnapshotTable[[#This Row],[Last Price]],0)</f>
        <v>#VALUE!</v>
      </c>
      <c r="FT359" s="27" t="e">
        <f>IF(AND(ISNUMBER(SnapshotTable[[#This Row],[SC Upside Potential]]), SnapshotTable[[#This Row],[SC Upside Potential]] &gt; 0),(SnapshotTable[[#This Row],[SC Upside Potential]]/ SnapshotTable[[#This Row],[ACB]]),"")</f>
        <v>#VALUE!</v>
      </c>
      <c r="FU359" s="333" t="str">
        <f>IF(SnapshotTable[[#This Row],[SC Intrinsic Value]] &gt; 0,SnapshotTable[[#This Row],[SC Intrinsic Value]],"")</f>
        <v/>
      </c>
      <c r="FV359" s="27" t="str">
        <f>IF(AND( ISNUMBER( SnapshotTable[[#This Row],[ACB]]),ISNUMBER(SnapshotTable[[#This Row],[SC Downside Protect]])),SnapshotTable[[#This Row],[SC Downside Protect]] / SnapshotTable[[#This Row],[ACB]],"")</f>
        <v/>
      </c>
      <c r="FW359" s="236" t="str">
        <f>IF(AND(ISNUMBER(SnapshotTable[[#This Row],[SC Simple ROO]]),SnapshotTable[[#This Row],[SC Simple ROO]] &gt; 0), SnapshotTable[[#This Row],[SC Premium]] + (SnapshotTable[[#This Row],[SC Qty]] * SnapshotTable[[#This Row],[SC Upside Potential]]), "")</f>
        <v/>
      </c>
      <c r="FX359" s="302" t="str" cm="1">
        <f t="array" ref="FX359">IF(ISNUMBER(SnapshotTable[[#This Row],[SC Max Dollars]]), annualize(SnapshotTable[[#This Row],[SC Term]],(SnapshotTable[[#This Row],[SC Max Dollars]]/SnapshotTable[[#This Row],[SC Basis]])),"")</f>
        <v/>
      </c>
      <c r="FY359" s="236" t="str">
        <f>IF(AND(SnapshotTable[[#This Row],[SC Qty]]&gt;0,SnapshotTable[[#This Row],[SC Current Ask]]&gt;0), SnapshotTable[[#This Row],[SC Qty]] * SnapshotTable[[#This Row],[SC Current Ask]] * -100, "")</f>
        <v/>
      </c>
      <c r="FZ359" s="31" t="str">
        <f>IF(ISNUMBER((SnapshotTable[[#This Row],[SC Current Value]])), SnapshotTable[[#This Row],[SC Premium]] + SnapshotTable[[#This Row],[SC Current Value]], "")</f>
        <v/>
      </c>
      <c r="GA359" s="294" t="str">
        <f>IFERROR( IF(ISNUMBER((SnapshotTable[[#This Row],[SC Current Value]])), SnapshotTable[[#This Row],[SC Gain Loss]] / SnapshotTable[[#This Row],[SC Premium]], ""), "")</f>
        <v/>
      </c>
      <c r="GB359" s="42">
        <f>SnapshotTable[[#This Row],[Equity Shares]] * SaleSharesToConsiderPercentage</f>
        <v>0</v>
      </c>
      <c r="GC359" s="40">
        <f>SnapshotTable[[#This Row],[Long Term Target]] * SellingPriceToConsiderBasedOnTargetPercentage</f>
        <v>57.427500000000002</v>
      </c>
      <c r="GD359" s="40">
        <f>SnapshotTable[[#This Row],[Last Price]] * (1+ SellingPriceToConsiderBasedOnTargetPercentage)</f>
        <v>217.15199999999999</v>
      </c>
      <c r="GE359" s="41"/>
      <c r="GF359" s="40"/>
      <c r="GG359" s="31">
        <f>SnapshotTable[[#This Row],[Booked Sale Shares]] * SnapshotTable[[#This Row],[Booked Sale Price]]</f>
        <v>0</v>
      </c>
      <c r="GH359" s="31" t="str">
        <f>IF(SnapshotTable[[#This Row],[Equity Basis Total]] &gt; 0, SnapshotTable[[#This Row],[Equity Basis Per Share]] * SnapshotTable[[#This Row],[Booked Sale Shares]], "")</f>
        <v/>
      </c>
      <c r="GI359" s="31">
        <f>IF(SnapshotTable[[#This Row],[Sale Proceeds]]&gt;0, SnapshotTable[[#This Row],[Sale Proceeds]] - SnapshotTable[[#This Row],[Sale Basis]], 0)</f>
        <v>0</v>
      </c>
      <c r="GJ359" s="158" t="str">
        <f>IF(SnapshotTable[[#This Row],[Sale G/L]]&gt;0, SnapshotTable[[#This Row],[Sale G/L]] / SnapshotTable[[#This Row],[Sale Basis]], IF(ISNUMBER(SnapshotTable[[#This Row],[SC Exercise P&amp;L (TAX)]]), SnapshotTable[[#This Row],[SC Exercise P&amp;L (TAX)]] / SnapshotTable[[#This Row],[SC Basis]], ""))</f>
        <v/>
      </c>
      <c r="GK359" s="158"/>
      <c r="GL359" s="159" t="str">
        <f>IF(AND(SnapshotTable[[#This Row],[LP Exp Date]]&gt;0,SnapshotTable[[#This Row],[LP Strike Price]]&gt;0), [1]!ToOptionSymbol(SnapshotTable[[#This Row],[Symbol]], SnapshotTable[[#This Row],[LP Strike Price]],SnapshotTable[[#This Row],[LP Exp Date]],1), "")</f>
        <v/>
      </c>
      <c r="GM359" s="30" t="str">
        <f>IF(LEN(SnapshotTable[[#This Row],[LP Symbol]])&gt;0, 1, "")</f>
        <v/>
      </c>
      <c r="GN359" s="43" t="str">
        <f>IF(AND(SnapshotTable[[#This Row],[SP Exp Date]]&gt;0,SnapshotTable[[#This Row],[SP Strike Price]]&gt;0), [1]!ToOptionSymbol(SnapshotTable[[#This Row],[Symbol]], SnapshotTable[[#This Row],[SP Strike Price]],SnapshotTable[[#This Row],[SP Exp Date]],1), "")</f>
        <v/>
      </c>
      <c r="GO359" s="30" t="str">
        <f>IF(LEN(SnapshotTable[[#This Row],[SP Symbol]])&gt;0, 1, "")</f>
        <v/>
      </c>
      <c r="GP359" s="159" t="str">
        <f>IF(AND(SnapshotTable[[#This Row],[LC Exp Date]]&gt;0,SnapshotTable[[#This Row],[LC Strike Price]]&gt;0), [1]!ToOptionSymbol(SnapshotTable[[#This Row],[Symbol]], SnapshotTable[[#This Row],[LC Strike Price]],SnapshotTable[[#This Row],[LC Exp Date]],0), "")</f>
        <v/>
      </c>
      <c r="GQ359" s="160" t="str">
        <f>IF(LEN(SnapshotTable[[#This Row],[LC Symbol]])&gt;0, 1, "")</f>
        <v/>
      </c>
      <c r="GR359" s="159" t="str">
        <f>IF(AND(SnapshotTable[[#This Row],[SC Exp Date]]&gt;0,SnapshotTable[[#This Row],[SC Strike Price]]&gt;0), [1]!ToOptionSymbol(SnapshotTable[[#This Row],[Symbol]], SnapshotTable[[#This Row],[SC Strike Price]],SnapshotTable[[#This Row],[SC Exp Date]],0), "")</f>
        <v/>
      </c>
      <c r="GS359" s="160" t="str">
        <f>IF(LEN(SnapshotTable[[#This Row],[SC Symbol]])&gt;0, 1, "")</f>
        <v/>
      </c>
      <c r="GT359" s="161" t="str">
        <f>IF(COUNT(SnapshotTable[[#This Row],[LP Symbol Count]],SnapshotTable[[#This Row],[SP Symbol Count]],SnapshotTable[[#This Row],[LC Symbol Count]],SnapshotTable[[#This Row],[SC Symbol Count]])&gt;0, "Y", "")</f>
        <v/>
      </c>
      <c r="GU35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9" s="231" t="e">
        <f>MAX(SnapshotTable[[#This Row],[Equity Basis Total]],SnapshotTable[[#This Row],[Equity Value]]) + (SnapshotTable[[#This Row],[SP Potential Spend]]- SnapshotTable[[#This Row],[SP Premium]] + SnapshotTable[[#This Row],[LP Premium]])+ (SnapshotTable[[#This Row],[LC Premium]] - SnapshotTable[[#This Row],[SC Premium]])</f>
        <v>#VALUE!</v>
      </c>
      <c r="GW359" s="139" t="e">
        <f>IF(AND(SnapshotTable[[#This Row],[Exposure]] &lt;&gt; 0),SnapshotTable[[#This Row],[Exposure]] / SnapshotTable[[#Totals],[Exposure]], "")</f>
        <v>#VALUE!</v>
      </c>
      <c r="HK359" s="1"/>
      <c r="HL359" s="1"/>
      <c r="HM359" s="1"/>
      <c r="HN359" s="1"/>
      <c r="HO359" s="1"/>
      <c r="HP359" s="1"/>
    </row>
    <row r="360" spans="2:224" ht="12.75" hidden="1" customHeight="1" x14ac:dyDescent="0.25">
      <c r="B360" s="12" t="s">
        <v>88</v>
      </c>
      <c r="C360" s="422">
        <v>34.32</v>
      </c>
      <c r="D360" s="208"/>
      <c r="E360" s="39">
        <f>SnapshotTable[[#This Row],[Last Price]]*(1 -CrashDiscount)</f>
        <v>29.172000000000001</v>
      </c>
      <c r="F360" s="26" t="s">
        <v>87</v>
      </c>
      <c r="G360" s="26" t="s">
        <v>17</v>
      </c>
      <c r="H360" s="149"/>
      <c r="I360" s="194">
        <v>44777.270833333336</v>
      </c>
      <c r="J360" s="195">
        <v>44777.270833333336</v>
      </c>
      <c r="K360" s="196"/>
      <c r="L360" s="326"/>
      <c r="M360" s="140"/>
      <c r="N360" s="140"/>
      <c r="O360" s="140"/>
      <c r="P360" s="22"/>
      <c r="Q360" s="25"/>
      <c r="R360" s="4" t="str">
        <f>IF(SnapshotTable[[#This Row],[Equity Basis Total]] &gt; 0, SnapshotTable[[#This Row],[Equity Basis Total]] / SnapshotTable[[#This Row],[Equity Shares]], "")</f>
        <v/>
      </c>
      <c r="S360" s="269">
        <f>SnapshotTable[[#This Row],[Last Price]] * SnapshotTable[[#This Row],[Equity Shares]]</f>
        <v>0</v>
      </c>
      <c r="T360" s="269">
        <f>SnapshotTable[[#This Row],[Equity Value]] - SnapshotTable[[#This Row],[Equity Basis Total]]</f>
        <v>0</v>
      </c>
      <c r="U360" s="270" t="str">
        <f>IF(SnapshotTable[[#This Row],[Equity Basis Total]] &gt; 0, SnapshotTable[[#This Row],[Equity G/L]] / SnapshotTable[[#This Row],[Equity Basis Total]], "")</f>
        <v/>
      </c>
      <c r="V360" s="268"/>
      <c r="W360" s="268"/>
      <c r="X360" s="4" t="str">
        <f>IF(AND(ISNUMBER(SnapshotTable[[#This Row],[Equity Basis Per Share]]),ISNUMBER(SnapshotTable[[#This Row],[Equity Target]])),SnapshotTable[[#This Row],[Equity Target]]-SnapshotTable[[#This Row],[Equity Basis Per Share]],"")</f>
        <v/>
      </c>
      <c r="Y360" s="4" t="str">
        <f>IF(AND(ISNUMBER(SnapshotTable[[#This Row],[Equity Basis Per Share]]),ISNUMBER(SnapshotTable[[#This Row],[Equity Stop Loss]])),SnapshotTable[[#This Row],[Equity Stop Loss]]-SnapshotTable[[#This Row],[Equity Basis Per Share]],"")</f>
        <v/>
      </c>
      <c r="Z360" s="275" t="str">
        <f>IFERROR( TEXT(SnapshotTable[[#This Row],[Equity Max Gain Per Share]] /ABS( SnapshotTable[[#This Row],[Equity Max Loss Per Share]]),"0.0 " ) &amp; " : 1", "")</f>
        <v/>
      </c>
      <c r="AA360" s="31" t="str">
        <f>IF(ISNUMBER(SnapshotTable[[#This Row],[Equity Max Gain Per Share]]),SnapshotTable[[#This Row],[Equity Max Gain Per Share]] * SnapshotTable[[#This Row],[Equity Shares]],"")</f>
        <v/>
      </c>
      <c r="AB360" s="31" t="str">
        <f>IF(ISNUMBER(SnapshotTable[[#This Row],[Equity Max Loss Per Share]]),SnapshotTable[[#This Row],[Equity Max Loss Per Share]] * SnapshotTable[[#This Row],[Equity Shares]],"")</f>
        <v/>
      </c>
      <c r="AC360" s="150"/>
      <c r="AD360" s="151"/>
      <c r="AE360" s="31">
        <f>(SnapshotTable[[#This Row],[Annual Dividend Per Share]] / 4) * SnapshotTable[[#This Row],[Equity Shares]]</f>
        <v>0</v>
      </c>
      <c r="AF360" s="31">
        <f>SnapshotTable[[#This Row],[Quarterly Div $]] * 4</f>
        <v>0</v>
      </c>
      <c r="AG360" s="7">
        <f>IF(SnapshotTable[[#This Row],[Annual Dividend Per Share]]&gt;0, SnapshotTable[[#This Row],[Annual Dividend Per Share]]  / SnapshotTable[[#This Row],[Last Price]], 0)</f>
        <v>0</v>
      </c>
      <c r="AH360" s="151"/>
      <c r="AI360" s="5">
        <v>75</v>
      </c>
      <c r="AJ360" s="138">
        <v>41.08</v>
      </c>
      <c r="AK360" s="152">
        <f>IF(ISNUMBER( SnapshotTable[[#This Row],[EBF Target]]),(SnapshotTable[[#This Row],[EBF Target]] - SnapshotTable[[#This Row],[Last Price]]) / SnapshotTable[[#This Row],[Last Price]], "")</f>
        <v>1.1853146853146852</v>
      </c>
      <c r="AL360" s="152" t="str">
        <f>IF(AND(SnapshotTable[[#This Row],[Equity Basis Total]] &gt; 0,ISNUMBER( SnapshotTable[[#This Row],[Long Term Target]])), SnapshotTable[[#This Row],[From Basis $]] / SnapshotTable[[#This Row],[Equity Basis Total]], "")</f>
        <v/>
      </c>
      <c r="AM360" s="9">
        <f>IF( AND(SnapshotTable[[#This Row],[Equity Shares]] &gt;0,ISNUMBER( SnapshotTable[[#This Row],[Long Term Target]])),(SnapshotTable[[#This Row],[Equity Shares]] * SnapshotTable[[#This Row],[Long Term Target]]) - SnapshotTable[[#This Row],[Equity Basis Total]],0)</f>
        <v>0</v>
      </c>
      <c r="AN360" s="9">
        <f>IF( AND(SnapshotTable[[#This Row],[Equity Shares]] &gt;0,ISNUMBER( SnapshotTable[[#This Row],[Long Term Target]])),(SnapshotTable[[#This Row],[Equity Shares]]*SnapshotTable[[#This Row],[Long Term Target]]) - SnapshotTable[[#This Row],[Equity Value]],0)</f>
        <v>0</v>
      </c>
      <c r="AO360" s="152">
        <f>IF(AND(ISNUMBER( SnapshotTable[[#This Row],[Long Term Target]]), ISNUMBER(SnapshotTable[[#This Row],[Last Price]])),(SnapshotTable[[#This Row],[Long Term Target]] - SnapshotTable[[#This Row],[Last Price]]) / SnapshotTable[[#This Row],[Last Price]], "")</f>
        <v>0.19696969696969691</v>
      </c>
      <c r="AP360" s="5"/>
      <c r="AQ360" s="38"/>
      <c r="AR360" s="5"/>
      <c r="AS360" s="38"/>
      <c r="AT360" s="146"/>
      <c r="AU360" s="187" t="str">
        <f>IF(OR(SnapshotTable[[#This Row],[LP No Fill]]="Y",SnapshotTable[[#This Row],[SP Is Filled]],SnapshotTable[[#This Row],[LC Not Filled]]="Y",SnapshotTable[[#This Row],[SC Is Filled]]),"Y","")</f>
        <v/>
      </c>
      <c r="AV360" s="219"/>
      <c r="AW360" s="225"/>
      <c r="AX360" s="220"/>
      <c r="AY360" s="219" t="str">
        <f>IF(SnapshotTable[[#This Row],[Implied Move]]&gt;0, SnapshotTable[[#This Row],[Last Price]]-SnapshotTable[[#This Row],[Implied Move]],"")</f>
        <v/>
      </c>
      <c r="AZ360" s="219" t="str">
        <f>IF(SnapshotTable[[#This Row],[Implied Move]]&gt;0, SnapshotTable[[#This Row],[Last Price]] + SnapshotTable[[#This Row],[Implied Move]],"")</f>
        <v/>
      </c>
      <c r="BA360" s="331"/>
      <c r="BB360" s="347"/>
      <c r="BC36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0" s="351"/>
      <c r="BE360" s="5"/>
      <c r="BF360" s="14"/>
      <c r="BG360" s="13"/>
      <c r="BH360" s="13"/>
      <c r="BI360" s="5"/>
      <c r="BJ360" s="136">
        <f>IF(SnapshotTable[[#This Row],[LP Qty]] &gt; 0, SnapshotTable[[#This Row],[LP Qty]] * SnapshotTable[[#This Row],[LP Book Price]] * 100,0)</f>
        <v>0</v>
      </c>
      <c r="BK360" s="136">
        <f>IF(SnapshotTable[[#This Row],[LP Premium]] &gt; 0, SnapshotTable[[#This Row],[LP Qty]] * SnapshotTable[[#This Row],[LP Strike Price]] * 100,0)</f>
        <v>0</v>
      </c>
      <c r="BL360" s="154"/>
      <c r="BM360" s="385" t="str">
        <f>IF(SnapshotTable[[#This Row],[LP Premium]] &gt; 0,SnapshotTable[[#This Row],[LP Exp Date]]-MAX(SnapshotTable[[#This Row],[LP Book Date]], SnapshotTable[[#This Row],[LP Fill Date]]),"")</f>
        <v/>
      </c>
      <c r="BN360" s="385" t="str">
        <f>IF(ISNUMBER( SnapshotTable[[#This Row],[LP Term]]), SnapshotTable[[#This Row],[LP Exp Date]] - MockToday,"")</f>
        <v/>
      </c>
      <c r="BO360" s="163" t="str">
        <f>IF(AND(SnapshotTable[[#This Row],[LP Exp Date]]&gt;0, SnapshotTable[[#This Row],[LP Strike Price]]&gt;0,SnapshotTable[[#This Row],[LP Qty]]&gt;0,SnapshotTable[[#This Row],[LP Book Date]]&gt;0,SnapshotTable[[#This Row],[LP Book Price]]&gt;0,SnapshotTable[[#This Row],[LP Fill Date]]=0),"Y","")</f>
        <v/>
      </c>
      <c r="BP360" s="31" t="str">
        <f>IF(AND(SnapshotTable[[#This Row],[LP No Fill]]&lt;&gt;"Y",SnapshotTable[[#This Row],[LP Contract Value]]&gt;0, SnapshotTable[[#This Row],[LP Qty]]&gt;0), SnapshotTable[[#This Row],[LP Contract Value]]*SnapshotTable[[#This Row],[LP Qty]]*100,"")</f>
        <v/>
      </c>
      <c r="BQ360" s="13"/>
      <c r="BR360" s="5" t="str">
        <f>IF(SnapshotTable[[#This Row],[SP Exp Date]]&lt;&gt;"",TRUNC(SnapshotTable[[#This Row],[Last Price]]),"")</f>
        <v/>
      </c>
      <c r="BS360" s="36"/>
      <c r="BT360" s="147"/>
      <c r="BU360" s="13"/>
      <c r="BV360" s="5"/>
      <c r="BW360" s="419" t="b">
        <f>AND(ISNUMBER(SnapshotTable[[#This Row],[SP Exp Date]]), ISNUMBER(SnapshotTable[[#This Row],[SP Strike Price]]), ISNUMBER(SnapshotTable[[#This Row],[SP Qty]]), ISNUMBER(SnapshotTable[[#This Row],[SP Book Date]]), ISNUMBER(SnapshotTable[[#This Row],[SP Book Price]]))</f>
        <v>0</v>
      </c>
      <c r="BX360" s="419" t="b">
        <f>AND(SnapshotTable[[#This Row],[SP Is Booked]], NOT(ISBLANK(SnapshotTable[[#This Row],[SP Fill Date]])))</f>
        <v>0</v>
      </c>
      <c r="BY360" s="33">
        <f>IF(SnapshotTable[[#This Row],[SP Is Booked]], SnapshotTable[[#This Row],[SP Qty]] * SnapshotTable[[#This Row],[SP Book Price]] * 100, 0)</f>
        <v>0</v>
      </c>
      <c r="BZ360" s="369"/>
      <c r="CA360" s="368">
        <f>SnapshotTable[[#This Row],[LP Qty]]</f>
        <v>0</v>
      </c>
      <c r="CB360" s="4" t="str">
        <f>IF(SnapshotTable[[#This Row],[SP Is Booked]], SnapshotTable[[#This Row],[SP Strike Price]] - SnapshotTable[[#This Row],[SP Book Price]], "")</f>
        <v/>
      </c>
      <c r="CC360" s="19" t="str">
        <f>IF(SnapshotTable[[#This Row],[SP Is Booked]],SnapshotTable[[#This Row],[SP Exp Date]]-MAX(SnapshotTable[[#This Row],[SP Book Date]], SnapshotTable[[#This Row],[SP Fill Date]]),"")</f>
        <v/>
      </c>
      <c r="CD360" s="7" t="str">
        <f>IF(SnapshotTable[[#This Row],[SP Is Booked]], SnapshotTable[[#This Row],[SP Book Price]]/SnapshotTable[[#This Row],[SP Strike Price]], "")</f>
        <v/>
      </c>
      <c r="CE360" s="7" t="str">
        <f>IF(ISNUMBER(SnapshotTable[[#This Row],[SP ROO Term]]),SnapshotTable[[#This Row],[SP ROO Term]]*(365/SnapshotTable[[#This Row],[SP Term]]),"")</f>
        <v/>
      </c>
      <c r="CF360" s="236">
        <f>SnapshotTable[[#This Row],[LP Strike Price]] * SnapshotTable[[#This Row],[LP Qty]] * 100</f>
        <v>0</v>
      </c>
      <c r="CG360" s="31" t="e">
        <f>IF(ISNUMBER(SnapshotTable[[#This Row],[SP Premium]]), (SnapshotTable[[#This Row],[SP Qty]] * SnapshotTable[[#This Row],[SP Strike Price]]* 100) - SnapshotTable[[#This Row],[LP Protection]], 0)</f>
        <v>#VALUE!</v>
      </c>
      <c r="CH360" s="7" t="str">
        <f>IF(ISNUMBER(SnapshotTable[[#This Row],[SP Break Even]]),-1 * (SnapshotTable[[#This Row],[SP Break Even]] - SnapshotTable[[#This Row],[Last Price]]) / SnapshotTable[[#This Row],[Last Price]], "")</f>
        <v/>
      </c>
      <c r="CI360" s="31">
        <f>IF(AND(ISNUMBER((SnapshotTable[[#This Row],[SP Potential Spend]])), SnapshotTable[[#This Row],[SP Strike Price]] &gt; SnapshotTable[[#This Row],[Last Price]], SnapshotTable[[#This Row],[SP Is Filled]]), SnapshotTable[[#This Row],[SP Potential Spend]] -  SnapshotTable[[#This Row],[LP Max Value]], 0)</f>
        <v>0</v>
      </c>
      <c r="CJ360" s="244"/>
      <c r="CK360" s="31" t="str">
        <f>IF(ISNUMBER(SnapshotTable[[#This Row],[SP Potential Spend]]),IF(ISNUMBER(SnapshotTable[[#This Row],[SP POW]]), SnapshotTable[[#This Row],[SP POW]] * SnapshotTable[[#This Row],[SP Potential Spend]], SnapshotTable[[#This Row],[SP Potential Spend]]), "")</f>
        <v/>
      </c>
      <c r="CL360" s="164" t="e">
        <f>IF(NOT(SnapshotTable[[#This Row],[SP Is Filled]]),(SnapshotTable[[#This Row],[SP Qty]] * SnapshotTable[[#This Row],[SP Strike Price]] * 100) - SnapshotTable[[#This Row],[LP Max Value]],"")</f>
        <v>#VALUE!</v>
      </c>
      <c r="CM360" s="31" t="str">
        <f>IF(SnapshotTable[[#This Row],[SP Actual Spend]]&lt;&gt;0, ((SnapshotTable[[#This Row],[SP Strike Price]]-SnapshotTable[[#This Row],[Last Price]]) *(SnapshotTable[[#This Row],[SP Qty]]*100) - SnapshotTable[[#This Row],[SP Premium]]) * - 1, "")</f>
        <v/>
      </c>
      <c r="CN360" s="78"/>
      <c r="CO360" s="369"/>
      <c r="CP360" s="4" t="str">
        <f>IF(SnapshotTable[[#This Row],[SP Is Filled]], btc_max_buyback_amount(SnapshotTable[[#This Row],[SP Fill Date]],SnapshotTable[[#This Row],[SP Exp Date]], SnapshotTable[[#This Row],[SP Book Price]]),"")</f>
        <v/>
      </c>
      <c r="CQ360" s="78"/>
      <c r="CR36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0" s="155" t="str">
        <f>IF(SnapshotTable[[#This Row],[SP Is Filled]], btc_next_cutoff_date(SnapshotTable[[#This Row],[SP Fill Date]],SnapshotTable[[#This Row],[SP Exp Date]]),"")</f>
        <v/>
      </c>
      <c r="CT360" s="235" t="str" cm="1">
        <f t="array" ref="CT360">IF(SnapshotTable[[#This Row],[SP Is Filled]], btc_should_buy_back(SnapshotTable[[#This Row],[SP Fill Date]], SnapshotTable[[#This Row],[SP Exp Date]], SnapshotTable[[#This Row],[SP Book Price]], SnapshotTable[[#This Row],[SP Current Ask]], MockToday, SnapshotTable[[#This Row],[SP Buyback Override]]),"")</f>
        <v/>
      </c>
      <c r="CU360" s="143"/>
      <c r="CV360" s="235"/>
      <c r="CW360" s="378" t="str">
        <f>IF(ISNUMBER( SnapshotTable[[#This Row],[SP Term]]), SnapshotTable[[#This Row],[SP Exp Date]] - MockToday,"")</f>
        <v/>
      </c>
      <c r="CX360" s="31" t="str">
        <f>IF(SnapshotTable[[#This Row],[SP Is Filled]],SnapshotTable[[#This Row],[SP Buyback Price to Use]] * 100 * SnapshotTable[[#This Row],[SP Qty]], "")</f>
        <v/>
      </c>
      <c r="CY360" s="4" t="str">
        <f>IF(ISNUMBER(SnapshotTable[[#This Row],[SP Strike Price]]), SnapshotTable[[#This Row],[SP Strike Price]] * (1 - SP_MaxLoss_StrikePct), "")</f>
        <v/>
      </c>
      <c r="CZ360" s="31" t="str">
        <f>IF(ISNUMBER(SnapshotTable[[#This Row],[SP Strike  Stop Per Share]]),SnapshotTable[[#This Row],[SP Premium]] - ((SnapshotTable[[#This Row],[SP Strike Price]]-SnapshotTable[[#This Row],[SP Strike  Stop Per Share]]) *(SnapshotTable[[#This Row],[SP Qty]] * 100)),"")</f>
        <v/>
      </c>
      <c r="DA360" s="4" t="str">
        <f>IF(AND(ISNUMBER(SnapshotTable[[#This Row],[SP Premium]]),SnapshotTable[[#This Row],[SP Premium]]&gt;0), SnapshotTable[[#This Row],[SP Book Price]] * (1 + SP_MaxLoss_OptionPct), "")</f>
        <v/>
      </c>
      <c r="DB360" s="31" t="str">
        <f>IF(ISNUMBER(SnapshotTable[[#This Row],[SP Option  Stop Contract]]),(SnapshotTable[[#This Row],[SP Option  Stop Contract]] *(SnapshotTable[[#This Row],[SP Qty]] * 100) - SnapshotTable[[#This Row],[SP Premium]]),"")</f>
        <v/>
      </c>
      <c r="DC360" s="4"/>
      <c r="DD360" s="4"/>
      <c r="DE360" s="4" t="str">
        <f>IF(AND(SnapshotTable[[#This Row],[SP Qty]]&gt;0, SnapshotTable[[#This Row],[SP Stop To Use]]&gt;0),SnapshotTable[[#This Row],[SP Premium]] - ( SnapshotTable[[#This Row],[SP Qty]] * SnapshotTable[[#This Row],[SP Stop To Use]] * 100), "")</f>
        <v/>
      </c>
      <c r="DF360" s="31" t="str">
        <f>IF(AND(SnapshotTable[[#This Row],[SP Qty]]&gt;0,SnapshotTable[[#This Row],[SP Current Ask]]&gt;0), SnapshotTable[[#This Row],[SP Qty]] * SnapshotTable[[#This Row],[SP Current Ask]] * -100, "")</f>
        <v/>
      </c>
      <c r="DG360" s="31" t="str">
        <f>IF(ISNUMBER((SnapshotTable[[#This Row],[SP Total Value]])), SnapshotTable[[#This Row],[SP Premium]] + SnapshotTable[[#This Row],[SP Total Value]], "")</f>
        <v/>
      </c>
      <c r="DH360" s="294" t="str">
        <f>IF(ISNUMBER((SnapshotTable[[#This Row],[SP Total Value]])), SnapshotTable[[#This Row],[SP Gain Loss]] / SnapshotTable[[#This Row],[SP Premium]], "")</f>
        <v/>
      </c>
      <c r="DI360" s="406"/>
      <c r="DJ360" s="138"/>
      <c r="DK360" s="148"/>
      <c r="DL360" s="13"/>
      <c r="DM360" s="13"/>
      <c r="DO360" s="31">
        <f>IF(SnapshotTable[[#This Row],[LC Symbol Count]]=1, SnapshotTable[[#This Row],[LC Qty]] * SnapshotTable[[#This Row],[LC Book Price]] * 100, 0)</f>
        <v>0</v>
      </c>
      <c r="DP360" s="163" t="str">
        <f>IF(AND(SnapshotTable[[#This Row],[LC Exp Date]]&gt;0, SnapshotTable[[#This Row],[LC Strike Price]]&gt;0,SnapshotTable[[#This Row],[LC Qty]]&gt;0,SnapshotTable[[#This Row],[LC Book Date]]&gt;0,SnapshotTable[[#This Row],[LC Book Price]]&gt;0,SnapshotTable[[#This Row],[LC Fill Date]]=0),"Y","")</f>
        <v/>
      </c>
      <c r="DQ360" s="386" t="str">
        <f>IF(SnapshotTable[[#This Row],[LC Premium]] &gt; 0,SnapshotTable[[#This Row],[LC Exp Date]]-MAX(SnapshotTable[[#This Row],[LC Book Date]], SnapshotTable[[#This Row],[LC Fill Date]]),"")</f>
        <v/>
      </c>
      <c r="DR360" s="386" t="str">
        <f>IF(ISNUMBER(SnapshotTable[[#This Row],[LC Term]]), SnapshotTable[[#This Row],[LC Exp Date]] - MockToday, "")</f>
        <v/>
      </c>
      <c r="DS360" s="234" t="str">
        <f>IF(SnapshotTable[[#This Row],[LC Premium]]&gt;0,SnapshotTable[[#This Row],[LC Strike Price]] + SnapshotTable[[#This Row],[LC Book Price]],"")</f>
        <v/>
      </c>
      <c r="DU360" s="9" t="str">
        <f>IF(AND(SnapshotTable[[#This Row],[LC Symbol Count]]&gt;0, SnapshotTable[[#This Row],[LC Contract Value]]&gt;0), SnapshotTable[[#This Row],[LC Contract Value]] * SnapshotTable[[#This Row],[LC Qty]] * 100, "")</f>
        <v/>
      </c>
      <c r="DV360" s="9" t="str">
        <f>IF(AND(ISNUMBER(SnapshotTable[[#This Row],[LC Total Value]]), SnapshotTable[[#This Row],[LC Not Filled]]&lt;&gt;"Y"), SnapshotTable[[#This Row],[LC Total Value]]-SnapshotTable[[#This Row],[LC Premium]],"")</f>
        <v/>
      </c>
      <c r="DW360" s="240" t="str">
        <f>IF(ISNUMBER(SnapshotTable[[#This Row],[LC Actual Gain Loss]]), SnapshotTable[[#This Row],[LC Actual Gain Loss]] / SnapshotTable[[#This Row],[LC Premium]],"")</f>
        <v/>
      </c>
      <c r="DX360" s="284" t="str">
        <f>IF(ISNUMBER(SnapshotTable[[#This Row],[LC Book Price]]),SnapshotTable[[#This Row],[LC Book Price]] * 1.5,"")</f>
        <v/>
      </c>
      <c r="DY360" s="265" t="str">
        <f>IF(SnapshotTable[[#This Row],[LC Premium]]&gt;0, SnapshotTable[[#This Row],[LC Next Target]] * SnapshotTable[[#This Row],[LC Qty]] * 100,"")</f>
        <v/>
      </c>
      <c r="DZ360" s="265" t="str">
        <f>IF(ISNUMBER(SnapshotTable[[#This Row],[LC Target Gross]]), SnapshotTable[[#This Row],[LC Target Gross]] - SnapshotTable[[#This Row],[LC Premium]], "")</f>
        <v/>
      </c>
      <c r="EA360" s="305" t="str">
        <f>IF(ISNUMBER(SnapshotTable[[#This Row],[LC Target Gain Loss]]), SnapshotTable[[#This Row],[LC Target Gain Loss]]/SnapshotTable[[#This Row],[LC Premium]], "")</f>
        <v/>
      </c>
      <c r="EB360" s="262"/>
      <c r="EC360" s="283" t="str">
        <f>IF(SnapshotTable[[#This Row],[LC Premium]]&gt;0, SnapshotTable[[#This Row],[LC Book Price]] * (1 - LC_StopLoss_Pct),"")</f>
        <v/>
      </c>
      <c r="ED360" s="284"/>
      <c r="EE360" s="283" t="str">
        <f>IF(ISNUMBER(SnapshotTable[[#This Row],[LC Contract Value]]),IF(ISNUMBER(SnapshotTable[[#This Row],[LC Stop Loss Override]]), SnapshotTable[[#This Row],[LC Stop Loss Override]],SnapshotTable[[#This Row],[LC Stop Loss Calc Target]]),"")</f>
        <v/>
      </c>
      <c r="EF360" s="31" t="str">
        <f>IF(ISNUMBER(SnapshotTable[[#This Row],[LC Stop  To Use]]), (SnapshotTable[[#This Row],[LC Stop  To Use]] * SnapshotTable[[#This Row],[LC Qty]] * 100),"")</f>
        <v/>
      </c>
      <c r="EG360" s="9" t="str">
        <f>IF(ISNUMBER(SnapshotTable[[#This Row],[LC Total Value]]),SnapshotTable[[#This Row],[LC Stop Loss Amount]] - SnapshotTable[[#This Row],[LC Premium]],"")</f>
        <v/>
      </c>
      <c r="EH360" s="9">
        <f>IF(ISNUMBER(SnapshotTable[[#This Row],[LC Premium]]), SnapshotTable[[#This Row],[LC Qty]] * 100 * SnapshotTable[[#This Row],[LC Strike Price]], "")</f>
        <v>0</v>
      </c>
      <c r="EI360" s="240" t="str">
        <f>IF(AND(ISNUMBER(SnapshotTable[[#This Row],[LC Total Value]]),SnapshotTable[[#This Row],[LC Total Value]]&gt;0),SnapshotTable[[#This Row],[LC Stop Gain Loss]]  / SnapshotTable[[#This Row],[LC Premium]],"")</f>
        <v/>
      </c>
      <c r="EJ360" s="35">
        <f>IF(ISNUMBER(SnapshotTable[[#This Row],[Equity Shares]]),TRUNC(SnapshotTable[[#This Row],[Equity Shares]] / 100),0) + SnapshotTable[[#This Row],[LC Qty]]</f>
        <v>0</v>
      </c>
      <c r="EK360" s="147"/>
      <c r="EL360" s="138" t="str">
        <f>IF(SnapshotTable[[#This Row],[SC Exp Date]]&lt;&gt;"",TRUNC(SnapshotTable[[#This Row],[Last Price]]),"")</f>
        <v/>
      </c>
      <c r="EM360" s="148"/>
      <c r="EN360" s="147"/>
      <c r="EO360" s="147"/>
      <c r="EP360" s="138"/>
      <c r="EQ360" s="419" t="b">
        <f>AND(ISNUMBER(SnapshotTable[[#This Row],[SC Exp Date]]), ISNUMBER(SnapshotTable[[#This Row],[SC Strike Price]]), ISNUMBER(SnapshotTable[[#This Row],[SC Qty]]), ISNUMBER(SnapshotTable[[#This Row],[SC Book Date]]), ISNUMBER(SnapshotTable[[#This Row],[SC Book Price]]))</f>
        <v>0</v>
      </c>
      <c r="ER360" s="419" t="b">
        <f>AND(SnapshotTable[[#This Row],[SC Is Booked]], NOT(ISBLANK(SnapshotTable[[#This Row],[SC Fill Date]])))</f>
        <v>0</v>
      </c>
      <c r="ES360" s="370"/>
      <c r="ET360" s="34" t="str">
        <f>IF(AND(ISNUMBER(SnapshotTable[[#This Row],[SC Exp Date]]), ISNUMBER(SnapshotTable[[#This Row],[SC Book Date]])), SnapshotTable[[#This Row],[SC Exp Date]] - MAX(SnapshotTable[[#This Row],[SC Book Date]], SnapshotTable[[#This Row],[SC Fill Date]]) + 1, "")</f>
        <v/>
      </c>
      <c r="EU360" s="34" t="str">
        <f>IF(ISNUMBER(SnapshotTable[[#This Row],[SC Term]]), SnapshotTable[[#This Row],[SC Exp Date]]- MockToday, "")</f>
        <v/>
      </c>
      <c r="EV360" s="31">
        <f>IF(SnapshotTable[[#This Row],[SC Is Booked]], SnapshotTable[[#This Row],[SC Qty]] * SnapshotTable[[#This Row],[SC Book Price]] * 100, 0)</f>
        <v>0</v>
      </c>
      <c r="EW360" s="4" t="str">
        <f>IF(AND(ISNUMBER(SnapshotTable[[#This Row],[Last Price]]), ISNUMBER( SnapshotTable[[#This Row],[SC Book Price]])), SnapshotTable[[#This Row],[Last Price]] - SnapshotTable[[#This Row],[SC Book Price]],"")</f>
        <v/>
      </c>
      <c r="EX360" s="234" t="str">
        <f>IF(SnapshotTable[[#This Row],[SC Is Booked]],IF(SnapshotTable[[#This Row],[SC Intrinsic Value]] &gt; 0, SnapshotTable[[#This Row],[SC Strike Price]], SnapshotTable[[#This Row],[Last Price]]), "")</f>
        <v/>
      </c>
      <c r="EY360" s="4">
        <f>IF(SnapshotTable[[#This Row],[SC Is Booked]], (MinimumPremiumRequired * SnapshotTable[[#This Row],[SC Basis]] * SnapshotTable[[#This Row],[SC Term]]), 0)</f>
        <v>0</v>
      </c>
      <c r="EZ360" s="283"/>
      <c r="FA360" s="218"/>
      <c r="FB360" s="370"/>
      <c r="FC360" s="4">
        <f>IF(SnapshotTable[[#This Row],[SC Is Filled]], btc_max_buyback_amount(SnapshotTable[[#This Row],[SC Fill Date]],SnapshotTable[[#This Row],[SC Exp Date]], SnapshotTable[[#This Row],[SC Book Price]]),0)</f>
        <v>0</v>
      </c>
      <c r="FD360" s="5"/>
      <c r="FE360" s="144" t="str">
        <f>IF(SnapshotTable[[#This Row],[SC Is Filled]], btc_next_cutoff_date(SnapshotTable[[#This Row],[SC Fill Date]],SnapshotTable[[#This Row],[SC Exp Date]]),"")</f>
        <v/>
      </c>
      <c r="FF360" s="4" t="str" cm="1">
        <f t="array" ref="FF360">IF(SnapshotTable[[#This Row],[SC Is Filled]], btc_should_buy_back(SnapshotTable[[#This Row],[SC Fill Date]], SnapshotTable[[#This Row],[SC Exp Date]], SnapshotTable[[#This Row],[SC Book Price]], SnapshotTable[[#This Row],[SC Current Ask]], MockToday, SnapshotTable[[#This Row],[SC Buyback Override]]),"")</f>
        <v/>
      </c>
      <c r="FG360" s="4">
        <f>IF(SnapshotTable[[#This Row],[SC Is Filled]], MAX(0,SnapshotTable[[#This Row],[Last Price]]  - SnapshotTable[[#This Row],[SC Strike Price]]), 0)</f>
        <v>0</v>
      </c>
      <c r="FH360" s="382">
        <f>IF(SnapshotTable[[#This Row],[SC Is Filled]], IF(ISNUMBER(SnapshotTable[[#This Row],[SC Current Ask]]), SnapshotTable[[#This Row],[SC Current Ask]], SnapshotTable[[#This Row],[SC Book Price]]) - SnapshotTable[[#This Row],[SC Intrinsic Value]], 0)</f>
        <v>0</v>
      </c>
      <c r="FI360" s="143"/>
      <c r="FJ360" s="32" t="str">
        <f>IF(SnapshotTable[[#This Row],[SC Is Filled]],100 * SnapshotTable[[#This Row],[SC Qty]] * IF(ISNUMBER(SnapshotTable[[#This Row],[SC Buyback Override]]), SnapshotTable[[#This Row],[SC Buyback Override]], SnapshotTable[[#This Row],[SC Current Ask]]), "")</f>
        <v/>
      </c>
      <c r="FK360" s="250" t="str">
        <f>IF(SnapshotTable[[#This Row],[SC Time Val]]&gt;0, SnapshotTable[[#This Row],[SC Time Val]] / SnapshotTable[[#This Row],[Last Price]],"")</f>
        <v/>
      </c>
      <c r="FL360" s="302" t="str">
        <f>IF(SnapshotTable[[#This Row],[SC Is Booked]], ((SnapshotTable[[#This Row],[Last Price]] -SnapshotTable[[#This Row],[SC Strike Price]]) / SnapshotTable[[#This Row],[Last Price]]) * -1, "")</f>
        <v/>
      </c>
      <c r="FM360" s="157" t="str">
        <f>IF(SnapshotTable[[#This Row],[SC Is Booked]],  (SnapshotTable[[#This Row],[SC Qty]] * 100 * SnapshotTable[[#This Row],[SC Strike Price]]) - SnapshotTable[[#This Row],[SC Current Ask]], "")</f>
        <v/>
      </c>
      <c r="FN36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0" s="31" t="str">
        <f>IF(AND(ISNUMBER(SnapshotTable[[#This Row],[SC Exercise Gross]]), ISNUMBER(SnapshotTable[[#This Row],[Equity Basis Per Share]] )), SnapshotTable[[#This Row],[SC Exercise Gross]] - SnapshotTable[[#This Row],[Equity Basis Total]] +  SnapshotTable[[#This Row],[SC Premium]], "")</f>
        <v/>
      </c>
      <c r="FP360" s="5" t="str">
        <f>IF(ISNUMBER(SnapshotTable[[#This Row],[SC Exercise Gross]]), (SnapshotTable[[#This Row],[SC Exercise Gross]]) / (SnapshotTable[[#This Row],[SC Qty]] * 100), "")</f>
        <v/>
      </c>
      <c r="FQ360" s="27" t="str">
        <f>IF(SnapshotTable[[#This Row],[SC Is Booked]],SnapshotTable[[#This Row],[SC Time Val]] /SnapshotTable[[#This Row],[SC Basis]], "")</f>
        <v/>
      </c>
      <c r="FR360" s="27" t="str" cm="1">
        <f t="array" ref="FR360">IF(AND(ISNUMBER(SnapshotTable[[#This Row],[SC Term]]),ISNUMBER(SnapshotTable[[#This Row],[SC Simple ROO]])), EllmanAnnualize(SnapshotTable[[#This Row],[SC DTE]], SnapshotTable[[#This Row],[SC Simple ROO]] ),"")</f>
        <v/>
      </c>
      <c r="FS360" s="4" t="e">
        <f>IF(SnapshotTable[[#This Row],[SC Strike Price]] &gt; SnapshotTable[[#This Row],[Last Price]], SnapshotTable[[#This Row],[SC Strike Price]] - SnapshotTable[[#This Row],[Last Price]],0)</f>
        <v>#VALUE!</v>
      </c>
      <c r="FT360" s="27" t="e">
        <f>IF(AND(ISNUMBER(SnapshotTable[[#This Row],[SC Upside Potential]]), SnapshotTable[[#This Row],[SC Upside Potential]] &gt; 0),(SnapshotTable[[#This Row],[SC Upside Potential]]/ SnapshotTable[[#This Row],[ACB]]),"")</f>
        <v>#VALUE!</v>
      </c>
      <c r="FU360" s="333" t="str">
        <f>IF(SnapshotTable[[#This Row],[SC Intrinsic Value]] &gt; 0,SnapshotTable[[#This Row],[SC Intrinsic Value]],"")</f>
        <v/>
      </c>
      <c r="FV360" s="27" t="str">
        <f>IF(AND( ISNUMBER( SnapshotTable[[#This Row],[ACB]]),ISNUMBER(SnapshotTable[[#This Row],[SC Downside Protect]])),SnapshotTable[[#This Row],[SC Downside Protect]] / SnapshotTable[[#This Row],[ACB]],"")</f>
        <v/>
      </c>
      <c r="FW360" s="236" t="str">
        <f>IF(AND(ISNUMBER(SnapshotTable[[#This Row],[SC Simple ROO]]),SnapshotTable[[#This Row],[SC Simple ROO]] &gt; 0), SnapshotTable[[#This Row],[SC Premium]] + (SnapshotTable[[#This Row],[SC Qty]] * SnapshotTable[[#This Row],[SC Upside Potential]]), "")</f>
        <v/>
      </c>
      <c r="FX360" s="302" t="str" cm="1">
        <f t="array" ref="FX360">IF(ISNUMBER(SnapshotTable[[#This Row],[SC Max Dollars]]), annualize(SnapshotTable[[#This Row],[SC Term]],(SnapshotTable[[#This Row],[SC Max Dollars]]/SnapshotTable[[#This Row],[SC Basis]])),"")</f>
        <v/>
      </c>
      <c r="FY360" s="236" t="str">
        <f>IF(AND(SnapshotTable[[#This Row],[SC Qty]]&gt;0,SnapshotTable[[#This Row],[SC Current Ask]]&gt;0), SnapshotTable[[#This Row],[SC Qty]] * SnapshotTable[[#This Row],[SC Current Ask]] * -100, "")</f>
        <v/>
      </c>
      <c r="FZ360" s="31" t="str">
        <f>IF(ISNUMBER((SnapshotTable[[#This Row],[SC Current Value]])), SnapshotTable[[#This Row],[SC Premium]] + SnapshotTable[[#This Row],[SC Current Value]], "")</f>
        <v/>
      </c>
      <c r="GA360" s="294" t="str">
        <f>IFERROR( IF(ISNUMBER((SnapshotTable[[#This Row],[SC Current Value]])), SnapshotTable[[#This Row],[SC Gain Loss]] / SnapshotTable[[#This Row],[SC Premium]], ""), "")</f>
        <v/>
      </c>
      <c r="GB360" s="42">
        <f>SnapshotTable[[#This Row],[Equity Shares]] * SaleSharesToConsiderPercentage</f>
        <v>0</v>
      </c>
      <c r="GC360" s="40">
        <f>SnapshotTable[[#This Row],[Long Term Target]] * SellingPriceToConsiderBasedOnTargetPercentage</f>
        <v>39.025999999999996</v>
      </c>
      <c r="GD360" s="40">
        <f>SnapshotTable[[#This Row],[Last Price]] * (1+ SellingPriceToConsiderBasedOnTargetPercentage)</f>
        <v>66.923999999999992</v>
      </c>
      <c r="GE360" s="41"/>
      <c r="GF360" s="40"/>
      <c r="GG360" s="31">
        <f>SnapshotTable[[#This Row],[Booked Sale Shares]] * SnapshotTable[[#This Row],[Booked Sale Price]]</f>
        <v>0</v>
      </c>
      <c r="GH360" s="31" t="str">
        <f>IF(SnapshotTable[[#This Row],[Equity Basis Total]] &gt; 0, SnapshotTable[[#This Row],[Equity Basis Per Share]] * SnapshotTable[[#This Row],[Booked Sale Shares]], "")</f>
        <v/>
      </c>
      <c r="GI360" s="31">
        <f>IF(SnapshotTable[[#This Row],[Sale Proceeds]]&gt;0, SnapshotTable[[#This Row],[Sale Proceeds]] - SnapshotTable[[#This Row],[Sale Basis]], 0)</f>
        <v>0</v>
      </c>
      <c r="GJ360" s="27" t="str">
        <f>IF(SnapshotTable[[#This Row],[Sale G/L]]&gt;0, SnapshotTable[[#This Row],[Sale G/L]] / SnapshotTable[[#This Row],[Sale Basis]], IF(ISNUMBER(SnapshotTable[[#This Row],[SC Exercise P&amp;L (TAX)]]), SnapshotTable[[#This Row],[SC Exercise P&amp;L (TAX)]] / SnapshotTable[[#This Row],[SC Basis]], ""))</f>
        <v/>
      </c>
      <c r="GK360" s="27" t="s">
        <v>796</v>
      </c>
      <c r="GL360" s="43" t="str">
        <f>IF(AND(SnapshotTable[[#This Row],[LP Exp Date]]&gt;0,SnapshotTable[[#This Row],[LP Strike Price]]&gt;0), [1]!ToOptionSymbol(SnapshotTable[[#This Row],[Symbol]], SnapshotTable[[#This Row],[LP Strike Price]],SnapshotTable[[#This Row],[LP Exp Date]],1), "")</f>
        <v/>
      </c>
      <c r="GM360" s="30" t="str">
        <f>IF(LEN(SnapshotTable[[#This Row],[LP Symbol]])&gt;0, 1, "")</f>
        <v/>
      </c>
      <c r="GN360" s="43" t="str">
        <f>IF(AND(SnapshotTable[[#This Row],[SP Exp Date]]&gt;0,SnapshotTable[[#This Row],[SP Strike Price]]&gt;0), [1]!ToOptionSymbol(SnapshotTable[[#This Row],[Symbol]], SnapshotTable[[#This Row],[SP Strike Price]],SnapshotTable[[#This Row],[SP Exp Date]],1), "")</f>
        <v/>
      </c>
      <c r="GO360" s="30" t="str">
        <f>IF(LEN(SnapshotTable[[#This Row],[SP Symbol]])&gt;0, 1, "")</f>
        <v/>
      </c>
      <c r="GP360" s="43" t="str">
        <f>IF(AND(SnapshotTable[[#This Row],[LC Exp Date]]&gt;0,SnapshotTable[[#This Row],[LC Strike Price]]&gt;0), [1]!ToOptionSymbol(SnapshotTable[[#This Row],[Symbol]], SnapshotTable[[#This Row],[LC Strike Price]],SnapshotTable[[#This Row],[LC Exp Date]],0), "")</f>
        <v/>
      </c>
      <c r="GQ360" s="30" t="str">
        <f>IF(LEN(SnapshotTable[[#This Row],[LC Symbol]])&gt;0, 1, "")</f>
        <v/>
      </c>
      <c r="GR360" s="43" t="str">
        <f>IF(AND(SnapshotTable[[#This Row],[SC Exp Date]]&gt;0,SnapshotTable[[#This Row],[SC Strike Price]]&gt;0), [1]!ToOptionSymbol(SnapshotTable[[#This Row],[Symbol]], SnapshotTable[[#This Row],[SC Strike Price]],SnapshotTable[[#This Row],[SC Exp Date]],0), "")</f>
        <v/>
      </c>
      <c r="GS360" s="30" t="str">
        <f>IF(LEN(SnapshotTable[[#This Row],[SC Symbol]])&gt;0, 1, "")</f>
        <v/>
      </c>
      <c r="GT360" s="29" t="str">
        <f>IF(COUNT(SnapshotTable[[#This Row],[LP Symbol Count]],SnapshotTable[[#This Row],[SP Symbol Count]],SnapshotTable[[#This Row],[LC Symbol Count]],SnapshotTable[[#This Row],[SC Symbol Count]])&gt;0, "Y", "")</f>
        <v/>
      </c>
      <c r="GU36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0" s="231" t="e">
        <f>MAX(SnapshotTable[[#This Row],[Equity Basis Total]],SnapshotTable[[#This Row],[Equity Value]]) + (SnapshotTable[[#This Row],[SP Potential Spend]]- SnapshotTable[[#This Row],[SP Premium]] + SnapshotTable[[#This Row],[LP Premium]])+ (SnapshotTable[[#This Row],[LC Premium]] - SnapshotTable[[#This Row],[SC Premium]])</f>
        <v>#VALUE!</v>
      </c>
      <c r="GW360" s="139" t="e">
        <f>IF(AND(SnapshotTable[[#This Row],[Exposure]] &lt;&gt; 0),SnapshotTable[[#This Row],[Exposure]] / SnapshotTable[[#Totals],[Exposure]], "")</f>
        <v>#VALUE!</v>
      </c>
      <c r="HB360" s="197"/>
      <c r="HK360" s="1"/>
      <c r="HL360" s="1"/>
      <c r="HM360" s="1"/>
      <c r="HN360" s="1"/>
      <c r="HO360" s="1"/>
      <c r="HP360" s="1"/>
    </row>
    <row r="361" spans="2:224" ht="12.75" hidden="1" customHeight="1" x14ac:dyDescent="0.25">
      <c r="B361" s="12" t="s">
        <v>88</v>
      </c>
      <c r="C361" s="422">
        <v>34.32</v>
      </c>
      <c r="D361" s="208"/>
      <c r="E361" s="39">
        <f>SnapshotTable[[#This Row],[Last Price]]*(1 -CrashDiscount)</f>
        <v>29.172000000000001</v>
      </c>
      <c r="F361" s="26" t="s">
        <v>87</v>
      </c>
      <c r="G361" s="26" t="s">
        <v>17</v>
      </c>
      <c r="H361" s="149"/>
      <c r="I361" s="194">
        <v>44777.270833333336</v>
      </c>
      <c r="J361" s="195">
        <v>44777.270833333336</v>
      </c>
      <c r="K361" s="196"/>
      <c r="L361" s="326"/>
      <c r="M361" s="140"/>
      <c r="N361" s="140"/>
      <c r="O361" s="140"/>
      <c r="P361" s="22"/>
      <c r="Q361" s="25"/>
      <c r="R361" s="4" t="str">
        <f>IF(SnapshotTable[[#This Row],[Equity Basis Total]] &gt; 0, SnapshotTable[[#This Row],[Equity Basis Total]] / SnapshotTable[[#This Row],[Equity Shares]], "")</f>
        <v/>
      </c>
      <c r="S361" s="269">
        <f>SnapshotTable[[#This Row],[Last Price]] * SnapshotTable[[#This Row],[Equity Shares]]</f>
        <v>0</v>
      </c>
      <c r="T361" s="269">
        <f>SnapshotTable[[#This Row],[Equity Value]] - SnapshotTable[[#This Row],[Equity Basis Total]]</f>
        <v>0</v>
      </c>
      <c r="U361" s="270" t="str">
        <f>IF(SnapshotTable[[#This Row],[Equity Basis Total]] &gt; 0, SnapshotTable[[#This Row],[Equity G/L]] / SnapshotTable[[#This Row],[Equity Basis Total]], "")</f>
        <v/>
      </c>
      <c r="V361" s="268"/>
      <c r="W361" s="268"/>
      <c r="X361" s="4" t="str">
        <f>IF(AND(ISNUMBER(SnapshotTable[[#This Row],[Equity Basis Per Share]]),ISNUMBER(SnapshotTable[[#This Row],[Equity Target]])),SnapshotTable[[#This Row],[Equity Target]]-SnapshotTable[[#This Row],[Equity Basis Per Share]],"")</f>
        <v/>
      </c>
      <c r="Y361" s="4" t="str">
        <f>IF(AND(ISNUMBER(SnapshotTable[[#This Row],[Equity Basis Per Share]]),ISNUMBER(SnapshotTable[[#This Row],[Equity Stop Loss]])),SnapshotTable[[#This Row],[Equity Stop Loss]]-SnapshotTable[[#This Row],[Equity Basis Per Share]],"")</f>
        <v/>
      </c>
      <c r="Z361" s="275" t="str">
        <f>IFERROR( TEXT(SnapshotTable[[#This Row],[Equity Max Gain Per Share]] /ABS( SnapshotTable[[#This Row],[Equity Max Loss Per Share]]),"0.0 " ) &amp; " : 1", "")</f>
        <v/>
      </c>
      <c r="AA361" s="31" t="str">
        <f>IF(ISNUMBER(SnapshotTable[[#This Row],[Equity Max Gain Per Share]]),SnapshotTable[[#This Row],[Equity Max Gain Per Share]] * SnapshotTable[[#This Row],[Equity Shares]],"")</f>
        <v/>
      </c>
      <c r="AB361" s="31" t="str">
        <f>IF(ISNUMBER(SnapshotTable[[#This Row],[Equity Max Loss Per Share]]),SnapshotTable[[#This Row],[Equity Max Loss Per Share]] * SnapshotTable[[#This Row],[Equity Shares]],"")</f>
        <v/>
      </c>
      <c r="AC361" s="150"/>
      <c r="AD361" s="151"/>
      <c r="AE361" s="31">
        <f>(SnapshotTable[[#This Row],[Annual Dividend Per Share]] / 4) * SnapshotTable[[#This Row],[Equity Shares]]</f>
        <v>0</v>
      </c>
      <c r="AF361" s="31">
        <f>SnapshotTable[[#This Row],[Quarterly Div $]] * 4</f>
        <v>0</v>
      </c>
      <c r="AG361" s="7">
        <f>IF(SnapshotTable[[#This Row],[Annual Dividend Per Share]]&gt;0, SnapshotTable[[#This Row],[Annual Dividend Per Share]]  / SnapshotTable[[#This Row],[Last Price]], 0)</f>
        <v>0</v>
      </c>
      <c r="AH361" s="151"/>
      <c r="AI361" s="5"/>
      <c r="AJ361" s="138">
        <v>41.08</v>
      </c>
      <c r="AK361" s="152" t="str">
        <f>IF(ISNUMBER( SnapshotTable[[#This Row],[EBF Target]]),(SnapshotTable[[#This Row],[EBF Target]] - SnapshotTable[[#This Row],[Last Price]]) / SnapshotTable[[#This Row],[Last Price]], "")</f>
        <v/>
      </c>
      <c r="AL361" s="152" t="str">
        <f>IF(AND(SnapshotTable[[#This Row],[Equity Basis Total]] &gt; 0,ISNUMBER( SnapshotTable[[#This Row],[Long Term Target]])), SnapshotTable[[#This Row],[From Basis $]] / SnapshotTable[[#This Row],[Equity Basis Total]], "")</f>
        <v/>
      </c>
      <c r="AM361" s="9">
        <f>IF( AND(SnapshotTable[[#This Row],[Equity Shares]] &gt;0,ISNUMBER( SnapshotTable[[#This Row],[Long Term Target]])),(SnapshotTable[[#This Row],[Equity Shares]] * SnapshotTable[[#This Row],[Long Term Target]]) - SnapshotTable[[#This Row],[Equity Basis Total]],0)</f>
        <v>0</v>
      </c>
      <c r="AN361" s="9">
        <f>IF( AND(SnapshotTable[[#This Row],[Equity Shares]] &gt;0,ISNUMBER( SnapshotTable[[#This Row],[Long Term Target]])),(SnapshotTable[[#This Row],[Equity Shares]]*SnapshotTable[[#This Row],[Long Term Target]]) - SnapshotTable[[#This Row],[Equity Value]],0)</f>
        <v>0</v>
      </c>
      <c r="AO361" s="152">
        <f>IF(AND(ISNUMBER( SnapshotTable[[#This Row],[Long Term Target]]), ISNUMBER(SnapshotTable[[#This Row],[Last Price]])),(SnapshotTable[[#This Row],[Long Term Target]] - SnapshotTable[[#This Row],[Last Price]]) / SnapshotTable[[#This Row],[Last Price]], "")</f>
        <v>0.19696969696969691</v>
      </c>
      <c r="AP361" s="5"/>
      <c r="AQ361" s="38"/>
      <c r="AR361" s="5"/>
      <c r="AS361" s="38"/>
      <c r="AT361" s="146"/>
      <c r="AU361" s="187" t="str">
        <f>IF(OR(SnapshotTable[[#This Row],[LP No Fill]]="Y",SnapshotTable[[#This Row],[SP Is Filled]],SnapshotTable[[#This Row],[LC Not Filled]]="Y",SnapshotTable[[#This Row],[SC Is Filled]]),"Y","")</f>
        <v/>
      </c>
      <c r="AV361" s="219"/>
      <c r="AW361" s="225"/>
      <c r="AX361" s="220"/>
      <c r="AY361" s="219" t="str">
        <f>IF(SnapshotTable[[#This Row],[Implied Move]]&gt;0, SnapshotTable[[#This Row],[Last Price]]-SnapshotTable[[#This Row],[Implied Move]],"")</f>
        <v/>
      </c>
      <c r="AZ361" s="219" t="str">
        <f>IF(SnapshotTable[[#This Row],[Implied Move]]&gt;0, SnapshotTable[[#This Row],[Last Price]] + SnapshotTable[[#This Row],[Implied Move]],"")</f>
        <v/>
      </c>
      <c r="BA361" s="331"/>
      <c r="BB361" s="347"/>
      <c r="BC36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1" s="351"/>
      <c r="BE361" s="5"/>
      <c r="BF361" s="14"/>
      <c r="BG361" s="13"/>
      <c r="BH361" s="13"/>
      <c r="BI361" s="5"/>
      <c r="BJ361" s="136">
        <f>IF(SnapshotTable[[#This Row],[LP Qty]] &gt; 0, SnapshotTable[[#This Row],[LP Qty]] * SnapshotTable[[#This Row],[LP Book Price]] * 100,0)</f>
        <v>0</v>
      </c>
      <c r="BK361" s="136">
        <f>IF(SnapshotTable[[#This Row],[LP Premium]] &gt; 0, SnapshotTable[[#This Row],[LP Qty]] * SnapshotTable[[#This Row],[LP Strike Price]] * 100,0)</f>
        <v>0</v>
      </c>
      <c r="BL361" s="154"/>
      <c r="BM361" s="385" t="str">
        <f>IF(SnapshotTable[[#This Row],[LP Premium]] &gt; 0,SnapshotTable[[#This Row],[LP Exp Date]]-MAX(SnapshotTable[[#This Row],[LP Book Date]], SnapshotTable[[#This Row],[LP Fill Date]]),"")</f>
        <v/>
      </c>
      <c r="BN361" s="385" t="str">
        <f>IF(ISNUMBER( SnapshotTable[[#This Row],[LP Term]]), SnapshotTable[[#This Row],[LP Exp Date]] - MockToday,"")</f>
        <v/>
      </c>
      <c r="BO361" s="163" t="str">
        <f>IF(AND(SnapshotTable[[#This Row],[LP Exp Date]]&gt;0, SnapshotTable[[#This Row],[LP Strike Price]]&gt;0,SnapshotTable[[#This Row],[LP Qty]]&gt;0,SnapshotTable[[#This Row],[LP Book Date]]&gt;0,SnapshotTable[[#This Row],[LP Book Price]]&gt;0,SnapshotTable[[#This Row],[LP Fill Date]]=0),"Y","")</f>
        <v/>
      </c>
      <c r="BP361" s="31" t="str">
        <f>IF(AND(SnapshotTable[[#This Row],[LP No Fill]]&lt;&gt;"Y",SnapshotTable[[#This Row],[LP Contract Value]]&gt;0, SnapshotTable[[#This Row],[LP Qty]]&gt;0), SnapshotTable[[#This Row],[LP Contract Value]]*SnapshotTable[[#This Row],[LP Qty]]*100,"")</f>
        <v/>
      </c>
      <c r="BQ361" s="13"/>
      <c r="BR361" s="5" t="str">
        <f>IF(SnapshotTable[[#This Row],[SP Exp Date]]&lt;&gt;"",TRUNC(SnapshotTable[[#This Row],[Last Price]]),"")</f>
        <v/>
      </c>
      <c r="BS361" s="36"/>
      <c r="BT361" s="147"/>
      <c r="BU361" s="13"/>
      <c r="BV361" s="5"/>
      <c r="BW361" s="419" t="b">
        <f>AND(ISNUMBER(SnapshotTable[[#This Row],[SP Exp Date]]), ISNUMBER(SnapshotTable[[#This Row],[SP Strike Price]]), ISNUMBER(SnapshotTable[[#This Row],[SP Qty]]), ISNUMBER(SnapshotTable[[#This Row],[SP Book Date]]), ISNUMBER(SnapshotTable[[#This Row],[SP Book Price]]))</f>
        <v>0</v>
      </c>
      <c r="BX361" s="419" t="b">
        <f>AND(SnapshotTable[[#This Row],[SP Is Booked]], NOT(ISBLANK(SnapshotTable[[#This Row],[SP Fill Date]])))</f>
        <v>0</v>
      </c>
      <c r="BY361" s="33">
        <f>IF(SnapshotTable[[#This Row],[SP Is Booked]], SnapshotTable[[#This Row],[SP Qty]] * SnapshotTable[[#This Row],[SP Book Price]] * 100, 0)</f>
        <v>0</v>
      </c>
      <c r="BZ361" s="369"/>
      <c r="CA361" s="368">
        <f>SnapshotTable[[#This Row],[LP Qty]]</f>
        <v>0</v>
      </c>
      <c r="CB361" s="4" t="str">
        <f>IF(SnapshotTable[[#This Row],[SP Is Booked]], SnapshotTable[[#This Row],[SP Strike Price]] - SnapshotTable[[#This Row],[SP Book Price]], "")</f>
        <v/>
      </c>
      <c r="CC361" s="19" t="str">
        <f>IF(SnapshotTable[[#This Row],[SP Is Booked]],SnapshotTable[[#This Row],[SP Exp Date]]-MAX(SnapshotTable[[#This Row],[SP Book Date]], SnapshotTable[[#This Row],[SP Fill Date]]),"")</f>
        <v/>
      </c>
      <c r="CD361" s="7" t="str">
        <f>IF(SnapshotTable[[#This Row],[SP Is Booked]], SnapshotTable[[#This Row],[SP Book Price]]/SnapshotTable[[#This Row],[SP Strike Price]], "")</f>
        <v/>
      </c>
      <c r="CE361" s="7" t="str">
        <f>IF(ISNUMBER(SnapshotTable[[#This Row],[SP ROO Term]]),SnapshotTable[[#This Row],[SP ROO Term]]*(365/SnapshotTable[[#This Row],[SP Term]]),"")</f>
        <v/>
      </c>
      <c r="CF361" s="236">
        <f>SnapshotTable[[#This Row],[LP Strike Price]] * SnapshotTable[[#This Row],[LP Qty]] * 100</f>
        <v>0</v>
      </c>
      <c r="CG361" s="31" t="e">
        <f>IF(ISNUMBER(SnapshotTable[[#This Row],[SP Premium]]), (SnapshotTable[[#This Row],[SP Qty]] * SnapshotTable[[#This Row],[SP Strike Price]]* 100) - SnapshotTable[[#This Row],[LP Protection]], 0)</f>
        <v>#VALUE!</v>
      </c>
      <c r="CH361" s="7" t="str">
        <f>IF(ISNUMBER(SnapshotTable[[#This Row],[SP Break Even]]),-1 * (SnapshotTable[[#This Row],[SP Break Even]] - SnapshotTable[[#This Row],[Last Price]]) / SnapshotTable[[#This Row],[Last Price]], "")</f>
        <v/>
      </c>
      <c r="CI361" s="31">
        <f>IF(AND(ISNUMBER((SnapshotTable[[#This Row],[SP Potential Spend]])), SnapshotTable[[#This Row],[SP Strike Price]] &gt; SnapshotTable[[#This Row],[Last Price]], SnapshotTable[[#This Row],[SP Is Filled]]), SnapshotTable[[#This Row],[SP Potential Spend]] -  SnapshotTable[[#This Row],[LP Max Value]], 0)</f>
        <v>0</v>
      </c>
      <c r="CJ361" s="244"/>
      <c r="CK361" s="31" t="str">
        <f>IF(ISNUMBER(SnapshotTable[[#This Row],[SP Potential Spend]]),IF(ISNUMBER(SnapshotTable[[#This Row],[SP POW]]), SnapshotTable[[#This Row],[SP POW]] * SnapshotTable[[#This Row],[SP Potential Spend]], SnapshotTable[[#This Row],[SP Potential Spend]]), "")</f>
        <v/>
      </c>
      <c r="CL361" s="164" t="e">
        <f>IF(NOT(SnapshotTable[[#This Row],[SP Is Filled]]),(SnapshotTable[[#This Row],[SP Qty]] * SnapshotTable[[#This Row],[SP Strike Price]] * 100) - SnapshotTable[[#This Row],[LP Max Value]],"")</f>
        <v>#VALUE!</v>
      </c>
      <c r="CM361" s="31" t="str">
        <f>IF(SnapshotTable[[#This Row],[SP Actual Spend]]&lt;&gt;0, ((SnapshotTable[[#This Row],[SP Strike Price]]-SnapshotTable[[#This Row],[Last Price]]) *(SnapshotTable[[#This Row],[SP Qty]]*100) - SnapshotTable[[#This Row],[SP Premium]]) * - 1, "")</f>
        <v/>
      </c>
      <c r="CN361" s="78"/>
      <c r="CO361" s="369"/>
      <c r="CP361" s="4" t="str">
        <f>IF(SnapshotTable[[#This Row],[SP Is Filled]], btc_max_buyback_amount(SnapshotTable[[#This Row],[SP Fill Date]],SnapshotTable[[#This Row],[SP Exp Date]], SnapshotTable[[#This Row],[SP Book Price]]),"")</f>
        <v/>
      </c>
      <c r="CQ361" s="78"/>
      <c r="CR36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1" s="155" t="str">
        <f>IF(SnapshotTable[[#This Row],[SP Is Filled]], btc_next_cutoff_date(SnapshotTable[[#This Row],[SP Fill Date]],SnapshotTable[[#This Row],[SP Exp Date]]),"")</f>
        <v/>
      </c>
      <c r="CT361" s="235" t="str" cm="1">
        <f t="array" ref="CT361">IF(SnapshotTable[[#This Row],[SP Is Filled]], btc_should_buy_back(SnapshotTable[[#This Row],[SP Fill Date]], SnapshotTable[[#This Row],[SP Exp Date]], SnapshotTable[[#This Row],[SP Book Price]], SnapshotTable[[#This Row],[SP Current Ask]], MockToday, SnapshotTable[[#This Row],[SP Buyback Override]]),"")</f>
        <v/>
      </c>
      <c r="CU361" s="143"/>
      <c r="CV361" s="235"/>
      <c r="CW361" s="378" t="str">
        <f>IF(ISNUMBER( SnapshotTable[[#This Row],[SP Term]]), SnapshotTable[[#This Row],[SP Exp Date]] - MockToday,"")</f>
        <v/>
      </c>
      <c r="CX361" s="31" t="str">
        <f>IF(SnapshotTable[[#This Row],[SP Is Filled]],SnapshotTable[[#This Row],[SP Buyback Price to Use]] * 100 * SnapshotTable[[#This Row],[SP Qty]], "")</f>
        <v/>
      </c>
      <c r="CY361" s="4" t="str">
        <f>IF(ISNUMBER(SnapshotTable[[#This Row],[SP Strike Price]]), SnapshotTable[[#This Row],[SP Strike Price]] * (1 - SP_MaxLoss_StrikePct), "")</f>
        <v/>
      </c>
      <c r="CZ361" s="31" t="str">
        <f>IF(ISNUMBER(SnapshotTable[[#This Row],[SP Strike  Stop Per Share]]),SnapshotTable[[#This Row],[SP Premium]] - ((SnapshotTable[[#This Row],[SP Strike Price]]-SnapshotTable[[#This Row],[SP Strike  Stop Per Share]]) *(SnapshotTable[[#This Row],[SP Qty]] * 100)),"")</f>
        <v/>
      </c>
      <c r="DA361" s="4" t="str">
        <f>IF(AND(ISNUMBER(SnapshotTable[[#This Row],[SP Premium]]),SnapshotTable[[#This Row],[SP Premium]]&gt;0), SnapshotTable[[#This Row],[SP Book Price]] * (1 + SP_MaxLoss_OptionPct), "")</f>
        <v/>
      </c>
      <c r="DB361" s="31" t="str">
        <f>IF(ISNUMBER(SnapshotTable[[#This Row],[SP Option  Stop Contract]]),(SnapshotTable[[#This Row],[SP Option  Stop Contract]] *(SnapshotTable[[#This Row],[SP Qty]] * 100) - SnapshotTable[[#This Row],[SP Premium]]),"")</f>
        <v/>
      </c>
      <c r="DC361" s="4"/>
      <c r="DD361" s="4"/>
      <c r="DE361" s="4" t="str">
        <f>IF(AND(SnapshotTable[[#This Row],[SP Qty]]&gt;0, SnapshotTable[[#This Row],[SP Stop To Use]]&gt;0),SnapshotTable[[#This Row],[SP Premium]] - ( SnapshotTable[[#This Row],[SP Qty]] * SnapshotTable[[#This Row],[SP Stop To Use]] * 100), "")</f>
        <v/>
      </c>
      <c r="DF361" s="31" t="str">
        <f>IF(AND(SnapshotTable[[#This Row],[SP Qty]]&gt;0,SnapshotTable[[#This Row],[SP Current Ask]]&gt;0), SnapshotTable[[#This Row],[SP Qty]] * SnapshotTable[[#This Row],[SP Current Ask]] * -100, "")</f>
        <v/>
      </c>
      <c r="DG361" s="31" t="str">
        <f>IF(ISNUMBER((SnapshotTable[[#This Row],[SP Total Value]])), SnapshotTable[[#This Row],[SP Premium]] + SnapshotTable[[#This Row],[SP Total Value]], "")</f>
        <v/>
      </c>
      <c r="DH361" s="294" t="str">
        <f>IF(ISNUMBER((SnapshotTable[[#This Row],[SP Total Value]])), SnapshotTable[[#This Row],[SP Gain Loss]] / SnapshotTable[[#This Row],[SP Premium]], "")</f>
        <v/>
      </c>
      <c r="DI361" s="406"/>
      <c r="DJ361" s="138"/>
      <c r="DK361" s="148"/>
      <c r="DL361" s="13"/>
      <c r="DM361" s="13"/>
      <c r="DO361" s="31">
        <f>IF(SnapshotTable[[#This Row],[LC Symbol Count]]=1, SnapshotTable[[#This Row],[LC Qty]] * SnapshotTable[[#This Row],[LC Book Price]] * 100, 0)</f>
        <v>0</v>
      </c>
      <c r="DP361" s="163" t="str">
        <f>IF(AND(SnapshotTable[[#This Row],[LC Exp Date]]&gt;0, SnapshotTable[[#This Row],[LC Strike Price]]&gt;0,SnapshotTable[[#This Row],[LC Qty]]&gt;0,SnapshotTable[[#This Row],[LC Book Date]]&gt;0,SnapshotTable[[#This Row],[LC Book Price]]&gt;0,SnapshotTable[[#This Row],[LC Fill Date]]=0),"Y","")</f>
        <v/>
      </c>
      <c r="DQ361" s="386" t="str">
        <f>IF(SnapshotTable[[#This Row],[LC Premium]] &gt; 0,SnapshotTable[[#This Row],[LC Exp Date]]-MAX(SnapshotTable[[#This Row],[LC Book Date]], SnapshotTable[[#This Row],[LC Fill Date]]),"")</f>
        <v/>
      </c>
      <c r="DR361" s="386" t="str">
        <f>IF(ISNUMBER(SnapshotTable[[#This Row],[LC Term]]), SnapshotTable[[#This Row],[LC Exp Date]] - MockToday, "")</f>
        <v/>
      </c>
      <c r="DS361" s="234" t="str">
        <f>IF(SnapshotTable[[#This Row],[LC Premium]]&gt;0,SnapshotTable[[#This Row],[LC Strike Price]] + SnapshotTable[[#This Row],[LC Book Price]],"")</f>
        <v/>
      </c>
      <c r="DU361" s="9" t="str">
        <f>IF(AND(SnapshotTable[[#This Row],[LC Symbol Count]]&gt;0, SnapshotTable[[#This Row],[LC Contract Value]]&gt;0), SnapshotTable[[#This Row],[LC Contract Value]] * SnapshotTable[[#This Row],[LC Qty]] * 100, "")</f>
        <v/>
      </c>
      <c r="DV361" s="9" t="str">
        <f>IF(AND(ISNUMBER(SnapshotTable[[#This Row],[LC Total Value]]), SnapshotTable[[#This Row],[LC Not Filled]]&lt;&gt;"Y"), SnapshotTable[[#This Row],[LC Total Value]]-SnapshotTable[[#This Row],[LC Premium]],"")</f>
        <v/>
      </c>
      <c r="DW361" s="240" t="str">
        <f>IF(ISNUMBER(SnapshotTable[[#This Row],[LC Actual Gain Loss]]), SnapshotTable[[#This Row],[LC Actual Gain Loss]] / SnapshotTable[[#This Row],[LC Premium]],"")</f>
        <v/>
      </c>
      <c r="DX361" s="284" t="str">
        <f>IF(ISNUMBER(SnapshotTable[[#This Row],[LC Book Price]]),SnapshotTable[[#This Row],[LC Book Price]] * 1.5,"")</f>
        <v/>
      </c>
      <c r="DY361" s="265" t="str">
        <f>IF(SnapshotTable[[#This Row],[LC Premium]]&gt;0, SnapshotTable[[#This Row],[LC Next Target]] * SnapshotTable[[#This Row],[LC Qty]] * 100,"")</f>
        <v/>
      </c>
      <c r="DZ361" s="265" t="str">
        <f>IF(ISNUMBER(SnapshotTable[[#This Row],[LC Target Gross]]), SnapshotTable[[#This Row],[LC Target Gross]] - SnapshotTable[[#This Row],[LC Premium]], "")</f>
        <v/>
      </c>
      <c r="EA361" s="305" t="str">
        <f>IF(ISNUMBER(SnapshotTable[[#This Row],[LC Target Gain Loss]]), SnapshotTable[[#This Row],[LC Target Gain Loss]]/SnapshotTable[[#This Row],[LC Premium]], "")</f>
        <v/>
      </c>
      <c r="EB361" s="262"/>
      <c r="EC361" s="283" t="str">
        <f>IF(SnapshotTable[[#This Row],[LC Premium]]&gt;0, SnapshotTable[[#This Row],[LC Book Price]] * (1 - LC_StopLoss_Pct),"")</f>
        <v/>
      </c>
      <c r="ED361" s="284"/>
      <c r="EE361" s="283" t="str">
        <f>IF(ISNUMBER(SnapshotTable[[#This Row],[LC Contract Value]]),IF(ISNUMBER(SnapshotTable[[#This Row],[LC Stop Loss Override]]), SnapshotTable[[#This Row],[LC Stop Loss Override]],SnapshotTable[[#This Row],[LC Stop Loss Calc Target]]),"")</f>
        <v/>
      </c>
      <c r="EF361" s="31" t="str">
        <f>IF(ISNUMBER(SnapshotTable[[#This Row],[LC Stop  To Use]]), (SnapshotTable[[#This Row],[LC Stop  To Use]] * SnapshotTable[[#This Row],[LC Qty]] * 100),"")</f>
        <v/>
      </c>
      <c r="EG361" s="9" t="str">
        <f>IF(ISNUMBER(SnapshotTable[[#This Row],[LC Total Value]]),SnapshotTable[[#This Row],[LC Stop Loss Amount]] - SnapshotTable[[#This Row],[LC Premium]],"")</f>
        <v/>
      </c>
      <c r="EH361" s="9">
        <f>IF(ISNUMBER(SnapshotTable[[#This Row],[LC Premium]]), SnapshotTable[[#This Row],[LC Qty]] * 100 * SnapshotTable[[#This Row],[LC Strike Price]], "")</f>
        <v>0</v>
      </c>
      <c r="EI361" s="240" t="str">
        <f>IF(AND(ISNUMBER(SnapshotTable[[#This Row],[LC Total Value]]),SnapshotTable[[#This Row],[LC Total Value]]&gt;0),SnapshotTable[[#This Row],[LC Stop Gain Loss]]  / SnapshotTable[[#This Row],[LC Premium]],"")</f>
        <v/>
      </c>
      <c r="EJ361" s="35">
        <f>IF(ISNUMBER(SnapshotTable[[#This Row],[Equity Shares]]),TRUNC(SnapshotTable[[#This Row],[Equity Shares]] / 100),0) + SnapshotTable[[#This Row],[LC Qty]]</f>
        <v>0</v>
      </c>
      <c r="EK361" s="147"/>
      <c r="EL361" s="138" t="str">
        <f>IF(SnapshotTable[[#This Row],[SC Exp Date]]&lt;&gt;"",TRUNC(SnapshotTable[[#This Row],[Last Price]]),"")</f>
        <v/>
      </c>
      <c r="EM361" s="148"/>
      <c r="EN361" s="147"/>
      <c r="EO361" s="147"/>
      <c r="EP361" s="138"/>
      <c r="EQ361" s="419" t="b">
        <f>AND(ISNUMBER(SnapshotTable[[#This Row],[SC Exp Date]]), ISNUMBER(SnapshotTable[[#This Row],[SC Strike Price]]), ISNUMBER(SnapshotTable[[#This Row],[SC Qty]]), ISNUMBER(SnapshotTable[[#This Row],[SC Book Date]]), ISNUMBER(SnapshotTable[[#This Row],[SC Book Price]]))</f>
        <v>0</v>
      </c>
      <c r="ER361" s="419" t="b">
        <f>AND(SnapshotTable[[#This Row],[SC Is Booked]], NOT(ISBLANK(SnapshotTable[[#This Row],[SC Fill Date]])))</f>
        <v>0</v>
      </c>
      <c r="ES361" s="370"/>
      <c r="ET361" s="34" t="str">
        <f>IF(AND(ISNUMBER(SnapshotTable[[#This Row],[SC Exp Date]]), ISNUMBER(SnapshotTable[[#This Row],[SC Book Date]])), SnapshotTable[[#This Row],[SC Exp Date]] - MAX(SnapshotTable[[#This Row],[SC Book Date]], SnapshotTable[[#This Row],[SC Fill Date]]) + 1, "")</f>
        <v/>
      </c>
      <c r="EU361" s="34" t="str">
        <f>IF(ISNUMBER(SnapshotTable[[#This Row],[SC Term]]), SnapshotTable[[#This Row],[SC Exp Date]]- MockToday, "")</f>
        <v/>
      </c>
      <c r="EV361" s="31">
        <f>IF(SnapshotTable[[#This Row],[SC Is Booked]], SnapshotTable[[#This Row],[SC Qty]] * SnapshotTable[[#This Row],[SC Book Price]] * 100, 0)</f>
        <v>0</v>
      </c>
      <c r="EW361" s="4" t="str">
        <f>IF(AND(ISNUMBER(SnapshotTable[[#This Row],[Last Price]]), ISNUMBER( SnapshotTable[[#This Row],[SC Book Price]])), SnapshotTable[[#This Row],[Last Price]] - SnapshotTable[[#This Row],[SC Book Price]],"")</f>
        <v/>
      </c>
      <c r="EX361" s="234" t="str">
        <f>IF(SnapshotTable[[#This Row],[SC Is Booked]],IF(SnapshotTable[[#This Row],[SC Intrinsic Value]] &gt; 0, SnapshotTable[[#This Row],[SC Strike Price]], SnapshotTable[[#This Row],[Last Price]]), "")</f>
        <v/>
      </c>
      <c r="EY361" s="4">
        <f>IF(SnapshotTable[[#This Row],[SC Is Booked]], (MinimumPremiumRequired * SnapshotTable[[#This Row],[SC Basis]] * SnapshotTable[[#This Row],[SC Term]]), 0)</f>
        <v>0</v>
      </c>
      <c r="EZ361" s="283"/>
      <c r="FA361" s="218"/>
      <c r="FB361" s="370"/>
      <c r="FC361" s="4">
        <f>IF(SnapshotTable[[#This Row],[SC Is Filled]], btc_max_buyback_amount(SnapshotTable[[#This Row],[SC Fill Date]],SnapshotTable[[#This Row],[SC Exp Date]], SnapshotTable[[#This Row],[SC Book Price]]),0)</f>
        <v>0</v>
      </c>
      <c r="FD361" s="5"/>
      <c r="FE361" s="144" t="str">
        <f>IF(SnapshotTable[[#This Row],[SC Is Filled]], btc_next_cutoff_date(SnapshotTable[[#This Row],[SC Fill Date]],SnapshotTable[[#This Row],[SC Exp Date]]),"")</f>
        <v/>
      </c>
      <c r="FF361" s="4" t="str" cm="1">
        <f t="array" ref="FF361">IF(SnapshotTable[[#This Row],[SC Is Filled]], btc_should_buy_back(SnapshotTable[[#This Row],[SC Fill Date]], SnapshotTable[[#This Row],[SC Exp Date]], SnapshotTable[[#This Row],[SC Book Price]], SnapshotTable[[#This Row],[SC Current Ask]], MockToday, SnapshotTable[[#This Row],[SC Buyback Override]]),"")</f>
        <v/>
      </c>
      <c r="FG361" s="4">
        <f>IF(SnapshotTable[[#This Row],[SC Is Filled]], MAX(0,SnapshotTable[[#This Row],[Last Price]]  - SnapshotTable[[#This Row],[SC Strike Price]]), 0)</f>
        <v>0</v>
      </c>
      <c r="FH361" s="382">
        <f>IF(SnapshotTable[[#This Row],[SC Is Filled]], IF(ISNUMBER(SnapshotTable[[#This Row],[SC Current Ask]]), SnapshotTable[[#This Row],[SC Current Ask]], SnapshotTable[[#This Row],[SC Book Price]]) - SnapshotTable[[#This Row],[SC Intrinsic Value]], 0)</f>
        <v>0</v>
      </c>
      <c r="FI361" s="143"/>
      <c r="FJ361" s="32" t="str">
        <f>IF(SnapshotTable[[#This Row],[SC Is Filled]],100 * SnapshotTable[[#This Row],[SC Qty]] * IF(ISNUMBER(SnapshotTable[[#This Row],[SC Buyback Override]]), SnapshotTable[[#This Row],[SC Buyback Override]], SnapshotTable[[#This Row],[SC Current Ask]]), "")</f>
        <v/>
      </c>
      <c r="FK361" s="250" t="str">
        <f>IF(SnapshotTable[[#This Row],[SC Time Val]]&gt;0, SnapshotTable[[#This Row],[SC Time Val]] / SnapshotTable[[#This Row],[Last Price]],"")</f>
        <v/>
      </c>
      <c r="FL361" s="302" t="str">
        <f>IF(SnapshotTable[[#This Row],[SC Is Booked]], ((SnapshotTable[[#This Row],[Last Price]] -SnapshotTable[[#This Row],[SC Strike Price]]) / SnapshotTable[[#This Row],[Last Price]]) * -1, "")</f>
        <v/>
      </c>
      <c r="FM361" s="157" t="str">
        <f>IF(SnapshotTable[[#This Row],[SC Is Booked]],  (SnapshotTable[[#This Row],[SC Qty]] * 100 * SnapshotTable[[#This Row],[SC Strike Price]]) - SnapshotTable[[#This Row],[SC Current Ask]], "")</f>
        <v/>
      </c>
      <c r="FN36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1" s="31" t="str">
        <f>IF(AND(ISNUMBER(SnapshotTable[[#This Row],[SC Exercise Gross]]), ISNUMBER(SnapshotTable[[#This Row],[Equity Basis Per Share]] )), SnapshotTable[[#This Row],[SC Exercise Gross]] - SnapshotTable[[#This Row],[Equity Basis Total]] +  SnapshotTable[[#This Row],[SC Premium]], "")</f>
        <v/>
      </c>
      <c r="FP361" s="5" t="str">
        <f>IF(ISNUMBER(SnapshotTable[[#This Row],[SC Exercise Gross]]), (SnapshotTable[[#This Row],[SC Exercise Gross]]) / (SnapshotTable[[#This Row],[SC Qty]] * 100), "")</f>
        <v/>
      </c>
      <c r="FQ361" s="27" t="str">
        <f>IF(SnapshotTable[[#This Row],[SC Is Booked]],SnapshotTable[[#This Row],[SC Time Val]] /SnapshotTable[[#This Row],[SC Basis]], "")</f>
        <v/>
      </c>
      <c r="FR361" s="27" t="str" cm="1">
        <f t="array" ref="FR361">IF(AND(ISNUMBER(SnapshotTable[[#This Row],[SC Term]]),ISNUMBER(SnapshotTable[[#This Row],[SC Simple ROO]])), EllmanAnnualize(SnapshotTable[[#This Row],[SC DTE]], SnapshotTable[[#This Row],[SC Simple ROO]] ),"")</f>
        <v/>
      </c>
      <c r="FS361" s="4" t="e">
        <f>IF(SnapshotTable[[#This Row],[SC Strike Price]] &gt; SnapshotTable[[#This Row],[Last Price]], SnapshotTable[[#This Row],[SC Strike Price]] - SnapshotTable[[#This Row],[Last Price]],0)</f>
        <v>#VALUE!</v>
      </c>
      <c r="FT361" s="27" t="e">
        <f>IF(AND(ISNUMBER(SnapshotTable[[#This Row],[SC Upside Potential]]), SnapshotTable[[#This Row],[SC Upside Potential]] &gt; 0),(SnapshotTable[[#This Row],[SC Upside Potential]]/ SnapshotTable[[#This Row],[ACB]]),"")</f>
        <v>#VALUE!</v>
      </c>
      <c r="FU361" s="333" t="str">
        <f>IF(SnapshotTable[[#This Row],[SC Intrinsic Value]] &gt; 0,SnapshotTable[[#This Row],[SC Intrinsic Value]],"")</f>
        <v/>
      </c>
      <c r="FV361" s="27" t="str">
        <f>IF(AND( ISNUMBER( SnapshotTable[[#This Row],[ACB]]),ISNUMBER(SnapshotTable[[#This Row],[SC Downside Protect]])),SnapshotTable[[#This Row],[SC Downside Protect]] / SnapshotTable[[#This Row],[ACB]],"")</f>
        <v/>
      </c>
      <c r="FW361" s="236" t="str">
        <f>IF(AND(ISNUMBER(SnapshotTable[[#This Row],[SC Simple ROO]]),SnapshotTable[[#This Row],[SC Simple ROO]] &gt; 0), SnapshotTable[[#This Row],[SC Premium]] + (SnapshotTable[[#This Row],[SC Qty]] * SnapshotTable[[#This Row],[SC Upside Potential]]), "")</f>
        <v/>
      </c>
      <c r="FX361" s="302" t="str" cm="1">
        <f t="array" ref="FX361">IF(ISNUMBER(SnapshotTable[[#This Row],[SC Max Dollars]]), annualize(SnapshotTable[[#This Row],[SC Term]],(SnapshotTable[[#This Row],[SC Max Dollars]]/SnapshotTable[[#This Row],[SC Basis]])),"")</f>
        <v/>
      </c>
      <c r="FY361" s="236" t="str">
        <f>IF(AND(SnapshotTable[[#This Row],[SC Qty]]&gt;0,SnapshotTable[[#This Row],[SC Current Ask]]&gt;0), SnapshotTable[[#This Row],[SC Qty]] * SnapshotTable[[#This Row],[SC Current Ask]] * -100, "")</f>
        <v/>
      </c>
      <c r="FZ361" s="31" t="str">
        <f>IF(ISNUMBER((SnapshotTable[[#This Row],[SC Current Value]])), SnapshotTable[[#This Row],[SC Premium]] + SnapshotTable[[#This Row],[SC Current Value]], "")</f>
        <v/>
      </c>
      <c r="GA361" s="294" t="str">
        <f>IFERROR( IF(ISNUMBER((SnapshotTable[[#This Row],[SC Current Value]])), SnapshotTable[[#This Row],[SC Gain Loss]] / SnapshotTable[[#This Row],[SC Premium]], ""), "")</f>
        <v/>
      </c>
      <c r="GB361" s="42">
        <f>SnapshotTable[[#This Row],[Equity Shares]] * SaleSharesToConsiderPercentage</f>
        <v>0</v>
      </c>
      <c r="GC361" s="40">
        <f>SnapshotTable[[#This Row],[Long Term Target]] * SellingPriceToConsiderBasedOnTargetPercentage</f>
        <v>39.025999999999996</v>
      </c>
      <c r="GD361" s="40">
        <f>SnapshotTable[[#This Row],[Last Price]] * (1+ SellingPriceToConsiderBasedOnTargetPercentage)</f>
        <v>66.923999999999992</v>
      </c>
      <c r="GE361" s="41"/>
      <c r="GF361" s="40"/>
      <c r="GG361" s="31">
        <f>SnapshotTable[[#This Row],[Booked Sale Shares]] * SnapshotTable[[#This Row],[Booked Sale Price]]</f>
        <v>0</v>
      </c>
      <c r="GH361" s="31" t="str">
        <f>IF(SnapshotTable[[#This Row],[Equity Basis Total]] &gt; 0, SnapshotTable[[#This Row],[Equity Basis Per Share]] * SnapshotTable[[#This Row],[Booked Sale Shares]], "")</f>
        <v/>
      </c>
      <c r="GI361" s="31">
        <f>IF(SnapshotTable[[#This Row],[Sale Proceeds]]&gt;0, SnapshotTable[[#This Row],[Sale Proceeds]] - SnapshotTable[[#This Row],[Sale Basis]], 0)</f>
        <v>0</v>
      </c>
      <c r="GJ361" s="27" t="str">
        <f>IF(SnapshotTable[[#This Row],[Sale G/L]]&gt;0, SnapshotTable[[#This Row],[Sale G/L]] / SnapshotTable[[#This Row],[Sale Basis]], IF(ISNUMBER(SnapshotTable[[#This Row],[SC Exercise P&amp;L (TAX)]]), SnapshotTable[[#This Row],[SC Exercise P&amp;L (TAX)]] / SnapshotTable[[#This Row],[SC Basis]], ""))</f>
        <v/>
      </c>
      <c r="GK361" s="27" t="s">
        <v>797</v>
      </c>
      <c r="GL361" s="43" t="str">
        <f>IF(AND(SnapshotTable[[#This Row],[LP Exp Date]]&gt;0,SnapshotTable[[#This Row],[LP Strike Price]]&gt;0), [1]!ToOptionSymbol(SnapshotTable[[#This Row],[Symbol]], SnapshotTable[[#This Row],[LP Strike Price]],SnapshotTable[[#This Row],[LP Exp Date]],1), "")</f>
        <v/>
      </c>
      <c r="GM361" s="30" t="str">
        <f>IF(LEN(SnapshotTable[[#This Row],[LP Symbol]])&gt;0, 1, "")</f>
        <v/>
      </c>
      <c r="GN361" s="43" t="str">
        <f>IF(AND(SnapshotTable[[#This Row],[SP Exp Date]]&gt;0,SnapshotTable[[#This Row],[SP Strike Price]]&gt;0), [1]!ToOptionSymbol(SnapshotTable[[#This Row],[Symbol]], SnapshotTable[[#This Row],[SP Strike Price]],SnapshotTable[[#This Row],[SP Exp Date]],1), "")</f>
        <v/>
      </c>
      <c r="GO361" s="30" t="str">
        <f>IF(LEN(SnapshotTable[[#This Row],[SP Symbol]])&gt;0, 1, "")</f>
        <v/>
      </c>
      <c r="GP361" s="43" t="str">
        <f>IF(AND(SnapshotTable[[#This Row],[LC Exp Date]]&gt;0,SnapshotTable[[#This Row],[LC Strike Price]]&gt;0), [1]!ToOptionSymbol(SnapshotTable[[#This Row],[Symbol]], SnapshotTable[[#This Row],[LC Strike Price]],SnapshotTable[[#This Row],[LC Exp Date]],0), "")</f>
        <v/>
      </c>
      <c r="GQ361" s="30" t="str">
        <f>IF(LEN(SnapshotTable[[#This Row],[LC Symbol]])&gt;0, 1, "")</f>
        <v/>
      </c>
      <c r="GR361" s="43" t="str">
        <f>IF(AND(SnapshotTable[[#This Row],[SC Exp Date]]&gt;0,SnapshotTable[[#This Row],[SC Strike Price]]&gt;0), [1]!ToOptionSymbol(SnapshotTable[[#This Row],[Symbol]], SnapshotTable[[#This Row],[SC Strike Price]],SnapshotTable[[#This Row],[SC Exp Date]],0), "")</f>
        <v/>
      </c>
      <c r="GS361" s="30" t="str">
        <f>IF(LEN(SnapshotTable[[#This Row],[SC Symbol]])&gt;0, 1, "")</f>
        <v/>
      </c>
      <c r="GT361" s="29" t="str">
        <f>IF(COUNT(SnapshotTable[[#This Row],[LP Symbol Count]],SnapshotTable[[#This Row],[SP Symbol Count]],SnapshotTable[[#This Row],[LC Symbol Count]],SnapshotTable[[#This Row],[SC Symbol Count]])&gt;0, "Y", "")</f>
        <v/>
      </c>
      <c r="GU36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1" s="231" t="e">
        <f>MAX(SnapshotTable[[#This Row],[Equity Basis Total]],SnapshotTable[[#This Row],[Equity Value]]) + (SnapshotTable[[#This Row],[SP Potential Spend]]- SnapshotTable[[#This Row],[SP Premium]] + SnapshotTable[[#This Row],[LP Premium]])+ (SnapshotTable[[#This Row],[LC Premium]] - SnapshotTable[[#This Row],[SC Premium]])</f>
        <v>#VALUE!</v>
      </c>
      <c r="GW361" s="139" t="e">
        <f>IF(AND(SnapshotTable[[#This Row],[Exposure]] &lt;&gt; 0),SnapshotTable[[#This Row],[Exposure]] / SnapshotTable[[#Totals],[Exposure]], "")</f>
        <v>#VALUE!</v>
      </c>
      <c r="HK361" s="1"/>
      <c r="HL361" s="1"/>
      <c r="HM361" s="1"/>
      <c r="HN361" s="1"/>
      <c r="HO361" s="1"/>
      <c r="HP361" s="1"/>
    </row>
    <row r="362" spans="2:224" ht="12.75" hidden="1" customHeight="1" x14ac:dyDescent="0.25">
      <c r="B362" s="12" t="s">
        <v>146</v>
      </c>
      <c r="C362" s="422">
        <v>222.34</v>
      </c>
      <c r="D362" s="208"/>
      <c r="E362" s="39">
        <f>SnapshotTable[[#This Row],[Last Price]]*(1 -CrashDiscount)</f>
        <v>188.989</v>
      </c>
      <c r="F362" s="26" t="s">
        <v>145</v>
      </c>
      <c r="G362" s="26" t="s">
        <v>14</v>
      </c>
      <c r="H362" s="149"/>
      <c r="I362" s="194">
        <v>44797.677083333336</v>
      </c>
      <c r="J362" s="195">
        <v>44797.677083333336</v>
      </c>
      <c r="K362" s="196"/>
      <c r="L362" s="326" t="s">
        <v>144</v>
      </c>
      <c r="M362" s="140"/>
      <c r="N362" s="140"/>
      <c r="O362" s="140">
        <v>2</v>
      </c>
      <c r="P362" s="22"/>
      <c r="Q362" s="25"/>
      <c r="R362" s="4" t="str">
        <f>IF(SnapshotTable[[#This Row],[Equity Basis Total]] &gt; 0, SnapshotTable[[#This Row],[Equity Basis Total]] / SnapshotTable[[#This Row],[Equity Shares]], "")</f>
        <v/>
      </c>
      <c r="S362" s="269">
        <f>SnapshotTable[[#This Row],[Last Price]] * SnapshotTable[[#This Row],[Equity Shares]]</f>
        <v>0</v>
      </c>
      <c r="T362" s="269">
        <f>SnapshotTable[[#This Row],[Equity Value]] - SnapshotTable[[#This Row],[Equity Basis Total]]</f>
        <v>0</v>
      </c>
      <c r="U362" s="270" t="str">
        <f>IF(SnapshotTable[[#This Row],[Equity Basis Total]] &gt; 0, SnapshotTable[[#This Row],[Equity G/L]] / SnapshotTable[[#This Row],[Equity Basis Total]], "")</f>
        <v/>
      </c>
      <c r="V362" s="268"/>
      <c r="W362" s="268"/>
      <c r="X362" s="4" t="str">
        <f>IF(AND(ISNUMBER(SnapshotTable[[#This Row],[Equity Basis Per Share]]),ISNUMBER(SnapshotTable[[#This Row],[Equity Target]])),SnapshotTable[[#This Row],[Equity Target]]-SnapshotTable[[#This Row],[Equity Basis Per Share]],"")</f>
        <v/>
      </c>
      <c r="Y362" s="4" t="str">
        <f>IF(AND(ISNUMBER(SnapshotTable[[#This Row],[Equity Basis Per Share]]),ISNUMBER(SnapshotTable[[#This Row],[Equity Stop Loss]])),SnapshotTable[[#This Row],[Equity Stop Loss]]-SnapshotTable[[#This Row],[Equity Basis Per Share]],"")</f>
        <v/>
      </c>
      <c r="Z362" s="275" t="str">
        <f>IFERROR( TEXT(SnapshotTable[[#This Row],[Equity Max Gain Per Share]] /ABS( SnapshotTable[[#This Row],[Equity Max Loss Per Share]]),"0.0 " ) &amp; " : 1", "")</f>
        <v/>
      </c>
      <c r="AA362" s="31" t="str">
        <f>IF(ISNUMBER(SnapshotTable[[#This Row],[Equity Max Gain Per Share]]),SnapshotTable[[#This Row],[Equity Max Gain Per Share]] * SnapshotTable[[#This Row],[Equity Shares]],"")</f>
        <v/>
      </c>
      <c r="AB362" s="31" t="str">
        <f>IF(ISNUMBER(SnapshotTable[[#This Row],[Equity Max Loss Per Share]]),SnapshotTable[[#This Row],[Equity Max Loss Per Share]] * SnapshotTable[[#This Row],[Equity Shares]],"")</f>
        <v/>
      </c>
      <c r="AC362" s="150">
        <v>1.56</v>
      </c>
      <c r="AD362" s="151">
        <v>42881</v>
      </c>
      <c r="AE362" s="31">
        <f>(SnapshotTable[[#This Row],[Annual Dividend Per Share]] / 4) * SnapshotTable[[#This Row],[Equity Shares]]</f>
        <v>0</v>
      </c>
      <c r="AF362" s="31">
        <f>SnapshotTable[[#This Row],[Quarterly Div $]] * 4</f>
        <v>0</v>
      </c>
      <c r="AG362" s="7">
        <f>IF(SnapshotTable[[#This Row],[Annual Dividend Per Share]]&gt;0, SnapshotTable[[#This Row],[Annual Dividend Per Share]]  / SnapshotTable[[#This Row],[Last Price]], 0)</f>
        <v>7.0162813708734371E-3</v>
      </c>
      <c r="AH362" s="151">
        <v>42846</v>
      </c>
      <c r="AI362" s="5"/>
      <c r="AJ362" s="138">
        <v>45.61</v>
      </c>
      <c r="AK362" s="152" t="str">
        <f>IF(ISNUMBER( SnapshotTable[[#This Row],[EBF Target]]),(SnapshotTable[[#This Row],[EBF Target]] - SnapshotTable[[#This Row],[Last Price]]) / SnapshotTable[[#This Row],[Last Price]], "")</f>
        <v/>
      </c>
      <c r="AL362" s="152" t="str">
        <f>IF(AND(SnapshotTable[[#This Row],[Equity Basis Total]] &gt; 0,ISNUMBER( SnapshotTable[[#This Row],[Long Term Target]])), SnapshotTable[[#This Row],[From Basis $]] / SnapshotTable[[#This Row],[Equity Basis Total]], "")</f>
        <v/>
      </c>
      <c r="AM362" s="9">
        <f>IF( AND(SnapshotTable[[#This Row],[Equity Shares]] &gt;0,ISNUMBER( SnapshotTable[[#This Row],[Long Term Target]])),(SnapshotTable[[#This Row],[Equity Shares]] * SnapshotTable[[#This Row],[Long Term Target]]) - SnapshotTable[[#This Row],[Equity Basis Total]],0)</f>
        <v>0</v>
      </c>
      <c r="AN362" s="9">
        <f>IF( AND(SnapshotTable[[#This Row],[Equity Shares]] &gt;0,ISNUMBER( SnapshotTable[[#This Row],[Long Term Target]])),(SnapshotTable[[#This Row],[Equity Shares]]*SnapshotTable[[#This Row],[Long Term Target]]) - SnapshotTable[[#This Row],[Equity Value]],0)</f>
        <v>0</v>
      </c>
      <c r="AO362" s="152">
        <f>IF(AND(ISNUMBER( SnapshotTable[[#This Row],[Long Term Target]]), ISNUMBER(SnapshotTable[[#This Row],[Last Price]])),(SnapshotTable[[#This Row],[Long Term Target]] - SnapshotTable[[#This Row],[Last Price]]) / SnapshotTable[[#This Row],[Last Price]], "")</f>
        <v>-0.79486372222721968</v>
      </c>
      <c r="AP362" s="5">
        <v>52.5</v>
      </c>
      <c r="AQ362" s="38" t="s">
        <v>46</v>
      </c>
      <c r="AR362" s="5">
        <v>47.5</v>
      </c>
      <c r="AS362" s="38" t="s">
        <v>45</v>
      </c>
      <c r="AT362" s="146"/>
      <c r="AU362" s="187" t="str">
        <f>IF(OR(SnapshotTable[[#This Row],[LP No Fill]]="Y",SnapshotTable[[#This Row],[SP Is Filled]],SnapshotTable[[#This Row],[LC Not Filled]]="Y",SnapshotTable[[#This Row],[SC Is Filled]]),"Y","")</f>
        <v/>
      </c>
      <c r="AV362" s="219"/>
      <c r="AW362" s="225"/>
      <c r="AX362" s="220"/>
      <c r="AY362" s="219" t="str">
        <f>IF(SnapshotTable[[#This Row],[Implied Move]]&gt;0, SnapshotTable[[#This Row],[Last Price]]-SnapshotTable[[#This Row],[Implied Move]],"")</f>
        <v/>
      </c>
      <c r="AZ362" s="219" t="str">
        <f>IF(SnapshotTable[[#This Row],[Implied Move]]&gt;0, SnapshotTable[[#This Row],[Last Price]] + SnapshotTable[[#This Row],[Implied Move]],"")</f>
        <v/>
      </c>
      <c r="BA362" s="331"/>
      <c r="BB362" s="347"/>
      <c r="BC36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2" s="351"/>
      <c r="BE362" s="5"/>
      <c r="BF362" s="14"/>
      <c r="BG362" s="13"/>
      <c r="BH362" s="13"/>
      <c r="BI362" s="5"/>
      <c r="BJ362" s="136">
        <f>IF(SnapshotTable[[#This Row],[LP Qty]] &gt; 0, SnapshotTable[[#This Row],[LP Qty]] * SnapshotTable[[#This Row],[LP Book Price]] * 100,0)</f>
        <v>0</v>
      </c>
      <c r="BK362" s="136">
        <f>IF(SnapshotTable[[#This Row],[LP Premium]] &gt; 0, SnapshotTable[[#This Row],[LP Qty]] * SnapshotTable[[#This Row],[LP Strike Price]] * 100,0)</f>
        <v>0</v>
      </c>
      <c r="BL362" s="154"/>
      <c r="BM362" s="385" t="str">
        <f>IF(SnapshotTable[[#This Row],[LP Premium]] &gt; 0,SnapshotTable[[#This Row],[LP Exp Date]]-MAX(SnapshotTable[[#This Row],[LP Book Date]], SnapshotTable[[#This Row],[LP Fill Date]]),"")</f>
        <v/>
      </c>
      <c r="BN362" s="385" t="str">
        <f>IF(ISNUMBER( SnapshotTable[[#This Row],[LP Term]]), SnapshotTable[[#This Row],[LP Exp Date]] - MockToday,"")</f>
        <v/>
      </c>
      <c r="BO362" s="163" t="str">
        <f>IF(AND(SnapshotTable[[#This Row],[LP Exp Date]]&gt;0, SnapshotTable[[#This Row],[LP Strike Price]]&gt;0,SnapshotTable[[#This Row],[LP Qty]]&gt;0,SnapshotTable[[#This Row],[LP Book Date]]&gt;0,SnapshotTable[[#This Row],[LP Book Price]]&gt;0,SnapshotTable[[#This Row],[LP Fill Date]]=0),"Y","")</f>
        <v/>
      </c>
      <c r="BP362" s="31" t="str">
        <f>IF(AND(SnapshotTable[[#This Row],[LP No Fill]]&lt;&gt;"Y",SnapshotTable[[#This Row],[LP Contract Value]]&gt;0, SnapshotTable[[#This Row],[LP Qty]]&gt;0), SnapshotTable[[#This Row],[LP Contract Value]]*SnapshotTable[[#This Row],[LP Qty]]*100,"")</f>
        <v/>
      </c>
      <c r="BQ362" s="13"/>
      <c r="BR362" s="5" t="str">
        <f>IF(SnapshotTable[[#This Row],[SP Exp Date]]&lt;&gt;"",TRUNC(SnapshotTable[[#This Row],[Last Price]]),"")</f>
        <v/>
      </c>
      <c r="BS362" s="36"/>
      <c r="BT362" s="147"/>
      <c r="BU362" s="13"/>
      <c r="BV362" s="5"/>
      <c r="BW362" s="419" t="b">
        <f>AND(ISNUMBER(SnapshotTable[[#This Row],[SP Exp Date]]), ISNUMBER(SnapshotTable[[#This Row],[SP Strike Price]]), ISNUMBER(SnapshotTable[[#This Row],[SP Qty]]), ISNUMBER(SnapshotTable[[#This Row],[SP Book Date]]), ISNUMBER(SnapshotTable[[#This Row],[SP Book Price]]))</f>
        <v>0</v>
      </c>
      <c r="BX362" s="419" t="b">
        <f>AND(SnapshotTable[[#This Row],[SP Is Booked]], NOT(ISBLANK(SnapshotTable[[#This Row],[SP Fill Date]])))</f>
        <v>0</v>
      </c>
      <c r="BY362" s="33">
        <f>IF(SnapshotTable[[#This Row],[SP Is Booked]], SnapshotTable[[#This Row],[SP Qty]] * SnapshotTable[[#This Row],[SP Book Price]] * 100, 0)</f>
        <v>0</v>
      </c>
      <c r="BZ362" s="369"/>
      <c r="CA362" s="368">
        <f>SnapshotTable[[#This Row],[LP Qty]]</f>
        <v>0</v>
      </c>
      <c r="CB362" s="4" t="str">
        <f>IF(SnapshotTable[[#This Row],[SP Is Booked]], SnapshotTable[[#This Row],[SP Strike Price]] - SnapshotTable[[#This Row],[SP Book Price]], "")</f>
        <v/>
      </c>
      <c r="CC362" s="19" t="str">
        <f>IF(SnapshotTable[[#This Row],[SP Is Booked]],SnapshotTable[[#This Row],[SP Exp Date]]-MAX(SnapshotTable[[#This Row],[SP Book Date]], SnapshotTable[[#This Row],[SP Fill Date]]),"")</f>
        <v/>
      </c>
      <c r="CD362" s="7" t="str">
        <f>IF(SnapshotTable[[#This Row],[SP Is Booked]], SnapshotTable[[#This Row],[SP Book Price]]/SnapshotTable[[#This Row],[SP Strike Price]], "")</f>
        <v/>
      </c>
      <c r="CE362" s="7" t="str">
        <f>IF(ISNUMBER(SnapshotTable[[#This Row],[SP ROO Term]]),SnapshotTable[[#This Row],[SP ROO Term]]*(365/SnapshotTable[[#This Row],[SP Term]]),"")</f>
        <v/>
      </c>
      <c r="CF362" s="236">
        <f>SnapshotTable[[#This Row],[LP Strike Price]] * SnapshotTable[[#This Row],[LP Qty]] * 100</f>
        <v>0</v>
      </c>
      <c r="CG362" s="31" t="e">
        <f>IF(ISNUMBER(SnapshotTable[[#This Row],[SP Premium]]), (SnapshotTable[[#This Row],[SP Qty]] * SnapshotTable[[#This Row],[SP Strike Price]]* 100) - SnapshotTable[[#This Row],[LP Protection]], 0)</f>
        <v>#VALUE!</v>
      </c>
      <c r="CH362" s="7" t="str">
        <f>IF(ISNUMBER(SnapshotTable[[#This Row],[SP Break Even]]),-1 * (SnapshotTable[[#This Row],[SP Break Even]] - SnapshotTable[[#This Row],[Last Price]]) / SnapshotTable[[#This Row],[Last Price]], "")</f>
        <v/>
      </c>
      <c r="CI362" s="31">
        <f>IF(AND(ISNUMBER((SnapshotTable[[#This Row],[SP Potential Spend]])), SnapshotTable[[#This Row],[SP Strike Price]] &gt; SnapshotTable[[#This Row],[Last Price]], SnapshotTable[[#This Row],[SP Is Filled]]), SnapshotTable[[#This Row],[SP Potential Spend]] -  SnapshotTable[[#This Row],[LP Max Value]], 0)</f>
        <v>0</v>
      </c>
      <c r="CJ362" s="244"/>
      <c r="CK362" s="31" t="str">
        <f>IF(ISNUMBER(SnapshotTable[[#This Row],[SP Potential Spend]]),IF(ISNUMBER(SnapshotTable[[#This Row],[SP POW]]), SnapshotTable[[#This Row],[SP POW]] * SnapshotTable[[#This Row],[SP Potential Spend]], SnapshotTable[[#This Row],[SP Potential Spend]]), "")</f>
        <v/>
      </c>
      <c r="CL362" s="164" t="e">
        <f>IF(NOT(SnapshotTable[[#This Row],[SP Is Filled]]),(SnapshotTable[[#This Row],[SP Qty]] * SnapshotTable[[#This Row],[SP Strike Price]] * 100) - SnapshotTable[[#This Row],[LP Max Value]],"")</f>
        <v>#VALUE!</v>
      </c>
      <c r="CM362" s="31" t="str">
        <f>IF(SnapshotTable[[#This Row],[SP Actual Spend]]&lt;&gt;0, ((SnapshotTable[[#This Row],[SP Strike Price]]-SnapshotTable[[#This Row],[Last Price]]) *(SnapshotTable[[#This Row],[SP Qty]]*100) - SnapshotTable[[#This Row],[SP Premium]]) * - 1, "")</f>
        <v/>
      </c>
      <c r="CN362" s="78"/>
      <c r="CO362" s="369"/>
      <c r="CP362" s="4" t="str">
        <f>IF(SnapshotTable[[#This Row],[SP Is Filled]], btc_max_buyback_amount(SnapshotTable[[#This Row],[SP Fill Date]],SnapshotTable[[#This Row],[SP Exp Date]], SnapshotTable[[#This Row],[SP Book Price]]),"")</f>
        <v/>
      </c>
      <c r="CQ362" s="78"/>
      <c r="CR36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2" s="155" t="str">
        <f>IF(SnapshotTable[[#This Row],[SP Is Filled]], btc_next_cutoff_date(SnapshotTable[[#This Row],[SP Fill Date]],SnapshotTable[[#This Row],[SP Exp Date]]),"")</f>
        <v/>
      </c>
      <c r="CT362" s="235" t="str" cm="1">
        <f t="array" ref="CT362">IF(SnapshotTable[[#This Row],[SP Is Filled]], btc_should_buy_back(SnapshotTable[[#This Row],[SP Fill Date]], SnapshotTable[[#This Row],[SP Exp Date]], SnapshotTable[[#This Row],[SP Book Price]], SnapshotTable[[#This Row],[SP Current Ask]], MockToday, SnapshotTable[[#This Row],[SP Buyback Override]]),"")</f>
        <v/>
      </c>
      <c r="CU362" s="143"/>
      <c r="CV362" s="235"/>
      <c r="CW362" s="378" t="str">
        <f>IF(ISNUMBER( SnapshotTable[[#This Row],[SP Term]]), SnapshotTable[[#This Row],[SP Exp Date]] - MockToday,"")</f>
        <v/>
      </c>
      <c r="CX362" s="31" t="str">
        <f>IF(SnapshotTable[[#This Row],[SP Is Filled]],SnapshotTable[[#This Row],[SP Buyback Price to Use]] * 100 * SnapshotTable[[#This Row],[SP Qty]], "")</f>
        <v/>
      </c>
      <c r="CY362" s="4" t="str">
        <f>IF(ISNUMBER(SnapshotTable[[#This Row],[SP Strike Price]]), SnapshotTable[[#This Row],[SP Strike Price]] * (1 - SP_MaxLoss_StrikePct), "")</f>
        <v/>
      </c>
      <c r="CZ362" s="31" t="str">
        <f>IF(ISNUMBER(SnapshotTable[[#This Row],[SP Strike  Stop Per Share]]),SnapshotTable[[#This Row],[SP Premium]] - ((SnapshotTable[[#This Row],[SP Strike Price]]-SnapshotTable[[#This Row],[SP Strike  Stop Per Share]]) *(SnapshotTable[[#This Row],[SP Qty]] * 100)),"")</f>
        <v/>
      </c>
      <c r="DA362" s="4" t="str">
        <f>IF(AND(ISNUMBER(SnapshotTable[[#This Row],[SP Premium]]),SnapshotTable[[#This Row],[SP Premium]]&gt;0), SnapshotTable[[#This Row],[SP Book Price]] * (1 + SP_MaxLoss_OptionPct), "")</f>
        <v/>
      </c>
      <c r="DB362" s="31" t="str">
        <f>IF(ISNUMBER(SnapshotTable[[#This Row],[SP Option  Stop Contract]]),(SnapshotTable[[#This Row],[SP Option  Stop Contract]] *(SnapshotTable[[#This Row],[SP Qty]] * 100) - SnapshotTable[[#This Row],[SP Premium]]),"")</f>
        <v/>
      </c>
      <c r="DC362" s="4"/>
      <c r="DD362" s="4"/>
      <c r="DE362" s="4" t="str">
        <f>IF(AND(SnapshotTable[[#This Row],[SP Qty]]&gt;0, SnapshotTable[[#This Row],[SP Stop To Use]]&gt;0),SnapshotTable[[#This Row],[SP Premium]] - ( SnapshotTable[[#This Row],[SP Qty]] * SnapshotTable[[#This Row],[SP Stop To Use]] * 100), "")</f>
        <v/>
      </c>
      <c r="DF362" s="31" t="str">
        <f>IF(AND(SnapshotTable[[#This Row],[SP Qty]]&gt;0,SnapshotTable[[#This Row],[SP Current Ask]]&gt;0), SnapshotTable[[#This Row],[SP Qty]] * SnapshotTable[[#This Row],[SP Current Ask]] * -100, "")</f>
        <v/>
      </c>
      <c r="DG362" s="31" t="str">
        <f>IF(ISNUMBER((SnapshotTable[[#This Row],[SP Total Value]])), SnapshotTable[[#This Row],[SP Premium]] + SnapshotTable[[#This Row],[SP Total Value]], "")</f>
        <v/>
      </c>
      <c r="DH362" s="294" t="str">
        <f>IF(ISNUMBER((SnapshotTable[[#This Row],[SP Total Value]])), SnapshotTable[[#This Row],[SP Gain Loss]] / SnapshotTable[[#This Row],[SP Premium]], "")</f>
        <v/>
      </c>
      <c r="DI362" s="406"/>
      <c r="DJ362" s="138"/>
      <c r="DK362" s="148"/>
      <c r="DL362" s="13"/>
      <c r="DM362" s="13"/>
      <c r="DO362" s="31">
        <f>IF(SnapshotTable[[#This Row],[LC Symbol Count]]=1, SnapshotTable[[#This Row],[LC Qty]] * SnapshotTable[[#This Row],[LC Book Price]] * 100, 0)</f>
        <v>0</v>
      </c>
      <c r="DP362" s="163" t="str">
        <f>IF(AND(SnapshotTable[[#This Row],[LC Exp Date]]&gt;0, SnapshotTable[[#This Row],[LC Strike Price]]&gt;0,SnapshotTable[[#This Row],[LC Qty]]&gt;0,SnapshotTable[[#This Row],[LC Book Date]]&gt;0,SnapshotTable[[#This Row],[LC Book Price]]&gt;0,SnapshotTable[[#This Row],[LC Fill Date]]=0),"Y","")</f>
        <v/>
      </c>
      <c r="DQ362" s="386" t="str">
        <f>IF(SnapshotTable[[#This Row],[LC Premium]] &gt; 0,SnapshotTable[[#This Row],[LC Exp Date]]-MAX(SnapshotTable[[#This Row],[LC Book Date]], SnapshotTable[[#This Row],[LC Fill Date]]),"")</f>
        <v/>
      </c>
      <c r="DR362" s="386" t="str">
        <f>IF(ISNUMBER(SnapshotTable[[#This Row],[LC Term]]), SnapshotTable[[#This Row],[LC Exp Date]] - MockToday, "")</f>
        <v/>
      </c>
      <c r="DS362" s="234" t="str">
        <f>IF(SnapshotTable[[#This Row],[LC Premium]]&gt;0,SnapshotTable[[#This Row],[LC Strike Price]] + SnapshotTable[[#This Row],[LC Book Price]],"")</f>
        <v/>
      </c>
      <c r="DU362" s="9" t="str">
        <f>IF(AND(SnapshotTable[[#This Row],[LC Symbol Count]]&gt;0, SnapshotTable[[#This Row],[LC Contract Value]]&gt;0), SnapshotTable[[#This Row],[LC Contract Value]] * SnapshotTable[[#This Row],[LC Qty]] * 100, "")</f>
        <v/>
      </c>
      <c r="DV362" s="9" t="str">
        <f>IF(AND(ISNUMBER(SnapshotTable[[#This Row],[LC Total Value]]), SnapshotTable[[#This Row],[LC Not Filled]]&lt;&gt;"Y"), SnapshotTable[[#This Row],[LC Total Value]]-SnapshotTable[[#This Row],[LC Premium]],"")</f>
        <v/>
      </c>
      <c r="DW362" s="240" t="str">
        <f>IF(ISNUMBER(SnapshotTable[[#This Row],[LC Actual Gain Loss]]), SnapshotTable[[#This Row],[LC Actual Gain Loss]] / SnapshotTable[[#This Row],[LC Premium]],"")</f>
        <v/>
      </c>
      <c r="DX362" s="284" t="str">
        <f>IF(ISNUMBER(SnapshotTable[[#This Row],[LC Book Price]]),SnapshotTable[[#This Row],[LC Book Price]] * 1.5,"")</f>
        <v/>
      </c>
      <c r="DY362" s="265" t="str">
        <f>IF(SnapshotTable[[#This Row],[LC Premium]]&gt;0, SnapshotTable[[#This Row],[LC Next Target]] * SnapshotTable[[#This Row],[LC Qty]] * 100,"")</f>
        <v/>
      </c>
      <c r="DZ362" s="265" t="str">
        <f>IF(ISNUMBER(SnapshotTable[[#This Row],[LC Target Gross]]), SnapshotTable[[#This Row],[LC Target Gross]] - SnapshotTable[[#This Row],[LC Premium]], "")</f>
        <v/>
      </c>
      <c r="EA362" s="305" t="str">
        <f>IF(ISNUMBER(SnapshotTable[[#This Row],[LC Target Gain Loss]]), SnapshotTable[[#This Row],[LC Target Gain Loss]]/SnapshotTable[[#This Row],[LC Premium]], "")</f>
        <v/>
      </c>
      <c r="EB362" s="262"/>
      <c r="EC362" s="283" t="str">
        <f>IF(SnapshotTable[[#This Row],[LC Premium]]&gt;0, SnapshotTable[[#This Row],[LC Book Price]] * (1 - LC_StopLoss_Pct),"")</f>
        <v/>
      </c>
      <c r="ED362" s="284"/>
      <c r="EE362" s="283" t="str">
        <f>IF(ISNUMBER(SnapshotTable[[#This Row],[LC Contract Value]]),IF(ISNUMBER(SnapshotTable[[#This Row],[LC Stop Loss Override]]), SnapshotTable[[#This Row],[LC Stop Loss Override]],SnapshotTable[[#This Row],[LC Stop Loss Calc Target]]),"")</f>
        <v/>
      </c>
      <c r="EF362" s="31" t="str">
        <f>IF(ISNUMBER(SnapshotTable[[#This Row],[LC Stop  To Use]]), (SnapshotTable[[#This Row],[LC Stop  To Use]] * SnapshotTable[[#This Row],[LC Qty]] * 100),"")</f>
        <v/>
      </c>
      <c r="EG362" s="9" t="str">
        <f>IF(ISNUMBER(SnapshotTable[[#This Row],[LC Total Value]]),SnapshotTable[[#This Row],[LC Stop Loss Amount]] - SnapshotTable[[#This Row],[LC Premium]],"")</f>
        <v/>
      </c>
      <c r="EH362" s="9">
        <f>IF(ISNUMBER(SnapshotTable[[#This Row],[LC Premium]]), SnapshotTable[[#This Row],[LC Qty]] * 100 * SnapshotTable[[#This Row],[LC Strike Price]], "")</f>
        <v>0</v>
      </c>
      <c r="EI362" s="240" t="str">
        <f>IF(AND(ISNUMBER(SnapshotTable[[#This Row],[LC Total Value]]),SnapshotTable[[#This Row],[LC Total Value]]&gt;0),SnapshotTable[[#This Row],[LC Stop Gain Loss]]  / SnapshotTable[[#This Row],[LC Premium]],"")</f>
        <v/>
      </c>
      <c r="EJ362" s="35">
        <f>IF(ISNUMBER(SnapshotTable[[#This Row],[Equity Shares]]),TRUNC(SnapshotTable[[#This Row],[Equity Shares]] / 100),0) + SnapshotTable[[#This Row],[LC Qty]]</f>
        <v>0</v>
      </c>
      <c r="EK362" s="147"/>
      <c r="EL362" s="138" t="str">
        <f>IF(SnapshotTable[[#This Row],[SC Exp Date]]&lt;&gt;"",TRUNC(SnapshotTable[[#This Row],[Last Price]]),"")</f>
        <v/>
      </c>
      <c r="EM362" s="148"/>
      <c r="EN362" s="147"/>
      <c r="EO362" s="147"/>
      <c r="EP362" s="138"/>
      <c r="EQ362" s="419" t="b">
        <f>AND(ISNUMBER(SnapshotTable[[#This Row],[SC Exp Date]]), ISNUMBER(SnapshotTable[[#This Row],[SC Strike Price]]), ISNUMBER(SnapshotTable[[#This Row],[SC Qty]]), ISNUMBER(SnapshotTable[[#This Row],[SC Book Date]]), ISNUMBER(SnapshotTable[[#This Row],[SC Book Price]]))</f>
        <v>0</v>
      </c>
      <c r="ER362" s="419" t="b">
        <f>AND(SnapshotTable[[#This Row],[SC Is Booked]], NOT(ISBLANK(SnapshotTable[[#This Row],[SC Fill Date]])))</f>
        <v>0</v>
      </c>
      <c r="ES362" s="370"/>
      <c r="ET362" s="34" t="str">
        <f>IF(AND(ISNUMBER(SnapshotTable[[#This Row],[SC Exp Date]]), ISNUMBER(SnapshotTable[[#This Row],[SC Book Date]])), SnapshotTable[[#This Row],[SC Exp Date]] - MAX(SnapshotTable[[#This Row],[SC Book Date]], SnapshotTable[[#This Row],[SC Fill Date]]) + 1, "")</f>
        <v/>
      </c>
      <c r="EU362" s="34" t="str">
        <f>IF(ISNUMBER(SnapshotTable[[#This Row],[SC Term]]), SnapshotTable[[#This Row],[SC Exp Date]]- MockToday, "")</f>
        <v/>
      </c>
      <c r="EV362" s="31">
        <f>IF(SnapshotTable[[#This Row],[SC Is Booked]], SnapshotTable[[#This Row],[SC Qty]] * SnapshotTable[[#This Row],[SC Book Price]] * 100, 0)</f>
        <v>0</v>
      </c>
      <c r="EW362" s="4" t="str">
        <f>IF(AND(ISNUMBER(SnapshotTable[[#This Row],[Last Price]]), ISNUMBER( SnapshotTable[[#This Row],[SC Book Price]])), SnapshotTable[[#This Row],[Last Price]] - SnapshotTable[[#This Row],[SC Book Price]],"")</f>
        <v/>
      </c>
      <c r="EX362" s="234" t="str">
        <f>IF(SnapshotTable[[#This Row],[SC Is Booked]],IF(SnapshotTable[[#This Row],[SC Intrinsic Value]] &gt; 0, SnapshotTable[[#This Row],[SC Strike Price]], SnapshotTable[[#This Row],[Last Price]]), "")</f>
        <v/>
      </c>
      <c r="EY362" s="4">
        <f>IF(SnapshotTable[[#This Row],[SC Is Booked]], (MinimumPremiumRequired * SnapshotTable[[#This Row],[SC Basis]] * SnapshotTable[[#This Row],[SC Term]]), 0)</f>
        <v>0</v>
      </c>
      <c r="EZ362" s="283"/>
      <c r="FA362" s="218"/>
      <c r="FB362" s="370"/>
      <c r="FC362" s="4">
        <f>IF(SnapshotTable[[#This Row],[SC Is Filled]], btc_max_buyback_amount(SnapshotTable[[#This Row],[SC Fill Date]],SnapshotTable[[#This Row],[SC Exp Date]], SnapshotTable[[#This Row],[SC Book Price]]),0)</f>
        <v>0</v>
      </c>
      <c r="FD362" s="5"/>
      <c r="FE362" s="144" t="str">
        <f>IF(SnapshotTable[[#This Row],[SC Is Filled]], btc_next_cutoff_date(SnapshotTable[[#This Row],[SC Fill Date]],SnapshotTable[[#This Row],[SC Exp Date]]),"")</f>
        <v/>
      </c>
      <c r="FF362" s="4" t="str" cm="1">
        <f t="array" ref="FF362">IF(SnapshotTable[[#This Row],[SC Is Filled]], btc_should_buy_back(SnapshotTable[[#This Row],[SC Fill Date]], SnapshotTable[[#This Row],[SC Exp Date]], SnapshotTable[[#This Row],[SC Book Price]], SnapshotTable[[#This Row],[SC Current Ask]], MockToday, SnapshotTable[[#This Row],[SC Buyback Override]]),"")</f>
        <v/>
      </c>
      <c r="FG362" s="4">
        <f>IF(SnapshotTable[[#This Row],[SC Is Filled]], MAX(0,SnapshotTable[[#This Row],[Last Price]]  - SnapshotTable[[#This Row],[SC Strike Price]]), 0)</f>
        <v>0</v>
      </c>
      <c r="FH362" s="382">
        <f>IF(SnapshotTable[[#This Row],[SC Is Filled]], IF(ISNUMBER(SnapshotTable[[#This Row],[SC Current Ask]]), SnapshotTable[[#This Row],[SC Current Ask]], SnapshotTable[[#This Row],[SC Book Price]]) - SnapshotTable[[#This Row],[SC Intrinsic Value]], 0)</f>
        <v>0</v>
      </c>
      <c r="FI362" s="143"/>
      <c r="FJ362" s="32" t="str">
        <f>IF(SnapshotTable[[#This Row],[SC Is Filled]],100 * SnapshotTable[[#This Row],[SC Qty]] * IF(ISNUMBER(SnapshotTable[[#This Row],[SC Buyback Override]]), SnapshotTable[[#This Row],[SC Buyback Override]], SnapshotTable[[#This Row],[SC Current Ask]]), "")</f>
        <v/>
      </c>
      <c r="FK362" s="250" t="str">
        <f>IF(SnapshotTable[[#This Row],[SC Time Val]]&gt;0, SnapshotTable[[#This Row],[SC Time Val]] / SnapshotTable[[#This Row],[Last Price]],"")</f>
        <v/>
      </c>
      <c r="FL362" s="302" t="str">
        <f>IF(SnapshotTable[[#This Row],[SC Is Booked]], ((SnapshotTable[[#This Row],[Last Price]] -SnapshotTable[[#This Row],[SC Strike Price]]) / SnapshotTable[[#This Row],[Last Price]]) * -1, "")</f>
        <v/>
      </c>
      <c r="FM362" s="157" t="str">
        <f>IF(SnapshotTable[[#This Row],[SC Is Booked]],  (SnapshotTable[[#This Row],[SC Qty]] * 100 * SnapshotTable[[#This Row],[SC Strike Price]]) - SnapshotTable[[#This Row],[SC Current Ask]], "")</f>
        <v/>
      </c>
      <c r="FN36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2" s="31" t="str">
        <f>IF(AND(ISNUMBER(SnapshotTable[[#This Row],[SC Exercise Gross]]), ISNUMBER(SnapshotTable[[#This Row],[Equity Basis Per Share]] )), SnapshotTable[[#This Row],[SC Exercise Gross]] - SnapshotTable[[#This Row],[Equity Basis Total]] +  SnapshotTable[[#This Row],[SC Premium]], "")</f>
        <v/>
      </c>
      <c r="FP362" s="5" t="str">
        <f>IF(ISNUMBER(SnapshotTable[[#This Row],[SC Exercise Gross]]), (SnapshotTable[[#This Row],[SC Exercise Gross]]) / (SnapshotTable[[#This Row],[SC Qty]] * 100), "")</f>
        <v/>
      </c>
      <c r="FQ362" s="27" t="str">
        <f>IF(SnapshotTable[[#This Row],[SC Is Booked]],SnapshotTable[[#This Row],[SC Time Val]] /SnapshotTable[[#This Row],[SC Basis]], "")</f>
        <v/>
      </c>
      <c r="FR362" s="27" t="str" cm="1">
        <f t="array" ref="FR362">IF(AND(ISNUMBER(SnapshotTable[[#This Row],[SC Term]]),ISNUMBER(SnapshotTable[[#This Row],[SC Simple ROO]])), EllmanAnnualize(SnapshotTable[[#This Row],[SC DTE]], SnapshotTable[[#This Row],[SC Simple ROO]] ),"")</f>
        <v/>
      </c>
      <c r="FS362" s="4" t="e">
        <f>IF(SnapshotTable[[#This Row],[SC Strike Price]] &gt; SnapshotTable[[#This Row],[Last Price]], SnapshotTable[[#This Row],[SC Strike Price]] - SnapshotTable[[#This Row],[Last Price]],0)</f>
        <v>#VALUE!</v>
      </c>
      <c r="FT362" s="27" t="e">
        <f>IF(AND(ISNUMBER(SnapshotTable[[#This Row],[SC Upside Potential]]), SnapshotTable[[#This Row],[SC Upside Potential]] &gt; 0),(SnapshotTable[[#This Row],[SC Upside Potential]]/ SnapshotTable[[#This Row],[ACB]]),"")</f>
        <v>#VALUE!</v>
      </c>
      <c r="FU362" s="333" t="str">
        <f>IF(SnapshotTable[[#This Row],[SC Intrinsic Value]] &gt; 0,SnapshotTable[[#This Row],[SC Intrinsic Value]],"")</f>
        <v/>
      </c>
      <c r="FV362" s="27" t="str">
        <f>IF(AND( ISNUMBER( SnapshotTable[[#This Row],[ACB]]),ISNUMBER(SnapshotTable[[#This Row],[SC Downside Protect]])),SnapshotTable[[#This Row],[SC Downside Protect]] / SnapshotTable[[#This Row],[ACB]],"")</f>
        <v/>
      </c>
      <c r="FW362" s="236" t="str">
        <f>IF(AND(ISNUMBER(SnapshotTable[[#This Row],[SC Simple ROO]]),SnapshotTable[[#This Row],[SC Simple ROO]] &gt; 0), SnapshotTable[[#This Row],[SC Premium]] + (SnapshotTable[[#This Row],[SC Qty]] * SnapshotTable[[#This Row],[SC Upside Potential]]), "")</f>
        <v/>
      </c>
      <c r="FX362" s="302" t="str" cm="1">
        <f t="array" ref="FX362">IF(ISNUMBER(SnapshotTable[[#This Row],[SC Max Dollars]]), annualize(SnapshotTable[[#This Row],[SC Term]],(SnapshotTable[[#This Row],[SC Max Dollars]]/SnapshotTable[[#This Row],[SC Basis]])),"")</f>
        <v/>
      </c>
      <c r="FY362" s="236" t="str">
        <f>IF(AND(SnapshotTable[[#This Row],[SC Qty]]&gt;0,SnapshotTable[[#This Row],[SC Current Ask]]&gt;0), SnapshotTable[[#This Row],[SC Qty]] * SnapshotTable[[#This Row],[SC Current Ask]] * -100, "")</f>
        <v/>
      </c>
      <c r="FZ362" s="31" t="str">
        <f>IF(ISNUMBER((SnapshotTable[[#This Row],[SC Current Value]])), SnapshotTable[[#This Row],[SC Premium]] + SnapshotTable[[#This Row],[SC Current Value]], "")</f>
        <v/>
      </c>
      <c r="GA362" s="294" t="str">
        <f>IFERROR( IF(ISNUMBER((SnapshotTable[[#This Row],[SC Current Value]])), SnapshotTable[[#This Row],[SC Gain Loss]] / SnapshotTable[[#This Row],[SC Premium]], ""), "")</f>
        <v/>
      </c>
      <c r="GB362" s="42">
        <f>SnapshotTable[[#This Row],[Equity Shares]] * SaleSharesToConsiderPercentage</f>
        <v>0</v>
      </c>
      <c r="GC362" s="40">
        <f>SnapshotTable[[#This Row],[Long Term Target]] * SellingPriceToConsiderBasedOnTargetPercentage</f>
        <v>43.329499999999996</v>
      </c>
      <c r="GD362" s="40">
        <f>SnapshotTable[[#This Row],[Last Price]] * (1+ SellingPriceToConsiderBasedOnTargetPercentage)</f>
        <v>433.56299999999999</v>
      </c>
      <c r="GE362" s="41"/>
      <c r="GF362" s="40"/>
      <c r="GG362" s="31">
        <f>SnapshotTable[[#This Row],[Booked Sale Shares]] * SnapshotTable[[#This Row],[Booked Sale Price]]</f>
        <v>0</v>
      </c>
      <c r="GH362" s="31" t="str">
        <f>IF(SnapshotTable[[#This Row],[Equity Basis Total]] &gt; 0, SnapshotTable[[#This Row],[Equity Basis Per Share]] * SnapshotTable[[#This Row],[Booked Sale Shares]], "")</f>
        <v/>
      </c>
      <c r="GI362" s="31">
        <f>IF(SnapshotTable[[#This Row],[Sale Proceeds]]&gt;0, SnapshotTable[[#This Row],[Sale Proceeds]] - SnapshotTable[[#This Row],[Sale Basis]], 0)</f>
        <v>0</v>
      </c>
      <c r="GJ362" s="27" t="str">
        <f>IF(SnapshotTable[[#This Row],[Sale G/L]]&gt;0, SnapshotTable[[#This Row],[Sale G/L]] / SnapshotTable[[#This Row],[Sale Basis]], IF(ISNUMBER(SnapshotTable[[#This Row],[SC Exercise P&amp;L (TAX)]]), SnapshotTable[[#This Row],[SC Exercise P&amp;L (TAX)]] / SnapshotTable[[#This Row],[SC Basis]], ""))</f>
        <v/>
      </c>
      <c r="GK362" s="27" t="s">
        <v>798</v>
      </c>
      <c r="GL362" s="43" t="str">
        <f>IF(AND(SnapshotTable[[#This Row],[LP Exp Date]]&gt;0,SnapshotTable[[#This Row],[LP Strike Price]]&gt;0), [1]!ToOptionSymbol(SnapshotTable[[#This Row],[Symbol]], SnapshotTable[[#This Row],[LP Strike Price]],SnapshotTable[[#This Row],[LP Exp Date]],1), "")</f>
        <v/>
      </c>
      <c r="GM362" s="30" t="str">
        <f>IF(LEN(SnapshotTable[[#This Row],[LP Symbol]])&gt;0, 1, "")</f>
        <v/>
      </c>
      <c r="GN362" s="43" t="str">
        <f>IF(AND(SnapshotTable[[#This Row],[SP Exp Date]]&gt;0,SnapshotTable[[#This Row],[SP Strike Price]]&gt;0), [1]!ToOptionSymbol(SnapshotTable[[#This Row],[Symbol]], SnapshotTable[[#This Row],[SP Strike Price]],SnapshotTable[[#This Row],[SP Exp Date]],1), "")</f>
        <v/>
      </c>
      <c r="GO362" s="30" t="str">
        <f>IF(LEN(SnapshotTable[[#This Row],[SP Symbol]])&gt;0, 1, "")</f>
        <v/>
      </c>
      <c r="GP362" s="43" t="str">
        <f>IF(AND(SnapshotTable[[#This Row],[LC Exp Date]]&gt;0,SnapshotTable[[#This Row],[LC Strike Price]]&gt;0), [1]!ToOptionSymbol(SnapshotTable[[#This Row],[Symbol]], SnapshotTable[[#This Row],[LC Strike Price]],SnapshotTable[[#This Row],[LC Exp Date]],0), "")</f>
        <v/>
      </c>
      <c r="GQ362" s="30" t="str">
        <f>IF(LEN(SnapshotTable[[#This Row],[LC Symbol]])&gt;0, 1, "")</f>
        <v/>
      </c>
      <c r="GR362" s="43" t="str">
        <f>IF(AND(SnapshotTable[[#This Row],[SC Exp Date]]&gt;0,SnapshotTable[[#This Row],[SC Strike Price]]&gt;0), [1]!ToOptionSymbol(SnapshotTable[[#This Row],[Symbol]], SnapshotTable[[#This Row],[SC Strike Price]],SnapshotTable[[#This Row],[SC Exp Date]],0), "")</f>
        <v/>
      </c>
      <c r="GS362" s="30" t="str">
        <f>IF(LEN(SnapshotTable[[#This Row],[SC Symbol]])&gt;0, 1, "")</f>
        <v/>
      </c>
      <c r="GT362" s="29" t="str">
        <f>IF(COUNT(SnapshotTable[[#This Row],[LP Symbol Count]],SnapshotTable[[#This Row],[SP Symbol Count]],SnapshotTable[[#This Row],[LC Symbol Count]],SnapshotTable[[#This Row],[SC Symbol Count]])&gt;0, "Y", "")</f>
        <v/>
      </c>
      <c r="GU36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2" s="231" t="e">
        <f>MAX(SnapshotTable[[#This Row],[Equity Basis Total]],SnapshotTable[[#This Row],[Equity Value]]) + (SnapshotTable[[#This Row],[SP Potential Spend]]- SnapshotTable[[#This Row],[SP Premium]] + SnapshotTable[[#This Row],[LP Premium]])+ (SnapshotTable[[#This Row],[LC Premium]] - SnapshotTable[[#This Row],[SC Premium]])</f>
        <v>#VALUE!</v>
      </c>
      <c r="GW362" s="139" t="e">
        <f>IF(AND(SnapshotTable[[#This Row],[Exposure]] &lt;&gt; 0),SnapshotTable[[#This Row],[Exposure]] / SnapshotTable[[#Totals],[Exposure]], "")</f>
        <v>#VALUE!</v>
      </c>
      <c r="HK362" s="1"/>
      <c r="HL362" s="1"/>
      <c r="HM362" s="1"/>
      <c r="HN362" s="1"/>
      <c r="HO362" s="1"/>
      <c r="HP362" s="1"/>
    </row>
    <row r="363" spans="2:224" ht="12.75" hidden="1" customHeight="1" x14ac:dyDescent="0.25">
      <c r="B363" s="12" t="s">
        <v>1189</v>
      </c>
      <c r="C363" s="422">
        <v>19.489999999999998</v>
      </c>
      <c r="D363" s="208"/>
      <c r="E363" s="39">
        <f>SnapshotTable[[#This Row],[Last Price]]*(1 -CrashDiscount)</f>
        <v>16.566499999999998</v>
      </c>
      <c r="F363" s="26" t="s">
        <v>937</v>
      </c>
      <c r="G363" s="26" t="s">
        <v>4</v>
      </c>
      <c r="H363" s="149"/>
      <c r="I363" s="194"/>
      <c r="J363" s="195"/>
      <c r="K363" s="196"/>
      <c r="L363" s="326"/>
      <c r="M363" s="140"/>
      <c r="N363" s="140"/>
      <c r="O363" s="140"/>
      <c r="P363" s="22"/>
      <c r="Q363" s="25"/>
      <c r="R363" s="4" t="str">
        <f>IF(SnapshotTable[[#This Row],[Equity Basis Total]] &gt; 0, SnapshotTable[[#This Row],[Equity Basis Total]] / SnapshotTable[[#This Row],[Equity Shares]], "")</f>
        <v/>
      </c>
      <c r="S363" s="269">
        <f>SnapshotTable[[#This Row],[Last Price]] * SnapshotTable[[#This Row],[Equity Shares]]</f>
        <v>0</v>
      </c>
      <c r="T363" s="269">
        <f>SnapshotTable[[#This Row],[Equity Value]] - SnapshotTable[[#This Row],[Equity Basis Total]]</f>
        <v>0</v>
      </c>
      <c r="U363" s="270" t="str">
        <f>IF(SnapshotTable[[#This Row],[Equity Basis Total]] &gt; 0, SnapshotTable[[#This Row],[Equity G/L]] / SnapshotTable[[#This Row],[Equity Basis Total]], "")</f>
        <v/>
      </c>
      <c r="V363" s="268">
        <v>9.5</v>
      </c>
      <c r="W363" s="268">
        <v>6</v>
      </c>
      <c r="X363" s="4" t="str">
        <f>IF(AND(ISNUMBER(SnapshotTable[[#This Row],[Equity Basis Per Share]]),ISNUMBER(SnapshotTable[[#This Row],[Equity Target]])),SnapshotTable[[#This Row],[Equity Target]]-SnapshotTable[[#This Row],[Equity Basis Per Share]],"")</f>
        <v/>
      </c>
      <c r="Y363" s="4" t="str">
        <f>IF(AND(ISNUMBER(SnapshotTable[[#This Row],[Equity Basis Per Share]]),ISNUMBER(SnapshotTable[[#This Row],[Equity Stop Loss]])),SnapshotTable[[#This Row],[Equity Stop Loss]]-SnapshotTable[[#This Row],[Equity Basis Per Share]],"")</f>
        <v/>
      </c>
      <c r="Z363" s="275" t="str">
        <f>IFERROR( TEXT(SnapshotTable[[#This Row],[Equity Max Gain Per Share]] /ABS( SnapshotTable[[#This Row],[Equity Max Loss Per Share]]),"0.0 " ) &amp; " : 1", "")</f>
        <v/>
      </c>
      <c r="AA363" s="31" t="str">
        <f>IF(ISNUMBER(SnapshotTable[[#This Row],[Equity Max Gain Per Share]]),SnapshotTable[[#This Row],[Equity Max Gain Per Share]] * SnapshotTable[[#This Row],[Equity Shares]],"")</f>
        <v/>
      </c>
      <c r="AB363" s="31" t="str">
        <f>IF(ISNUMBER(SnapshotTable[[#This Row],[Equity Max Loss Per Share]]),SnapshotTable[[#This Row],[Equity Max Loss Per Share]] * SnapshotTable[[#This Row],[Equity Shares]],"")</f>
        <v/>
      </c>
      <c r="AC363" s="150"/>
      <c r="AD363" s="151"/>
      <c r="AE363" s="31">
        <f>(SnapshotTable[[#This Row],[Annual Dividend Per Share]] / 4) * SnapshotTable[[#This Row],[Equity Shares]]</f>
        <v>0</v>
      </c>
      <c r="AF363" s="31">
        <f>SnapshotTable[[#This Row],[Quarterly Div $]] * 4</f>
        <v>0</v>
      </c>
      <c r="AG363" s="7">
        <f>IF(SnapshotTable[[#This Row],[Annual Dividend Per Share]]&gt;0, SnapshotTable[[#This Row],[Annual Dividend Per Share]]  / SnapshotTable[[#This Row],[Last Price]], 0)</f>
        <v>0</v>
      </c>
      <c r="AH363" s="151"/>
      <c r="AI363" s="5"/>
      <c r="AJ363" s="138"/>
      <c r="AK363" s="152" t="str">
        <f>IF(ISNUMBER( SnapshotTable[[#This Row],[EBF Target]]),(SnapshotTable[[#This Row],[EBF Target]] - SnapshotTable[[#This Row],[Last Price]]) / SnapshotTable[[#This Row],[Last Price]], "")</f>
        <v/>
      </c>
      <c r="AL363" s="152" t="str">
        <f>IF(AND(SnapshotTable[[#This Row],[Equity Basis Total]] &gt; 0,ISNUMBER( SnapshotTable[[#This Row],[Long Term Target]])), SnapshotTable[[#This Row],[From Basis $]] / SnapshotTable[[#This Row],[Equity Basis Total]], "")</f>
        <v/>
      </c>
      <c r="AM363" s="9">
        <f>IF( AND(SnapshotTable[[#This Row],[Equity Shares]] &gt;0,ISNUMBER( SnapshotTable[[#This Row],[Long Term Target]])),(SnapshotTable[[#This Row],[Equity Shares]] * SnapshotTable[[#This Row],[Long Term Target]]) - SnapshotTable[[#This Row],[Equity Basis Total]],0)</f>
        <v>0</v>
      </c>
      <c r="AN363" s="9">
        <f>IF( AND(SnapshotTable[[#This Row],[Equity Shares]] &gt;0,ISNUMBER( SnapshotTable[[#This Row],[Long Term Target]])),(SnapshotTable[[#This Row],[Equity Shares]]*SnapshotTable[[#This Row],[Long Term Target]]) - SnapshotTable[[#This Row],[Equity Value]],0)</f>
        <v>0</v>
      </c>
      <c r="AO363" s="152" t="str">
        <f>IF(AND(ISNUMBER( SnapshotTable[[#This Row],[Long Term Target]]), ISNUMBER(SnapshotTable[[#This Row],[Last Price]])),(SnapshotTable[[#This Row],[Long Term Target]] - SnapshotTable[[#This Row],[Last Price]]) / SnapshotTable[[#This Row],[Last Price]], "")</f>
        <v/>
      </c>
      <c r="AP363" s="5"/>
      <c r="AQ363" s="38" t="s">
        <v>38</v>
      </c>
      <c r="AR363" s="5"/>
      <c r="AS363" s="38" t="s">
        <v>26</v>
      </c>
      <c r="AT363" s="146" t="s">
        <v>1185</v>
      </c>
      <c r="AU363" s="187" t="str">
        <f>IF(OR(SnapshotTable[[#This Row],[LP No Fill]]="Y",SnapshotTable[[#This Row],[SP Is Filled]],SnapshotTable[[#This Row],[LC Not Filled]]="Y",SnapshotTable[[#This Row],[SC Is Filled]]),"Y","")</f>
        <v/>
      </c>
      <c r="AV363" s="338"/>
      <c r="AW363" s="225"/>
      <c r="AX363" s="220"/>
      <c r="AY363" s="219" t="str">
        <f>IF(SnapshotTable[[#This Row],[Implied Move]]&gt;0, SnapshotTable[[#This Row],[Last Price]]-SnapshotTable[[#This Row],[Implied Move]],"")</f>
        <v/>
      </c>
      <c r="AZ363" s="219" t="str">
        <f>IF(SnapshotTable[[#This Row],[Implied Move]]&gt;0, SnapshotTable[[#This Row],[Last Price]] + SnapshotTable[[#This Row],[Implied Move]],"")</f>
        <v/>
      </c>
      <c r="BA363" s="331">
        <v>3.87</v>
      </c>
      <c r="BB363" s="404" t="s">
        <v>1165</v>
      </c>
      <c r="BC36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3" s="351"/>
      <c r="BE363" s="5"/>
      <c r="BF363" s="14"/>
      <c r="BG363" s="13"/>
      <c r="BH363" s="13"/>
      <c r="BI363" s="5"/>
      <c r="BJ363" s="136">
        <f>IF(SnapshotTable[[#This Row],[LP Qty]] &gt; 0, SnapshotTable[[#This Row],[LP Qty]] * SnapshotTable[[#This Row],[LP Book Price]] * 100,0)</f>
        <v>0</v>
      </c>
      <c r="BK363" s="136">
        <f>IF(SnapshotTable[[#This Row],[LP Premium]] &gt; 0, SnapshotTable[[#This Row],[LP Qty]] * SnapshotTable[[#This Row],[LP Strike Price]] * 100,0)</f>
        <v>0</v>
      </c>
      <c r="BL363" s="154"/>
      <c r="BM363" s="385" t="str">
        <f>IF(SnapshotTable[[#This Row],[LP Premium]] &gt; 0,SnapshotTable[[#This Row],[LP Exp Date]]-MAX(SnapshotTable[[#This Row],[LP Book Date]], SnapshotTable[[#This Row],[LP Fill Date]]),"")</f>
        <v/>
      </c>
      <c r="BN363" s="385" t="str">
        <f>IF(ISNUMBER( SnapshotTable[[#This Row],[LP Term]]), SnapshotTable[[#This Row],[LP Exp Date]] - MockToday,"")</f>
        <v/>
      </c>
      <c r="BO363" s="163" t="str">
        <f>IF(AND(SnapshotTable[[#This Row],[LP Exp Date]]&gt;0, SnapshotTable[[#This Row],[LP Strike Price]]&gt;0,SnapshotTable[[#This Row],[LP Qty]]&gt;0,SnapshotTable[[#This Row],[LP Book Date]]&gt;0,SnapshotTable[[#This Row],[LP Book Price]]&gt;0,SnapshotTable[[#This Row],[LP Fill Date]]=0),"Y","")</f>
        <v/>
      </c>
      <c r="BP363" s="31" t="str">
        <f>IF(AND(SnapshotTable[[#This Row],[LP No Fill]]&lt;&gt;"Y",SnapshotTable[[#This Row],[LP Contract Value]]&gt;0, SnapshotTable[[#This Row],[LP Qty]]&gt;0), SnapshotTable[[#This Row],[LP Contract Value]]*SnapshotTable[[#This Row],[LP Qty]]*100,"")</f>
        <v/>
      </c>
      <c r="BQ363" s="13"/>
      <c r="BR363" s="5" t="str">
        <f>IF(SnapshotTable[[#This Row],[SP Exp Date]]&lt;&gt;"",TRUNC(SnapshotTable[[#This Row],[Last Price]]),"")</f>
        <v/>
      </c>
      <c r="BS363" s="36"/>
      <c r="BT363" s="147"/>
      <c r="BU363" s="13"/>
      <c r="BV363" s="5"/>
      <c r="BW363" s="419" t="b">
        <f>AND(ISNUMBER(SnapshotTable[[#This Row],[SP Exp Date]]), ISNUMBER(SnapshotTable[[#This Row],[SP Strike Price]]), ISNUMBER(SnapshotTable[[#This Row],[SP Qty]]), ISNUMBER(SnapshotTable[[#This Row],[SP Book Date]]), ISNUMBER(SnapshotTable[[#This Row],[SP Book Price]]))</f>
        <v>0</v>
      </c>
      <c r="BX363" s="419" t="b">
        <f>AND(SnapshotTable[[#This Row],[SP Is Booked]], NOT(ISBLANK(SnapshotTable[[#This Row],[SP Fill Date]])))</f>
        <v>0</v>
      </c>
      <c r="BY363" s="33">
        <f>IF(SnapshotTable[[#This Row],[SP Is Booked]], SnapshotTable[[#This Row],[SP Qty]] * SnapshotTable[[#This Row],[SP Book Price]] * 100, 0)</f>
        <v>0</v>
      </c>
      <c r="BZ363" s="369"/>
      <c r="CA363" s="368">
        <f>SnapshotTable[[#This Row],[LP Qty]]</f>
        <v>0</v>
      </c>
      <c r="CB363" s="4" t="str">
        <f>IF(SnapshotTable[[#This Row],[SP Is Booked]], SnapshotTable[[#This Row],[SP Strike Price]] - SnapshotTable[[#This Row],[SP Book Price]], "")</f>
        <v/>
      </c>
      <c r="CC363" s="19" t="str">
        <f>IF(SnapshotTable[[#This Row],[SP Is Booked]],SnapshotTable[[#This Row],[SP Exp Date]]-MAX(SnapshotTable[[#This Row],[SP Book Date]], SnapshotTable[[#This Row],[SP Fill Date]]),"")</f>
        <v/>
      </c>
      <c r="CD363" s="7" t="str">
        <f>IF(SnapshotTable[[#This Row],[SP Is Booked]], SnapshotTable[[#This Row],[SP Book Price]]/SnapshotTable[[#This Row],[SP Strike Price]], "")</f>
        <v/>
      </c>
      <c r="CE363" s="7" t="str">
        <f>IF(ISNUMBER(SnapshotTable[[#This Row],[SP ROO Term]]),SnapshotTable[[#This Row],[SP ROO Term]]*(365/SnapshotTable[[#This Row],[SP Term]]),"")</f>
        <v/>
      </c>
      <c r="CF363" s="236">
        <f>SnapshotTable[[#This Row],[LP Strike Price]] * SnapshotTable[[#This Row],[LP Qty]] * 100</f>
        <v>0</v>
      </c>
      <c r="CG363" s="31" t="e">
        <f>IF(ISNUMBER(SnapshotTable[[#This Row],[SP Premium]]), (SnapshotTable[[#This Row],[SP Qty]] * SnapshotTable[[#This Row],[SP Strike Price]]* 100) - SnapshotTable[[#This Row],[LP Protection]], 0)</f>
        <v>#VALUE!</v>
      </c>
      <c r="CH363" s="7" t="str">
        <f>IF(ISNUMBER(SnapshotTable[[#This Row],[SP Break Even]]),-1 * (SnapshotTable[[#This Row],[SP Break Even]] - SnapshotTable[[#This Row],[Last Price]]) / SnapshotTable[[#This Row],[Last Price]], "")</f>
        <v/>
      </c>
      <c r="CI363" s="31">
        <f>IF(AND(ISNUMBER((SnapshotTable[[#This Row],[SP Potential Spend]])), SnapshotTable[[#This Row],[SP Strike Price]] &gt; SnapshotTable[[#This Row],[Last Price]], SnapshotTable[[#This Row],[SP Is Filled]]), SnapshotTable[[#This Row],[SP Potential Spend]] -  SnapshotTable[[#This Row],[LP Max Value]], 0)</f>
        <v>0</v>
      </c>
      <c r="CJ363" s="244"/>
      <c r="CK363" s="31" t="str">
        <f>IF(ISNUMBER(SnapshotTable[[#This Row],[SP Potential Spend]]),IF(ISNUMBER(SnapshotTable[[#This Row],[SP POW]]), SnapshotTable[[#This Row],[SP POW]] * SnapshotTable[[#This Row],[SP Potential Spend]], SnapshotTable[[#This Row],[SP Potential Spend]]), "")</f>
        <v/>
      </c>
      <c r="CL363" s="164" t="e">
        <f>IF(NOT(SnapshotTable[[#This Row],[SP Is Filled]]),(SnapshotTable[[#This Row],[SP Qty]] * SnapshotTable[[#This Row],[SP Strike Price]] * 100) - SnapshotTable[[#This Row],[LP Max Value]],"")</f>
        <v>#VALUE!</v>
      </c>
      <c r="CM363" s="31" t="str">
        <f>IF(SnapshotTable[[#This Row],[SP Actual Spend]]&lt;&gt;0, ((SnapshotTable[[#This Row],[SP Strike Price]]-SnapshotTable[[#This Row],[Last Price]]) *(SnapshotTable[[#This Row],[SP Qty]]*100) - SnapshotTable[[#This Row],[SP Premium]]) * - 1, "")</f>
        <v/>
      </c>
      <c r="CN363" s="78"/>
      <c r="CO363" s="369"/>
      <c r="CP363" s="4" t="str">
        <f>IF(SnapshotTable[[#This Row],[SP Is Filled]], btc_max_buyback_amount(SnapshotTable[[#This Row],[SP Fill Date]],SnapshotTable[[#This Row],[SP Exp Date]], SnapshotTable[[#This Row],[SP Book Price]]),"")</f>
        <v/>
      </c>
      <c r="CQ363" s="78"/>
      <c r="CR36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3" s="155" t="str">
        <f>IF(SnapshotTable[[#This Row],[SP Is Filled]], btc_next_cutoff_date(SnapshotTable[[#This Row],[SP Fill Date]],SnapshotTable[[#This Row],[SP Exp Date]]),"")</f>
        <v/>
      </c>
      <c r="CT363" s="235" t="str" cm="1">
        <f t="array" ref="CT363">IF(SnapshotTable[[#This Row],[SP Is Filled]], btc_should_buy_back(SnapshotTable[[#This Row],[SP Fill Date]], SnapshotTable[[#This Row],[SP Exp Date]], SnapshotTable[[#This Row],[SP Book Price]], SnapshotTable[[#This Row],[SP Current Ask]], MockToday, SnapshotTable[[#This Row],[SP Buyback Override]]),"")</f>
        <v/>
      </c>
      <c r="CU363" s="143"/>
      <c r="CV363" s="235"/>
      <c r="CW363" s="378" t="str">
        <f>IF(ISNUMBER( SnapshotTable[[#This Row],[SP Term]]), SnapshotTable[[#This Row],[SP Exp Date]] - MockToday,"")</f>
        <v/>
      </c>
      <c r="CX363" s="31" t="str">
        <f>IF(SnapshotTable[[#This Row],[SP Is Filled]],SnapshotTable[[#This Row],[SP Buyback Price to Use]] * 100 * SnapshotTable[[#This Row],[SP Qty]], "")</f>
        <v/>
      </c>
      <c r="CY363" s="4" t="str">
        <f>IF(ISNUMBER(SnapshotTable[[#This Row],[SP Strike Price]]), SnapshotTable[[#This Row],[SP Strike Price]] * (1 - SP_MaxLoss_StrikePct), "")</f>
        <v/>
      </c>
      <c r="CZ363" s="31" t="str">
        <f>IF(ISNUMBER(SnapshotTable[[#This Row],[SP Strike  Stop Per Share]]),SnapshotTable[[#This Row],[SP Premium]] - ((SnapshotTable[[#This Row],[SP Strike Price]]-SnapshotTable[[#This Row],[SP Strike  Stop Per Share]]) *(SnapshotTable[[#This Row],[SP Qty]] * 100)),"")</f>
        <v/>
      </c>
      <c r="DA363" s="4" t="str">
        <f>IF(AND(ISNUMBER(SnapshotTable[[#This Row],[SP Premium]]),SnapshotTable[[#This Row],[SP Premium]]&gt;0), SnapshotTable[[#This Row],[SP Book Price]] * (1 + SP_MaxLoss_OptionPct), "")</f>
        <v/>
      </c>
      <c r="DB363" s="31" t="str">
        <f>IF(ISNUMBER(SnapshotTable[[#This Row],[SP Option  Stop Contract]]),(SnapshotTable[[#This Row],[SP Option  Stop Contract]] *(SnapshotTable[[#This Row],[SP Qty]] * 100) - SnapshotTable[[#This Row],[SP Premium]]),"")</f>
        <v/>
      </c>
      <c r="DC363" s="4"/>
      <c r="DD363" s="4"/>
      <c r="DE363" s="4" t="str">
        <f>IF(AND(SnapshotTable[[#This Row],[SP Qty]]&gt;0, SnapshotTable[[#This Row],[SP Stop To Use]]&gt;0),SnapshotTable[[#This Row],[SP Premium]] - ( SnapshotTable[[#This Row],[SP Qty]] * SnapshotTable[[#This Row],[SP Stop To Use]] * 100), "")</f>
        <v/>
      </c>
      <c r="DF363" s="31" t="str">
        <f>IF(AND(SnapshotTable[[#This Row],[SP Qty]]&gt;0,SnapshotTable[[#This Row],[SP Current Ask]]&gt;0), SnapshotTable[[#This Row],[SP Qty]] * SnapshotTable[[#This Row],[SP Current Ask]] * -100, "")</f>
        <v/>
      </c>
      <c r="DG363" s="31" t="str">
        <f>IF(ISNUMBER((SnapshotTable[[#This Row],[SP Total Value]])), SnapshotTable[[#This Row],[SP Premium]] + SnapshotTable[[#This Row],[SP Total Value]], "")</f>
        <v/>
      </c>
      <c r="DH363" s="294" t="str">
        <f>IF(ISNUMBER((SnapshotTable[[#This Row],[SP Total Value]])), SnapshotTable[[#This Row],[SP Gain Loss]] / SnapshotTable[[#This Row],[SP Premium]], "")</f>
        <v/>
      </c>
      <c r="DI363" s="406"/>
      <c r="DJ363" s="138"/>
      <c r="DK363" s="148"/>
      <c r="DL363" s="13"/>
      <c r="DM363" s="13"/>
      <c r="DO363" s="31">
        <f>IF(SnapshotTable[[#This Row],[LC Symbol Count]]=1, SnapshotTable[[#This Row],[LC Qty]] * SnapshotTable[[#This Row],[LC Book Price]] * 100, 0)</f>
        <v>0</v>
      </c>
      <c r="DP363" s="163" t="str">
        <f>IF(AND(SnapshotTable[[#This Row],[LC Exp Date]]&gt;0, SnapshotTable[[#This Row],[LC Strike Price]]&gt;0,SnapshotTable[[#This Row],[LC Qty]]&gt;0,SnapshotTable[[#This Row],[LC Book Date]]&gt;0,SnapshotTable[[#This Row],[LC Book Price]]&gt;0,SnapshotTable[[#This Row],[LC Fill Date]]=0),"Y","")</f>
        <v/>
      </c>
      <c r="DQ363" s="386" t="str">
        <f>IF(SnapshotTable[[#This Row],[LC Premium]] &gt; 0,SnapshotTable[[#This Row],[LC Exp Date]]-MAX(SnapshotTable[[#This Row],[LC Book Date]], SnapshotTable[[#This Row],[LC Fill Date]]),"")</f>
        <v/>
      </c>
      <c r="DR363" s="386" t="str">
        <f>IF(ISNUMBER(SnapshotTable[[#This Row],[LC Term]]), SnapshotTable[[#This Row],[LC Exp Date]] - MockToday, "")</f>
        <v/>
      </c>
      <c r="DS363" s="234" t="str">
        <f>IF(SnapshotTable[[#This Row],[LC Premium]]&gt;0,SnapshotTable[[#This Row],[LC Strike Price]] + SnapshotTable[[#This Row],[LC Book Price]],"")</f>
        <v/>
      </c>
      <c r="DU363" s="9" t="str">
        <f>IF(AND(SnapshotTable[[#This Row],[LC Symbol Count]]&gt;0, SnapshotTable[[#This Row],[LC Contract Value]]&gt;0), SnapshotTable[[#This Row],[LC Contract Value]] * SnapshotTable[[#This Row],[LC Qty]] * 100, "")</f>
        <v/>
      </c>
      <c r="DV363" s="9" t="str">
        <f>IF(AND(ISNUMBER(SnapshotTable[[#This Row],[LC Total Value]]), SnapshotTable[[#This Row],[LC Not Filled]]&lt;&gt;"Y"), SnapshotTable[[#This Row],[LC Total Value]]-SnapshotTable[[#This Row],[LC Premium]],"")</f>
        <v/>
      </c>
      <c r="DW363" s="240" t="str">
        <f>IF(ISNUMBER(SnapshotTable[[#This Row],[LC Actual Gain Loss]]), SnapshotTable[[#This Row],[LC Actual Gain Loss]] / SnapshotTable[[#This Row],[LC Premium]],"")</f>
        <v/>
      </c>
      <c r="DX363" s="284" t="str">
        <f>IF(ISNUMBER(SnapshotTable[[#This Row],[LC Book Price]]),SnapshotTable[[#This Row],[LC Book Price]] * 1.5,"")</f>
        <v/>
      </c>
      <c r="DY363" s="265" t="str">
        <f>IF(SnapshotTable[[#This Row],[LC Premium]]&gt;0, SnapshotTable[[#This Row],[LC Next Target]] * SnapshotTable[[#This Row],[LC Qty]] * 100,"")</f>
        <v/>
      </c>
      <c r="DZ363" s="265" t="str">
        <f>IF(ISNUMBER(SnapshotTable[[#This Row],[LC Target Gross]]), SnapshotTable[[#This Row],[LC Target Gross]] - SnapshotTable[[#This Row],[LC Premium]], "")</f>
        <v/>
      </c>
      <c r="EA363" s="305" t="str">
        <f>IF(ISNUMBER(SnapshotTable[[#This Row],[LC Target Gain Loss]]), SnapshotTable[[#This Row],[LC Target Gain Loss]]/SnapshotTable[[#This Row],[LC Premium]], "")</f>
        <v/>
      </c>
      <c r="EB363" s="262"/>
      <c r="EC363" s="283" t="str">
        <f>IF(SnapshotTable[[#This Row],[LC Premium]]&gt;0, SnapshotTable[[#This Row],[LC Book Price]] * (1 - LC_StopLoss_Pct),"")</f>
        <v/>
      </c>
      <c r="ED363" s="284"/>
      <c r="EE363" s="283" t="str">
        <f>IF(ISNUMBER(SnapshotTable[[#This Row],[LC Contract Value]]),IF(ISNUMBER(SnapshotTable[[#This Row],[LC Stop Loss Override]]), SnapshotTable[[#This Row],[LC Stop Loss Override]],SnapshotTable[[#This Row],[LC Stop Loss Calc Target]]),"")</f>
        <v/>
      </c>
      <c r="EF363" s="31" t="str">
        <f>IF(ISNUMBER(SnapshotTable[[#This Row],[LC Stop  To Use]]), (SnapshotTable[[#This Row],[LC Stop  To Use]] * SnapshotTable[[#This Row],[LC Qty]] * 100),"")</f>
        <v/>
      </c>
      <c r="EG363" s="9" t="str">
        <f>IF(ISNUMBER(SnapshotTable[[#This Row],[LC Total Value]]),SnapshotTable[[#This Row],[LC Stop Loss Amount]] - SnapshotTable[[#This Row],[LC Premium]],"")</f>
        <v/>
      </c>
      <c r="EH363" s="9">
        <f>IF(ISNUMBER(SnapshotTable[[#This Row],[LC Premium]]), SnapshotTable[[#This Row],[LC Qty]] * 100 * SnapshotTable[[#This Row],[LC Strike Price]], "")</f>
        <v>0</v>
      </c>
      <c r="EI363" s="240" t="str">
        <f>IF(AND(ISNUMBER(SnapshotTable[[#This Row],[LC Total Value]]),SnapshotTable[[#This Row],[LC Total Value]]&gt;0),SnapshotTable[[#This Row],[LC Stop Gain Loss]]  / SnapshotTable[[#This Row],[LC Premium]],"")</f>
        <v/>
      </c>
      <c r="EJ363" s="35">
        <f>IF(ISNUMBER(SnapshotTable[[#This Row],[Equity Shares]]),TRUNC(SnapshotTable[[#This Row],[Equity Shares]] / 100),0) + SnapshotTable[[#This Row],[LC Qty]]</f>
        <v>0</v>
      </c>
      <c r="EK363" s="147"/>
      <c r="EL363" s="138" t="str">
        <f>IF(SnapshotTable[[#This Row],[SC Exp Date]]&lt;&gt;"",TRUNC(SnapshotTable[[#This Row],[Last Price]]),"")</f>
        <v/>
      </c>
      <c r="EM363" s="148"/>
      <c r="EN363" s="147"/>
      <c r="EO363" s="147"/>
      <c r="EP363" s="138"/>
      <c r="EQ363" s="419" t="b">
        <f>AND(ISNUMBER(SnapshotTable[[#This Row],[SC Exp Date]]), ISNUMBER(SnapshotTable[[#This Row],[SC Strike Price]]), ISNUMBER(SnapshotTable[[#This Row],[SC Qty]]), ISNUMBER(SnapshotTable[[#This Row],[SC Book Date]]), ISNUMBER(SnapshotTable[[#This Row],[SC Book Price]]))</f>
        <v>0</v>
      </c>
      <c r="ER363" s="419" t="b">
        <f>AND(SnapshotTable[[#This Row],[SC Is Booked]], NOT(ISBLANK(SnapshotTable[[#This Row],[SC Fill Date]])))</f>
        <v>0</v>
      </c>
      <c r="ES363" s="370"/>
      <c r="ET363" s="34" t="str">
        <f>IF(AND(ISNUMBER(SnapshotTable[[#This Row],[SC Exp Date]]), ISNUMBER(SnapshotTable[[#This Row],[SC Book Date]])), SnapshotTable[[#This Row],[SC Exp Date]] - MAX(SnapshotTable[[#This Row],[SC Book Date]], SnapshotTable[[#This Row],[SC Fill Date]]) + 1, "")</f>
        <v/>
      </c>
      <c r="EU363" s="34" t="str">
        <f>IF(ISNUMBER(SnapshotTable[[#This Row],[SC Term]]), SnapshotTable[[#This Row],[SC Exp Date]]- MockToday, "")</f>
        <v/>
      </c>
      <c r="EV363" s="31">
        <f>IF(SnapshotTable[[#This Row],[SC Is Booked]], SnapshotTable[[#This Row],[SC Qty]] * SnapshotTable[[#This Row],[SC Book Price]] * 100, 0)</f>
        <v>0</v>
      </c>
      <c r="EW363" s="4" t="str">
        <f>IF(AND(ISNUMBER(SnapshotTable[[#This Row],[Last Price]]), ISNUMBER( SnapshotTable[[#This Row],[SC Book Price]])), SnapshotTable[[#This Row],[Last Price]] - SnapshotTable[[#This Row],[SC Book Price]],"")</f>
        <v/>
      </c>
      <c r="EX363" s="234" t="str">
        <f>IF(SnapshotTable[[#This Row],[SC Is Booked]],IF(SnapshotTable[[#This Row],[SC Intrinsic Value]] &gt; 0, SnapshotTable[[#This Row],[SC Strike Price]], SnapshotTable[[#This Row],[Last Price]]), "")</f>
        <v/>
      </c>
      <c r="EY363" s="4">
        <f>IF(SnapshotTable[[#This Row],[SC Is Booked]], (MinimumPremiumRequired * SnapshotTable[[#This Row],[SC Basis]] * SnapshotTable[[#This Row],[SC Term]]), 0)</f>
        <v>0</v>
      </c>
      <c r="EZ363" s="283"/>
      <c r="FA363" s="218"/>
      <c r="FB363" s="370"/>
      <c r="FC363" s="4">
        <f>IF(SnapshotTable[[#This Row],[SC Is Filled]], btc_max_buyback_amount(SnapshotTable[[#This Row],[SC Fill Date]],SnapshotTable[[#This Row],[SC Exp Date]], SnapshotTable[[#This Row],[SC Book Price]]),0)</f>
        <v>0</v>
      </c>
      <c r="FD363" s="5"/>
      <c r="FE363" s="144" t="str">
        <f>IF(SnapshotTable[[#This Row],[SC Is Filled]], btc_next_cutoff_date(SnapshotTable[[#This Row],[SC Fill Date]],SnapshotTable[[#This Row],[SC Exp Date]]),"")</f>
        <v/>
      </c>
      <c r="FF363" s="4" t="str" cm="1">
        <f t="array" ref="FF363">IF(SnapshotTable[[#This Row],[SC Is Filled]], btc_should_buy_back(SnapshotTable[[#This Row],[SC Fill Date]], SnapshotTable[[#This Row],[SC Exp Date]], SnapshotTable[[#This Row],[SC Book Price]], SnapshotTable[[#This Row],[SC Current Ask]], MockToday, SnapshotTable[[#This Row],[SC Buyback Override]]),"")</f>
        <v/>
      </c>
      <c r="FG363" s="4">
        <f>IF(SnapshotTable[[#This Row],[SC Is Filled]], MAX(0,SnapshotTable[[#This Row],[Last Price]]  - SnapshotTable[[#This Row],[SC Strike Price]]), 0)</f>
        <v>0</v>
      </c>
      <c r="FH363" s="382">
        <f>IF(SnapshotTable[[#This Row],[SC Is Filled]], IF(ISNUMBER(SnapshotTable[[#This Row],[SC Current Ask]]), SnapshotTable[[#This Row],[SC Current Ask]], SnapshotTable[[#This Row],[SC Book Price]]) - SnapshotTable[[#This Row],[SC Intrinsic Value]], 0)</f>
        <v>0</v>
      </c>
      <c r="FI363" s="143"/>
      <c r="FJ363" s="32" t="str">
        <f>IF(SnapshotTable[[#This Row],[SC Is Filled]],100 * SnapshotTable[[#This Row],[SC Qty]] * IF(ISNUMBER(SnapshotTable[[#This Row],[SC Buyback Override]]), SnapshotTable[[#This Row],[SC Buyback Override]], SnapshotTable[[#This Row],[SC Current Ask]]), "")</f>
        <v/>
      </c>
      <c r="FK363" s="250" t="str">
        <f>IF(SnapshotTable[[#This Row],[SC Time Val]]&gt;0, SnapshotTable[[#This Row],[SC Time Val]] / SnapshotTable[[#This Row],[Last Price]],"")</f>
        <v/>
      </c>
      <c r="FL363" s="302" t="str">
        <f>IF(SnapshotTable[[#This Row],[SC Is Booked]], ((SnapshotTable[[#This Row],[Last Price]] -SnapshotTable[[#This Row],[SC Strike Price]]) / SnapshotTable[[#This Row],[Last Price]]) * -1, "")</f>
        <v/>
      </c>
      <c r="FM363" s="157" t="str">
        <f>IF(SnapshotTable[[#This Row],[SC Is Booked]],  (SnapshotTable[[#This Row],[SC Qty]] * 100 * SnapshotTable[[#This Row],[SC Strike Price]]) - SnapshotTable[[#This Row],[SC Current Ask]], "")</f>
        <v/>
      </c>
      <c r="FN36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3" s="31" t="str">
        <f>IF(AND(ISNUMBER(SnapshotTable[[#This Row],[SC Exercise Gross]]), ISNUMBER(SnapshotTable[[#This Row],[Equity Basis Per Share]] )), SnapshotTable[[#This Row],[SC Exercise Gross]] - SnapshotTable[[#This Row],[Equity Basis Total]] +  SnapshotTable[[#This Row],[SC Premium]], "")</f>
        <v/>
      </c>
      <c r="FP363" s="5" t="str">
        <f>IF(ISNUMBER(SnapshotTable[[#This Row],[SC Exercise Gross]]), (SnapshotTable[[#This Row],[SC Exercise Gross]]) / (SnapshotTable[[#This Row],[SC Qty]] * 100), "")</f>
        <v/>
      </c>
      <c r="FQ363" s="27" t="str">
        <f>IF(SnapshotTable[[#This Row],[SC Is Booked]],SnapshotTable[[#This Row],[SC Time Val]] /SnapshotTable[[#This Row],[SC Basis]], "")</f>
        <v/>
      </c>
      <c r="FR363" s="27" t="str" cm="1">
        <f t="array" ref="FR363">IF(AND(ISNUMBER(SnapshotTable[[#This Row],[SC Term]]),ISNUMBER(SnapshotTable[[#This Row],[SC Simple ROO]])), EllmanAnnualize(SnapshotTable[[#This Row],[SC DTE]], SnapshotTable[[#This Row],[SC Simple ROO]] ),"")</f>
        <v/>
      </c>
      <c r="FS363" s="4" t="e">
        <f>IF(SnapshotTable[[#This Row],[SC Strike Price]] &gt; SnapshotTable[[#This Row],[Last Price]], SnapshotTable[[#This Row],[SC Strike Price]] - SnapshotTable[[#This Row],[Last Price]],0)</f>
        <v>#VALUE!</v>
      </c>
      <c r="FT363" s="27" t="e">
        <f>IF(AND(ISNUMBER(SnapshotTable[[#This Row],[SC Upside Potential]]), SnapshotTable[[#This Row],[SC Upside Potential]] &gt; 0),(SnapshotTable[[#This Row],[SC Upside Potential]]/ SnapshotTable[[#This Row],[ACB]]),"")</f>
        <v>#VALUE!</v>
      </c>
      <c r="FU363" s="333" t="str">
        <f>IF(SnapshotTable[[#This Row],[SC Intrinsic Value]] &gt; 0,SnapshotTable[[#This Row],[SC Intrinsic Value]],"")</f>
        <v/>
      </c>
      <c r="FV363" s="27" t="str">
        <f>IF(AND( ISNUMBER( SnapshotTable[[#This Row],[ACB]]),ISNUMBER(SnapshotTable[[#This Row],[SC Downside Protect]])),SnapshotTable[[#This Row],[SC Downside Protect]] / SnapshotTable[[#This Row],[ACB]],"")</f>
        <v/>
      </c>
      <c r="FW363" s="236" t="str">
        <f>IF(AND(ISNUMBER(SnapshotTable[[#This Row],[SC Simple ROO]]),SnapshotTable[[#This Row],[SC Simple ROO]] &gt; 0), SnapshotTable[[#This Row],[SC Premium]] + (SnapshotTable[[#This Row],[SC Qty]] * SnapshotTable[[#This Row],[SC Upside Potential]]), "")</f>
        <v/>
      </c>
      <c r="FX363" s="302" t="str" cm="1">
        <f t="array" ref="FX363">IF(ISNUMBER(SnapshotTable[[#This Row],[SC Max Dollars]]), annualize(SnapshotTable[[#This Row],[SC Term]],(SnapshotTable[[#This Row],[SC Max Dollars]]/SnapshotTable[[#This Row],[SC Basis]])),"")</f>
        <v/>
      </c>
      <c r="FY363" s="236" t="str">
        <f>IF(AND(SnapshotTable[[#This Row],[SC Qty]]&gt;0,SnapshotTable[[#This Row],[SC Current Ask]]&gt;0), SnapshotTable[[#This Row],[SC Qty]] * SnapshotTable[[#This Row],[SC Current Ask]] * -100, "")</f>
        <v/>
      </c>
      <c r="FZ363" s="31" t="str">
        <f>IF(ISNUMBER((SnapshotTable[[#This Row],[SC Current Value]])), SnapshotTable[[#This Row],[SC Premium]] + SnapshotTable[[#This Row],[SC Current Value]], "")</f>
        <v/>
      </c>
      <c r="GA363" s="294" t="str">
        <f>IFERROR( IF(ISNUMBER((SnapshotTable[[#This Row],[SC Current Value]])), SnapshotTable[[#This Row],[SC Gain Loss]] / SnapshotTable[[#This Row],[SC Premium]], ""), "")</f>
        <v/>
      </c>
      <c r="GB363" s="42">
        <f>SnapshotTable[[#This Row],[Equity Shares]] * SaleSharesToConsiderPercentage</f>
        <v>0</v>
      </c>
      <c r="GC363" s="40">
        <f>SnapshotTable[[#This Row],[Long Term Target]] * SellingPriceToConsiderBasedOnTargetPercentage</f>
        <v>0</v>
      </c>
      <c r="GD363" s="40">
        <f>SnapshotTable[[#This Row],[Last Price]] * (1+ SellingPriceToConsiderBasedOnTargetPercentage)</f>
        <v>38.005499999999998</v>
      </c>
      <c r="GE363" s="41"/>
      <c r="GF363" s="40"/>
      <c r="GG363" s="31">
        <f>SnapshotTable[[#This Row],[Booked Sale Shares]] * SnapshotTable[[#This Row],[Booked Sale Price]]</f>
        <v>0</v>
      </c>
      <c r="GH363" s="31" t="str">
        <f>IF(SnapshotTable[[#This Row],[Equity Basis Total]] &gt; 0, SnapshotTable[[#This Row],[Equity Basis Per Share]] * SnapshotTable[[#This Row],[Booked Sale Shares]], "")</f>
        <v/>
      </c>
      <c r="GI363" s="31">
        <f>IF(SnapshotTable[[#This Row],[Sale Proceeds]]&gt;0, SnapshotTable[[#This Row],[Sale Proceeds]] - SnapshotTable[[#This Row],[Sale Basis]], 0)</f>
        <v>0</v>
      </c>
      <c r="GJ363" s="27" t="str">
        <f>IF(SnapshotTable[[#This Row],[Sale G/L]]&gt;0, SnapshotTable[[#This Row],[Sale G/L]] / SnapshotTable[[#This Row],[Sale Basis]], IF(ISNUMBER(SnapshotTable[[#This Row],[SC Exercise P&amp;L (TAX)]]), SnapshotTable[[#This Row],[SC Exercise P&amp;L (TAX)]] / SnapshotTable[[#This Row],[SC Basis]], ""))</f>
        <v/>
      </c>
      <c r="GK363" s="27"/>
      <c r="GL363" s="43" t="str">
        <f>IF(AND(SnapshotTable[[#This Row],[LP Exp Date]]&gt;0,SnapshotTable[[#This Row],[LP Strike Price]]&gt;0), [1]!ToOptionSymbol(SnapshotTable[[#This Row],[Symbol]], SnapshotTable[[#This Row],[LP Strike Price]],SnapshotTable[[#This Row],[LP Exp Date]],1), "")</f>
        <v/>
      </c>
      <c r="GM363" s="30" t="str">
        <f>IF(LEN(SnapshotTable[[#This Row],[LP Symbol]])&gt;0, 1, "")</f>
        <v/>
      </c>
      <c r="GN363" s="43" t="str">
        <f>IF(AND(SnapshotTable[[#This Row],[SP Exp Date]]&gt;0,SnapshotTable[[#This Row],[SP Strike Price]]&gt;0), [1]!ToOptionSymbol(SnapshotTable[[#This Row],[Symbol]], SnapshotTable[[#This Row],[SP Strike Price]],SnapshotTable[[#This Row],[SP Exp Date]],1), "")</f>
        <v/>
      </c>
      <c r="GO363" s="30" t="str">
        <f>IF(LEN(SnapshotTable[[#This Row],[SP Symbol]])&gt;0, 1, "")</f>
        <v/>
      </c>
      <c r="GP363" s="43" t="str">
        <f>IF(AND(SnapshotTable[[#This Row],[LC Exp Date]]&gt;0,SnapshotTable[[#This Row],[LC Strike Price]]&gt;0), [1]!ToOptionSymbol(SnapshotTable[[#This Row],[Symbol]], SnapshotTable[[#This Row],[LC Strike Price]],SnapshotTable[[#This Row],[LC Exp Date]],0), "")</f>
        <v/>
      </c>
      <c r="GQ363" s="30" t="str">
        <f>IF(LEN(SnapshotTable[[#This Row],[LC Symbol]])&gt;0, 1, "")</f>
        <v/>
      </c>
      <c r="GR363" s="43" t="str">
        <f>IF(AND(SnapshotTable[[#This Row],[SC Exp Date]]&gt;0,SnapshotTable[[#This Row],[SC Strike Price]]&gt;0), [1]!ToOptionSymbol(SnapshotTable[[#This Row],[Symbol]], SnapshotTable[[#This Row],[SC Strike Price]],SnapshotTable[[#This Row],[SC Exp Date]],0), "")</f>
        <v/>
      </c>
      <c r="GS363" s="30" t="str">
        <f>IF(LEN(SnapshotTable[[#This Row],[SC Symbol]])&gt;0, 1, "")</f>
        <v/>
      </c>
      <c r="GT363" s="29" t="str">
        <f>IF(COUNT(SnapshotTable[[#This Row],[LP Symbol Count]],SnapshotTable[[#This Row],[SP Symbol Count]],SnapshotTable[[#This Row],[LC Symbol Count]],SnapshotTable[[#This Row],[SC Symbol Count]])&gt;0, "Y", "")</f>
        <v/>
      </c>
      <c r="GU36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3" s="231" t="e">
        <f>MAX(SnapshotTable[[#This Row],[Equity Basis Total]],SnapshotTable[[#This Row],[Equity Value]]) + (SnapshotTable[[#This Row],[SP Potential Spend]]- SnapshotTable[[#This Row],[SP Premium]] + SnapshotTable[[#This Row],[LP Premium]])+ (SnapshotTable[[#This Row],[LC Premium]] - SnapshotTable[[#This Row],[SC Premium]])</f>
        <v>#VALUE!</v>
      </c>
      <c r="GW363" s="139" t="e">
        <f>IF(AND(SnapshotTable[[#This Row],[Exposure]] &lt;&gt; 0),SnapshotTable[[#This Row],[Exposure]] / SnapshotTable[[#Totals],[Exposure]], "")</f>
        <v>#VALUE!</v>
      </c>
      <c r="HK363" s="1"/>
      <c r="HL363" s="1"/>
      <c r="HM363" s="1"/>
      <c r="HN363" s="1"/>
      <c r="HO363" s="1"/>
      <c r="HP363" s="1"/>
    </row>
    <row r="364" spans="2:224" ht="12.75" hidden="1" customHeight="1" x14ac:dyDescent="0.25">
      <c r="B364" s="12" t="s">
        <v>1209</v>
      </c>
      <c r="C364" s="422">
        <v>0.39460000000000001</v>
      </c>
      <c r="D364" s="208"/>
      <c r="E364" s="39">
        <f>SnapshotTable[[#This Row],[Last Price]]*(1 -CrashDiscount)</f>
        <v>0.33540999999999999</v>
      </c>
      <c r="F364" s="325" t="s">
        <v>937</v>
      </c>
      <c r="G364" s="325" t="s">
        <v>4</v>
      </c>
      <c r="H364" s="149"/>
      <c r="I364" s="194"/>
      <c r="J364" s="195"/>
      <c r="K364" s="196"/>
      <c r="L364" s="327"/>
      <c r="M364" s="140"/>
      <c r="N364" s="140"/>
      <c r="O364" s="140"/>
      <c r="P364" s="22">
        <v>1000</v>
      </c>
      <c r="Q364" s="25">
        <v>2142.4</v>
      </c>
      <c r="R364" s="4">
        <f>IF(SnapshotTable[[#This Row],[Equity Basis Total]] &gt; 0, SnapshotTable[[#This Row],[Equity Basis Total]] / SnapshotTable[[#This Row],[Equity Shares]], "")</f>
        <v>2.1424000000000003</v>
      </c>
      <c r="S364" s="329">
        <f>SnapshotTable[[#This Row],[Last Price]] * SnapshotTable[[#This Row],[Equity Shares]]</f>
        <v>394.6</v>
      </c>
      <c r="T364" s="269">
        <f>SnapshotTable[[#This Row],[Equity Value]] - SnapshotTable[[#This Row],[Equity Basis Total]]</f>
        <v>-1747.8000000000002</v>
      </c>
      <c r="U364" s="270">
        <f>IF(SnapshotTable[[#This Row],[Equity Basis Total]] &gt; 0, SnapshotTable[[#This Row],[Equity G/L]] / SnapshotTable[[#This Row],[Equity Basis Total]], "")</f>
        <v>-0.8158140403286035</v>
      </c>
      <c r="V364" s="268"/>
      <c r="W364" s="268"/>
      <c r="X364" s="4" t="str">
        <f>IF(AND(ISNUMBER(SnapshotTable[[#This Row],[Equity Basis Per Share]]),ISNUMBER(SnapshotTable[[#This Row],[Equity Target]])),SnapshotTable[[#This Row],[Equity Target]]-SnapshotTable[[#This Row],[Equity Basis Per Share]],"")</f>
        <v/>
      </c>
      <c r="Y364" s="4" t="str">
        <f>IF(AND(ISNUMBER(SnapshotTable[[#This Row],[Equity Basis Per Share]]),ISNUMBER(SnapshotTable[[#This Row],[Equity Stop Loss]])),SnapshotTable[[#This Row],[Equity Stop Loss]]-SnapshotTable[[#This Row],[Equity Basis Per Share]],"")</f>
        <v/>
      </c>
      <c r="Z364" s="275" t="str">
        <f>IFERROR( TEXT(SnapshotTable[[#This Row],[Equity Max Gain Per Share]] /ABS( SnapshotTable[[#This Row],[Equity Max Loss Per Share]]),"0.0 " ) &amp; " : 1", "")</f>
        <v/>
      </c>
      <c r="AA364" s="31" t="str">
        <f>IF(ISNUMBER(SnapshotTable[[#This Row],[Equity Max Gain Per Share]]),SnapshotTable[[#This Row],[Equity Max Gain Per Share]] * SnapshotTable[[#This Row],[Equity Shares]],"")</f>
        <v/>
      </c>
      <c r="AB364" s="31" t="str">
        <f>IF(ISNUMBER(SnapshotTable[[#This Row],[Equity Max Loss Per Share]]),SnapshotTable[[#This Row],[Equity Max Loss Per Share]] * SnapshotTable[[#This Row],[Equity Shares]],"")</f>
        <v/>
      </c>
      <c r="AC364" s="150"/>
      <c r="AD364" s="151"/>
      <c r="AE364" s="31">
        <f>(SnapshotTable[[#This Row],[Annual Dividend Per Share]] / 4) * SnapshotTable[[#This Row],[Equity Shares]]</f>
        <v>0</v>
      </c>
      <c r="AF364" s="31">
        <f>SnapshotTable[[#This Row],[Quarterly Div $]] * 4</f>
        <v>0</v>
      </c>
      <c r="AG364" s="7">
        <f>IF(SnapshotTable[[#This Row],[Annual Dividend Per Share]]&gt;0, SnapshotTable[[#This Row],[Annual Dividend Per Share]]  / SnapshotTable[[#This Row],[Last Price]], 0)</f>
        <v>0</v>
      </c>
      <c r="AH364" s="151"/>
      <c r="AI364" s="330"/>
      <c r="AJ364" s="138"/>
      <c r="AK364" s="152" t="str">
        <f>IF(ISNUMBER( SnapshotTable[[#This Row],[EBF Target]]),(SnapshotTable[[#This Row],[EBF Target]] - SnapshotTable[[#This Row],[Last Price]]) / SnapshotTable[[#This Row],[Last Price]], "")</f>
        <v/>
      </c>
      <c r="AL364" s="152" t="str">
        <f>IF(AND(SnapshotTable[[#This Row],[Equity Basis Total]] &gt; 0,ISNUMBER( SnapshotTable[[#This Row],[Long Term Target]])), SnapshotTable[[#This Row],[From Basis $]] / SnapshotTable[[#This Row],[Equity Basis Total]], "")</f>
        <v/>
      </c>
      <c r="AM364" s="9">
        <f>IF( AND(SnapshotTable[[#This Row],[Equity Shares]] &gt;0,ISNUMBER( SnapshotTable[[#This Row],[Long Term Target]])),(SnapshotTable[[#This Row],[Equity Shares]] * SnapshotTable[[#This Row],[Long Term Target]]) - SnapshotTable[[#This Row],[Equity Basis Total]],0)</f>
        <v>0</v>
      </c>
      <c r="AN364" s="9">
        <f>IF( AND(SnapshotTable[[#This Row],[Equity Shares]] &gt;0,ISNUMBER( SnapshotTable[[#This Row],[Long Term Target]])),(SnapshotTable[[#This Row],[Equity Shares]]*SnapshotTable[[#This Row],[Long Term Target]]) - SnapshotTable[[#This Row],[Equity Value]],0)</f>
        <v>0</v>
      </c>
      <c r="AO364" s="152" t="str">
        <f>IF(AND(ISNUMBER( SnapshotTable[[#This Row],[Long Term Target]]), ISNUMBER(SnapshotTable[[#This Row],[Last Price]])),(SnapshotTable[[#This Row],[Long Term Target]] - SnapshotTable[[#This Row],[Last Price]]) / SnapshotTable[[#This Row],[Last Price]], "")</f>
        <v/>
      </c>
      <c r="AP364" s="5"/>
      <c r="AQ364" s="38"/>
      <c r="AR364" s="5"/>
      <c r="AS364" s="38"/>
      <c r="AT364" s="146" t="s">
        <v>1132</v>
      </c>
      <c r="AU364" s="187" t="str">
        <f>IF(OR(SnapshotTable[[#This Row],[LP No Fill]]="Y",SnapshotTable[[#This Row],[SP Is Filled]],SnapshotTable[[#This Row],[LC Not Filled]]="Y",SnapshotTable[[#This Row],[SC Is Filled]]),"Y","")</f>
        <v/>
      </c>
      <c r="AV364" s="338"/>
      <c r="AW364" s="339"/>
      <c r="AX364" s="220"/>
      <c r="AY364" s="219" t="str">
        <f>IF(SnapshotTable[[#This Row],[Implied Move]]&gt;0, SnapshotTable[[#This Row],[Last Price]]-SnapshotTable[[#This Row],[Implied Move]],"")</f>
        <v/>
      </c>
      <c r="AZ364" s="219" t="str">
        <f>IF(SnapshotTable[[#This Row],[Implied Move]]&gt;0, SnapshotTable[[#This Row],[Last Price]] + SnapshotTable[[#This Row],[Implied Move]],"")</f>
        <v/>
      </c>
      <c r="BA364" s="331">
        <v>2.95</v>
      </c>
      <c r="BB364" s="347"/>
      <c r="BC36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4" s="351"/>
      <c r="BE364" s="138"/>
      <c r="BF364" s="166"/>
      <c r="BG364" s="167"/>
      <c r="BH364" s="167"/>
      <c r="BI364" s="221"/>
      <c r="BJ364" s="153">
        <f>IF(SnapshotTable[[#This Row],[LP Qty]] &gt; 0, SnapshotTable[[#This Row],[LP Qty]] * SnapshotTable[[#This Row],[LP Book Price]] * 100,0)</f>
        <v>0</v>
      </c>
      <c r="BK364" s="136">
        <f>IF(SnapshotTable[[#This Row],[LP Premium]] &gt; 0, SnapshotTable[[#This Row],[LP Qty]] * SnapshotTable[[#This Row],[LP Strike Price]] * 100,0)</f>
        <v>0</v>
      </c>
      <c r="BL364" s="154"/>
      <c r="BM364" s="385" t="str">
        <f>IF(SnapshotTable[[#This Row],[LP Premium]] &gt; 0,SnapshotTable[[#This Row],[LP Exp Date]]-MAX(SnapshotTable[[#This Row],[LP Book Date]], SnapshotTable[[#This Row],[LP Fill Date]]),"")</f>
        <v/>
      </c>
      <c r="BN364" s="385" t="str">
        <f>IF(ISNUMBER( SnapshotTable[[#This Row],[LP Term]]), SnapshotTable[[#This Row],[LP Exp Date]] - MockToday,"")</f>
        <v/>
      </c>
      <c r="BO364" s="163" t="str">
        <f>IF(AND(SnapshotTable[[#This Row],[LP Exp Date]]&gt;0, SnapshotTable[[#This Row],[LP Strike Price]]&gt;0,SnapshotTable[[#This Row],[LP Qty]]&gt;0,SnapshotTable[[#This Row],[LP Book Date]]&gt;0,SnapshotTable[[#This Row],[LP Book Price]]&gt;0,SnapshotTable[[#This Row],[LP Fill Date]]=0),"Y","")</f>
        <v/>
      </c>
      <c r="BP364" s="31" t="str">
        <f>IF(AND(SnapshotTable[[#This Row],[LP No Fill]]&lt;&gt;"Y",SnapshotTable[[#This Row],[LP Contract Value]]&gt;0, SnapshotTable[[#This Row],[LP Qty]]&gt;0), SnapshotTable[[#This Row],[LP Contract Value]]*SnapshotTable[[#This Row],[LP Qty]]*100,"")</f>
        <v/>
      </c>
      <c r="BQ364" s="13"/>
      <c r="BR364" s="5" t="str">
        <f>IF(SnapshotTable[[#This Row],[SP Exp Date]]&lt;&gt;"",TRUNC(SnapshotTable[[#This Row],[Last Price]]),"")</f>
        <v/>
      </c>
      <c r="BS364" s="36"/>
      <c r="BT364" s="147"/>
      <c r="BU364" s="13"/>
      <c r="BV364" s="5"/>
      <c r="BW364" s="419" t="b">
        <f>AND(ISNUMBER(SnapshotTable[[#This Row],[SP Exp Date]]), ISNUMBER(SnapshotTable[[#This Row],[SP Strike Price]]), ISNUMBER(SnapshotTable[[#This Row],[SP Qty]]), ISNUMBER(SnapshotTable[[#This Row],[SP Book Date]]), ISNUMBER(SnapshotTable[[#This Row],[SP Book Price]]))</f>
        <v>0</v>
      </c>
      <c r="BX364" s="419" t="b">
        <f>AND(SnapshotTable[[#This Row],[SP Is Booked]], NOT(ISBLANK(SnapshotTable[[#This Row],[SP Fill Date]])))</f>
        <v>0</v>
      </c>
      <c r="BY364" s="33">
        <f>IF(SnapshotTable[[#This Row],[SP Is Booked]], SnapshotTable[[#This Row],[SP Qty]] * SnapshotTable[[#This Row],[SP Book Price]] * 100, 0)</f>
        <v>0</v>
      </c>
      <c r="BZ364" s="369"/>
      <c r="CA364" s="368">
        <f>SnapshotTable[[#This Row],[LP Qty]]</f>
        <v>0</v>
      </c>
      <c r="CB364" s="4" t="str">
        <f>IF(SnapshotTable[[#This Row],[SP Is Booked]], SnapshotTable[[#This Row],[SP Strike Price]] - SnapshotTable[[#This Row],[SP Book Price]], "")</f>
        <v/>
      </c>
      <c r="CC364" s="19" t="str">
        <f>IF(SnapshotTable[[#This Row],[SP Is Booked]],SnapshotTable[[#This Row],[SP Exp Date]]-MAX(SnapshotTable[[#This Row],[SP Book Date]], SnapshotTable[[#This Row],[SP Fill Date]]),"")</f>
        <v/>
      </c>
      <c r="CD364" s="7" t="str">
        <f>IF(SnapshotTable[[#This Row],[SP Is Booked]], SnapshotTable[[#This Row],[SP Book Price]]/SnapshotTable[[#This Row],[SP Strike Price]], "")</f>
        <v/>
      </c>
      <c r="CE364" s="7" t="str">
        <f>IF(ISNUMBER(SnapshotTable[[#This Row],[SP ROO Term]]),SnapshotTable[[#This Row],[SP ROO Term]]*(365/SnapshotTable[[#This Row],[SP Term]]),"")</f>
        <v/>
      </c>
      <c r="CF364" s="236">
        <f>SnapshotTable[[#This Row],[LP Strike Price]] * SnapshotTable[[#This Row],[LP Qty]] * 100</f>
        <v>0</v>
      </c>
      <c r="CG364" s="31" t="e">
        <f>IF(ISNUMBER(SnapshotTable[[#This Row],[SP Premium]]), (SnapshotTable[[#This Row],[SP Qty]] * SnapshotTable[[#This Row],[SP Strike Price]]* 100) - SnapshotTable[[#This Row],[LP Protection]], 0)</f>
        <v>#VALUE!</v>
      </c>
      <c r="CH364" s="7" t="str">
        <f>IF(ISNUMBER(SnapshotTable[[#This Row],[SP Break Even]]),-1 * (SnapshotTable[[#This Row],[SP Break Even]] - SnapshotTable[[#This Row],[Last Price]]) / SnapshotTable[[#This Row],[Last Price]], "")</f>
        <v/>
      </c>
      <c r="CI364" s="31">
        <f>IF(AND(ISNUMBER((SnapshotTable[[#This Row],[SP Potential Spend]])), SnapshotTable[[#This Row],[SP Strike Price]] &gt; SnapshotTable[[#This Row],[Last Price]], SnapshotTable[[#This Row],[SP Is Filled]]), SnapshotTable[[#This Row],[SP Potential Spend]] -  SnapshotTable[[#This Row],[LP Max Value]], 0)</f>
        <v>0</v>
      </c>
      <c r="CJ364" s="244"/>
      <c r="CK364" s="31" t="str">
        <f>IF(ISNUMBER(SnapshotTable[[#This Row],[SP Potential Spend]]),IF(ISNUMBER(SnapshotTable[[#This Row],[SP POW]]), SnapshotTable[[#This Row],[SP POW]] * SnapshotTable[[#This Row],[SP Potential Spend]], SnapshotTable[[#This Row],[SP Potential Spend]]), "")</f>
        <v/>
      </c>
      <c r="CL364" s="164" t="e">
        <f>IF(NOT(SnapshotTable[[#This Row],[SP Is Filled]]),(SnapshotTable[[#This Row],[SP Qty]] * SnapshotTable[[#This Row],[SP Strike Price]] * 100) - SnapshotTable[[#This Row],[LP Max Value]],"")</f>
        <v>#VALUE!</v>
      </c>
      <c r="CM364" s="31" t="str">
        <f>IF(SnapshotTable[[#This Row],[SP Actual Spend]]&lt;&gt;0, ((SnapshotTable[[#This Row],[SP Strike Price]]-SnapshotTable[[#This Row],[Last Price]]) *(SnapshotTable[[#This Row],[SP Qty]]*100) - SnapshotTable[[#This Row],[SP Premium]]) * - 1, "")</f>
        <v/>
      </c>
      <c r="CN364" s="154"/>
      <c r="CO364" s="369"/>
      <c r="CP364" s="320" t="str">
        <f>IF(SnapshotTable[[#This Row],[SP Is Filled]], btc_max_buyback_amount(SnapshotTable[[#This Row],[SP Fill Date]],SnapshotTable[[#This Row],[SP Exp Date]], SnapshotTable[[#This Row],[SP Book Price]]),"")</f>
        <v/>
      </c>
      <c r="CQ364" s="78"/>
      <c r="CR364" s="76"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4" s="155" t="str">
        <f>IF(SnapshotTable[[#This Row],[SP Is Filled]], btc_next_cutoff_date(SnapshotTable[[#This Row],[SP Fill Date]],SnapshotTable[[#This Row],[SP Exp Date]]),"")</f>
        <v/>
      </c>
      <c r="CT364" s="235" t="str" cm="1">
        <f t="array" ref="CT364">IF(SnapshotTable[[#This Row],[SP Is Filled]], btc_should_buy_back(SnapshotTable[[#This Row],[SP Fill Date]], SnapshotTable[[#This Row],[SP Exp Date]], SnapshotTable[[#This Row],[SP Book Price]], SnapshotTable[[#This Row],[SP Current Ask]], MockToday, SnapshotTable[[#This Row],[SP Buyback Override]]),"")</f>
        <v/>
      </c>
      <c r="CU364" s="143"/>
      <c r="CV364" s="235"/>
      <c r="CW364" s="378" t="str">
        <f>IF(ISNUMBER( SnapshotTable[[#This Row],[SP Term]]), SnapshotTable[[#This Row],[SP Exp Date]] - MockToday,"")</f>
        <v/>
      </c>
      <c r="CX364" s="31" t="str">
        <f>IF(SnapshotTable[[#This Row],[SP Is Filled]],SnapshotTable[[#This Row],[SP Buyback Price to Use]] * 100 * SnapshotTable[[#This Row],[SP Qty]], "")</f>
        <v/>
      </c>
      <c r="CY364" s="4" t="str">
        <f>IF(ISNUMBER(SnapshotTable[[#This Row],[SP Strike Price]]), SnapshotTable[[#This Row],[SP Strike Price]] * (1 - SP_MaxLoss_StrikePct), "")</f>
        <v/>
      </c>
      <c r="CZ364" s="31" t="str">
        <f>IF(ISNUMBER(SnapshotTable[[#This Row],[SP Strike  Stop Per Share]]),SnapshotTable[[#This Row],[SP Premium]] - ((SnapshotTable[[#This Row],[SP Strike Price]]-SnapshotTable[[#This Row],[SP Strike  Stop Per Share]]) *(SnapshotTable[[#This Row],[SP Qty]] * 100)),"")</f>
        <v/>
      </c>
      <c r="DA364" s="4" t="str">
        <f>IF(AND(ISNUMBER(SnapshotTable[[#This Row],[SP Premium]]),SnapshotTable[[#This Row],[SP Premium]]&gt;0), SnapshotTable[[#This Row],[SP Book Price]] * (1 + SP_MaxLoss_OptionPct), "")</f>
        <v/>
      </c>
      <c r="DB364" s="31" t="str">
        <f>IF(ISNUMBER(SnapshotTable[[#This Row],[SP Option  Stop Contract]]),(SnapshotTable[[#This Row],[SP Option  Stop Contract]] *(SnapshotTable[[#This Row],[SP Qty]] * 100) - SnapshotTable[[#This Row],[SP Premium]]),"")</f>
        <v/>
      </c>
      <c r="DC364" s="4"/>
      <c r="DD364" s="4"/>
      <c r="DE364" s="4" t="str">
        <f>IF(AND(SnapshotTable[[#This Row],[SP Qty]]&gt;0, SnapshotTable[[#This Row],[SP Stop To Use]]&gt;0),SnapshotTable[[#This Row],[SP Premium]] - ( SnapshotTable[[#This Row],[SP Qty]] * SnapshotTable[[#This Row],[SP Stop To Use]] * 100), "")</f>
        <v/>
      </c>
      <c r="DF364" s="31" t="str">
        <f>IF(AND(SnapshotTable[[#This Row],[SP Qty]]&gt;0,SnapshotTable[[#This Row],[SP Current Ask]]&gt;0), SnapshotTable[[#This Row],[SP Qty]] * SnapshotTable[[#This Row],[SP Current Ask]] * -100, "")</f>
        <v/>
      </c>
      <c r="DG364" s="31" t="str">
        <f>IF(ISNUMBER((SnapshotTable[[#This Row],[SP Total Value]])), SnapshotTable[[#This Row],[SP Premium]] + SnapshotTable[[#This Row],[SP Total Value]], "")</f>
        <v/>
      </c>
      <c r="DH364" s="294" t="str">
        <f>IF(ISNUMBER((SnapshotTable[[#This Row],[SP Total Value]])), SnapshotTable[[#This Row],[SP Gain Loss]] / SnapshotTable[[#This Row],[SP Premium]], "")</f>
        <v/>
      </c>
      <c r="DI364" s="406"/>
      <c r="DJ364" s="138"/>
      <c r="DK364" s="166"/>
      <c r="DL364" s="167"/>
      <c r="DM364" s="167"/>
      <c r="DO364" s="31">
        <f>IF(SnapshotTable[[#This Row],[LC Symbol Count]]=1, SnapshotTable[[#This Row],[LC Qty]] * SnapshotTable[[#This Row],[LC Book Price]] * 100, 0)</f>
        <v>0</v>
      </c>
      <c r="DP364" s="289" t="str">
        <f>IF(AND(SnapshotTable[[#This Row],[LC Exp Date]]&gt;0, SnapshotTable[[#This Row],[LC Strike Price]]&gt;0,SnapshotTable[[#This Row],[LC Qty]]&gt;0,SnapshotTable[[#This Row],[LC Book Date]]&gt;0,SnapshotTable[[#This Row],[LC Book Price]]&gt;0,SnapshotTable[[#This Row],[LC Fill Date]]=0),"Y","")</f>
        <v/>
      </c>
      <c r="DQ364" s="386" t="str">
        <f>IF(SnapshotTable[[#This Row],[LC Premium]] &gt; 0,SnapshotTable[[#This Row],[LC Exp Date]]-MAX(SnapshotTable[[#This Row],[LC Book Date]], SnapshotTable[[#This Row],[LC Fill Date]]),"")</f>
        <v/>
      </c>
      <c r="DR364" s="386" t="str">
        <f>IF(ISNUMBER(SnapshotTable[[#This Row],[LC Term]]), SnapshotTable[[#This Row],[LC Exp Date]] - MockToday, "")</f>
        <v/>
      </c>
      <c r="DS364" s="234" t="str">
        <f>IF(SnapshotTable[[#This Row],[LC Premium]]&gt;0,SnapshotTable[[#This Row],[LC Strike Price]] + SnapshotTable[[#This Row],[LC Book Price]],"")</f>
        <v/>
      </c>
      <c r="DU364" s="9" t="str">
        <f>IF(AND(SnapshotTable[[#This Row],[LC Symbol Count]]&gt;0, SnapshotTable[[#This Row],[LC Contract Value]]&gt;0), SnapshotTable[[#This Row],[LC Contract Value]] * SnapshotTable[[#This Row],[LC Qty]] * 100, "")</f>
        <v/>
      </c>
      <c r="DV364" s="9" t="str">
        <f>IF(AND(ISNUMBER(SnapshotTable[[#This Row],[LC Total Value]]), SnapshotTable[[#This Row],[LC Not Filled]]&lt;&gt;"Y"), SnapshotTable[[#This Row],[LC Total Value]]-SnapshotTable[[#This Row],[LC Premium]],"")</f>
        <v/>
      </c>
      <c r="DW364" s="240" t="str">
        <f>IF(ISNUMBER(SnapshotTable[[#This Row],[LC Actual Gain Loss]]), SnapshotTable[[#This Row],[LC Actual Gain Loss]] / SnapshotTable[[#This Row],[LC Premium]],"")</f>
        <v/>
      </c>
      <c r="DX364" s="284" t="str">
        <f>IF(ISNUMBER(SnapshotTable[[#This Row],[LC Book Price]]),SnapshotTable[[#This Row],[LC Book Price]] * 1.5,"")</f>
        <v/>
      </c>
      <c r="DY364" s="265" t="str">
        <f>IF(SnapshotTable[[#This Row],[LC Premium]]&gt;0, SnapshotTable[[#This Row],[LC Next Target]] * SnapshotTable[[#This Row],[LC Qty]] * 100,"")</f>
        <v/>
      </c>
      <c r="DZ364" s="265" t="str">
        <f>IF(ISNUMBER(SnapshotTable[[#This Row],[LC Target Gross]]), SnapshotTable[[#This Row],[LC Target Gross]] - SnapshotTable[[#This Row],[LC Premium]], "")</f>
        <v/>
      </c>
      <c r="EA364" s="305" t="str">
        <f>IF(ISNUMBER(SnapshotTable[[#This Row],[LC Target Gain Loss]]), SnapshotTable[[#This Row],[LC Target Gain Loss]]/SnapshotTable[[#This Row],[LC Premium]], "")</f>
        <v/>
      </c>
      <c r="EB364" s="262"/>
      <c r="EC364" s="290" t="str">
        <f>IF(SnapshotTable[[#This Row],[LC Premium]]&gt;0, SnapshotTable[[#This Row],[LC Book Price]] * (1 - LC_StopLoss_Pct),"")</f>
        <v/>
      </c>
      <c r="ED364" s="284"/>
      <c r="EE364" s="290" t="str">
        <f>IF(ISNUMBER(SnapshotTable[[#This Row],[LC Contract Value]]),IF(ISNUMBER(SnapshotTable[[#This Row],[LC Stop Loss Override]]), SnapshotTable[[#This Row],[LC Stop Loss Override]],SnapshotTable[[#This Row],[LC Stop Loss Calc Target]]),"")</f>
        <v/>
      </c>
      <c r="EF364" s="321" t="str">
        <f>IF(ISNUMBER(SnapshotTable[[#This Row],[LC Stop  To Use]]), (SnapshotTable[[#This Row],[LC Stop  To Use]] * SnapshotTable[[#This Row],[LC Qty]] * 100),"")</f>
        <v/>
      </c>
      <c r="EG364" s="9" t="str">
        <f>IF(ISNUMBER(SnapshotTable[[#This Row],[LC Total Value]]),SnapshotTable[[#This Row],[LC Stop Loss Amount]] - SnapshotTable[[#This Row],[LC Premium]],"")</f>
        <v/>
      </c>
      <c r="EH364" s="9">
        <f>IF(ISNUMBER(SnapshotTable[[#This Row],[LC Premium]]), SnapshotTable[[#This Row],[LC Qty]] * 100 * SnapshotTable[[#This Row],[LC Strike Price]], "")</f>
        <v>0</v>
      </c>
      <c r="EI364" s="240" t="str">
        <f>IF(AND(ISNUMBER(SnapshotTable[[#This Row],[LC Total Value]]),SnapshotTable[[#This Row],[LC Total Value]]&gt;0),SnapshotTable[[#This Row],[LC Stop Gain Loss]]  / SnapshotTable[[#This Row],[LC Premium]],"")</f>
        <v/>
      </c>
      <c r="EJ364" s="35">
        <f>IF(ISNUMBER(SnapshotTable[[#This Row],[Equity Shares]]),TRUNC(SnapshotTable[[#This Row],[Equity Shares]] / 100),0) + SnapshotTable[[#This Row],[LC Qty]]</f>
        <v>10</v>
      </c>
      <c r="EK364" s="147"/>
      <c r="EL364" s="138" t="str">
        <f>IF(SnapshotTable[[#This Row],[SC Exp Date]]&lt;&gt;"",TRUNC(SnapshotTable[[#This Row],[Last Price]]),"")</f>
        <v/>
      </c>
      <c r="EM364" s="148"/>
      <c r="EN364" s="147"/>
      <c r="EO364" s="147"/>
      <c r="EP364" s="138"/>
      <c r="EQ364" s="419" t="b">
        <f>AND(ISNUMBER(SnapshotTable[[#This Row],[SC Exp Date]]), ISNUMBER(SnapshotTable[[#This Row],[SC Strike Price]]), ISNUMBER(SnapshotTable[[#This Row],[SC Qty]]), ISNUMBER(SnapshotTable[[#This Row],[SC Book Date]]), ISNUMBER(SnapshotTable[[#This Row],[SC Book Price]]))</f>
        <v>0</v>
      </c>
      <c r="ER364" s="419" t="b">
        <f>AND(SnapshotTable[[#This Row],[SC Is Booked]], NOT(ISBLANK(SnapshotTable[[#This Row],[SC Fill Date]])))</f>
        <v>0</v>
      </c>
      <c r="ES364" s="370"/>
      <c r="ET364" s="34" t="str">
        <f>IF(AND(ISNUMBER(SnapshotTable[[#This Row],[SC Exp Date]]), ISNUMBER(SnapshotTable[[#This Row],[SC Book Date]])), SnapshotTable[[#This Row],[SC Exp Date]] - MAX(SnapshotTable[[#This Row],[SC Book Date]], SnapshotTable[[#This Row],[SC Fill Date]]) + 1, "")</f>
        <v/>
      </c>
      <c r="EU364" s="34" t="str">
        <f>IF(ISNUMBER(SnapshotTable[[#This Row],[SC Term]]), SnapshotTable[[#This Row],[SC Exp Date]]- MockToday, "")</f>
        <v/>
      </c>
      <c r="EV364" s="31">
        <f>IF(SnapshotTable[[#This Row],[SC Is Booked]], SnapshotTable[[#This Row],[SC Qty]] * SnapshotTable[[#This Row],[SC Book Price]] * 100, 0)</f>
        <v>0</v>
      </c>
      <c r="EW364" s="4" t="str">
        <f>IF(AND(ISNUMBER(SnapshotTable[[#This Row],[Last Price]]), ISNUMBER( SnapshotTable[[#This Row],[SC Book Price]])), SnapshotTable[[#This Row],[Last Price]] - SnapshotTable[[#This Row],[SC Book Price]],"")</f>
        <v/>
      </c>
      <c r="EX364" s="234" t="str">
        <f>IF(SnapshotTable[[#This Row],[SC Is Booked]],IF(SnapshotTable[[#This Row],[SC Intrinsic Value]] &gt; 0, SnapshotTable[[#This Row],[SC Strike Price]], SnapshotTable[[#This Row],[Last Price]]), "")</f>
        <v/>
      </c>
      <c r="EY364" s="4">
        <f>IF(SnapshotTable[[#This Row],[SC Is Booked]], (MinimumPremiumRequired * SnapshotTable[[#This Row],[SC Basis]] * SnapshotTable[[#This Row],[SC Term]]), 0)</f>
        <v>0</v>
      </c>
      <c r="EZ364" s="283"/>
      <c r="FA364" s="218"/>
      <c r="FB364" s="370"/>
      <c r="FC364" s="4">
        <f>IF(SnapshotTable[[#This Row],[SC Is Filled]], btc_max_buyback_amount(SnapshotTable[[#This Row],[SC Fill Date]],SnapshotTable[[#This Row],[SC Exp Date]], SnapshotTable[[#This Row],[SC Book Price]]),0)</f>
        <v>0</v>
      </c>
      <c r="FD364" s="5"/>
      <c r="FE364" s="144" t="str">
        <f>IF(SnapshotTable[[#This Row],[SC Is Filled]], btc_next_cutoff_date(SnapshotTable[[#This Row],[SC Fill Date]],SnapshotTable[[#This Row],[SC Exp Date]]),"")</f>
        <v/>
      </c>
      <c r="FF364" s="4" t="str" cm="1">
        <f t="array" ref="FF364">IF(SnapshotTable[[#This Row],[SC Is Filled]], btc_should_buy_back(SnapshotTable[[#This Row],[SC Fill Date]], SnapshotTable[[#This Row],[SC Exp Date]], SnapshotTable[[#This Row],[SC Book Price]], SnapshotTable[[#This Row],[SC Current Ask]], MockToday, SnapshotTable[[#This Row],[SC Buyback Override]]),"")</f>
        <v/>
      </c>
      <c r="FG364" s="4">
        <f>IF(SnapshotTable[[#This Row],[SC Is Filled]], MAX(0,SnapshotTable[[#This Row],[Last Price]]  - SnapshotTable[[#This Row],[SC Strike Price]]), 0)</f>
        <v>0</v>
      </c>
      <c r="FH364" s="382">
        <f>IF(SnapshotTable[[#This Row],[SC Is Filled]], IF(ISNUMBER(SnapshotTable[[#This Row],[SC Current Ask]]), SnapshotTable[[#This Row],[SC Current Ask]], SnapshotTable[[#This Row],[SC Book Price]]) - SnapshotTable[[#This Row],[SC Intrinsic Value]], 0)</f>
        <v>0</v>
      </c>
      <c r="FI364" s="143"/>
      <c r="FJ364" s="32" t="str">
        <f>IF(SnapshotTable[[#This Row],[SC Is Filled]],100 * SnapshotTable[[#This Row],[SC Qty]] * IF(ISNUMBER(SnapshotTable[[#This Row],[SC Buyback Override]]), SnapshotTable[[#This Row],[SC Buyback Override]], SnapshotTable[[#This Row],[SC Current Ask]]), "")</f>
        <v/>
      </c>
      <c r="FK364" s="250" t="str">
        <f>IF(SnapshotTable[[#This Row],[SC Time Val]]&gt;0, SnapshotTable[[#This Row],[SC Time Val]] / SnapshotTable[[#This Row],[Last Price]],"")</f>
        <v/>
      </c>
      <c r="FL364" s="302" t="str">
        <f>IF(SnapshotTable[[#This Row],[SC Is Booked]], ((SnapshotTable[[#This Row],[Last Price]] -SnapshotTable[[#This Row],[SC Strike Price]]) / SnapshotTable[[#This Row],[Last Price]]) * -1, "")</f>
        <v/>
      </c>
      <c r="FM364" s="157" t="str">
        <f>IF(SnapshotTable[[#This Row],[SC Is Booked]],  (SnapshotTable[[#This Row],[SC Qty]] * 100 * SnapshotTable[[#This Row],[SC Strike Price]]) - SnapshotTable[[#This Row],[SC Current Ask]], "")</f>
        <v/>
      </c>
      <c r="FN364"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4" s="157" t="str">
        <f>IF(AND(ISNUMBER(SnapshotTable[[#This Row],[SC Exercise Gross]]), ISNUMBER(SnapshotTable[[#This Row],[Equity Basis Per Share]] )), SnapshotTable[[#This Row],[SC Exercise Gross]] - SnapshotTable[[#This Row],[Equity Basis Total]] +  SnapshotTable[[#This Row],[SC Premium]], "")</f>
        <v/>
      </c>
      <c r="FP364" s="5" t="str">
        <f>IF(ISNUMBER(SnapshotTable[[#This Row],[SC Exercise Gross]]), (SnapshotTable[[#This Row],[SC Exercise Gross]]) / (SnapshotTable[[#This Row],[SC Qty]] * 100), "")</f>
        <v/>
      </c>
      <c r="FQ364" s="27" t="str">
        <f>IF(SnapshotTable[[#This Row],[SC Is Booked]],SnapshotTable[[#This Row],[SC Time Val]] /SnapshotTable[[#This Row],[SC Basis]], "")</f>
        <v/>
      </c>
      <c r="FR364" s="27" t="str" cm="1">
        <f t="array" ref="FR364">IF(AND(ISNUMBER(SnapshotTable[[#This Row],[SC Term]]),ISNUMBER(SnapshotTable[[#This Row],[SC Simple ROO]])), EllmanAnnualize(SnapshotTable[[#This Row],[SC DTE]], SnapshotTable[[#This Row],[SC Simple ROO]] ),"")</f>
        <v/>
      </c>
      <c r="FS364" s="4" t="e">
        <f>IF(SnapshotTable[[#This Row],[SC Strike Price]] &gt; SnapshotTable[[#This Row],[Last Price]], SnapshotTable[[#This Row],[SC Strike Price]] - SnapshotTable[[#This Row],[Last Price]],0)</f>
        <v>#VALUE!</v>
      </c>
      <c r="FT364" s="27" t="e">
        <f>IF(AND(ISNUMBER(SnapshotTable[[#This Row],[SC Upside Potential]]), SnapshotTable[[#This Row],[SC Upside Potential]] &gt; 0),(SnapshotTable[[#This Row],[SC Upside Potential]]/ SnapshotTable[[#This Row],[ACB]]),"")</f>
        <v>#VALUE!</v>
      </c>
      <c r="FU364" s="333" t="str">
        <f>IF(SnapshotTable[[#This Row],[SC Intrinsic Value]] &gt; 0,SnapshotTable[[#This Row],[SC Intrinsic Value]],"")</f>
        <v/>
      </c>
      <c r="FV364" s="27" t="str">
        <f>IF(AND( ISNUMBER( SnapshotTable[[#This Row],[ACB]]),ISNUMBER(SnapshotTable[[#This Row],[SC Downside Protect]])),SnapshotTable[[#This Row],[SC Downside Protect]] / SnapshotTable[[#This Row],[ACB]],"")</f>
        <v/>
      </c>
      <c r="FW364" s="236" t="str">
        <f>IF(AND(ISNUMBER(SnapshotTable[[#This Row],[SC Simple ROO]]),SnapshotTable[[#This Row],[SC Simple ROO]] &gt; 0), SnapshotTable[[#This Row],[SC Premium]] + (SnapshotTable[[#This Row],[SC Qty]] * SnapshotTable[[#This Row],[SC Upside Potential]]), "")</f>
        <v/>
      </c>
      <c r="FX364" s="302" t="str" cm="1">
        <f t="array" ref="FX364">IF(ISNUMBER(SnapshotTable[[#This Row],[SC Max Dollars]]), annualize(SnapshotTable[[#This Row],[SC Term]],(SnapshotTable[[#This Row],[SC Max Dollars]]/SnapshotTable[[#This Row],[SC Basis]])),"")</f>
        <v/>
      </c>
      <c r="FY364" s="236" t="str">
        <f>IF(AND(SnapshotTable[[#This Row],[SC Qty]]&gt;0,SnapshotTable[[#This Row],[SC Current Ask]]&gt;0), SnapshotTable[[#This Row],[SC Qty]] * SnapshotTable[[#This Row],[SC Current Ask]] * -100, "")</f>
        <v/>
      </c>
      <c r="FZ364" s="235" t="str">
        <f>IF(ISNUMBER((SnapshotTable[[#This Row],[SC Current Value]])), SnapshotTable[[#This Row],[SC Premium]] + SnapshotTable[[#This Row],[SC Current Value]], "")</f>
        <v/>
      </c>
      <c r="GA364" s="294" t="str">
        <f>IFERROR( IF(ISNUMBER((SnapshotTable[[#This Row],[SC Current Value]])), SnapshotTable[[#This Row],[SC Gain Loss]] / SnapshotTable[[#This Row],[SC Premium]], ""), "")</f>
        <v/>
      </c>
      <c r="GB364" s="42">
        <f>SnapshotTable[[#This Row],[Equity Shares]] * SaleSharesToConsiderPercentage</f>
        <v>200</v>
      </c>
      <c r="GC364" s="40">
        <f>SnapshotTable[[#This Row],[Long Term Target]] * SellingPriceToConsiderBasedOnTargetPercentage</f>
        <v>0</v>
      </c>
      <c r="GD364" s="40">
        <f>SnapshotTable[[#This Row],[Last Price]] * (1+ SellingPriceToConsiderBasedOnTargetPercentage)</f>
        <v>0.76946999999999999</v>
      </c>
      <c r="GE364" s="41"/>
      <c r="GF364" s="40"/>
      <c r="GG364" s="31">
        <f>SnapshotTable[[#This Row],[Booked Sale Shares]] * SnapshotTable[[#This Row],[Booked Sale Price]]</f>
        <v>0</v>
      </c>
      <c r="GH364" s="31">
        <f>IF(SnapshotTable[[#This Row],[Equity Basis Total]] &gt; 0, SnapshotTable[[#This Row],[Equity Basis Per Share]] * SnapshotTable[[#This Row],[Booked Sale Shares]], "")</f>
        <v>0</v>
      </c>
      <c r="GI364" s="31">
        <f>IF(SnapshotTable[[#This Row],[Sale Proceeds]]&gt;0, SnapshotTable[[#This Row],[Sale Proceeds]] - SnapshotTable[[#This Row],[Sale Basis]], 0)</f>
        <v>0</v>
      </c>
      <c r="GJ364" s="158" t="str">
        <f>IF(SnapshotTable[[#This Row],[Sale G/L]]&gt;0, SnapshotTable[[#This Row],[Sale G/L]] / SnapshotTable[[#This Row],[Sale Basis]], IF(ISNUMBER(SnapshotTable[[#This Row],[SC Exercise P&amp;L (TAX)]]), SnapshotTable[[#This Row],[SC Exercise P&amp;L (TAX)]] / SnapshotTable[[#This Row],[SC Basis]], ""))</f>
        <v/>
      </c>
      <c r="GK364" s="27"/>
      <c r="GL364" s="159" t="str">
        <f>IF(AND(SnapshotTable[[#This Row],[LP Exp Date]]&gt;0,SnapshotTable[[#This Row],[LP Strike Price]]&gt;0), [1]!ToOptionSymbol(SnapshotTable[[#This Row],[Symbol]], SnapshotTable[[#This Row],[LP Strike Price]],SnapshotTable[[#This Row],[LP Exp Date]],1), "")</f>
        <v/>
      </c>
      <c r="GM364" s="30" t="str">
        <f>IF(LEN(SnapshotTable[[#This Row],[LP Symbol]])&gt;0, 1, "")</f>
        <v/>
      </c>
      <c r="GN364" s="43" t="str">
        <f>IF(AND(SnapshotTable[[#This Row],[SP Exp Date]]&gt;0,SnapshotTable[[#This Row],[SP Strike Price]]&gt;0), [1]!ToOptionSymbol(SnapshotTable[[#This Row],[Symbol]], SnapshotTable[[#This Row],[SP Strike Price]],SnapshotTable[[#This Row],[SP Exp Date]],1), "")</f>
        <v/>
      </c>
      <c r="GO364" s="30" t="str">
        <f>IF(LEN(SnapshotTable[[#This Row],[SP Symbol]])&gt;0, 1, "")</f>
        <v/>
      </c>
      <c r="GP364" s="159" t="str">
        <f>IF(AND(SnapshotTable[[#This Row],[LC Exp Date]]&gt;0,SnapshotTable[[#This Row],[LC Strike Price]]&gt;0), [1]!ToOptionSymbol(SnapshotTable[[#This Row],[Symbol]], SnapshotTable[[#This Row],[LC Strike Price]],SnapshotTable[[#This Row],[LC Exp Date]],0), "")</f>
        <v/>
      </c>
      <c r="GQ364" s="160" t="str">
        <f>IF(LEN(SnapshotTable[[#This Row],[LC Symbol]])&gt;0, 1, "")</f>
        <v/>
      </c>
      <c r="GR364" s="159" t="str">
        <f>IF(AND(SnapshotTable[[#This Row],[SC Exp Date]]&gt;0,SnapshotTable[[#This Row],[SC Strike Price]]&gt;0), [1]!ToOptionSymbol(SnapshotTable[[#This Row],[Symbol]], SnapshotTable[[#This Row],[SC Strike Price]],SnapshotTable[[#This Row],[SC Exp Date]],0), "")</f>
        <v/>
      </c>
      <c r="GS364" s="160" t="str">
        <f>IF(LEN(SnapshotTable[[#This Row],[SC Symbol]])&gt;0, 1, "")</f>
        <v/>
      </c>
      <c r="GT364" s="161" t="str">
        <f>IF(COUNT(SnapshotTable[[#This Row],[LP Symbol Count]],SnapshotTable[[#This Row],[SP Symbol Count]],SnapshotTable[[#This Row],[LC Symbol Count]],SnapshotTable[[#This Row],[SC Symbol Count]])&gt;0, "Y", "")</f>
        <v/>
      </c>
      <c r="GU36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64" s="231" t="e">
        <f>MAX(SnapshotTable[[#This Row],[Equity Basis Total]],SnapshotTable[[#This Row],[Equity Value]]) + (SnapshotTable[[#This Row],[SP Potential Spend]]- SnapshotTable[[#This Row],[SP Premium]] + SnapshotTable[[#This Row],[LP Premium]])+ (SnapshotTable[[#This Row],[LC Premium]] - SnapshotTable[[#This Row],[SC Premium]])</f>
        <v>#VALUE!</v>
      </c>
      <c r="GW364" s="139" t="e">
        <f>IF(AND(SnapshotTable[[#This Row],[Exposure]] &lt;&gt; 0),SnapshotTable[[#This Row],[Exposure]] / SnapshotTable[[#Totals],[Exposure]], "")</f>
        <v>#VALUE!</v>
      </c>
      <c r="HK364" s="1"/>
      <c r="HL364" s="1"/>
      <c r="HM364" s="1"/>
      <c r="HN364" s="1"/>
      <c r="HO364" s="1"/>
      <c r="HP364" s="1"/>
    </row>
    <row r="365" spans="2:224" ht="12.75" hidden="1" customHeight="1" x14ac:dyDescent="0.25">
      <c r="B365" s="12" t="s">
        <v>65</v>
      </c>
      <c r="C365" s="422">
        <v>94.37</v>
      </c>
      <c r="D365" s="208"/>
      <c r="E365" s="39">
        <f>SnapshotTable[[#This Row],[Last Price]]*(1 -CrashDiscount)</f>
        <v>80.214500000000001</v>
      </c>
      <c r="F365" s="26" t="s">
        <v>64</v>
      </c>
      <c r="G365" s="26" t="s">
        <v>14</v>
      </c>
      <c r="H365" s="149"/>
      <c r="I365" s="194">
        <v>44782.666666666664</v>
      </c>
      <c r="J365" s="195">
        <v>44782.666666666664</v>
      </c>
      <c r="K365" s="196"/>
      <c r="L365" s="326"/>
      <c r="M365" s="140"/>
      <c r="N365" s="140"/>
      <c r="O365" s="140">
        <v>1</v>
      </c>
      <c r="P365" s="22"/>
      <c r="Q365" s="25"/>
      <c r="R365" s="4" t="str">
        <f>IF(SnapshotTable[[#This Row],[Equity Basis Total]] &gt; 0, SnapshotTable[[#This Row],[Equity Basis Total]] / SnapshotTable[[#This Row],[Equity Shares]], "")</f>
        <v/>
      </c>
      <c r="S365" s="269">
        <f>SnapshotTable[[#This Row],[Last Price]] * SnapshotTable[[#This Row],[Equity Shares]]</f>
        <v>0</v>
      </c>
      <c r="T365" s="269">
        <f>SnapshotTable[[#This Row],[Equity Value]] - SnapshotTable[[#This Row],[Equity Basis Total]]</f>
        <v>0</v>
      </c>
      <c r="U365" s="270" t="str">
        <f>IF(SnapshotTable[[#This Row],[Equity Basis Total]] &gt; 0, SnapshotTable[[#This Row],[Equity G/L]] / SnapshotTable[[#This Row],[Equity Basis Total]], "")</f>
        <v/>
      </c>
      <c r="V365" s="268"/>
      <c r="W365" s="268"/>
      <c r="X365" s="4" t="str">
        <f>IF(AND(ISNUMBER(SnapshotTable[[#This Row],[Equity Basis Per Share]]),ISNUMBER(SnapshotTable[[#This Row],[Equity Target]])),SnapshotTable[[#This Row],[Equity Target]]-SnapshotTable[[#This Row],[Equity Basis Per Share]],"")</f>
        <v/>
      </c>
      <c r="Y365" s="4" t="str">
        <f>IF(AND(ISNUMBER(SnapshotTable[[#This Row],[Equity Basis Per Share]]),ISNUMBER(SnapshotTable[[#This Row],[Equity Stop Loss]])),SnapshotTable[[#This Row],[Equity Stop Loss]]-SnapshotTable[[#This Row],[Equity Basis Per Share]],"")</f>
        <v/>
      </c>
      <c r="Z365" s="275" t="str">
        <f>IFERROR( TEXT(SnapshotTable[[#This Row],[Equity Max Gain Per Share]] /ABS( SnapshotTable[[#This Row],[Equity Max Loss Per Share]]),"0.0 " ) &amp; " : 1", "")</f>
        <v/>
      </c>
      <c r="AA365" s="31" t="str">
        <f>IF(ISNUMBER(SnapshotTable[[#This Row],[Equity Max Gain Per Share]]),SnapshotTable[[#This Row],[Equity Max Gain Per Share]] * SnapshotTable[[#This Row],[Equity Shares]],"")</f>
        <v/>
      </c>
      <c r="AB365" s="31" t="str">
        <f>IF(ISNUMBER(SnapshotTable[[#This Row],[Equity Max Loss Per Share]]),SnapshotTable[[#This Row],[Equity Max Loss Per Share]] * SnapshotTable[[#This Row],[Equity Shares]],"")</f>
        <v/>
      </c>
      <c r="AC365" s="150">
        <v>2</v>
      </c>
      <c r="AD365" s="151">
        <v>42794</v>
      </c>
      <c r="AE365" s="31">
        <f>(SnapshotTable[[#This Row],[Annual Dividend Per Share]] / 4) * SnapshotTable[[#This Row],[Equity Shares]]</f>
        <v>0</v>
      </c>
      <c r="AF365" s="31">
        <f>SnapshotTable[[#This Row],[Quarterly Div $]] * 4</f>
        <v>0</v>
      </c>
      <c r="AG365" s="7">
        <f>IF(SnapshotTable[[#This Row],[Annual Dividend Per Share]]&gt;0, SnapshotTable[[#This Row],[Annual Dividend Per Share]]  / SnapshotTable[[#This Row],[Last Price]], 0)</f>
        <v>2.119317579739324E-2</v>
      </c>
      <c r="AH365" s="151">
        <v>42863</v>
      </c>
      <c r="AI365" s="5"/>
      <c r="AJ365" s="138">
        <v>117.81</v>
      </c>
      <c r="AK365" s="152" t="str">
        <f>IF(ISNUMBER( SnapshotTable[[#This Row],[EBF Target]]),(SnapshotTable[[#This Row],[EBF Target]] - SnapshotTable[[#This Row],[Last Price]]) / SnapshotTable[[#This Row],[Last Price]], "")</f>
        <v/>
      </c>
      <c r="AL365" s="152" t="str">
        <f>IF(AND(SnapshotTable[[#This Row],[Equity Basis Total]] &gt; 0,ISNUMBER( SnapshotTable[[#This Row],[Long Term Target]])), SnapshotTable[[#This Row],[From Basis $]] / SnapshotTable[[#This Row],[Equity Basis Total]], "")</f>
        <v/>
      </c>
      <c r="AM365" s="9">
        <f>IF( AND(SnapshotTable[[#This Row],[Equity Shares]] &gt;0,ISNUMBER( SnapshotTable[[#This Row],[Long Term Target]])),(SnapshotTable[[#This Row],[Equity Shares]] * SnapshotTable[[#This Row],[Long Term Target]]) - SnapshotTable[[#This Row],[Equity Basis Total]],0)</f>
        <v>0</v>
      </c>
      <c r="AN365" s="9">
        <f>IF( AND(SnapshotTable[[#This Row],[Equity Shares]] &gt;0,ISNUMBER( SnapshotTable[[#This Row],[Long Term Target]])),(SnapshotTable[[#This Row],[Equity Shares]]*SnapshotTable[[#This Row],[Long Term Target]]) - SnapshotTable[[#This Row],[Equity Value]],0)</f>
        <v>0</v>
      </c>
      <c r="AO365" s="152">
        <f>IF(AND(ISNUMBER( SnapshotTable[[#This Row],[Long Term Target]]), ISNUMBER(SnapshotTable[[#This Row],[Last Price]])),(SnapshotTable[[#This Row],[Long Term Target]] - SnapshotTable[[#This Row],[Last Price]]) / SnapshotTable[[#This Row],[Last Price]], "")</f>
        <v>0.24838402034544874</v>
      </c>
      <c r="AP365" s="5">
        <v>95</v>
      </c>
      <c r="AQ365" s="38" t="s">
        <v>45</v>
      </c>
      <c r="AR365" s="5">
        <v>95</v>
      </c>
      <c r="AS365" s="38" t="s">
        <v>46</v>
      </c>
      <c r="AT365" s="146"/>
      <c r="AU365" s="187" t="str">
        <f>IF(OR(SnapshotTable[[#This Row],[LP No Fill]]="Y",SnapshotTable[[#This Row],[SP Is Filled]],SnapshotTable[[#This Row],[LC Not Filled]]="Y",SnapshotTable[[#This Row],[SC Is Filled]]),"Y","")</f>
        <v/>
      </c>
      <c r="AV365" s="219"/>
      <c r="AW365" s="225"/>
      <c r="AX365" s="220"/>
      <c r="AY365" s="219" t="str">
        <f>IF(SnapshotTable[[#This Row],[Implied Move]]&gt;0, SnapshotTable[[#This Row],[Last Price]]-SnapshotTable[[#This Row],[Implied Move]],"")</f>
        <v/>
      </c>
      <c r="AZ365" s="219" t="str">
        <f>IF(SnapshotTable[[#This Row],[Implied Move]]&gt;0, SnapshotTable[[#This Row],[Last Price]] + SnapshotTable[[#This Row],[Implied Move]],"")</f>
        <v/>
      </c>
      <c r="BA365" s="331"/>
      <c r="BB365" s="347"/>
      <c r="BC36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5" s="351"/>
      <c r="BE365" s="5"/>
      <c r="BF365" s="14"/>
      <c r="BG365" s="13"/>
      <c r="BH365" s="13"/>
      <c r="BI365" s="5"/>
      <c r="BJ365" s="136">
        <f>IF(SnapshotTable[[#This Row],[LP Qty]] &gt; 0, SnapshotTable[[#This Row],[LP Qty]] * SnapshotTable[[#This Row],[LP Book Price]] * 100,0)</f>
        <v>0</v>
      </c>
      <c r="BK365" s="136">
        <f>IF(SnapshotTable[[#This Row],[LP Premium]] &gt; 0, SnapshotTable[[#This Row],[LP Qty]] * SnapshotTable[[#This Row],[LP Strike Price]] * 100,0)</f>
        <v>0</v>
      </c>
      <c r="BL365" s="154"/>
      <c r="BM365" s="385" t="str">
        <f>IF(SnapshotTable[[#This Row],[LP Premium]] &gt; 0,SnapshotTable[[#This Row],[LP Exp Date]]-MAX(SnapshotTable[[#This Row],[LP Book Date]], SnapshotTable[[#This Row],[LP Fill Date]]),"")</f>
        <v/>
      </c>
      <c r="BN365" s="385" t="str">
        <f>IF(ISNUMBER( SnapshotTable[[#This Row],[LP Term]]), SnapshotTable[[#This Row],[LP Exp Date]] - MockToday,"")</f>
        <v/>
      </c>
      <c r="BO365" s="163" t="str">
        <f>IF(AND(SnapshotTable[[#This Row],[LP Exp Date]]&gt;0, SnapshotTable[[#This Row],[LP Strike Price]]&gt;0,SnapshotTable[[#This Row],[LP Qty]]&gt;0,SnapshotTable[[#This Row],[LP Book Date]]&gt;0,SnapshotTable[[#This Row],[LP Book Price]]&gt;0,SnapshotTable[[#This Row],[LP Fill Date]]=0),"Y","")</f>
        <v/>
      </c>
      <c r="BP365" s="31" t="str">
        <f>IF(AND(SnapshotTable[[#This Row],[LP No Fill]]&lt;&gt;"Y",SnapshotTable[[#This Row],[LP Contract Value]]&gt;0, SnapshotTable[[#This Row],[LP Qty]]&gt;0), SnapshotTable[[#This Row],[LP Contract Value]]*SnapshotTable[[#This Row],[LP Qty]]*100,"")</f>
        <v/>
      </c>
      <c r="BQ365" s="13"/>
      <c r="BR365" s="5" t="str">
        <f>IF(SnapshotTable[[#This Row],[SP Exp Date]]&lt;&gt;"",TRUNC(SnapshotTable[[#This Row],[Last Price]]),"")</f>
        <v/>
      </c>
      <c r="BS365" s="36"/>
      <c r="BT365" s="147"/>
      <c r="BU365" s="13"/>
      <c r="BV365" s="5"/>
      <c r="BW365" s="419" t="b">
        <f>AND(ISNUMBER(SnapshotTable[[#This Row],[SP Exp Date]]), ISNUMBER(SnapshotTable[[#This Row],[SP Strike Price]]), ISNUMBER(SnapshotTable[[#This Row],[SP Qty]]), ISNUMBER(SnapshotTable[[#This Row],[SP Book Date]]), ISNUMBER(SnapshotTable[[#This Row],[SP Book Price]]))</f>
        <v>0</v>
      </c>
      <c r="BX365" s="419" t="b">
        <f>AND(SnapshotTable[[#This Row],[SP Is Booked]], NOT(ISBLANK(SnapshotTable[[#This Row],[SP Fill Date]])))</f>
        <v>0</v>
      </c>
      <c r="BY365" s="33">
        <f>IF(SnapshotTable[[#This Row],[SP Is Booked]], SnapshotTable[[#This Row],[SP Qty]] * SnapshotTable[[#This Row],[SP Book Price]] * 100, 0)</f>
        <v>0</v>
      </c>
      <c r="BZ365" s="369"/>
      <c r="CA365" s="368">
        <f>SnapshotTable[[#This Row],[LP Qty]]</f>
        <v>0</v>
      </c>
      <c r="CB365" s="4" t="str">
        <f>IF(SnapshotTable[[#This Row],[SP Is Booked]], SnapshotTable[[#This Row],[SP Strike Price]] - SnapshotTable[[#This Row],[SP Book Price]], "")</f>
        <v/>
      </c>
      <c r="CC365" s="19" t="str">
        <f>IF(SnapshotTable[[#This Row],[SP Is Booked]],SnapshotTable[[#This Row],[SP Exp Date]]-MAX(SnapshotTable[[#This Row],[SP Book Date]], SnapshotTable[[#This Row],[SP Fill Date]]),"")</f>
        <v/>
      </c>
      <c r="CD365" s="7" t="str">
        <f>IF(SnapshotTable[[#This Row],[SP Is Booked]], SnapshotTable[[#This Row],[SP Book Price]]/SnapshotTable[[#This Row],[SP Strike Price]], "")</f>
        <v/>
      </c>
      <c r="CE365" s="7" t="str">
        <f>IF(ISNUMBER(SnapshotTable[[#This Row],[SP ROO Term]]),SnapshotTable[[#This Row],[SP ROO Term]]*(365/SnapshotTable[[#This Row],[SP Term]]),"")</f>
        <v/>
      </c>
      <c r="CF365" s="236">
        <f>SnapshotTable[[#This Row],[LP Strike Price]] * SnapshotTable[[#This Row],[LP Qty]] * 100</f>
        <v>0</v>
      </c>
      <c r="CG365" s="31" t="e">
        <f>IF(ISNUMBER(SnapshotTable[[#This Row],[SP Premium]]), (SnapshotTable[[#This Row],[SP Qty]] * SnapshotTable[[#This Row],[SP Strike Price]]* 100) - SnapshotTable[[#This Row],[LP Protection]], 0)</f>
        <v>#VALUE!</v>
      </c>
      <c r="CH365" s="7" t="str">
        <f>IF(ISNUMBER(SnapshotTable[[#This Row],[SP Break Even]]),-1 * (SnapshotTable[[#This Row],[SP Break Even]] - SnapshotTable[[#This Row],[Last Price]]) / SnapshotTable[[#This Row],[Last Price]], "")</f>
        <v/>
      </c>
      <c r="CI365" s="31">
        <f>IF(AND(ISNUMBER((SnapshotTable[[#This Row],[SP Potential Spend]])), SnapshotTable[[#This Row],[SP Strike Price]] &gt; SnapshotTable[[#This Row],[Last Price]], SnapshotTable[[#This Row],[SP Is Filled]]), SnapshotTable[[#This Row],[SP Potential Spend]] -  SnapshotTable[[#This Row],[LP Max Value]], 0)</f>
        <v>0</v>
      </c>
      <c r="CJ365" s="244"/>
      <c r="CK365" s="31" t="str">
        <f>IF(ISNUMBER(SnapshotTable[[#This Row],[SP Potential Spend]]),IF(ISNUMBER(SnapshotTable[[#This Row],[SP POW]]), SnapshotTable[[#This Row],[SP POW]] * SnapshotTable[[#This Row],[SP Potential Spend]], SnapshotTable[[#This Row],[SP Potential Spend]]), "")</f>
        <v/>
      </c>
      <c r="CL365" s="164" t="e">
        <f>IF(NOT(SnapshotTable[[#This Row],[SP Is Filled]]),(SnapshotTable[[#This Row],[SP Qty]] * SnapshotTable[[#This Row],[SP Strike Price]] * 100) - SnapshotTable[[#This Row],[LP Max Value]],"")</f>
        <v>#VALUE!</v>
      </c>
      <c r="CM365" s="31" t="str">
        <f>IF(SnapshotTable[[#This Row],[SP Actual Spend]]&lt;&gt;0, ((SnapshotTable[[#This Row],[SP Strike Price]]-SnapshotTable[[#This Row],[Last Price]]) *(SnapshotTable[[#This Row],[SP Qty]]*100) - SnapshotTable[[#This Row],[SP Premium]]) * - 1, "")</f>
        <v/>
      </c>
      <c r="CN365" s="78"/>
      <c r="CO365" s="369"/>
      <c r="CP365" s="4" t="str">
        <f>IF(SnapshotTable[[#This Row],[SP Is Filled]], btc_max_buyback_amount(SnapshotTable[[#This Row],[SP Fill Date]],SnapshotTable[[#This Row],[SP Exp Date]], SnapshotTable[[#This Row],[SP Book Price]]),"")</f>
        <v/>
      </c>
      <c r="CQ365" s="78"/>
      <c r="CR36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5" s="155" t="str">
        <f>IF(SnapshotTable[[#This Row],[SP Is Filled]], btc_next_cutoff_date(SnapshotTable[[#This Row],[SP Fill Date]],SnapshotTable[[#This Row],[SP Exp Date]]),"")</f>
        <v/>
      </c>
      <c r="CT365" s="235" t="str" cm="1">
        <f t="array" ref="CT365">IF(SnapshotTable[[#This Row],[SP Is Filled]], btc_should_buy_back(SnapshotTable[[#This Row],[SP Fill Date]], SnapshotTable[[#This Row],[SP Exp Date]], SnapshotTable[[#This Row],[SP Book Price]], SnapshotTable[[#This Row],[SP Current Ask]], MockToday, SnapshotTable[[#This Row],[SP Buyback Override]]),"")</f>
        <v/>
      </c>
      <c r="CU365" s="143"/>
      <c r="CV365" s="235"/>
      <c r="CW365" s="378" t="str">
        <f>IF(ISNUMBER( SnapshotTable[[#This Row],[SP Term]]), SnapshotTable[[#This Row],[SP Exp Date]] - MockToday,"")</f>
        <v/>
      </c>
      <c r="CX365" s="31" t="str">
        <f>IF(SnapshotTable[[#This Row],[SP Is Filled]],SnapshotTable[[#This Row],[SP Buyback Price to Use]] * 100 * SnapshotTable[[#This Row],[SP Qty]], "")</f>
        <v/>
      </c>
      <c r="CY365" s="4" t="str">
        <f>IF(ISNUMBER(SnapshotTable[[#This Row],[SP Strike Price]]), SnapshotTable[[#This Row],[SP Strike Price]] * (1 - SP_MaxLoss_StrikePct), "")</f>
        <v/>
      </c>
      <c r="CZ365" s="31" t="str">
        <f>IF(ISNUMBER(SnapshotTable[[#This Row],[SP Strike  Stop Per Share]]),SnapshotTable[[#This Row],[SP Premium]] - ((SnapshotTable[[#This Row],[SP Strike Price]]-SnapshotTable[[#This Row],[SP Strike  Stop Per Share]]) *(SnapshotTable[[#This Row],[SP Qty]] * 100)),"")</f>
        <v/>
      </c>
      <c r="DA365" s="4" t="str">
        <f>IF(AND(ISNUMBER(SnapshotTable[[#This Row],[SP Premium]]),SnapshotTable[[#This Row],[SP Premium]]&gt;0), SnapshotTable[[#This Row],[SP Book Price]] * (1 + SP_MaxLoss_OptionPct), "")</f>
        <v/>
      </c>
      <c r="DB365" s="31" t="str">
        <f>IF(ISNUMBER(SnapshotTable[[#This Row],[SP Option  Stop Contract]]),(SnapshotTable[[#This Row],[SP Option  Stop Contract]] *(SnapshotTable[[#This Row],[SP Qty]] * 100) - SnapshotTable[[#This Row],[SP Premium]]),"")</f>
        <v/>
      </c>
      <c r="DC365" s="4"/>
      <c r="DD365" s="4"/>
      <c r="DE365" s="4" t="str">
        <f>IF(AND(SnapshotTable[[#This Row],[SP Qty]]&gt;0, SnapshotTable[[#This Row],[SP Stop To Use]]&gt;0),SnapshotTable[[#This Row],[SP Premium]] - ( SnapshotTable[[#This Row],[SP Qty]] * SnapshotTable[[#This Row],[SP Stop To Use]] * 100), "")</f>
        <v/>
      </c>
      <c r="DF365" s="31" t="str">
        <f>IF(AND(SnapshotTable[[#This Row],[SP Qty]]&gt;0,SnapshotTable[[#This Row],[SP Current Ask]]&gt;0), SnapshotTable[[#This Row],[SP Qty]] * SnapshotTable[[#This Row],[SP Current Ask]] * -100, "")</f>
        <v/>
      </c>
      <c r="DG365" s="31" t="str">
        <f>IF(ISNUMBER((SnapshotTable[[#This Row],[SP Total Value]])), SnapshotTable[[#This Row],[SP Premium]] + SnapshotTable[[#This Row],[SP Total Value]], "")</f>
        <v/>
      </c>
      <c r="DH365" s="294" t="str">
        <f>IF(ISNUMBER((SnapshotTable[[#This Row],[SP Total Value]])), SnapshotTable[[#This Row],[SP Gain Loss]] / SnapshotTable[[#This Row],[SP Premium]], "")</f>
        <v/>
      </c>
      <c r="DI365" s="406"/>
      <c r="DJ365" s="138"/>
      <c r="DK365" s="148"/>
      <c r="DL365" s="13"/>
      <c r="DM365" s="13"/>
      <c r="DO365" s="31">
        <f>IF(SnapshotTable[[#This Row],[LC Symbol Count]]=1, SnapshotTable[[#This Row],[LC Qty]] * SnapshotTable[[#This Row],[LC Book Price]] * 100, 0)</f>
        <v>0</v>
      </c>
      <c r="DP365" s="163" t="str">
        <f>IF(AND(SnapshotTable[[#This Row],[LC Exp Date]]&gt;0, SnapshotTable[[#This Row],[LC Strike Price]]&gt;0,SnapshotTable[[#This Row],[LC Qty]]&gt;0,SnapshotTable[[#This Row],[LC Book Date]]&gt;0,SnapshotTable[[#This Row],[LC Book Price]]&gt;0,SnapshotTable[[#This Row],[LC Fill Date]]=0),"Y","")</f>
        <v/>
      </c>
      <c r="DQ365" s="386" t="str">
        <f>IF(SnapshotTable[[#This Row],[LC Premium]] &gt; 0,SnapshotTable[[#This Row],[LC Exp Date]]-MAX(SnapshotTable[[#This Row],[LC Book Date]], SnapshotTable[[#This Row],[LC Fill Date]]),"")</f>
        <v/>
      </c>
      <c r="DR365" s="386" t="str">
        <f>IF(ISNUMBER(SnapshotTable[[#This Row],[LC Term]]), SnapshotTable[[#This Row],[LC Exp Date]] - MockToday, "")</f>
        <v/>
      </c>
      <c r="DS365" s="234" t="str">
        <f>IF(SnapshotTable[[#This Row],[LC Premium]]&gt;0,SnapshotTable[[#This Row],[LC Strike Price]] + SnapshotTable[[#This Row],[LC Book Price]],"")</f>
        <v/>
      </c>
      <c r="DU365" s="9" t="str">
        <f>IF(AND(SnapshotTable[[#This Row],[LC Symbol Count]]&gt;0, SnapshotTable[[#This Row],[LC Contract Value]]&gt;0), SnapshotTable[[#This Row],[LC Contract Value]] * SnapshotTable[[#This Row],[LC Qty]] * 100, "")</f>
        <v/>
      </c>
      <c r="DV365" s="9" t="str">
        <f>IF(AND(ISNUMBER(SnapshotTable[[#This Row],[LC Total Value]]), SnapshotTable[[#This Row],[LC Not Filled]]&lt;&gt;"Y"), SnapshotTable[[#This Row],[LC Total Value]]-SnapshotTable[[#This Row],[LC Premium]],"")</f>
        <v/>
      </c>
      <c r="DW365" s="240" t="str">
        <f>IF(ISNUMBER(SnapshotTable[[#This Row],[LC Actual Gain Loss]]), SnapshotTable[[#This Row],[LC Actual Gain Loss]] / SnapshotTable[[#This Row],[LC Premium]],"")</f>
        <v/>
      </c>
      <c r="DX365" s="284" t="str">
        <f>IF(ISNUMBER(SnapshotTable[[#This Row],[LC Book Price]]),SnapshotTable[[#This Row],[LC Book Price]] * 1.5,"")</f>
        <v/>
      </c>
      <c r="DY365" s="265" t="str">
        <f>IF(SnapshotTable[[#This Row],[LC Premium]]&gt;0, SnapshotTable[[#This Row],[LC Next Target]] * SnapshotTable[[#This Row],[LC Qty]] * 100,"")</f>
        <v/>
      </c>
      <c r="DZ365" s="265" t="str">
        <f>IF(ISNUMBER(SnapshotTable[[#This Row],[LC Target Gross]]), SnapshotTable[[#This Row],[LC Target Gross]] - SnapshotTable[[#This Row],[LC Premium]], "")</f>
        <v/>
      </c>
      <c r="EA365" s="305" t="str">
        <f>IF(ISNUMBER(SnapshotTable[[#This Row],[LC Target Gain Loss]]), SnapshotTable[[#This Row],[LC Target Gain Loss]]/SnapshotTable[[#This Row],[LC Premium]], "")</f>
        <v/>
      </c>
      <c r="EB365" s="262"/>
      <c r="EC365" s="283" t="str">
        <f>IF(SnapshotTable[[#This Row],[LC Premium]]&gt;0, SnapshotTable[[#This Row],[LC Book Price]] * (1 - LC_StopLoss_Pct),"")</f>
        <v/>
      </c>
      <c r="ED365" s="284"/>
      <c r="EE365" s="283" t="str">
        <f>IF(ISNUMBER(SnapshotTable[[#This Row],[LC Contract Value]]),IF(ISNUMBER(SnapshotTable[[#This Row],[LC Stop Loss Override]]), SnapshotTable[[#This Row],[LC Stop Loss Override]],SnapshotTable[[#This Row],[LC Stop Loss Calc Target]]),"")</f>
        <v/>
      </c>
      <c r="EF365" s="31" t="str">
        <f>IF(ISNUMBER(SnapshotTable[[#This Row],[LC Stop  To Use]]), (SnapshotTable[[#This Row],[LC Stop  To Use]] * SnapshotTable[[#This Row],[LC Qty]] * 100),"")</f>
        <v/>
      </c>
      <c r="EG365" s="9" t="str">
        <f>IF(ISNUMBER(SnapshotTable[[#This Row],[LC Total Value]]),SnapshotTable[[#This Row],[LC Stop Loss Amount]] - SnapshotTable[[#This Row],[LC Premium]],"")</f>
        <v/>
      </c>
      <c r="EH365" s="9">
        <f>IF(ISNUMBER(SnapshotTable[[#This Row],[LC Premium]]), SnapshotTable[[#This Row],[LC Qty]] * 100 * SnapshotTable[[#This Row],[LC Strike Price]], "")</f>
        <v>0</v>
      </c>
      <c r="EI365" s="240" t="str">
        <f>IF(AND(ISNUMBER(SnapshotTable[[#This Row],[LC Total Value]]),SnapshotTable[[#This Row],[LC Total Value]]&gt;0),SnapshotTable[[#This Row],[LC Stop Gain Loss]]  / SnapshotTable[[#This Row],[LC Premium]],"")</f>
        <v/>
      </c>
      <c r="EJ365" s="35">
        <f>IF(ISNUMBER(SnapshotTable[[#This Row],[Equity Shares]]),TRUNC(SnapshotTable[[#This Row],[Equity Shares]] / 100),0) + SnapshotTable[[#This Row],[LC Qty]]</f>
        <v>0</v>
      </c>
      <c r="EK365" s="147"/>
      <c r="EL365" s="138" t="str">
        <f>IF(SnapshotTable[[#This Row],[SC Exp Date]]&lt;&gt;"",TRUNC(SnapshotTable[[#This Row],[Last Price]]),"")</f>
        <v/>
      </c>
      <c r="EM365" s="148"/>
      <c r="EN365" s="147"/>
      <c r="EO365" s="147"/>
      <c r="EP365" s="138"/>
      <c r="EQ365" s="419" t="b">
        <f>AND(ISNUMBER(SnapshotTable[[#This Row],[SC Exp Date]]), ISNUMBER(SnapshotTable[[#This Row],[SC Strike Price]]), ISNUMBER(SnapshotTable[[#This Row],[SC Qty]]), ISNUMBER(SnapshotTable[[#This Row],[SC Book Date]]), ISNUMBER(SnapshotTable[[#This Row],[SC Book Price]]))</f>
        <v>0</v>
      </c>
      <c r="ER365" s="419" t="b">
        <f>AND(SnapshotTable[[#This Row],[SC Is Booked]], NOT(ISBLANK(SnapshotTable[[#This Row],[SC Fill Date]])))</f>
        <v>0</v>
      </c>
      <c r="ES365" s="370"/>
      <c r="ET365" s="34" t="str">
        <f>IF(AND(ISNUMBER(SnapshotTable[[#This Row],[SC Exp Date]]), ISNUMBER(SnapshotTable[[#This Row],[SC Book Date]])), SnapshotTable[[#This Row],[SC Exp Date]] - MAX(SnapshotTable[[#This Row],[SC Book Date]], SnapshotTable[[#This Row],[SC Fill Date]]) + 1, "")</f>
        <v/>
      </c>
      <c r="EU365" s="34" t="str">
        <f>IF(ISNUMBER(SnapshotTable[[#This Row],[SC Term]]), SnapshotTable[[#This Row],[SC Exp Date]]- MockToday, "")</f>
        <v/>
      </c>
      <c r="EV365" s="31">
        <f>IF(SnapshotTable[[#This Row],[SC Is Booked]], SnapshotTable[[#This Row],[SC Qty]] * SnapshotTable[[#This Row],[SC Book Price]] * 100, 0)</f>
        <v>0</v>
      </c>
      <c r="EW365" s="4" t="str">
        <f>IF(AND(ISNUMBER(SnapshotTable[[#This Row],[Last Price]]), ISNUMBER( SnapshotTable[[#This Row],[SC Book Price]])), SnapshotTable[[#This Row],[Last Price]] - SnapshotTable[[#This Row],[SC Book Price]],"")</f>
        <v/>
      </c>
      <c r="EX365" s="234" t="str">
        <f>IF(SnapshotTable[[#This Row],[SC Is Booked]],IF(SnapshotTable[[#This Row],[SC Intrinsic Value]] &gt; 0, SnapshotTable[[#This Row],[SC Strike Price]], SnapshotTable[[#This Row],[Last Price]]), "")</f>
        <v/>
      </c>
      <c r="EY365" s="4">
        <f>IF(SnapshotTable[[#This Row],[SC Is Booked]], (MinimumPremiumRequired * SnapshotTable[[#This Row],[SC Basis]] * SnapshotTable[[#This Row],[SC Term]]), 0)</f>
        <v>0</v>
      </c>
      <c r="EZ365" s="283"/>
      <c r="FA365" s="218"/>
      <c r="FB365" s="370"/>
      <c r="FC365" s="4">
        <f>IF(SnapshotTable[[#This Row],[SC Is Filled]], btc_max_buyback_amount(SnapshotTable[[#This Row],[SC Fill Date]],SnapshotTable[[#This Row],[SC Exp Date]], SnapshotTable[[#This Row],[SC Book Price]]),0)</f>
        <v>0</v>
      </c>
      <c r="FD365" s="5"/>
      <c r="FE365" s="144" t="str">
        <f>IF(SnapshotTable[[#This Row],[SC Is Filled]], btc_next_cutoff_date(SnapshotTable[[#This Row],[SC Fill Date]],SnapshotTable[[#This Row],[SC Exp Date]]),"")</f>
        <v/>
      </c>
      <c r="FF365" s="4" t="str" cm="1">
        <f t="array" ref="FF365">IF(SnapshotTable[[#This Row],[SC Is Filled]], btc_should_buy_back(SnapshotTable[[#This Row],[SC Fill Date]], SnapshotTable[[#This Row],[SC Exp Date]], SnapshotTable[[#This Row],[SC Book Price]], SnapshotTable[[#This Row],[SC Current Ask]], MockToday, SnapshotTable[[#This Row],[SC Buyback Override]]),"")</f>
        <v/>
      </c>
      <c r="FG365" s="4">
        <f>IF(SnapshotTable[[#This Row],[SC Is Filled]], MAX(0,SnapshotTable[[#This Row],[Last Price]]  - SnapshotTable[[#This Row],[SC Strike Price]]), 0)</f>
        <v>0</v>
      </c>
      <c r="FH365" s="382">
        <f>IF(SnapshotTable[[#This Row],[SC Is Filled]], IF(ISNUMBER(SnapshotTable[[#This Row],[SC Current Ask]]), SnapshotTable[[#This Row],[SC Current Ask]], SnapshotTable[[#This Row],[SC Book Price]]) - SnapshotTable[[#This Row],[SC Intrinsic Value]], 0)</f>
        <v>0</v>
      </c>
      <c r="FI365" s="143"/>
      <c r="FJ365" s="32" t="str">
        <f>IF(SnapshotTable[[#This Row],[SC Is Filled]],100 * SnapshotTable[[#This Row],[SC Qty]] * IF(ISNUMBER(SnapshotTable[[#This Row],[SC Buyback Override]]), SnapshotTable[[#This Row],[SC Buyback Override]], SnapshotTable[[#This Row],[SC Current Ask]]), "")</f>
        <v/>
      </c>
      <c r="FK365" s="250" t="str">
        <f>IF(SnapshotTable[[#This Row],[SC Time Val]]&gt;0, SnapshotTable[[#This Row],[SC Time Val]] / SnapshotTable[[#This Row],[Last Price]],"")</f>
        <v/>
      </c>
      <c r="FL365" s="302" t="str">
        <f>IF(SnapshotTable[[#This Row],[SC Is Booked]], ((SnapshotTable[[#This Row],[Last Price]] -SnapshotTable[[#This Row],[SC Strike Price]]) / SnapshotTable[[#This Row],[Last Price]]) * -1, "")</f>
        <v/>
      </c>
      <c r="FM365" s="157" t="str">
        <f>IF(SnapshotTable[[#This Row],[SC Is Booked]],  (SnapshotTable[[#This Row],[SC Qty]] * 100 * SnapshotTable[[#This Row],[SC Strike Price]]) - SnapshotTable[[#This Row],[SC Current Ask]], "")</f>
        <v/>
      </c>
      <c r="FN36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5" s="31" t="str">
        <f>IF(AND(ISNUMBER(SnapshotTable[[#This Row],[SC Exercise Gross]]), ISNUMBER(SnapshotTable[[#This Row],[Equity Basis Per Share]] )), SnapshotTable[[#This Row],[SC Exercise Gross]] - SnapshotTable[[#This Row],[Equity Basis Total]] +  SnapshotTable[[#This Row],[SC Premium]], "")</f>
        <v/>
      </c>
      <c r="FP365" s="5" t="str">
        <f>IF(ISNUMBER(SnapshotTable[[#This Row],[SC Exercise Gross]]), (SnapshotTable[[#This Row],[SC Exercise Gross]]) / (SnapshotTable[[#This Row],[SC Qty]] * 100), "")</f>
        <v/>
      </c>
      <c r="FQ365" s="27" t="str">
        <f>IF(SnapshotTable[[#This Row],[SC Is Booked]],SnapshotTable[[#This Row],[SC Time Val]] /SnapshotTable[[#This Row],[SC Basis]], "")</f>
        <v/>
      </c>
      <c r="FR365" s="27" t="str" cm="1">
        <f t="array" ref="FR365">IF(AND(ISNUMBER(SnapshotTable[[#This Row],[SC Term]]),ISNUMBER(SnapshotTable[[#This Row],[SC Simple ROO]])), EllmanAnnualize(SnapshotTable[[#This Row],[SC DTE]], SnapshotTable[[#This Row],[SC Simple ROO]] ),"")</f>
        <v/>
      </c>
      <c r="FS365" s="4" t="e">
        <f>IF(SnapshotTable[[#This Row],[SC Strike Price]] &gt; SnapshotTable[[#This Row],[Last Price]], SnapshotTable[[#This Row],[SC Strike Price]] - SnapshotTable[[#This Row],[Last Price]],0)</f>
        <v>#VALUE!</v>
      </c>
      <c r="FT365" s="27" t="e">
        <f>IF(AND(ISNUMBER(SnapshotTable[[#This Row],[SC Upside Potential]]), SnapshotTable[[#This Row],[SC Upside Potential]] &gt; 0),(SnapshotTable[[#This Row],[SC Upside Potential]]/ SnapshotTable[[#This Row],[ACB]]),"")</f>
        <v>#VALUE!</v>
      </c>
      <c r="FU365" s="333" t="str">
        <f>IF(SnapshotTable[[#This Row],[SC Intrinsic Value]] &gt; 0,SnapshotTable[[#This Row],[SC Intrinsic Value]],"")</f>
        <v/>
      </c>
      <c r="FV365" s="27" t="str">
        <f>IF(AND( ISNUMBER( SnapshotTable[[#This Row],[ACB]]),ISNUMBER(SnapshotTable[[#This Row],[SC Downside Protect]])),SnapshotTable[[#This Row],[SC Downside Protect]] / SnapshotTable[[#This Row],[ACB]],"")</f>
        <v/>
      </c>
      <c r="FW365" s="236" t="str">
        <f>IF(AND(ISNUMBER(SnapshotTable[[#This Row],[SC Simple ROO]]),SnapshotTable[[#This Row],[SC Simple ROO]] &gt; 0), SnapshotTable[[#This Row],[SC Premium]] + (SnapshotTable[[#This Row],[SC Qty]] * SnapshotTable[[#This Row],[SC Upside Potential]]), "")</f>
        <v/>
      </c>
      <c r="FX365" s="302" t="str" cm="1">
        <f t="array" ref="FX365">IF(ISNUMBER(SnapshotTable[[#This Row],[SC Max Dollars]]), annualize(SnapshotTable[[#This Row],[SC Term]],(SnapshotTable[[#This Row],[SC Max Dollars]]/SnapshotTable[[#This Row],[SC Basis]])),"")</f>
        <v/>
      </c>
      <c r="FY365" s="236" t="str">
        <f>IF(AND(SnapshotTable[[#This Row],[SC Qty]]&gt;0,SnapshotTable[[#This Row],[SC Current Ask]]&gt;0), SnapshotTable[[#This Row],[SC Qty]] * SnapshotTable[[#This Row],[SC Current Ask]] * -100, "")</f>
        <v/>
      </c>
      <c r="FZ365" s="31" t="str">
        <f>IF(ISNUMBER((SnapshotTable[[#This Row],[SC Current Value]])), SnapshotTable[[#This Row],[SC Premium]] + SnapshotTable[[#This Row],[SC Current Value]], "")</f>
        <v/>
      </c>
      <c r="GA365" s="294" t="str">
        <f>IFERROR( IF(ISNUMBER((SnapshotTable[[#This Row],[SC Current Value]])), SnapshotTable[[#This Row],[SC Gain Loss]] / SnapshotTable[[#This Row],[SC Premium]], ""), "")</f>
        <v/>
      </c>
      <c r="GB365" s="42">
        <f>SnapshotTable[[#This Row],[Equity Shares]] * SaleSharesToConsiderPercentage</f>
        <v>0</v>
      </c>
      <c r="GC365" s="40">
        <f>SnapshotTable[[#This Row],[Long Term Target]] * SellingPriceToConsiderBasedOnTargetPercentage</f>
        <v>111.9195</v>
      </c>
      <c r="GD365" s="40">
        <f>SnapshotTable[[#This Row],[Last Price]] * (1+ SellingPriceToConsiderBasedOnTargetPercentage)</f>
        <v>184.0215</v>
      </c>
      <c r="GE365" s="41"/>
      <c r="GF365" s="40"/>
      <c r="GG365" s="31">
        <f>SnapshotTable[[#This Row],[Booked Sale Shares]] * SnapshotTable[[#This Row],[Booked Sale Price]]</f>
        <v>0</v>
      </c>
      <c r="GH365" s="31" t="str">
        <f>IF(SnapshotTable[[#This Row],[Equity Basis Total]] &gt; 0, SnapshotTable[[#This Row],[Equity Basis Per Share]] * SnapshotTable[[#This Row],[Booked Sale Shares]], "")</f>
        <v/>
      </c>
      <c r="GI365" s="31">
        <f>IF(SnapshotTable[[#This Row],[Sale Proceeds]]&gt;0, SnapshotTable[[#This Row],[Sale Proceeds]] - SnapshotTable[[#This Row],[Sale Basis]], 0)</f>
        <v>0</v>
      </c>
      <c r="GJ365" s="27" t="str">
        <f>IF(SnapshotTable[[#This Row],[Sale G/L]]&gt;0, SnapshotTable[[#This Row],[Sale G/L]] / SnapshotTable[[#This Row],[Sale Basis]], IF(ISNUMBER(SnapshotTable[[#This Row],[SC Exercise P&amp;L (TAX)]]), SnapshotTable[[#This Row],[SC Exercise P&amp;L (TAX)]] / SnapshotTable[[#This Row],[SC Basis]], ""))</f>
        <v/>
      </c>
      <c r="GK365" s="27" t="s">
        <v>799</v>
      </c>
      <c r="GL365" s="43" t="str">
        <f>IF(AND(SnapshotTable[[#This Row],[LP Exp Date]]&gt;0,SnapshotTable[[#This Row],[LP Strike Price]]&gt;0), [1]!ToOptionSymbol(SnapshotTable[[#This Row],[Symbol]], SnapshotTable[[#This Row],[LP Strike Price]],SnapshotTable[[#This Row],[LP Exp Date]],1), "")</f>
        <v/>
      </c>
      <c r="GM365" s="30" t="str">
        <f>IF(LEN(SnapshotTable[[#This Row],[LP Symbol]])&gt;0, 1, "")</f>
        <v/>
      </c>
      <c r="GN365" s="43" t="str">
        <f>IF(AND(SnapshotTable[[#This Row],[SP Exp Date]]&gt;0,SnapshotTable[[#This Row],[SP Strike Price]]&gt;0), [1]!ToOptionSymbol(SnapshotTable[[#This Row],[Symbol]], SnapshotTable[[#This Row],[SP Strike Price]],SnapshotTable[[#This Row],[SP Exp Date]],1), "")</f>
        <v/>
      </c>
      <c r="GO365" s="30" t="str">
        <f>IF(LEN(SnapshotTable[[#This Row],[SP Symbol]])&gt;0, 1, "")</f>
        <v/>
      </c>
      <c r="GP365" s="43" t="str">
        <f>IF(AND(SnapshotTable[[#This Row],[LC Exp Date]]&gt;0,SnapshotTable[[#This Row],[LC Strike Price]]&gt;0), [1]!ToOptionSymbol(SnapshotTable[[#This Row],[Symbol]], SnapshotTable[[#This Row],[LC Strike Price]],SnapshotTable[[#This Row],[LC Exp Date]],0), "")</f>
        <v/>
      </c>
      <c r="GQ365" s="30" t="str">
        <f>IF(LEN(SnapshotTable[[#This Row],[LC Symbol]])&gt;0, 1, "")</f>
        <v/>
      </c>
      <c r="GR365" s="43" t="str">
        <f>IF(AND(SnapshotTable[[#This Row],[SC Exp Date]]&gt;0,SnapshotTable[[#This Row],[SC Strike Price]]&gt;0), [1]!ToOptionSymbol(SnapshotTable[[#This Row],[Symbol]], SnapshotTable[[#This Row],[SC Strike Price]],SnapshotTable[[#This Row],[SC Exp Date]],0), "")</f>
        <v/>
      </c>
      <c r="GS365" s="30" t="str">
        <f>IF(LEN(SnapshotTable[[#This Row],[SC Symbol]])&gt;0, 1, "")</f>
        <v/>
      </c>
      <c r="GT365" s="29" t="str">
        <f>IF(COUNT(SnapshotTable[[#This Row],[LP Symbol Count]],SnapshotTable[[#This Row],[SP Symbol Count]],SnapshotTable[[#This Row],[LC Symbol Count]],SnapshotTable[[#This Row],[SC Symbol Count]])&gt;0, "Y", "")</f>
        <v/>
      </c>
      <c r="GU36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5" s="231" t="e">
        <f>MAX(SnapshotTable[[#This Row],[Equity Basis Total]],SnapshotTable[[#This Row],[Equity Value]]) + (SnapshotTable[[#This Row],[SP Potential Spend]]- SnapshotTable[[#This Row],[SP Premium]] + SnapshotTable[[#This Row],[LP Premium]])+ (SnapshotTable[[#This Row],[LC Premium]] - SnapshotTable[[#This Row],[SC Premium]])</f>
        <v>#VALUE!</v>
      </c>
      <c r="GW365" s="139" t="e">
        <f>IF(AND(SnapshotTable[[#This Row],[Exposure]] &lt;&gt; 0),SnapshotTable[[#This Row],[Exposure]] / SnapshotTable[[#Totals],[Exposure]], "")</f>
        <v>#VALUE!</v>
      </c>
      <c r="HK365" s="1"/>
      <c r="HL365" s="1"/>
      <c r="HM365" s="1"/>
      <c r="HN365" s="1"/>
      <c r="HO365" s="1"/>
      <c r="HP365" s="1"/>
    </row>
    <row r="366" spans="2:224" ht="12.75" hidden="1" customHeight="1" x14ac:dyDescent="0.25">
      <c r="B366" s="12" t="s">
        <v>982</v>
      </c>
      <c r="C366" s="422">
        <v>32.5</v>
      </c>
      <c r="D366" s="208" t="s">
        <v>885</v>
      </c>
      <c r="E366" s="39">
        <f>SnapshotTable[[#This Row],[Last Price]]*(1 -CrashDiscount)</f>
        <v>27.625</v>
      </c>
      <c r="F366" s="26" t="s">
        <v>983</v>
      </c>
      <c r="G366" s="26" t="s">
        <v>41</v>
      </c>
      <c r="H366" s="149"/>
      <c r="I366" s="194">
        <v>44770.694444444445</v>
      </c>
      <c r="J366" s="195">
        <v>44770.694444444445</v>
      </c>
      <c r="K366" s="196"/>
      <c r="L366" s="326"/>
      <c r="M366" s="140"/>
      <c r="N366" s="140"/>
      <c r="O366" s="140"/>
      <c r="P366" s="22"/>
      <c r="Q366" s="25"/>
      <c r="R366" s="4" t="str">
        <f>IF(SnapshotTable[[#This Row],[Equity Basis Total]] &gt; 0, SnapshotTable[[#This Row],[Equity Basis Total]] / SnapshotTable[[#This Row],[Equity Shares]], "")</f>
        <v/>
      </c>
      <c r="S366" s="269">
        <f>SnapshotTable[[#This Row],[Last Price]] * SnapshotTable[[#This Row],[Equity Shares]]</f>
        <v>0</v>
      </c>
      <c r="T366" s="269">
        <f>SnapshotTable[[#This Row],[Equity Value]] - SnapshotTable[[#This Row],[Equity Basis Total]]</f>
        <v>0</v>
      </c>
      <c r="U366" s="270" t="str">
        <f>IF(SnapshotTable[[#This Row],[Equity Basis Total]] &gt; 0, SnapshotTable[[#This Row],[Equity G/L]] / SnapshotTable[[#This Row],[Equity Basis Total]], "")</f>
        <v/>
      </c>
      <c r="V366" s="268"/>
      <c r="W366" s="268"/>
      <c r="X366" s="4" t="str">
        <f>IF(AND(ISNUMBER(SnapshotTable[[#This Row],[Equity Basis Per Share]]),ISNUMBER(SnapshotTable[[#This Row],[Equity Target]])),SnapshotTable[[#This Row],[Equity Target]]-SnapshotTable[[#This Row],[Equity Basis Per Share]],"")</f>
        <v/>
      </c>
      <c r="Y366" s="4" t="str">
        <f>IF(AND(ISNUMBER(SnapshotTable[[#This Row],[Equity Basis Per Share]]),ISNUMBER(SnapshotTable[[#This Row],[Equity Stop Loss]])),SnapshotTable[[#This Row],[Equity Stop Loss]]-SnapshotTable[[#This Row],[Equity Basis Per Share]],"")</f>
        <v/>
      </c>
      <c r="Z366" s="275" t="str">
        <f>IFERROR( TEXT(SnapshotTable[[#This Row],[Equity Max Gain Per Share]] /ABS( SnapshotTable[[#This Row],[Equity Max Loss Per Share]]),"0.0 " ) &amp; " : 1", "")</f>
        <v/>
      </c>
      <c r="AA366" s="31" t="str">
        <f>IF(ISNUMBER(SnapshotTable[[#This Row],[Equity Max Gain Per Share]]),SnapshotTable[[#This Row],[Equity Max Gain Per Share]] * SnapshotTable[[#This Row],[Equity Shares]],"")</f>
        <v/>
      </c>
      <c r="AB366" s="31" t="str">
        <f>IF(ISNUMBER(SnapshotTable[[#This Row],[Equity Max Loss Per Share]]),SnapshotTable[[#This Row],[Equity Max Loss Per Share]] * SnapshotTable[[#This Row],[Equity Shares]],"")</f>
        <v/>
      </c>
      <c r="AC366" s="150"/>
      <c r="AD366" s="151"/>
      <c r="AE366" s="31">
        <f>(SnapshotTable[[#This Row],[Annual Dividend Per Share]] / 4) * SnapshotTable[[#This Row],[Equity Shares]]</f>
        <v>0</v>
      </c>
      <c r="AF366" s="31">
        <f>SnapshotTable[[#This Row],[Quarterly Div $]] * 4</f>
        <v>0</v>
      </c>
      <c r="AG366" s="7">
        <f>IF(SnapshotTable[[#This Row],[Annual Dividend Per Share]]&gt;0, SnapshotTable[[#This Row],[Annual Dividend Per Share]]  / SnapshotTable[[#This Row],[Last Price]], 0)</f>
        <v>0</v>
      </c>
      <c r="AH366" s="151"/>
      <c r="AI366" s="5"/>
      <c r="AJ366" s="138">
        <v>20.420000000000002</v>
      </c>
      <c r="AK366" s="152" t="str">
        <f>IF(ISNUMBER( SnapshotTable[[#This Row],[EBF Target]]),(SnapshotTable[[#This Row],[EBF Target]] - SnapshotTable[[#This Row],[Last Price]]) / SnapshotTable[[#This Row],[Last Price]], "")</f>
        <v/>
      </c>
      <c r="AL366" s="152" t="str">
        <f>IF(AND(SnapshotTable[[#This Row],[Equity Basis Total]] &gt; 0,ISNUMBER( SnapshotTable[[#This Row],[Long Term Target]])), SnapshotTable[[#This Row],[From Basis $]] / SnapshotTable[[#This Row],[Equity Basis Total]], "")</f>
        <v/>
      </c>
      <c r="AM366" s="9">
        <f>IF( AND(SnapshotTable[[#This Row],[Equity Shares]] &gt;0,ISNUMBER( SnapshotTable[[#This Row],[Long Term Target]])),(SnapshotTable[[#This Row],[Equity Shares]] * SnapshotTable[[#This Row],[Long Term Target]]) - SnapshotTable[[#This Row],[Equity Basis Total]],0)</f>
        <v>0</v>
      </c>
      <c r="AN366" s="9">
        <f>IF( AND(SnapshotTable[[#This Row],[Equity Shares]] &gt;0,ISNUMBER( SnapshotTable[[#This Row],[Long Term Target]])),(SnapshotTable[[#This Row],[Equity Shares]]*SnapshotTable[[#This Row],[Long Term Target]]) - SnapshotTable[[#This Row],[Equity Value]],0)</f>
        <v>0</v>
      </c>
      <c r="AO366" s="152">
        <f>IF(AND(ISNUMBER( SnapshotTable[[#This Row],[Long Term Target]]), ISNUMBER(SnapshotTable[[#This Row],[Last Price]])),(SnapshotTable[[#This Row],[Long Term Target]] - SnapshotTable[[#This Row],[Last Price]]) / SnapshotTable[[#This Row],[Last Price]], "")</f>
        <v>-0.37169230769230766</v>
      </c>
      <c r="AP366" s="5">
        <v>23</v>
      </c>
      <c r="AQ366" s="38" t="s">
        <v>27</v>
      </c>
      <c r="AR366" s="5">
        <v>23</v>
      </c>
      <c r="AS366" s="38" t="s">
        <v>38</v>
      </c>
      <c r="AT366" s="146" t="s">
        <v>542</v>
      </c>
      <c r="AU366" s="187" t="str">
        <f>IF(OR(SnapshotTable[[#This Row],[LP No Fill]]="Y",SnapshotTable[[#This Row],[SP Is Filled]],SnapshotTable[[#This Row],[LC Not Filled]]="Y",SnapshotTable[[#This Row],[SC Is Filled]]),"Y","")</f>
        <v/>
      </c>
      <c r="AV366" s="219"/>
      <c r="AW366" s="225"/>
      <c r="AX366" s="220"/>
      <c r="AY366" s="219" t="str">
        <f>IF(SnapshotTable[[#This Row],[Implied Move]]&gt;0, SnapshotTable[[#This Row],[Last Price]]-SnapshotTable[[#This Row],[Implied Move]],"")</f>
        <v/>
      </c>
      <c r="AZ366" s="219" t="str">
        <f>IF(SnapshotTable[[#This Row],[Implied Move]]&gt;0, SnapshotTable[[#This Row],[Last Price]] + SnapshotTable[[#This Row],[Implied Move]],"")</f>
        <v/>
      </c>
      <c r="BA366" s="331">
        <v>20.22</v>
      </c>
      <c r="BB366" s="347" t="s">
        <v>1143</v>
      </c>
      <c r="BC36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6" s="351"/>
      <c r="BE366" s="138"/>
      <c r="BF366" s="166"/>
      <c r="BG366" s="167"/>
      <c r="BH366" s="167"/>
      <c r="BI366" s="221"/>
      <c r="BJ366" s="153">
        <f>IF(SnapshotTable[[#This Row],[LP Qty]] &gt; 0, SnapshotTable[[#This Row],[LP Qty]] * SnapshotTable[[#This Row],[LP Book Price]] * 100,0)</f>
        <v>0</v>
      </c>
      <c r="BK366" s="136">
        <f>IF(SnapshotTable[[#This Row],[LP Premium]] &gt; 0, SnapshotTable[[#This Row],[LP Qty]] * SnapshotTable[[#This Row],[LP Strike Price]] * 100,0)</f>
        <v>0</v>
      </c>
      <c r="BL366" s="154"/>
      <c r="BM366" s="385" t="str">
        <f>IF(SnapshotTable[[#This Row],[LP Premium]] &gt; 0,SnapshotTable[[#This Row],[LP Exp Date]]-MAX(SnapshotTable[[#This Row],[LP Book Date]], SnapshotTable[[#This Row],[LP Fill Date]]),"")</f>
        <v/>
      </c>
      <c r="BN366" s="385" t="str">
        <f>IF(ISNUMBER( SnapshotTable[[#This Row],[LP Term]]), SnapshotTable[[#This Row],[LP Exp Date]] - MockToday,"")</f>
        <v/>
      </c>
      <c r="BO366" s="163" t="str">
        <f>IF(AND(SnapshotTable[[#This Row],[LP Exp Date]]&gt;0, SnapshotTable[[#This Row],[LP Strike Price]]&gt;0,SnapshotTable[[#This Row],[LP Qty]]&gt;0,SnapshotTable[[#This Row],[LP Book Date]]&gt;0,SnapshotTable[[#This Row],[LP Book Price]]&gt;0,SnapshotTable[[#This Row],[LP Fill Date]]=0),"Y","")</f>
        <v/>
      </c>
      <c r="BP366" s="31" t="str">
        <f>IF(AND(SnapshotTable[[#This Row],[LP No Fill]]&lt;&gt;"Y",SnapshotTable[[#This Row],[LP Contract Value]]&gt;0, SnapshotTable[[#This Row],[LP Qty]]&gt;0), SnapshotTable[[#This Row],[LP Contract Value]]*SnapshotTable[[#This Row],[LP Qty]]*100,"")</f>
        <v/>
      </c>
      <c r="BQ366" s="13"/>
      <c r="BR366" s="5" t="str">
        <f>IF(SnapshotTable[[#This Row],[SP Exp Date]]&lt;&gt;"",TRUNC(SnapshotTable[[#This Row],[Last Price]]),"")</f>
        <v/>
      </c>
      <c r="BS366" s="36"/>
      <c r="BT366" s="147"/>
      <c r="BU366" s="13"/>
      <c r="BV366" s="5"/>
      <c r="BW366" s="419" t="b">
        <f>AND(ISNUMBER(SnapshotTable[[#This Row],[SP Exp Date]]), ISNUMBER(SnapshotTable[[#This Row],[SP Strike Price]]), ISNUMBER(SnapshotTable[[#This Row],[SP Qty]]), ISNUMBER(SnapshotTable[[#This Row],[SP Book Date]]), ISNUMBER(SnapshotTable[[#This Row],[SP Book Price]]))</f>
        <v>0</v>
      </c>
      <c r="BX366" s="419" t="b">
        <f>AND(SnapshotTable[[#This Row],[SP Is Booked]], NOT(ISBLANK(SnapshotTable[[#This Row],[SP Fill Date]])))</f>
        <v>0</v>
      </c>
      <c r="BY366" s="33">
        <f>IF(SnapshotTable[[#This Row],[SP Is Booked]], SnapshotTable[[#This Row],[SP Qty]] * SnapshotTable[[#This Row],[SP Book Price]] * 100, 0)</f>
        <v>0</v>
      </c>
      <c r="BZ366" s="369"/>
      <c r="CA366" s="368">
        <f>SnapshotTable[[#This Row],[LP Qty]]</f>
        <v>0</v>
      </c>
      <c r="CB366" s="4" t="str">
        <f>IF(SnapshotTable[[#This Row],[SP Is Booked]], SnapshotTable[[#This Row],[SP Strike Price]] - SnapshotTable[[#This Row],[SP Book Price]], "")</f>
        <v/>
      </c>
      <c r="CC366" s="19" t="str">
        <f>IF(SnapshotTable[[#This Row],[SP Is Booked]],SnapshotTable[[#This Row],[SP Exp Date]]-MAX(SnapshotTable[[#This Row],[SP Book Date]], SnapshotTable[[#This Row],[SP Fill Date]]),"")</f>
        <v/>
      </c>
      <c r="CD366" s="7" t="str">
        <f>IF(SnapshotTable[[#This Row],[SP Is Booked]], SnapshotTable[[#This Row],[SP Book Price]]/SnapshotTable[[#This Row],[SP Strike Price]], "")</f>
        <v/>
      </c>
      <c r="CE366" s="7" t="str">
        <f>IF(ISNUMBER(SnapshotTable[[#This Row],[SP ROO Term]]),SnapshotTable[[#This Row],[SP ROO Term]]*(365/SnapshotTable[[#This Row],[SP Term]]),"")</f>
        <v/>
      </c>
      <c r="CF366" s="236">
        <f>SnapshotTable[[#This Row],[LP Strike Price]] * SnapshotTable[[#This Row],[LP Qty]] * 100</f>
        <v>0</v>
      </c>
      <c r="CG366" s="31" t="e">
        <f>IF(ISNUMBER(SnapshotTable[[#This Row],[SP Premium]]), (SnapshotTable[[#This Row],[SP Qty]] * SnapshotTable[[#This Row],[SP Strike Price]]* 100) - SnapshotTable[[#This Row],[LP Protection]], 0)</f>
        <v>#VALUE!</v>
      </c>
      <c r="CH366" s="7" t="str">
        <f>IF(ISNUMBER(SnapshotTable[[#This Row],[SP Break Even]]),-1 * (SnapshotTable[[#This Row],[SP Break Even]] - SnapshotTable[[#This Row],[Last Price]]) / SnapshotTable[[#This Row],[Last Price]], "")</f>
        <v/>
      </c>
      <c r="CI366" s="31">
        <f>IF(AND(ISNUMBER((SnapshotTable[[#This Row],[SP Potential Spend]])), SnapshotTable[[#This Row],[SP Strike Price]] &gt; SnapshotTable[[#This Row],[Last Price]], SnapshotTable[[#This Row],[SP Is Filled]]), SnapshotTable[[#This Row],[SP Potential Spend]] -  SnapshotTable[[#This Row],[LP Max Value]], 0)</f>
        <v>0</v>
      </c>
      <c r="CJ366" s="244"/>
      <c r="CK366" s="31" t="str">
        <f>IF(ISNUMBER(SnapshotTable[[#This Row],[SP Potential Spend]]),IF(ISNUMBER(SnapshotTable[[#This Row],[SP POW]]), SnapshotTable[[#This Row],[SP POW]] * SnapshotTable[[#This Row],[SP Potential Spend]], SnapshotTable[[#This Row],[SP Potential Spend]]), "")</f>
        <v/>
      </c>
      <c r="CL366" s="164" t="e">
        <f>IF(NOT(SnapshotTable[[#This Row],[SP Is Filled]]),(SnapshotTable[[#This Row],[SP Qty]] * SnapshotTable[[#This Row],[SP Strike Price]] * 100) - SnapshotTable[[#This Row],[LP Max Value]],"")</f>
        <v>#VALUE!</v>
      </c>
      <c r="CM366" s="31" t="str">
        <f>IF(SnapshotTable[[#This Row],[SP Actual Spend]]&lt;&gt;0, ((SnapshotTable[[#This Row],[SP Strike Price]]-SnapshotTable[[#This Row],[Last Price]]) *(SnapshotTable[[#This Row],[SP Qty]]*100) - SnapshotTable[[#This Row],[SP Premium]]) * - 1, "")</f>
        <v/>
      </c>
      <c r="CN366" s="227"/>
      <c r="CO366" s="369"/>
      <c r="CP366" s="4" t="str">
        <f>IF(SnapshotTable[[#This Row],[SP Is Filled]], btc_max_buyback_amount(SnapshotTable[[#This Row],[SP Fill Date]],SnapshotTable[[#This Row],[SP Exp Date]], SnapshotTable[[#This Row],[SP Book Price]]),"")</f>
        <v/>
      </c>
      <c r="CQ366" s="78"/>
      <c r="CR36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6" s="155" t="str">
        <f>IF(SnapshotTable[[#This Row],[SP Is Filled]], btc_next_cutoff_date(SnapshotTable[[#This Row],[SP Fill Date]],SnapshotTable[[#This Row],[SP Exp Date]]),"")</f>
        <v/>
      </c>
      <c r="CT366" s="235" t="str" cm="1">
        <f t="array" ref="CT366">IF(SnapshotTable[[#This Row],[SP Is Filled]], btc_should_buy_back(SnapshotTable[[#This Row],[SP Fill Date]], SnapshotTable[[#This Row],[SP Exp Date]], SnapshotTable[[#This Row],[SP Book Price]], SnapshotTable[[#This Row],[SP Current Ask]], MockToday, SnapshotTable[[#This Row],[SP Buyback Override]]),"")</f>
        <v/>
      </c>
      <c r="CU366" s="156"/>
      <c r="CV366" s="235"/>
      <c r="CW366" s="378" t="str">
        <f>IF(ISNUMBER( SnapshotTable[[#This Row],[SP Term]]), SnapshotTable[[#This Row],[SP Exp Date]] - MockToday,"")</f>
        <v/>
      </c>
      <c r="CX366" s="31" t="str">
        <f>IF(SnapshotTable[[#This Row],[SP Is Filled]],SnapshotTable[[#This Row],[SP Buyback Price to Use]] * 100 * SnapshotTable[[#This Row],[SP Qty]], "")</f>
        <v/>
      </c>
      <c r="CY366" s="4" t="str">
        <f>IF(ISNUMBER(SnapshotTable[[#This Row],[SP Strike Price]]), SnapshotTable[[#This Row],[SP Strike Price]] * (1 - SP_MaxLoss_StrikePct), "")</f>
        <v/>
      </c>
      <c r="CZ366" s="31" t="str">
        <f>IF(ISNUMBER(SnapshotTable[[#This Row],[SP Strike  Stop Per Share]]),SnapshotTable[[#This Row],[SP Premium]] - ((SnapshotTable[[#This Row],[SP Strike Price]]-SnapshotTable[[#This Row],[SP Strike  Stop Per Share]]) *(SnapshotTable[[#This Row],[SP Qty]] * 100)),"")</f>
        <v/>
      </c>
      <c r="DA366" s="4" t="str">
        <f>IF(AND(ISNUMBER(SnapshotTable[[#This Row],[SP Premium]]),SnapshotTable[[#This Row],[SP Premium]]&gt;0), SnapshotTable[[#This Row],[SP Book Price]] * (1 + SP_MaxLoss_OptionPct), "")</f>
        <v/>
      </c>
      <c r="DB366" s="31" t="str">
        <f>IF(ISNUMBER(SnapshotTable[[#This Row],[SP Option  Stop Contract]]),(SnapshotTable[[#This Row],[SP Option  Stop Contract]] *(SnapshotTable[[#This Row],[SP Qty]] * 100) - SnapshotTable[[#This Row],[SP Premium]]),"")</f>
        <v/>
      </c>
      <c r="DC366" s="4"/>
      <c r="DD366" s="4"/>
      <c r="DE366" s="4" t="str">
        <f>IF(AND(SnapshotTable[[#This Row],[SP Qty]]&gt;0, SnapshotTable[[#This Row],[SP Stop To Use]]&gt;0),SnapshotTable[[#This Row],[SP Premium]] - ( SnapshotTable[[#This Row],[SP Qty]] * SnapshotTable[[#This Row],[SP Stop To Use]] * 100), "")</f>
        <v/>
      </c>
      <c r="DF366" s="31" t="str">
        <f>IF(AND(SnapshotTable[[#This Row],[SP Qty]]&gt;0,SnapshotTable[[#This Row],[SP Current Ask]]&gt;0), SnapshotTable[[#This Row],[SP Qty]] * SnapshotTable[[#This Row],[SP Current Ask]] * -100, "")</f>
        <v/>
      </c>
      <c r="DG366" s="31" t="str">
        <f>IF(ISNUMBER((SnapshotTable[[#This Row],[SP Total Value]])), SnapshotTable[[#This Row],[SP Premium]] + SnapshotTable[[#This Row],[SP Total Value]], "")</f>
        <v/>
      </c>
      <c r="DH366" s="294" t="str">
        <f>IF(ISNUMBER((SnapshotTable[[#This Row],[SP Total Value]])), SnapshotTable[[#This Row],[SP Gain Loss]] / SnapshotTable[[#This Row],[SP Premium]], "")</f>
        <v/>
      </c>
      <c r="DI366" s="406"/>
      <c r="DJ366" s="138"/>
      <c r="DK366" s="148"/>
      <c r="DL366" s="147"/>
      <c r="DM366" s="147"/>
      <c r="DO366" s="31">
        <f>IF(SnapshotTable[[#This Row],[LC Symbol Count]]=1, SnapshotTable[[#This Row],[LC Qty]] * SnapshotTable[[#This Row],[LC Book Price]] * 100, 0)</f>
        <v>0</v>
      </c>
      <c r="DP366" s="163" t="str">
        <f>IF(AND(SnapshotTable[[#This Row],[LC Exp Date]]&gt;0, SnapshotTable[[#This Row],[LC Strike Price]]&gt;0,SnapshotTable[[#This Row],[LC Qty]]&gt;0,SnapshotTable[[#This Row],[LC Book Date]]&gt;0,SnapshotTable[[#This Row],[LC Book Price]]&gt;0,SnapshotTable[[#This Row],[LC Fill Date]]=0),"Y","")</f>
        <v/>
      </c>
      <c r="DQ366" s="386" t="str">
        <f>IF(SnapshotTable[[#This Row],[LC Premium]] &gt; 0,SnapshotTable[[#This Row],[LC Exp Date]]-MAX(SnapshotTable[[#This Row],[LC Book Date]], SnapshotTable[[#This Row],[LC Fill Date]]),"")</f>
        <v/>
      </c>
      <c r="DR366" s="386" t="str">
        <f>IF(ISNUMBER(SnapshotTable[[#This Row],[LC Term]]), SnapshotTable[[#This Row],[LC Exp Date]] - MockToday, "")</f>
        <v/>
      </c>
      <c r="DS366" s="234" t="str">
        <f>IF(SnapshotTable[[#This Row],[LC Premium]]&gt;0,SnapshotTable[[#This Row],[LC Strike Price]] + SnapshotTable[[#This Row],[LC Book Price]],"")</f>
        <v/>
      </c>
      <c r="DU366" s="9" t="str">
        <f>IF(AND(SnapshotTable[[#This Row],[LC Symbol Count]]&gt;0, SnapshotTable[[#This Row],[LC Contract Value]]&gt;0), SnapshotTable[[#This Row],[LC Contract Value]] * SnapshotTable[[#This Row],[LC Qty]] * 100, "")</f>
        <v/>
      </c>
      <c r="DV366" s="9" t="str">
        <f>IF(AND(ISNUMBER(SnapshotTable[[#This Row],[LC Total Value]]), SnapshotTable[[#This Row],[LC Not Filled]]&lt;&gt;"Y"), SnapshotTable[[#This Row],[LC Total Value]]-SnapshotTable[[#This Row],[LC Premium]],"")</f>
        <v/>
      </c>
      <c r="DW366" s="240" t="str">
        <f>IF(ISNUMBER(SnapshotTable[[#This Row],[LC Actual Gain Loss]]), SnapshotTable[[#This Row],[LC Actual Gain Loss]] / SnapshotTable[[#This Row],[LC Premium]],"")</f>
        <v/>
      </c>
      <c r="DX366" s="284" t="str">
        <f>IF(ISNUMBER(SnapshotTable[[#This Row],[LC Book Price]]),SnapshotTable[[#This Row],[LC Book Price]] * 1.5,"")</f>
        <v/>
      </c>
      <c r="DY366" s="265" t="str">
        <f>IF(SnapshotTable[[#This Row],[LC Premium]]&gt;0, SnapshotTable[[#This Row],[LC Next Target]] * SnapshotTable[[#This Row],[LC Qty]] * 100,"")</f>
        <v/>
      </c>
      <c r="DZ366" s="265" t="str">
        <f>IF(ISNUMBER(SnapshotTable[[#This Row],[LC Target Gross]]), SnapshotTable[[#This Row],[LC Target Gross]] - SnapshotTable[[#This Row],[LC Premium]], "")</f>
        <v/>
      </c>
      <c r="EA366" s="305" t="str">
        <f>IF(ISNUMBER(SnapshotTable[[#This Row],[LC Target Gain Loss]]), SnapshotTable[[#This Row],[LC Target Gain Loss]]/SnapshotTable[[#This Row],[LC Premium]], "")</f>
        <v/>
      </c>
      <c r="EB366" s="262"/>
      <c r="EC366" s="283" t="str">
        <f>IF(SnapshotTable[[#This Row],[LC Premium]]&gt;0, SnapshotTable[[#This Row],[LC Book Price]] * (1 - LC_StopLoss_Pct),"")</f>
        <v/>
      </c>
      <c r="ED366" s="284"/>
      <c r="EE366" s="283" t="str">
        <f>IF(ISNUMBER(SnapshotTable[[#This Row],[LC Contract Value]]),IF(ISNUMBER(SnapshotTable[[#This Row],[LC Stop Loss Override]]), SnapshotTable[[#This Row],[LC Stop Loss Override]],SnapshotTable[[#This Row],[LC Stop Loss Calc Target]]),"")</f>
        <v/>
      </c>
      <c r="EF366" s="31" t="str">
        <f>IF(ISNUMBER(SnapshotTable[[#This Row],[LC Stop  To Use]]), (SnapshotTable[[#This Row],[LC Stop  To Use]] * SnapshotTable[[#This Row],[LC Qty]] * 100),"")</f>
        <v/>
      </c>
      <c r="EG366" s="9" t="str">
        <f>IF(ISNUMBER(SnapshotTable[[#This Row],[LC Total Value]]),SnapshotTable[[#This Row],[LC Stop Loss Amount]] - SnapshotTable[[#This Row],[LC Premium]],"")</f>
        <v/>
      </c>
      <c r="EH366" s="9">
        <f>IF(ISNUMBER(SnapshotTable[[#This Row],[LC Premium]]), SnapshotTable[[#This Row],[LC Qty]] * 100 * SnapshotTable[[#This Row],[LC Strike Price]], "")</f>
        <v>0</v>
      </c>
      <c r="EI366" s="240" t="str">
        <f>IF(AND(ISNUMBER(SnapshotTable[[#This Row],[LC Total Value]]),SnapshotTable[[#This Row],[LC Total Value]]&gt;0),SnapshotTable[[#This Row],[LC Stop Gain Loss]]  / SnapshotTable[[#This Row],[LC Premium]],"")</f>
        <v/>
      </c>
      <c r="EJ366" s="35">
        <f>IF(ISNUMBER(SnapshotTable[[#This Row],[Equity Shares]]),TRUNC(SnapshotTable[[#This Row],[Equity Shares]] / 100),0) + SnapshotTable[[#This Row],[LC Qty]]</f>
        <v>0</v>
      </c>
      <c r="EK366" s="147"/>
      <c r="EL366" s="138" t="str">
        <f>IF(SnapshotTable[[#This Row],[SC Exp Date]]&lt;&gt;"",TRUNC(SnapshotTable[[#This Row],[Last Price]]),"")</f>
        <v/>
      </c>
      <c r="EM366" s="148"/>
      <c r="EN366" s="147"/>
      <c r="EO366" s="147"/>
      <c r="EP366" s="138"/>
      <c r="EQ366" s="419" t="b">
        <f>AND(ISNUMBER(SnapshotTable[[#This Row],[SC Exp Date]]), ISNUMBER(SnapshotTable[[#This Row],[SC Strike Price]]), ISNUMBER(SnapshotTable[[#This Row],[SC Qty]]), ISNUMBER(SnapshotTable[[#This Row],[SC Book Date]]), ISNUMBER(SnapshotTable[[#This Row],[SC Book Price]]))</f>
        <v>0</v>
      </c>
      <c r="ER366" s="419" t="b">
        <f>AND(SnapshotTable[[#This Row],[SC Is Booked]], NOT(ISBLANK(SnapshotTable[[#This Row],[SC Fill Date]])))</f>
        <v>0</v>
      </c>
      <c r="ES366" s="370"/>
      <c r="ET366" s="34" t="str">
        <f>IF(AND(ISNUMBER(SnapshotTable[[#This Row],[SC Exp Date]]), ISNUMBER(SnapshotTable[[#This Row],[SC Book Date]])), SnapshotTable[[#This Row],[SC Exp Date]] - MAX(SnapshotTable[[#This Row],[SC Book Date]], SnapshotTable[[#This Row],[SC Fill Date]]) + 1, "")</f>
        <v/>
      </c>
      <c r="EU366" s="34" t="str">
        <f>IF(ISNUMBER(SnapshotTable[[#This Row],[SC Term]]), SnapshotTable[[#This Row],[SC Exp Date]]- MockToday, "")</f>
        <v/>
      </c>
      <c r="EV366" s="31">
        <f>IF(SnapshotTable[[#This Row],[SC Is Booked]], SnapshotTable[[#This Row],[SC Qty]] * SnapshotTable[[#This Row],[SC Book Price]] * 100, 0)</f>
        <v>0</v>
      </c>
      <c r="EW366" s="4" t="str">
        <f>IF(AND(ISNUMBER(SnapshotTable[[#This Row],[Last Price]]), ISNUMBER( SnapshotTable[[#This Row],[SC Book Price]])), SnapshotTable[[#This Row],[Last Price]] - SnapshotTable[[#This Row],[SC Book Price]],"")</f>
        <v/>
      </c>
      <c r="EX366" s="234" t="str">
        <f>IF(SnapshotTable[[#This Row],[SC Is Booked]],IF(SnapshotTable[[#This Row],[SC Intrinsic Value]] &gt; 0, SnapshotTable[[#This Row],[SC Strike Price]], SnapshotTable[[#This Row],[Last Price]]), "")</f>
        <v/>
      </c>
      <c r="EY366" s="4">
        <f>IF(SnapshotTable[[#This Row],[SC Is Booked]], (MinimumPremiumRequired * SnapshotTable[[#This Row],[SC Basis]] * SnapshotTable[[#This Row],[SC Term]]), 0)</f>
        <v>0</v>
      </c>
      <c r="EZ366" s="283"/>
      <c r="FA366" s="218"/>
      <c r="FB366" s="370"/>
      <c r="FC366" s="4">
        <f>IF(SnapshotTable[[#This Row],[SC Is Filled]], btc_max_buyback_amount(SnapshotTable[[#This Row],[SC Fill Date]],SnapshotTable[[#This Row],[SC Exp Date]], SnapshotTable[[#This Row],[SC Book Price]]),0)</f>
        <v>0</v>
      </c>
      <c r="FD366" s="5"/>
      <c r="FE366" s="144" t="str">
        <f>IF(SnapshotTable[[#This Row],[SC Is Filled]], btc_next_cutoff_date(SnapshotTable[[#This Row],[SC Fill Date]],SnapshotTable[[#This Row],[SC Exp Date]]),"")</f>
        <v/>
      </c>
      <c r="FF366" s="4" t="str" cm="1">
        <f t="array" ref="FF366">IF(SnapshotTable[[#This Row],[SC Is Filled]], btc_should_buy_back(SnapshotTable[[#This Row],[SC Fill Date]], SnapshotTable[[#This Row],[SC Exp Date]], SnapshotTable[[#This Row],[SC Book Price]], SnapshotTable[[#This Row],[SC Current Ask]], MockToday, SnapshotTable[[#This Row],[SC Buyback Override]]),"")</f>
        <v/>
      </c>
      <c r="FG366" s="4">
        <f>IF(SnapshotTable[[#This Row],[SC Is Filled]], MAX(0,SnapshotTable[[#This Row],[Last Price]]  - SnapshotTable[[#This Row],[SC Strike Price]]), 0)</f>
        <v>0</v>
      </c>
      <c r="FH366" s="382">
        <f>IF(SnapshotTable[[#This Row],[SC Is Filled]], IF(ISNUMBER(SnapshotTable[[#This Row],[SC Current Ask]]), SnapshotTable[[#This Row],[SC Current Ask]], SnapshotTable[[#This Row],[SC Book Price]]) - SnapshotTable[[#This Row],[SC Intrinsic Value]], 0)</f>
        <v>0</v>
      </c>
      <c r="FI366" s="143"/>
      <c r="FJ366" s="32" t="str">
        <f>IF(SnapshotTable[[#This Row],[SC Is Filled]],100 * SnapshotTable[[#This Row],[SC Qty]] * IF(ISNUMBER(SnapshotTable[[#This Row],[SC Buyback Override]]), SnapshotTable[[#This Row],[SC Buyback Override]], SnapshotTable[[#This Row],[SC Current Ask]]), "")</f>
        <v/>
      </c>
      <c r="FK366" s="250" t="str">
        <f>IF(SnapshotTable[[#This Row],[SC Time Val]]&gt;0, SnapshotTable[[#This Row],[SC Time Val]] / SnapshotTable[[#This Row],[Last Price]],"")</f>
        <v/>
      </c>
      <c r="FL366" s="302" t="str">
        <f>IF(SnapshotTable[[#This Row],[SC Is Booked]], ((SnapshotTable[[#This Row],[Last Price]] -SnapshotTable[[#This Row],[SC Strike Price]]) / SnapshotTable[[#This Row],[Last Price]]) * -1, "")</f>
        <v/>
      </c>
      <c r="FM366" s="157" t="str">
        <f>IF(SnapshotTable[[#This Row],[SC Is Booked]],  (SnapshotTable[[#This Row],[SC Qty]] * 100 * SnapshotTable[[#This Row],[SC Strike Price]]) - SnapshotTable[[#This Row],[SC Current Ask]], "")</f>
        <v/>
      </c>
      <c r="FN366"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6" s="157" t="str">
        <f>IF(AND(ISNUMBER(SnapshotTable[[#This Row],[SC Exercise Gross]]), ISNUMBER(SnapshotTable[[#This Row],[Equity Basis Per Share]] )), SnapshotTable[[#This Row],[SC Exercise Gross]] - SnapshotTable[[#This Row],[Equity Basis Total]] +  SnapshotTable[[#This Row],[SC Premium]], "")</f>
        <v/>
      </c>
      <c r="FP366" s="5" t="str">
        <f>IF(ISNUMBER(SnapshotTable[[#This Row],[SC Exercise Gross]]), (SnapshotTable[[#This Row],[SC Exercise Gross]]) / (SnapshotTable[[#This Row],[SC Qty]] * 100), "")</f>
        <v/>
      </c>
      <c r="FQ366" s="27" t="str">
        <f>IF(SnapshotTable[[#This Row],[SC Is Booked]],SnapshotTable[[#This Row],[SC Time Val]] /SnapshotTable[[#This Row],[SC Basis]], "")</f>
        <v/>
      </c>
      <c r="FR366" s="27" t="str" cm="1">
        <f t="array" ref="FR366">IF(AND(ISNUMBER(SnapshotTable[[#This Row],[SC Term]]),ISNUMBER(SnapshotTable[[#This Row],[SC Simple ROO]])), EllmanAnnualize(SnapshotTable[[#This Row],[SC DTE]], SnapshotTable[[#This Row],[SC Simple ROO]] ),"")</f>
        <v/>
      </c>
      <c r="FS366" s="4" t="e">
        <f>IF(SnapshotTable[[#This Row],[SC Strike Price]] &gt; SnapshotTable[[#This Row],[Last Price]], SnapshotTable[[#This Row],[SC Strike Price]] - SnapshotTable[[#This Row],[Last Price]],0)</f>
        <v>#VALUE!</v>
      </c>
      <c r="FT366" s="27" t="e">
        <f>IF(AND(ISNUMBER(SnapshotTable[[#This Row],[SC Upside Potential]]), SnapshotTable[[#This Row],[SC Upside Potential]] &gt; 0),(SnapshotTable[[#This Row],[SC Upside Potential]]/ SnapshotTable[[#This Row],[ACB]]),"")</f>
        <v>#VALUE!</v>
      </c>
      <c r="FU366" s="333" t="str">
        <f>IF(SnapshotTable[[#This Row],[SC Intrinsic Value]] &gt; 0,SnapshotTable[[#This Row],[SC Intrinsic Value]],"")</f>
        <v/>
      </c>
      <c r="FV366" s="27" t="str">
        <f>IF(AND( ISNUMBER( SnapshotTable[[#This Row],[ACB]]),ISNUMBER(SnapshotTable[[#This Row],[SC Downside Protect]])),SnapshotTable[[#This Row],[SC Downside Protect]] / SnapshotTable[[#This Row],[ACB]],"")</f>
        <v/>
      </c>
      <c r="FW366" s="236" t="str">
        <f>IF(AND(ISNUMBER(SnapshotTable[[#This Row],[SC Simple ROO]]),SnapshotTable[[#This Row],[SC Simple ROO]] &gt; 0), SnapshotTable[[#This Row],[SC Premium]] + (SnapshotTable[[#This Row],[SC Qty]] * SnapshotTable[[#This Row],[SC Upside Potential]]), "")</f>
        <v/>
      </c>
      <c r="FX366" s="302" t="str" cm="1">
        <f t="array" ref="FX366">IF(ISNUMBER(SnapshotTable[[#This Row],[SC Max Dollars]]), annualize(SnapshotTable[[#This Row],[SC Term]],(SnapshotTable[[#This Row],[SC Max Dollars]]/SnapshotTable[[#This Row],[SC Basis]])),"")</f>
        <v/>
      </c>
      <c r="FY366" s="236" t="str">
        <f>IF(AND(SnapshotTable[[#This Row],[SC Qty]]&gt;0,SnapshotTable[[#This Row],[SC Current Ask]]&gt;0), SnapshotTable[[#This Row],[SC Qty]] * SnapshotTable[[#This Row],[SC Current Ask]] * -100, "")</f>
        <v/>
      </c>
      <c r="FZ366" s="31" t="str">
        <f>IF(ISNUMBER((SnapshotTable[[#This Row],[SC Current Value]])), SnapshotTable[[#This Row],[SC Premium]] + SnapshotTable[[#This Row],[SC Current Value]], "")</f>
        <v/>
      </c>
      <c r="GA366" s="294" t="str">
        <f>IFERROR( IF(ISNUMBER((SnapshotTable[[#This Row],[SC Current Value]])), SnapshotTable[[#This Row],[SC Gain Loss]] / SnapshotTable[[#This Row],[SC Premium]], ""), "")</f>
        <v/>
      </c>
      <c r="GB366" s="42">
        <f>SnapshotTable[[#This Row],[Equity Shares]] * SaleSharesToConsiderPercentage</f>
        <v>0</v>
      </c>
      <c r="GC366" s="40">
        <f>SnapshotTable[[#This Row],[Long Term Target]] * SellingPriceToConsiderBasedOnTargetPercentage</f>
        <v>19.399000000000001</v>
      </c>
      <c r="GD366" s="40">
        <f>SnapshotTable[[#This Row],[Last Price]] * (1+ SellingPriceToConsiderBasedOnTargetPercentage)</f>
        <v>63.375</v>
      </c>
      <c r="GE366" s="41"/>
      <c r="GF366" s="40"/>
      <c r="GG366" s="31">
        <f>SnapshotTable[[#This Row],[Booked Sale Shares]] * SnapshotTable[[#This Row],[Booked Sale Price]]</f>
        <v>0</v>
      </c>
      <c r="GH366" s="31" t="str">
        <f>IF(SnapshotTable[[#This Row],[Equity Basis Total]] &gt; 0, SnapshotTable[[#This Row],[Equity Basis Per Share]] * SnapshotTable[[#This Row],[Booked Sale Shares]], "")</f>
        <v/>
      </c>
      <c r="GI366" s="31">
        <f>IF(SnapshotTable[[#This Row],[Sale Proceeds]]&gt;0, SnapshotTable[[#This Row],[Sale Proceeds]] - SnapshotTable[[#This Row],[Sale Basis]], 0)</f>
        <v>0</v>
      </c>
      <c r="GJ366" s="158" t="str">
        <f>IF(SnapshotTable[[#This Row],[Sale G/L]]&gt;0, SnapshotTable[[#This Row],[Sale G/L]] / SnapshotTable[[#This Row],[Sale Basis]], IF(ISNUMBER(SnapshotTable[[#This Row],[SC Exercise P&amp;L (TAX)]]), SnapshotTable[[#This Row],[SC Exercise P&amp;L (TAX)]] / SnapshotTable[[#This Row],[SC Basis]], ""))</f>
        <v/>
      </c>
      <c r="GK366" s="158"/>
      <c r="GL366" s="159" t="str">
        <f>IF(AND(SnapshotTable[[#This Row],[LP Exp Date]]&gt;0,SnapshotTable[[#This Row],[LP Strike Price]]&gt;0), [1]!ToOptionSymbol(SnapshotTable[[#This Row],[Symbol]], SnapshotTable[[#This Row],[LP Strike Price]],SnapshotTable[[#This Row],[LP Exp Date]],1), "")</f>
        <v/>
      </c>
      <c r="GM366" s="30" t="str">
        <f>IF(LEN(SnapshotTable[[#This Row],[LP Symbol]])&gt;0, 1, "")</f>
        <v/>
      </c>
      <c r="GN366" s="43" t="str">
        <f>IF(AND(SnapshotTable[[#This Row],[SP Exp Date]]&gt;0,SnapshotTable[[#This Row],[SP Strike Price]]&gt;0), [1]!ToOptionSymbol(SnapshotTable[[#This Row],[Symbol]], SnapshotTable[[#This Row],[SP Strike Price]],SnapshotTable[[#This Row],[SP Exp Date]],1), "")</f>
        <v/>
      </c>
      <c r="GO366" s="30" t="str">
        <f>IF(LEN(SnapshotTable[[#This Row],[SP Symbol]])&gt;0, 1, "")</f>
        <v/>
      </c>
      <c r="GP366" s="159" t="str">
        <f>IF(AND(SnapshotTable[[#This Row],[LC Exp Date]]&gt;0,SnapshotTable[[#This Row],[LC Strike Price]]&gt;0), [1]!ToOptionSymbol(SnapshotTable[[#This Row],[Symbol]], SnapshotTable[[#This Row],[LC Strike Price]],SnapshotTable[[#This Row],[LC Exp Date]],0), "")</f>
        <v/>
      </c>
      <c r="GQ366" s="160" t="str">
        <f>IF(LEN(SnapshotTable[[#This Row],[LC Symbol]])&gt;0, 1, "")</f>
        <v/>
      </c>
      <c r="GR366" s="159" t="str">
        <f>IF(AND(SnapshotTable[[#This Row],[SC Exp Date]]&gt;0,SnapshotTable[[#This Row],[SC Strike Price]]&gt;0), [1]!ToOptionSymbol(SnapshotTable[[#This Row],[Symbol]], SnapshotTable[[#This Row],[SC Strike Price]],SnapshotTable[[#This Row],[SC Exp Date]],0), "")</f>
        <v/>
      </c>
      <c r="GS366" s="160" t="str">
        <f>IF(LEN(SnapshotTable[[#This Row],[SC Symbol]])&gt;0, 1, "")</f>
        <v/>
      </c>
      <c r="GT366" s="161" t="str">
        <f>IF(COUNT(SnapshotTable[[#This Row],[LP Symbol Count]],SnapshotTable[[#This Row],[SP Symbol Count]],SnapshotTable[[#This Row],[LC Symbol Count]],SnapshotTable[[#This Row],[SC Symbol Count]])&gt;0, "Y", "")</f>
        <v/>
      </c>
      <c r="GU36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6" s="231" t="e">
        <f>MAX(SnapshotTable[[#This Row],[Equity Basis Total]],SnapshotTable[[#This Row],[Equity Value]]) + (SnapshotTable[[#This Row],[SP Potential Spend]]- SnapshotTable[[#This Row],[SP Premium]] + SnapshotTable[[#This Row],[LP Premium]])+ (SnapshotTable[[#This Row],[LC Premium]] - SnapshotTable[[#This Row],[SC Premium]])</f>
        <v>#VALUE!</v>
      </c>
      <c r="GW366" s="139" t="e">
        <f>IF(AND(SnapshotTable[[#This Row],[Exposure]] &lt;&gt; 0),SnapshotTable[[#This Row],[Exposure]] / SnapshotTable[[#Totals],[Exposure]], "")</f>
        <v>#VALUE!</v>
      </c>
      <c r="HK366" s="1"/>
      <c r="HL366" s="1"/>
      <c r="HM366" s="1"/>
      <c r="HN366" s="1"/>
      <c r="HO366" s="1"/>
      <c r="HP366" s="1"/>
    </row>
    <row r="367" spans="2:224" ht="12.75" hidden="1" customHeight="1" x14ac:dyDescent="0.25">
      <c r="B367" s="12" t="s">
        <v>499</v>
      </c>
      <c r="C367" s="422">
        <v>152.11000000000001</v>
      </c>
      <c r="D367" s="208"/>
      <c r="E367" s="39">
        <f>SnapshotTable[[#This Row],[Last Price]]*(1 -CrashDiscount)</f>
        <v>129.29349999999999</v>
      </c>
      <c r="F367" s="26" t="s">
        <v>5</v>
      </c>
      <c r="G367" s="26" t="s">
        <v>4</v>
      </c>
      <c r="H367" s="149"/>
      <c r="I367" s="194">
        <v>44770.694444444445</v>
      </c>
      <c r="J367" s="195">
        <v>44770.694444444445</v>
      </c>
      <c r="K367" s="196"/>
      <c r="L367" s="326"/>
      <c r="M367" s="140"/>
      <c r="N367" s="140"/>
      <c r="O367" s="140"/>
      <c r="P367" s="22"/>
      <c r="Q367" s="25"/>
      <c r="R367" s="4" t="str">
        <f>IF(SnapshotTable[[#This Row],[Equity Basis Total]] &gt; 0, SnapshotTable[[#This Row],[Equity Basis Total]] / SnapshotTable[[#This Row],[Equity Shares]], "")</f>
        <v/>
      </c>
      <c r="S367" s="269">
        <f>SnapshotTable[[#This Row],[Last Price]] * SnapshotTable[[#This Row],[Equity Shares]]</f>
        <v>0</v>
      </c>
      <c r="T367" s="269">
        <f>SnapshotTable[[#This Row],[Equity Value]] - SnapshotTable[[#This Row],[Equity Basis Total]]</f>
        <v>0</v>
      </c>
      <c r="U367" s="270" t="str">
        <f>IF(SnapshotTable[[#This Row],[Equity Basis Total]] &gt; 0, SnapshotTable[[#This Row],[Equity G/L]] / SnapshotTable[[#This Row],[Equity Basis Total]], "")</f>
        <v/>
      </c>
      <c r="V367" s="268"/>
      <c r="W367" s="268"/>
      <c r="X367" s="4" t="str">
        <f>IF(AND(ISNUMBER(SnapshotTable[[#This Row],[Equity Basis Per Share]]),ISNUMBER(SnapshotTable[[#This Row],[Equity Target]])),SnapshotTable[[#This Row],[Equity Target]]-SnapshotTable[[#This Row],[Equity Basis Per Share]],"")</f>
        <v/>
      </c>
      <c r="Y367" s="4" t="str">
        <f>IF(AND(ISNUMBER(SnapshotTable[[#This Row],[Equity Basis Per Share]]),ISNUMBER(SnapshotTable[[#This Row],[Equity Stop Loss]])),SnapshotTable[[#This Row],[Equity Stop Loss]]-SnapshotTable[[#This Row],[Equity Basis Per Share]],"")</f>
        <v/>
      </c>
      <c r="Z367" s="275" t="str">
        <f>IFERROR( TEXT(SnapshotTable[[#This Row],[Equity Max Gain Per Share]] /ABS( SnapshotTable[[#This Row],[Equity Max Loss Per Share]]),"0.0 " ) &amp; " : 1", "")</f>
        <v/>
      </c>
      <c r="AA367" s="31" t="str">
        <f>IF(ISNUMBER(SnapshotTable[[#This Row],[Equity Max Gain Per Share]]),SnapshotTable[[#This Row],[Equity Max Gain Per Share]] * SnapshotTable[[#This Row],[Equity Shares]],"")</f>
        <v/>
      </c>
      <c r="AB367" s="31" t="str">
        <f>IF(ISNUMBER(SnapshotTable[[#This Row],[Equity Max Loss Per Share]]),SnapshotTable[[#This Row],[Equity Max Loss Per Share]] * SnapshotTable[[#This Row],[Equity Shares]],"")</f>
        <v/>
      </c>
      <c r="AC367" s="150"/>
      <c r="AD367" s="151"/>
      <c r="AE367" s="31">
        <f>(SnapshotTable[[#This Row],[Annual Dividend Per Share]] / 4) * SnapshotTable[[#This Row],[Equity Shares]]</f>
        <v>0</v>
      </c>
      <c r="AF367" s="31">
        <f>SnapshotTable[[#This Row],[Quarterly Div $]] * 4</f>
        <v>0</v>
      </c>
      <c r="AG367" s="7">
        <f>IF(SnapshotTable[[#This Row],[Annual Dividend Per Share]]&gt;0, SnapshotTable[[#This Row],[Annual Dividend Per Share]]  / SnapshotTable[[#This Row],[Last Price]], 0)</f>
        <v>0</v>
      </c>
      <c r="AH367" s="151"/>
      <c r="AI367" s="5"/>
      <c r="AJ367" s="138" t="s">
        <v>164</v>
      </c>
      <c r="AK367" s="152" t="str">
        <f>IF(ISNUMBER( SnapshotTable[[#This Row],[EBF Target]]),(SnapshotTable[[#This Row],[EBF Target]] - SnapshotTable[[#This Row],[Last Price]]) / SnapshotTable[[#This Row],[Last Price]], "")</f>
        <v/>
      </c>
      <c r="AL367" s="152" t="str">
        <f>IF(AND(SnapshotTable[[#This Row],[Equity Basis Total]] &gt; 0,ISNUMBER( SnapshotTable[[#This Row],[Long Term Target]])), SnapshotTable[[#This Row],[From Basis $]] / SnapshotTable[[#This Row],[Equity Basis Total]], "")</f>
        <v/>
      </c>
      <c r="AM367" s="9">
        <f>IF( AND(SnapshotTable[[#This Row],[Equity Shares]] &gt;0,ISNUMBER( SnapshotTable[[#This Row],[Long Term Target]])),(SnapshotTable[[#This Row],[Equity Shares]] * SnapshotTable[[#This Row],[Long Term Target]]) - SnapshotTable[[#This Row],[Equity Basis Total]],0)</f>
        <v>0</v>
      </c>
      <c r="AN367" s="9">
        <f>IF( AND(SnapshotTable[[#This Row],[Equity Shares]] &gt;0,ISNUMBER( SnapshotTable[[#This Row],[Long Term Target]])),(SnapshotTable[[#This Row],[Equity Shares]]*SnapshotTable[[#This Row],[Long Term Target]]) - SnapshotTable[[#This Row],[Equity Value]],0)</f>
        <v>0</v>
      </c>
      <c r="AO367" s="152" t="str">
        <f>IF(AND(ISNUMBER( SnapshotTable[[#This Row],[Long Term Target]]), ISNUMBER(SnapshotTable[[#This Row],[Last Price]])),(SnapshotTable[[#This Row],[Long Term Target]] - SnapshotTable[[#This Row],[Last Price]]) / SnapshotTable[[#This Row],[Last Price]], "")</f>
        <v/>
      </c>
      <c r="AP367" s="5"/>
      <c r="AQ367" s="38"/>
      <c r="AR367" s="5"/>
      <c r="AS367" s="38"/>
      <c r="AT367" s="146"/>
      <c r="AU367" s="187" t="str">
        <f>IF(OR(SnapshotTable[[#This Row],[LP No Fill]]="Y",SnapshotTable[[#This Row],[SP Is Filled]],SnapshotTable[[#This Row],[LC Not Filled]]="Y",SnapshotTable[[#This Row],[SC Is Filled]]),"Y","")</f>
        <v/>
      </c>
      <c r="AV367" s="219"/>
      <c r="AW367" s="225"/>
      <c r="AX367" s="220"/>
      <c r="AY367" s="219" t="str">
        <f>IF(SnapshotTable[[#This Row],[Implied Move]]&gt;0, SnapshotTable[[#This Row],[Last Price]]-SnapshotTable[[#This Row],[Implied Move]],"")</f>
        <v/>
      </c>
      <c r="AZ367" s="219" t="str">
        <f>IF(SnapshotTable[[#This Row],[Implied Move]]&gt;0, SnapshotTable[[#This Row],[Last Price]] + SnapshotTable[[#This Row],[Implied Move]],"")</f>
        <v/>
      </c>
      <c r="BA367" s="331"/>
      <c r="BB367" s="347"/>
      <c r="BC36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7" s="351"/>
      <c r="BE367" s="5"/>
      <c r="BF367" s="14"/>
      <c r="BG367" s="13"/>
      <c r="BH367" s="13"/>
      <c r="BI367" s="5"/>
      <c r="BJ367" s="136">
        <f>IF(SnapshotTable[[#This Row],[LP Qty]] &gt; 0, SnapshotTable[[#This Row],[LP Qty]] * SnapshotTable[[#This Row],[LP Book Price]] * 100,0)</f>
        <v>0</v>
      </c>
      <c r="BK367" s="136">
        <f>IF(SnapshotTable[[#This Row],[LP Premium]] &gt; 0, SnapshotTable[[#This Row],[LP Qty]] * SnapshotTable[[#This Row],[LP Strike Price]] * 100,0)</f>
        <v>0</v>
      </c>
      <c r="BL367" s="154"/>
      <c r="BM367" s="385" t="str">
        <f>IF(SnapshotTable[[#This Row],[LP Premium]] &gt; 0,SnapshotTable[[#This Row],[LP Exp Date]]-MAX(SnapshotTable[[#This Row],[LP Book Date]], SnapshotTable[[#This Row],[LP Fill Date]]),"")</f>
        <v/>
      </c>
      <c r="BN367" s="385" t="str">
        <f>IF(ISNUMBER( SnapshotTable[[#This Row],[LP Term]]), SnapshotTable[[#This Row],[LP Exp Date]] - MockToday,"")</f>
        <v/>
      </c>
      <c r="BO367" s="163" t="str">
        <f>IF(AND(SnapshotTable[[#This Row],[LP Exp Date]]&gt;0, SnapshotTable[[#This Row],[LP Strike Price]]&gt;0,SnapshotTable[[#This Row],[LP Qty]]&gt;0,SnapshotTable[[#This Row],[LP Book Date]]&gt;0,SnapshotTable[[#This Row],[LP Book Price]]&gt;0,SnapshotTable[[#This Row],[LP Fill Date]]=0),"Y","")</f>
        <v/>
      </c>
      <c r="BP367" s="31" t="str">
        <f>IF(AND(SnapshotTable[[#This Row],[LP No Fill]]&lt;&gt;"Y",SnapshotTable[[#This Row],[LP Contract Value]]&gt;0, SnapshotTable[[#This Row],[LP Qty]]&gt;0), SnapshotTable[[#This Row],[LP Contract Value]]*SnapshotTable[[#This Row],[LP Qty]]*100,"")</f>
        <v/>
      </c>
      <c r="BQ367" s="13"/>
      <c r="BR367" s="5" t="str">
        <f>IF(SnapshotTable[[#This Row],[SP Exp Date]]&lt;&gt;"",TRUNC(SnapshotTable[[#This Row],[Last Price]]),"")</f>
        <v/>
      </c>
      <c r="BS367" s="36"/>
      <c r="BT367" s="147"/>
      <c r="BU367" s="13"/>
      <c r="BV367" s="5"/>
      <c r="BW367" s="419" t="b">
        <f>AND(ISNUMBER(SnapshotTable[[#This Row],[SP Exp Date]]), ISNUMBER(SnapshotTable[[#This Row],[SP Strike Price]]), ISNUMBER(SnapshotTable[[#This Row],[SP Qty]]), ISNUMBER(SnapshotTable[[#This Row],[SP Book Date]]), ISNUMBER(SnapshotTable[[#This Row],[SP Book Price]]))</f>
        <v>0</v>
      </c>
      <c r="BX367" s="419" t="b">
        <f>AND(SnapshotTable[[#This Row],[SP Is Booked]], NOT(ISBLANK(SnapshotTable[[#This Row],[SP Fill Date]])))</f>
        <v>0</v>
      </c>
      <c r="BY367" s="33">
        <f>IF(SnapshotTable[[#This Row],[SP Is Booked]], SnapshotTable[[#This Row],[SP Qty]] * SnapshotTable[[#This Row],[SP Book Price]] * 100, 0)</f>
        <v>0</v>
      </c>
      <c r="BZ367" s="369"/>
      <c r="CA367" s="368">
        <f>SnapshotTable[[#This Row],[LP Qty]]</f>
        <v>0</v>
      </c>
      <c r="CB367" s="4" t="str">
        <f>IF(SnapshotTable[[#This Row],[SP Is Booked]], SnapshotTable[[#This Row],[SP Strike Price]] - SnapshotTable[[#This Row],[SP Book Price]], "")</f>
        <v/>
      </c>
      <c r="CC367" s="19" t="str">
        <f>IF(SnapshotTable[[#This Row],[SP Is Booked]],SnapshotTable[[#This Row],[SP Exp Date]]-MAX(SnapshotTable[[#This Row],[SP Book Date]], SnapshotTable[[#This Row],[SP Fill Date]]),"")</f>
        <v/>
      </c>
      <c r="CD367" s="7" t="str">
        <f>IF(SnapshotTable[[#This Row],[SP Is Booked]], SnapshotTable[[#This Row],[SP Book Price]]/SnapshotTable[[#This Row],[SP Strike Price]], "")</f>
        <v/>
      </c>
      <c r="CE367" s="7" t="str">
        <f>IF(ISNUMBER(SnapshotTable[[#This Row],[SP ROO Term]]),SnapshotTable[[#This Row],[SP ROO Term]]*(365/SnapshotTable[[#This Row],[SP Term]]),"")</f>
        <v/>
      </c>
      <c r="CF367" s="236">
        <f>SnapshotTable[[#This Row],[LP Strike Price]] * SnapshotTable[[#This Row],[LP Qty]] * 100</f>
        <v>0</v>
      </c>
      <c r="CG367" s="31" t="e">
        <f>IF(ISNUMBER(SnapshotTable[[#This Row],[SP Premium]]), (SnapshotTable[[#This Row],[SP Qty]] * SnapshotTable[[#This Row],[SP Strike Price]]* 100) - SnapshotTable[[#This Row],[LP Protection]], 0)</f>
        <v>#VALUE!</v>
      </c>
      <c r="CH367" s="7" t="str">
        <f>IF(ISNUMBER(SnapshotTable[[#This Row],[SP Break Even]]),-1 * (SnapshotTable[[#This Row],[SP Break Even]] - SnapshotTable[[#This Row],[Last Price]]) / SnapshotTable[[#This Row],[Last Price]], "")</f>
        <v/>
      </c>
      <c r="CI367" s="31">
        <f>IF(AND(ISNUMBER((SnapshotTable[[#This Row],[SP Potential Spend]])), SnapshotTable[[#This Row],[SP Strike Price]] &gt; SnapshotTable[[#This Row],[Last Price]], SnapshotTable[[#This Row],[SP Is Filled]]), SnapshotTable[[#This Row],[SP Potential Spend]] -  SnapshotTable[[#This Row],[LP Max Value]], 0)</f>
        <v>0</v>
      </c>
      <c r="CJ367" s="244"/>
      <c r="CK367" s="31" t="str">
        <f>IF(ISNUMBER(SnapshotTable[[#This Row],[SP Potential Spend]]),IF(ISNUMBER(SnapshotTable[[#This Row],[SP POW]]), SnapshotTable[[#This Row],[SP POW]] * SnapshotTable[[#This Row],[SP Potential Spend]], SnapshotTable[[#This Row],[SP Potential Spend]]), "")</f>
        <v/>
      </c>
      <c r="CL367" s="164" t="e">
        <f>IF(NOT(SnapshotTable[[#This Row],[SP Is Filled]]),(SnapshotTable[[#This Row],[SP Qty]] * SnapshotTable[[#This Row],[SP Strike Price]] * 100) - SnapshotTable[[#This Row],[LP Max Value]],"")</f>
        <v>#VALUE!</v>
      </c>
      <c r="CM367" s="31" t="str">
        <f>IF(SnapshotTable[[#This Row],[SP Actual Spend]]&lt;&gt;0, ((SnapshotTable[[#This Row],[SP Strike Price]]-SnapshotTable[[#This Row],[Last Price]]) *(SnapshotTable[[#This Row],[SP Qty]]*100) - SnapshotTable[[#This Row],[SP Premium]]) * - 1, "")</f>
        <v/>
      </c>
      <c r="CN367" s="78"/>
      <c r="CO367" s="369"/>
      <c r="CP367" s="4" t="str">
        <f>IF(SnapshotTable[[#This Row],[SP Is Filled]], btc_max_buyback_amount(SnapshotTable[[#This Row],[SP Fill Date]],SnapshotTable[[#This Row],[SP Exp Date]], SnapshotTable[[#This Row],[SP Book Price]]),"")</f>
        <v/>
      </c>
      <c r="CQ367" s="78"/>
      <c r="CR36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7" s="155" t="str">
        <f>IF(SnapshotTable[[#This Row],[SP Is Filled]], btc_next_cutoff_date(SnapshotTable[[#This Row],[SP Fill Date]],SnapshotTable[[#This Row],[SP Exp Date]]),"")</f>
        <v/>
      </c>
      <c r="CT367" s="235" t="str" cm="1">
        <f t="array" ref="CT367">IF(SnapshotTable[[#This Row],[SP Is Filled]], btc_should_buy_back(SnapshotTable[[#This Row],[SP Fill Date]], SnapshotTable[[#This Row],[SP Exp Date]], SnapshotTable[[#This Row],[SP Book Price]], SnapshotTable[[#This Row],[SP Current Ask]], MockToday, SnapshotTable[[#This Row],[SP Buyback Override]]),"")</f>
        <v/>
      </c>
      <c r="CU367" s="143"/>
      <c r="CV367" s="235"/>
      <c r="CW367" s="378" t="str">
        <f>IF(ISNUMBER( SnapshotTable[[#This Row],[SP Term]]), SnapshotTable[[#This Row],[SP Exp Date]] - MockToday,"")</f>
        <v/>
      </c>
      <c r="CX367" s="31" t="str">
        <f>IF(SnapshotTable[[#This Row],[SP Is Filled]],SnapshotTable[[#This Row],[SP Buyback Price to Use]] * 100 * SnapshotTable[[#This Row],[SP Qty]], "")</f>
        <v/>
      </c>
      <c r="CY367" s="4" t="str">
        <f>IF(ISNUMBER(SnapshotTable[[#This Row],[SP Strike Price]]), SnapshotTable[[#This Row],[SP Strike Price]] * (1 - SP_MaxLoss_StrikePct), "")</f>
        <v/>
      </c>
      <c r="CZ367" s="31" t="str">
        <f>IF(ISNUMBER(SnapshotTable[[#This Row],[SP Strike  Stop Per Share]]),SnapshotTable[[#This Row],[SP Premium]] - ((SnapshotTable[[#This Row],[SP Strike Price]]-SnapshotTable[[#This Row],[SP Strike  Stop Per Share]]) *(SnapshotTable[[#This Row],[SP Qty]] * 100)),"")</f>
        <v/>
      </c>
      <c r="DA367" s="4" t="str">
        <f>IF(AND(ISNUMBER(SnapshotTable[[#This Row],[SP Premium]]),SnapshotTable[[#This Row],[SP Premium]]&gt;0), SnapshotTable[[#This Row],[SP Book Price]] * (1 + SP_MaxLoss_OptionPct), "")</f>
        <v/>
      </c>
      <c r="DB367" s="31" t="str">
        <f>IF(ISNUMBER(SnapshotTable[[#This Row],[SP Option  Stop Contract]]),(SnapshotTable[[#This Row],[SP Option  Stop Contract]] *(SnapshotTable[[#This Row],[SP Qty]] * 100) - SnapshotTable[[#This Row],[SP Premium]]),"")</f>
        <v/>
      </c>
      <c r="DC367" s="4"/>
      <c r="DD367" s="4"/>
      <c r="DE367" s="4" t="str">
        <f>IF(AND(SnapshotTable[[#This Row],[SP Qty]]&gt;0, SnapshotTable[[#This Row],[SP Stop To Use]]&gt;0),SnapshotTable[[#This Row],[SP Premium]] - ( SnapshotTable[[#This Row],[SP Qty]] * SnapshotTable[[#This Row],[SP Stop To Use]] * 100), "")</f>
        <v/>
      </c>
      <c r="DF367" s="31" t="str">
        <f>IF(AND(SnapshotTable[[#This Row],[SP Qty]]&gt;0,SnapshotTable[[#This Row],[SP Current Ask]]&gt;0), SnapshotTable[[#This Row],[SP Qty]] * SnapshotTable[[#This Row],[SP Current Ask]] * -100, "")</f>
        <v/>
      </c>
      <c r="DG367" s="31" t="str">
        <f>IF(ISNUMBER((SnapshotTable[[#This Row],[SP Total Value]])), SnapshotTable[[#This Row],[SP Premium]] + SnapshotTable[[#This Row],[SP Total Value]], "")</f>
        <v/>
      </c>
      <c r="DH367" s="294" t="str">
        <f>IF(ISNUMBER((SnapshotTable[[#This Row],[SP Total Value]])), SnapshotTable[[#This Row],[SP Gain Loss]] / SnapshotTable[[#This Row],[SP Premium]], "")</f>
        <v/>
      </c>
      <c r="DI367" s="406"/>
      <c r="DJ367" s="138"/>
      <c r="DK367" s="148"/>
      <c r="DL367" s="13"/>
      <c r="DM367" s="13"/>
      <c r="DO367" s="31">
        <f>IF(SnapshotTable[[#This Row],[LC Symbol Count]]=1, SnapshotTable[[#This Row],[LC Qty]] * SnapshotTable[[#This Row],[LC Book Price]] * 100, 0)</f>
        <v>0</v>
      </c>
      <c r="DP367" s="163" t="str">
        <f>IF(AND(SnapshotTable[[#This Row],[LC Exp Date]]&gt;0, SnapshotTable[[#This Row],[LC Strike Price]]&gt;0,SnapshotTable[[#This Row],[LC Qty]]&gt;0,SnapshotTable[[#This Row],[LC Book Date]]&gt;0,SnapshotTable[[#This Row],[LC Book Price]]&gt;0,SnapshotTable[[#This Row],[LC Fill Date]]=0),"Y","")</f>
        <v/>
      </c>
      <c r="DQ367" s="386" t="str">
        <f>IF(SnapshotTable[[#This Row],[LC Premium]] &gt; 0,SnapshotTable[[#This Row],[LC Exp Date]]-MAX(SnapshotTable[[#This Row],[LC Book Date]], SnapshotTable[[#This Row],[LC Fill Date]]),"")</f>
        <v/>
      </c>
      <c r="DR367" s="386" t="str">
        <f>IF(ISNUMBER(SnapshotTable[[#This Row],[LC Term]]), SnapshotTable[[#This Row],[LC Exp Date]] - MockToday, "")</f>
        <v/>
      </c>
      <c r="DS367" s="234" t="str">
        <f>IF(SnapshotTable[[#This Row],[LC Premium]]&gt;0,SnapshotTable[[#This Row],[LC Strike Price]] + SnapshotTable[[#This Row],[LC Book Price]],"")</f>
        <v/>
      </c>
      <c r="DU367" s="9" t="str">
        <f>IF(AND(SnapshotTable[[#This Row],[LC Symbol Count]]&gt;0, SnapshotTable[[#This Row],[LC Contract Value]]&gt;0), SnapshotTable[[#This Row],[LC Contract Value]] * SnapshotTable[[#This Row],[LC Qty]] * 100, "")</f>
        <v/>
      </c>
      <c r="DV367" s="9" t="str">
        <f>IF(AND(ISNUMBER(SnapshotTable[[#This Row],[LC Total Value]]), SnapshotTable[[#This Row],[LC Not Filled]]&lt;&gt;"Y"), SnapshotTable[[#This Row],[LC Total Value]]-SnapshotTable[[#This Row],[LC Premium]],"")</f>
        <v/>
      </c>
      <c r="DW367" s="240" t="str">
        <f>IF(ISNUMBER(SnapshotTable[[#This Row],[LC Actual Gain Loss]]), SnapshotTable[[#This Row],[LC Actual Gain Loss]] / SnapshotTable[[#This Row],[LC Premium]],"")</f>
        <v/>
      </c>
      <c r="DX367" s="284" t="str">
        <f>IF(ISNUMBER(SnapshotTable[[#This Row],[LC Book Price]]),SnapshotTable[[#This Row],[LC Book Price]] * 1.5,"")</f>
        <v/>
      </c>
      <c r="DY367" s="265" t="str">
        <f>IF(SnapshotTable[[#This Row],[LC Premium]]&gt;0, SnapshotTable[[#This Row],[LC Next Target]] * SnapshotTable[[#This Row],[LC Qty]] * 100,"")</f>
        <v/>
      </c>
      <c r="DZ367" s="265" t="str">
        <f>IF(ISNUMBER(SnapshotTable[[#This Row],[LC Target Gross]]), SnapshotTable[[#This Row],[LC Target Gross]] - SnapshotTable[[#This Row],[LC Premium]], "")</f>
        <v/>
      </c>
      <c r="EA367" s="305" t="str">
        <f>IF(ISNUMBER(SnapshotTable[[#This Row],[LC Target Gain Loss]]), SnapshotTable[[#This Row],[LC Target Gain Loss]]/SnapshotTable[[#This Row],[LC Premium]], "")</f>
        <v/>
      </c>
      <c r="EB367" s="262"/>
      <c r="EC367" s="283" t="str">
        <f>IF(SnapshotTable[[#This Row],[LC Premium]]&gt;0, SnapshotTable[[#This Row],[LC Book Price]] * (1 - LC_StopLoss_Pct),"")</f>
        <v/>
      </c>
      <c r="ED367" s="284"/>
      <c r="EE367" s="283" t="str">
        <f>IF(ISNUMBER(SnapshotTable[[#This Row],[LC Contract Value]]),IF(ISNUMBER(SnapshotTable[[#This Row],[LC Stop Loss Override]]), SnapshotTable[[#This Row],[LC Stop Loss Override]],SnapshotTable[[#This Row],[LC Stop Loss Calc Target]]),"")</f>
        <v/>
      </c>
      <c r="EF367" s="31" t="str">
        <f>IF(ISNUMBER(SnapshotTable[[#This Row],[LC Stop  To Use]]), (SnapshotTable[[#This Row],[LC Stop  To Use]] * SnapshotTable[[#This Row],[LC Qty]] * 100),"")</f>
        <v/>
      </c>
      <c r="EG367" s="9" t="str">
        <f>IF(ISNUMBER(SnapshotTable[[#This Row],[LC Total Value]]),SnapshotTable[[#This Row],[LC Stop Loss Amount]] - SnapshotTable[[#This Row],[LC Premium]],"")</f>
        <v/>
      </c>
      <c r="EH367" s="9">
        <f>IF(ISNUMBER(SnapshotTable[[#This Row],[LC Premium]]), SnapshotTable[[#This Row],[LC Qty]] * 100 * SnapshotTable[[#This Row],[LC Strike Price]], "")</f>
        <v>0</v>
      </c>
      <c r="EI367" s="240" t="str">
        <f>IF(AND(ISNUMBER(SnapshotTable[[#This Row],[LC Total Value]]),SnapshotTable[[#This Row],[LC Total Value]]&gt;0),SnapshotTable[[#This Row],[LC Stop Gain Loss]]  / SnapshotTable[[#This Row],[LC Premium]],"")</f>
        <v/>
      </c>
      <c r="EJ367" s="35">
        <f>IF(ISNUMBER(SnapshotTable[[#This Row],[Equity Shares]]),TRUNC(SnapshotTable[[#This Row],[Equity Shares]] / 100),0) + SnapshotTable[[#This Row],[LC Qty]]</f>
        <v>0</v>
      </c>
      <c r="EK367" s="147"/>
      <c r="EL367" s="138" t="str">
        <f>IF(SnapshotTable[[#This Row],[SC Exp Date]]&lt;&gt;"",TRUNC(SnapshotTable[[#This Row],[Last Price]]),"")</f>
        <v/>
      </c>
      <c r="EM367" s="148"/>
      <c r="EN367" s="147"/>
      <c r="EO367" s="147"/>
      <c r="EP367" s="138"/>
      <c r="EQ367" s="419" t="b">
        <f>AND(ISNUMBER(SnapshotTable[[#This Row],[SC Exp Date]]), ISNUMBER(SnapshotTable[[#This Row],[SC Strike Price]]), ISNUMBER(SnapshotTable[[#This Row],[SC Qty]]), ISNUMBER(SnapshotTable[[#This Row],[SC Book Date]]), ISNUMBER(SnapshotTable[[#This Row],[SC Book Price]]))</f>
        <v>0</v>
      </c>
      <c r="ER367" s="419" t="b">
        <f>AND(SnapshotTable[[#This Row],[SC Is Booked]], NOT(ISBLANK(SnapshotTable[[#This Row],[SC Fill Date]])))</f>
        <v>0</v>
      </c>
      <c r="ES367" s="370"/>
      <c r="ET367" s="34" t="str">
        <f>IF(AND(ISNUMBER(SnapshotTable[[#This Row],[SC Exp Date]]), ISNUMBER(SnapshotTable[[#This Row],[SC Book Date]])), SnapshotTable[[#This Row],[SC Exp Date]] - MAX(SnapshotTable[[#This Row],[SC Book Date]], SnapshotTable[[#This Row],[SC Fill Date]]) + 1, "")</f>
        <v/>
      </c>
      <c r="EU367" s="34" t="str">
        <f>IF(ISNUMBER(SnapshotTable[[#This Row],[SC Term]]), SnapshotTable[[#This Row],[SC Exp Date]]- MockToday, "")</f>
        <v/>
      </c>
      <c r="EV367" s="31">
        <f>IF(SnapshotTable[[#This Row],[SC Is Booked]], SnapshotTable[[#This Row],[SC Qty]] * SnapshotTable[[#This Row],[SC Book Price]] * 100, 0)</f>
        <v>0</v>
      </c>
      <c r="EW367" s="4" t="str">
        <f>IF(AND(ISNUMBER(SnapshotTable[[#This Row],[Last Price]]), ISNUMBER( SnapshotTable[[#This Row],[SC Book Price]])), SnapshotTable[[#This Row],[Last Price]] - SnapshotTable[[#This Row],[SC Book Price]],"")</f>
        <v/>
      </c>
      <c r="EX367" s="234" t="str">
        <f>IF(SnapshotTable[[#This Row],[SC Is Booked]],IF(SnapshotTable[[#This Row],[SC Intrinsic Value]] &gt; 0, SnapshotTable[[#This Row],[SC Strike Price]], SnapshotTable[[#This Row],[Last Price]]), "")</f>
        <v/>
      </c>
      <c r="EY367" s="4">
        <f>IF(SnapshotTable[[#This Row],[SC Is Booked]], (MinimumPremiumRequired * SnapshotTable[[#This Row],[SC Basis]] * SnapshotTable[[#This Row],[SC Term]]), 0)</f>
        <v>0</v>
      </c>
      <c r="EZ367" s="283"/>
      <c r="FA367" s="218"/>
      <c r="FB367" s="370"/>
      <c r="FC367" s="4">
        <f>IF(SnapshotTable[[#This Row],[SC Is Filled]], btc_max_buyback_amount(SnapshotTable[[#This Row],[SC Fill Date]],SnapshotTable[[#This Row],[SC Exp Date]], SnapshotTable[[#This Row],[SC Book Price]]),0)</f>
        <v>0</v>
      </c>
      <c r="FD367" s="5"/>
      <c r="FE367" s="144" t="str">
        <f>IF(SnapshotTable[[#This Row],[SC Is Filled]], btc_next_cutoff_date(SnapshotTable[[#This Row],[SC Fill Date]],SnapshotTable[[#This Row],[SC Exp Date]]),"")</f>
        <v/>
      </c>
      <c r="FF367" s="4" t="str" cm="1">
        <f t="array" ref="FF367">IF(SnapshotTable[[#This Row],[SC Is Filled]], btc_should_buy_back(SnapshotTable[[#This Row],[SC Fill Date]], SnapshotTable[[#This Row],[SC Exp Date]], SnapshotTable[[#This Row],[SC Book Price]], SnapshotTable[[#This Row],[SC Current Ask]], MockToday, SnapshotTable[[#This Row],[SC Buyback Override]]),"")</f>
        <v/>
      </c>
      <c r="FG367" s="4">
        <f>IF(SnapshotTable[[#This Row],[SC Is Filled]], MAX(0,SnapshotTable[[#This Row],[Last Price]]  - SnapshotTable[[#This Row],[SC Strike Price]]), 0)</f>
        <v>0</v>
      </c>
      <c r="FH367" s="382">
        <f>IF(SnapshotTable[[#This Row],[SC Is Filled]], IF(ISNUMBER(SnapshotTable[[#This Row],[SC Current Ask]]), SnapshotTable[[#This Row],[SC Current Ask]], SnapshotTable[[#This Row],[SC Book Price]]) - SnapshotTable[[#This Row],[SC Intrinsic Value]], 0)</f>
        <v>0</v>
      </c>
      <c r="FI367" s="143"/>
      <c r="FJ367" s="32" t="str">
        <f>IF(SnapshotTable[[#This Row],[SC Is Filled]],100 * SnapshotTable[[#This Row],[SC Qty]] * IF(ISNUMBER(SnapshotTable[[#This Row],[SC Buyback Override]]), SnapshotTable[[#This Row],[SC Buyback Override]], SnapshotTable[[#This Row],[SC Current Ask]]), "")</f>
        <v/>
      </c>
      <c r="FK367" s="250" t="str">
        <f>IF(SnapshotTable[[#This Row],[SC Time Val]]&gt;0, SnapshotTable[[#This Row],[SC Time Val]] / SnapshotTable[[#This Row],[Last Price]],"")</f>
        <v/>
      </c>
      <c r="FL367" s="302" t="str">
        <f>IF(SnapshotTable[[#This Row],[SC Is Booked]], ((SnapshotTable[[#This Row],[Last Price]] -SnapshotTable[[#This Row],[SC Strike Price]]) / SnapshotTable[[#This Row],[Last Price]]) * -1, "")</f>
        <v/>
      </c>
      <c r="FM367" s="157" t="str">
        <f>IF(SnapshotTable[[#This Row],[SC Is Booked]],  (SnapshotTable[[#This Row],[SC Qty]] * 100 * SnapshotTable[[#This Row],[SC Strike Price]]) - SnapshotTable[[#This Row],[SC Current Ask]], "")</f>
        <v/>
      </c>
      <c r="FN36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7" s="31" t="str">
        <f>IF(AND(ISNUMBER(SnapshotTable[[#This Row],[SC Exercise Gross]]), ISNUMBER(SnapshotTable[[#This Row],[Equity Basis Per Share]] )), SnapshotTable[[#This Row],[SC Exercise Gross]] - SnapshotTable[[#This Row],[Equity Basis Total]] +  SnapshotTable[[#This Row],[SC Premium]], "")</f>
        <v/>
      </c>
      <c r="FP367" s="5" t="str">
        <f>IF(ISNUMBER(SnapshotTable[[#This Row],[SC Exercise Gross]]), (SnapshotTable[[#This Row],[SC Exercise Gross]]) / (SnapshotTable[[#This Row],[SC Qty]] * 100), "")</f>
        <v/>
      </c>
      <c r="FQ367" s="27" t="str">
        <f>IF(SnapshotTable[[#This Row],[SC Is Booked]],SnapshotTable[[#This Row],[SC Time Val]] /SnapshotTable[[#This Row],[SC Basis]], "")</f>
        <v/>
      </c>
      <c r="FR367" s="27" t="str" cm="1">
        <f t="array" ref="FR367">IF(AND(ISNUMBER(SnapshotTable[[#This Row],[SC Term]]),ISNUMBER(SnapshotTable[[#This Row],[SC Simple ROO]])), EllmanAnnualize(SnapshotTable[[#This Row],[SC DTE]], SnapshotTable[[#This Row],[SC Simple ROO]] ),"")</f>
        <v/>
      </c>
      <c r="FS367" s="4" t="e">
        <f>IF(SnapshotTable[[#This Row],[SC Strike Price]] &gt; SnapshotTable[[#This Row],[Last Price]], SnapshotTable[[#This Row],[SC Strike Price]] - SnapshotTable[[#This Row],[Last Price]],0)</f>
        <v>#VALUE!</v>
      </c>
      <c r="FT367" s="27" t="e">
        <f>IF(AND(ISNUMBER(SnapshotTable[[#This Row],[SC Upside Potential]]), SnapshotTable[[#This Row],[SC Upside Potential]] &gt; 0),(SnapshotTable[[#This Row],[SC Upside Potential]]/ SnapshotTable[[#This Row],[ACB]]),"")</f>
        <v>#VALUE!</v>
      </c>
      <c r="FU367" s="333" t="str">
        <f>IF(SnapshotTable[[#This Row],[SC Intrinsic Value]] &gt; 0,SnapshotTable[[#This Row],[SC Intrinsic Value]],"")</f>
        <v/>
      </c>
      <c r="FV367" s="27" t="str">
        <f>IF(AND( ISNUMBER( SnapshotTable[[#This Row],[ACB]]),ISNUMBER(SnapshotTable[[#This Row],[SC Downside Protect]])),SnapshotTable[[#This Row],[SC Downside Protect]] / SnapshotTable[[#This Row],[ACB]],"")</f>
        <v/>
      </c>
      <c r="FW367" s="236" t="str">
        <f>IF(AND(ISNUMBER(SnapshotTable[[#This Row],[SC Simple ROO]]),SnapshotTable[[#This Row],[SC Simple ROO]] &gt; 0), SnapshotTable[[#This Row],[SC Premium]] + (SnapshotTable[[#This Row],[SC Qty]] * SnapshotTable[[#This Row],[SC Upside Potential]]), "")</f>
        <v/>
      </c>
      <c r="FX367" s="302" t="str" cm="1">
        <f t="array" ref="FX367">IF(ISNUMBER(SnapshotTable[[#This Row],[SC Max Dollars]]), annualize(SnapshotTable[[#This Row],[SC Term]],(SnapshotTable[[#This Row],[SC Max Dollars]]/SnapshotTable[[#This Row],[SC Basis]])),"")</f>
        <v/>
      </c>
      <c r="FY367" s="236" t="str">
        <f>IF(AND(SnapshotTable[[#This Row],[SC Qty]]&gt;0,SnapshotTable[[#This Row],[SC Current Ask]]&gt;0), SnapshotTable[[#This Row],[SC Qty]] * SnapshotTable[[#This Row],[SC Current Ask]] * -100, "")</f>
        <v/>
      </c>
      <c r="FZ367" s="31" t="str">
        <f>IF(ISNUMBER((SnapshotTable[[#This Row],[SC Current Value]])), SnapshotTable[[#This Row],[SC Premium]] + SnapshotTable[[#This Row],[SC Current Value]], "")</f>
        <v/>
      </c>
      <c r="GA367" s="294" t="str">
        <f>IFERROR( IF(ISNUMBER((SnapshotTable[[#This Row],[SC Current Value]])), SnapshotTable[[#This Row],[SC Gain Loss]] / SnapshotTable[[#This Row],[SC Premium]], ""), "")</f>
        <v/>
      </c>
      <c r="GB367" s="42">
        <f>SnapshotTable[[#This Row],[Equity Shares]] * SaleSharesToConsiderPercentage</f>
        <v>0</v>
      </c>
      <c r="GC367" s="40" t="e">
        <f>SnapshotTable[[#This Row],[Long Term Target]] * SellingPriceToConsiderBasedOnTargetPercentage</f>
        <v>#VALUE!</v>
      </c>
      <c r="GD367" s="40">
        <f>SnapshotTable[[#This Row],[Last Price]] * (1+ SellingPriceToConsiderBasedOnTargetPercentage)</f>
        <v>296.61450000000002</v>
      </c>
      <c r="GE367" s="41"/>
      <c r="GF367" s="40"/>
      <c r="GG367" s="31">
        <f>SnapshotTable[[#This Row],[Booked Sale Shares]] * SnapshotTable[[#This Row],[Booked Sale Price]]</f>
        <v>0</v>
      </c>
      <c r="GH367" s="31" t="str">
        <f>IF(SnapshotTable[[#This Row],[Equity Basis Total]] &gt; 0, SnapshotTable[[#This Row],[Equity Basis Per Share]] * SnapshotTable[[#This Row],[Booked Sale Shares]], "")</f>
        <v/>
      </c>
      <c r="GI367" s="31">
        <f>IF(SnapshotTable[[#This Row],[Sale Proceeds]]&gt;0, SnapshotTable[[#This Row],[Sale Proceeds]] - SnapshotTable[[#This Row],[Sale Basis]], 0)</f>
        <v>0</v>
      </c>
      <c r="GJ367" s="27" t="str">
        <f>IF(SnapshotTable[[#This Row],[Sale G/L]]&gt;0, SnapshotTable[[#This Row],[Sale G/L]] / SnapshotTable[[#This Row],[Sale Basis]], IF(ISNUMBER(SnapshotTable[[#This Row],[SC Exercise P&amp;L (TAX)]]), SnapshotTable[[#This Row],[SC Exercise P&amp;L (TAX)]] / SnapshotTable[[#This Row],[SC Basis]], ""))</f>
        <v/>
      </c>
      <c r="GK367" s="27" t="s">
        <v>800</v>
      </c>
      <c r="GL367" s="43" t="str">
        <f>IF(AND(SnapshotTable[[#This Row],[LP Exp Date]]&gt;0,SnapshotTable[[#This Row],[LP Strike Price]]&gt;0), [1]!ToOptionSymbol(SnapshotTable[[#This Row],[Symbol]], SnapshotTable[[#This Row],[LP Strike Price]],SnapshotTable[[#This Row],[LP Exp Date]],1), "")</f>
        <v/>
      </c>
      <c r="GM367" s="30" t="str">
        <f>IF(LEN(SnapshotTable[[#This Row],[LP Symbol]])&gt;0, 1, "")</f>
        <v/>
      </c>
      <c r="GN367" s="43" t="str">
        <f>IF(AND(SnapshotTable[[#This Row],[SP Exp Date]]&gt;0,SnapshotTable[[#This Row],[SP Strike Price]]&gt;0), [1]!ToOptionSymbol(SnapshotTable[[#This Row],[Symbol]], SnapshotTable[[#This Row],[SP Strike Price]],SnapshotTable[[#This Row],[SP Exp Date]],1), "")</f>
        <v/>
      </c>
      <c r="GO367" s="30" t="str">
        <f>IF(LEN(SnapshotTable[[#This Row],[SP Symbol]])&gt;0, 1, "")</f>
        <v/>
      </c>
      <c r="GP367" s="43" t="str">
        <f>IF(AND(SnapshotTable[[#This Row],[LC Exp Date]]&gt;0,SnapshotTable[[#This Row],[LC Strike Price]]&gt;0), [1]!ToOptionSymbol(SnapshotTable[[#This Row],[Symbol]], SnapshotTable[[#This Row],[LC Strike Price]],SnapshotTable[[#This Row],[LC Exp Date]],0), "")</f>
        <v/>
      </c>
      <c r="GQ367" s="30" t="str">
        <f>IF(LEN(SnapshotTable[[#This Row],[LC Symbol]])&gt;0, 1, "")</f>
        <v/>
      </c>
      <c r="GR367" s="43" t="str">
        <f>IF(AND(SnapshotTable[[#This Row],[SC Exp Date]]&gt;0,SnapshotTable[[#This Row],[SC Strike Price]]&gt;0), [1]!ToOptionSymbol(SnapshotTable[[#This Row],[Symbol]], SnapshotTable[[#This Row],[SC Strike Price]],SnapshotTable[[#This Row],[SC Exp Date]],0), "")</f>
        <v/>
      </c>
      <c r="GS367" s="30" t="str">
        <f>IF(LEN(SnapshotTable[[#This Row],[SC Symbol]])&gt;0, 1, "")</f>
        <v/>
      </c>
      <c r="GT367" s="29" t="str">
        <f>IF(COUNT(SnapshotTable[[#This Row],[LP Symbol Count]],SnapshotTable[[#This Row],[SP Symbol Count]],SnapshotTable[[#This Row],[LC Symbol Count]],SnapshotTable[[#This Row],[SC Symbol Count]])&gt;0, "Y", "")</f>
        <v/>
      </c>
      <c r="GU36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7" s="231" t="e">
        <f>MAX(SnapshotTable[[#This Row],[Equity Basis Total]],SnapshotTable[[#This Row],[Equity Value]]) + (SnapshotTable[[#This Row],[SP Potential Spend]]- SnapshotTable[[#This Row],[SP Premium]] + SnapshotTable[[#This Row],[LP Premium]])+ (SnapshotTable[[#This Row],[LC Premium]] - SnapshotTable[[#This Row],[SC Premium]])</f>
        <v>#VALUE!</v>
      </c>
      <c r="GW367" s="139" t="e">
        <f>IF(AND(SnapshotTable[[#This Row],[Exposure]] &lt;&gt; 0),SnapshotTable[[#This Row],[Exposure]] / SnapshotTable[[#Totals],[Exposure]], "")</f>
        <v>#VALUE!</v>
      </c>
      <c r="HK367" s="1"/>
      <c r="HL367" s="1"/>
      <c r="HM367" s="1"/>
      <c r="HN367" s="1"/>
      <c r="HO367" s="1"/>
      <c r="HP367" s="1"/>
    </row>
    <row r="368" spans="2:224" ht="12.75" hidden="1" customHeight="1" x14ac:dyDescent="0.25">
      <c r="B368" s="12" t="s">
        <v>113</v>
      </c>
      <c r="C368" s="422">
        <v>43.02</v>
      </c>
      <c r="D368" s="208"/>
      <c r="E368" s="39">
        <f>SnapshotTable[[#This Row],[Last Price]]*(1 -CrashDiscount)</f>
        <v>36.567</v>
      </c>
      <c r="F368" s="26" t="s">
        <v>112</v>
      </c>
      <c r="G368" s="26" t="s">
        <v>41</v>
      </c>
      <c r="H368" s="149"/>
      <c r="I368" s="194">
        <v>44770.694444444445</v>
      </c>
      <c r="J368" s="195">
        <v>44770.694444444445</v>
      </c>
      <c r="K368" s="196"/>
      <c r="L368" s="326"/>
      <c r="M368" s="140"/>
      <c r="N368" s="140"/>
      <c r="O368" s="140"/>
      <c r="P368" s="22"/>
      <c r="Q368" s="25"/>
      <c r="R368" s="4" t="str">
        <f>IF(SnapshotTable[[#This Row],[Equity Basis Total]] &gt; 0, SnapshotTable[[#This Row],[Equity Basis Total]] / SnapshotTable[[#This Row],[Equity Shares]], "")</f>
        <v/>
      </c>
      <c r="S368" s="269">
        <f>SnapshotTable[[#This Row],[Last Price]] * SnapshotTable[[#This Row],[Equity Shares]]</f>
        <v>0</v>
      </c>
      <c r="T368" s="269">
        <f>SnapshotTable[[#This Row],[Equity Value]] - SnapshotTable[[#This Row],[Equity Basis Total]]</f>
        <v>0</v>
      </c>
      <c r="U368" s="270" t="str">
        <f>IF(SnapshotTable[[#This Row],[Equity Basis Total]] &gt; 0, SnapshotTable[[#This Row],[Equity G/L]] / SnapshotTable[[#This Row],[Equity Basis Total]], "")</f>
        <v/>
      </c>
      <c r="V368" s="268"/>
      <c r="W368" s="268"/>
      <c r="X368" s="4" t="str">
        <f>IF(AND(ISNUMBER(SnapshotTable[[#This Row],[Equity Basis Per Share]]),ISNUMBER(SnapshotTable[[#This Row],[Equity Target]])),SnapshotTable[[#This Row],[Equity Target]]-SnapshotTable[[#This Row],[Equity Basis Per Share]],"")</f>
        <v/>
      </c>
      <c r="Y368" s="4" t="str">
        <f>IF(AND(ISNUMBER(SnapshotTable[[#This Row],[Equity Basis Per Share]]),ISNUMBER(SnapshotTable[[#This Row],[Equity Stop Loss]])),SnapshotTable[[#This Row],[Equity Stop Loss]]-SnapshotTable[[#This Row],[Equity Basis Per Share]],"")</f>
        <v/>
      </c>
      <c r="Z368" s="275" t="str">
        <f>IFERROR( TEXT(SnapshotTable[[#This Row],[Equity Max Gain Per Share]] /ABS( SnapshotTable[[#This Row],[Equity Max Loss Per Share]]),"0.0 " ) &amp; " : 1", "")</f>
        <v/>
      </c>
      <c r="AA368" s="31" t="str">
        <f>IF(ISNUMBER(SnapshotTable[[#This Row],[Equity Max Gain Per Share]]),SnapshotTable[[#This Row],[Equity Max Gain Per Share]] * SnapshotTable[[#This Row],[Equity Shares]],"")</f>
        <v/>
      </c>
      <c r="AB368" s="31" t="str">
        <f>IF(ISNUMBER(SnapshotTable[[#This Row],[Equity Max Loss Per Share]]),SnapshotTable[[#This Row],[Equity Max Loss Per Share]] * SnapshotTable[[#This Row],[Equity Shares]],"")</f>
        <v/>
      </c>
      <c r="AC368" s="150">
        <v>0.32</v>
      </c>
      <c r="AD368" s="151">
        <v>42979</v>
      </c>
      <c r="AE368" s="31">
        <f>(SnapshotTable[[#This Row],[Annual Dividend Per Share]] / 4) * SnapshotTable[[#This Row],[Equity Shares]]</f>
        <v>0</v>
      </c>
      <c r="AF368" s="31">
        <f>SnapshotTable[[#This Row],[Quarterly Div $]] * 4</f>
        <v>0</v>
      </c>
      <c r="AG368" s="7">
        <f>IF(SnapshotTable[[#This Row],[Annual Dividend Per Share]]&gt;0, SnapshotTable[[#This Row],[Annual Dividend Per Share]]  / SnapshotTable[[#This Row],[Last Price]], 0)</f>
        <v>7.4384007438400741E-3</v>
      </c>
      <c r="AH368" s="151">
        <v>43230</v>
      </c>
      <c r="AI368" s="5">
        <v>130</v>
      </c>
      <c r="AJ368" s="138">
        <v>34.26</v>
      </c>
      <c r="AK368" s="152">
        <f>IF(ISNUMBER( SnapshotTable[[#This Row],[EBF Target]]),(SnapshotTable[[#This Row],[EBF Target]] - SnapshotTable[[#This Row],[Last Price]]) / SnapshotTable[[#This Row],[Last Price]], "")</f>
        <v>2.02185030218503</v>
      </c>
      <c r="AL368" s="152" t="str">
        <f>IF(AND(SnapshotTable[[#This Row],[Equity Basis Total]] &gt; 0,ISNUMBER( SnapshotTable[[#This Row],[Long Term Target]])), SnapshotTable[[#This Row],[From Basis $]] / SnapshotTable[[#This Row],[Equity Basis Total]], "")</f>
        <v/>
      </c>
      <c r="AM368" s="9">
        <f>IF( AND(SnapshotTable[[#This Row],[Equity Shares]] &gt;0,ISNUMBER( SnapshotTable[[#This Row],[Long Term Target]])),(SnapshotTable[[#This Row],[Equity Shares]] * SnapshotTable[[#This Row],[Long Term Target]]) - SnapshotTable[[#This Row],[Equity Basis Total]],0)</f>
        <v>0</v>
      </c>
      <c r="AN368" s="9">
        <f>IF( AND(SnapshotTable[[#This Row],[Equity Shares]] &gt;0,ISNUMBER( SnapshotTable[[#This Row],[Long Term Target]])),(SnapshotTable[[#This Row],[Equity Shares]]*SnapshotTable[[#This Row],[Long Term Target]]) - SnapshotTable[[#This Row],[Equity Value]],0)</f>
        <v>0</v>
      </c>
      <c r="AO368" s="152">
        <f>IF(AND(ISNUMBER( SnapshotTable[[#This Row],[Long Term Target]]), ISNUMBER(SnapshotTable[[#This Row],[Last Price]])),(SnapshotTable[[#This Row],[Long Term Target]] - SnapshotTable[[#This Row],[Last Price]]) / SnapshotTable[[#This Row],[Last Price]], "")</f>
        <v>-0.20362622036262215</v>
      </c>
      <c r="AP368" s="5"/>
      <c r="AQ368" s="38"/>
      <c r="AR368" s="5"/>
      <c r="AS368" s="38"/>
      <c r="AT368" s="146"/>
      <c r="AU368" s="187" t="str">
        <f>IF(OR(SnapshotTable[[#This Row],[LP No Fill]]="Y",SnapshotTable[[#This Row],[SP Is Filled]],SnapshotTable[[#This Row],[LC Not Filled]]="Y",SnapshotTable[[#This Row],[SC Is Filled]]),"Y","")</f>
        <v/>
      </c>
      <c r="AV368" s="219"/>
      <c r="AW368" s="225"/>
      <c r="AX368" s="220"/>
      <c r="AY368" s="219" t="str">
        <f>IF(SnapshotTable[[#This Row],[Implied Move]]&gt;0, SnapshotTable[[#This Row],[Last Price]]-SnapshotTable[[#This Row],[Implied Move]],"")</f>
        <v/>
      </c>
      <c r="AZ368" s="219" t="str">
        <f>IF(SnapshotTable[[#This Row],[Implied Move]]&gt;0, SnapshotTable[[#This Row],[Last Price]] + SnapshotTable[[#This Row],[Implied Move]],"")</f>
        <v/>
      </c>
      <c r="BA368" s="331"/>
      <c r="BB368" s="347"/>
      <c r="BC36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8" s="351"/>
      <c r="BE368" s="5"/>
      <c r="BF368" s="14"/>
      <c r="BG368" s="13"/>
      <c r="BH368" s="13"/>
      <c r="BI368" s="5"/>
      <c r="BJ368" s="136">
        <f>IF(SnapshotTable[[#This Row],[LP Qty]] &gt; 0, SnapshotTable[[#This Row],[LP Qty]] * SnapshotTable[[#This Row],[LP Book Price]] * 100,0)</f>
        <v>0</v>
      </c>
      <c r="BK368" s="136">
        <f>IF(SnapshotTable[[#This Row],[LP Premium]] &gt; 0, SnapshotTable[[#This Row],[LP Qty]] * SnapshotTable[[#This Row],[LP Strike Price]] * 100,0)</f>
        <v>0</v>
      </c>
      <c r="BL368" s="154"/>
      <c r="BM368" s="385" t="str">
        <f>IF(SnapshotTable[[#This Row],[LP Premium]] &gt; 0,SnapshotTable[[#This Row],[LP Exp Date]]-MAX(SnapshotTable[[#This Row],[LP Book Date]], SnapshotTable[[#This Row],[LP Fill Date]]),"")</f>
        <v/>
      </c>
      <c r="BN368" s="385" t="str">
        <f>IF(ISNUMBER( SnapshotTable[[#This Row],[LP Term]]), SnapshotTable[[#This Row],[LP Exp Date]] - MockToday,"")</f>
        <v/>
      </c>
      <c r="BO368" s="163" t="str">
        <f>IF(AND(SnapshotTable[[#This Row],[LP Exp Date]]&gt;0, SnapshotTable[[#This Row],[LP Strike Price]]&gt;0,SnapshotTable[[#This Row],[LP Qty]]&gt;0,SnapshotTable[[#This Row],[LP Book Date]]&gt;0,SnapshotTable[[#This Row],[LP Book Price]]&gt;0,SnapshotTable[[#This Row],[LP Fill Date]]=0),"Y","")</f>
        <v/>
      </c>
      <c r="BP368" s="31" t="str">
        <f>IF(AND(SnapshotTable[[#This Row],[LP No Fill]]&lt;&gt;"Y",SnapshotTable[[#This Row],[LP Contract Value]]&gt;0, SnapshotTable[[#This Row],[LP Qty]]&gt;0), SnapshotTable[[#This Row],[LP Contract Value]]*SnapshotTable[[#This Row],[LP Qty]]*100,"")</f>
        <v/>
      </c>
      <c r="BQ368" s="13"/>
      <c r="BR368" s="5" t="str">
        <f>IF(SnapshotTable[[#This Row],[SP Exp Date]]&lt;&gt;"",TRUNC(SnapshotTable[[#This Row],[Last Price]]),"")</f>
        <v/>
      </c>
      <c r="BS368" s="36"/>
      <c r="BT368" s="147"/>
      <c r="BU368" s="13"/>
      <c r="BV368" s="5"/>
      <c r="BW368" s="419" t="b">
        <f>AND(ISNUMBER(SnapshotTable[[#This Row],[SP Exp Date]]), ISNUMBER(SnapshotTable[[#This Row],[SP Strike Price]]), ISNUMBER(SnapshotTable[[#This Row],[SP Qty]]), ISNUMBER(SnapshotTable[[#This Row],[SP Book Date]]), ISNUMBER(SnapshotTable[[#This Row],[SP Book Price]]))</f>
        <v>0</v>
      </c>
      <c r="BX368" s="419" t="b">
        <f>AND(SnapshotTable[[#This Row],[SP Is Booked]], NOT(ISBLANK(SnapshotTable[[#This Row],[SP Fill Date]])))</f>
        <v>0</v>
      </c>
      <c r="BY368" s="33">
        <f>IF(SnapshotTable[[#This Row],[SP Is Booked]], SnapshotTable[[#This Row],[SP Qty]] * SnapshotTable[[#This Row],[SP Book Price]] * 100, 0)</f>
        <v>0</v>
      </c>
      <c r="BZ368" s="369"/>
      <c r="CA368" s="368">
        <f>SnapshotTable[[#This Row],[LP Qty]]</f>
        <v>0</v>
      </c>
      <c r="CB368" s="4" t="str">
        <f>IF(SnapshotTable[[#This Row],[SP Is Booked]], SnapshotTable[[#This Row],[SP Strike Price]] - SnapshotTable[[#This Row],[SP Book Price]], "")</f>
        <v/>
      </c>
      <c r="CC368" s="19" t="str">
        <f>IF(SnapshotTable[[#This Row],[SP Is Booked]],SnapshotTable[[#This Row],[SP Exp Date]]-MAX(SnapshotTable[[#This Row],[SP Book Date]], SnapshotTable[[#This Row],[SP Fill Date]]),"")</f>
        <v/>
      </c>
      <c r="CD368" s="7" t="str">
        <f>IF(SnapshotTable[[#This Row],[SP Is Booked]], SnapshotTable[[#This Row],[SP Book Price]]/SnapshotTable[[#This Row],[SP Strike Price]], "")</f>
        <v/>
      </c>
      <c r="CE368" s="7" t="str">
        <f>IF(ISNUMBER(SnapshotTable[[#This Row],[SP ROO Term]]),SnapshotTable[[#This Row],[SP ROO Term]]*(365/SnapshotTable[[#This Row],[SP Term]]),"")</f>
        <v/>
      </c>
      <c r="CF368" s="236">
        <f>SnapshotTable[[#This Row],[LP Strike Price]] * SnapshotTable[[#This Row],[LP Qty]] * 100</f>
        <v>0</v>
      </c>
      <c r="CG368" s="31" t="e">
        <f>IF(ISNUMBER(SnapshotTable[[#This Row],[SP Premium]]), (SnapshotTable[[#This Row],[SP Qty]] * SnapshotTable[[#This Row],[SP Strike Price]]* 100) - SnapshotTable[[#This Row],[LP Protection]], 0)</f>
        <v>#VALUE!</v>
      </c>
      <c r="CH368" s="7" t="str">
        <f>IF(ISNUMBER(SnapshotTable[[#This Row],[SP Break Even]]),-1 * (SnapshotTable[[#This Row],[SP Break Even]] - SnapshotTable[[#This Row],[Last Price]]) / SnapshotTable[[#This Row],[Last Price]], "")</f>
        <v/>
      </c>
      <c r="CI368" s="31">
        <f>IF(AND(ISNUMBER((SnapshotTable[[#This Row],[SP Potential Spend]])), SnapshotTable[[#This Row],[SP Strike Price]] &gt; SnapshotTable[[#This Row],[Last Price]], SnapshotTable[[#This Row],[SP Is Filled]]), SnapshotTable[[#This Row],[SP Potential Spend]] -  SnapshotTable[[#This Row],[LP Max Value]], 0)</f>
        <v>0</v>
      </c>
      <c r="CJ368" s="244"/>
      <c r="CK368" s="31" t="str">
        <f>IF(ISNUMBER(SnapshotTable[[#This Row],[SP Potential Spend]]),IF(ISNUMBER(SnapshotTable[[#This Row],[SP POW]]), SnapshotTable[[#This Row],[SP POW]] * SnapshotTable[[#This Row],[SP Potential Spend]], SnapshotTable[[#This Row],[SP Potential Spend]]), "")</f>
        <v/>
      </c>
      <c r="CL368" s="164" t="e">
        <f>IF(NOT(SnapshotTable[[#This Row],[SP Is Filled]]),(SnapshotTable[[#This Row],[SP Qty]] * SnapshotTable[[#This Row],[SP Strike Price]] * 100) - SnapshotTable[[#This Row],[LP Max Value]],"")</f>
        <v>#VALUE!</v>
      </c>
      <c r="CM368" s="31" t="str">
        <f>IF(SnapshotTable[[#This Row],[SP Actual Spend]]&lt;&gt;0, ((SnapshotTable[[#This Row],[SP Strike Price]]-SnapshotTable[[#This Row],[Last Price]]) *(SnapshotTable[[#This Row],[SP Qty]]*100) - SnapshotTable[[#This Row],[SP Premium]]) * - 1, "")</f>
        <v/>
      </c>
      <c r="CN368" s="78"/>
      <c r="CO368" s="369"/>
      <c r="CP368" s="4" t="str">
        <f>IF(SnapshotTable[[#This Row],[SP Is Filled]], btc_max_buyback_amount(SnapshotTable[[#This Row],[SP Fill Date]],SnapshotTable[[#This Row],[SP Exp Date]], SnapshotTable[[#This Row],[SP Book Price]]),"")</f>
        <v/>
      </c>
      <c r="CQ368" s="78"/>
      <c r="CR36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8" s="155" t="str">
        <f>IF(SnapshotTable[[#This Row],[SP Is Filled]], btc_next_cutoff_date(SnapshotTable[[#This Row],[SP Fill Date]],SnapshotTable[[#This Row],[SP Exp Date]]),"")</f>
        <v/>
      </c>
      <c r="CT368" s="235" t="str" cm="1">
        <f t="array" ref="CT368">IF(SnapshotTable[[#This Row],[SP Is Filled]], btc_should_buy_back(SnapshotTable[[#This Row],[SP Fill Date]], SnapshotTable[[#This Row],[SP Exp Date]], SnapshotTable[[#This Row],[SP Book Price]], SnapshotTable[[#This Row],[SP Current Ask]], MockToday, SnapshotTable[[#This Row],[SP Buyback Override]]),"")</f>
        <v/>
      </c>
      <c r="CU368" s="143"/>
      <c r="CV368" s="235"/>
      <c r="CW368" s="378" t="str">
        <f>IF(ISNUMBER( SnapshotTable[[#This Row],[SP Term]]), SnapshotTable[[#This Row],[SP Exp Date]] - MockToday,"")</f>
        <v/>
      </c>
      <c r="CX368" s="31" t="str">
        <f>IF(SnapshotTable[[#This Row],[SP Is Filled]],SnapshotTable[[#This Row],[SP Buyback Price to Use]] * 100 * SnapshotTable[[#This Row],[SP Qty]], "")</f>
        <v/>
      </c>
      <c r="CY368" s="4" t="str">
        <f>IF(ISNUMBER(SnapshotTable[[#This Row],[SP Strike Price]]), SnapshotTable[[#This Row],[SP Strike Price]] * (1 - SP_MaxLoss_StrikePct), "")</f>
        <v/>
      </c>
      <c r="CZ368" s="31" t="str">
        <f>IF(ISNUMBER(SnapshotTable[[#This Row],[SP Strike  Stop Per Share]]),SnapshotTable[[#This Row],[SP Premium]] - ((SnapshotTable[[#This Row],[SP Strike Price]]-SnapshotTable[[#This Row],[SP Strike  Stop Per Share]]) *(SnapshotTable[[#This Row],[SP Qty]] * 100)),"")</f>
        <v/>
      </c>
      <c r="DA368" s="4" t="str">
        <f>IF(AND(ISNUMBER(SnapshotTable[[#This Row],[SP Premium]]),SnapshotTable[[#This Row],[SP Premium]]&gt;0), SnapshotTable[[#This Row],[SP Book Price]] * (1 + SP_MaxLoss_OptionPct), "")</f>
        <v/>
      </c>
      <c r="DB368" s="31" t="str">
        <f>IF(ISNUMBER(SnapshotTable[[#This Row],[SP Option  Stop Contract]]),(SnapshotTable[[#This Row],[SP Option  Stop Contract]] *(SnapshotTable[[#This Row],[SP Qty]] * 100) - SnapshotTable[[#This Row],[SP Premium]]),"")</f>
        <v/>
      </c>
      <c r="DC368" s="4"/>
      <c r="DD368" s="4"/>
      <c r="DE368" s="4" t="str">
        <f>IF(AND(SnapshotTable[[#This Row],[SP Qty]]&gt;0, SnapshotTable[[#This Row],[SP Stop To Use]]&gt;0),SnapshotTable[[#This Row],[SP Premium]] - ( SnapshotTable[[#This Row],[SP Qty]] * SnapshotTable[[#This Row],[SP Stop To Use]] * 100), "")</f>
        <v/>
      </c>
      <c r="DF368" s="31" t="str">
        <f>IF(AND(SnapshotTable[[#This Row],[SP Qty]]&gt;0,SnapshotTable[[#This Row],[SP Current Ask]]&gt;0), SnapshotTable[[#This Row],[SP Qty]] * SnapshotTable[[#This Row],[SP Current Ask]] * -100, "")</f>
        <v/>
      </c>
      <c r="DG368" s="31" t="str">
        <f>IF(ISNUMBER((SnapshotTable[[#This Row],[SP Total Value]])), SnapshotTable[[#This Row],[SP Premium]] + SnapshotTable[[#This Row],[SP Total Value]], "")</f>
        <v/>
      </c>
      <c r="DH368" s="294" t="str">
        <f>IF(ISNUMBER((SnapshotTable[[#This Row],[SP Total Value]])), SnapshotTable[[#This Row],[SP Gain Loss]] / SnapshotTable[[#This Row],[SP Premium]], "")</f>
        <v/>
      </c>
      <c r="DI368" s="406"/>
      <c r="DJ368" s="138"/>
      <c r="DK368" s="148"/>
      <c r="DL368" s="13"/>
      <c r="DM368" s="13"/>
      <c r="DO368" s="31">
        <f>IF(SnapshotTable[[#This Row],[LC Symbol Count]]=1, SnapshotTable[[#This Row],[LC Qty]] * SnapshotTable[[#This Row],[LC Book Price]] * 100, 0)</f>
        <v>0</v>
      </c>
      <c r="DP368" s="163" t="str">
        <f>IF(AND(SnapshotTable[[#This Row],[LC Exp Date]]&gt;0, SnapshotTable[[#This Row],[LC Strike Price]]&gt;0,SnapshotTable[[#This Row],[LC Qty]]&gt;0,SnapshotTable[[#This Row],[LC Book Date]]&gt;0,SnapshotTable[[#This Row],[LC Book Price]]&gt;0,SnapshotTable[[#This Row],[LC Fill Date]]=0),"Y","")</f>
        <v/>
      </c>
      <c r="DQ368" s="386" t="str">
        <f>IF(SnapshotTable[[#This Row],[LC Premium]] &gt; 0,SnapshotTable[[#This Row],[LC Exp Date]]-MAX(SnapshotTable[[#This Row],[LC Book Date]], SnapshotTable[[#This Row],[LC Fill Date]]),"")</f>
        <v/>
      </c>
      <c r="DR368" s="386" t="str">
        <f>IF(ISNUMBER(SnapshotTable[[#This Row],[LC Term]]), SnapshotTable[[#This Row],[LC Exp Date]] - MockToday, "")</f>
        <v/>
      </c>
      <c r="DS368" s="234" t="str">
        <f>IF(SnapshotTable[[#This Row],[LC Premium]]&gt;0,SnapshotTable[[#This Row],[LC Strike Price]] + SnapshotTable[[#This Row],[LC Book Price]],"")</f>
        <v/>
      </c>
      <c r="DU368" s="9" t="str">
        <f>IF(AND(SnapshotTable[[#This Row],[LC Symbol Count]]&gt;0, SnapshotTable[[#This Row],[LC Contract Value]]&gt;0), SnapshotTable[[#This Row],[LC Contract Value]] * SnapshotTable[[#This Row],[LC Qty]] * 100, "")</f>
        <v/>
      </c>
      <c r="DV368" s="9" t="str">
        <f>IF(AND(ISNUMBER(SnapshotTable[[#This Row],[LC Total Value]]), SnapshotTable[[#This Row],[LC Not Filled]]&lt;&gt;"Y"), SnapshotTable[[#This Row],[LC Total Value]]-SnapshotTable[[#This Row],[LC Premium]],"")</f>
        <v/>
      </c>
      <c r="DW368" s="240" t="str">
        <f>IF(ISNUMBER(SnapshotTable[[#This Row],[LC Actual Gain Loss]]), SnapshotTable[[#This Row],[LC Actual Gain Loss]] / SnapshotTable[[#This Row],[LC Premium]],"")</f>
        <v/>
      </c>
      <c r="DX368" s="284" t="str">
        <f>IF(ISNUMBER(SnapshotTable[[#This Row],[LC Book Price]]),SnapshotTable[[#This Row],[LC Book Price]] * 1.5,"")</f>
        <v/>
      </c>
      <c r="DY368" s="265" t="str">
        <f>IF(SnapshotTable[[#This Row],[LC Premium]]&gt;0, SnapshotTable[[#This Row],[LC Next Target]] * SnapshotTable[[#This Row],[LC Qty]] * 100,"")</f>
        <v/>
      </c>
      <c r="DZ368" s="265" t="str">
        <f>IF(ISNUMBER(SnapshotTable[[#This Row],[LC Target Gross]]), SnapshotTable[[#This Row],[LC Target Gross]] - SnapshotTable[[#This Row],[LC Premium]], "")</f>
        <v/>
      </c>
      <c r="EA368" s="305" t="str">
        <f>IF(ISNUMBER(SnapshotTable[[#This Row],[LC Target Gain Loss]]), SnapshotTable[[#This Row],[LC Target Gain Loss]]/SnapshotTable[[#This Row],[LC Premium]], "")</f>
        <v/>
      </c>
      <c r="EB368" s="262"/>
      <c r="EC368" s="283" t="str">
        <f>IF(SnapshotTable[[#This Row],[LC Premium]]&gt;0, SnapshotTable[[#This Row],[LC Book Price]] * (1 - LC_StopLoss_Pct),"")</f>
        <v/>
      </c>
      <c r="ED368" s="284"/>
      <c r="EE368" s="283" t="str">
        <f>IF(ISNUMBER(SnapshotTable[[#This Row],[LC Contract Value]]),IF(ISNUMBER(SnapshotTable[[#This Row],[LC Stop Loss Override]]), SnapshotTable[[#This Row],[LC Stop Loss Override]],SnapshotTable[[#This Row],[LC Stop Loss Calc Target]]),"")</f>
        <v/>
      </c>
      <c r="EF368" s="31" t="str">
        <f>IF(ISNUMBER(SnapshotTable[[#This Row],[LC Stop  To Use]]), (SnapshotTable[[#This Row],[LC Stop  To Use]] * SnapshotTable[[#This Row],[LC Qty]] * 100),"")</f>
        <v/>
      </c>
      <c r="EG368" s="9" t="str">
        <f>IF(ISNUMBER(SnapshotTable[[#This Row],[LC Total Value]]),SnapshotTable[[#This Row],[LC Stop Loss Amount]] - SnapshotTable[[#This Row],[LC Premium]],"")</f>
        <v/>
      </c>
      <c r="EH368" s="9">
        <f>IF(ISNUMBER(SnapshotTable[[#This Row],[LC Premium]]), SnapshotTable[[#This Row],[LC Qty]] * 100 * SnapshotTable[[#This Row],[LC Strike Price]], "")</f>
        <v>0</v>
      </c>
      <c r="EI368" s="240" t="str">
        <f>IF(AND(ISNUMBER(SnapshotTable[[#This Row],[LC Total Value]]),SnapshotTable[[#This Row],[LC Total Value]]&gt;0),SnapshotTable[[#This Row],[LC Stop Gain Loss]]  / SnapshotTable[[#This Row],[LC Premium]],"")</f>
        <v/>
      </c>
      <c r="EJ368" s="35">
        <f>IF(ISNUMBER(SnapshotTable[[#This Row],[Equity Shares]]),TRUNC(SnapshotTable[[#This Row],[Equity Shares]] / 100),0) + SnapshotTable[[#This Row],[LC Qty]]</f>
        <v>0</v>
      </c>
      <c r="EK368" s="147"/>
      <c r="EL368" s="138" t="str">
        <f>IF(SnapshotTable[[#This Row],[SC Exp Date]]&lt;&gt;"",TRUNC(SnapshotTable[[#This Row],[Last Price]]),"")</f>
        <v/>
      </c>
      <c r="EM368" s="148"/>
      <c r="EN368" s="147"/>
      <c r="EO368" s="147"/>
      <c r="EP368" s="138"/>
      <c r="EQ368" s="419" t="b">
        <f>AND(ISNUMBER(SnapshotTable[[#This Row],[SC Exp Date]]), ISNUMBER(SnapshotTable[[#This Row],[SC Strike Price]]), ISNUMBER(SnapshotTable[[#This Row],[SC Qty]]), ISNUMBER(SnapshotTable[[#This Row],[SC Book Date]]), ISNUMBER(SnapshotTable[[#This Row],[SC Book Price]]))</f>
        <v>0</v>
      </c>
      <c r="ER368" s="419" t="b">
        <f>AND(SnapshotTable[[#This Row],[SC Is Booked]], NOT(ISBLANK(SnapshotTable[[#This Row],[SC Fill Date]])))</f>
        <v>0</v>
      </c>
      <c r="ES368" s="370"/>
      <c r="ET368" s="34" t="str">
        <f>IF(AND(ISNUMBER(SnapshotTable[[#This Row],[SC Exp Date]]), ISNUMBER(SnapshotTable[[#This Row],[SC Book Date]])), SnapshotTable[[#This Row],[SC Exp Date]] - MAX(SnapshotTable[[#This Row],[SC Book Date]], SnapshotTable[[#This Row],[SC Fill Date]]) + 1, "")</f>
        <v/>
      </c>
      <c r="EU368" s="34" t="str">
        <f>IF(ISNUMBER(SnapshotTable[[#This Row],[SC Term]]), SnapshotTable[[#This Row],[SC Exp Date]]- MockToday, "")</f>
        <v/>
      </c>
      <c r="EV368" s="31">
        <f>IF(SnapshotTable[[#This Row],[SC Is Booked]], SnapshotTable[[#This Row],[SC Qty]] * SnapshotTable[[#This Row],[SC Book Price]] * 100, 0)</f>
        <v>0</v>
      </c>
      <c r="EW368" s="4" t="str">
        <f>IF(AND(ISNUMBER(SnapshotTable[[#This Row],[Last Price]]), ISNUMBER( SnapshotTable[[#This Row],[SC Book Price]])), SnapshotTable[[#This Row],[Last Price]] - SnapshotTable[[#This Row],[SC Book Price]],"")</f>
        <v/>
      </c>
      <c r="EX368" s="234" t="str">
        <f>IF(SnapshotTable[[#This Row],[SC Is Booked]],IF(SnapshotTable[[#This Row],[SC Intrinsic Value]] &gt; 0, SnapshotTable[[#This Row],[SC Strike Price]], SnapshotTable[[#This Row],[Last Price]]), "")</f>
        <v/>
      </c>
      <c r="EY368" s="4">
        <f>IF(SnapshotTable[[#This Row],[SC Is Booked]], (MinimumPremiumRequired * SnapshotTable[[#This Row],[SC Basis]] * SnapshotTable[[#This Row],[SC Term]]), 0)</f>
        <v>0</v>
      </c>
      <c r="EZ368" s="283"/>
      <c r="FA368" s="218"/>
      <c r="FB368" s="370"/>
      <c r="FC368" s="4">
        <f>IF(SnapshotTable[[#This Row],[SC Is Filled]], btc_max_buyback_amount(SnapshotTable[[#This Row],[SC Fill Date]],SnapshotTable[[#This Row],[SC Exp Date]], SnapshotTable[[#This Row],[SC Book Price]]),0)</f>
        <v>0</v>
      </c>
      <c r="FD368" s="5"/>
      <c r="FE368" s="144" t="str">
        <f>IF(SnapshotTable[[#This Row],[SC Is Filled]], btc_next_cutoff_date(SnapshotTable[[#This Row],[SC Fill Date]],SnapshotTable[[#This Row],[SC Exp Date]]),"")</f>
        <v/>
      </c>
      <c r="FF368" s="4" t="str" cm="1">
        <f t="array" ref="FF368">IF(SnapshotTable[[#This Row],[SC Is Filled]], btc_should_buy_back(SnapshotTable[[#This Row],[SC Fill Date]], SnapshotTable[[#This Row],[SC Exp Date]], SnapshotTable[[#This Row],[SC Book Price]], SnapshotTable[[#This Row],[SC Current Ask]], MockToday, SnapshotTable[[#This Row],[SC Buyback Override]]),"")</f>
        <v/>
      </c>
      <c r="FG368" s="4">
        <f>IF(SnapshotTable[[#This Row],[SC Is Filled]], MAX(0,SnapshotTable[[#This Row],[Last Price]]  - SnapshotTable[[#This Row],[SC Strike Price]]), 0)</f>
        <v>0</v>
      </c>
      <c r="FH368" s="382">
        <f>IF(SnapshotTable[[#This Row],[SC Is Filled]], IF(ISNUMBER(SnapshotTable[[#This Row],[SC Current Ask]]), SnapshotTable[[#This Row],[SC Current Ask]], SnapshotTable[[#This Row],[SC Book Price]]) - SnapshotTable[[#This Row],[SC Intrinsic Value]], 0)</f>
        <v>0</v>
      </c>
      <c r="FI368" s="143"/>
      <c r="FJ368" s="32" t="str">
        <f>IF(SnapshotTable[[#This Row],[SC Is Filled]],100 * SnapshotTable[[#This Row],[SC Qty]] * IF(ISNUMBER(SnapshotTable[[#This Row],[SC Buyback Override]]), SnapshotTable[[#This Row],[SC Buyback Override]], SnapshotTable[[#This Row],[SC Current Ask]]), "")</f>
        <v/>
      </c>
      <c r="FK368" s="250" t="str">
        <f>IF(SnapshotTable[[#This Row],[SC Time Val]]&gt;0, SnapshotTable[[#This Row],[SC Time Val]] / SnapshotTable[[#This Row],[Last Price]],"")</f>
        <v/>
      </c>
      <c r="FL368" s="302" t="str">
        <f>IF(SnapshotTable[[#This Row],[SC Is Booked]], ((SnapshotTable[[#This Row],[Last Price]] -SnapshotTable[[#This Row],[SC Strike Price]]) / SnapshotTable[[#This Row],[Last Price]]) * -1, "")</f>
        <v/>
      </c>
      <c r="FM368" s="157" t="str">
        <f>IF(SnapshotTable[[#This Row],[SC Is Booked]],  (SnapshotTable[[#This Row],[SC Qty]] * 100 * SnapshotTable[[#This Row],[SC Strike Price]]) - SnapshotTable[[#This Row],[SC Current Ask]], "")</f>
        <v/>
      </c>
      <c r="FN36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8" s="31" t="str">
        <f>IF(AND(ISNUMBER(SnapshotTable[[#This Row],[SC Exercise Gross]]), ISNUMBER(SnapshotTable[[#This Row],[Equity Basis Per Share]] )), SnapshotTable[[#This Row],[SC Exercise Gross]] - SnapshotTable[[#This Row],[Equity Basis Total]] +  SnapshotTable[[#This Row],[SC Premium]], "")</f>
        <v/>
      </c>
      <c r="FP368" s="5" t="str">
        <f>IF(ISNUMBER(SnapshotTable[[#This Row],[SC Exercise Gross]]), (SnapshotTable[[#This Row],[SC Exercise Gross]]) / (SnapshotTable[[#This Row],[SC Qty]] * 100), "")</f>
        <v/>
      </c>
      <c r="FQ368" s="27" t="str">
        <f>IF(SnapshotTable[[#This Row],[SC Is Booked]],SnapshotTable[[#This Row],[SC Time Val]] /SnapshotTable[[#This Row],[SC Basis]], "")</f>
        <v/>
      </c>
      <c r="FR368" s="27" t="str" cm="1">
        <f t="array" ref="FR368">IF(AND(ISNUMBER(SnapshotTable[[#This Row],[SC Term]]),ISNUMBER(SnapshotTable[[#This Row],[SC Simple ROO]])), EllmanAnnualize(SnapshotTable[[#This Row],[SC DTE]], SnapshotTable[[#This Row],[SC Simple ROO]] ),"")</f>
        <v/>
      </c>
      <c r="FS368" s="4" t="e">
        <f>IF(SnapshotTable[[#This Row],[SC Strike Price]] &gt; SnapshotTable[[#This Row],[Last Price]], SnapshotTable[[#This Row],[SC Strike Price]] - SnapshotTable[[#This Row],[Last Price]],0)</f>
        <v>#VALUE!</v>
      </c>
      <c r="FT368" s="27" t="e">
        <f>IF(AND(ISNUMBER(SnapshotTable[[#This Row],[SC Upside Potential]]), SnapshotTable[[#This Row],[SC Upside Potential]] &gt; 0),(SnapshotTable[[#This Row],[SC Upside Potential]]/ SnapshotTable[[#This Row],[ACB]]),"")</f>
        <v>#VALUE!</v>
      </c>
      <c r="FU368" s="333" t="str">
        <f>IF(SnapshotTable[[#This Row],[SC Intrinsic Value]] &gt; 0,SnapshotTable[[#This Row],[SC Intrinsic Value]],"")</f>
        <v/>
      </c>
      <c r="FV368" s="27" t="str">
        <f>IF(AND( ISNUMBER( SnapshotTable[[#This Row],[ACB]]),ISNUMBER(SnapshotTable[[#This Row],[SC Downside Protect]])),SnapshotTable[[#This Row],[SC Downside Protect]] / SnapshotTable[[#This Row],[ACB]],"")</f>
        <v/>
      </c>
      <c r="FW368" s="236" t="str">
        <f>IF(AND(ISNUMBER(SnapshotTable[[#This Row],[SC Simple ROO]]),SnapshotTable[[#This Row],[SC Simple ROO]] &gt; 0), SnapshotTable[[#This Row],[SC Premium]] + (SnapshotTable[[#This Row],[SC Qty]] * SnapshotTable[[#This Row],[SC Upside Potential]]), "")</f>
        <v/>
      </c>
      <c r="FX368" s="302" t="str" cm="1">
        <f t="array" ref="FX368">IF(ISNUMBER(SnapshotTable[[#This Row],[SC Max Dollars]]), annualize(SnapshotTable[[#This Row],[SC Term]],(SnapshotTable[[#This Row],[SC Max Dollars]]/SnapshotTable[[#This Row],[SC Basis]])),"")</f>
        <v/>
      </c>
      <c r="FY368" s="236" t="str">
        <f>IF(AND(SnapshotTable[[#This Row],[SC Qty]]&gt;0,SnapshotTable[[#This Row],[SC Current Ask]]&gt;0), SnapshotTable[[#This Row],[SC Qty]] * SnapshotTable[[#This Row],[SC Current Ask]] * -100, "")</f>
        <v/>
      </c>
      <c r="FZ368" s="31" t="str">
        <f>IF(ISNUMBER((SnapshotTable[[#This Row],[SC Current Value]])), SnapshotTable[[#This Row],[SC Premium]] + SnapshotTable[[#This Row],[SC Current Value]], "")</f>
        <v/>
      </c>
      <c r="GA368" s="294" t="str">
        <f>IFERROR( IF(ISNUMBER((SnapshotTable[[#This Row],[SC Current Value]])), SnapshotTable[[#This Row],[SC Gain Loss]] / SnapshotTable[[#This Row],[SC Premium]], ""), "")</f>
        <v/>
      </c>
      <c r="GB368" s="42">
        <f>SnapshotTable[[#This Row],[Equity Shares]] * SaleSharesToConsiderPercentage</f>
        <v>0</v>
      </c>
      <c r="GC368" s="40">
        <f>SnapshotTable[[#This Row],[Long Term Target]] * SellingPriceToConsiderBasedOnTargetPercentage</f>
        <v>32.546999999999997</v>
      </c>
      <c r="GD368" s="40">
        <f>SnapshotTable[[#This Row],[Last Price]] * (1+ SellingPriceToConsiderBasedOnTargetPercentage)</f>
        <v>83.88900000000001</v>
      </c>
      <c r="GE368" s="41"/>
      <c r="GF368" s="40"/>
      <c r="GG368" s="31">
        <f>SnapshotTable[[#This Row],[Booked Sale Shares]] * SnapshotTable[[#This Row],[Booked Sale Price]]</f>
        <v>0</v>
      </c>
      <c r="GH368" s="31" t="str">
        <f>IF(SnapshotTable[[#This Row],[Equity Basis Total]] &gt; 0, SnapshotTable[[#This Row],[Equity Basis Per Share]] * SnapshotTable[[#This Row],[Booked Sale Shares]], "")</f>
        <v/>
      </c>
      <c r="GI368" s="31">
        <f>IF(SnapshotTable[[#This Row],[Sale Proceeds]]&gt;0, SnapshotTable[[#This Row],[Sale Proceeds]] - SnapshotTable[[#This Row],[Sale Basis]], 0)</f>
        <v>0</v>
      </c>
      <c r="GJ368" s="27" t="str">
        <f>IF(SnapshotTable[[#This Row],[Sale G/L]]&gt;0, SnapshotTable[[#This Row],[Sale G/L]] / SnapshotTable[[#This Row],[Sale Basis]], IF(ISNUMBER(SnapshotTable[[#This Row],[SC Exercise P&amp;L (TAX)]]), SnapshotTable[[#This Row],[SC Exercise P&amp;L (TAX)]] / SnapshotTable[[#This Row],[SC Basis]], ""))</f>
        <v/>
      </c>
      <c r="GK368" s="27" t="s">
        <v>801</v>
      </c>
      <c r="GL368" s="43" t="str">
        <f>IF(AND(SnapshotTable[[#This Row],[LP Exp Date]]&gt;0,SnapshotTable[[#This Row],[LP Strike Price]]&gt;0), [1]!ToOptionSymbol(SnapshotTable[[#This Row],[Symbol]], SnapshotTable[[#This Row],[LP Strike Price]],SnapshotTable[[#This Row],[LP Exp Date]],1), "")</f>
        <v/>
      </c>
      <c r="GM368" s="30" t="str">
        <f>IF(LEN(SnapshotTable[[#This Row],[LP Symbol]])&gt;0, 1, "")</f>
        <v/>
      </c>
      <c r="GN368" s="43" t="str">
        <f>IF(AND(SnapshotTable[[#This Row],[SP Exp Date]]&gt;0,SnapshotTable[[#This Row],[SP Strike Price]]&gt;0), [1]!ToOptionSymbol(SnapshotTable[[#This Row],[Symbol]], SnapshotTable[[#This Row],[SP Strike Price]],SnapshotTable[[#This Row],[SP Exp Date]],1), "")</f>
        <v/>
      </c>
      <c r="GO368" s="30" t="str">
        <f>IF(LEN(SnapshotTable[[#This Row],[SP Symbol]])&gt;0, 1, "")</f>
        <v/>
      </c>
      <c r="GP368" s="43" t="str">
        <f>IF(AND(SnapshotTable[[#This Row],[LC Exp Date]]&gt;0,SnapshotTable[[#This Row],[LC Strike Price]]&gt;0), [1]!ToOptionSymbol(SnapshotTable[[#This Row],[Symbol]], SnapshotTable[[#This Row],[LC Strike Price]],SnapshotTable[[#This Row],[LC Exp Date]],0), "")</f>
        <v/>
      </c>
      <c r="GQ368" s="30" t="str">
        <f>IF(LEN(SnapshotTable[[#This Row],[LC Symbol]])&gt;0, 1, "")</f>
        <v/>
      </c>
      <c r="GR368" s="43" t="str">
        <f>IF(AND(SnapshotTable[[#This Row],[SC Exp Date]]&gt;0,SnapshotTable[[#This Row],[SC Strike Price]]&gt;0), [1]!ToOptionSymbol(SnapshotTable[[#This Row],[Symbol]], SnapshotTable[[#This Row],[SC Strike Price]],SnapshotTable[[#This Row],[SC Exp Date]],0), "")</f>
        <v/>
      </c>
      <c r="GS368" s="30" t="str">
        <f>IF(LEN(SnapshotTable[[#This Row],[SC Symbol]])&gt;0, 1, "")</f>
        <v/>
      </c>
      <c r="GT368" s="29" t="str">
        <f>IF(COUNT(SnapshotTable[[#This Row],[LP Symbol Count]],SnapshotTable[[#This Row],[SP Symbol Count]],SnapshotTable[[#This Row],[LC Symbol Count]],SnapshotTable[[#This Row],[SC Symbol Count]])&gt;0, "Y", "")</f>
        <v/>
      </c>
      <c r="GU36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8" s="231" t="e">
        <f>MAX(SnapshotTable[[#This Row],[Equity Basis Total]],SnapshotTable[[#This Row],[Equity Value]]) + (SnapshotTable[[#This Row],[SP Potential Spend]]- SnapshotTable[[#This Row],[SP Premium]] + SnapshotTable[[#This Row],[LP Premium]])+ (SnapshotTable[[#This Row],[LC Premium]] - SnapshotTable[[#This Row],[SC Premium]])</f>
        <v>#VALUE!</v>
      </c>
      <c r="GW368" s="139" t="e">
        <f>IF(AND(SnapshotTable[[#This Row],[Exposure]] &lt;&gt; 0),SnapshotTable[[#This Row],[Exposure]] / SnapshotTable[[#Totals],[Exposure]], "")</f>
        <v>#VALUE!</v>
      </c>
      <c r="HK368" s="1"/>
      <c r="HL368" s="1"/>
      <c r="HM368" s="1"/>
      <c r="HN368" s="1"/>
      <c r="HO368" s="1"/>
      <c r="HP368" s="1"/>
    </row>
    <row r="369" spans="2:224" ht="12.75" hidden="1" customHeight="1" x14ac:dyDescent="0.25">
      <c r="B369" s="12" t="s">
        <v>946</v>
      </c>
      <c r="C369" s="422">
        <v>106.92</v>
      </c>
      <c r="D369" s="208"/>
      <c r="E369" s="39">
        <f>SnapshotTable[[#This Row],[Last Price]]*(1 -CrashDiscount)</f>
        <v>90.882000000000005</v>
      </c>
      <c r="F369" s="26" t="s">
        <v>5</v>
      </c>
      <c r="G369" s="26" t="s">
        <v>4</v>
      </c>
      <c r="H369" s="149"/>
      <c r="I369" s="194">
        <v>44770.694444444445</v>
      </c>
      <c r="J369" s="195">
        <v>44770.694444444445</v>
      </c>
      <c r="K369" s="196"/>
      <c r="L369" s="326"/>
      <c r="M369" s="140"/>
      <c r="N369" s="140"/>
      <c r="O369" s="140"/>
      <c r="P369" s="22"/>
      <c r="Q369" s="25"/>
      <c r="R369" s="4" t="str">
        <f>IF(SnapshotTable[[#This Row],[Equity Basis Total]] &gt; 0, SnapshotTable[[#This Row],[Equity Basis Total]] / SnapshotTable[[#This Row],[Equity Shares]], "")</f>
        <v/>
      </c>
      <c r="S369" s="269">
        <f>SnapshotTable[[#This Row],[Last Price]] * SnapshotTable[[#This Row],[Equity Shares]]</f>
        <v>0</v>
      </c>
      <c r="T369" s="269">
        <f>SnapshotTable[[#This Row],[Equity Value]] - SnapshotTable[[#This Row],[Equity Basis Total]]</f>
        <v>0</v>
      </c>
      <c r="U369" s="270" t="str">
        <f>IF(SnapshotTable[[#This Row],[Equity Basis Total]] &gt; 0, SnapshotTable[[#This Row],[Equity G/L]] / SnapshotTable[[#This Row],[Equity Basis Total]], "")</f>
        <v/>
      </c>
      <c r="V369" s="268">
        <v>65</v>
      </c>
      <c r="W369" s="268">
        <v>56.2</v>
      </c>
      <c r="X369" s="4" t="str">
        <f>IF(AND(ISNUMBER(SnapshotTable[[#This Row],[Equity Basis Per Share]]),ISNUMBER(SnapshotTable[[#This Row],[Equity Target]])),SnapshotTable[[#This Row],[Equity Target]]-SnapshotTable[[#This Row],[Equity Basis Per Share]],"")</f>
        <v/>
      </c>
      <c r="Y369" s="4" t="str">
        <f>IF(AND(ISNUMBER(SnapshotTable[[#This Row],[Equity Basis Per Share]]),ISNUMBER(SnapshotTable[[#This Row],[Equity Stop Loss]])),SnapshotTable[[#This Row],[Equity Stop Loss]]-SnapshotTable[[#This Row],[Equity Basis Per Share]],"")</f>
        <v/>
      </c>
      <c r="Z369" s="275" t="str">
        <f>IFERROR( TEXT(SnapshotTable[[#This Row],[Equity Max Gain Per Share]] /ABS( SnapshotTable[[#This Row],[Equity Max Loss Per Share]]),"0.0 " ) &amp; " : 1", "")</f>
        <v/>
      </c>
      <c r="AA369" s="31" t="str">
        <f>IF(ISNUMBER(SnapshotTable[[#This Row],[Equity Max Gain Per Share]]),SnapshotTable[[#This Row],[Equity Max Gain Per Share]] * SnapshotTable[[#This Row],[Equity Shares]],"")</f>
        <v/>
      </c>
      <c r="AB369" s="31" t="str">
        <f>IF(ISNUMBER(SnapshotTable[[#This Row],[Equity Max Loss Per Share]]),SnapshotTable[[#This Row],[Equity Max Loss Per Share]] * SnapshotTable[[#This Row],[Equity Shares]],"")</f>
        <v/>
      </c>
      <c r="AC369" s="150"/>
      <c r="AD369" s="151"/>
      <c r="AE369" s="31">
        <f>(SnapshotTable[[#This Row],[Annual Dividend Per Share]] / 4) * SnapshotTable[[#This Row],[Equity Shares]]</f>
        <v>0</v>
      </c>
      <c r="AF369" s="31">
        <f>SnapshotTable[[#This Row],[Quarterly Div $]] * 4</f>
        <v>0</v>
      </c>
      <c r="AG369" s="7">
        <f>IF(SnapshotTable[[#This Row],[Annual Dividend Per Share]]&gt;0, SnapshotTable[[#This Row],[Annual Dividend Per Share]]  / SnapshotTable[[#This Row],[Last Price]], 0)</f>
        <v>0</v>
      </c>
      <c r="AH369" s="151"/>
      <c r="AI369" s="5"/>
      <c r="AJ369" s="138" t="s">
        <v>164</v>
      </c>
      <c r="AK369" s="152" t="str">
        <f>IF(ISNUMBER( SnapshotTable[[#This Row],[EBF Target]]),(SnapshotTable[[#This Row],[EBF Target]] - SnapshotTable[[#This Row],[Last Price]]) / SnapshotTable[[#This Row],[Last Price]], "")</f>
        <v/>
      </c>
      <c r="AL369" s="152" t="str">
        <f>IF(AND(SnapshotTable[[#This Row],[Equity Basis Total]] &gt; 0,ISNUMBER( SnapshotTable[[#This Row],[Long Term Target]])), SnapshotTable[[#This Row],[From Basis $]] / SnapshotTable[[#This Row],[Equity Basis Total]], "")</f>
        <v/>
      </c>
      <c r="AM369" s="9">
        <f>IF( AND(SnapshotTable[[#This Row],[Equity Shares]] &gt;0,ISNUMBER( SnapshotTable[[#This Row],[Long Term Target]])),(SnapshotTable[[#This Row],[Equity Shares]] * SnapshotTable[[#This Row],[Long Term Target]]) - SnapshotTable[[#This Row],[Equity Basis Total]],0)</f>
        <v>0</v>
      </c>
      <c r="AN369" s="9">
        <f>IF( AND(SnapshotTable[[#This Row],[Equity Shares]] &gt;0,ISNUMBER( SnapshotTable[[#This Row],[Long Term Target]])),(SnapshotTable[[#This Row],[Equity Shares]]*SnapshotTable[[#This Row],[Long Term Target]]) - SnapshotTable[[#This Row],[Equity Value]],0)</f>
        <v>0</v>
      </c>
      <c r="AO369" s="152" t="str">
        <f>IF(AND(ISNUMBER( SnapshotTable[[#This Row],[Long Term Target]]), ISNUMBER(SnapshotTable[[#This Row],[Last Price]])),(SnapshotTable[[#This Row],[Long Term Target]] - SnapshotTable[[#This Row],[Last Price]]) / SnapshotTable[[#This Row],[Last Price]], "")</f>
        <v/>
      </c>
      <c r="AP369" s="5"/>
      <c r="AQ369" s="38"/>
      <c r="AR369" s="5"/>
      <c r="AS369" s="38"/>
      <c r="AT369" s="146"/>
      <c r="AU369" s="187" t="str">
        <f>IF(OR(SnapshotTable[[#This Row],[LP No Fill]]="Y",SnapshotTable[[#This Row],[SP Is Filled]],SnapshotTable[[#This Row],[LC Not Filled]]="Y",SnapshotTable[[#This Row],[SC Is Filled]]),"Y","")</f>
        <v/>
      </c>
      <c r="AV369" s="219"/>
      <c r="AW369" s="225"/>
      <c r="AX369" s="220"/>
      <c r="AY369" s="219" t="str">
        <f>IF(SnapshotTable[[#This Row],[Implied Move]]&gt;0, SnapshotTable[[#This Row],[Last Price]]-SnapshotTable[[#This Row],[Implied Move]],"")</f>
        <v/>
      </c>
      <c r="AZ369" s="219" t="str">
        <f>IF(SnapshotTable[[#This Row],[Implied Move]]&gt;0, SnapshotTable[[#This Row],[Last Price]] + SnapshotTable[[#This Row],[Implied Move]],"")</f>
        <v/>
      </c>
      <c r="BA369" s="331"/>
      <c r="BB369" s="347"/>
      <c r="BC36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9" s="351"/>
      <c r="BE369" s="5"/>
      <c r="BF369" s="14"/>
      <c r="BG369" s="13"/>
      <c r="BH369" s="13"/>
      <c r="BI369" s="5"/>
      <c r="BJ369" s="136">
        <f>IF(SnapshotTable[[#This Row],[LP Qty]] &gt; 0, SnapshotTable[[#This Row],[LP Qty]] * SnapshotTable[[#This Row],[LP Book Price]] * 100,0)</f>
        <v>0</v>
      </c>
      <c r="BK369" s="136">
        <f>IF(SnapshotTable[[#This Row],[LP Premium]] &gt; 0, SnapshotTable[[#This Row],[LP Qty]] * SnapshotTable[[#This Row],[LP Strike Price]] * 100,0)</f>
        <v>0</v>
      </c>
      <c r="BL369" s="154"/>
      <c r="BM369" s="385" t="str">
        <f>IF(SnapshotTable[[#This Row],[LP Premium]] &gt; 0,SnapshotTable[[#This Row],[LP Exp Date]]-MAX(SnapshotTable[[#This Row],[LP Book Date]], SnapshotTable[[#This Row],[LP Fill Date]]),"")</f>
        <v/>
      </c>
      <c r="BN369" s="385" t="str">
        <f>IF(ISNUMBER( SnapshotTable[[#This Row],[LP Term]]), SnapshotTable[[#This Row],[LP Exp Date]] - MockToday,"")</f>
        <v/>
      </c>
      <c r="BO369" s="163" t="str">
        <f>IF(AND(SnapshotTable[[#This Row],[LP Exp Date]]&gt;0, SnapshotTable[[#This Row],[LP Strike Price]]&gt;0,SnapshotTable[[#This Row],[LP Qty]]&gt;0,SnapshotTable[[#This Row],[LP Book Date]]&gt;0,SnapshotTable[[#This Row],[LP Book Price]]&gt;0,SnapshotTable[[#This Row],[LP Fill Date]]=0),"Y","")</f>
        <v/>
      </c>
      <c r="BP369" s="31" t="str">
        <f>IF(AND(SnapshotTable[[#This Row],[LP No Fill]]&lt;&gt;"Y",SnapshotTable[[#This Row],[LP Contract Value]]&gt;0, SnapshotTable[[#This Row],[LP Qty]]&gt;0), SnapshotTable[[#This Row],[LP Contract Value]]*SnapshotTable[[#This Row],[LP Qty]]*100,"")</f>
        <v/>
      </c>
      <c r="BQ369" s="13"/>
      <c r="BR369" s="5" t="str">
        <f>IF(SnapshotTable[[#This Row],[SP Exp Date]]&lt;&gt;"",TRUNC(SnapshotTable[[#This Row],[Last Price]]),"")</f>
        <v/>
      </c>
      <c r="BS369" s="36"/>
      <c r="BT369" s="147"/>
      <c r="BU369" s="13"/>
      <c r="BV369" s="5"/>
      <c r="BW369" s="419" t="b">
        <f>AND(ISNUMBER(SnapshotTable[[#This Row],[SP Exp Date]]), ISNUMBER(SnapshotTable[[#This Row],[SP Strike Price]]), ISNUMBER(SnapshotTable[[#This Row],[SP Qty]]), ISNUMBER(SnapshotTable[[#This Row],[SP Book Date]]), ISNUMBER(SnapshotTable[[#This Row],[SP Book Price]]))</f>
        <v>0</v>
      </c>
      <c r="BX369" s="419" t="b">
        <f>AND(SnapshotTable[[#This Row],[SP Is Booked]], NOT(ISBLANK(SnapshotTable[[#This Row],[SP Fill Date]])))</f>
        <v>0</v>
      </c>
      <c r="BY369" s="33">
        <f>IF(SnapshotTable[[#This Row],[SP Is Booked]], SnapshotTable[[#This Row],[SP Qty]] * SnapshotTable[[#This Row],[SP Book Price]] * 100, 0)</f>
        <v>0</v>
      </c>
      <c r="BZ369" s="369"/>
      <c r="CA369" s="368">
        <f>SnapshotTable[[#This Row],[LP Qty]]</f>
        <v>0</v>
      </c>
      <c r="CB369" s="4" t="str">
        <f>IF(SnapshotTable[[#This Row],[SP Is Booked]], SnapshotTable[[#This Row],[SP Strike Price]] - SnapshotTable[[#This Row],[SP Book Price]], "")</f>
        <v/>
      </c>
      <c r="CC369" s="19" t="str">
        <f>IF(SnapshotTable[[#This Row],[SP Is Booked]],SnapshotTable[[#This Row],[SP Exp Date]]-MAX(SnapshotTable[[#This Row],[SP Book Date]], SnapshotTable[[#This Row],[SP Fill Date]]),"")</f>
        <v/>
      </c>
      <c r="CD369" s="7" t="str">
        <f>IF(SnapshotTable[[#This Row],[SP Is Booked]], SnapshotTable[[#This Row],[SP Book Price]]/SnapshotTable[[#This Row],[SP Strike Price]], "")</f>
        <v/>
      </c>
      <c r="CE369" s="7" t="str">
        <f>IF(ISNUMBER(SnapshotTable[[#This Row],[SP ROO Term]]),SnapshotTable[[#This Row],[SP ROO Term]]*(365/SnapshotTable[[#This Row],[SP Term]]),"")</f>
        <v/>
      </c>
      <c r="CF369" s="236">
        <f>SnapshotTable[[#This Row],[LP Strike Price]] * SnapshotTable[[#This Row],[LP Qty]] * 100</f>
        <v>0</v>
      </c>
      <c r="CG369" s="31" t="e">
        <f>IF(ISNUMBER(SnapshotTable[[#This Row],[SP Premium]]), (SnapshotTable[[#This Row],[SP Qty]] * SnapshotTable[[#This Row],[SP Strike Price]]* 100) - SnapshotTable[[#This Row],[LP Protection]], 0)</f>
        <v>#VALUE!</v>
      </c>
      <c r="CH369" s="7" t="str">
        <f>IF(ISNUMBER(SnapshotTable[[#This Row],[SP Break Even]]),-1 * (SnapshotTable[[#This Row],[SP Break Even]] - SnapshotTable[[#This Row],[Last Price]]) / SnapshotTable[[#This Row],[Last Price]], "")</f>
        <v/>
      </c>
      <c r="CI369" s="31">
        <f>IF(AND(ISNUMBER((SnapshotTable[[#This Row],[SP Potential Spend]])), SnapshotTable[[#This Row],[SP Strike Price]] &gt; SnapshotTable[[#This Row],[Last Price]], SnapshotTable[[#This Row],[SP Is Filled]]), SnapshotTable[[#This Row],[SP Potential Spend]] -  SnapshotTable[[#This Row],[LP Max Value]], 0)</f>
        <v>0</v>
      </c>
      <c r="CJ369" s="244"/>
      <c r="CK369" s="31" t="str">
        <f>IF(ISNUMBER(SnapshotTable[[#This Row],[SP Potential Spend]]),IF(ISNUMBER(SnapshotTable[[#This Row],[SP POW]]), SnapshotTable[[#This Row],[SP POW]] * SnapshotTable[[#This Row],[SP Potential Spend]], SnapshotTable[[#This Row],[SP Potential Spend]]), "")</f>
        <v/>
      </c>
      <c r="CL369" s="164" t="e">
        <f>IF(NOT(SnapshotTable[[#This Row],[SP Is Filled]]),(SnapshotTable[[#This Row],[SP Qty]] * SnapshotTable[[#This Row],[SP Strike Price]] * 100) - SnapshotTable[[#This Row],[LP Max Value]],"")</f>
        <v>#VALUE!</v>
      </c>
      <c r="CM369" s="31" t="str">
        <f>IF(SnapshotTable[[#This Row],[SP Actual Spend]]&lt;&gt;0, ((SnapshotTable[[#This Row],[SP Strike Price]]-SnapshotTable[[#This Row],[Last Price]]) *(SnapshotTable[[#This Row],[SP Qty]]*100) - SnapshotTable[[#This Row],[SP Premium]]) * - 1, "")</f>
        <v/>
      </c>
      <c r="CN369" s="78"/>
      <c r="CO369" s="369"/>
      <c r="CP369" s="4" t="str">
        <f>IF(SnapshotTable[[#This Row],[SP Is Filled]], btc_max_buyback_amount(SnapshotTable[[#This Row],[SP Fill Date]],SnapshotTable[[#This Row],[SP Exp Date]], SnapshotTable[[#This Row],[SP Book Price]]),"")</f>
        <v/>
      </c>
      <c r="CQ369" s="78"/>
      <c r="CR36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9" s="155" t="str">
        <f>IF(SnapshotTable[[#This Row],[SP Is Filled]], btc_next_cutoff_date(SnapshotTable[[#This Row],[SP Fill Date]],SnapshotTable[[#This Row],[SP Exp Date]]),"")</f>
        <v/>
      </c>
      <c r="CT369" s="235" t="str" cm="1">
        <f t="array" ref="CT369">IF(SnapshotTable[[#This Row],[SP Is Filled]], btc_should_buy_back(SnapshotTable[[#This Row],[SP Fill Date]], SnapshotTable[[#This Row],[SP Exp Date]], SnapshotTable[[#This Row],[SP Book Price]], SnapshotTable[[#This Row],[SP Current Ask]], MockToday, SnapshotTable[[#This Row],[SP Buyback Override]]),"")</f>
        <v/>
      </c>
      <c r="CU369" s="143"/>
      <c r="CV369" s="235"/>
      <c r="CW369" s="378" t="str">
        <f>IF(ISNUMBER( SnapshotTable[[#This Row],[SP Term]]), SnapshotTable[[#This Row],[SP Exp Date]] - MockToday,"")</f>
        <v/>
      </c>
      <c r="CX369" s="31" t="str">
        <f>IF(SnapshotTable[[#This Row],[SP Is Filled]],SnapshotTable[[#This Row],[SP Buyback Price to Use]] * 100 * SnapshotTable[[#This Row],[SP Qty]], "")</f>
        <v/>
      </c>
      <c r="CY369" s="4" t="str">
        <f>IF(ISNUMBER(SnapshotTable[[#This Row],[SP Strike Price]]), SnapshotTable[[#This Row],[SP Strike Price]] * (1 - SP_MaxLoss_StrikePct), "")</f>
        <v/>
      </c>
      <c r="CZ369" s="31" t="str">
        <f>IF(ISNUMBER(SnapshotTable[[#This Row],[SP Strike  Stop Per Share]]),SnapshotTable[[#This Row],[SP Premium]] - ((SnapshotTable[[#This Row],[SP Strike Price]]-SnapshotTable[[#This Row],[SP Strike  Stop Per Share]]) *(SnapshotTable[[#This Row],[SP Qty]] * 100)),"")</f>
        <v/>
      </c>
      <c r="DA369" s="4" t="str">
        <f>IF(AND(ISNUMBER(SnapshotTable[[#This Row],[SP Premium]]),SnapshotTable[[#This Row],[SP Premium]]&gt;0), SnapshotTable[[#This Row],[SP Book Price]] * (1 + SP_MaxLoss_OptionPct), "")</f>
        <v/>
      </c>
      <c r="DB369" s="31" t="str">
        <f>IF(ISNUMBER(SnapshotTable[[#This Row],[SP Option  Stop Contract]]),(SnapshotTable[[#This Row],[SP Option  Stop Contract]] *(SnapshotTable[[#This Row],[SP Qty]] * 100) - SnapshotTable[[#This Row],[SP Premium]]),"")</f>
        <v/>
      </c>
      <c r="DC369" s="4"/>
      <c r="DD369" s="4"/>
      <c r="DE369" s="4" t="str">
        <f>IF(AND(SnapshotTable[[#This Row],[SP Qty]]&gt;0, SnapshotTable[[#This Row],[SP Stop To Use]]&gt;0),SnapshotTable[[#This Row],[SP Premium]] - ( SnapshotTable[[#This Row],[SP Qty]] * SnapshotTable[[#This Row],[SP Stop To Use]] * 100), "")</f>
        <v/>
      </c>
      <c r="DF369" s="31" t="str">
        <f>IF(AND(SnapshotTable[[#This Row],[SP Qty]]&gt;0,SnapshotTable[[#This Row],[SP Current Ask]]&gt;0), SnapshotTable[[#This Row],[SP Qty]] * SnapshotTable[[#This Row],[SP Current Ask]] * -100, "")</f>
        <v/>
      </c>
      <c r="DG369" s="31" t="str">
        <f>IF(ISNUMBER((SnapshotTable[[#This Row],[SP Total Value]])), SnapshotTable[[#This Row],[SP Premium]] + SnapshotTable[[#This Row],[SP Total Value]], "")</f>
        <v/>
      </c>
      <c r="DH369" s="294" t="str">
        <f>IF(ISNUMBER((SnapshotTable[[#This Row],[SP Total Value]])), SnapshotTable[[#This Row],[SP Gain Loss]] / SnapshotTable[[#This Row],[SP Premium]], "")</f>
        <v/>
      </c>
      <c r="DI369" s="406"/>
      <c r="DJ369" s="138"/>
      <c r="DK369" s="148"/>
      <c r="DL369" s="13"/>
      <c r="DM369" s="13"/>
      <c r="DO369" s="31">
        <f>IF(SnapshotTable[[#This Row],[LC Symbol Count]]=1, SnapshotTable[[#This Row],[LC Qty]] * SnapshotTable[[#This Row],[LC Book Price]] * 100, 0)</f>
        <v>0</v>
      </c>
      <c r="DP369" s="163" t="str">
        <f>IF(AND(SnapshotTable[[#This Row],[LC Exp Date]]&gt;0, SnapshotTable[[#This Row],[LC Strike Price]]&gt;0,SnapshotTable[[#This Row],[LC Qty]]&gt;0,SnapshotTable[[#This Row],[LC Book Date]]&gt;0,SnapshotTable[[#This Row],[LC Book Price]]&gt;0,SnapshotTable[[#This Row],[LC Fill Date]]=0),"Y","")</f>
        <v/>
      </c>
      <c r="DQ369" s="386" t="str">
        <f>IF(SnapshotTable[[#This Row],[LC Premium]] &gt; 0,SnapshotTable[[#This Row],[LC Exp Date]]-MAX(SnapshotTable[[#This Row],[LC Book Date]], SnapshotTable[[#This Row],[LC Fill Date]]),"")</f>
        <v/>
      </c>
      <c r="DR369" s="386" t="str">
        <f>IF(ISNUMBER(SnapshotTable[[#This Row],[LC Term]]), SnapshotTable[[#This Row],[LC Exp Date]] - MockToday, "")</f>
        <v/>
      </c>
      <c r="DS369" s="234" t="str">
        <f>IF(SnapshotTable[[#This Row],[LC Premium]]&gt;0,SnapshotTable[[#This Row],[LC Strike Price]] + SnapshotTable[[#This Row],[LC Book Price]],"")</f>
        <v/>
      </c>
      <c r="DU369" s="9" t="str">
        <f>IF(AND(SnapshotTable[[#This Row],[LC Symbol Count]]&gt;0, SnapshotTable[[#This Row],[LC Contract Value]]&gt;0), SnapshotTable[[#This Row],[LC Contract Value]] * SnapshotTable[[#This Row],[LC Qty]] * 100, "")</f>
        <v/>
      </c>
      <c r="DV369" s="9" t="str">
        <f>IF(AND(ISNUMBER(SnapshotTable[[#This Row],[LC Total Value]]), SnapshotTable[[#This Row],[LC Not Filled]]&lt;&gt;"Y"), SnapshotTable[[#This Row],[LC Total Value]]-SnapshotTable[[#This Row],[LC Premium]],"")</f>
        <v/>
      </c>
      <c r="DW369" s="240" t="str">
        <f>IF(ISNUMBER(SnapshotTable[[#This Row],[LC Actual Gain Loss]]), SnapshotTable[[#This Row],[LC Actual Gain Loss]] / SnapshotTable[[#This Row],[LC Premium]],"")</f>
        <v/>
      </c>
      <c r="DX369" s="284" t="str">
        <f>IF(ISNUMBER(SnapshotTable[[#This Row],[LC Book Price]]),SnapshotTable[[#This Row],[LC Book Price]] * 1.5,"")</f>
        <v/>
      </c>
      <c r="DY369" s="265" t="str">
        <f>IF(SnapshotTable[[#This Row],[LC Premium]]&gt;0, SnapshotTable[[#This Row],[LC Next Target]] * SnapshotTable[[#This Row],[LC Qty]] * 100,"")</f>
        <v/>
      </c>
      <c r="DZ369" s="265" t="str">
        <f>IF(ISNUMBER(SnapshotTable[[#This Row],[LC Target Gross]]), SnapshotTable[[#This Row],[LC Target Gross]] - SnapshotTable[[#This Row],[LC Premium]], "")</f>
        <v/>
      </c>
      <c r="EA369" s="305" t="str">
        <f>IF(ISNUMBER(SnapshotTable[[#This Row],[LC Target Gain Loss]]), SnapshotTable[[#This Row],[LC Target Gain Loss]]/SnapshotTable[[#This Row],[LC Premium]], "")</f>
        <v/>
      </c>
      <c r="EB369" s="262"/>
      <c r="EC369" s="283" t="str">
        <f>IF(SnapshotTable[[#This Row],[LC Premium]]&gt;0, SnapshotTable[[#This Row],[LC Book Price]] * (1 - LC_StopLoss_Pct),"")</f>
        <v/>
      </c>
      <c r="ED369" s="284"/>
      <c r="EE369" s="283" t="str">
        <f>IF(ISNUMBER(SnapshotTable[[#This Row],[LC Contract Value]]),IF(ISNUMBER(SnapshotTable[[#This Row],[LC Stop Loss Override]]), SnapshotTable[[#This Row],[LC Stop Loss Override]],SnapshotTable[[#This Row],[LC Stop Loss Calc Target]]),"")</f>
        <v/>
      </c>
      <c r="EF369" s="31" t="str">
        <f>IF(ISNUMBER(SnapshotTable[[#This Row],[LC Stop  To Use]]), (SnapshotTable[[#This Row],[LC Stop  To Use]] * SnapshotTable[[#This Row],[LC Qty]] * 100),"")</f>
        <v/>
      </c>
      <c r="EG369" s="9" t="str">
        <f>IF(ISNUMBER(SnapshotTable[[#This Row],[LC Total Value]]),SnapshotTable[[#This Row],[LC Stop Loss Amount]] - SnapshotTable[[#This Row],[LC Premium]],"")</f>
        <v/>
      </c>
      <c r="EH369" s="9">
        <f>IF(ISNUMBER(SnapshotTable[[#This Row],[LC Premium]]), SnapshotTable[[#This Row],[LC Qty]] * 100 * SnapshotTable[[#This Row],[LC Strike Price]], "")</f>
        <v>0</v>
      </c>
      <c r="EI369" s="240" t="str">
        <f>IF(AND(ISNUMBER(SnapshotTable[[#This Row],[LC Total Value]]),SnapshotTable[[#This Row],[LC Total Value]]&gt;0),SnapshotTable[[#This Row],[LC Stop Gain Loss]]  / SnapshotTable[[#This Row],[LC Premium]],"")</f>
        <v/>
      </c>
      <c r="EJ369" s="35">
        <f>IF(ISNUMBER(SnapshotTable[[#This Row],[Equity Shares]]),TRUNC(SnapshotTable[[#This Row],[Equity Shares]] / 100),0) + SnapshotTable[[#This Row],[LC Qty]]</f>
        <v>0</v>
      </c>
      <c r="EK369" s="147"/>
      <c r="EL369" s="138" t="str">
        <f>IF(SnapshotTable[[#This Row],[SC Exp Date]]&lt;&gt;"",TRUNC(SnapshotTable[[#This Row],[Last Price]]),"")</f>
        <v/>
      </c>
      <c r="EM369" s="148"/>
      <c r="EN369" s="147"/>
      <c r="EO369" s="147"/>
      <c r="EP369" s="138"/>
      <c r="EQ369" s="419" t="b">
        <f>AND(ISNUMBER(SnapshotTable[[#This Row],[SC Exp Date]]), ISNUMBER(SnapshotTable[[#This Row],[SC Strike Price]]), ISNUMBER(SnapshotTable[[#This Row],[SC Qty]]), ISNUMBER(SnapshotTable[[#This Row],[SC Book Date]]), ISNUMBER(SnapshotTable[[#This Row],[SC Book Price]]))</f>
        <v>0</v>
      </c>
      <c r="ER369" s="419" t="b">
        <f>AND(SnapshotTable[[#This Row],[SC Is Booked]], NOT(ISBLANK(SnapshotTable[[#This Row],[SC Fill Date]])))</f>
        <v>0</v>
      </c>
      <c r="ES369" s="370"/>
      <c r="ET369" s="34" t="str">
        <f>IF(AND(ISNUMBER(SnapshotTable[[#This Row],[SC Exp Date]]), ISNUMBER(SnapshotTable[[#This Row],[SC Book Date]])), SnapshotTable[[#This Row],[SC Exp Date]] - MAX(SnapshotTable[[#This Row],[SC Book Date]], SnapshotTable[[#This Row],[SC Fill Date]]) + 1, "")</f>
        <v/>
      </c>
      <c r="EU369" s="34" t="str">
        <f>IF(ISNUMBER(SnapshotTable[[#This Row],[SC Term]]), SnapshotTable[[#This Row],[SC Exp Date]]- MockToday, "")</f>
        <v/>
      </c>
      <c r="EV369" s="31">
        <f>IF(SnapshotTable[[#This Row],[SC Is Booked]], SnapshotTable[[#This Row],[SC Qty]] * SnapshotTable[[#This Row],[SC Book Price]] * 100, 0)</f>
        <v>0</v>
      </c>
      <c r="EW369" s="4" t="str">
        <f>IF(AND(ISNUMBER(SnapshotTable[[#This Row],[Last Price]]), ISNUMBER( SnapshotTable[[#This Row],[SC Book Price]])), SnapshotTable[[#This Row],[Last Price]] - SnapshotTable[[#This Row],[SC Book Price]],"")</f>
        <v/>
      </c>
      <c r="EX369" s="234" t="str">
        <f>IF(SnapshotTable[[#This Row],[SC Is Booked]],IF(SnapshotTable[[#This Row],[SC Intrinsic Value]] &gt; 0, SnapshotTable[[#This Row],[SC Strike Price]], SnapshotTable[[#This Row],[Last Price]]), "")</f>
        <v/>
      </c>
      <c r="EY369" s="4">
        <f>IF(SnapshotTable[[#This Row],[SC Is Booked]], (MinimumPremiumRequired * SnapshotTable[[#This Row],[SC Basis]] * SnapshotTable[[#This Row],[SC Term]]), 0)</f>
        <v>0</v>
      </c>
      <c r="EZ369" s="283"/>
      <c r="FA369" s="218"/>
      <c r="FB369" s="370"/>
      <c r="FC369" s="4">
        <f>IF(SnapshotTable[[#This Row],[SC Is Filled]], btc_max_buyback_amount(SnapshotTable[[#This Row],[SC Fill Date]],SnapshotTable[[#This Row],[SC Exp Date]], SnapshotTable[[#This Row],[SC Book Price]]),0)</f>
        <v>0</v>
      </c>
      <c r="FD369" s="5"/>
      <c r="FE369" s="144" t="str">
        <f>IF(SnapshotTable[[#This Row],[SC Is Filled]], btc_next_cutoff_date(SnapshotTable[[#This Row],[SC Fill Date]],SnapshotTable[[#This Row],[SC Exp Date]]),"")</f>
        <v/>
      </c>
      <c r="FF369" s="4" t="str" cm="1">
        <f t="array" ref="FF369">IF(SnapshotTable[[#This Row],[SC Is Filled]], btc_should_buy_back(SnapshotTable[[#This Row],[SC Fill Date]], SnapshotTable[[#This Row],[SC Exp Date]], SnapshotTable[[#This Row],[SC Book Price]], SnapshotTable[[#This Row],[SC Current Ask]], MockToday, SnapshotTable[[#This Row],[SC Buyback Override]]),"")</f>
        <v/>
      </c>
      <c r="FG369" s="4">
        <f>IF(SnapshotTable[[#This Row],[SC Is Filled]], MAX(0,SnapshotTable[[#This Row],[Last Price]]  - SnapshotTable[[#This Row],[SC Strike Price]]), 0)</f>
        <v>0</v>
      </c>
      <c r="FH369" s="382">
        <f>IF(SnapshotTable[[#This Row],[SC Is Filled]], IF(ISNUMBER(SnapshotTable[[#This Row],[SC Current Ask]]), SnapshotTable[[#This Row],[SC Current Ask]], SnapshotTable[[#This Row],[SC Book Price]]) - SnapshotTable[[#This Row],[SC Intrinsic Value]], 0)</f>
        <v>0</v>
      </c>
      <c r="FI369" s="143"/>
      <c r="FJ369" s="32" t="str">
        <f>IF(SnapshotTable[[#This Row],[SC Is Filled]],100 * SnapshotTable[[#This Row],[SC Qty]] * IF(ISNUMBER(SnapshotTable[[#This Row],[SC Buyback Override]]), SnapshotTable[[#This Row],[SC Buyback Override]], SnapshotTable[[#This Row],[SC Current Ask]]), "")</f>
        <v/>
      </c>
      <c r="FK369" s="250" t="str">
        <f>IF(SnapshotTable[[#This Row],[SC Time Val]]&gt;0, SnapshotTable[[#This Row],[SC Time Val]] / SnapshotTable[[#This Row],[Last Price]],"")</f>
        <v/>
      </c>
      <c r="FL369" s="302" t="str">
        <f>IF(SnapshotTable[[#This Row],[SC Is Booked]], ((SnapshotTable[[#This Row],[Last Price]] -SnapshotTable[[#This Row],[SC Strike Price]]) / SnapshotTable[[#This Row],[Last Price]]) * -1, "")</f>
        <v/>
      </c>
      <c r="FM369" s="157" t="str">
        <f>IF(SnapshotTable[[#This Row],[SC Is Booked]],  (SnapshotTable[[#This Row],[SC Qty]] * 100 * SnapshotTable[[#This Row],[SC Strike Price]]) - SnapshotTable[[#This Row],[SC Current Ask]], "")</f>
        <v/>
      </c>
      <c r="FN36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9" s="31" t="str">
        <f>IF(AND(ISNUMBER(SnapshotTable[[#This Row],[SC Exercise Gross]]), ISNUMBER(SnapshotTable[[#This Row],[Equity Basis Per Share]] )), SnapshotTable[[#This Row],[SC Exercise Gross]] - SnapshotTable[[#This Row],[Equity Basis Total]] +  SnapshotTable[[#This Row],[SC Premium]], "")</f>
        <v/>
      </c>
      <c r="FP369" s="5" t="str">
        <f>IF(ISNUMBER(SnapshotTable[[#This Row],[SC Exercise Gross]]), (SnapshotTable[[#This Row],[SC Exercise Gross]]) / (SnapshotTable[[#This Row],[SC Qty]] * 100), "")</f>
        <v/>
      </c>
      <c r="FQ369" s="27" t="str">
        <f>IF(SnapshotTable[[#This Row],[SC Is Booked]],SnapshotTable[[#This Row],[SC Time Val]] /SnapshotTable[[#This Row],[SC Basis]], "")</f>
        <v/>
      </c>
      <c r="FR369" s="27" t="str" cm="1">
        <f t="array" ref="FR369">IF(AND(ISNUMBER(SnapshotTable[[#This Row],[SC Term]]),ISNUMBER(SnapshotTable[[#This Row],[SC Simple ROO]])), EllmanAnnualize(SnapshotTable[[#This Row],[SC DTE]], SnapshotTable[[#This Row],[SC Simple ROO]] ),"")</f>
        <v/>
      </c>
      <c r="FS369" s="4" t="e">
        <f>IF(SnapshotTable[[#This Row],[SC Strike Price]] &gt; SnapshotTable[[#This Row],[Last Price]], SnapshotTable[[#This Row],[SC Strike Price]] - SnapshotTable[[#This Row],[Last Price]],0)</f>
        <v>#VALUE!</v>
      </c>
      <c r="FT369" s="27" t="e">
        <f>IF(AND(ISNUMBER(SnapshotTable[[#This Row],[SC Upside Potential]]), SnapshotTable[[#This Row],[SC Upside Potential]] &gt; 0),(SnapshotTable[[#This Row],[SC Upside Potential]]/ SnapshotTable[[#This Row],[ACB]]),"")</f>
        <v>#VALUE!</v>
      </c>
      <c r="FU369" s="333" t="str">
        <f>IF(SnapshotTable[[#This Row],[SC Intrinsic Value]] &gt; 0,SnapshotTable[[#This Row],[SC Intrinsic Value]],"")</f>
        <v/>
      </c>
      <c r="FV369" s="27" t="str">
        <f>IF(AND( ISNUMBER( SnapshotTable[[#This Row],[ACB]]),ISNUMBER(SnapshotTable[[#This Row],[SC Downside Protect]])),SnapshotTable[[#This Row],[SC Downside Protect]] / SnapshotTable[[#This Row],[ACB]],"")</f>
        <v/>
      </c>
      <c r="FW369" s="236" t="str">
        <f>IF(AND(ISNUMBER(SnapshotTable[[#This Row],[SC Simple ROO]]),SnapshotTable[[#This Row],[SC Simple ROO]] &gt; 0), SnapshotTable[[#This Row],[SC Premium]] + (SnapshotTable[[#This Row],[SC Qty]] * SnapshotTable[[#This Row],[SC Upside Potential]]), "")</f>
        <v/>
      </c>
      <c r="FX369" s="302" t="str" cm="1">
        <f t="array" ref="FX369">IF(ISNUMBER(SnapshotTable[[#This Row],[SC Max Dollars]]), annualize(SnapshotTable[[#This Row],[SC Term]],(SnapshotTable[[#This Row],[SC Max Dollars]]/SnapshotTable[[#This Row],[SC Basis]])),"")</f>
        <v/>
      </c>
      <c r="FY369" s="236" t="str">
        <f>IF(AND(SnapshotTable[[#This Row],[SC Qty]]&gt;0,SnapshotTable[[#This Row],[SC Current Ask]]&gt;0), SnapshotTable[[#This Row],[SC Qty]] * SnapshotTable[[#This Row],[SC Current Ask]] * -100, "")</f>
        <v/>
      </c>
      <c r="FZ369" s="31" t="str">
        <f>IF(ISNUMBER((SnapshotTable[[#This Row],[SC Current Value]])), SnapshotTable[[#This Row],[SC Premium]] + SnapshotTable[[#This Row],[SC Current Value]], "")</f>
        <v/>
      </c>
      <c r="GA369" s="294" t="str">
        <f>IFERROR( IF(ISNUMBER((SnapshotTable[[#This Row],[SC Current Value]])), SnapshotTable[[#This Row],[SC Gain Loss]] / SnapshotTable[[#This Row],[SC Premium]], ""), "")</f>
        <v/>
      </c>
      <c r="GB369" s="42">
        <f>SnapshotTable[[#This Row],[Equity Shares]] * SaleSharesToConsiderPercentage</f>
        <v>0</v>
      </c>
      <c r="GC369" s="40" t="e">
        <f>SnapshotTable[[#This Row],[Long Term Target]] * SellingPriceToConsiderBasedOnTargetPercentage</f>
        <v>#VALUE!</v>
      </c>
      <c r="GD369" s="40">
        <f>SnapshotTable[[#This Row],[Last Price]] * (1+ SellingPriceToConsiderBasedOnTargetPercentage)</f>
        <v>208.494</v>
      </c>
      <c r="GE369" s="41"/>
      <c r="GF369" s="40"/>
      <c r="GG369" s="31">
        <f>SnapshotTable[[#This Row],[Booked Sale Shares]] * SnapshotTable[[#This Row],[Booked Sale Price]]</f>
        <v>0</v>
      </c>
      <c r="GH369" s="31" t="str">
        <f>IF(SnapshotTable[[#This Row],[Equity Basis Total]] &gt; 0, SnapshotTable[[#This Row],[Equity Basis Per Share]] * SnapshotTable[[#This Row],[Booked Sale Shares]], "")</f>
        <v/>
      </c>
      <c r="GI369" s="31">
        <f>IF(SnapshotTable[[#This Row],[Sale Proceeds]]&gt;0, SnapshotTable[[#This Row],[Sale Proceeds]] - SnapshotTable[[#This Row],[Sale Basis]], 0)</f>
        <v>0</v>
      </c>
      <c r="GJ369" s="27" t="str">
        <f>IF(SnapshotTable[[#This Row],[Sale G/L]]&gt;0, SnapshotTable[[#This Row],[Sale G/L]] / SnapshotTable[[#This Row],[Sale Basis]], IF(ISNUMBER(SnapshotTable[[#This Row],[SC Exercise P&amp;L (TAX)]]), SnapshotTable[[#This Row],[SC Exercise P&amp;L (TAX)]] / SnapshotTable[[#This Row],[SC Basis]], ""))</f>
        <v/>
      </c>
      <c r="GK369" s="27"/>
      <c r="GL369" s="43" t="str">
        <f>IF(AND(SnapshotTable[[#This Row],[LP Exp Date]]&gt;0,SnapshotTable[[#This Row],[LP Strike Price]]&gt;0), [1]!ToOptionSymbol(SnapshotTable[[#This Row],[Symbol]], SnapshotTable[[#This Row],[LP Strike Price]],SnapshotTable[[#This Row],[LP Exp Date]],1), "")</f>
        <v/>
      </c>
      <c r="GM369" s="30" t="str">
        <f>IF(LEN(SnapshotTable[[#This Row],[LP Symbol]])&gt;0, 1, "")</f>
        <v/>
      </c>
      <c r="GN369" s="43" t="str">
        <f>IF(AND(SnapshotTable[[#This Row],[SP Exp Date]]&gt;0,SnapshotTable[[#This Row],[SP Strike Price]]&gt;0), [1]!ToOptionSymbol(SnapshotTable[[#This Row],[Symbol]], SnapshotTable[[#This Row],[SP Strike Price]],SnapshotTable[[#This Row],[SP Exp Date]],1), "")</f>
        <v/>
      </c>
      <c r="GO369" s="30" t="str">
        <f>IF(LEN(SnapshotTable[[#This Row],[SP Symbol]])&gt;0, 1, "")</f>
        <v/>
      </c>
      <c r="GP369" s="43" t="str">
        <f>IF(AND(SnapshotTable[[#This Row],[LC Exp Date]]&gt;0,SnapshotTable[[#This Row],[LC Strike Price]]&gt;0), [1]!ToOptionSymbol(SnapshotTable[[#This Row],[Symbol]], SnapshotTable[[#This Row],[LC Strike Price]],SnapshotTable[[#This Row],[LC Exp Date]],0), "")</f>
        <v/>
      </c>
      <c r="GQ369" s="30" t="str">
        <f>IF(LEN(SnapshotTable[[#This Row],[LC Symbol]])&gt;0, 1, "")</f>
        <v/>
      </c>
      <c r="GR369" s="43" t="str">
        <f>IF(AND(SnapshotTable[[#This Row],[SC Exp Date]]&gt;0,SnapshotTable[[#This Row],[SC Strike Price]]&gt;0), [1]!ToOptionSymbol(SnapshotTable[[#This Row],[Symbol]], SnapshotTable[[#This Row],[SC Strike Price]],SnapshotTable[[#This Row],[SC Exp Date]],0), "")</f>
        <v/>
      </c>
      <c r="GS369" s="30" t="str">
        <f>IF(LEN(SnapshotTable[[#This Row],[SC Symbol]])&gt;0, 1, "")</f>
        <v/>
      </c>
      <c r="GT369" s="29" t="str">
        <f>IF(COUNT(SnapshotTable[[#This Row],[LP Symbol Count]],SnapshotTable[[#This Row],[SP Symbol Count]],SnapshotTable[[#This Row],[LC Symbol Count]],SnapshotTable[[#This Row],[SC Symbol Count]])&gt;0, "Y", "")</f>
        <v/>
      </c>
      <c r="GU36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9" s="231" t="e">
        <f>MAX(SnapshotTable[[#This Row],[Equity Basis Total]],SnapshotTable[[#This Row],[Equity Value]]) + (SnapshotTable[[#This Row],[SP Potential Spend]]- SnapshotTable[[#This Row],[SP Premium]] + SnapshotTable[[#This Row],[LP Premium]])+ (SnapshotTable[[#This Row],[LC Premium]] - SnapshotTable[[#This Row],[SC Premium]])</f>
        <v>#VALUE!</v>
      </c>
      <c r="GW369" s="139" t="e">
        <f>IF(AND(SnapshotTable[[#This Row],[Exposure]] &lt;&gt; 0),SnapshotTable[[#This Row],[Exposure]] / SnapshotTable[[#Totals],[Exposure]], "")</f>
        <v>#VALUE!</v>
      </c>
      <c r="HK369" s="1"/>
      <c r="HL369" s="1"/>
      <c r="HM369" s="1"/>
      <c r="HN369" s="1"/>
      <c r="HO369" s="1"/>
      <c r="HP369" s="1"/>
    </row>
    <row r="370" spans="2:224" ht="12.75" hidden="1" customHeight="1" x14ac:dyDescent="0.25">
      <c r="B370" s="12" t="s">
        <v>166</v>
      </c>
      <c r="C370" s="422">
        <v>50.82</v>
      </c>
      <c r="D370" s="208"/>
      <c r="E370" s="39">
        <f>SnapshotTable[[#This Row],[Last Price]]*(1 -CrashDiscount)</f>
        <v>43.196999999999996</v>
      </c>
      <c r="F370" s="26" t="s">
        <v>5</v>
      </c>
      <c r="G370" s="26" t="s">
        <v>4</v>
      </c>
      <c r="H370" s="149"/>
      <c r="I370" s="194">
        <v>44770.694444444445</v>
      </c>
      <c r="J370" s="195">
        <v>44770.694444444445</v>
      </c>
      <c r="K370" s="196"/>
      <c r="L370" s="326"/>
      <c r="M370" s="140"/>
      <c r="N370" s="140"/>
      <c r="O370" s="140"/>
      <c r="P370" s="22"/>
      <c r="Q370" s="25"/>
      <c r="R370" s="4" t="str">
        <f>IF(SnapshotTable[[#This Row],[Equity Basis Total]] &gt; 0, SnapshotTable[[#This Row],[Equity Basis Total]] / SnapshotTable[[#This Row],[Equity Shares]], "")</f>
        <v/>
      </c>
      <c r="S370" s="269">
        <f>SnapshotTable[[#This Row],[Last Price]] * SnapshotTable[[#This Row],[Equity Shares]]</f>
        <v>0</v>
      </c>
      <c r="T370" s="269">
        <f>SnapshotTable[[#This Row],[Equity Value]] - SnapshotTable[[#This Row],[Equity Basis Total]]</f>
        <v>0</v>
      </c>
      <c r="U370" s="270" t="str">
        <f>IF(SnapshotTable[[#This Row],[Equity Basis Total]] &gt; 0, SnapshotTable[[#This Row],[Equity G/L]] / SnapshotTable[[#This Row],[Equity Basis Total]], "")</f>
        <v/>
      </c>
      <c r="V370" s="268"/>
      <c r="W370" s="268"/>
      <c r="X370" s="4" t="str">
        <f>IF(AND(ISNUMBER(SnapshotTable[[#This Row],[Equity Basis Per Share]]),ISNUMBER(SnapshotTable[[#This Row],[Equity Target]])),SnapshotTable[[#This Row],[Equity Target]]-SnapshotTable[[#This Row],[Equity Basis Per Share]],"")</f>
        <v/>
      </c>
      <c r="Y370" s="4" t="str">
        <f>IF(AND(ISNUMBER(SnapshotTable[[#This Row],[Equity Basis Per Share]]),ISNUMBER(SnapshotTable[[#This Row],[Equity Stop Loss]])),SnapshotTable[[#This Row],[Equity Stop Loss]]-SnapshotTable[[#This Row],[Equity Basis Per Share]],"")</f>
        <v/>
      </c>
      <c r="Z370" s="275" t="str">
        <f>IFERROR( TEXT(SnapshotTable[[#This Row],[Equity Max Gain Per Share]] /ABS( SnapshotTable[[#This Row],[Equity Max Loss Per Share]]),"0.0 " ) &amp; " : 1", "")</f>
        <v/>
      </c>
      <c r="AA370" s="31" t="str">
        <f>IF(ISNUMBER(SnapshotTable[[#This Row],[Equity Max Gain Per Share]]),SnapshotTable[[#This Row],[Equity Max Gain Per Share]] * SnapshotTable[[#This Row],[Equity Shares]],"")</f>
        <v/>
      </c>
      <c r="AB370" s="31" t="str">
        <f>IF(ISNUMBER(SnapshotTable[[#This Row],[Equity Max Loss Per Share]]),SnapshotTable[[#This Row],[Equity Max Loss Per Share]] * SnapshotTable[[#This Row],[Equity Shares]],"")</f>
        <v/>
      </c>
      <c r="AC370" s="150">
        <v>0</v>
      </c>
      <c r="AD370" s="151" t="s">
        <v>2</v>
      </c>
      <c r="AE370" s="31">
        <f>(SnapshotTable[[#This Row],[Annual Dividend Per Share]] / 4) * SnapshotTable[[#This Row],[Equity Shares]]</f>
        <v>0</v>
      </c>
      <c r="AF370" s="31">
        <f>SnapshotTable[[#This Row],[Quarterly Div $]] * 4</f>
        <v>0</v>
      </c>
      <c r="AG370" s="7">
        <f>IF(SnapshotTable[[#This Row],[Annual Dividend Per Share]]&gt;0, SnapshotTable[[#This Row],[Annual Dividend Per Share]]  / SnapshotTable[[#This Row],[Last Price]], 0)</f>
        <v>0</v>
      </c>
      <c r="AH370" s="151" t="s">
        <v>2</v>
      </c>
      <c r="AI370" s="5"/>
      <c r="AJ370" s="138" t="s">
        <v>164</v>
      </c>
      <c r="AK370" s="152" t="str">
        <f>IF(ISNUMBER( SnapshotTable[[#This Row],[EBF Target]]),(SnapshotTable[[#This Row],[EBF Target]] - SnapshotTable[[#This Row],[Last Price]]) / SnapshotTable[[#This Row],[Last Price]], "")</f>
        <v/>
      </c>
      <c r="AL370" s="152" t="str">
        <f>IF(AND(SnapshotTable[[#This Row],[Equity Basis Total]] &gt; 0,ISNUMBER( SnapshotTable[[#This Row],[Long Term Target]])), SnapshotTable[[#This Row],[From Basis $]] / SnapshotTable[[#This Row],[Equity Basis Total]], "")</f>
        <v/>
      </c>
      <c r="AM370" s="9">
        <f>IF( AND(SnapshotTable[[#This Row],[Equity Shares]] &gt;0,ISNUMBER( SnapshotTable[[#This Row],[Long Term Target]])),(SnapshotTable[[#This Row],[Equity Shares]] * SnapshotTable[[#This Row],[Long Term Target]]) - SnapshotTable[[#This Row],[Equity Basis Total]],0)</f>
        <v>0</v>
      </c>
      <c r="AN370" s="9">
        <f>IF( AND(SnapshotTable[[#This Row],[Equity Shares]] &gt;0,ISNUMBER( SnapshotTable[[#This Row],[Long Term Target]])),(SnapshotTable[[#This Row],[Equity Shares]]*SnapshotTable[[#This Row],[Long Term Target]]) - SnapshotTable[[#This Row],[Equity Value]],0)</f>
        <v>0</v>
      </c>
      <c r="AO370" s="152" t="str">
        <f>IF(AND(ISNUMBER( SnapshotTable[[#This Row],[Long Term Target]]), ISNUMBER(SnapshotTable[[#This Row],[Last Price]])),(SnapshotTable[[#This Row],[Long Term Target]] - SnapshotTable[[#This Row],[Last Price]]) / SnapshotTable[[#This Row],[Last Price]], "")</f>
        <v/>
      </c>
      <c r="AP370" s="5"/>
      <c r="AQ370" s="38"/>
      <c r="AR370" s="5"/>
      <c r="AS370" s="38"/>
      <c r="AT370" s="146"/>
      <c r="AU370" s="187" t="str">
        <f>IF(OR(SnapshotTable[[#This Row],[LP No Fill]]="Y",SnapshotTable[[#This Row],[SP Is Filled]],SnapshotTable[[#This Row],[LC Not Filled]]="Y",SnapshotTable[[#This Row],[SC Is Filled]]),"Y","")</f>
        <v/>
      </c>
      <c r="AV370" s="219"/>
      <c r="AW370" s="225"/>
      <c r="AX370" s="220"/>
      <c r="AY370" s="219" t="str">
        <f>IF(SnapshotTable[[#This Row],[Implied Move]]&gt;0, SnapshotTable[[#This Row],[Last Price]]-SnapshotTable[[#This Row],[Implied Move]],"")</f>
        <v/>
      </c>
      <c r="AZ370" s="219" t="str">
        <f>IF(SnapshotTable[[#This Row],[Implied Move]]&gt;0, SnapshotTable[[#This Row],[Last Price]] + SnapshotTable[[#This Row],[Implied Move]],"")</f>
        <v/>
      </c>
      <c r="BA370" s="331">
        <v>92.21</v>
      </c>
      <c r="BB370" s="347"/>
      <c r="BC37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0" s="351"/>
      <c r="BE370" s="5"/>
      <c r="BF370" s="14"/>
      <c r="BG370" s="13"/>
      <c r="BH370" s="13"/>
      <c r="BI370" s="5"/>
      <c r="BJ370" s="136">
        <f>IF(SnapshotTable[[#This Row],[LP Qty]] &gt; 0, SnapshotTable[[#This Row],[LP Qty]] * SnapshotTable[[#This Row],[LP Book Price]] * 100,0)</f>
        <v>0</v>
      </c>
      <c r="BK370" s="136">
        <f>IF(SnapshotTable[[#This Row],[LP Premium]] &gt; 0, SnapshotTable[[#This Row],[LP Qty]] * SnapshotTable[[#This Row],[LP Strike Price]] * 100,0)</f>
        <v>0</v>
      </c>
      <c r="BL370" s="154"/>
      <c r="BM370" s="385" t="str">
        <f>IF(SnapshotTable[[#This Row],[LP Premium]] &gt; 0,SnapshotTable[[#This Row],[LP Exp Date]]-MAX(SnapshotTable[[#This Row],[LP Book Date]], SnapshotTable[[#This Row],[LP Fill Date]]),"")</f>
        <v/>
      </c>
      <c r="BN370" s="385" t="str">
        <f>IF(ISNUMBER( SnapshotTable[[#This Row],[LP Term]]), SnapshotTable[[#This Row],[LP Exp Date]] - MockToday,"")</f>
        <v/>
      </c>
      <c r="BO370" s="163" t="str">
        <f>IF(AND(SnapshotTable[[#This Row],[LP Exp Date]]&gt;0, SnapshotTable[[#This Row],[LP Strike Price]]&gt;0,SnapshotTable[[#This Row],[LP Qty]]&gt;0,SnapshotTable[[#This Row],[LP Book Date]]&gt;0,SnapshotTable[[#This Row],[LP Book Price]]&gt;0,SnapshotTable[[#This Row],[LP Fill Date]]=0),"Y","")</f>
        <v/>
      </c>
      <c r="BP370" s="31" t="str">
        <f>IF(AND(SnapshotTable[[#This Row],[LP No Fill]]&lt;&gt;"Y",SnapshotTable[[#This Row],[LP Contract Value]]&gt;0, SnapshotTable[[#This Row],[LP Qty]]&gt;0), SnapshotTable[[#This Row],[LP Contract Value]]*SnapshotTable[[#This Row],[LP Qty]]*100,"")</f>
        <v/>
      </c>
      <c r="BQ370" s="13"/>
      <c r="BR370" s="5" t="str">
        <f>IF(SnapshotTable[[#This Row],[SP Exp Date]]&lt;&gt;"",TRUNC(SnapshotTable[[#This Row],[Last Price]]),"")</f>
        <v/>
      </c>
      <c r="BS370" s="36"/>
      <c r="BT370" s="147"/>
      <c r="BU370" s="13"/>
      <c r="BV370" s="5"/>
      <c r="BW370" s="419" t="b">
        <f>AND(ISNUMBER(SnapshotTable[[#This Row],[SP Exp Date]]), ISNUMBER(SnapshotTable[[#This Row],[SP Strike Price]]), ISNUMBER(SnapshotTable[[#This Row],[SP Qty]]), ISNUMBER(SnapshotTable[[#This Row],[SP Book Date]]), ISNUMBER(SnapshotTable[[#This Row],[SP Book Price]]))</f>
        <v>0</v>
      </c>
      <c r="BX370" s="419" t="b">
        <f>AND(SnapshotTable[[#This Row],[SP Is Booked]], NOT(ISBLANK(SnapshotTable[[#This Row],[SP Fill Date]])))</f>
        <v>0</v>
      </c>
      <c r="BY370" s="33">
        <f>IF(SnapshotTable[[#This Row],[SP Is Booked]], SnapshotTable[[#This Row],[SP Qty]] * SnapshotTable[[#This Row],[SP Book Price]] * 100, 0)</f>
        <v>0</v>
      </c>
      <c r="BZ370" s="369"/>
      <c r="CA370" s="368">
        <f>SnapshotTable[[#This Row],[LP Qty]]</f>
        <v>0</v>
      </c>
      <c r="CB370" s="4" t="str">
        <f>IF(SnapshotTable[[#This Row],[SP Is Booked]], SnapshotTable[[#This Row],[SP Strike Price]] - SnapshotTable[[#This Row],[SP Book Price]], "")</f>
        <v/>
      </c>
      <c r="CC370" s="19" t="str">
        <f>IF(SnapshotTable[[#This Row],[SP Is Booked]],SnapshotTable[[#This Row],[SP Exp Date]]-MAX(SnapshotTable[[#This Row],[SP Book Date]], SnapshotTable[[#This Row],[SP Fill Date]]),"")</f>
        <v/>
      </c>
      <c r="CD370" s="7" t="str">
        <f>IF(SnapshotTable[[#This Row],[SP Is Booked]], SnapshotTable[[#This Row],[SP Book Price]]/SnapshotTable[[#This Row],[SP Strike Price]], "")</f>
        <v/>
      </c>
      <c r="CE370" s="7" t="str">
        <f>IF(ISNUMBER(SnapshotTable[[#This Row],[SP ROO Term]]),SnapshotTable[[#This Row],[SP ROO Term]]*(365/SnapshotTable[[#This Row],[SP Term]]),"")</f>
        <v/>
      </c>
      <c r="CF370" s="236">
        <f>SnapshotTable[[#This Row],[LP Strike Price]] * SnapshotTable[[#This Row],[LP Qty]] * 100</f>
        <v>0</v>
      </c>
      <c r="CG370" s="31" t="e">
        <f>IF(ISNUMBER(SnapshotTable[[#This Row],[SP Premium]]), (SnapshotTable[[#This Row],[SP Qty]] * SnapshotTable[[#This Row],[SP Strike Price]]* 100) - SnapshotTable[[#This Row],[LP Protection]], 0)</f>
        <v>#VALUE!</v>
      </c>
      <c r="CH370" s="7" t="str">
        <f>IF(ISNUMBER(SnapshotTable[[#This Row],[SP Break Even]]),-1 * (SnapshotTable[[#This Row],[SP Break Even]] - SnapshotTable[[#This Row],[Last Price]]) / SnapshotTable[[#This Row],[Last Price]], "")</f>
        <v/>
      </c>
      <c r="CI370" s="31">
        <f>IF(AND(ISNUMBER((SnapshotTable[[#This Row],[SP Potential Spend]])), SnapshotTable[[#This Row],[SP Strike Price]] &gt; SnapshotTable[[#This Row],[Last Price]], SnapshotTable[[#This Row],[SP Is Filled]]), SnapshotTable[[#This Row],[SP Potential Spend]] -  SnapshotTable[[#This Row],[LP Max Value]], 0)</f>
        <v>0</v>
      </c>
      <c r="CJ370" s="244"/>
      <c r="CK370" s="31" t="str">
        <f>IF(ISNUMBER(SnapshotTable[[#This Row],[SP Potential Spend]]),IF(ISNUMBER(SnapshotTable[[#This Row],[SP POW]]), SnapshotTable[[#This Row],[SP POW]] * SnapshotTable[[#This Row],[SP Potential Spend]], SnapshotTable[[#This Row],[SP Potential Spend]]), "")</f>
        <v/>
      </c>
      <c r="CL370" s="164" t="e">
        <f>IF(NOT(SnapshotTable[[#This Row],[SP Is Filled]]),(SnapshotTable[[#This Row],[SP Qty]] * SnapshotTable[[#This Row],[SP Strike Price]] * 100) - SnapshotTable[[#This Row],[LP Max Value]],"")</f>
        <v>#VALUE!</v>
      </c>
      <c r="CM370" s="31" t="str">
        <f>IF(SnapshotTable[[#This Row],[SP Actual Spend]]&lt;&gt;0, ((SnapshotTable[[#This Row],[SP Strike Price]]-SnapshotTable[[#This Row],[Last Price]]) *(SnapshotTable[[#This Row],[SP Qty]]*100) - SnapshotTable[[#This Row],[SP Premium]]) * - 1, "")</f>
        <v/>
      </c>
      <c r="CN370" s="78"/>
      <c r="CO370" s="369"/>
      <c r="CP370" s="4" t="str">
        <f>IF(SnapshotTable[[#This Row],[SP Is Filled]], btc_max_buyback_amount(SnapshotTable[[#This Row],[SP Fill Date]],SnapshotTable[[#This Row],[SP Exp Date]], SnapshotTable[[#This Row],[SP Book Price]]),"")</f>
        <v/>
      </c>
      <c r="CQ370" s="78"/>
      <c r="CR37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0" s="155" t="str">
        <f>IF(SnapshotTable[[#This Row],[SP Is Filled]], btc_next_cutoff_date(SnapshotTable[[#This Row],[SP Fill Date]],SnapshotTable[[#This Row],[SP Exp Date]]),"")</f>
        <v/>
      </c>
      <c r="CT370" s="235" t="str" cm="1">
        <f t="array" ref="CT370">IF(SnapshotTable[[#This Row],[SP Is Filled]], btc_should_buy_back(SnapshotTable[[#This Row],[SP Fill Date]], SnapshotTable[[#This Row],[SP Exp Date]], SnapshotTable[[#This Row],[SP Book Price]], SnapshotTable[[#This Row],[SP Current Ask]], MockToday, SnapshotTable[[#This Row],[SP Buyback Override]]),"")</f>
        <v/>
      </c>
      <c r="CU370" s="143"/>
      <c r="CV370" s="235"/>
      <c r="CW370" s="378" t="str">
        <f>IF(ISNUMBER( SnapshotTable[[#This Row],[SP Term]]), SnapshotTable[[#This Row],[SP Exp Date]] - MockToday,"")</f>
        <v/>
      </c>
      <c r="CX370" s="31" t="str">
        <f>IF(SnapshotTable[[#This Row],[SP Is Filled]],SnapshotTable[[#This Row],[SP Buyback Price to Use]] * 100 * SnapshotTable[[#This Row],[SP Qty]], "")</f>
        <v/>
      </c>
      <c r="CY370" s="4" t="str">
        <f>IF(ISNUMBER(SnapshotTable[[#This Row],[SP Strike Price]]), SnapshotTable[[#This Row],[SP Strike Price]] * (1 - SP_MaxLoss_StrikePct), "")</f>
        <v/>
      </c>
      <c r="CZ370" s="31" t="str">
        <f>IF(ISNUMBER(SnapshotTable[[#This Row],[SP Strike  Stop Per Share]]),SnapshotTable[[#This Row],[SP Premium]] - ((SnapshotTable[[#This Row],[SP Strike Price]]-SnapshotTable[[#This Row],[SP Strike  Stop Per Share]]) *(SnapshotTable[[#This Row],[SP Qty]] * 100)),"")</f>
        <v/>
      </c>
      <c r="DA370" s="4" t="str">
        <f>IF(AND(ISNUMBER(SnapshotTable[[#This Row],[SP Premium]]),SnapshotTable[[#This Row],[SP Premium]]&gt;0), SnapshotTable[[#This Row],[SP Book Price]] * (1 + SP_MaxLoss_OptionPct), "")</f>
        <v/>
      </c>
      <c r="DB370" s="31" t="str">
        <f>IF(ISNUMBER(SnapshotTable[[#This Row],[SP Option  Stop Contract]]),(SnapshotTable[[#This Row],[SP Option  Stop Contract]] *(SnapshotTable[[#This Row],[SP Qty]] * 100) - SnapshotTable[[#This Row],[SP Premium]]),"")</f>
        <v/>
      </c>
      <c r="DC370" s="4"/>
      <c r="DD370" s="4"/>
      <c r="DE370" s="4" t="str">
        <f>IF(AND(SnapshotTable[[#This Row],[SP Qty]]&gt;0, SnapshotTable[[#This Row],[SP Stop To Use]]&gt;0),SnapshotTable[[#This Row],[SP Premium]] - ( SnapshotTable[[#This Row],[SP Qty]] * SnapshotTable[[#This Row],[SP Stop To Use]] * 100), "")</f>
        <v/>
      </c>
      <c r="DF370" s="31" t="str">
        <f>IF(AND(SnapshotTable[[#This Row],[SP Qty]]&gt;0,SnapshotTable[[#This Row],[SP Current Ask]]&gt;0), SnapshotTable[[#This Row],[SP Qty]] * SnapshotTable[[#This Row],[SP Current Ask]] * -100, "")</f>
        <v/>
      </c>
      <c r="DG370" s="31" t="str">
        <f>IF(ISNUMBER((SnapshotTable[[#This Row],[SP Total Value]])), SnapshotTable[[#This Row],[SP Premium]] + SnapshotTable[[#This Row],[SP Total Value]], "")</f>
        <v/>
      </c>
      <c r="DH370" s="294" t="str">
        <f>IF(ISNUMBER((SnapshotTable[[#This Row],[SP Total Value]])), SnapshotTable[[#This Row],[SP Gain Loss]] / SnapshotTable[[#This Row],[SP Premium]], "")</f>
        <v/>
      </c>
      <c r="DI370" s="406"/>
      <c r="DJ370" s="138"/>
      <c r="DK370" s="148"/>
      <c r="DL370" s="13"/>
      <c r="DM370" s="13"/>
      <c r="DO370" s="31">
        <f>IF(SnapshotTable[[#This Row],[LC Symbol Count]]=1, SnapshotTable[[#This Row],[LC Qty]] * SnapshotTable[[#This Row],[LC Book Price]] * 100, 0)</f>
        <v>0</v>
      </c>
      <c r="DP370" s="163" t="str">
        <f>IF(AND(SnapshotTable[[#This Row],[LC Exp Date]]&gt;0, SnapshotTable[[#This Row],[LC Strike Price]]&gt;0,SnapshotTable[[#This Row],[LC Qty]]&gt;0,SnapshotTable[[#This Row],[LC Book Date]]&gt;0,SnapshotTable[[#This Row],[LC Book Price]]&gt;0,SnapshotTable[[#This Row],[LC Fill Date]]=0),"Y","")</f>
        <v/>
      </c>
      <c r="DQ370" s="386" t="str">
        <f>IF(SnapshotTable[[#This Row],[LC Premium]] &gt; 0,SnapshotTable[[#This Row],[LC Exp Date]]-MAX(SnapshotTable[[#This Row],[LC Book Date]], SnapshotTable[[#This Row],[LC Fill Date]]),"")</f>
        <v/>
      </c>
      <c r="DR370" s="386" t="str">
        <f>IF(ISNUMBER(SnapshotTable[[#This Row],[LC Term]]), SnapshotTable[[#This Row],[LC Exp Date]] - MockToday, "")</f>
        <v/>
      </c>
      <c r="DS370" s="234" t="str">
        <f>IF(SnapshotTable[[#This Row],[LC Premium]]&gt;0,SnapshotTable[[#This Row],[LC Strike Price]] + SnapshotTable[[#This Row],[LC Book Price]],"")</f>
        <v/>
      </c>
      <c r="DU370" s="9" t="str">
        <f>IF(AND(SnapshotTable[[#This Row],[LC Symbol Count]]&gt;0, SnapshotTable[[#This Row],[LC Contract Value]]&gt;0), SnapshotTable[[#This Row],[LC Contract Value]] * SnapshotTable[[#This Row],[LC Qty]] * 100, "")</f>
        <v/>
      </c>
      <c r="DV370" s="9" t="str">
        <f>IF(AND(ISNUMBER(SnapshotTable[[#This Row],[LC Total Value]]), SnapshotTable[[#This Row],[LC Not Filled]]&lt;&gt;"Y"), SnapshotTable[[#This Row],[LC Total Value]]-SnapshotTable[[#This Row],[LC Premium]],"")</f>
        <v/>
      </c>
      <c r="DW370" s="240" t="str">
        <f>IF(ISNUMBER(SnapshotTable[[#This Row],[LC Actual Gain Loss]]), SnapshotTable[[#This Row],[LC Actual Gain Loss]] / SnapshotTable[[#This Row],[LC Premium]],"")</f>
        <v/>
      </c>
      <c r="DX370" s="284" t="str">
        <f>IF(ISNUMBER(SnapshotTable[[#This Row],[LC Book Price]]),SnapshotTable[[#This Row],[LC Book Price]] * 1.5,"")</f>
        <v/>
      </c>
      <c r="DY370" s="265" t="str">
        <f>IF(SnapshotTable[[#This Row],[LC Premium]]&gt;0, SnapshotTable[[#This Row],[LC Next Target]] * SnapshotTable[[#This Row],[LC Qty]] * 100,"")</f>
        <v/>
      </c>
      <c r="DZ370" s="265" t="str">
        <f>IF(ISNUMBER(SnapshotTable[[#This Row],[LC Target Gross]]), SnapshotTable[[#This Row],[LC Target Gross]] - SnapshotTable[[#This Row],[LC Premium]], "")</f>
        <v/>
      </c>
      <c r="EA370" s="305" t="str">
        <f>IF(ISNUMBER(SnapshotTable[[#This Row],[LC Target Gain Loss]]), SnapshotTable[[#This Row],[LC Target Gain Loss]]/SnapshotTable[[#This Row],[LC Premium]], "")</f>
        <v/>
      </c>
      <c r="EB370" s="262"/>
      <c r="EC370" s="283" t="str">
        <f>IF(SnapshotTable[[#This Row],[LC Premium]]&gt;0, SnapshotTable[[#This Row],[LC Book Price]] * (1 - LC_StopLoss_Pct),"")</f>
        <v/>
      </c>
      <c r="ED370" s="284"/>
      <c r="EE370" s="283" t="str">
        <f>IF(ISNUMBER(SnapshotTable[[#This Row],[LC Contract Value]]),IF(ISNUMBER(SnapshotTable[[#This Row],[LC Stop Loss Override]]), SnapshotTable[[#This Row],[LC Stop Loss Override]],SnapshotTable[[#This Row],[LC Stop Loss Calc Target]]),"")</f>
        <v/>
      </c>
      <c r="EF370" s="31" t="str">
        <f>IF(ISNUMBER(SnapshotTable[[#This Row],[LC Stop  To Use]]), (SnapshotTable[[#This Row],[LC Stop  To Use]] * SnapshotTable[[#This Row],[LC Qty]] * 100),"")</f>
        <v/>
      </c>
      <c r="EG370" s="9" t="str">
        <f>IF(ISNUMBER(SnapshotTable[[#This Row],[LC Total Value]]),SnapshotTable[[#This Row],[LC Stop Loss Amount]] - SnapshotTable[[#This Row],[LC Premium]],"")</f>
        <v/>
      </c>
      <c r="EH370" s="9">
        <f>IF(ISNUMBER(SnapshotTable[[#This Row],[LC Premium]]), SnapshotTable[[#This Row],[LC Qty]] * 100 * SnapshotTable[[#This Row],[LC Strike Price]], "")</f>
        <v>0</v>
      </c>
      <c r="EI370" s="240" t="str">
        <f>IF(AND(ISNUMBER(SnapshotTable[[#This Row],[LC Total Value]]),SnapshotTable[[#This Row],[LC Total Value]]&gt;0),SnapshotTable[[#This Row],[LC Stop Gain Loss]]  / SnapshotTable[[#This Row],[LC Premium]],"")</f>
        <v/>
      </c>
      <c r="EJ370" s="35">
        <f>IF(ISNUMBER(SnapshotTable[[#This Row],[Equity Shares]]),TRUNC(SnapshotTable[[#This Row],[Equity Shares]] / 100),0) + SnapshotTable[[#This Row],[LC Qty]]</f>
        <v>0</v>
      </c>
      <c r="EK370" s="147"/>
      <c r="EL370" s="138" t="str">
        <f>IF(SnapshotTable[[#This Row],[SC Exp Date]]&lt;&gt;"",TRUNC(SnapshotTable[[#This Row],[Last Price]]),"")</f>
        <v/>
      </c>
      <c r="EM370" s="148">
        <v>0</v>
      </c>
      <c r="EN370" s="147">
        <v>45076</v>
      </c>
      <c r="EO370" s="147"/>
      <c r="EP370" s="138">
        <v>4.95</v>
      </c>
      <c r="EQ370" s="419" t="b">
        <f>AND(ISNUMBER(SnapshotTable[[#This Row],[SC Exp Date]]), ISNUMBER(SnapshotTable[[#This Row],[SC Strike Price]]), ISNUMBER(SnapshotTable[[#This Row],[SC Qty]]), ISNUMBER(SnapshotTable[[#This Row],[SC Book Date]]), ISNUMBER(SnapshotTable[[#This Row],[SC Book Price]]))</f>
        <v>0</v>
      </c>
      <c r="ER370" s="419" t="b">
        <f>AND(SnapshotTable[[#This Row],[SC Is Booked]], NOT(ISBLANK(SnapshotTable[[#This Row],[SC Fill Date]])))</f>
        <v>0</v>
      </c>
      <c r="ES370" s="370"/>
      <c r="ET370" s="34" t="str">
        <f>IF(AND(ISNUMBER(SnapshotTable[[#This Row],[SC Exp Date]]), ISNUMBER(SnapshotTable[[#This Row],[SC Book Date]])), SnapshotTable[[#This Row],[SC Exp Date]] - MAX(SnapshotTable[[#This Row],[SC Book Date]], SnapshotTable[[#This Row],[SC Fill Date]]) + 1, "")</f>
        <v/>
      </c>
      <c r="EU370" s="34" t="str">
        <f>IF(ISNUMBER(SnapshotTable[[#This Row],[SC Term]]), SnapshotTable[[#This Row],[SC Exp Date]]- MockToday, "")</f>
        <v/>
      </c>
      <c r="EV370" s="31">
        <f>IF(SnapshotTable[[#This Row],[SC Is Booked]], SnapshotTable[[#This Row],[SC Qty]] * SnapshotTable[[#This Row],[SC Book Price]] * 100, 0)</f>
        <v>0</v>
      </c>
      <c r="EW370" s="4">
        <f>IF(AND(ISNUMBER(SnapshotTable[[#This Row],[Last Price]]), ISNUMBER( SnapshotTable[[#This Row],[SC Book Price]])), SnapshotTable[[#This Row],[Last Price]] - SnapshotTable[[#This Row],[SC Book Price]],"")</f>
        <v>45.87</v>
      </c>
      <c r="EX370" s="234" t="str">
        <f>IF(SnapshotTable[[#This Row],[SC Is Booked]],IF(SnapshotTable[[#This Row],[SC Intrinsic Value]] &gt; 0, SnapshotTable[[#This Row],[SC Strike Price]], SnapshotTable[[#This Row],[Last Price]]), "")</f>
        <v/>
      </c>
      <c r="EY370" s="4">
        <f>IF(SnapshotTable[[#This Row],[SC Is Booked]], (MinimumPremiumRequired * SnapshotTable[[#This Row],[SC Basis]] * SnapshotTable[[#This Row],[SC Term]]), 0)</f>
        <v>0</v>
      </c>
      <c r="EZ370" s="283"/>
      <c r="FA370" s="423"/>
      <c r="FB370" s="370"/>
      <c r="FC370" s="4">
        <f>IF(SnapshotTable[[#This Row],[SC Is Filled]], btc_max_buyback_amount(SnapshotTable[[#This Row],[SC Fill Date]],SnapshotTable[[#This Row],[SC Exp Date]], SnapshotTable[[#This Row],[SC Book Price]]),0)</f>
        <v>0</v>
      </c>
      <c r="FD370" s="5"/>
      <c r="FE370" s="144" t="str">
        <f>IF(SnapshotTable[[#This Row],[SC Is Filled]], btc_next_cutoff_date(SnapshotTable[[#This Row],[SC Fill Date]],SnapshotTable[[#This Row],[SC Exp Date]]),"")</f>
        <v/>
      </c>
      <c r="FF370" s="4" t="str" cm="1">
        <f t="array" ref="FF370">IF(SnapshotTable[[#This Row],[SC Is Filled]], btc_should_buy_back(SnapshotTable[[#This Row],[SC Fill Date]], SnapshotTable[[#This Row],[SC Exp Date]], SnapshotTable[[#This Row],[SC Book Price]], SnapshotTable[[#This Row],[SC Current Ask]], MockToday, SnapshotTable[[#This Row],[SC Buyback Override]]),"")</f>
        <v/>
      </c>
      <c r="FG370" s="4">
        <f>IF(SnapshotTable[[#This Row],[SC Is Filled]], MAX(0,SnapshotTable[[#This Row],[Last Price]]  - SnapshotTable[[#This Row],[SC Strike Price]]), 0)</f>
        <v>0</v>
      </c>
      <c r="FH370" s="382">
        <f>IF(SnapshotTable[[#This Row],[SC Is Filled]], IF(ISNUMBER(SnapshotTable[[#This Row],[SC Current Ask]]), SnapshotTable[[#This Row],[SC Current Ask]], SnapshotTable[[#This Row],[SC Book Price]]) - SnapshotTable[[#This Row],[SC Intrinsic Value]], 0)</f>
        <v>0</v>
      </c>
      <c r="FI370" s="143"/>
      <c r="FJ370" s="32" t="str">
        <f>IF(SnapshotTable[[#This Row],[SC Is Filled]],100 * SnapshotTable[[#This Row],[SC Qty]] * IF(ISNUMBER(SnapshotTable[[#This Row],[SC Buyback Override]]), SnapshotTable[[#This Row],[SC Buyback Override]], SnapshotTable[[#This Row],[SC Current Ask]]), "")</f>
        <v/>
      </c>
      <c r="FK370" s="250" t="str">
        <f>IF(SnapshotTable[[#This Row],[SC Time Val]]&gt;0, SnapshotTable[[#This Row],[SC Time Val]] / SnapshotTable[[#This Row],[Last Price]],"")</f>
        <v/>
      </c>
      <c r="FL370" s="302" t="str">
        <f>IF(SnapshotTable[[#This Row],[SC Is Booked]], ((SnapshotTable[[#This Row],[Last Price]] -SnapshotTable[[#This Row],[SC Strike Price]]) / SnapshotTable[[#This Row],[Last Price]]) * -1, "")</f>
        <v/>
      </c>
      <c r="FM370" s="157" t="str">
        <f>IF(SnapshotTable[[#This Row],[SC Is Booked]],  (SnapshotTable[[#This Row],[SC Qty]] * 100 * SnapshotTable[[#This Row],[SC Strike Price]]) - SnapshotTable[[#This Row],[SC Current Ask]], "")</f>
        <v/>
      </c>
      <c r="FN37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0" s="31" t="str">
        <f>IF(AND(ISNUMBER(SnapshotTable[[#This Row],[SC Exercise Gross]]), ISNUMBER(SnapshotTable[[#This Row],[Equity Basis Per Share]] )), SnapshotTable[[#This Row],[SC Exercise Gross]] - SnapshotTable[[#This Row],[Equity Basis Total]] +  SnapshotTable[[#This Row],[SC Premium]], "")</f>
        <v/>
      </c>
      <c r="FP370" s="5" t="str">
        <f>IF(ISNUMBER(SnapshotTable[[#This Row],[SC Exercise Gross]]), (SnapshotTable[[#This Row],[SC Exercise Gross]]) / (SnapshotTable[[#This Row],[SC Qty]] * 100), "")</f>
        <v/>
      </c>
      <c r="FQ370" s="27" t="str">
        <f>IF(SnapshotTable[[#This Row],[SC Is Booked]],SnapshotTable[[#This Row],[SC Time Val]] /SnapshotTable[[#This Row],[SC Basis]], "")</f>
        <v/>
      </c>
      <c r="FR370" s="27" t="str" cm="1">
        <f t="array" ref="FR370">IF(AND(ISNUMBER(SnapshotTable[[#This Row],[SC Term]]),ISNUMBER(SnapshotTable[[#This Row],[SC Simple ROO]])), EllmanAnnualize(SnapshotTable[[#This Row],[SC DTE]], SnapshotTable[[#This Row],[SC Simple ROO]] ),"")</f>
        <v/>
      </c>
      <c r="FS370" s="4" t="e">
        <f>IF(SnapshotTable[[#This Row],[SC Strike Price]] &gt; SnapshotTable[[#This Row],[Last Price]], SnapshotTable[[#This Row],[SC Strike Price]] - SnapshotTable[[#This Row],[Last Price]],0)</f>
        <v>#VALUE!</v>
      </c>
      <c r="FT370" s="27" t="e">
        <f>IF(AND(ISNUMBER(SnapshotTable[[#This Row],[SC Upside Potential]]), SnapshotTable[[#This Row],[SC Upside Potential]] &gt; 0),(SnapshotTable[[#This Row],[SC Upside Potential]]/ SnapshotTable[[#This Row],[ACB]]),"")</f>
        <v>#VALUE!</v>
      </c>
      <c r="FU370" s="333" t="str">
        <f>IF(SnapshotTable[[#This Row],[SC Intrinsic Value]] &gt; 0,SnapshotTable[[#This Row],[SC Intrinsic Value]],"")</f>
        <v/>
      </c>
      <c r="FV370" s="27" t="str">
        <f>IF(AND( ISNUMBER( SnapshotTable[[#This Row],[ACB]]),ISNUMBER(SnapshotTable[[#This Row],[SC Downside Protect]])),SnapshotTable[[#This Row],[SC Downside Protect]] / SnapshotTable[[#This Row],[ACB]],"")</f>
        <v/>
      </c>
      <c r="FW370" s="236" t="str">
        <f>IF(AND(ISNUMBER(SnapshotTable[[#This Row],[SC Simple ROO]]),SnapshotTable[[#This Row],[SC Simple ROO]] &gt; 0), SnapshotTable[[#This Row],[SC Premium]] + (SnapshotTable[[#This Row],[SC Qty]] * SnapshotTable[[#This Row],[SC Upside Potential]]), "")</f>
        <v/>
      </c>
      <c r="FX370" s="302" t="str" cm="1">
        <f t="array" ref="FX370">IF(ISNUMBER(SnapshotTable[[#This Row],[SC Max Dollars]]), annualize(SnapshotTable[[#This Row],[SC Term]],(SnapshotTable[[#This Row],[SC Max Dollars]]/SnapshotTable[[#This Row],[SC Basis]])),"")</f>
        <v/>
      </c>
      <c r="FY370" s="236" t="str">
        <f>IF(AND(SnapshotTable[[#This Row],[SC Qty]]&gt;0,SnapshotTable[[#This Row],[SC Current Ask]]&gt;0), SnapshotTable[[#This Row],[SC Qty]] * SnapshotTable[[#This Row],[SC Current Ask]] * -100, "")</f>
        <v/>
      </c>
      <c r="FZ370" s="31" t="str">
        <f>IF(ISNUMBER((SnapshotTable[[#This Row],[SC Current Value]])), SnapshotTable[[#This Row],[SC Premium]] + SnapshotTable[[#This Row],[SC Current Value]], "")</f>
        <v/>
      </c>
      <c r="GA370" s="294" t="str">
        <f>IFERROR( IF(ISNUMBER((SnapshotTable[[#This Row],[SC Current Value]])), SnapshotTable[[#This Row],[SC Gain Loss]] / SnapshotTable[[#This Row],[SC Premium]], ""), "")</f>
        <v/>
      </c>
      <c r="GB370" s="42">
        <f>SnapshotTable[[#This Row],[Equity Shares]] * SaleSharesToConsiderPercentage</f>
        <v>0</v>
      </c>
      <c r="GC370" s="40" t="e">
        <f>SnapshotTable[[#This Row],[Long Term Target]] * SellingPriceToConsiderBasedOnTargetPercentage</f>
        <v>#VALUE!</v>
      </c>
      <c r="GD370" s="40">
        <f>SnapshotTable[[#This Row],[Last Price]] * (1+ SellingPriceToConsiderBasedOnTargetPercentage)</f>
        <v>99.099000000000004</v>
      </c>
      <c r="GE370" s="41"/>
      <c r="GF370" s="40"/>
      <c r="GG370" s="31">
        <f>SnapshotTable[[#This Row],[Booked Sale Shares]] * SnapshotTable[[#This Row],[Booked Sale Price]]</f>
        <v>0</v>
      </c>
      <c r="GH370" s="31" t="str">
        <f>IF(SnapshotTable[[#This Row],[Equity Basis Total]] &gt; 0, SnapshotTable[[#This Row],[Equity Basis Per Share]] * SnapshotTable[[#This Row],[Booked Sale Shares]], "")</f>
        <v/>
      </c>
      <c r="GI370" s="31">
        <f>IF(SnapshotTable[[#This Row],[Sale Proceeds]]&gt;0, SnapshotTable[[#This Row],[Sale Proceeds]] - SnapshotTable[[#This Row],[Sale Basis]], 0)</f>
        <v>0</v>
      </c>
      <c r="GJ370" s="27" t="str">
        <f>IF(SnapshotTable[[#This Row],[Sale G/L]]&gt;0, SnapshotTable[[#This Row],[Sale G/L]] / SnapshotTable[[#This Row],[Sale Basis]], IF(ISNUMBER(SnapshotTable[[#This Row],[SC Exercise P&amp;L (TAX)]]), SnapshotTable[[#This Row],[SC Exercise P&amp;L (TAX)]] / SnapshotTable[[#This Row],[SC Basis]], ""))</f>
        <v/>
      </c>
      <c r="GK370" s="27" t="s">
        <v>802</v>
      </c>
      <c r="GL370" s="43" t="str">
        <f>IF(AND(SnapshotTable[[#This Row],[LP Exp Date]]&gt;0,SnapshotTable[[#This Row],[LP Strike Price]]&gt;0), [1]!ToOptionSymbol(SnapshotTable[[#This Row],[Symbol]], SnapshotTable[[#This Row],[LP Strike Price]],SnapshotTable[[#This Row],[LP Exp Date]],1), "")</f>
        <v/>
      </c>
      <c r="GM370" s="30" t="str">
        <f>IF(LEN(SnapshotTable[[#This Row],[LP Symbol]])&gt;0, 1, "")</f>
        <v/>
      </c>
      <c r="GN370" s="43" t="str">
        <f>IF(AND(SnapshotTable[[#This Row],[SP Exp Date]]&gt;0,SnapshotTable[[#This Row],[SP Strike Price]]&gt;0), [1]!ToOptionSymbol(SnapshotTable[[#This Row],[Symbol]], SnapshotTable[[#This Row],[SP Strike Price]],SnapshotTable[[#This Row],[SP Exp Date]],1), "")</f>
        <v/>
      </c>
      <c r="GO370" s="30" t="str">
        <f>IF(LEN(SnapshotTable[[#This Row],[SP Symbol]])&gt;0, 1, "")</f>
        <v/>
      </c>
      <c r="GP370" s="43" t="str">
        <f>IF(AND(SnapshotTable[[#This Row],[LC Exp Date]]&gt;0,SnapshotTable[[#This Row],[LC Strike Price]]&gt;0), [1]!ToOptionSymbol(SnapshotTable[[#This Row],[Symbol]], SnapshotTable[[#This Row],[LC Strike Price]],SnapshotTable[[#This Row],[LC Exp Date]],0), "")</f>
        <v/>
      </c>
      <c r="GQ370" s="30" t="str">
        <f>IF(LEN(SnapshotTable[[#This Row],[LC Symbol]])&gt;0, 1, "")</f>
        <v/>
      </c>
      <c r="GR370" s="43" t="str">
        <f>IF(AND(SnapshotTable[[#This Row],[SC Exp Date]]&gt;0,SnapshotTable[[#This Row],[SC Strike Price]]&gt;0), [1]!ToOptionSymbol(SnapshotTable[[#This Row],[Symbol]], SnapshotTable[[#This Row],[SC Strike Price]],SnapshotTable[[#This Row],[SC Exp Date]],0), "")</f>
        <v/>
      </c>
      <c r="GS370" s="30" t="str">
        <f>IF(LEN(SnapshotTable[[#This Row],[SC Symbol]])&gt;0, 1, "")</f>
        <v/>
      </c>
      <c r="GT370" s="29" t="str">
        <f>IF(COUNT(SnapshotTable[[#This Row],[LP Symbol Count]],SnapshotTable[[#This Row],[SP Symbol Count]],SnapshotTable[[#This Row],[LC Symbol Count]],SnapshotTable[[#This Row],[SC Symbol Count]])&gt;0, "Y", "")</f>
        <v/>
      </c>
      <c r="GU37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0" s="231" t="e">
        <f>MAX(SnapshotTable[[#This Row],[Equity Basis Total]],SnapshotTable[[#This Row],[Equity Value]]) + (SnapshotTable[[#This Row],[SP Potential Spend]]- SnapshotTable[[#This Row],[SP Premium]] + SnapshotTable[[#This Row],[LP Premium]])+ (SnapshotTable[[#This Row],[LC Premium]] - SnapshotTable[[#This Row],[SC Premium]])</f>
        <v>#VALUE!</v>
      </c>
      <c r="GW370" s="139" t="e">
        <f>IF(AND(SnapshotTable[[#This Row],[Exposure]] &lt;&gt; 0),SnapshotTable[[#This Row],[Exposure]] / SnapshotTable[[#Totals],[Exposure]], "")</f>
        <v>#VALUE!</v>
      </c>
      <c r="HK370" s="1"/>
      <c r="HL370" s="1"/>
      <c r="HM370" s="1"/>
      <c r="HN370" s="1"/>
      <c r="HO370" s="1"/>
      <c r="HP370" s="1"/>
    </row>
    <row r="371" spans="2:224" ht="12.75" hidden="1" customHeight="1" x14ac:dyDescent="0.25">
      <c r="B371" s="12" t="s">
        <v>165</v>
      </c>
      <c r="C371" s="422">
        <v>59.2</v>
      </c>
      <c r="D371" s="208" t="s">
        <v>578</v>
      </c>
      <c r="E371" s="39">
        <f>SnapshotTable[[#This Row],[Last Price]]*(1 -CrashDiscount)</f>
        <v>50.32</v>
      </c>
      <c r="F371" s="26" t="s">
        <v>5</v>
      </c>
      <c r="G371" s="26" t="s">
        <v>4</v>
      </c>
      <c r="H371" s="149"/>
      <c r="I371" s="194">
        <v>44770.694444444445</v>
      </c>
      <c r="J371" s="195">
        <v>44770.694444444445</v>
      </c>
      <c r="K371" s="196"/>
      <c r="L371" s="326"/>
      <c r="M371" s="140"/>
      <c r="N371" s="140"/>
      <c r="O371" s="140">
        <v>3</v>
      </c>
      <c r="P371" s="22"/>
      <c r="Q371" s="25"/>
      <c r="R371" s="4" t="str">
        <f>IF(SnapshotTable[[#This Row],[Equity Basis Total]] &gt; 0, SnapshotTable[[#This Row],[Equity Basis Total]] / SnapshotTable[[#This Row],[Equity Shares]], "")</f>
        <v/>
      </c>
      <c r="S371" s="269">
        <f>SnapshotTable[[#This Row],[Last Price]] * SnapshotTable[[#This Row],[Equity Shares]]</f>
        <v>0</v>
      </c>
      <c r="T371" s="269">
        <f>SnapshotTable[[#This Row],[Equity Value]] - SnapshotTable[[#This Row],[Equity Basis Total]]</f>
        <v>0</v>
      </c>
      <c r="U371" s="270" t="str">
        <f>IF(SnapshotTable[[#This Row],[Equity Basis Total]] &gt; 0, SnapshotTable[[#This Row],[Equity G/L]] / SnapshotTable[[#This Row],[Equity Basis Total]], "")</f>
        <v/>
      </c>
      <c r="V371" s="268"/>
      <c r="W371" s="268"/>
      <c r="X371" s="4" t="str">
        <f>IF(AND(ISNUMBER(SnapshotTable[[#This Row],[Equity Basis Per Share]]),ISNUMBER(SnapshotTable[[#This Row],[Equity Target]])),SnapshotTable[[#This Row],[Equity Target]]-SnapshotTable[[#This Row],[Equity Basis Per Share]],"")</f>
        <v/>
      </c>
      <c r="Y371" s="4" t="str">
        <f>IF(AND(ISNUMBER(SnapshotTable[[#This Row],[Equity Basis Per Share]]),ISNUMBER(SnapshotTable[[#This Row],[Equity Stop Loss]])),SnapshotTable[[#This Row],[Equity Stop Loss]]-SnapshotTable[[#This Row],[Equity Basis Per Share]],"")</f>
        <v/>
      </c>
      <c r="Z371" s="275" t="str">
        <f>IFERROR( TEXT(SnapshotTable[[#This Row],[Equity Max Gain Per Share]] /ABS( SnapshotTable[[#This Row],[Equity Max Loss Per Share]]),"0.0 " ) &amp; " : 1", "")</f>
        <v/>
      </c>
      <c r="AA371" s="31" t="str">
        <f>IF(ISNUMBER(SnapshotTable[[#This Row],[Equity Max Gain Per Share]]),SnapshotTable[[#This Row],[Equity Max Gain Per Share]] * SnapshotTable[[#This Row],[Equity Shares]],"")</f>
        <v/>
      </c>
      <c r="AB371" s="31" t="str">
        <f>IF(ISNUMBER(SnapshotTable[[#This Row],[Equity Max Loss Per Share]]),SnapshotTable[[#This Row],[Equity Max Loss Per Share]] * SnapshotTable[[#This Row],[Equity Shares]],"")</f>
        <v/>
      </c>
      <c r="AC371" s="150"/>
      <c r="AD371" s="151" t="s">
        <v>2</v>
      </c>
      <c r="AE371" s="31">
        <f>(SnapshotTable[[#This Row],[Annual Dividend Per Share]] / 4) * SnapshotTable[[#This Row],[Equity Shares]]</f>
        <v>0</v>
      </c>
      <c r="AF371" s="31">
        <f>SnapshotTable[[#This Row],[Quarterly Div $]] * 4</f>
        <v>0</v>
      </c>
      <c r="AG371" s="7">
        <f>IF(SnapshotTable[[#This Row],[Annual Dividend Per Share]]&gt;0, SnapshotTable[[#This Row],[Annual Dividend Per Share]]  / SnapshotTable[[#This Row],[Last Price]], 0)</f>
        <v>0</v>
      </c>
      <c r="AH371" s="151"/>
      <c r="AI371" s="5"/>
      <c r="AJ371" s="138" t="s">
        <v>164</v>
      </c>
      <c r="AK371" s="152" t="str">
        <f>IF(ISNUMBER( SnapshotTable[[#This Row],[EBF Target]]),(SnapshotTable[[#This Row],[EBF Target]] - SnapshotTable[[#This Row],[Last Price]]) / SnapshotTable[[#This Row],[Last Price]], "")</f>
        <v/>
      </c>
      <c r="AL371" s="152" t="str">
        <f>IF(AND(SnapshotTable[[#This Row],[Equity Basis Total]] &gt; 0,ISNUMBER( SnapshotTable[[#This Row],[Long Term Target]])), SnapshotTable[[#This Row],[From Basis $]] / SnapshotTable[[#This Row],[Equity Basis Total]], "")</f>
        <v/>
      </c>
      <c r="AM371" s="9">
        <f>IF( AND(SnapshotTable[[#This Row],[Equity Shares]] &gt;0,ISNUMBER( SnapshotTable[[#This Row],[Long Term Target]])),(SnapshotTable[[#This Row],[Equity Shares]] * SnapshotTable[[#This Row],[Long Term Target]]) - SnapshotTable[[#This Row],[Equity Basis Total]],0)</f>
        <v>0</v>
      </c>
      <c r="AN371" s="9">
        <f>IF( AND(SnapshotTable[[#This Row],[Equity Shares]] &gt;0,ISNUMBER( SnapshotTable[[#This Row],[Long Term Target]])),(SnapshotTable[[#This Row],[Equity Shares]]*SnapshotTable[[#This Row],[Long Term Target]]) - SnapshotTable[[#This Row],[Equity Value]],0)</f>
        <v>0</v>
      </c>
      <c r="AO371" s="152" t="str">
        <f>IF(AND(ISNUMBER( SnapshotTable[[#This Row],[Long Term Target]]), ISNUMBER(SnapshotTable[[#This Row],[Last Price]])),(SnapshotTable[[#This Row],[Long Term Target]] - SnapshotTable[[#This Row],[Last Price]]) / SnapshotTable[[#This Row],[Last Price]], "")</f>
        <v/>
      </c>
      <c r="AP371" s="5"/>
      <c r="AQ371" s="38"/>
      <c r="AR371" s="5"/>
      <c r="AS371" s="38"/>
      <c r="AT371" s="146"/>
      <c r="AU371" s="187" t="str">
        <f>IF(OR(SnapshotTable[[#This Row],[LP No Fill]]="Y",SnapshotTable[[#This Row],[SP Is Filled]],SnapshotTable[[#This Row],[LC Not Filled]]="Y",SnapshotTable[[#This Row],[SC Is Filled]]),"Y","")</f>
        <v/>
      </c>
      <c r="AV371" s="219"/>
      <c r="AW371" s="225">
        <v>3.8820000000000001</v>
      </c>
      <c r="AX371" s="220">
        <v>44302</v>
      </c>
      <c r="AY371" s="219">
        <f>IF(SnapshotTable[[#This Row],[Implied Move]]&gt;0, SnapshotTable[[#This Row],[Last Price]]-SnapshotTable[[#This Row],[Implied Move]],"")</f>
        <v>55.318000000000005</v>
      </c>
      <c r="AZ371" s="219">
        <f>IF(SnapshotTable[[#This Row],[Implied Move]]&gt;0, SnapshotTable[[#This Row],[Last Price]] + SnapshotTable[[#This Row],[Implied Move]],"")</f>
        <v>63.082000000000001</v>
      </c>
      <c r="BA371" s="331">
        <v>92.21</v>
      </c>
      <c r="BB371" s="347"/>
      <c r="BC37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1" s="351"/>
      <c r="BE371" s="5"/>
      <c r="BF371" s="14"/>
      <c r="BG371" s="13"/>
      <c r="BH371" s="13"/>
      <c r="BI371" s="5"/>
      <c r="BJ371" s="136">
        <f>IF(SnapshotTable[[#This Row],[LP Qty]] &gt; 0, SnapshotTable[[#This Row],[LP Qty]] * SnapshotTable[[#This Row],[LP Book Price]] * 100,0)</f>
        <v>0</v>
      </c>
      <c r="BK371" s="136">
        <f>IF(SnapshotTable[[#This Row],[LP Premium]] &gt; 0, SnapshotTable[[#This Row],[LP Qty]] * SnapshotTable[[#This Row],[LP Strike Price]] * 100,0)</f>
        <v>0</v>
      </c>
      <c r="BL371" s="154"/>
      <c r="BM371" s="385" t="str">
        <f>IF(SnapshotTable[[#This Row],[LP Premium]] &gt; 0,SnapshotTable[[#This Row],[LP Exp Date]]-MAX(SnapshotTable[[#This Row],[LP Book Date]], SnapshotTable[[#This Row],[LP Fill Date]]),"")</f>
        <v/>
      </c>
      <c r="BN371" s="385" t="str">
        <f>IF(ISNUMBER( SnapshotTable[[#This Row],[LP Term]]), SnapshotTable[[#This Row],[LP Exp Date]] - MockToday,"")</f>
        <v/>
      </c>
      <c r="BO371" s="163" t="str">
        <f>IF(AND(SnapshotTable[[#This Row],[LP Exp Date]]&gt;0, SnapshotTable[[#This Row],[LP Strike Price]]&gt;0,SnapshotTable[[#This Row],[LP Qty]]&gt;0,SnapshotTable[[#This Row],[LP Book Date]]&gt;0,SnapshotTable[[#This Row],[LP Book Price]]&gt;0,SnapshotTable[[#This Row],[LP Fill Date]]=0),"Y","")</f>
        <v/>
      </c>
      <c r="BP371" s="31" t="str">
        <f>IF(AND(SnapshotTable[[#This Row],[LP No Fill]]&lt;&gt;"Y",SnapshotTable[[#This Row],[LP Contract Value]]&gt;0, SnapshotTable[[#This Row],[LP Qty]]&gt;0), SnapshotTable[[#This Row],[LP Contract Value]]*SnapshotTable[[#This Row],[LP Qty]]*100,"")</f>
        <v/>
      </c>
      <c r="BQ371" s="13"/>
      <c r="BR371" s="5" t="str">
        <f>IF(SnapshotTable[[#This Row],[SP Exp Date]]&lt;&gt;"",TRUNC(SnapshotTable[[#This Row],[Last Price]]),"")</f>
        <v/>
      </c>
      <c r="BS371" s="36"/>
      <c r="BT371" s="147"/>
      <c r="BU371" s="13"/>
      <c r="BV371" s="5"/>
      <c r="BW371" s="419" t="b">
        <f>AND(ISNUMBER(SnapshotTable[[#This Row],[SP Exp Date]]), ISNUMBER(SnapshotTable[[#This Row],[SP Strike Price]]), ISNUMBER(SnapshotTable[[#This Row],[SP Qty]]), ISNUMBER(SnapshotTable[[#This Row],[SP Book Date]]), ISNUMBER(SnapshotTable[[#This Row],[SP Book Price]]))</f>
        <v>0</v>
      </c>
      <c r="BX371" s="419" t="b">
        <f>AND(SnapshotTable[[#This Row],[SP Is Booked]], NOT(ISBLANK(SnapshotTable[[#This Row],[SP Fill Date]])))</f>
        <v>0</v>
      </c>
      <c r="BY371" s="33">
        <f>IF(SnapshotTable[[#This Row],[SP Is Booked]], SnapshotTable[[#This Row],[SP Qty]] * SnapshotTable[[#This Row],[SP Book Price]] * 100, 0)</f>
        <v>0</v>
      </c>
      <c r="BZ371" s="369"/>
      <c r="CA371" s="368">
        <f>SnapshotTable[[#This Row],[LP Qty]]</f>
        <v>0</v>
      </c>
      <c r="CB371" s="4" t="str">
        <f>IF(SnapshotTable[[#This Row],[SP Is Booked]], SnapshotTable[[#This Row],[SP Strike Price]] - SnapshotTable[[#This Row],[SP Book Price]], "")</f>
        <v/>
      </c>
      <c r="CC371" s="19" t="str">
        <f>IF(SnapshotTable[[#This Row],[SP Is Booked]],SnapshotTable[[#This Row],[SP Exp Date]]-MAX(SnapshotTable[[#This Row],[SP Book Date]], SnapshotTable[[#This Row],[SP Fill Date]]),"")</f>
        <v/>
      </c>
      <c r="CD371" s="7" t="str">
        <f>IF(SnapshotTable[[#This Row],[SP Is Booked]], SnapshotTable[[#This Row],[SP Book Price]]/SnapshotTable[[#This Row],[SP Strike Price]], "")</f>
        <v/>
      </c>
      <c r="CE371" s="7" t="str">
        <f>IF(ISNUMBER(SnapshotTable[[#This Row],[SP ROO Term]]),SnapshotTable[[#This Row],[SP ROO Term]]*(365/SnapshotTable[[#This Row],[SP Term]]),"")</f>
        <v/>
      </c>
      <c r="CF371" s="236">
        <f>SnapshotTable[[#This Row],[LP Strike Price]] * SnapshotTable[[#This Row],[LP Qty]] * 100</f>
        <v>0</v>
      </c>
      <c r="CG371" s="31" t="e">
        <f>IF(ISNUMBER(SnapshotTable[[#This Row],[SP Premium]]), (SnapshotTable[[#This Row],[SP Qty]] * SnapshotTable[[#This Row],[SP Strike Price]]* 100) - SnapshotTable[[#This Row],[LP Protection]], 0)</f>
        <v>#VALUE!</v>
      </c>
      <c r="CH371" s="7" t="str">
        <f>IF(ISNUMBER(SnapshotTable[[#This Row],[SP Break Even]]),-1 * (SnapshotTable[[#This Row],[SP Break Even]] - SnapshotTable[[#This Row],[Last Price]]) / SnapshotTable[[#This Row],[Last Price]], "")</f>
        <v/>
      </c>
      <c r="CI371" s="31">
        <f>IF(AND(ISNUMBER((SnapshotTable[[#This Row],[SP Potential Spend]])), SnapshotTable[[#This Row],[SP Strike Price]] &gt; SnapshotTable[[#This Row],[Last Price]], SnapshotTable[[#This Row],[SP Is Filled]]), SnapshotTable[[#This Row],[SP Potential Spend]] -  SnapshotTable[[#This Row],[LP Max Value]], 0)</f>
        <v>0</v>
      </c>
      <c r="CJ371" s="244"/>
      <c r="CK371" s="31" t="str">
        <f>IF(ISNUMBER(SnapshotTable[[#This Row],[SP Potential Spend]]),IF(ISNUMBER(SnapshotTable[[#This Row],[SP POW]]), SnapshotTable[[#This Row],[SP POW]] * SnapshotTable[[#This Row],[SP Potential Spend]], SnapshotTable[[#This Row],[SP Potential Spend]]), "")</f>
        <v/>
      </c>
      <c r="CL371" s="164" t="e">
        <f>IF(NOT(SnapshotTable[[#This Row],[SP Is Filled]]),(SnapshotTable[[#This Row],[SP Qty]] * SnapshotTable[[#This Row],[SP Strike Price]] * 100) - SnapshotTable[[#This Row],[LP Max Value]],"")</f>
        <v>#VALUE!</v>
      </c>
      <c r="CM371" s="31" t="str">
        <f>IF(SnapshotTable[[#This Row],[SP Actual Spend]]&lt;&gt;0, ((SnapshotTable[[#This Row],[SP Strike Price]]-SnapshotTable[[#This Row],[Last Price]]) *(SnapshotTable[[#This Row],[SP Qty]]*100) - SnapshotTable[[#This Row],[SP Premium]]) * - 1, "")</f>
        <v/>
      </c>
      <c r="CN371" s="78"/>
      <c r="CO371" s="369"/>
      <c r="CP371" s="4" t="str">
        <f>IF(SnapshotTable[[#This Row],[SP Is Filled]], btc_max_buyback_amount(SnapshotTable[[#This Row],[SP Fill Date]],SnapshotTable[[#This Row],[SP Exp Date]], SnapshotTable[[#This Row],[SP Book Price]]),"")</f>
        <v/>
      </c>
      <c r="CQ371" s="78"/>
      <c r="CR37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1" s="155" t="str">
        <f>IF(SnapshotTable[[#This Row],[SP Is Filled]], btc_next_cutoff_date(SnapshotTable[[#This Row],[SP Fill Date]],SnapshotTable[[#This Row],[SP Exp Date]]),"")</f>
        <v/>
      </c>
      <c r="CT371" s="235" t="str" cm="1">
        <f t="array" ref="CT371">IF(SnapshotTable[[#This Row],[SP Is Filled]], btc_should_buy_back(SnapshotTable[[#This Row],[SP Fill Date]], SnapshotTable[[#This Row],[SP Exp Date]], SnapshotTable[[#This Row],[SP Book Price]], SnapshotTable[[#This Row],[SP Current Ask]], MockToday, SnapshotTable[[#This Row],[SP Buyback Override]]),"")</f>
        <v/>
      </c>
      <c r="CU371" s="143"/>
      <c r="CV371" s="235"/>
      <c r="CW371" s="378" t="str">
        <f>IF(ISNUMBER( SnapshotTable[[#This Row],[SP Term]]), SnapshotTable[[#This Row],[SP Exp Date]] - MockToday,"")</f>
        <v/>
      </c>
      <c r="CX371" s="31" t="str">
        <f>IF(SnapshotTable[[#This Row],[SP Is Filled]],SnapshotTable[[#This Row],[SP Buyback Price to Use]] * 100 * SnapshotTable[[#This Row],[SP Qty]], "")</f>
        <v/>
      </c>
      <c r="CY371" s="4" t="str">
        <f>IF(ISNUMBER(SnapshotTable[[#This Row],[SP Strike Price]]), SnapshotTable[[#This Row],[SP Strike Price]] * (1 - SP_MaxLoss_StrikePct), "")</f>
        <v/>
      </c>
      <c r="CZ371" s="31" t="str">
        <f>IF(ISNUMBER(SnapshotTable[[#This Row],[SP Strike  Stop Per Share]]),SnapshotTable[[#This Row],[SP Premium]] - ((SnapshotTable[[#This Row],[SP Strike Price]]-SnapshotTable[[#This Row],[SP Strike  Stop Per Share]]) *(SnapshotTable[[#This Row],[SP Qty]] * 100)),"")</f>
        <v/>
      </c>
      <c r="DA371" s="4" t="str">
        <f>IF(AND(ISNUMBER(SnapshotTable[[#This Row],[SP Premium]]),SnapshotTable[[#This Row],[SP Premium]]&gt;0), SnapshotTable[[#This Row],[SP Book Price]] * (1 + SP_MaxLoss_OptionPct), "")</f>
        <v/>
      </c>
      <c r="DB371" s="31" t="str">
        <f>IF(ISNUMBER(SnapshotTable[[#This Row],[SP Option  Stop Contract]]),(SnapshotTable[[#This Row],[SP Option  Stop Contract]] *(SnapshotTable[[#This Row],[SP Qty]] * 100) - SnapshotTable[[#This Row],[SP Premium]]),"")</f>
        <v/>
      </c>
      <c r="DC371" s="4"/>
      <c r="DD371" s="4"/>
      <c r="DE371" s="4" t="str">
        <f>IF(AND(SnapshotTable[[#This Row],[SP Qty]]&gt;0, SnapshotTable[[#This Row],[SP Stop To Use]]&gt;0),SnapshotTable[[#This Row],[SP Premium]] - ( SnapshotTable[[#This Row],[SP Qty]] * SnapshotTable[[#This Row],[SP Stop To Use]] * 100), "")</f>
        <v/>
      </c>
      <c r="DF371" s="31" t="str">
        <f>IF(AND(SnapshotTable[[#This Row],[SP Qty]]&gt;0,SnapshotTable[[#This Row],[SP Current Ask]]&gt;0), SnapshotTable[[#This Row],[SP Qty]] * SnapshotTable[[#This Row],[SP Current Ask]] * -100, "")</f>
        <v/>
      </c>
      <c r="DG371" s="31" t="str">
        <f>IF(ISNUMBER((SnapshotTable[[#This Row],[SP Total Value]])), SnapshotTable[[#This Row],[SP Premium]] + SnapshotTable[[#This Row],[SP Total Value]], "")</f>
        <v/>
      </c>
      <c r="DH371" s="294" t="str">
        <f>IF(ISNUMBER((SnapshotTable[[#This Row],[SP Total Value]])), SnapshotTable[[#This Row],[SP Gain Loss]] / SnapshotTable[[#This Row],[SP Premium]], "")</f>
        <v/>
      </c>
      <c r="DI371" s="406"/>
      <c r="DJ371" s="138"/>
      <c r="DK371" s="148"/>
      <c r="DL371" s="13"/>
      <c r="DM371" s="13"/>
      <c r="DO371" s="31">
        <f>IF(SnapshotTable[[#This Row],[LC Symbol Count]]=1, SnapshotTable[[#This Row],[LC Qty]] * SnapshotTable[[#This Row],[LC Book Price]] * 100, 0)</f>
        <v>0</v>
      </c>
      <c r="DP371" s="163" t="str">
        <f>IF(AND(SnapshotTable[[#This Row],[LC Exp Date]]&gt;0, SnapshotTable[[#This Row],[LC Strike Price]]&gt;0,SnapshotTable[[#This Row],[LC Qty]]&gt;0,SnapshotTable[[#This Row],[LC Book Date]]&gt;0,SnapshotTable[[#This Row],[LC Book Price]]&gt;0,SnapshotTable[[#This Row],[LC Fill Date]]=0),"Y","")</f>
        <v/>
      </c>
      <c r="DQ371" s="386" t="str">
        <f>IF(SnapshotTable[[#This Row],[LC Premium]] &gt; 0,SnapshotTable[[#This Row],[LC Exp Date]]-MAX(SnapshotTable[[#This Row],[LC Book Date]], SnapshotTable[[#This Row],[LC Fill Date]]),"")</f>
        <v/>
      </c>
      <c r="DR371" s="386" t="str">
        <f>IF(ISNUMBER(SnapshotTable[[#This Row],[LC Term]]), SnapshotTable[[#This Row],[LC Exp Date]] - MockToday, "")</f>
        <v/>
      </c>
      <c r="DS371" s="234" t="str">
        <f>IF(SnapshotTable[[#This Row],[LC Premium]]&gt;0,SnapshotTable[[#This Row],[LC Strike Price]] + SnapshotTable[[#This Row],[LC Book Price]],"")</f>
        <v/>
      </c>
      <c r="DU371" s="9" t="str">
        <f>IF(AND(SnapshotTable[[#This Row],[LC Symbol Count]]&gt;0, SnapshotTable[[#This Row],[LC Contract Value]]&gt;0), SnapshotTable[[#This Row],[LC Contract Value]] * SnapshotTable[[#This Row],[LC Qty]] * 100, "")</f>
        <v/>
      </c>
      <c r="DV371" s="9" t="str">
        <f>IF(AND(ISNUMBER(SnapshotTable[[#This Row],[LC Total Value]]), SnapshotTable[[#This Row],[LC Not Filled]]&lt;&gt;"Y"), SnapshotTable[[#This Row],[LC Total Value]]-SnapshotTable[[#This Row],[LC Premium]],"")</f>
        <v/>
      </c>
      <c r="DW371" s="240" t="str">
        <f>IF(ISNUMBER(SnapshotTable[[#This Row],[LC Actual Gain Loss]]), SnapshotTable[[#This Row],[LC Actual Gain Loss]] / SnapshotTable[[#This Row],[LC Premium]],"")</f>
        <v/>
      </c>
      <c r="DX371" s="284" t="str">
        <f>IF(ISNUMBER(SnapshotTable[[#This Row],[LC Book Price]]),SnapshotTable[[#This Row],[LC Book Price]] * 1.5,"")</f>
        <v/>
      </c>
      <c r="DY371" s="265" t="str">
        <f>IF(SnapshotTable[[#This Row],[LC Premium]]&gt;0, SnapshotTable[[#This Row],[LC Next Target]] * SnapshotTable[[#This Row],[LC Qty]] * 100,"")</f>
        <v/>
      </c>
      <c r="DZ371" s="265" t="str">
        <f>IF(ISNUMBER(SnapshotTable[[#This Row],[LC Target Gross]]), SnapshotTable[[#This Row],[LC Target Gross]] - SnapshotTable[[#This Row],[LC Premium]], "")</f>
        <v/>
      </c>
      <c r="EA371" s="305" t="str">
        <f>IF(ISNUMBER(SnapshotTable[[#This Row],[LC Target Gain Loss]]), SnapshotTable[[#This Row],[LC Target Gain Loss]]/SnapshotTable[[#This Row],[LC Premium]], "")</f>
        <v/>
      </c>
      <c r="EB371" s="262"/>
      <c r="EC371" s="283" t="str">
        <f>IF(SnapshotTable[[#This Row],[LC Premium]]&gt;0, SnapshotTable[[#This Row],[LC Book Price]] * (1 - LC_StopLoss_Pct),"")</f>
        <v/>
      </c>
      <c r="ED371" s="284"/>
      <c r="EE371" s="283" t="str">
        <f>IF(ISNUMBER(SnapshotTable[[#This Row],[LC Contract Value]]),IF(ISNUMBER(SnapshotTable[[#This Row],[LC Stop Loss Override]]), SnapshotTable[[#This Row],[LC Stop Loss Override]],SnapshotTable[[#This Row],[LC Stop Loss Calc Target]]),"")</f>
        <v/>
      </c>
      <c r="EF371" s="31" t="str">
        <f>IF(ISNUMBER(SnapshotTable[[#This Row],[LC Stop  To Use]]), (SnapshotTable[[#This Row],[LC Stop  To Use]] * SnapshotTable[[#This Row],[LC Qty]] * 100),"")</f>
        <v/>
      </c>
      <c r="EG371" s="9" t="str">
        <f>IF(ISNUMBER(SnapshotTable[[#This Row],[LC Total Value]]),SnapshotTable[[#This Row],[LC Stop Loss Amount]] - SnapshotTable[[#This Row],[LC Premium]],"")</f>
        <v/>
      </c>
      <c r="EH371" s="9">
        <f>IF(ISNUMBER(SnapshotTable[[#This Row],[LC Premium]]), SnapshotTable[[#This Row],[LC Qty]] * 100 * SnapshotTable[[#This Row],[LC Strike Price]], "")</f>
        <v>0</v>
      </c>
      <c r="EI371" s="240" t="str">
        <f>IF(AND(ISNUMBER(SnapshotTable[[#This Row],[LC Total Value]]),SnapshotTable[[#This Row],[LC Total Value]]&gt;0),SnapshotTable[[#This Row],[LC Stop Gain Loss]]  / SnapshotTable[[#This Row],[LC Premium]],"")</f>
        <v/>
      </c>
      <c r="EJ371" s="35">
        <f>IF(ISNUMBER(SnapshotTable[[#This Row],[Equity Shares]]),TRUNC(SnapshotTable[[#This Row],[Equity Shares]] / 100),0) + SnapshotTable[[#This Row],[LC Qty]]</f>
        <v>0</v>
      </c>
      <c r="EK371" s="147"/>
      <c r="EL371" s="138" t="str">
        <f>IF(SnapshotTable[[#This Row],[SC Exp Date]]&lt;&gt;"",TRUNC(SnapshotTable[[#This Row],[Last Price]]),"")</f>
        <v/>
      </c>
      <c r="EM371" s="148">
        <v>0</v>
      </c>
      <c r="EN371" s="147">
        <v>45076</v>
      </c>
      <c r="EO371" s="147"/>
      <c r="EP371" s="138">
        <v>1.77</v>
      </c>
      <c r="EQ371" s="419" t="b">
        <f>AND(ISNUMBER(SnapshotTable[[#This Row],[SC Exp Date]]), ISNUMBER(SnapshotTable[[#This Row],[SC Strike Price]]), ISNUMBER(SnapshotTable[[#This Row],[SC Qty]]), ISNUMBER(SnapshotTable[[#This Row],[SC Book Date]]), ISNUMBER(SnapshotTable[[#This Row],[SC Book Price]]))</f>
        <v>0</v>
      </c>
      <c r="ER371" s="419" t="b">
        <f>AND(SnapshotTable[[#This Row],[SC Is Booked]], NOT(ISBLANK(SnapshotTable[[#This Row],[SC Fill Date]])))</f>
        <v>0</v>
      </c>
      <c r="ES371" s="370"/>
      <c r="ET371" s="34" t="str">
        <f>IF(AND(ISNUMBER(SnapshotTable[[#This Row],[SC Exp Date]]), ISNUMBER(SnapshotTable[[#This Row],[SC Book Date]])), SnapshotTable[[#This Row],[SC Exp Date]] - MAX(SnapshotTable[[#This Row],[SC Book Date]], SnapshotTable[[#This Row],[SC Fill Date]]) + 1, "")</f>
        <v/>
      </c>
      <c r="EU371" s="34" t="str">
        <f>IF(ISNUMBER(SnapshotTable[[#This Row],[SC Term]]), SnapshotTable[[#This Row],[SC Exp Date]]- MockToday, "")</f>
        <v/>
      </c>
      <c r="EV371" s="31">
        <f>IF(SnapshotTable[[#This Row],[SC Is Booked]], SnapshotTable[[#This Row],[SC Qty]] * SnapshotTable[[#This Row],[SC Book Price]] * 100, 0)</f>
        <v>0</v>
      </c>
      <c r="EW371" s="4">
        <f>IF(AND(ISNUMBER(SnapshotTable[[#This Row],[Last Price]]), ISNUMBER( SnapshotTable[[#This Row],[SC Book Price]])), SnapshotTable[[#This Row],[Last Price]] - SnapshotTable[[#This Row],[SC Book Price]],"")</f>
        <v>57.43</v>
      </c>
      <c r="EX371" s="234" t="str">
        <f>IF(SnapshotTable[[#This Row],[SC Is Booked]],IF(SnapshotTable[[#This Row],[SC Intrinsic Value]] &gt; 0, SnapshotTable[[#This Row],[SC Strike Price]], SnapshotTable[[#This Row],[Last Price]]), "")</f>
        <v/>
      </c>
      <c r="EY371" s="4">
        <f>IF(SnapshotTable[[#This Row],[SC Is Booked]], (MinimumPremiumRequired * SnapshotTable[[#This Row],[SC Basis]] * SnapshotTable[[#This Row],[SC Term]]), 0)</f>
        <v>0</v>
      </c>
      <c r="EZ371" s="283"/>
      <c r="FA371" s="423"/>
      <c r="FB371" s="370"/>
      <c r="FC371" s="4">
        <f>IF(SnapshotTable[[#This Row],[SC Is Filled]], btc_max_buyback_amount(SnapshotTable[[#This Row],[SC Fill Date]],SnapshotTable[[#This Row],[SC Exp Date]], SnapshotTable[[#This Row],[SC Book Price]]),0)</f>
        <v>0</v>
      </c>
      <c r="FD371" s="5"/>
      <c r="FE371" s="144" t="str">
        <f>IF(SnapshotTable[[#This Row],[SC Is Filled]], btc_next_cutoff_date(SnapshotTable[[#This Row],[SC Fill Date]],SnapshotTable[[#This Row],[SC Exp Date]]),"")</f>
        <v/>
      </c>
      <c r="FF371" s="4" t="str" cm="1">
        <f t="array" ref="FF371">IF(SnapshotTable[[#This Row],[SC Is Filled]], btc_should_buy_back(SnapshotTable[[#This Row],[SC Fill Date]], SnapshotTable[[#This Row],[SC Exp Date]], SnapshotTable[[#This Row],[SC Book Price]], SnapshotTable[[#This Row],[SC Current Ask]], MockToday, SnapshotTable[[#This Row],[SC Buyback Override]]),"")</f>
        <v/>
      </c>
      <c r="FG371" s="4">
        <f>IF(SnapshotTable[[#This Row],[SC Is Filled]], MAX(0,SnapshotTable[[#This Row],[Last Price]]  - SnapshotTable[[#This Row],[SC Strike Price]]), 0)</f>
        <v>0</v>
      </c>
      <c r="FH371" s="382">
        <f>IF(SnapshotTable[[#This Row],[SC Is Filled]], IF(ISNUMBER(SnapshotTable[[#This Row],[SC Current Ask]]), SnapshotTable[[#This Row],[SC Current Ask]], SnapshotTable[[#This Row],[SC Book Price]]) - SnapshotTable[[#This Row],[SC Intrinsic Value]], 0)</f>
        <v>0</v>
      </c>
      <c r="FI371" s="143"/>
      <c r="FJ371" s="32" t="str">
        <f>IF(SnapshotTable[[#This Row],[SC Is Filled]],100 * SnapshotTable[[#This Row],[SC Qty]] * IF(ISNUMBER(SnapshotTable[[#This Row],[SC Buyback Override]]), SnapshotTable[[#This Row],[SC Buyback Override]], SnapshotTable[[#This Row],[SC Current Ask]]), "")</f>
        <v/>
      </c>
      <c r="FK371" s="250" t="str">
        <f>IF(SnapshotTable[[#This Row],[SC Time Val]]&gt;0, SnapshotTable[[#This Row],[SC Time Val]] / SnapshotTable[[#This Row],[Last Price]],"")</f>
        <v/>
      </c>
      <c r="FL371" s="302" t="str">
        <f>IF(SnapshotTable[[#This Row],[SC Is Booked]], ((SnapshotTable[[#This Row],[Last Price]] -SnapshotTable[[#This Row],[SC Strike Price]]) / SnapshotTable[[#This Row],[Last Price]]) * -1, "")</f>
        <v/>
      </c>
      <c r="FM371" s="157" t="str">
        <f>IF(SnapshotTable[[#This Row],[SC Is Booked]],  (SnapshotTable[[#This Row],[SC Qty]] * 100 * SnapshotTable[[#This Row],[SC Strike Price]]) - SnapshotTable[[#This Row],[SC Current Ask]], "")</f>
        <v/>
      </c>
      <c r="FN37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1" s="31" t="str">
        <f>IF(AND(ISNUMBER(SnapshotTable[[#This Row],[SC Exercise Gross]]), ISNUMBER(SnapshotTable[[#This Row],[Equity Basis Per Share]] )), SnapshotTable[[#This Row],[SC Exercise Gross]] - SnapshotTable[[#This Row],[Equity Basis Total]] +  SnapshotTable[[#This Row],[SC Premium]], "")</f>
        <v/>
      </c>
      <c r="FP371" s="5" t="str">
        <f>IF(ISNUMBER(SnapshotTable[[#This Row],[SC Exercise Gross]]), (SnapshotTable[[#This Row],[SC Exercise Gross]]) / (SnapshotTable[[#This Row],[SC Qty]] * 100), "")</f>
        <v/>
      </c>
      <c r="FQ371" s="27" t="str">
        <f>IF(SnapshotTable[[#This Row],[SC Is Booked]],SnapshotTable[[#This Row],[SC Time Val]] /SnapshotTable[[#This Row],[SC Basis]], "")</f>
        <v/>
      </c>
      <c r="FR371" s="27" t="str" cm="1">
        <f t="array" ref="FR371">IF(AND(ISNUMBER(SnapshotTable[[#This Row],[SC Term]]),ISNUMBER(SnapshotTable[[#This Row],[SC Simple ROO]])), EllmanAnnualize(SnapshotTable[[#This Row],[SC DTE]], SnapshotTable[[#This Row],[SC Simple ROO]] ),"")</f>
        <v/>
      </c>
      <c r="FS371" s="4" t="e">
        <f>IF(SnapshotTable[[#This Row],[SC Strike Price]] &gt; SnapshotTable[[#This Row],[Last Price]], SnapshotTable[[#This Row],[SC Strike Price]] - SnapshotTable[[#This Row],[Last Price]],0)</f>
        <v>#VALUE!</v>
      </c>
      <c r="FT371" s="27" t="e">
        <f>IF(AND(ISNUMBER(SnapshotTable[[#This Row],[SC Upside Potential]]), SnapshotTable[[#This Row],[SC Upside Potential]] &gt; 0),(SnapshotTable[[#This Row],[SC Upside Potential]]/ SnapshotTable[[#This Row],[ACB]]),"")</f>
        <v>#VALUE!</v>
      </c>
      <c r="FU371" s="333" t="str">
        <f>IF(SnapshotTable[[#This Row],[SC Intrinsic Value]] &gt; 0,SnapshotTable[[#This Row],[SC Intrinsic Value]],"")</f>
        <v/>
      </c>
      <c r="FV371" s="27" t="str">
        <f>IF(AND( ISNUMBER( SnapshotTable[[#This Row],[ACB]]),ISNUMBER(SnapshotTable[[#This Row],[SC Downside Protect]])),SnapshotTable[[#This Row],[SC Downside Protect]] / SnapshotTable[[#This Row],[ACB]],"")</f>
        <v/>
      </c>
      <c r="FW371" s="236" t="str">
        <f>IF(AND(ISNUMBER(SnapshotTable[[#This Row],[SC Simple ROO]]),SnapshotTable[[#This Row],[SC Simple ROO]] &gt; 0), SnapshotTable[[#This Row],[SC Premium]] + (SnapshotTable[[#This Row],[SC Qty]] * SnapshotTable[[#This Row],[SC Upside Potential]]), "")</f>
        <v/>
      </c>
      <c r="FX371" s="302" t="str" cm="1">
        <f t="array" ref="FX371">IF(ISNUMBER(SnapshotTable[[#This Row],[SC Max Dollars]]), annualize(SnapshotTable[[#This Row],[SC Term]],(SnapshotTable[[#This Row],[SC Max Dollars]]/SnapshotTable[[#This Row],[SC Basis]])),"")</f>
        <v/>
      </c>
      <c r="FY371" s="236" t="str">
        <f>IF(AND(SnapshotTable[[#This Row],[SC Qty]]&gt;0,SnapshotTable[[#This Row],[SC Current Ask]]&gt;0), SnapshotTable[[#This Row],[SC Qty]] * SnapshotTable[[#This Row],[SC Current Ask]] * -100, "")</f>
        <v/>
      </c>
      <c r="FZ371" s="31" t="str">
        <f>IF(ISNUMBER((SnapshotTable[[#This Row],[SC Current Value]])), SnapshotTable[[#This Row],[SC Premium]] + SnapshotTable[[#This Row],[SC Current Value]], "")</f>
        <v/>
      </c>
      <c r="GA371" s="294" t="str">
        <f>IFERROR( IF(ISNUMBER((SnapshotTable[[#This Row],[SC Current Value]])), SnapshotTable[[#This Row],[SC Gain Loss]] / SnapshotTable[[#This Row],[SC Premium]], ""), "")</f>
        <v/>
      </c>
      <c r="GB371" s="42">
        <f>SnapshotTable[[#This Row],[Equity Shares]] * SaleSharesToConsiderPercentage</f>
        <v>0</v>
      </c>
      <c r="GC371" s="40" t="e">
        <f>SnapshotTable[[#This Row],[Long Term Target]] * SellingPriceToConsiderBasedOnTargetPercentage</f>
        <v>#VALUE!</v>
      </c>
      <c r="GD371" s="40">
        <f>SnapshotTable[[#This Row],[Last Price]] * (1+ SellingPriceToConsiderBasedOnTargetPercentage)</f>
        <v>115.44</v>
      </c>
      <c r="GE371" s="41"/>
      <c r="GF371" s="40"/>
      <c r="GG371" s="31">
        <f>SnapshotTable[[#This Row],[Booked Sale Shares]] * SnapshotTable[[#This Row],[Booked Sale Price]]</f>
        <v>0</v>
      </c>
      <c r="GH371" s="31" t="str">
        <f>IF(SnapshotTable[[#This Row],[Equity Basis Total]] &gt; 0, SnapshotTable[[#This Row],[Equity Basis Per Share]] * SnapshotTable[[#This Row],[Booked Sale Shares]], "")</f>
        <v/>
      </c>
      <c r="GI371" s="31">
        <f>IF(SnapshotTable[[#This Row],[Sale Proceeds]]&gt;0, SnapshotTable[[#This Row],[Sale Proceeds]] - SnapshotTable[[#This Row],[Sale Basis]], 0)</f>
        <v>0</v>
      </c>
      <c r="GJ371" s="27" t="str">
        <f>IF(SnapshotTable[[#This Row],[Sale G/L]]&gt;0, SnapshotTable[[#This Row],[Sale G/L]] / SnapshotTable[[#This Row],[Sale Basis]], IF(ISNUMBER(SnapshotTable[[#This Row],[SC Exercise P&amp;L (TAX)]]), SnapshotTable[[#This Row],[SC Exercise P&amp;L (TAX)]] / SnapshotTable[[#This Row],[SC Basis]], ""))</f>
        <v/>
      </c>
      <c r="GK371" s="27" t="s">
        <v>803</v>
      </c>
      <c r="GL371" s="43" t="str">
        <f>IF(AND(SnapshotTable[[#This Row],[LP Exp Date]]&gt;0,SnapshotTable[[#This Row],[LP Strike Price]]&gt;0), [1]!ToOptionSymbol(SnapshotTable[[#This Row],[Symbol]], SnapshotTable[[#This Row],[LP Strike Price]],SnapshotTable[[#This Row],[LP Exp Date]],1), "")</f>
        <v/>
      </c>
      <c r="GM371" s="30" t="str">
        <f>IF(LEN(SnapshotTable[[#This Row],[LP Symbol]])&gt;0, 1, "")</f>
        <v/>
      </c>
      <c r="GN371" s="43" t="str">
        <f>IF(AND(SnapshotTable[[#This Row],[SP Exp Date]]&gt;0,SnapshotTable[[#This Row],[SP Strike Price]]&gt;0), [1]!ToOptionSymbol(SnapshotTable[[#This Row],[Symbol]], SnapshotTable[[#This Row],[SP Strike Price]],SnapshotTable[[#This Row],[SP Exp Date]],1), "")</f>
        <v/>
      </c>
      <c r="GO371" s="30" t="str">
        <f>IF(LEN(SnapshotTable[[#This Row],[SP Symbol]])&gt;0, 1, "")</f>
        <v/>
      </c>
      <c r="GP371" s="43" t="str">
        <f>IF(AND(SnapshotTable[[#This Row],[LC Exp Date]]&gt;0,SnapshotTable[[#This Row],[LC Strike Price]]&gt;0), [1]!ToOptionSymbol(SnapshotTable[[#This Row],[Symbol]], SnapshotTable[[#This Row],[LC Strike Price]],SnapshotTable[[#This Row],[LC Exp Date]],0), "")</f>
        <v/>
      </c>
      <c r="GQ371" s="30" t="str">
        <f>IF(LEN(SnapshotTable[[#This Row],[LC Symbol]])&gt;0, 1, "")</f>
        <v/>
      </c>
      <c r="GR371" s="43" t="str">
        <f>IF(AND(SnapshotTable[[#This Row],[SC Exp Date]]&gt;0,SnapshotTable[[#This Row],[SC Strike Price]]&gt;0), [1]!ToOptionSymbol(SnapshotTable[[#This Row],[Symbol]], SnapshotTable[[#This Row],[SC Strike Price]],SnapshotTable[[#This Row],[SC Exp Date]],0), "")</f>
        <v/>
      </c>
      <c r="GS371" s="30" t="str">
        <f>IF(LEN(SnapshotTable[[#This Row],[SC Symbol]])&gt;0, 1, "")</f>
        <v/>
      </c>
      <c r="GT371" s="29" t="str">
        <f>IF(COUNT(SnapshotTable[[#This Row],[LP Symbol Count]],SnapshotTable[[#This Row],[SP Symbol Count]],SnapshotTable[[#This Row],[LC Symbol Count]],SnapshotTable[[#This Row],[SC Symbol Count]])&gt;0, "Y", "")</f>
        <v/>
      </c>
      <c r="GU37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1" s="231" t="e">
        <f>MAX(SnapshotTable[[#This Row],[Equity Basis Total]],SnapshotTable[[#This Row],[Equity Value]]) + (SnapshotTable[[#This Row],[SP Potential Spend]]- SnapshotTable[[#This Row],[SP Premium]] + SnapshotTable[[#This Row],[LP Premium]])+ (SnapshotTable[[#This Row],[LC Premium]] - SnapshotTable[[#This Row],[SC Premium]])</f>
        <v>#VALUE!</v>
      </c>
      <c r="GW371" s="139" t="e">
        <f>IF(AND(SnapshotTable[[#This Row],[Exposure]] &lt;&gt; 0),SnapshotTable[[#This Row],[Exposure]] / SnapshotTable[[#Totals],[Exposure]], "")</f>
        <v>#VALUE!</v>
      </c>
      <c r="HK371" s="1"/>
      <c r="HL371" s="1"/>
      <c r="HM371" s="1"/>
      <c r="HN371" s="1"/>
      <c r="HO371" s="1"/>
      <c r="HP371" s="1"/>
    </row>
    <row r="372" spans="2:224" ht="12.75" hidden="1" customHeight="1" x14ac:dyDescent="0.25">
      <c r="B372" s="12" t="s">
        <v>163</v>
      </c>
      <c r="C372" s="422">
        <v>178.85</v>
      </c>
      <c r="D372" s="208"/>
      <c r="E372" s="39">
        <f>SnapshotTable[[#This Row],[Last Price]]*(1 -CrashDiscount)</f>
        <v>152.02249999999998</v>
      </c>
      <c r="F372" s="26" t="s">
        <v>5</v>
      </c>
      <c r="G372" s="26" t="s">
        <v>4</v>
      </c>
      <c r="H372" s="149"/>
      <c r="I372" s="194">
        <v>44770.694444444445</v>
      </c>
      <c r="J372" s="195">
        <v>44770.694444444445</v>
      </c>
      <c r="K372" s="196"/>
      <c r="L372" s="326"/>
      <c r="M372" s="140"/>
      <c r="N372" s="140"/>
      <c r="O372" s="140">
        <v>1</v>
      </c>
      <c r="P372" s="22"/>
      <c r="Q372" s="25"/>
      <c r="R372" s="4" t="str">
        <f>IF(SnapshotTable[[#This Row],[Equity Basis Total]] &gt; 0, SnapshotTable[[#This Row],[Equity Basis Total]] / SnapshotTable[[#This Row],[Equity Shares]], "")</f>
        <v/>
      </c>
      <c r="S372" s="269">
        <f>SnapshotTable[[#This Row],[Last Price]] * SnapshotTable[[#This Row],[Equity Shares]]</f>
        <v>0</v>
      </c>
      <c r="T372" s="269">
        <f>SnapshotTable[[#This Row],[Equity Value]] - SnapshotTable[[#This Row],[Equity Basis Total]]</f>
        <v>0</v>
      </c>
      <c r="U372" s="270" t="str">
        <f>IF(SnapshotTable[[#This Row],[Equity Basis Total]] &gt; 0, SnapshotTable[[#This Row],[Equity G/L]] / SnapshotTable[[#This Row],[Equity Basis Total]], "")</f>
        <v/>
      </c>
      <c r="V372" s="268"/>
      <c r="W372" s="268"/>
      <c r="X372" s="4" t="str">
        <f>IF(AND(ISNUMBER(SnapshotTable[[#This Row],[Equity Basis Per Share]]),ISNUMBER(SnapshotTable[[#This Row],[Equity Target]])),SnapshotTable[[#This Row],[Equity Target]]-SnapshotTable[[#This Row],[Equity Basis Per Share]],"")</f>
        <v/>
      </c>
      <c r="Y372" s="4" t="str">
        <f>IF(AND(ISNUMBER(SnapshotTable[[#This Row],[Equity Basis Per Share]]),ISNUMBER(SnapshotTable[[#This Row],[Equity Stop Loss]])),SnapshotTable[[#This Row],[Equity Stop Loss]]-SnapshotTable[[#This Row],[Equity Basis Per Share]],"")</f>
        <v/>
      </c>
      <c r="Z372" s="275" t="str">
        <f>IFERROR( TEXT(SnapshotTable[[#This Row],[Equity Max Gain Per Share]] /ABS( SnapshotTable[[#This Row],[Equity Max Loss Per Share]]),"0.0 " ) &amp; " : 1", "")</f>
        <v/>
      </c>
      <c r="AA372" s="31" t="str">
        <f>IF(ISNUMBER(SnapshotTable[[#This Row],[Equity Max Gain Per Share]]),SnapshotTable[[#This Row],[Equity Max Gain Per Share]] * SnapshotTable[[#This Row],[Equity Shares]],"")</f>
        <v/>
      </c>
      <c r="AB372" s="31" t="str">
        <f>IF(ISNUMBER(SnapshotTable[[#This Row],[Equity Max Loss Per Share]]),SnapshotTable[[#This Row],[Equity Max Loss Per Share]] * SnapshotTable[[#This Row],[Equity Shares]],"")</f>
        <v/>
      </c>
      <c r="AC372" s="150">
        <v>0</v>
      </c>
      <c r="AD372" s="151" t="s">
        <v>2</v>
      </c>
      <c r="AE372" s="31">
        <f>(SnapshotTable[[#This Row],[Annual Dividend Per Share]] / 4) * SnapshotTable[[#This Row],[Equity Shares]]</f>
        <v>0</v>
      </c>
      <c r="AF372" s="31">
        <f>SnapshotTable[[#This Row],[Quarterly Div $]] * 4</f>
        <v>0</v>
      </c>
      <c r="AG372" s="7">
        <f>IF(SnapshotTable[[#This Row],[Annual Dividend Per Share]]&gt;0, SnapshotTable[[#This Row],[Annual Dividend Per Share]]  / SnapshotTable[[#This Row],[Last Price]], 0)</f>
        <v>0</v>
      </c>
      <c r="AH372" s="151" t="s">
        <v>2</v>
      </c>
      <c r="AI372" s="5"/>
      <c r="AJ372" s="138" t="s">
        <v>164</v>
      </c>
      <c r="AK372" s="152" t="str">
        <f>IF(ISNUMBER( SnapshotTable[[#This Row],[EBF Target]]),(SnapshotTable[[#This Row],[EBF Target]] - SnapshotTable[[#This Row],[Last Price]]) / SnapshotTable[[#This Row],[Last Price]], "")</f>
        <v/>
      </c>
      <c r="AL372" s="152" t="str">
        <f>IF(AND(SnapshotTable[[#This Row],[Equity Basis Total]] &gt; 0,ISNUMBER( SnapshotTable[[#This Row],[Long Term Target]])), SnapshotTable[[#This Row],[From Basis $]] / SnapshotTable[[#This Row],[Equity Basis Total]], "")</f>
        <v/>
      </c>
      <c r="AM372" s="9">
        <f>IF( AND(SnapshotTable[[#This Row],[Equity Shares]] &gt;0,ISNUMBER( SnapshotTable[[#This Row],[Long Term Target]])),(SnapshotTable[[#This Row],[Equity Shares]] * SnapshotTable[[#This Row],[Long Term Target]]) - SnapshotTable[[#This Row],[Equity Basis Total]],0)</f>
        <v>0</v>
      </c>
      <c r="AN372" s="9">
        <f>IF( AND(SnapshotTable[[#This Row],[Equity Shares]] &gt;0,ISNUMBER( SnapshotTable[[#This Row],[Long Term Target]])),(SnapshotTable[[#This Row],[Equity Shares]]*SnapshotTable[[#This Row],[Long Term Target]]) - SnapshotTable[[#This Row],[Equity Value]],0)</f>
        <v>0</v>
      </c>
      <c r="AO372" s="152" t="str">
        <f>IF(AND(ISNUMBER( SnapshotTable[[#This Row],[Long Term Target]]), ISNUMBER(SnapshotTable[[#This Row],[Last Price]])),(SnapshotTable[[#This Row],[Long Term Target]] - SnapshotTable[[#This Row],[Last Price]]) / SnapshotTable[[#This Row],[Last Price]], "")</f>
        <v/>
      </c>
      <c r="AP372" s="5"/>
      <c r="AQ372" s="38"/>
      <c r="AR372" s="5"/>
      <c r="AS372" s="38"/>
      <c r="AT372" s="146"/>
      <c r="AU372" s="187" t="str">
        <f>IF(OR(SnapshotTable[[#This Row],[LP No Fill]]="Y",SnapshotTable[[#This Row],[SP Is Filled]],SnapshotTable[[#This Row],[LC Not Filled]]="Y",SnapshotTable[[#This Row],[SC Is Filled]]),"Y","")</f>
        <v/>
      </c>
      <c r="AV372" s="219"/>
      <c r="AW372" s="225"/>
      <c r="AX372" s="220"/>
      <c r="AY372" s="219" t="str">
        <f>IF(SnapshotTable[[#This Row],[Implied Move]]&gt;0, SnapshotTable[[#This Row],[Last Price]]-SnapshotTable[[#This Row],[Implied Move]],"")</f>
        <v/>
      </c>
      <c r="AZ372" s="219" t="str">
        <f>IF(SnapshotTable[[#This Row],[Implied Move]]&gt;0, SnapshotTable[[#This Row],[Last Price]] + SnapshotTable[[#This Row],[Implied Move]],"")</f>
        <v/>
      </c>
      <c r="BA372" s="331">
        <v>532.09</v>
      </c>
      <c r="BB372" s="347"/>
      <c r="BC37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2" s="351"/>
      <c r="BE372" s="5"/>
      <c r="BF372" s="14"/>
      <c r="BG372" s="13"/>
      <c r="BH372" s="13"/>
      <c r="BI372" s="5"/>
      <c r="BJ372" s="136">
        <f>IF(SnapshotTable[[#This Row],[LP Qty]] &gt; 0, SnapshotTable[[#This Row],[LP Qty]] * SnapshotTable[[#This Row],[LP Book Price]] * 100,0)</f>
        <v>0</v>
      </c>
      <c r="BK372" s="136">
        <f>IF(SnapshotTable[[#This Row],[LP Premium]] &gt; 0, SnapshotTable[[#This Row],[LP Qty]] * SnapshotTable[[#This Row],[LP Strike Price]] * 100,0)</f>
        <v>0</v>
      </c>
      <c r="BL372" s="154"/>
      <c r="BM372" s="385" t="str">
        <f>IF(SnapshotTable[[#This Row],[LP Premium]] &gt; 0,SnapshotTable[[#This Row],[LP Exp Date]]-MAX(SnapshotTable[[#This Row],[LP Book Date]], SnapshotTable[[#This Row],[LP Fill Date]]),"")</f>
        <v/>
      </c>
      <c r="BN372" s="385" t="str">
        <f>IF(ISNUMBER( SnapshotTable[[#This Row],[LP Term]]), SnapshotTable[[#This Row],[LP Exp Date]] - MockToday,"")</f>
        <v/>
      </c>
      <c r="BO372" s="163" t="str">
        <f>IF(AND(SnapshotTable[[#This Row],[LP Exp Date]]&gt;0, SnapshotTable[[#This Row],[LP Strike Price]]&gt;0,SnapshotTable[[#This Row],[LP Qty]]&gt;0,SnapshotTable[[#This Row],[LP Book Date]]&gt;0,SnapshotTable[[#This Row],[LP Book Price]]&gt;0,SnapshotTable[[#This Row],[LP Fill Date]]=0),"Y","")</f>
        <v/>
      </c>
      <c r="BP372" s="31" t="str">
        <f>IF(AND(SnapshotTable[[#This Row],[LP No Fill]]&lt;&gt;"Y",SnapshotTable[[#This Row],[LP Contract Value]]&gt;0, SnapshotTable[[#This Row],[LP Qty]]&gt;0), SnapshotTable[[#This Row],[LP Contract Value]]*SnapshotTable[[#This Row],[LP Qty]]*100,"")</f>
        <v/>
      </c>
      <c r="BQ372" s="13"/>
      <c r="BR372" s="5" t="str">
        <f>IF(SnapshotTable[[#This Row],[SP Exp Date]]&lt;&gt;"",TRUNC(SnapshotTable[[#This Row],[Last Price]]),"")</f>
        <v/>
      </c>
      <c r="BS372" s="36"/>
      <c r="BT372" s="147"/>
      <c r="BU372" s="13"/>
      <c r="BV372" s="5"/>
      <c r="BW372" s="419" t="b">
        <f>AND(ISNUMBER(SnapshotTable[[#This Row],[SP Exp Date]]), ISNUMBER(SnapshotTable[[#This Row],[SP Strike Price]]), ISNUMBER(SnapshotTable[[#This Row],[SP Qty]]), ISNUMBER(SnapshotTable[[#This Row],[SP Book Date]]), ISNUMBER(SnapshotTable[[#This Row],[SP Book Price]]))</f>
        <v>0</v>
      </c>
      <c r="BX372" s="419" t="b">
        <f>AND(SnapshotTable[[#This Row],[SP Is Booked]], NOT(ISBLANK(SnapshotTable[[#This Row],[SP Fill Date]])))</f>
        <v>0</v>
      </c>
      <c r="BY372" s="33">
        <f>IF(SnapshotTable[[#This Row],[SP Is Booked]], SnapshotTable[[#This Row],[SP Qty]] * SnapshotTable[[#This Row],[SP Book Price]] * 100, 0)</f>
        <v>0</v>
      </c>
      <c r="BZ372" s="369"/>
      <c r="CA372" s="368">
        <f>SnapshotTable[[#This Row],[LP Qty]]</f>
        <v>0</v>
      </c>
      <c r="CB372" s="4" t="str">
        <f>IF(SnapshotTable[[#This Row],[SP Is Booked]], SnapshotTable[[#This Row],[SP Strike Price]] - SnapshotTable[[#This Row],[SP Book Price]], "")</f>
        <v/>
      </c>
      <c r="CC372" s="19" t="str">
        <f>IF(SnapshotTable[[#This Row],[SP Is Booked]],SnapshotTable[[#This Row],[SP Exp Date]]-MAX(SnapshotTable[[#This Row],[SP Book Date]], SnapshotTable[[#This Row],[SP Fill Date]]),"")</f>
        <v/>
      </c>
      <c r="CD372" s="7" t="str">
        <f>IF(SnapshotTable[[#This Row],[SP Is Booked]], SnapshotTable[[#This Row],[SP Book Price]]/SnapshotTable[[#This Row],[SP Strike Price]], "")</f>
        <v/>
      </c>
      <c r="CE372" s="7" t="str">
        <f>IF(ISNUMBER(SnapshotTable[[#This Row],[SP ROO Term]]),SnapshotTable[[#This Row],[SP ROO Term]]*(365/SnapshotTable[[#This Row],[SP Term]]),"")</f>
        <v/>
      </c>
      <c r="CF372" s="236">
        <f>SnapshotTable[[#This Row],[LP Strike Price]] * SnapshotTable[[#This Row],[LP Qty]] * 100</f>
        <v>0</v>
      </c>
      <c r="CG372" s="31" t="e">
        <f>IF(ISNUMBER(SnapshotTable[[#This Row],[SP Premium]]), (SnapshotTable[[#This Row],[SP Qty]] * SnapshotTable[[#This Row],[SP Strike Price]]* 100) - SnapshotTable[[#This Row],[LP Protection]], 0)</f>
        <v>#VALUE!</v>
      </c>
      <c r="CH372" s="7" t="str">
        <f>IF(ISNUMBER(SnapshotTable[[#This Row],[SP Break Even]]),-1 * (SnapshotTable[[#This Row],[SP Break Even]] - SnapshotTable[[#This Row],[Last Price]]) / SnapshotTable[[#This Row],[Last Price]], "")</f>
        <v/>
      </c>
      <c r="CI372" s="31">
        <f>IF(AND(ISNUMBER((SnapshotTable[[#This Row],[SP Potential Spend]])), SnapshotTable[[#This Row],[SP Strike Price]] &gt; SnapshotTable[[#This Row],[Last Price]], SnapshotTable[[#This Row],[SP Is Filled]]), SnapshotTable[[#This Row],[SP Potential Spend]] -  SnapshotTable[[#This Row],[LP Max Value]], 0)</f>
        <v>0</v>
      </c>
      <c r="CJ372" s="244"/>
      <c r="CK372" s="31" t="str">
        <f>IF(ISNUMBER(SnapshotTable[[#This Row],[SP Potential Spend]]),IF(ISNUMBER(SnapshotTable[[#This Row],[SP POW]]), SnapshotTable[[#This Row],[SP POW]] * SnapshotTable[[#This Row],[SP Potential Spend]], SnapshotTable[[#This Row],[SP Potential Spend]]), "")</f>
        <v/>
      </c>
      <c r="CL372" s="164" t="e">
        <f>IF(NOT(SnapshotTable[[#This Row],[SP Is Filled]]),(SnapshotTable[[#This Row],[SP Qty]] * SnapshotTable[[#This Row],[SP Strike Price]] * 100) - SnapshotTable[[#This Row],[LP Max Value]],"")</f>
        <v>#VALUE!</v>
      </c>
      <c r="CM372" s="31" t="str">
        <f>IF(SnapshotTable[[#This Row],[SP Actual Spend]]&lt;&gt;0, ((SnapshotTable[[#This Row],[SP Strike Price]]-SnapshotTable[[#This Row],[Last Price]]) *(SnapshotTable[[#This Row],[SP Qty]]*100) - SnapshotTable[[#This Row],[SP Premium]]) * - 1, "")</f>
        <v/>
      </c>
      <c r="CN372" s="78"/>
      <c r="CO372" s="369"/>
      <c r="CP372" s="4" t="str">
        <f>IF(SnapshotTable[[#This Row],[SP Is Filled]], btc_max_buyback_amount(SnapshotTable[[#This Row],[SP Fill Date]],SnapshotTable[[#This Row],[SP Exp Date]], SnapshotTable[[#This Row],[SP Book Price]]),"")</f>
        <v/>
      </c>
      <c r="CQ372" s="78"/>
      <c r="CR37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2" s="155" t="str">
        <f>IF(SnapshotTable[[#This Row],[SP Is Filled]], btc_next_cutoff_date(SnapshotTable[[#This Row],[SP Fill Date]],SnapshotTable[[#This Row],[SP Exp Date]]),"")</f>
        <v/>
      </c>
      <c r="CT372" s="235" t="str" cm="1">
        <f t="array" ref="CT372">IF(SnapshotTable[[#This Row],[SP Is Filled]], btc_should_buy_back(SnapshotTable[[#This Row],[SP Fill Date]], SnapshotTable[[#This Row],[SP Exp Date]], SnapshotTable[[#This Row],[SP Book Price]], SnapshotTable[[#This Row],[SP Current Ask]], MockToday, SnapshotTable[[#This Row],[SP Buyback Override]]),"")</f>
        <v/>
      </c>
      <c r="CU372" s="143"/>
      <c r="CV372" s="235"/>
      <c r="CW372" s="378" t="str">
        <f>IF(ISNUMBER( SnapshotTable[[#This Row],[SP Term]]), SnapshotTable[[#This Row],[SP Exp Date]] - MockToday,"")</f>
        <v/>
      </c>
      <c r="CX372" s="31" t="str">
        <f>IF(SnapshotTable[[#This Row],[SP Is Filled]],SnapshotTable[[#This Row],[SP Buyback Price to Use]] * 100 * SnapshotTable[[#This Row],[SP Qty]], "")</f>
        <v/>
      </c>
      <c r="CY372" s="4" t="str">
        <f>IF(ISNUMBER(SnapshotTable[[#This Row],[SP Strike Price]]), SnapshotTable[[#This Row],[SP Strike Price]] * (1 - SP_MaxLoss_StrikePct), "")</f>
        <v/>
      </c>
      <c r="CZ372" s="31" t="str">
        <f>IF(ISNUMBER(SnapshotTable[[#This Row],[SP Strike  Stop Per Share]]),SnapshotTable[[#This Row],[SP Premium]] - ((SnapshotTable[[#This Row],[SP Strike Price]]-SnapshotTable[[#This Row],[SP Strike  Stop Per Share]]) *(SnapshotTable[[#This Row],[SP Qty]] * 100)),"")</f>
        <v/>
      </c>
      <c r="DA372" s="4" t="str">
        <f>IF(AND(ISNUMBER(SnapshotTable[[#This Row],[SP Premium]]),SnapshotTable[[#This Row],[SP Premium]]&gt;0), SnapshotTable[[#This Row],[SP Book Price]] * (1 + SP_MaxLoss_OptionPct), "")</f>
        <v/>
      </c>
      <c r="DB372" s="31" t="str">
        <f>IF(ISNUMBER(SnapshotTable[[#This Row],[SP Option  Stop Contract]]),(SnapshotTable[[#This Row],[SP Option  Stop Contract]] *(SnapshotTable[[#This Row],[SP Qty]] * 100) - SnapshotTable[[#This Row],[SP Premium]]),"")</f>
        <v/>
      </c>
      <c r="DC372" s="4"/>
      <c r="DD372" s="4"/>
      <c r="DE372" s="4" t="str">
        <f>IF(AND(SnapshotTable[[#This Row],[SP Qty]]&gt;0, SnapshotTable[[#This Row],[SP Stop To Use]]&gt;0),SnapshotTable[[#This Row],[SP Premium]] - ( SnapshotTable[[#This Row],[SP Qty]] * SnapshotTable[[#This Row],[SP Stop To Use]] * 100), "")</f>
        <v/>
      </c>
      <c r="DF372" s="31" t="str">
        <f>IF(AND(SnapshotTable[[#This Row],[SP Qty]]&gt;0,SnapshotTable[[#This Row],[SP Current Ask]]&gt;0), SnapshotTable[[#This Row],[SP Qty]] * SnapshotTable[[#This Row],[SP Current Ask]] * -100, "")</f>
        <v/>
      </c>
      <c r="DG372" s="31" t="str">
        <f>IF(ISNUMBER((SnapshotTable[[#This Row],[SP Total Value]])), SnapshotTable[[#This Row],[SP Premium]] + SnapshotTable[[#This Row],[SP Total Value]], "")</f>
        <v/>
      </c>
      <c r="DH372" s="294" t="str">
        <f>IF(ISNUMBER((SnapshotTable[[#This Row],[SP Total Value]])), SnapshotTable[[#This Row],[SP Gain Loss]] / SnapshotTable[[#This Row],[SP Premium]], "")</f>
        <v/>
      </c>
      <c r="DI372" s="406"/>
      <c r="DJ372" s="138"/>
      <c r="DK372" s="148"/>
      <c r="DL372" s="13"/>
      <c r="DM372" s="13"/>
      <c r="DO372" s="31">
        <f>IF(SnapshotTable[[#This Row],[LC Symbol Count]]=1, SnapshotTable[[#This Row],[LC Qty]] * SnapshotTable[[#This Row],[LC Book Price]] * 100, 0)</f>
        <v>0</v>
      </c>
      <c r="DP372" s="163" t="str">
        <f>IF(AND(SnapshotTable[[#This Row],[LC Exp Date]]&gt;0, SnapshotTable[[#This Row],[LC Strike Price]]&gt;0,SnapshotTable[[#This Row],[LC Qty]]&gt;0,SnapshotTable[[#This Row],[LC Book Date]]&gt;0,SnapshotTable[[#This Row],[LC Book Price]]&gt;0,SnapshotTable[[#This Row],[LC Fill Date]]=0),"Y","")</f>
        <v/>
      </c>
      <c r="DQ372" s="386" t="str">
        <f>IF(SnapshotTable[[#This Row],[LC Premium]] &gt; 0,SnapshotTable[[#This Row],[LC Exp Date]]-MAX(SnapshotTable[[#This Row],[LC Book Date]], SnapshotTable[[#This Row],[LC Fill Date]]),"")</f>
        <v/>
      </c>
      <c r="DR372" s="386" t="str">
        <f>IF(ISNUMBER(SnapshotTable[[#This Row],[LC Term]]), SnapshotTable[[#This Row],[LC Exp Date]] - MockToday, "")</f>
        <v/>
      </c>
      <c r="DS372" s="234" t="str">
        <f>IF(SnapshotTable[[#This Row],[LC Premium]]&gt;0,SnapshotTable[[#This Row],[LC Strike Price]] + SnapshotTable[[#This Row],[LC Book Price]],"")</f>
        <v/>
      </c>
      <c r="DU372" s="9" t="str">
        <f>IF(AND(SnapshotTable[[#This Row],[LC Symbol Count]]&gt;0, SnapshotTable[[#This Row],[LC Contract Value]]&gt;0), SnapshotTable[[#This Row],[LC Contract Value]] * SnapshotTable[[#This Row],[LC Qty]] * 100, "")</f>
        <v/>
      </c>
      <c r="DV372" s="9" t="str">
        <f>IF(AND(ISNUMBER(SnapshotTable[[#This Row],[LC Total Value]]), SnapshotTable[[#This Row],[LC Not Filled]]&lt;&gt;"Y"), SnapshotTable[[#This Row],[LC Total Value]]-SnapshotTable[[#This Row],[LC Premium]],"")</f>
        <v/>
      </c>
      <c r="DW372" s="240" t="str">
        <f>IF(ISNUMBER(SnapshotTable[[#This Row],[LC Actual Gain Loss]]), SnapshotTable[[#This Row],[LC Actual Gain Loss]] / SnapshotTable[[#This Row],[LC Premium]],"")</f>
        <v/>
      </c>
      <c r="DX372" s="284" t="str">
        <f>IF(ISNUMBER(SnapshotTable[[#This Row],[LC Book Price]]),SnapshotTable[[#This Row],[LC Book Price]] * 1.5,"")</f>
        <v/>
      </c>
      <c r="DY372" s="265" t="str">
        <f>IF(SnapshotTable[[#This Row],[LC Premium]]&gt;0, SnapshotTable[[#This Row],[LC Next Target]] * SnapshotTable[[#This Row],[LC Qty]] * 100,"")</f>
        <v/>
      </c>
      <c r="DZ372" s="265" t="str">
        <f>IF(ISNUMBER(SnapshotTable[[#This Row],[LC Target Gross]]), SnapshotTable[[#This Row],[LC Target Gross]] - SnapshotTable[[#This Row],[LC Premium]], "")</f>
        <v/>
      </c>
      <c r="EA372" s="305" t="str">
        <f>IF(ISNUMBER(SnapshotTable[[#This Row],[LC Target Gain Loss]]), SnapshotTable[[#This Row],[LC Target Gain Loss]]/SnapshotTable[[#This Row],[LC Premium]], "")</f>
        <v/>
      </c>
      <c r="EB372" s="262"/>
      <c r="EC372" s="283" t="str">
        <f>IF(SnapshotTable[[#This Row],[LC Premium]]&gt;0, SnapshotTable[[#This Row],[LC Book Price]] * (1 - LC_StopLoss_Pct),"")</f>
        <v/>
      </c>
      <c r="ED372" s="284"/>
      <c r="EE372" s="283" t="str">
        <f>IF(ISNUMBER(SnapshotTable[[#This Row],[LC Contract Value]]),IF(ISNUMBER(SnapshotTable[[#This Row],[LC Stop Loss Override]]), SnapshotTable[[#This Row],[LC Stop Loss Override]],SnapshotTable[[#This Row],[LC Stop Loss Calc Target]]),"")</f>
        <v/>
      </c>
      <c r="EF372" s="31" t="str">
        <f>IF(ISNUMBER(SnapshotTable[[#This Row],[LC Stop  To Use]]), (SnapshotTable[[#This Row],[LC Stop  To Use]] * SnapshotTable[[#This Row],[LC Qty]] * 100),"")</f>
        <v/>
      </c>
      <c r="EG372" s="9" t="str">
        <f>IF(ISNUMBER(SnapshotTable[[#This Row],[LC Total Value]]),SnapshotTable[[#This Row],[LC Stop Loss Amount]] - SnapshotTable[[#This Row],[LC Premium]],"")</f>
        <v/>
      </c>
      <c r="EH372" s="9">
        <f>IF(ISNUMBER(SnapshotTable[[#This Row],[LC Premium]]), SnapshotTable[[#This Row],[LC Qty]] * 100 * SnapshotTable[[#This Row],[LC Strike Price]], "")</f>
        <v>0</v>
      </c>
      <c r="EI372" s="240" t="str">
        <f>IF(AND(ISNUMBER(SnapshotTable[[#This Row],[LC Total Value]]),SnapshotTable[[#This Row],[LC Total Value]]&gt;0),SnapshotTable[[#This Row],[LC Stop Gain Loss]]  / SnapshotTable[[#This Row],[LC Premium]],"")</f>
        <v/>
      </c>
      <c r="EJ372" s="35">
        <f>IF(ISNUMBER(SnapshotTable[[#This Row],[Equity Shares]]),TRUNC(SnapshotTable[[#This Row],[Equity Shares]] / 100),0) + SnapshotTable[[#This Row],[LC Qty]]</f>
        <v>0</v>
      </c>
      <c r="EK372" s="147"/>
      <c r="EL372" s="138" t="str">
        <f>IF(SnapshotTable[[#This Row],[SC Exp Date]]&lt;&gt;"",TRUNC(SnapshotTable[[#This Row],[Last Price]]),"")</f>
        <v/>
      </c>
      <c r="EM372" s="148"/>
      <c r="EN372" s="147">
        <v>45076</v>
      </c>
      <c r="EO372" s="147"/>
      <c r="EP372" s="138">
        <v>26.5</v>
      </c>
      <c r="EQ372" s="419" t="b">
        <f>AND(ISNUMBER(SnapshotTable[[#This Row],[SC Exp Date]]), ISNUMBER(SnapshotTable[[#This Row],[SC Strike Price]]), ISNUMBER(SnapshotTable[[#This Row],[SC Qty]]), ISNUMBER(SnapshotTable[[#This Row],[SC Book Date]]), ISNUMBER(SnapshotTable[[#This Row],[SC Book Price]]))</f>
        <v>0</v>
      </c>
      <c r="ER372" s="419" t="b">
        <f>AND(SnapshotTable[[#This Row],[SC Is Booked]], NOT(ISBLANK(SnapshotTable[[#This Row],[SC Fill Date]])))</f>
        <v>0</v>
      </c>
      <c r="ES372" s="370"/>
      <c r="ET372" s="34" t="str">
        <f>IF(AND(ISNUMBER(SnapshotTable[[#This Row],[SC Exp Date]]), ISNUMBER(SnapshotTable[[#This Row],[SC Book Date]])), SnapshotTable[[#This Row],[SC Exp Date]] - MAX(SnapshotTable[[#This Row],[SC Book Date]], SnapshotTable[[#This Row],[SC Fill Date]]) + 1, "")</f>
        <v/>
      </c>
      <c r="EU372" s="34" t="str">
        <f>IF(ISNUMBER(SnapshotTable[[#This Row],[SC Term]]), SnapshotTable[[#This Row],[SC Exp Date]]- MockToday, "")</f>
        <v/>
      </c>
      <c r="EV372" s="31">
        <f>IF(SnapshotTable[[#This Row],[SC Is Booked]], SnapshotTable[[#This Row],[SC Qty]] * SnapshotTable[[#This Row],[SC Book Price]] * 100, 0)</f>
        <v>0</v>
      </c>
      <c r="EW372" s="4">
        <f>IF(AND(ISNUMBER(SnapshotTable[[#This Row],[Last Price]]), ISNUMBER( SnapshotTable[[#This Row],[SC Book Price]])), SnapshotTable[[#This Row],[Last Price]] - SnapshotTable[[#This Row],[SC Book Price]],"")</f>
        <v>152.35</v>
      </c>
      <c r="EX372" s="234" t="str">
        <f>IF(SnapshotTable[[#This Row],[SC Is Booked]],IF(SnapshotTable[[#This Row],[SC Intrinsic Value]] &gt; 0, SnapshotTable[[#This Row],[SC Strike Price]], SnapshotTable[[#This Row],[Last Price]]), "")</f>
        <v/>
      </c>
      <c r="EY372" s="4">
        <f>IF(SnapshotTable[[#This Row],[SC Is Booked]], (MinimumPremiumRequired * SnapshotTable[[#This Row],[SC Basis]] * SnapshotTable[[#This Row],[SC Term]]), 0)</f>
        <v>0</v>
      </c>
      <c r="EZ372" s="283"/>
      <c r="FA372" s="423"/>
      <c r="FB372" s="370"/>
      <c r="FC372" s="4">
        <f>IF(SnapshotTable[[#This Row],[SC Is Filled]], btc_max_buyback_amount(SnapshotTable[[#This Row],[SC Fill Date]],SnapshotTable[[#This Row],[SC Exp Date]], SnapshotTable[[#This Row],[SC Book Price]]),0)</f>
        <v>0</v>
      </c>
      <c r="FD372" s="5"/>
      <c r="FE372" s="144" t="str">
        <f>IF(SnapshotTable[[#This Row],[SC Is Filled]], btc_next_cutoff_date(SnapshotTable[[#This Row],[SC Fill Date]],SnapshotTable[[#This Row],[SC Exp Date]]),"")</f>
        <v/>
      </c>
      <c r="FF372" s="4" t="str" cm="1">
        <f t="array" ref="FF372">IF(SnapshotTable[[#This Row],[SC Is Filled]], btc_should_buy_back(SnapshotTable[[#This Row],[SC Fill Date]], SnapshotTable[[#This Row],[SC Exp Date]], SnapshotTable[[#This Row],[SC Book Price]], SnapshotTable[[#This Row],[SC Current Ask]], MockToday, SnapshotTable[[#This Row],[SC Buyback Override]]),"")</f>
        <v/>
      </c>
      <c r="FG372" s="4">
        <f>IF(SnapshotTable[[#This Row],[SC Is Filled]], MAX(0,SnapshotTable[[#This Row],[Last Price]]  - SnapshotTable[[#This Row],[SC Strike Price]]), 0)</f>
        <v>0</v>
      </c>
      <c r="FH372" s="382">
        <f>IF(SnapshotTable[[#This Row],[SC Is Filled]], IF(ISNUMBER(SnapshotTable[[#This Row],[SC Current Ask]]), SnapshotTable[[#This Row],[SC Current Ask]], SnapshotTable[[#This Row],[SC Book Price]]) - SnapshotTable[[#This Row],[SC Intrinsic Value]], 0)</f>
        <v>0</v>
      </c>
      <c r="FI372" s="143"/>
      <c r="FJ372" s="32" t="str">
        <f>IF(SnapshotTable[[#This Row],[SC Is Filled]],100 * SnapshotTable[[#This Row],[SC Qty]] * IF(ISNUMBER(SnapshotTable[[#This Row],[SC Buyback Override]]), SnapshotTable[[#This Row],[SC Buyback Override]], SnapshotTable[[#This Row],[SC Current Ask]]), "")</f>
        <v/>
      </c>
      <c r="FK372" s="250" t="str">
        <f>IF(SnapshotTable[[#This Row],[SC Time Val]]&gt;0, SnapshotTable[[#This Row],[SC Time Val]] / SnapshotTable[[#This Row],[Last Price]],"")</f>
        <v/>
      </c>
      <c r="FL372" s="302" t="str">
        <f>IF(SnapshotTable[[#This Row],[SC Is Booked]], ((SnapshotTable[[#This Row],[Last Price]] -SnapshotTable[[#This Row],[SC Strike Price]]) / SnapshotTable[[#This Row],[Last Price]]) * -1, "")</f>
        <v/>
      </c>
      <c r="FM372" s="157" t="str">
        <f>IF(SnapshotTable[[#This Row],[SC Is Booked]],  (SnapshotTable[[#This Row],[SC Qty]] * 100 * SnapshotTable[[#This Row],[SC Strike Price]]) - SnapshotTable[[#This Row],[SC Current Ask]], "")</f>
        <v/>
      </c>
      <c r="FN37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2" s="31" t="str">
        <f>IF(AND(ISNUMBER(SnapshotTable[[#This Row],[SC Exercise Gross]]), ISNUMBER(SnapshotTable[[#This Row],[Equity Basis Per Share]] )), SnapshotTable[[#This Row],[SC Exercise Gross]] - SnapshotTable[[#This Row],[Equity Basis Total]] +  SnapshotTable[[#This Row],[SC Premium]], "")</f>
        <v/>
      </c>
      <c r="FP372" s="5" t="str">
        <f>IF(ISNUMBER(SnapshotTable[[#This Row],[SC Exercise Gross]]), (SnapshotTable[[#This Row],[SC Exercise Gross]]) / (SnapshotTable[[#This Row],[SC Qty]] * 100), "")</f>
        <v/>
      </c>
      <c r="FQ372" s="27" t="str">
        <f>IF(SnapshotTable[[#This Row],[SC Is Booked]],SnapshotTable[[#This Row],[SC Time Val]] /SnapshotTable[[#This Row],[SC Basis]], "")</f>
        <v/>
      </c>
      <c r="FR372" s="27" t="str" cm="1">
        <f t="array" ref="FR372">IF(AND(ISNUMBER(SnapshotTable[[#This Row],[SC Term]]),ISNUMBER(SnapshotTable[[#This Row],[SC Simple ROO]])), EllmanAnnualize(SnapshotTable[[#This Row],[SC DTE]], SnapshotTable[[#This Row],[SC Simple ROO]] ),"")</f>
        <v/>
      </c>
      <c r="FS372" s="4" t="e">
        <f>IF(SnapshotTable[[#This Row],[SC Strike Price]] &gt; SnapshotTable[[#This Row],[Last Price]], SnapshotTable[[#This Row],[SC Strike Price]] - SnapshotTable[[#This Row],[Last Price]],0)</f>
        <v>#VALUE!</v>
      </c>
      <c r="FT372" s="27" t="e">
        <f>IF(AND(ISNUMBER(SnapshotTable[[#This Row],[SC Upside Potential]]), SnapshotTable[[#This Row],[SC Upside Potential]] &gt; 0),(SnapshotTable[[#This Row],[SC Upside Potential]]/ SnapshotTable[[#This Row],[ACB]]),"")</f>
        <v>#VALUE!</v>
      </c>
      <c r="FU372" s="333" t="str">
        <f>IF(SnapshotTable[[#This Row],[SC Intrinsic Value]] &gt; 0,SnapshotTable[[#This Row],[SC Intrinsic Value]],"")</f>
        <v/>
      </c>
      <c r="FV372" s="27" t="str">
        <f>IF(AND( ISNUMBER( SnapshotTable[[#This Row],[ACB]]),ISNUMBER(SnapshotTable[[#This Row],[SC Downside Protect]])),SnapshotTable[[#This Row],[SC Downside Protect]] / SnapshotTable[[#This Row],[ACB]],"")</f>
        <v/>
      </c>
      <c r="FW372" s="236" t="str">
        <f>IF(AND(ISNUMBER(SnapshotTable[[#This Row],[SC Simple ROO]]),SnapshotTable[[#This Row],[SC Simple ROO]] &gt; 0), SnapshotTable[[#This Row],[SC Premium]] + (SnapshotTable[[#This Row],[SC Qty]] * SnapshotTable[[#This Row],[SC Upside Potential]]), "")</f>
        <v/>
      </c>
      <c r="FX372" s="302" t="str" cm="1">
        <f t="array" ref="FX372">IF(ISNUMBER(SnapshotTable[[#This Row],[SC Max Dollars]]), annualize(SnapshotTable[[#This Row],[SC Term]],(SnapshotTable[[#This Row],[SC Max Dollars]]/SnapshotTable[[#This Row],[SC Basis]])),"")</f>
        <v/>
      </c>
      <c r="FY372" s="236" t="str">
        <f>IF(AND(SnapshotTable[[#This Row],[SC Qty]]&gt;0,SnapshotTable[[#This Row],[SC Current Ask]]&gt;0), SnapshotTable[[#This Row],[SC Qty]] * SnapshotTable[[#This Row],[SC Current Ask]] * -100, "")</f>
        <v/>
      </c>
      <c r="FZ372" s="31" t="str">
        <f>IF(ISNUMBER((SnapshotTable[[#This Row],[SC Current Value]])), SnapshotTable[[#This Row],[SC Premium]] + SnapshotTable[[#This Row],[SC Current Value]], "")</f>
        <v/>
      </c>
      <c r="GA372" s="294" t="str">
        <f>IFERROR( IF(ISNUMBER((SnapshotTable[[#This Row],[SC Current Value]])), SnapshotTable[[#This Row],[SC Gain Loss]] / SnapshotTable[[#This Row],[SC Premium]], ""), "")</f>
        <v/>
      </c>
      <c r="GB372" s="42">
        <f>SnapshotTable[[#This Row],[Equity Shares]] * SaleSharesToConsiderPercentage</f>
        <v>0</v>
      </c>
      <c r="GC372" s="40" t="e">
        <f>SnapshotTable[[#This Row],[Long Term Target]] * SellingPriceToConsiderBasedOnTargetPercentage</f>
        <v>#VALUE!</v>
      </c>
      <c r="GD372" s="40">
        <f>SnapshotTable[[#This Row],[Last Price]] * (1+ SellingPriceToConsiderBasedOnTargetPercentage)</f>
        <v>348.75749999999999</v>
      </c>
      <c r="GE372" s="41"/>
      <c r="GF372" s="40"/>
      <c r="GG372" s="31">
        <f>SnapshotTable[[#This Row],[Booked Sale Shares]] * SnapshotTable[[#This Row],[Booked Sale Price]]</f>
        <v>0</v>
      </c>
      <c r="GH372" s="31" t="str">
        <f>IF(SnapshotTable[[#This Row],[Equity Basis Total]] &gt; 0, SnapshotTable[[#This Row],[Equity Basis Per Share]] * SnapshotTable[[#This Row],[Booked Sale Shares]], "")</f>
        <v/>
      </c>
      <c r="GI372" s="31">
        <f>IF(SnapshotTable[[#This Row],[Sale Proceeds]]&gt;0, SnapshotTable[[#This Row],[Sale Proceeds]] - SnapshotTable[[#This Row],[Sale Basis]], 0)</f>
        <v>0</v>
      </c>
      <c r="GJ372" s="27" t="str">
        <f>IF(SnapshotTable[[#This Row],[Sale G/L]]&gt;0, SnapshotTable[[#This Row],[Sale G/L]] / SnapshotTable[[#This Row],[Sale Basis]], IF(ISNUMBER(SnapshotTable[[#This Row],[SC Exercise P&amp;L (TAX)]]), SnapshotTable[[#This Row],[SC Exercise P&amp;L (TAX)]] / SnapshotTable[[#This Row],[SC Basis]], ""))</f>
        <v/>
      </c>
      <c r="GK372" s="27" t="s">
        <v>804</v>
      </c>
      <c r="GL372" s="43" t="str">
        <f>IF(AND(SnapshotTable[[#This Row],[LP Exp Date]]&gt;0,SnapshotTable[[#This Row],[LP Strike Price]]&gt;0), [1]!ToOptionSymbol(SnapshotTable[[#This Row],[Symbol]], SnapshotTable[[#This Row],[LP Strike Price]],SnapshotTable[[#This Row],[LP Exp Date]],1), "")</f>
        <v/>
      </c>
      <c r="GM372" s="30" t="str">
        <f>IF(LEN(SnapshotTable[[#This Row],[LP Symbol]])&gt;0, 1, "")</f>
        <v/>
      </c>
      <c r="GN372" s="43" t="str">
        <f>IF(AND(SnapshotTable[[#This Row],[SP Exp Date]]&gt;0,SnapshotTable[[#This Row],[SP Strike Price]]&gt;0), [1]!ToOptionSymbol(SnapshotTable[[#This Row],[Symbol]], SnapshotTable[[#This Row],[SP Strike Price]],SnapshotTable[[#This Row],[SP Exp Date]],1), "")</f>
        <v/>
      </c>
      <c r="GO372" s="30" t="str">
        <f>IF(LEN(SnapshotTable[[#This Row],[SP Symbol]])&gt;0, 1, "")</f>
        <v/>
      </c>
      <c r="GP372" s="43" t="str">
        <f>IF(AND(SnapshotTable[[#This Row],[LC Exp Date]]&gt;0,SnapshotTable[[#This Row],[LC Strike Price]]&gt;0), [1]!ToOptionSymbol(SnapshotTable[[#This Row],[Symbol]], SnapshotTable[[#This Row],[LC Strike Price]],SnapshotTable[[#This Row],[LC Exp Date]],0), "")</f>
        <v/>
      </c>
      <c r="GQ372" s="30" t="str">
        <f>IF(LEN(SnapshotTable[[#This Row],[LC Symbol]])&gt;0, 1, "")</f>
        <v/>
      </c>
      <c r="GR372" s="43" t="str">
        <f>IF(AND(SnapshotTable[[#This Row],[SC Exp Date]]&gt;0,SnapshotTable[[#This Row],[SC Strike Price]]&gt;0), [1]!ToOptionSymbol(SnapshotTable[[#This Row],[Symbol]], SnapshotTable[[#This Row],[SC Strike Price]],SnapshotTable[[#This Row],[SC Exp Date]],0), "")</f>
        <v/>
      </c>
      <c r="GS372" s="30" t="str">
        <f>IF(LEN(SnapshotTable[[#This Row],[SC Symbol]])&gt;0, 1, "")</f>
        <v/>
      </c>
      <c r="GT372" s="29" t="str">
        <f>IF(COUNT(SnapshotTable[[#This Row],[LP Symbol Count]],SnapshotTable[[#This Row],[SP Symbol Count]],SnapshotTable[[#This Row],[LC Symbol Count]],SnapshotTable[[#This Row],[SC Symbol Count]])&gt;0, "Y", "")</f>
        <v/>
      </c>
      <c r="GU37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2" s="231" t="e">
        <f>MAX(SnapshotTable[[#This Row],[Equity Basis Total]],SnapshotTable[[#This Row],[Equity Value]]) + (SnapshotTable[[#This Row],[SP Potential Spend]]- SnapshotTable[[#This Row],[SP Premium]] + SnapshotTable[[#This Row],[LP Premium]])+ (SnapshotTable[[#This Row],[LC Premium]] - SnapshotTable[[#This Row],[SC Premium]])</f>
        <v>#VALUE!</v>
      </c>
      <c r="GW372" s="139" t="e">
        <f>IF(AND(SnapshotTable[[#This Row],[Exposure]] &lt;&gt; 0),SnapshotTable[[#This Row],[Exposure]] / SnapshotTable[[#Totals],[Exposure]], "")</f>
        <v>#VALUE!</v>
      </c>
      <c r="HK372" s="1"/>
      <c r="HL372" s="1"/>
      <c r="HM372" s="1"/>
      <c r="HN372" s="1"/>
      <c r="HO372" s="1"/>
      <c r="HP372" s="1"/>
    </row>
    <row r="373" spans="2:224" ht="12.75" hidden="1" customHeight="1" x14ac:dyDescent="0.25">
      <c r="B373" s="12" t="s">
        <v>11</v>
      </c>
      <c r="C373" s="422">
        <v>104.23</v>
      </c>
      <c r="D373" s="208"/>
      <c r="E373" s="39">
        <f>SnapshotTable[[#This Row],[Last Price]]*(1 -CrashDiscount)</f>
        <v>88.595500000000001</v>
      </c>
      <c r="F373" s="26" t="s">
        <v>10</v>
      </c>
      <c r="G373" s="26" t="s">
        <v>9</v>
      </c>
      <c r="H373" s="149"/>
      <c r="I373" s="194">
        <v>44770.694444444445</v>
      </c>
      <c r="J373" s="195">
        <v>44770.694444444445</v>
      </c>
      <c r="K373" s="196"/>
      <c r="L373" s="326"/>
      <c r="M373" s="140"/>
      <c r="N373" s="140"/>
      <c r="O373" s="140">
        <v>3</v>
      </c>
      <c r="P373" s="22"/>
      <c r="Q373" s="25"/>
      <c r="R373" s="4" t="str">
        <f>IF(SnapshotTable[[#This Row],[Equity Basis Total]] &gt; 0, SnapshotTable[[#This Row],[Equity Basis Total]] / SnapshotTable[[#This Row],[Equity Shares]], "")</f>
        <v/>
      </c>
      <c r="S373" s="269">
        <f>SnapshotTable[[#This Row],[Last Price]] * SnapshotTable[[#This Row],[Equity Shares]]</f>
        <v>0</v>
      </c>
      <c r="T373" s="269">
        <f>SnapshotTable[[#This Row],[Equity Value]] - SnapshotTable[[#This Row],[Equity Basis Total]]</f>
        <v>0</v>
      </c>
      <c r="U373" s="270" t="str">
        <f>IF(SnapshotTable[[#This Row],[Equity Basis Total]] &gt; 0, SnapshotTable[[#This Row],[Equity G/L]] / SnapshotTable[[#This Row],[Equity Basis Total]], "")</f>
        <v/>
      </c>
      <c r="V373" s="268"/>
      <c r="W373" s="268"/>
      <c r="X373" s="4" t="str">
        <f>IF(AND(ISNUMBER(SnapshotTable[[#This Row],[Equity Basis Per Share]]),ISNUMBER(SnapshotTable[[#This Row],[Equity Target]])),SnapshotTable[[#This Row],[Equity Target]]-SnapshotTable[[#This Row],[Equity Basis Per Share]],"")</f>
        <v/>
      </c>
      <c r="Y373" s="4" t="str">
        <f>IF(AND(ISNUMBER(SnapshotTable[[#This Row],[Equity Basis Per Share]]),ISNUMBER(SnapshotTable[[#This Row],[Equity Stop Loss]])),SnapshotTable[[#This Row],[Equity Stop Loss]]-SnapshotTable[[#This Row],[Equity Basis Per Share]],"")</f>
        <v/>
      </c>
      <c r="Z373" s="275" t="str">
        <f>IFERROR( TEXT(SnapshotTable[[#This Row],[Equity Max Gain Per Share]] /ABS( SnapshotTable[[#This Row],[Equity Max Loss Per Share]]),"0.0 " ) &amp; " : 1", "")</f>
        <v/>
      </c>
      <c r="AA373" s="31" t="str">
        <f>IF(ISNUMBER(SnapshotTable[[#This Row],[Equity Max Gain Per Share]]),SnapshotTable[[#This Row],[Equity Max Gain Per Share]] * SnapshotTable[[#This Row],[Equity Shares]],"")</f>
        <v/>
      </c>
      <c r="AB373" s="31" t="str">
        <f>IF(ISNUMBER(SnapshotTable[[#This Row],[Equity Max Loss Per Share]]),SnapshotTable[[#This Row],[Equity Max Loss Per Share]] * SnapshotTable[[#This Row],[Equity Shares]],"")</f>
        <v/>
      </c>
      <c r="AC373" s="150">
        <v>1.32</v>
      </c>
      <c r="AD373" s="151">
        <v>42789</v>
      </c>
      <c r="AE373" s="31">
        <f>(SnapshotTable[[#This Row],[Annual Dividend Per Share]] / 4) * SnapshotTable[[#This Row],[Equity Shares]]</f>
        <v>0</v>
      </c>
      <c r="AF373" s="31">
        <f>SnapshotTable[[#This Row],[Quarterly Div $]] * 4</f>
        <v>0</v>
      </c>
      <c r="AG373" s="7">
        <f>IF(SnapshotTable[[#This Row],[Annual Dividend Per Share]]&gt;0, SnapshotTable[[#This Row],[Annual Dividend Per Share]]  / SnapshotTable[[#This Row],[Last Price]], 0)</f>
        <v>1.2664300105535835E-2</v>
      </c>
      <c r="AH373" s="151">
        <v>42859</v>
      </c>
      <c r="AI373" s="5"/>
      <c r="AJ373" s="138">
        <v>95.95</v>
      </c>
      <c r="AK373" s="152" t="str">
        <f>IF(ISNUMBER( SnapshotTable[[#This Row],[EBF Target]]),(SnapshotTable[[#This Row],[EBF Target]] - SnapshotTable[[#This Row],[Last Price]]) / SnapshotTable[[#This Row],[Last Price]], "")</f>
        <v/>
      </c>
      <c r="AL373" s="152" t="str">
        <f>IF(AND(SnapshotTable[[#This Row],[Equity Basis Total]] &gt; 0,ISNUMBER( SnapshotTable[[#This Row],[Long Term Target]])), SnapshotTable[[#This Row],[From Basis $]] / SnapshotTable[[#This Row],[Equity Basis Total]], "")</f>
        <v/>
      </c>
      <c r="AM373" s="9">
        <f>IF( AND(SnapshotTable[[#This Row],[Equity Shares]] &gt;0,ISNUMBER( SnapshotTable[[#This Row],[Long Term Target]])),(SnapshotTable[[#This Row],[Equity Shares]] * SnapshotTable[[#This Row],[Long Term Target]]) - SnapshotTable[[#This Row],[Equity Basis Total]],0)</f>
        <v>0</v>
      </c>
      <c r="AN373" s="9">
        <f>IF( AND(SnapshotTable[[#This Row],[Equity Shares]] &gt;0,ISNUMBER( SnapshotTable[[#This Row],[Long Term Target]])),(SnapshotTable[[#This Row],[Equity Shares]]*SnapshotTable[[#This Row],[Long Term Target]]) - SnapshotTable[[#This Row],[Equity Value]],0)</f>
        <v>0</v>
      </c>
      <c r="AO373" s="152">
        <f>IF(AND(ISNUMBER( SnapshotTable[[#This Row],[Long Term Target]]), ISNUMBER(SnapshotTable[[#This Row],[Last Price]])),(SnapshotTable[[#This Row],[Long Term Target]] - SnapshotTable[[#This Row],[Last Price]]) / SnapshotTable[[#This Row],[Last Price]], "")</f>
        <v>-7.9439700661997514E-2</v>
      </c>
      <c r="AP373" s="5"/>
      <c r="AQ373" s="38"/>
      <c r="AR373" s="5"/>
      <c r="AS373" s="38"/>
      <c r="AT373" s="146"/>
      <c r="AU373" s="187" t="str">
        <f>IF(OR(SnapshotTable[[#This Row],[LP No Fill]]="Y",SnapshotTable[[#This Row],[SP Is Filled]],SnapshotTable[[#This Row],[LC Not Filled]]="Y",SnapshotTable[[#This Row],[SC Is Filled]]),"Y","")</f>
        <v/>
      </c>
      <c r="AV373" s="219"/>
      <c r="AW373" s="225"/>
      <c r="AX373" s="220"/>
      <c r="AY373" s="219" t="str">
        <f>IF(SnapshotTable[[#This Row],[Implied Move]]&gt;0, SnapshotTable[[#This Row],[Last Price]]-SnapshotTable[[#This Row],[Implied Move]],"")</f>
        <v/>
      </c>
      <c r="AZ373" s="219" t="str">
        <f>IF(SnapshotTable[[#This Row],[Implied Move]]&gt;0, SnapshotTable[[#This Row],[Last Price]] + SnapshotTable[[#This Row],[Implied Move]],"")</f>
        <v/>
      </c>
      <c r="BA373" s="331"/>
      <c r="BB373" s="347"/>
      <c r="BC37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3" s="351"/>
      <c r="BE373" s="5"/>
      <c r="BF373" s="14"/>
      <c r="BG373" s="13"/>
      <c r="BH373" s="13"/>
      <c r="BI373" s="5"/>
      <c r="BJ373" s="136">
        <f>IF(SnapshotTable[[#This Row],[LP Qty]] &gt; 0, SnapshotTable[[#This Row],[LP Qty]] * SnapshotTable[[#This Row],[LP Book Price]] * 100,0)</f>
        <v>0</v>
      </c>
      <c r="BK373" s="136">
        <f>IF(SnapshotTable[[#This Row],[LP Premium]] &gt; 0, SnapshotTable[[#This Row],[LP Qty]] * SnapshotTable[[#This Row],[LP Strike Price]] * 100,0)</f>
        <v>0</v>
      </c>
      <c r="BL373" s="154"/>
      <c r="BM373" s="385" t="str">
        <f>IF(SnapshotTable[[#This Row],[LP Premium]] &gt; 0,SnapshotTable[[#This Row],[LP Exp Date]]-MAX(SnapshotTable[[#This Row],[LP Book Date]], SnapshotTable[[#This Row],[LP Fill Date]]),"")</f>
        <v/>
      </c>
      <c r="BN373" s="385" t="str">
        <f>IF(ISNUMBER( SnapshotTable[[#This Row],[LP Term]]), SnapshotTable[[#This Row],[LP Exp Date]] - MockToday,"")</f>
        <v/>
      </c>
      <c r="BO373" s="163" t="str">
        <f>IF(AND(SnapshotTable[[#This Row],[LP Exp Date]]&gt;0, SnapshotTable[[#This Row],[LP Strike Price]]&gt;0,SnapshotTable[[#This Row],[LP Qty]]&gt;0,SnapshotTable[[#This Row],[LP Book Date]]&gt;0,SnapshotTable[[#This Row],[LP Book Price]]&gt;0,SnapshotTable[[#This Row],[LP Fill Date]]=0),"Y","")</f>
        <v/>
      </c>
      <c r="BP373" s="31" t="str">
        <f>IF(AND(SnapshotTable[[#This Row],[LP No Fill]]&lt;&gt;"Y",SnapshotTable[[#This Row],[LP Contract Value]]&gt;0, SnapshotTable[[#This Row],[LP Qty]]&gt;0), SnapshotTable[[#This Row],[LP Contract Value]]*SnapshotTable[[#This Row],[LP Qty]]*100,"")</f>
        <v/>
      </c>
      <c r="BQ373" s="13"/>
      <c r="BR373" s="5" t="str">
        <f>IF(SnapshotTable[[#This Row],[SP Exp Date]]&lt;&gt;"",TRUNC(SnapshotTable[[#This Row],[Last Price]]),"")</f>
        <v/>
      </c>
      <c r="BS373" s="36"/>
      <c r="BT373" s="147"/>
      <c r="BU373" s="13"/>
      <c r="BV373" s="5"/>
      <c r="BW373" s="419" t="b">
        <f>AND(ISNUMBER(SnapshotTable[[#This Row],[SP Exp Date]]), ISNUMBER(SnapshotTable[[#This Row],[SP Strike Price]]), ISNUMBER(SnapshotTable[[#This Row],[SP Qty]]), ISNUMBER(SnapshotTable[[#This Row],[SP Book Date]]), ISNUMBER(SnapshotTable[[#This Row],[SP Book Price]]))</f>
        <v>0</v>
      </c>
      <c r="BX373" s="419" t="b">
        <f>AND(SnapshotTable[[#This Row],[SP Is Booked]], NOT(ISBLANK(SnapshotTable[[#This Row],[SP Fill Date]])))</f>
        <v>0</v>
      </c>
      <c r="BY373" s="33">
        <f>IF(SnapshotTable[[#This Row],[SP Is Booked]], SnapshotTable[[#This Row],[SP Qty]] * SnapshotTable[[#This Row],[SP Book Price]] * 100, 0)</f>
        <v>0</v>
      </c>
      <c r="BZ373" s="369"/>
      <c r="CA373" s="368">
        <f>SnapshotTable[[#This Row],[LP Qty]]</f>
        <v>0</v>
      </c>
      <c r="CB373" s="4" t="str">
        <f>IF(SnapshotTable[[#This Row],[SP Is Booked]], SnapshotTable[[#This Row],[SP Strike Price]] - SnapshotTable[[#This Row],[SP Book Price]], "")</f>
        <v/>
      </c>
      <c r="CC373" s="19" t="str">
        <f>IF(SnapshotTable[[#This Row],[SP Is Booked]],SnapshotTable[[#This Row],[SP Exp Date]]-MAX(SnapshotTable[[#This Row],[SP Book Date]], SnapshotTable[[#This Row],[SP Fill Date]]),"")</f>
        <v/>
      </c>
      <c r="CD373" s="7" t="str">
        <f>IF(SnapshotTable[[#This Row],[SP Is Booked]], SnapshotTable[[#This Row],[SP Book Price]]/SnapshotTable[[#This Row],[SP Strike Price]], "")</f>
        <v/>
      </c>
      <c r="CE373" s="7" t="str">
        <f>IF(ISNUMBER(SnapshotTable[[#This Row],[SP ROO Term]]),SnapshotTable[[#This Row],[SP ROO Term]]*(365/SnapshotTable[[#This Row],[SP Term]]),"")</f>
        <v/>
      </c>
      <c r="CF373" s="236">
        <f>SnapshotTable[[#This Row],[LP Strike Price]] * SnapshotTable[[#This Row],[LP Qty]] * 100</f>
        <v>0</v>
      </c>
      <c r="CG373" s="31" t="e">
        <f>IF(ISNUMBER(SnapshotTable[[#This Row],[SP Premium]]), (SnapshotTable[[#This Row],[SP Qty]] * SnapshotTable[[#This Row],[SP Strike Price]]* 100) - SnapshotTable[[#This Row],[LP Protection]], 0)</f>
        <v>#VALUE!</v>
      </c>
      <c r="CH373" s="7" t="str">
        <f>IF(ISNUMBER(SnapshotTable[[#This Row],[SP Break Even]]),-1 * (SnapshotTable[[#This Row],[SP Break Even]] - SnapshotTable[[#This Row],[Last Price]]) / SnapshotTable[[#This Row],[Last Price]], "")</f>
        <v/>
      </c>
      <c r="CI373" s="31">
        <f>IF(AND(ISNUMBER((SnapshotTable[[#This Row],[SP Potential Spend]])), SnapshotTable[[#This Row],[SP Strike Price]] &gt; SnapshotTable[[#This Row],[Last Price]], SnapshotTable[[#This Row],[SP Is Filled]]), SnapshotTable[[#This Row],[SP Potential Spend]] -  SnapshotTable[[#This Row],[LP Max Value]], 0)</f>
        <v>0</v>
      </c>
      <c r="CJ373" s="244"/>
      <c r="CK373" s="31" t="str">
        <f>IF(ISNUMBER(SnapshotTable[[#This Row],[SP Potential Spend]]),IF(ISNUMBER(SnapshotTable[[#This Row],[SP POW]]), SnapshotTable[[#This Row],[SP POW]] * SnapshotTable[[#This Row],[SP Potential Spend]], SnapshotTable[[#This Row],[SP Potential Spend]]), "")</f>
        <v/>
      </c>
      <c r="CL373" s="164" t="e">
        <f>IF(NOT(SnapshotTable[[#This Row],[SP Is Filled]]),(SnapshotTable[[#This Row],[SP Qty]] * SnapshotTable[[#This Row],[SP Strike Price]] * 100) - SnapshotTable[[#This Row],[LP Max Value]],"")</f>
        <v>#VALUE!</v>
      </c>
      <c r="CM373" s="31" t="str">
        <f>IF(SnapshotTable[[#This Row],[SP Actual Spend]]&lt;&gt;0, ((SnapshotTable[[#This Row],[SP Strike Price]]-SnapshotTable[[#This Row],[Last Price]]) *(SnapshotTable[[#This Row],[SP Qty]]*100) - SnapshotTable[[#This Row],[SP Premium]]) * - 1, "")</f>
        <v/>
      </c>
      <c r="CN373" s="78"/>
      <c r="CO373" s="369"/>
      <c r="CP373" s="4" t="str">
        <f>IF(SnapshotTable[[#This Row],[SP Is Filled]], btc_max_buyback_amount(SnapshotTable[[#This Row],[SP Fill Date]],SnapshotTable[[#This Row],[SP Exp Date]], SnapshotTable[[#This Row],[SP Book Price]]),"")</f>
        <v/>
      </c>
      <c r="CQ373" s="78"/>
      <c r="CR37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3" s="155" t="str">
        <f>IF(SnapshotTable[[#This Row],[SP Is Filled]], btc_next_cutoff_date(SnapshotTable[[#This Row],[SP Fill Date]],SnapshotTable[[#This Row],[SP Exp Date]]),"")</f>
        <v/>
      </c>
      <c r="CT373" s="235" t="str" cm="1">
        <f t="array" ref="CT373">IF(SnapshotTable[[#This Row],[SP Is Filled]], btc_should_buy_back(SnapshotTable[[#This Row],[SP Fill Date]], SnapshotTable[[#This Row],[SP Exp Date]], SnapshotTable[[#This Row],[SP Book Price]], SnapshotTable[[#This Row],[SP Current Ask]], MockToday, SnapshotTable[[#This Row],[SP Buyback Override]]),"")</f>
        <v/>
      </c>
      <c r="CU373" s="143"/>
      <c r="CV373" s="235"/>
      <c r="CW373" s="378" t="str">
        <f>IF(ISNUMBER( SnapshotTable[[#This Row],[SP Term]]), SnapshotTable[[#This Row],[SP Exp Date]] - MockToday,"")</f>
        <v/>
      </c>
      <c r="CX373" s="31" t="str">
        <f>IF(SnapshotTable[[#This Row],[SP Is Filled]],SnapshotTable[[#This Row],[SP Buyback Price to Use]] * 100 * SnapshotTable[[#This Row],[SP Qty]], "")</f>
        <v/>
      </c>
      <c r="CY373" s="4" t="str">
        <f>IF(ISNUMBER(SnapshotTable[[#This Row],[SP Strike Price]]), SnapshotTable[[#This Row],[SP Strike Price]] * (1 - SP_MaxLoss_StrikePct), "")</f>
        <v/>
      </c>
      <c r="CZ373" s="31" t="str">
        <f>IF(ISNUMBER(SnapshotTable[[#This Row],[SP Strike  Stop Per Share]]),SnapshotTable[[#This Row],[SP Premium]] - ((SnapshotTable[[#This Row],[SP Strike Price]]-SnapshotTable[[#This Row],[SP Strike  Stop Per Share]]) *(SnapshotTable[[#This Row],[SP Qty]] * 100)),"")</f>
        <v/>
      </c>
      <c r="DA373" s="4" t="str">
        <f>IF(AND(ISNUMBER(SnapshotTable[[#This Row],[SP Premium]]),SnapshotTable[[#This Row],[SP Premium]]&gt;0), SnapshotTable[[#This Row],[SP Book Price]] * (1 + SP_MaxLoss_OptionPct), "")</f>
        <v/>
      </c>
      <c r="DB373" s="31" t="str">
        <f>IF(ISNUMBER(SnapshotTable[[#This Row],[SP Option  Stop Contract]]),(SnapshotTable[[#This Row],[SP Option  Stop Contract]] *(SnapshotTable[[#This Row],[SP Qty]] * 100) - SnapshotTable[[#This Row],[SP Premium]]),"")</f>
        <v/>
      </c>
      <c r="DC373" s="4"/>
      <c r="DD373" s="4"/>
      <c r="DE373" s="4" t="str">
        <f>IF(AND(SnapshotTable[[#This Row],[SP Qty]]&gt;0, SnapshotTable[[#This Row],[SP Stop To Use]]&gt;0),SnapshotTable[[#This Row],[SP Premium]] - ( SnapshotTable[[#This Row],[SP Qty]] * SnapshotTable[[#This Row],[SP Stop To Use]] * 100), "")</f>
        <v/>
      </c>
      <c r="DF373" s="31" t="str">
        <f>IF(AND(SnapshotTable[[#This Row],[SP Qty]]&gt;0,SnapshotTable[[#This Row],[SP Current Ask]]&gt;0), SnapshotTable[[#This Row],[SP Qty]] * SnapshotTable[[#This Row],[SP Current Ask]] * -100, "")</f>
        <v/>
      </c>
      <c r="DG373" s="31" t="str">
        <f>IF(ISNUMBER((SnapshotTable[[#This Row],[SP Total Value]])), SnapshotTable[[#This Row],[SP Premium]] + SnapshotTable[[#This Row],[SP Total Value]], "")</f>
        <v/>
      </c>
      <c r="DH373" s="294" t="str">
        <f>IF(ISNUMBER((SnapshotTable[[#This Row],[SP Total Value]])), SnapshotTable[[#This Row],[SP Gain Loss]] / SnapshotTable[[#This Row],[SP Premium]], "")</f>
        <v/>
      </c>
      <c r="DI373" s="406"/>
      <c r="DJ373" s="138"/>
      <c r="DK373" s="148"/>
      <c r="DL373" s="13"/>
      <c r="DM373" s="13"/>
      <c r="DO373" s="31">
        <f>IF(SnapshotTable[[#This Row],[LC Symbol Count]]=1, SnapshotTable[[#This Row],[LC Qty]] * SnapshotTable[[#This Row],[LC Book Price]] * 100, 0)</f>
        <v>0</v>
      </c>
      <c r="DP373" s="163" t="str">
        <f>IF(AND(SnapshotTable[[#This Row],[LC Exp Date]]&gt;0, SnapshotTable[[#This Row],[LC Strike Price]]&gt;0,SnapshotTable[[#This Row],[LC Qty]]&gt;0,SnapshotTable[[#This Row],[LC Book Date]]&gt;0,SnapshotTable[[#This Row],[LC Book Price]]&gt;0,SnapshotTable[[#This Row],[LC Fill Date]]=0),"Y","")</f>
        <v/>
      </c>
      <c r="DQ373" s="386" t="str">
        <f>IF(SnapshotTable[[#This Row],[LC Premium]] &gt; 0,SnapshotTable[[#This Row],[LC Exp Date]]-MAX(SnapshotTable[[#This Row],[LC Book Date]], SnapshotTable[[#This Row],[LC Fill Date]]),"")</f>
        <v/>
      </c>
      <c r="DR373" s="386" t="str">
        <f>IF(ISNUMBER(SnapshotTable[[#This Row],[LC Term]]), SnapshotTable[[#This Row],[LC Exp Date]] - MockToday, "")</f>
        <v/>
      </c>
      <c r="DS373" s="234" t="str">
        <f>IF(SnapshotTable[[#This Row],[LC Premium]]&gt;0,SnapshotTable[[#This Row],[LC Strike Price]] + SnapshotTable[[#This Row],[LC Book Price]],"")</f>
        <v/>
      </c>
      <c r="DU373" s="9" t="str">
        <f>IF(AND(SnapshotTable[[#This Row],[LC Symbol Count]]&gt;0, SnapshotTable[[#This Row],[LC Contract Value]]&gt;0), SnapshotTable[[#This Row],[LC Contract Value]] * SnapshotTable[[#This Row],[LC Qty]] * 100, "")</f>
        <v/>
      </c>
      <c r="DV373" s="9" t="str">
        <f>IF(AND(ISNUMBER(SnapshotTable[[#This Row],[LC Total Value]]), SnapshotTable[[#This Row],[LC Not Filled]]&lt;&gt;"Y"), SnapshotTable[[#This Row],[LC Total Value]]-SnapshotTable[[#This Row],[LC Premium]],"")</f>
        <v/>
      </c>
      <c r="DW373" s="240" t="str">
        <f>IF(ISNUMBER(SnapshotTable[[#This Row],[LC Actual Gain Loss]]), SnapshotTable[[#This Row],[LC Actual Gain Loss]] / SnapshotTable[[#This Row],[LC Premium]],"")</f>
        <v/>
      </c>
      <c r="DX373" s="284" t="str">
        <f>IF(ISNUMBER(SnapshotTable[[#This Row],[LC Book Price]]),SnapshotTable[[#This Row],[LC Book Price]] * 1.5,"")</f>
        <v/>
      </c>
      <c r="DY373" s="265" t="str">
        <f>IF(SnapshotTable[[#This Row],[LC Premium]]&gt;0, SnapshotTable[[#This Row],[LC Next Target]] * SnapshotTable[[#This Row],[LC Qty]] * 100,"")</f>
        <v/>
      </c>
      <c r="DZ373" s="265" t="str">
        <f>IF(ISNUMBER(SnapshotTable[[#This Row],[LC Target Gross]]), SnapshotTable[[#This Row],[LC Target Gross]] - SnapshotTable[[#This Row],[LC Premium]], "")</f>
        <v/>
      </c>
      <c r="EA373" s="305" t="str">
        <f>IF(ISNUMBER(SnapshotTable[[#This Row],[LC Target Gain Loss]]), SnapshotTable[[#This Row],[LC Target Gain Loss]]/SnapshotTable[[#This Row],[LC Premium]], "")</f>
        <v/>
      </c>
      <c r="EB373" s="262"/>
      <c r="EC373" s="283" t="str">
        <f>IF(SnapshotTable[[#This Row],[LC Premium]]&gt;0, SnapshotTable[[#This Row],[LC Book Price]] * (1 - LC_StopLoss_Pct),"")</f>
        <v/>
      </c>
      <c r="ED373" s="284"/>
      <c r="EE373" s="283" t="str">
        <f>IF(ISNUMBER(SnapshotTable[[#This Row],[LC Contract Value]]),IF(ISNUMBER(SnapshotTable[[#This Row],[LC Stop Loss Override]]), SnapshotTable[[#This Row],[LC Stop Loss Override]],SnapshotTable[[#This Row],[LC Stop Loss Calc Target]]),"")</f>
        <v/>
      </c>
      <c r="EF373" s="31" t="str">
        <f>IF(ISNUMBER(SnapshotTable[[#This Row],[LC Stop  To Use]]), (SnapshotTable[[#This Row],[LC Stop  To Use]] * SnapshotTable[[#This Row],[LC Qty]] * 100),"")</f>
        <v/>
      </c>
      <c r="EG373" s="9" t="str">
        <f>IF(ISNUMBER(SnapshotTable[[#This Row],[LC Total Value]]),SnapshotTable[[#This Row],[LC Stop Loss Amount]] - SnapshotTable[[#This Row],[LC Premium]],"")</f>
        <v/>
      </c>
      <c r="EH373" s="9">
        <f>IF(ISNUMBER(SnapshotTable[[#This Row],[LC Premium]]), SnapshotTable[[#This Row],[LC Qty]] * 100 * SnapshotTable[[#This Row],[LC Strike Price]], "")</f>
        <v>0</v>
      </c>
      <c r="EI373" s="240" t="str">
        <f>IF(AND(ISNUMBER(SnapshotTable[[#This Row],[LC Total Value]]),SnapshotTable[[#This Row],[LC Total Value]]&gt;0),SnapshotTable[[#This Row],[LC Stop Gain Loss]]  / SnapshotTable[[#This Row],[LC Premium]],"")</f>
        <v/>
      </c>
      <c r="EJ373" s="35">
        <f>IF(ISNUMBER(SnapshotTable[[#This Row],[Equity Shares]]),TRUNC(SnapshotTable[[#This Row],[Equity Shares]] / 100),0) + SnapshotTable[[#This Row],[LC Qty]]</f>
        <v>0</v>
      </c>
      <c r="EK373" s="147"/>
      <c r="EL373" s="138" t="str">
        <f>IF(SnapshotTable[[#This Row],[SC Exp Date]]&lt;&gt;"",TRUNC(SnapshotTable[[#This Row],[Last Price]]),"")</f>
        <v/>
      </c>
      <c r="EM373" s="148"/>
      <c r="EN373" s="147"/>
      <c r="EO373" s="147"/>
      <c r="EP373" s="138"/>
      <c r="EQ373" s="419" t="b">
        <f>AND(ISNUMBER(SnapshotTable[[#This Row],[SC Exp Date]]), ISNUMBER(SnapshotTable[[#This Row],[SC Strike Price]]), ISNUMBER(SnapshotTable[[#This Row],[SC Qty]]), ISNUMBER(SnapshotTable[[#This Row],[SC Book Date]]), ISNUMBER(SnapshotTable[[#This Row],[SC Book Price]]))</f>
        <v>0</v>
      </c>
      <c r="ER373" s="419" t="b">
        <f>AND(SnapshotTable[[#This Row],[SC Is Booked]], NOT(ISBLANK(SnapshotTable[[#This Row],[SC Fill Date]])))</f>
        <v>0</v>
      </c>
      <c r="ES373" s="370"/>
      <c r="ET373" s="34" t="str">
        <f>IF(AND(ISNUMBER(SnapshotTable[[#This Row],[SC Exp Date]]), ISNUMBER(SnapshotTable[[#This Row],[SC Book Date]])), SnapshotTable[[#This Row],[SC Exp Date]] - MAX(SnapshotTable[[#This Row],[SC Book Date]], SnapshotTable[[#This Row],[SC Fill Date]]) + 1, "")</f>
        <v/>
      </c>
      <c r="EU373" s="34" t="str">
        <f>IF(ISNUMBER(SnapshotTable[[#This Row],[SC Term]]), SnapshotTable[[#This Row],[SC Exp Date]]- MockToday, "")</f>
        <v/>
      </c>
      <c r="EV373" s="31">
        <f>IF(SnapshotTable[[#This Row],[SC Is Booked]], SnapshotTable[[#This Row],[SC Qty]] * SnapshotTable[[#This Row],[SC Book Price]] * 100, 0)</f>
        <v>0</v>
      </c>
      <c r="EW373" s="4" t="str">
        <f>IF(AND(ISNUMBER(SnapshotTable[[#This Row],[Last Price]]), ISNUMBER( SnapshotTable[[#This Row],[SC Book Price]])), SnapshotTable[[#This Row],[Last Price]] - SnapshotTable[[#This Row],[SC Book Price]],"")</f>
        <v/>
      </c>
      <c r="EX373" s="234" t="str">
        <f>IF(SnapshotTable[[#This Row],[SC Is Booked]],IF(SnapshotTable[[#This Row],[SC Intrinsic Value]] &gt; 0, SnapshotTable[[#This Row],[SC Strike Price]], SnapshotTable[[#This Row],[Last Price]]), "")</f>
        <v/>
      </c>
      <c r="EY373" s="4">
        <f>IF(SnapshotTable[[#This Row],[SC Is Booked]], (MinimumPremiumRequired * SnapshotTable[[#This Row],[SC Basis]] * SnapshotTable[[#This Row],[SC Term]]), 0)</f>
        <v>0</v>
      </c>
      <c r="EZ373" s="283"/>
      <c r="FA373" s="218"/>
      <c r="FB373" s="370"/>
      <c r="FC373" s="4">
        <f>IF(SnapshotTable[[#This Row],[SC Is Filled]], btc_max_buyback_amount(SnapshotTable[[#This Row],[SC Fill Date]],SnapshotTable[[#This Row],[SC Exp Date]], SnapshotTable[[#This Row],[SC Book Price]]),0)</f>
        <v>0</v>
      </c>
      <c r="FD373" s="5"/>
      <c r="FE373" s="144" t="str">
        <f>IF(SnapshotTable[[#This Row],[SC Is Filled]], btc_next_cutoff_date(SnapshotTable[[#This Row],[SC Fill Date]],SnapshotTable[[#This Row],[SC Exp Date]]),"")</f>
        <v/>
      </c>
      <c r="FF373" s="4" t="str" cm="1">
        <f t="array" ref="FF373">IF(SnapshotTable[[#This Row],[SC Is Filled]], btc_should_buy_back(SnapshotTable[[#This Row],[SC Fill Date]], SnapshotTable[[#This Row],[SC Exp Date]], SnapshotTable[[#This Row],[SC Book Price]], SnapshotTable[[#This Row],[SC Current Ask]], MockToday, SnapshotTable[[#This Row],[SC Buyback Override]]),"")</f>
        <v/>
      </c>
      <c r="FG373" s="4">
        <f>IF(SnapshotTable[[#This Row],[SC Is Filled]], MAX(0,SnapshotTable[[#This Row],[Last Price]]  - SnapshotTable[[#This Row],[SC Strike Price]]), 0)</f>
        <v>0</v>
      </c>
      <c r="FH373" s="382">
        <f>IF(SnapshotTable[[#This Row],[SC Is Filled]], IF(ISNUMBER(SnapshotTable[[#This Row],[SC Current Ask]]), SnapshotTable[[#This Row],[SC Current Ask]], SnapshotTable[[#This Row],[SC Book Price]]) - SnapshotTable[[#This Row],[SC Intrinsic Value]], 0)</f>
        <v>0</v>
      </c>
      <c r="FI373" s="143"/>
      <c r="FJ373" s="32" t="str">
        <f>IF(SnapshotTable[[#This Row],[SC Is Filled]],100 * SnapshotTable[[#This Row],[SC Qty]] * IF(ISNUMBER(SnapshotTable[[#This Row],[SC Buyback Override]]), SnapshotTable[[#This Row],[SC Buyback Override]], SnapshotTable[[#This Row],[SC Current Ask]]), "")</f>
        <v/>
      </c>
      <c r="FK373" s="250" t="str">
        <f>IF(SnapshotTable[[#This Row],[SC Time Val]]&gt;0, SnapshotTable[[#This Row],[SC Time Val]] / SnapshotTable[[#This Row],[Last Price]],"")</f>
        <v/>
      </c>
      <c r="FL373" s="302" t="str">
        <f>IF(SnapshotTable[[#This Row],[SC Is Booked]], ((SnapshotTable[[#This Row],[Last Price]] -SnapshotTable[[#This Row],[SC Strike Price]]) / SnapshotTable[[#This Row],[Last Price]]) * -1, "")</f>
        <v/>
      </c>
      <c r="FM373" s="157" t="str">
        <f>IF(SnapshotTable[[#This Row],[SC Is Booked]],  (SnapshotTable[[#This Row],[SC Qty]] * 100 * SnapshotTable[[#This Row],[SC Strike Price]]) - SnapshotTable[[#This Row],[SC Current Ask]], "")</f>
        <v/>
      </c>
      <c r="FN37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3" s="31" t="str">
        <f>IF(AND(ISNUMBER(SnapshotTable[[#This Row],[SC Exercise Gross]]), ISNUMBER(SnapshotTable[[#This Row],[Equity Basis Per Share]] )), SnapshotTable[[#This Row],[SC Exercise Gross]] - SnapshotTable[[#This Row],[Equity Basis Total]] +  SnapshotTable[[#This Row],[SC Premium]], "")</f>
        <v/>
      </c>
      <c r="FP373" s="5" t="str">
        <f>IF(ISNUMBER(SnapshotTable[[#This Row],[SC Exercise Gross]]), (SnapshotTable[[#This Row],[SC Exercise Gross]]) / (SnapshotTable[[#This Row],[SC Qty]] * 100), "")</f>
        <v/>
      </c>
      <c r="FQ373" s="27" t="str">
        <f>IF(SnapshotTable[[#This Row],[SC Is Booked]],SnapshotTable[[#This Row],[SC Time Val]] /SnapshotTable[[#This Row],[SC Basis]], "")</f>
        <v/>
      </c>
      <c r="FR373" s="27" t="str" cm="1">
        <f t="array" ref="FR373">IF(AND(ISNUMBER(SnapshotTable[[#This Row],[SC Term]]),ISNUMBER(SnapshotTable[[#This Row],[SC Simple ROO]])), EllmanAnnualize(SnapshotTable[[#This Row],[SC DTE]], SnapshotTable[[#This Row],[SC Simple ROO]] ),"")</f>
        <v/>
      </c>
      <c r="FS373" s="4" t="e">
        <f>IF(SnapshotTable[[#This Row],[SC Strike Price]] &gt; SnapshotTable[[#This Row],[Last Price]], SnapshotTable[[#This Row],[SC Strike Price]] - SnapshotTable[[#This Row],[Last Price]],0)</f>
        <v>#VALUE!</v>
      </c>
      <c r="FT373" s="27" t="e">
        <f>IF(AND(ISNUMBER(SnapshotTable[[#This Row],[SC Upside Potential]]), SnapshotTable[[#This Row],[SC Upside Potential]] &gt; 0),(SnapshotTable[[#This Row],[SC Upside Potential]]/ SnapshotTable[[#This Row],[ACB]]),"")</f>
        <v>#VALUE!</v>
      </c>
      <c r="FU373" s="333" t="str">
        <f>IF(SnapshotTable[[#This Row],[SC Intrinsic Value]] &gt; 0,SnapshotTable[[#This Row],[SC Intrinsic Value]],"")</f>
        <v/>
      </c>
      <c r="FV373" s="27" t="str">
        <f>IF(AND( ISNUMBER( SnapshotTable[[#This Row],[ACB]]),ISNUMBER(SnapshotTable[[#This Row],[SC Downside Protect]])),SnapshotTable[[#This Row],[SC Downside Protect]] / SnapshotTable[[#This Row],[ACB]],"")</f>
        <v/>
      </c>
      <c r="FW373" s="236" t="str">
        <f>IF(AND(ISNUMBER(SnapshotTable[[#This Row],[SC Simple ROO]]),SnapshotTable[[#This Row],[SC Simple ROO]] &gt; 0), SnapshotTable[[#This Row],[SC Premium]] + (SnapshotTable[[#This Row],[SC Qty]] * SnapshotTable[[#This Row],[SC Upside Potential]]), "")</f>
        <v/>
      </c>
      <c r="FX373" s="302" t="str" cm="1">
        <f t="array" ref="FX373">IF(ISNUMBER(SnapshotTable[[#This Row],[SC Max Dollars]]), annualize(SnapshotTable[[#This Row],[SC Term]],(SnapshotTable[[#This Row],[SC Max Dollars]]/SnapshotTable[[#This Row],[SC Basis]])),"")</f>
        <v/>
      </c>
      <c r="FY373" s="236" t="str">
        <f>IF(AND(SnapshotTable[[#This Row],[SC Qty]]&gt;0,SnapshotTable[[#This Row],[SC Current Ask]]&gt;0), SnapshotTable[[#This Row],[SC Qty]] * SnapshotTable[[#This Row],[SC Current Ask]] * -100, "")</f>
        <v/>
      </c>
      <c r="FZ373" s="31" t="str">
        <f>IF(ISNUMBER((SnapshotTable[[#This Row],[SC Current Value]])), SnapshotTable[[#This Row],[SC Premium]] + SnapshotTable[[#This Row],[SC Current Value]], "")</f>
        <v/>
      </c>
      <c r="GA373" s="294" t="str">
        <f>IFERROR( IF(ISNUMBER((SnapshotTable[[#This Row],[SC Current Value]])), SnapshotTable[[#This Row],[SC Gain Loss]] / SnapshotTable[[#This Row],[SC Premium]], ""), "")</f>
        <v/>
      </c>
      <c r="GB373" s="42">
        <f>SnapshotTable[[#This Row],[Equity Shares]] * SaleSharesToConsiderPercentage</f>
        <v>0</v>
      </c>
      <c r="GC373" s="40">
        <f>SnapshotTable[[#This Row],[Long Term Target]] * SellingPriceToConsiderBasedOnTargetPercentage</f>
        <v>91.152500000000003</v>
      </c>
      <c r="GD373" s="40">
        <f>SnapshotTable[[#This Row],[Last Price]] * (1+ SellingPriceToConsiderBasedOnTargetPercentage)</f>
        <v>203.24850000000001</v>
      </c>
      <c r="GE373" s="41"/>
      <c r="GF373" s="40"/>
      <c r="GG373" s="31">
        <f>SnapshotTable[[#This Row],[Booked Sale Shares]] * SnapshotTable[[#This Row],[Booked Sale Price]]</f>
        <v>0</v>
      </c>
      <c r="GH373" s="31" t="str">
        <f>IF(SnapshotTable[[#This Row],[Equity Basis Total]] &gt; 0, SnapshotTable[[#This Row],[Equity Basis Per Share]] * SnapshotTable[[#This Row],[Booked Sale Shares]], "")</f>
        <v/>
      </c>
      <c r="GI373" s="31">
        <f>IF(SnapshotTable[[#This Row],[Sale Proceeds]]&gt;0, SnapshotTable[[#This Row],[Sale Proceeds]] - SnapshotTable[[#This Row],[Sale Basis]], 0)</f>
        <v>0</v>
      </c>
      <c r="GJ373" s="27" t="str">
        <f>IF(SnapshotTable[[#This Row],[Sale G/L]]&gt;0, SnapshotTable[[#This Row],[Sale G/L]] / SnapshotTable[[#This Row],[Sale Basis]], IF(ISNUMBER(SnapshotTable[[#This Row],[SC Exercise P&amp;L (TAX)]]), SnapshotTable[[#This Row],[SC Exercise P&amp;L (TAX)]] / SnapshotTable[[#This Row],[SC Basis]], ""))</f>
        <v/>
      </c>
      <c r="GK373" s="27" t="s">
        <v>805</v>
      </c>
      <c r="GL373" s="43" t="str">
        <f>IF(AND(SnapshotTable[[#This Row],[LP Exp Date]]&gt;0,SnapshotTable[[#This Row],[LP Strike Price]]&gt;0), [1]!ToOptionSymbol(SnapshotTable[[#This Row],[Symbol]], SnapshotTable[[#This Row],[LP Strike Price]],SnapshotTable[[#This Row],[LP Exp Date]],1), "")</f>
        <v/>
      </c>
      <c r="GM373" s="30" t="str">
        <f>IF(LEN(SnapshotTable[[#This Row],[LP Symbol]])&gt;0, 1, "")</f>
        <v/>
      </c>
      <c r="GN373" s="43" t="str">
        <f>IF(AND(SnapshotTable[[#This Row],[SP Exp Date]]&gt;0,SnapshotTable[[#This Row],[SP Strike Price]]&gt;0), [1]!ToOptionSymbol(SnapshotTable[[#This Row],[Symbol]], SnapshotTable[[#This Row],[SP Strike Price]],SnapshotTable[[#This Row],[SP Exp Date]],1), "")</f>
        <v/>
      </c>
      <c r="GO373" s="30" t="str">
        <f>IF(LEN(SnapshotTable[[#This Row],[SP Symbol]])&gt;0, 1, "")</f>
        <v/>
      </c>
      <c r="GP373" s="43" t="str">
        <f>IF(AND(SnapshotTable[[#This Row],[LC Exp Date]]&gt;0,SnapshotTable[[#This Row],[LC Strike Price]]&gt;0), [1]!ToOptionSymbol(SnapshotTable[[#This Row],[Symbol]], SnapshotTable[[#This Row],[LC Strike Price]],SnapshotTable[[#This Row],[LC Exp Date]],0), "")</f>
        <v/>
      </c>
      <c r="GQ373" s="30" t="str">
        <f>IF(LEN(SnapshotTable[[#This Row],[LC Symbol]])&gt;0, 1, "")</f>
        <v/>
      </c>
      <c r="GR373" s="43" t="str">
        <f>IF(AND(SnapshotTable[[#This Row],[SC Exp Date]]&gt;0,SnapshotTable[[#This Row],[SC Strike Price]]&gt;0), [1]!ToOptionSymbol(SnapshotTable[[#This Row],[Symbol]], SnapshotTable[[#This Row],[SC Strike Price]],SnapshotTable[[#This Row],[SC Exp Date]],0), "")</f>
        <v/>
      </c>
      <c r="GS373" s="30" t="str">
        <f>IF(LEN(SnapshotTable[[#This Row],[SC Symbol]])&gt;0, 1, "")</f>
        <v/>
      </c>
      <c r="GT373" s="29" t="str">
        <f>IF(COUNT(SnapshotTable[[#This Row],[LP Symbol Count]],SnapshotTable[[#This Row],[SP Symbol Count]],SnapshotTable[[#This Row],[LC Symbol Count]],SnapshotTable[[#This Row],[SC Symbol Count]])&gt;0, "Y", "")</f>
        <v/>
      </c>
      <c r="GU37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3" s="231" t="e">
        <f>MAX(SnapshotTable[[#This Row],[Equity Basis Total]],SnapshotTable[[#This Row],[Equity Value]]) + (SnapshotTable[[#This Row],[SP Potential Spend]]- SnapshotTable[[#This Row],[SP Premium]] + SnapshotTable[[#This Row],[LP Premium]])+ (SnapshotTable[[#This Row],[LC Premium]] - SnapshotTable[[#This Row],[SC Premium]])</f>
        <v>#VALUE!</v>
      </c>
      <c r="GW373" s="139" t="e">
        <f>IF(AND(SnapshotTable[[#This Row],[Exposure]] &lt;&gt; 0),SnapshotTable[[#This Row],[Exposure]] / SnapshotTable[[#Totals],[Exposure]], "")</f>
        <v>#VALUE!</v>
      </c>
      <c r="HK373" s="1"/>
      <c r="HL373" s="1"/>
      <c r="HM373" s="1"/>
      <c r="HN373" s="1"/>
      <c r="HO373" s="1"/>
      <c r="HP373" s="1"/>
    </row>
    <row r="374" spans="2:224" ht="12.75" hidden="1" customHeight="1" x14ac:dyDescent="0.25">
      <c r="B374" s="12" t="s">
        <v>7</v>
      </c>
      <c r="C374" s="422">
        <v>45.93</v>
      </c>
      <c r="D374" s="208" t="s">
        <v>587</v>
      </c>
      <c r="E374" s="39">
        <f>SnapshotTable[[#This Row],[Last Price]]*(1 -CrashDiscount)</f>
        <v>39.040500000000002</v>
      </c>
      <c r="F374" s="26" t="s">
        <v>5</v>
      </c>
      <c r="G374" s="26" t="s">
        <v>4</v>
      </c>
      <c r="H374" s="149"/>
      <c r="I374" s="194">
        <v>44770.694444444445</v>
      </c>
      <c r="J374" s="195">
        <v>44770.694444444445</v>
      </c>
      <c r="K374" s="196"/>
      <c r="L374" s="326"/>
      <c r="M374" s="140"/>
      <c r="N374" s="140"/>
      <c r="O374" s="140"/>
      <c r="P374" s="22"/>
      <c r="Q374" s="25"/>
      <c r="R374" s="4" t="str">
        <f>IF(SnapshotTable[[#This Row],[Equity Basis Total]] &gt; 0, SnapshotTable[[#This Row],[Equity Basis Total]] / SnapshotTable[[#This Row],[Equity Shares]], "")</f>
        <v/>
      </c>
      <c r="S374" s="269">
        <f>SnapshotTable[[#This Row],[Last Price]] * SnapshotTable[[#This Row],[Equity Shares]]</f>
        <v>0</v>
      </c>
      <c r="T374" s="269">
        <f>SnapshotTable[[#This Row],[Equity Value]] - SnapshotTable[[#This Row],[Equity Basis Total]]</f>
        <v>0</v>
      </c>
      <c r="U374" s="270" t="str">
        <f>IF(SnapshotTable[[#This Row],[Equity Basis Total]] &gt; 0, SnapshotTable[[#This Row],[Equity G/L]] / SnapshotTable[[#This Row],[Equity Basis Total]], "")</f>
        <v/>
      </c>
      <c r="V374" s="268"/>
      <c r="W374" s="268"/>
      <c r="X374" s="4" t="str">
        <f>IF(AND(ISNUMBER(SnapshotTable[[#This Row],[Equity Basis Per Share]]),ISNUMBER(SnapshotTable[[#This Row],[Equity Target]])),SnapshotTable[[#This Row],[Equity Target]]-SnapshotTable[[#This Row],[Equity Basis Per Share]],"")</f>
        <v/>
      </c>
      <c r="Y374" s="4" t="str">
        <f>IF(AND(ISNUMBER(SnapshotTable[[#This Row],[Equity Basis Per Share]]),ISNUMBER(SnapshotTable[[#This Row],[Equity Stop Loss]])),SnapshotTable[[#This Row],[Equity Stop Loss]]-SnapshotTable[[#This Row],[Equity Basis Per Share]],"")</f>
        <v/>
      </c>
      <c r="Z374" s="275" t="str">
        <f>IFERROR( TEXT(SnapshotTable[[#This Row],[Equity Max Gain Per Share]] /ABS( SnapshotTable[[#This Row],[Equity Max Loss Per Share]]),"0.0 " ) &amp; " : 1", "")</f>
        <v/>
      </c>
      <c r="AA374" s="31" t="str">
        <f>IF(ISNUMBER(SnapshotTable[[#This Row],[Equity Max Gain Per Share]]),SnapshotTable[[#This Row],[Equity Max Gain Per Share]] * SnapshotTable[[#This Row],[Equity Shares]],"")</f>
        <v/>
      </c>
      <c r="AB374" s="31" t="str">
        <f>IF(ISNUMBER(SnapshotTable[[#This Row],[Equity Max Loss Per Share]]),SnapshotTable[[#This Row],[Equity Max Loss Per Share]] * SnapshotTable[[#This Row],[Equity Shares]],"")</f>
        <v/>
      </c>
      <c r="AC374" s="150">
        <v>0</v>
      </c>
      <c r="AD374" s="151" t="s">
        <v>2</v>
      </c>
      <c r="AE374" s="31">
        <f>(SnapshotTable[[#This Row],[Annual Dividend Per Share]] / 4) * SnapshotTable[[#This Row],[Equity Shares]]</f>
        <v>0</v>
      </c>
      <c r="AF374" s="31">
        <f>SnapshotTable[[#This Row],[Quarterly Div $]] * 4</f>
        <v>0</v>
      </c>
      <c r="AG374" s="7">
        <f>IF(SnapshotTable[[#This Row],[Annual Dividend Per Share]]&gt;0, SnapshotTable[[#This Row],[Annual Dividend Per Share]]  / SnapshotTable[[#This Row],[Last Price]], 0)</f>
        <v>0</v>
      </c>
      <c r="AH374" s="151" t="s">
        <v>2</v>
      </c>
      <c r="AI374" s="5"/>
      <c r="AJ374" s="138" t="s">
        <v>164</v>
      </c>
      <c r="AK374" s="152" t="str">
        <f>IF(ISNUMBER( SnapshotTable[[#This Row],[EBF Target]]),(SnapshotTable[[#This Row],[EBF Target]] - SnapshotTable[[#This Row],[Last Price]]) / SnapshotTable[[#This Row],[Last Price]], "")</f>
        <v/>
      </c>
      <c r="AL374" s="152" t="str">
        <f>IF(AND(SnapshotTable[[#This Row],[Equity Basis Total]] &gt; 0,ISNUMBER( SnapshotTable[[#This Row],[Long Term Target]])), SnapshotTable[[#This Row],[From Basis $]] / SnapshotTable[[#This Row],[Equity Basis Total]], "")</f>
        <v/>
      </c>
      <c r="AM374" s="9">
        <f>IF( AND(SnapshotTable[[#This Row],[Equity Shares]] &gt;0,ISNUMBER( SnapshotTable[[#This Row],[Long Term Target]])),(SnapshotTable[[#This Row],[Equity Shares]] * SnapshotTable[[#This Row],[Long Term Target]]) - SnapshotTable[[#This Row],[Equity Basis Total]],0)</f>
        <v>0</v>
      </c>
      <c r="AN374" s="9">
        <f>IF( AND(SnapshotTable[[#This Row],[Equity Shares]] &gt;0,ISNUMBER( SnapshotTable[[#This Row],[Long Term Target]])),(SnapshotTable[[#This Row],[Equity Shares]]*SnapshotTable[[#This Row],[Long Term Target]]) - SnapshotTable[[#This Row],[Equity Value]],0)</f>
        <v>0</v>
      </c>
      <c r="AO374" s="152" t="str">
        <f>IF(AND(ISNUMBER( SnapshotTable[[#This Row],[Long Term Target]]), ISNUMBER(SnapshotTable[[#This Row],[Last Price]])),(SnapshotTable[[#This Row],[Long Term Target]] - SnapshotTable[[#This Row],[Last Price]]) / SnapshotTable[[#This Row],[Last Price]], "")</f>
        <v/>
      </c>
      <c r="AP374" s="5"/>
      <c r="AQ374" s="38"/>
      <c r="AR374" s="5"/>
      <c r="AS374" s="38"/>
      <c r="AT374" s="146"/>
      <c r="AU374" s="187" t="str">
        <f>IF(OR(SnapshotTable[[#This Row],[LP No Fill]]="Y",SnapshotTable[[#This Row],[SP Is Filled]],SnapshotTable[[#This Row],[LC Not Filled]]="Y",SnapshotTable[[#This Row],[SC Is Filled]]),"Y","")</f>
        <v/>
      </c>
      <c r="AV374" s="219"/>
      <c r="AW374" s="225"/>
      <c r="AX374" s="220"/>
      <c r="AY374" s="219" t="str">
        <f>IF(SnapshotTable[[#This Row],[Implied Move]]&gt;0, SnapshotTable[[#This Row],[Last Price]]-SnapshotTable[[#This Row],[Implied Move]],"")</f>
        <v/>
      </c>
      <c r="AZ374" s="219" t="str">
        <f>IF(SnapshotTable[[#This Row],[Implied Move]]&gt;0, SnapshotTable[[#This Row],[Last Price]] + SnapshotTable[[#This Row],[Implied Move]],"")</f>
        <v/>
      </c>
      <c r="BA374" s="331">
        <v>66.42</v>
      </c>
      <c r="BB374" s="347"/>
      <c r="BC37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4" s="351"/>
      <c r="BE374" s="5"/>
      <c r="BF374" s="14"/>
      <c r="BG374" s="13"/>
      <c r="BH374" s="13"/>
      <c r="BI374" s="5"/>
      <c r="BJ374" s="136">
        <f>IF(SnapshotTable[[#This Row],[LP Qty]] &gt; 0, SnapshotTable[[#This Row],[LP Qty]] * SnapshotTable[[#This Row],[LP Book Price]] * 100,0)</f>
        <v>0</v>
      </c>
      <c r="BK374" s="136">
        <f>IF(SnapshotTable[[#This Row],[LP Premium]] &gt; 0, SnapshotTable[[#This Row],[LP Qty]] * SnapshotTable[[#This Row],[LP Strike Price]] * 100,0)</f>
        <v>0</v>
      </c>
      <c r="BL374" s="154"/>
      <c r="BM374" s="385" t="str">
        <f>IF(SnapshotTable[[#This Row],[LP Premium]] &gt; 0,SnapshotTable[[#This Row],[LP Exp Date]]-MAX(SnapshotTable[[#This Row],[LP Book Date]], SnapshotTable[[#This Row],[LP Fill Date]]),"")</f>
        <v/>
      </c>
      <c r="BN374" s="385" t="str">
        <f>IF(ISNUMBER( SnapshotTable[[#This Row],[LP Term]]), SnapshotTable[[#This Row],[LP Exp Date]] - MockToday,"")</f>
        <v/>
      </c>
      <c r="BO374" s="163" t="str">
        <f>IF(AND(SnapshotTable[[#This Row],[LP Exp Date]]&gt;0, SnapshotTable[[#This Row],[LP Strike Price]]&gt;0,SnapshotTable[[#This Row],[LP Qty]]&gt;0,SnapshotTable[[#This Row],[LP Book Date]]&gt;0,SnapshotTable[[#This Row],[LP Book Price]]&gt;0,SnapshotTable[[#This Row],[LP Fill Date]]=0),"Y","")</f>
        <v/>
      </c>
      <c r="BP374" s="31" t="str">
        <f>IF(AND(SnapshotTable[[#This Row],[LP No Fill]]&lt;&gt;"Y",SnapshotTable[[#This Row],[LP Contract Value]]&gt;0, SnapshotTable[[#This Row],[LP Qty]]&gt;0), SnapshotTable[[#This Row],[LP Contract Value]]*SnapshotTable[[#This Row],[LP Qty]]*100,"")</f>
        <v/>
      </c>
      <c r="BQ374" s="13"/>
      <c r="BR374" s="5" t="str">
        <f>IF(SnapshotTable[[#This Row],[SP Exp Date]]&lt;&gt;"",TRUNC(SnapshotTable[[#This Row],[Last Price]]),"")</f>
        <v/>
      </c>
      <c r="BS374" s="36"/>
      <c r="BT374" s="147"/>
      <c r="BU374" s="13"/>
      <c r="BV374" s="5"/>
      <c r="BW374" s="419" t="b">
        <f>AND(ISNUMBER(SnapshotTable[[#This Row],[SP Exp Date]]), ISNUMBER(SnapshotTable[[#This Row],[SP Strike Price]]), ISNUMBER(SnapshotTable[[#This Row],[SP Qty]]), ISNUMBER(SnapshotTable[[#This Row],[SP Book Date]]), ISNUMBER(SnapshotTable[[#This Row],[SP Book Price]]))</f>
        <v>0</v>
      </c>
      <c r="BX374" s="419" t="b">
        <f>AND(SnapshotTable[[#This Row],[SP Is Booked]], NOT(ISBLANK(SnapshotTable[[#This Row],[SP Fill Date]])))</f>
        <v>0</v>
      </c>
      <c r="BY374" s="33">
        <f>IF(SnapshotTable[[#This Row],[SP Is Booked]], SnapshotTable[[#This Row],[SP Qty]] * SnapshotTable[[#This Row],[SP Book Price]] * 100, 0)</f>
        <v>0</v>
      </c>
      <c r="BZ374" s="369"/>
      <c r="CA374" s="368">
        <f>SnapshotTable[[#This Row],[LP Qty]]</f>
        <v>0</v>
      </c>
      <c r="CB374" s="4" t="str">
        <f>IF(SnapshotTable[[#This Row],[SP Is Booked]], SnapshotTable[[#This Row],[SP Strike Price]] - SnapshotTable[[#This Row],[SP Book Price]], "")</f>
        <v/>
      </c>
      <c r="CC374" s="19" t="str">
        <f>IF(SnapshotTable[[#This Row],[SP Is Booked]],SnapshotTable[[#This Row],[SP Exp Date]]-MAX(SnapshotTable[[#This Row],[SP Book Date]], SnapshotTable[[#This Row],[SP Fill Date]]),"")</f>
        <v/>
      </c>
      <c r="CD374" s="7" t="str">
        <f>IF(SnapshotTable[[#This Row],[SP Is Booked]], SnapshotTable[[#This Row],[SP Book Price]]/SnapshotTable[[#This Row],[SP Strike Price]], "")</f>
        <v/>
      </c>
      <c r="CE374" s="7" t="str">
        <f>IF(ISNUMBER(SnapshotTable[[#This Row],[SP ROO Term]]),SnapshotTable[[#This Row],[SP ROO Term]]*(365/SnapshotTable[[#This Row],[SP Term]]),"")</f>
        <v/>
      </c>
      <c r="CF374" s="236">
        <f>SnapshotTable[[#This Row],[LP Strike Price]] * SnapshotTable[[#This Row],[LP Qty]] * 100</f>
        <v>0</v>
      </c>
      <c r="CG374" s="31" t="e">
        <f>IF(ISNUMBER(SnapshotTable[[#This Row],[SP Premium]]), (SnapshotTable[[#This Row],[SP Qty]] * SnapshotTable[[#This Row],[SP Strike Price]]* 100) - SnapshotTable[[#This Row],[LP Protection]], 0)</f>
        <v>#VALUE!</v>
      </c>
      <c r="CH374" s="7" t="str">
        <f>IF(ISNUMBER(SnapshotTable[[#This Row],[SP Break Even]]),-1 * (SnapshotTable[[#This Row],[SP Break Even]] - SnapshotTable[[#This Row],[Last Price]]) / SnapshotTable[[#This Row],[Last Price]], "")</f>
        <v/>
      </c>
      <c r="CI374" s="31">
        <f>IF(AND(ISNUMBER((SnapshotTable[[#This Row],[SP Potential Spend]])), SnapshotTable[[#This Row],[SP Strike Price]] &gt; SnapshotTable[[#This Row],[Last Price]], SnapshotTable[[#This Row],[SP Is Filled]]), SnapshotTable[[#This Row],[SP Potential Spend]] -  SnapshotTable[[#This Row],[LP Max Value]], 0)</f>
        <v>0</v>
      </c>
      <c r="CJ374" s="244"/>
      <c r="CK374" s="31" t="str">
        <f>IF(ISNUMBER(SnapshotTable[[#This Row],[SP Potential Spend]]),IF(ISNUMBER(SnapshotTable[[#This Row],[SP POW]]), SnapshotTable[[#This Row],[SP POW]] * SnapshotTable[[#This Row],[SP Potential Spend]], SnapshotTable[[#This Row],[SP Potential Spend]]), "")</f>
        <v/>
      </c>
      <c r="CL374" s="164" t="e">
        <f>IF(NOT(SnapshotTable[[#This Row],[SP Is Filled]]),(SnapshotTable[[#This Row],[SP Qty]] * SnapshotTable[[#This Row],[SP Strike Price]] * 100) - SnapshotTable[[#This Row],[LP Max Value]],"")</f>
        <v>#VALUE!</v>
      </c>
      <c r="CM374" s="31" t="str">
        <f>IF(SnapshotTable[[#This Row],[SP Actual Spend]]&lt;&gt;0, ((SnapshotTable[[#This Row],[SP Strike Price]]-SnapshotTable[[#This Row],[Last Price]]) *(SnapshotTable[[#This Row],[SP Qty]]*100) - SnapshotTable[[#This Row],[SP Premium]]) * - 1, "")</f>
        <v/>
      </c>
      <c r="CN374" s="78"/>
      <c r="CO374" s="369"/>
      <c r="CP374" s="4" t="str">
        <f>IF(SnapshotTable[[#This Row],[SP Is Filled]], btc_max_buyback_amount(SnapshotTable[[#This Row],[SP Fill Date]],SnapshotTable[[#This Row],[SP Exp Date]], SnapshotTable[[#This Row],[SP Book Price]]),"")</f>
        <v/>
      </c>
      <c r="CQ374" s="78"/>
      <c r="CR37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4" s="155" t="str">
        <f>IF(SnapshotTable[[#This Row],[SP Is Filled]], btc_next_cutoff_date(SnapshotTable[[#This Row],[SP Fill Date]],SnapshotTable[[#This Row],[SP Exp Date]]),"")</f>
        <v/>
      </c>
      <c r="CT374" s="235" t="str" cm="1">
        <f t="array" ref="CT374">IF(SnapshotTable[[#This Row],[SP Is Filled]], btc_should_buy_back(SnapshotTable[[#This Row],[SP Fill Date]], SnapshotTable[[#This Row],[SP Exp Date]], SnapshotTable[[#This Row],[SP Book Price]], SnapshotTable[[#This Row],[SP Current Ask]], MockToday, SnapshotTable[[#This Row],[SP Buyback Override]]),"")</f>
        <v/>
      </c>
      <c r="CU374" s="143"/>
      <c r="CV374" s="235"/>
      <c r="CW374" s="378" t="str">
        <f>IF(ISNUMBER( SnapshotTable[[#This Row],[SP Term]]), SnapshotTable[[#This Row],[SP Exp Date]] - MockToday,"")</f>
        <v/>
      </c>
      <c r="CX374" s="31" t="str">
        <f>IF(SnapshotTable[[#This Row],[SP Is Filled]],SnapshotTable[[#This Row],[SP Buyback Price to Use]] * 100 * SnapshotTable[[#This Row],[SP Qty]], "")</f>
        <v/>
      </c>
      <c r="CY374" s="4" t="str">
        <f>IF(ISNUMBER(SnapshotTable[[#This Row],[SP Strike Price]]), SnapshotTable[[#This Row],[SP Strike Price]] * (1 - SP_MaxLoss_StrikePct), "")</f>
        <v/>
      </c>
      <c r="CZ374" s="31" t="str">
        <f>IF(ISNUMBER(SnapshotTable[[#This Row],[SP Strike  Stop Per Share]]),SnapshotTable[[#This Row],[SP Premium]] - ((SnapshotTable[[#This Row],[SP Strike Price]]-SnapshotTable[[#This Row],[SP Strike  Stop Per Share]]) *(SnapshotTable[[#This Row],[SP Qty]] * 100)),"")</f>
        <v/>
      </c>
      <c r="DA374" s="4" t="str">
        <f>IF(AND(ISNUMBER(SnapshotTable[[#This Row],[SP Premium]]),SnapshotTable[[#This Row],[SP Premium]]&gt;0), SnapshotTable[[#This Row],[SP Book Price]] * (1 + SP_MaxLoss_OptionPct), "")</f>
        <v/>
      </c>
      <c r="DB374" s="31" t="str">
        <f>IF(ISNUMBER(SnapshotTable[[#This Row],[SP Option  Stop Contract]]),(SnapshotTable[[#This Row],[SP Option  Stop Contract]] *(SnapshotTable[[#This Row],[SP Qty]] * 100) - SnapshotTable[[#This Row],[SP Premium]]),"")</f>
        <v/>
      </c>
      <c r="DC374" s="4"/>
      <c r="DD374" s="4"/>
      <c r="DE374" s="4" t="str">
        <f>IF(AND(SnapshotTable[[#This Row],[SP Qty]]&gt;0, SnapshotTable[[#This Row],[SP Stop To Use]]&gt;0),SnapshotTable[[#This Row],[SP Premium]] - ( SnapshotTable[[#This Row],[SP Qty]] * SnapshotTable[[#This Row],[SP Stop To Use]] * 100), "")</f>
        <v/>
      </c>
      <c r="DF374" s="31" t="str">
        <f>IF(AND(SnapshotTable[[#This Row],[SP Qty]]&gt;0,SnapshotTable[[#This Row],[SP Current Ask]]&gt;0), SnapshotTable[[#This Row],[SP Qty]] * SnapshotTable[[#This Row],[SP Current Ask]] * -100, "")</f>
        <v/>
      </c>
      <c r="DG374" s="31" t="str">
        <f>IF(ISNUMBER((SnapshotTable[[#This Row],[SP Total Value]])), SnapshotTable[[#This Row],[SP Premium]] + SnapshotTable[[#This Row],[SP Total Value]], "")</f>
        <v/>
      </c>
      <c r="DH374" s="294" t="str">
        <f>IF(ISNUMBER((SnapshotTable[[#This Row],[SP Total Value]])), SnapshotTable[[#This Row],[SP Gain Loss]] / SnapshotTable[[#This Row],[SP Premium]], "")</f>
        <v/>
      </c>
      <c r="DI374" s="406"/>
      <c r="DJ374" s="138"/>
      <c r="DK374" s="148"/>
      <c r="DL374" s="13"/>
      <c r="DM374" s="13"/>
      <c r="DO374" s="31">
        <f>IF(SnapshotTable[[#This Row],[LC Symbol Count]]=1, SnapshotTable[[#This Row],[LC Qty]] * SnapshotTable[[#This Row],[LC Book Price]] * 100, 0)</f>
        <v>0</v>
      </c>
      <c r="DP374" s="163" t="str">
        <f>IF(AND(SnapshotTable[[#This Row],[LC Exp Date]]&gt;0, SnapshotTable[[#This Row],[LC Strike Price]]&gt;0,SnapshotTable[[#This Row],[LC Qty]]&gt;0,SnapshotTable[[#This Row],[LC Book Date]]&gt;0,SnapshotTable[[#This Row],[LC Book Price]]&gt;0,SnapshotTable[[#This Row],[LC Fill Date]]=0),"Y","")</f>
        <v/>
      </c>
      <c r="DQ374" s="386" t="str">
        <f>IF(SnapshotTable[[#This Row],[LC Premium]] &gt; 0,SnapshotTable[[#This Row],[LC Exp Date]]-MAX(SnapshotTable[[#This Row],[LC Book Date]], SnapshotTable[[#This Row],[LC Fill Date]]),"")</f>
        <v/>
      </c>
      <c r="DR374" s="386" t="str">
        <f>IF(ISNUMBER(SnapshotTable[[#This Row],[LC Term]]), SnapshotTable[[#This Row],[LC Exp Date]] - MockToday, "")</f>
        <v/>
      </c>
      <c r="DS374" s="234" t="str">
        <f>IF(SnapshotTable[[#This Row],[LC Premium]]&gt;0,SnapshotTable[[#This Row],[LC Strike Price]] + SnapshotTable[[#This Row],[LC Book Price]],"")</f>
        <v/>
      </c>
      <c r="DU374" s="9" t="str">
        <f>IF(AND(SnapshotTable[[#This Row],[LC Symbol Count]]&gt;0, SnapshotTable[[#This Row],[LC Contract Value]]&gt;0), SnapshotTable[[#This Row],[LC Contract Value]] * SnapshotTable[[#This Row],[LC Qty]] * 100, "")</f>
        <v/>
      </c>
      <c r="DV374" s="9" t="str">
        <f>IF(AND(ISNUMBER(SnapshotTable[[#This Row],[LC Total Value]]), SnapshotTable[[#This Row],[LC Not Filled]]&lt;&gt;"Y"), SnapshotTable[[#This Row],[LC Total Value]]-SnapshotTable[[#This Row],[LC Premium]],"")</f>
        <v/>
      </c>
      <c r="DW374" s="240" t="str">
        <f>IF(ISNUMBER(SnapshotTable[[#This Row],[LC Actual Gain Loss]]), SnapshotTable[[#This Row],[LC Actual Gain Loss]] / SnapshotTable[[#This Row],[LC Premium]],"")</f>
        <v/>
      </c>
      <c r="DX374" s="284" t="str">
        <f>IF(ISNUMBER(SnapshotTable[[#This Row],[LC Book Price]]),SnapshotTable[[#This Row],[LC Book Price]] * 1.5,"")</f>
        <v/>
      </c>
      <c r="DY374" s="265" t="str">
        <f>IF(SnapshotTable[[#This Row],[LC Premium]]&gt;0, SnapshotTable[[#This Row],[LC Next Target]] * SnapshotTable[[#This Row],[LC Qty]] * 100,"")</f>
        <v/>
      </c>
      <c r="DZ374" s="265" t="str">
        <f>IF(ISNUMBER(SnapshotTable[[#This Row],[LC Target Gross]]), SnapshotTable[[#This Row],[LC Target Gross]] - SnapshotTable[[#This Row],[LC Premium]], "")</f>
        <v/>
      </c>
      <c r="EA374" s="305" t="str">
        <f>IF(ISNUMBER(SnapshotTable[[#This Row],[LC Target Gain Loss]]), SnapshotTable[[#This Row],[LC Target Gain Loss]]/SnapshotTable[[#This Row],[LC Premium]], "")</f>
        <v/>
      </c>
      <c r="EB374" s="262"/>
      <c r="EC374" s="283" t="str">
        <f>IF(SnapshotTable[[#This Row],[LC Premium]]&gt;0, SnapshotTable[[#This Row],[LC Book Price]] * (1 - LC_StopLoss_Pct),"")</f>
        <v/>
      </c>
      <c r="ED374" s="284"/>
      <c r="EE374" s="283" t="str">
        <f>IF(ISNUMBER(SnapshotTable[[#This Row],[LC Contract Value]]),IF(ISNUMBER(SnapshotTable[[#This Row],[LC Stop Loss Override]]), SnapshotTable[[#This Row],[LC Stop Loss Override]],SnapshotTable[[#This Row],[LC Stop Loss Calc Target]]),"")</f>
        <v/>
      </c>
      <c r="EF374" s="31" t="str">
        <f>IF(ISNUMBER(SnapshotTable[[#This Row],[LC Stop  To Use]]), (SnapshotTable[[#This Row],[LC Stop  To Use]] * SnapshotTable[[#This Row],[LC Qty]] * 100),"")</f>
        <v/>
      </c>
      <c r="EG374" s="9" t="str">
        <f>IF(ISNUMBER(SnapshotTable[[#This Row],[LC Total Value]]),SnapshotTable[[#This Row],[LC Stop Loss Amount]] - SnapshotTable[[#This Row],[LC Premium]],"")</f>
        <v/>
      </c>
      <c r="EH374" s="9">
        <f>IF(ISNUMBER(SnapshotTable[[#This Row],[LC Premium]]), SnapshotTable[[#This Row],[LC Qty]] * 100 * SnapshotTable[[#This Row],[LC Strike Price]], "")</f>
        <v>0</v>
      </c>
      <c r="EI374" s="240" t="str">
        <f>IF(AND(ISNUMBER(SnapshotTable[[#This Row],[LC Total Value]]),SnapshotTable[[#This Row],[LC Total Value]]&gt;0),SnapshotTable[[#This Row],[LC Stop Gain Loss]]  / SnapshotTable[[#This Row],[LC Premium]],"")</f>
        <v/>
      </c>
      <c r="EJ374" s="35">
        <f>IF(ISNUMBER(SnapshotTable[[#This Row],[Equity Shares]]),TRUNC(SnapshotTable[[#This Row],[Equity Shares]] / 100),0) + SnapshotTable[[#This Row],[LC Qty]]</f>
        <v>0</v>
      </c>
      <c r="EK374" s="147"/>
      <c r="EL374" s="138" t="str">
        <f>IF(SnapshotTable[[#This Row],[SC Exp Date]]&lt;&gt;"",TRUNC(SnapshotTable[[#This Row],[Last Price]]),"")</f>
        <v/>
      </c>
      <c r="EM374" s="148"/>
      <c r="EN374" s="147">
        <v>45092</v>
      </c>
      <c r="EO374" s="147"/>
      <c r="EP374" s="138">
        <v>3.8</v>
      </c>
      <c r="EQ374" s="419" t="b">
        <f>AND(ISNUMBER(SnapshotTable[[#This Row],[SC Exp Date]]), ISNUMBER(SnapshotTable[[#This Row],[SC Strike Price]]), ISNUMBER(SnapshotTable[[#This Row],[SC Qty]]), ISNUMBER(SnapshotTable[[#This Row],[SC Book Date]]), ISNUMBER(SnapshotTable[[#This Row],[SC Book Price]]))</f>
        <v>0</v>
      </c>
      <c r="ER374" s="419" t="b">
        <f>AND(SnapshotTable[[#This Row],[SC Is Booked]], NOT(ISBLANK(SnapshotTable[[#This Row],[SC Fill Date]])))</f>
        <v>0</v>
      </c>
      <c r="ES374" s="370"/>
      <c r="ET374" s="34" t="str">
        <f>IF(AND(ISNUMBER(SnapshotTable[[#This Row],[SC Exp Date]]), ISNUMBER(SnapshotTable[[#This Row],[SC Book Date]])), SnapshotTable[[#This Row],[SC Exp Date]] - MAX(SnapshotTable[[#This Row],[SC Book Date]], SnapshotTable[[#This Row],[SC Fill Date]]) + 1, "")</f>
        <v/>
      </c>
      <c r="EU374" s="34" t="str">
        <f>IF(ISNUMBER(SnapshotTable[[#This Row],[SC Term]]), SnapshotTable[[#This Row],[SC Exp Date]]- MockToday, "")</f>
        <v/>
      </c>
      <c r="EV374" s="31">
        <f>IF(SnapshotTable[[#This Row],[SC Is Booked]], SnapshotTable[[#This Row],[SC Qty]] * SnapshotTable[[#This Row],[SC Book Price]] * 100, 0)</f>
        <v>0</v>
      </c>
      <c r="EW374" s="4">
        <f>IF(AND(ISNUMBER(SnapshotTable[[#This Row],[Last Price]]), ISNUMBER( SnapshotTable[[#This Row],[SC Book Price]])), SnapshotTable[[#This Row],[Last Price]] - SnapshotTable[[#This Row],[SC Book Price]],"")</f>
        <v>42.13</v>
      </c>
      <c r="EX374" s="234" t="str">
        <f>IF(SnapshotTable[[#This Row],[SC Is Booked]],IF(SnapshotTable[[#This Row],[SC Intrinsic Value]] &gt; 0, SnapshotTable[[#This Row],[SC Strike Price]], SnapshotTable[[#This Row],[Last Price]]), "")</f>
        <v/>
      </c>
      <c r="EY374" s="4">
        <f>IF(SnapshotTable[[#This Row],[SC Is Booked]], (MinimumPremiumRequired * SnapshotTable[[#This Row],[SC Basis]] * SnapshotTable[[#This Row],[SC Term]]), 0)</f>
        <v>0</v>
      </c>
      <c r="EZ374" s="283"/>
      <c r="FA374" s="218"/>
      <c r="FB374" s="370"/>
      <c r="FC374" s="4">
        <f>IF(SnapshotTable[[#This Row],[SC Is Filled]], btc_max_buyback_amount(SnapshotTable[[#This Row],[SC Fill Date]],SnapshotTable[[#This Row],[SC Exp Date]], SnapshotTable[[#This Row],[SC Book Price]]),0)</f>
        <v>0</v>
      </c>
      <c r="FD374" s="5"/>
      <c r="FE374" s="144" t="str">
        <f>IF(SnapshotTable[[#This Row],[SC Is Filled]], btc_next_cutoff_date(SnapshotTable[[#This Row],[SC Fill Date]],SnapshotTable[[#This Row],[SC Exp Date]]),"")</f>
        <v/>
      </c>
      <c r="FF374" s="4" t="str" cm="1">
        <f t="array" ref="FF374">IF(SnapshotTable[[#This Row],[SC Is Filled]], btc_should_buy_back(SnapshotTable[[#This Row],[SC Fill Date]], SnapshotTable[[#This Row],[SC Exp Date]], SnapshotTable[[#This Row],[SC Book Price]], SnapshotTable[[#This Row],[SC Current Ask]], MockToday, SnapshotTable[[#This Row],[SC Buyback Override]]),"")</f>
        <v/>
      </c>
      <c r="FG374" s="4">
        <f>IF(SnapshotTable[[#This Row],[SC Is Filled]], MAX(0,SnapshotTable[[#This Row],[Last Price]]  - SnapshotTable[[#This Row],[SC Strike Price]]), 0)</f>
        <v>0</v>
      </c>
      <c r="FH374" s="382">
        <f>IF(SnapshotTable[[#This Row],[SC Is Filled]], IF(ISNUMBER(SnapshotTable[[#This Row],[SC Current Ask]]), SnapshotTable[[#This Row],[SC Current Ask]], SnapshotTable[[#This Row],[SC Book Price]]) - SnapshotTable[[#This Row],[SC Intrinsic Value]], 0)</f>
        <v>0</v>
      </c>
      <c r="FI374" s="143"/>
      <c r="FJ374" s="32" t="str">
        <f>IF(SnapshotTable[[#This Row],[SC Is Filled]],100 * SnapshotTable[[#This Row],[SC Qty]] * IF(ISNUMBER(SnapshotTable[[#This Row],[SC Buyback Override]]), SnapshotTable[[#This Row],[SC Buyback Override]], SnapshotTable[[#This Row],[SC Current Ask]]), "")</f>
        <v/>
      </c>
      <c r="FK374" s="250" t="str">
        <f>IF(SnapshotTable[[#This Row],[SC Time Val]]&gt;0, SnapshotTable[[#This Row],[SC Time Val]] / SnapshotTable[[#This Row],[Last Price]],"")</f>
        <v/>
      </c>
      <c r="FL374" s="302" t="str">
        <f>IF(SnapshotTable[[#This Row],[SC Is Booked]], ((SnapshotTable[[#This Row],[Last Price]] -SnapshotTable[[#This Row],[SC Strike Price]]) / SnapshotTable[[#This Row],[Last Price]]) * -1, "")</f>
        <v/>
      </c>
      <c r="FM374" s="157" t="str">
        <f>IF(SnapshotTable[[#This Row],[SC Is Booked]],  (SnapshotTable[[#This Row],[SC Qty]] * 100 * SnapshotTable[[#This Row],[SC Strike Price]]) - SnapshotTable[[#This Row],[SC Current Ask]], "")</f>
        <v/>
      </c>
      <c r="FN37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4" s="31" t="str">
        <f>IF(AND(ISNUMBER(SnapshotTable[[#This Row],[SC Exercise Gross]]), ISNUMBER(SnapshotTable[[#This Row],[Equity Basis Per Share]] )), SnapshotTable[[#This Row],[SC Exercise Gross]] - SnapshotTable[[#This Row],[Equity Basis Total]] +  SnapshotTable[[#This Row],[SC Premium]], "")</f>
        <v/>
      </c>
      <c r="FP374" s="5" t="str">
        <f>IF(ISNUMBER(SnapshotTable[[#This Row],[SC Exercise Gross]]), (SnapshotTable[[#This Row],[SC Exercise Gross]]) / (SnapshotTable[[#This Row],[SC Qty]] * 100), "")</f>
        <v/>
      </c>
      <c r="FQ374" s="27" t="str">
        <f>IF(SnapshotTable[[#This Row],[SC Is Booked]],SnapshotTable[[#This Row],[SC Time Val]] /SnapshotTable[[#This Row],[SC Basis]], "")</f>
        <v/>
      </c>
      <c r="FR374" s="27" t="str" cm="1">
        <f t="array" ref="FR374">IF(AND(ISNUMBER(SnapshotTable[[#This Row],[SC Term]]),ISNUMBER(SnapshotTable[[#This Row],[SC Simple ROO]])), EllmanAnnualize(SnapshotTable[[#This Row],[SC DTE]], SnapshotTable[[#This Row],[SC Simple ROO]] ),"")</f>
        <v/>
      </c>
      <c r="FS374" s="4" t="e">
        <f>IF(SnapshotTable[[#This Row],[SC Strike Price]] &gt; SnapshotTable[[#This Row],[Last Price]], SnapshotTable[[#This Row],[SC Strike Price]] - SnapshotTable[[#This Row],[Last Price]],0)</f>
        <v>#VALUE!</v>
      </c>
      <c r="FT374" s="27" t="e">
        <f>IF(AND(ISNUMBER(SnapshotTable[[#This Row],[SC Upside Potential]]), SnapshotTable[[#This Row],[SC Upside Potential]] &gt; 0),(SnapshotTable[[#This Row],[SC Upside Potential]]/ SnapshotTable[[#This Row],[ACB]]),"")</f>
        <v>#VALUE!</v>
      </c>
      <c r="FU374" s="333" t="str">
        <f>IF(SnapshotTable[[#This Row],[SC Intrinsic Value]] &gt; 0,SnapshotTable[[#This Row],[SC Intrinsic Value]],"")</f>
        <v/>
      </c>
      <c r="FV374" s="27" t="str">
        <f>IF(AND( ISNUMBER( SnapshotTable[[#This Row],[ACB]]),ISNUMBER(SnapshotTable[[#This Row],[SC Downside Protect]])),SnapshotTable[[#This Row],[SC Downside Protect]] / SnapshotTable[[#This Row],[ACB]],"")</f>
        <v/>
      </c>
      <c r="FW374" s="236" t="str">
        <f>IF(AND(ISNUMBER(SnapshotTable[[#This Row],[SC Simple ROO]]),SnapshotTable[[#This Row],[SC Simple ROO]] &gt; 0), SnapshotTable[[#This Row],[SC Premium]] + (SnapshotTable[[#This Row],[SC Qty]] * SnapshotTable[[#This Row],[SC Upside Potential]]), "")</f>
        <v/>
      </c>
      <c r="FX374" s="302" t="str" cm="1">
        <f t="array" ref="FX374">IF(ISNUMBER(SnapshotTable[[#This Row],[SC Max Dollars]]), annualize(SnapshotTable[[#This Row],[SC Term]],(SnapshotTable[[#This Row],[SC Max Dollars]]/SnapshotTable[[#This Row],[SC Basis]])),"")</f>
        <v/>
      </c>
      <c r="FY374" s="236" t="str">
        <f>IF(AND(SnapshotTable[[#This Row],[SC Qty]]&gt;0,SnapshotTable[[#This Row],[SC Current Ask]]&gt;0), SnapshotTable[[#This Row],[SC Qty]] * SnapshotTable[[#This Row],[SC Current Ask]] * -100, "")</f>
        <v/>
      </c>
      <c r="FZ374" s="31" t="str">
        <f>IF(ISNUMBER((SnapshotTable[[#This Row],[SC Current Value]])), SnapshotTable[[#This Row],[SC Premium]] + SnapshotTable[[#This Row],[SC Current Value]], "")</f>
        <v/>
      </c>
      <c r="GA374" s="294" t="str">
        <f>IFERROR( IF(ISNUMBER((SnapshotTable[[#This Row],[SC Current Value]])), SnapshotTable[[#This Row],[SC Gain Loss]] / SnapshotTable[[#This Row],[SC Premium]], ""), "")</f>
        <v/>
      </c>
      <c r="GB374" s="42">
        <f>SnapshotTable[[#This Row],[Equity Shares]] * SaleSharesToConsiderPercentage</f>
        <v>0</v>
      </c>
      <c r="GC374" s="40" t="e">
        <f>SnapshotTable[[#This Row],[Long Term Target]] * SellingPriceToConsiderBasedOnTargetPercentage</f>
        <v>#VALUE!</v>
      </c>
      <c r="GD374" s="40">
        <f>SnapshotTable[[#This Row],[Last Price]] * (1+ SellingPriceToConsiderBasedOnTargetPercentage)</f>
        <v>89.563499999999991</v>
      </c>
      <c r="GE374" s="41"/>
      <c r="GF374" s="40"/>
      <c r="GG374" s="31">
        <f>SnapshotTable[[#This Row],[Booked Sale Shares]] * SnapshotTable[[#This Row],[Booked Sale Price]]</f>
        <v>0</v>
      </c>
      <c r="GH374" s="31" t="str">
        <f>IF(SnapshotTable[[#This Row],[Equity Basis Total]] &gt; 0, SnapshotTable[[#This Row],[Equity Basis Per Share]] * SnapshotTable[[#This Row],[Booked Sale Shares]], "")</f>
        <v/>
      </c>
      <c r="GI374" s="31">
        <f>IF(SnapshotTable[[#This Row],[Sale Proceeds]]&gt;0, SnapshotTable[[#This Row],[Sale Proceeds]] - SnapshotTable[[#This Row],[Sale Basis]], 0)</f>
        <v>0</v>
      </c>
      <c r="GJ374" s="27" t="str">
        <f>IF(SnapshotTable[[#This Row],[Sale G/L]]&gt;0, SnapshotTable[[#This Row],[Sale G/L]] / SnapshotTable[[#This Row],[Sale Basis]], IF(ISNUMBER(SnapshotTable[[#This Row],[SC Exercise P&amp;L (TAX)]]), SnapshotTable[[#This Row],[SC Exercise P&amp;L (TAX)]] / SnapshotTable[[#This Row],[SC Basis]], ""))</f>
        <v/>
      </c>
      <c r="GK374" s="27" t="s">
        <v>806</v>
      </c>
      <c r="GL374" s="43" t="str">
        <f>IF(AND(SnapshotTable[[#This Row],[LP Exp Date]]&gt;0,SnapshotTable[[#This Row],[LP Strike Price]]&gt;0), [1]!ToOptionSymbol(SnapshotTable[[#This Row],[Symbol]], SnapshotTable[[#This Row],[LP Strike Price]],SnapshotTable[[#This Row],[LP Exp Date]],1), "")</f>
        <v/>
      </c>
      <c r="GM374" s="30" t="str">
        <f>IF(LEN(SnapshotTable[[#This Row],[LP Symbol]])&gt;0, 1, "")</f>
        <v/>
      </c>
      <c r="GN374" s="43" t="str">
        <f>IF(AND(SnapshotTable[[#This Row],[SP Exp Date]]&gt;0,SnapshotTable[[#This Row],[SP Strike Price]]&gt;0), [1]!ToOptionSymbol(SnapshotTable[[#This Row],[Symbol]], SnapshotTable[[#This Row],[SP Strike Price]],SnapshotTable[[#This Row],[SP Exp Date]],1), "")</f>
        <v/>
      </c>
      <c r="GO374" s="30" t="str">
        <f>IF(LEN(SnapshotTable[[#This Row],[SP Symbol]])&gt;0, 1, "")</f>
        <v/>
      </c>
      <c r="GP374" s="43" t="str">
        <f>IF(AND(SnapshotTable[[#This Row],[LC Exp Date]]&gt;0,SnapshotTable[[#This Row],[LC Strike Price]]&gt;0), [1]!ToOptionSymbol(SnapshotTable[[#This Row],[Symbol]], SnapshotTable[[#This Row],[LC Strike Price]],SnapshotTable[[#This Row],[LC Exp Date]],0), "")</f>
        <v/>
      </c>
      <c r="GQ374" s="30" t="str">
        <f>IF(LEN(SnapshotTable[[#This Row],[LC Symbol]])&gt;0, 1, "")</f>
        <v/>
      </c>
      <c r="GR374" s="43" t="str">
        <f>IF(AND(SnapshotTable[[#This Row],[SC Exp Date]]&gt;0,SnapshotTable[[#This Row],[SC Strike Price]]&gt;0), [1]!ToOptionSymbol(SnapshotTable[[#This Row],[Symbol]], SnapshotTable[[#This Row],[SC Strike Price]],SnapshotTable[[#This Row],[SC Exp Date]],0), "")</f>
        <v/>
      </c>
      <c r="GS374" s="30" t="str">
        <f>IF(LEN(SnapshotTable[[#This Row],[SC Symbol]])&gt;0, 1, "")</f>
        <v/>
      </c>
      <c r="GT374" s="29" t="str">
        <f>IF(COUNT(SnapshotTable[[#This Row],[LP Symbol Count]],SnapshotTable[[#This Row],[SP Symbol Count]],SnapshotTable[[#This Row],[LC Symbol Count]],SnapshotTable[[#This Row],[SC Symbol Count]])&gt;0, "Y", "")</f>
        <v/>
      </c>
      <c r="GU37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4" s="231" t="e">
        <f>MAX(SnapshotTable[[#This Row],[Equity Basis Total]],SnapshotTable[[#This Row],[Equity Value]]) + (SnapshotTable[[#This Row],[SP Potential Spend]]- SnapshotTable[[#This Row],[SP Premium]] + SnapshotTable[[#This Row],[LP Premium]])+ (SnapshotTable[[#This Row],[LC Premium]] - SnapshotTable[[#This Row],[SC Premium]])</f>
        <v>#VALUE!</v>
      </c>
      <c r="GW374" s="139" t="e">
        <f>IF(AND(SnapshotTable[[#This Row],[Exposure]] &lt;&gt; 0),SnapshotTable[[#This Row],[Exposure]] / SnapshotTable[[#Totals],[Exposure]], "")</f>
        <v>#VALUE!</v>
      </c>
      <c r="HK374" s="1"/>
      <c r="HL374" s="1"/>
      <c r="HM374" s="1"/>
      <c r="HN374" s="1"/>
      <c r="HO374" s="1"/>
      <c r="HP374" s="1"/>
    </row>
    <row r="375" spans="2:224" ht="12.75" hidden="1" customHeight="1" x14ac:dyDescent="0.25">
      <c r="B375" s="12" t="s">
        <v>989</v>
      </c>
      <c r="C375" s="422">
        <v>159.43</v>
      </c>
      <c r="D375" s="208"/>
      <c r="E375" s="39">
        <f>SnapshotTable[[#This Row],[Last Price]]*(1 -CrashDiscount)</f>
        <v>135.5155</v>
      </c>
      <c r="F375" s="26" t="s">
        <v>5</v>
      </c>
      <c r="G375" s="26" t="s">
        <v>4</v>
      </c>
      <c r="H375" s="149"/>
      <c r="I375" s="194">
        <v>44770.694444444445</v>
      </c>
      <c r="J375" s="195">
        <v>44770.694444444445</v>
      </c>
      <c r="K375" s="196"/>
      <c r="L375" s="326"/>
      <c r="M375" s="140"/>
      <c r="N375" s="140"/>
      <c r="O375" s="140"/>
      <c r="P375" s="22"/>
      <c r="Q375" s="25"/>
      <c r="R375" s="4" t="str">
        <f>IF(SnapshotTable[[#This Row],[Equity Basis Total]] &gt; 0, SnapshotTable[[#This Row],[Equity Basis Total]] / SnapshotTable[[#This Row],[Equity Shares]], "")</f>
        <v/>
      </c>
      <c r="S375" s="269">
        <f>SnapshotTable[[#This Row],[Last Price]] * SnapshotTable[[#This Row],[Equity Shares]]</f>
        <v>0</v>
      </c>
      <c r="T375" s="269">
        <f>SnapshotTable[[#This Row],[Equity Value]] - SnapshotTable[[#This Row],[Equity Basis Total]]</f>
        <v>0</v>
      </c>
      <c r="U375" s="270" t="str">
        <f>IF(SnapshotTable[[#This Row],[Equity Basis Total]] &gt; 0, SnapshotTable[[#This Row],[Equity G/L]] / SnapshotTable[[#This Row],[Equity Basis Total]], "")</f>
        <v/>
      </c>
      <c r="V375" s="268"/>
      <c r="W375" s="268"/>
      <c r="X375" s="4" t="str">
        <f>IF(AND(ISNUMBER(SnapshotTable[[#This Row],[Equity Basis Per Share]]),ISNUMBER(SnapshotTable[[#This Row],[Equity Target]])),SnapshotTable[[#This Row],[Equity Target]]-SnapshotTable[[#This Row],[Equity Basis Per Share]],"")</f>
        <v/>
      </c>
      <c r="Y375" s="4" t="str">
        <f>IF(AND(ISNUMBER(SnapshotTable[[#This Row],[Equity Basis Per Share]]),ISNUMBER(SnapshotTable[[#This Row],[Equity Stop Loss]])),SnapshotTable[[#This Row],[Equity Stop Loss]]-SnapshotTable[[#This Row],[Equity Basis Per Share]],"")</f>
        <v/>
      </c>
      <c r="Z375" s="275" t="str">
        <f>IFERROR( TEXT(SnapshotTable[[#This Row],[Equity Max Gain Per Share]] /ABS( SnapshotTable[[#This Row],[Equity Max Loss Per Share]]),"0.0 " ) &amp; " : 1", "")</f>
        <v/>
      </c>
      <c r="AA375" s="31" t="str">
        <f>IF(ISNUMBER(SnapshotTable[[#This Row],[Equity Max Gain Per Share]]),SnapshotTable[[#This Row],[Equity Max Gain Per Share]] * SnapshotTable[[#This Row],[Equity Shares]],"")</f>
        <v/>
      </c>
      <c r="AB375" s="31" t="str">
        <f>IF(ISNUMBER(SnapshotTable[[#This Row],[Equity Max Loss Per Share]]),SnapshotTable[[#This Row],[Equity Max Loss Per Share]] * SnapshotTable[[#This Row],[Equity Shares]],"")</f>
        <v/>
      </c>
      <c r="AC375" s="150"/>
      <c r="AD375" s="151"/>
      <c r="AE375" s="31">
        <f>(SnapshotTable[[#This Row],[Annual Dividend Per Share]] / 4) * SnapshotTable[[#This Row],[Equity Shares]]</f>
        <v>0</v>
      </c>
      <c r="AF375" s="31">
        <f>SnapshotTable[[#This Row],[Quarterly Div $]] * 4</f>
        <v>0</v>
      </c>
      <c r="AG375" s="7">
        <f>IF(SnapshotTable[[#This Row],[Annual Dividend Per Share]]&gt;0, SnapshotTable[[#This Row],[Annual Dividend Per Share]]  / SnapshotTable[[#This Row],[Last Price]], 0)</f>
        <v>0</v>
      </c>
      <c r="AH375" s="151"/>
      <c r="AI375" s="5"/>
      <c r="AJ375" s="138"/>
      <c r="AK375" s="152" t="str">
        <f>IF(ISNUMBER( SnapshotTable[[#This Row],[EBF Target]]),(SnapshotTable[[#This Row],[EBF Target]] - SnapshotTable[[#This Row],[Last Price]]) / SnapshotTable[[#This Row],[Last Price]], "")</f>
        <v/>
      </c>
      <c r="AL375" s="152" t="str">
        <f>IF(AND(SnapshotTable[[#This Row],[Equity Basis Total]] &gt; 0,ISNUMBER( SnapshotTable[[#This Row],[Long Term Target]])), SnapshotTable[[#This Row],[From Basis $]] / SnapshotTable[[#This Row],[Equity Basis Total]], "")</f>
        <v/>
      </c>
      <c r="AM375" s="9">
        <f>IF( AND(SnapshotTable[[#This Row],[Equity Shares]] &gt;0,ISNUMBER( SnapshotTable[[#This Row],[Long Term Target]])),(SnapshotTable[[#This Row],[Equity Shares]] * SnapshotTable[[#This Row],[Long Term Target]]) - SnapshotTable[[#This Row],[Equity Basis Total]],0)</f>
        <v>0</v>
      </c>
      <c r="AN375" s="9">
        <f>IF( AND(SnapshotTable[[#This Row],[Equity Shares]] &gt;0,ISNUMBER( SnapshotTable[[#This Row],[Long Term Target]])),(SnapshotTable[[#This Row],[Equity Shares]]*SnapshotTable[[#This Row],[Long Term Target]]) - SnapshotTable[[#This Row],[Equity Value]],0)</f>
        <v>0</v>
      </c>
      <c r="AO375" s="152" t="str">
        <f>IF(AND(ISNUMBER( SnapshotTable[[#This Row],[Long Term Target]]), ISNUMBER(SnapshotTable[[#This Row],[Last Price]])),(SnapshotTable[[#This Row],[Long Term Target]] - SnapshotTable[[#This Row],[Last Price]]) / SnapshotTable[[#This Row],[Last Price]], "")</f>
        <v/>
      </c>
      <c r="AP375" s="5"/>
      <c r="AQ375" s="38"/>
      <c r="AR375" s="5"/>
      <c r="AS375" s="38"/>
      <c r="AT375" s="146"/>
      <c r="AU375" s="187" t="str">
        <f>IF(OR(SnapshotTable[[#This Row],[LP No Fill]]="Y",SnapshotTable[[#This Row],[SP Is Filled]],SnapshotTable[[#This Row],[LC Not Filled]]="Y",SnapshotTable[[#This Row],[SC Is Filled]]),"Y","")</f>
        <v/>
      </c>
      <c r="AV375" s="219"/>
      <c r="AW375" s="225"/>
      <c r="AX375" s="220"/>
      <c r="AY375" s="219" t="str">
        <f>IF(SnapshotTable[[#This Row],[Implied Move]]&gt;0, SnapshotTable[[#This Row],[Last Price]]-SnapshotTable[[#This Row],[Implied Move]],"")</f>
        <v/>
      </c>
      <c r="AZ375" s="219" t="str">
        <f>IF(SnapshotTable[[#This Row],[Implied Move]]&gt;0, SnapshotTable[[#This Row],[Last Price]] + SnapshotTable[[#This Row],[Implied Move]],"")</f>
        <v/>
      </c>
      <c r="BA375" s="331"/>
      <c r="BB375" s="347"/>
      <c r="BC37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5" s="351"/>
      <c r="BE375" s="138"/>
      <c r="BF375" s="166"/>
      <c r="BG375" s="167"/>
      <c r="BH375" s="167"/>
      <c r="BI375" s="221"/>
      <c r="BJ375" s="153">
        <f>IF(SnapshotTable[[#This Row],[LP Qty]] &gt; 0, SnapshotTable[[#This Row],[LP Qty]] * SnapshotTable[[#This Row],[LP Book Price]] * 100,0)</f>
        <v>0</v>
      </c>
      <c r="BK375" s="136">
        <f>IF(SnapshotTable[[#This Row],[LP Premium]] &gt; 0, SnapshotTable[[#This Row],[LP Qty]] * SnapshotTable[[#This Row],[LP Strike Price]] * 100,0)</f>
        <v>0</v>
      </c>
      <c r="BL375" s="154"/>
      <c r="BM375" s="385" t="str">
        <f>IF(SnapshotTable[[#This Row],[LP Premium]] &gt; 0,SnapshotTable[[#This Row],[LP Exp Date]]-MAX(SnapshotTable[[#This Row],[LP Book Date]], SnapshotTable[[#This Row],[LP Fill Date]]),"")</f>
        <v/>
      </c>
      <c r="BN375" s="385" t="str">
        <f>IF(ISNUMBER( SnapshotTable[[#This Row],[LP Term]]), SnapshotTable[[#This Row],[LP Exp Date]] - MockToday,"")</f>
        <v/>
      </c>
      <c r="BO375" s="163" t="str">
        <f>IF(AND(SnapshotTable[[#This Row],[LP Exp Date]]&gt;0, SnapshotTable[[#This Row],[LP Strike Price]]&gt;0,SnapshotTable[[#This Row],[LP Qty]]&gt;0,SnapshotTable[[#This Row],[LP Book Date]]&gt;0,SnapshotTable[[#This Row],[LP Book Price]]&gt;0,SnapshotTable[[#This Row],[LP Fill Date]]=0),"Y","")</f>
        <v/>
      </c>
      <c r="BP375" s="31" t="str">
        <f>IF(AND(SnapshotTable[[#This Row],[LP No Fill]]&lt;&gt;"Y",SnapshotTable[[#This Row],[LP Contract Value]]&gt;0, SnapshotTable[[#This Row],[LP Qty]]&gt;0), SnapshotTable[[#This Row],[LP Contract Value]]*SnapshotTable[[#This Row],[LP Qty]]*100,"")</f>
        <v/>
      </c>
      <c r="BQ375" s="13"/>
      <c r="BR375" s="5" t="str">
        <f>IF(SnapshotTable[[#This Row],[SP Exp Date]]&lt;&gt;"",TRUNC(SnapshotTable[[#This Row],[Last Price]]),"")</f>
        <v/>
      </c>
      <c r="BS375" s="36"/>
      <c r="BT375" s="147"/>
      <c r="BU375" s="13"/>
      <c r="BV375" s="5"/>
      <c r="BW375" s="419" t="b">
        <f>AND(ISNUMBER(SnapshotTable[[#This Row],[SP Exp Date]]), ISNUMBER(SnapshotTable[[#This Row],[SP Strike Price]]), ISNUMBER(SnapshotTable[[#This Row],[SP Qty]]), ISNUMBER(SnapshotTable[[#This Row],[SP Book Date]]), ISNUMBER(SnapshotTable[[#This Row],[SP Book Price]]))</f>
        <v>0</v>
      </c>
      <c r="BX375" s="419" t="b">
        <f>AND(SnapshotTable[[#This Row],[SP Is Booked]], NOT(ISBLANK(SnapshotTable[[#This Row],[SP Fill Date]])))</f>
        <v>0</v>
      </c>
      <c r="BY375" s="33">
        <f>IF(SnapshotTable[[#This Row],[SP Is Booked]], SnapshotTable[[#This Row],[SP Qty]] * SnapshotTable[[#This Row],[SP Book Price]] * 100, 0)</f>
        <v>0</v>
      </c>
      <c r="BZ375" s="369"/>
      <c r="CA375" s="368">
        <f>SnapshotTable[[#This Row],[LP Qty]]</f>
        <v>0</v>
      </c>
      <c r="CB375" s="4" t="str">
        <f>IF(SnapshotTable[[#This Row],[SP Is Booked]], SnapshotTable[[#This Row],[SP Strike Price]] - SnapshotTable[[#This Row],[SP Book Price]], "")</f>
        <v/>
      </c>
      <c r="CC375" s="19" t="str">
        <f>IF(SnapshotTable[[#This Row],[SP Is Booked]],SnapshotTable[[#This Row],[SP Exp Date]]-MAX(SnapshotTable[[#This Row],[SP Book Date]], SnapshotTable[[#This Row],[SP Fill Date]]),"")</f>
        <v/>
      </c>
      <c r="CD375" s="7" t="str">
        <f>IF(SnapshotTable[[#This Row],[SP Is Booked]], SnapshotTable[[#This Row],[SP Book Price]]/SnapshotTable[[#This Row],[SP Strike Price]], "")</f>
        <v/>
      </c>
      <c r="CE375" s="7" t="str">
        <f>IF(ISNUMBER(SnapshotTable[[#This Row],[SP ROO Term]]),SnapshotTable[[#This Row],[SP ROO Term]]*(365/SnapshotTable[[#This Row],[SP Term]]),"")</f>
        <v/>
      </c>
      <c r="CF375" s="236">
        <f>SnapshotTable[[#This Row],[LP Strike Price]] * SnapshotTable[[#This Row],[LP Qty]] * 100</f>
        <v>0</v>
      </c>
      <c r="CG375" s="31" t="e">
        <f>IF(ISNUMBER(SnapshotTable[[#This Row],[SP Premium]]), (SnapshotTable[[#This Row],[SP Qty]] * SnapshotTable[[#This Row],[SP Strike Price]]* 100) - SnapshotTable[[#This Row],[LP Protection]], 0)</f>
        <v>#VALUE!</v>
      </c>
      <c r="CH375" s="7" t="str">
        <f>IF(ISNUMBER(SnapshotTable[[#This Row],[SP Break Even]]),-1 * (SnapshotTable[[#This Row],[SP Break Even]] - SnapshotTable[[#This Row],[Last Price]]) / SnapshotTable[[#This Row],[Last Price]], "")</f>
        <v/>
      </c>
      <c r="CI375" s="31">
        <f>IF(AND(ISNUMBER((SnapshotTable[[#This Row],[SP Potential Spend]])), SnapshotTable[[#This Row],[SP Strike Price]] &gt; SnapshotTable[[#This Row],[Last Price]], SnapshotTable[[#This Row],[SP Is Filled]]), SnapshotTable[[#This Row],[SP Potential Spend]] -  SnapshotTable[[#This Row],[LP Max Value]], 0)</f>
        <v>0</v>
      </c>
      <c r="CJ375" s="244"/>
      <c r="CK375" s="31" t="str">
        <f>IF(ISNUMBER(SnapshotTable[[#This Row],[SP Potential Spend]]),IF(ISNUMBER(SnapshotTable[[#This Row],[SP POW]]), SnapshotTable[[#This Row],[SP POW]] * SnapshotTable[[#This Row],[SP Potential Spend]], SnapshotTable[[#This Row],[SP Potential Spend]]), "")</f>
        <v/>
      </c>
      <c r="CL375" s="164" t="e">
        <f>IF(NOT(SnapshotTable[[#This Row],[SP Is Filled]]),(SnapshotTable[[#This Row],[SP Qty]] * SnapshotTable[[#This Row],[SP Strike Price]] * 100) - SnapshotTable[[#This Row],[LP Max Value]],"")</f>
        <v>#VALUE!</v>
      </c>
      <c r="CM375" s="31" t="str">
        <f>IF(SnapshotTable[[#This Row],[SP Actual Spend]]&lt;&gt;0, ((SnapshotTable[[#This Row],[SP Strike Price]]-SnapshotTable[[#This Row],[Last Price]]) *(SnapshotTable[[#This Row],[SP Qty]]*100) - SnapshotTable[[#This Row],[SP Premium]]) * - 1, "")</f>
        <v/>
      </c>
      <c r="CN375" s="154"/>
      <c r="CO375" s="369"/>
      <c r="CP375" s="4" t="str">
        <f>IF(SnapshotTable[[#This Row],[SP Is Filled]], btc_max_buyback_amount(SnapshotTable[[#This Row],[SP Fill Date]],SnapshotTable[[#This Row],[SP Exp Date]], SnapshotTable[[#This Row],[SP Book Price]]),"")</f>
        <v/>
      </c>
      <c r="CQ375" s="78"/>
      <c r="CR37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5" s="155" t="str">
        <f>IF(SnapshotTable[[#This Row],[SP Is Filled]], btc_next_cutoff_date(SnapshotTable[[#This Row],[SP Fill Date]],SnapshotTable[[#This Row],[SP Exp Date]]),"")</f>
        <v/>
      </c>
      <c r="CT375" s="235" t="str" cm="1">
        <f t="array" ref="CT375">IF(SnapshotTable[[#This Row],[SP Is Filled]], btc_should_buy_back(SnapshotTable[[#This Row],[SP Fill Date]], SnapshotTable[[#This Row],[SP Exp Date]], SnapshotTable[[#This Row],[SP Book Price]], SnapshotTable[[#This Row],[SP Current Ask]], MockToday, SnapshotTable[[#This Row],[SP Buyback Override]]),"")</f>
        <v/>
      </c>
      <c r="CU375" s="143"/>
      <c r="CV375" s="235"/>
      <c r="CW375" s="378" t="str">
        <f>IF(ISNUMBER( SnapshotTable[[#This Row],[SP Term]]), SnapshotTable[[#This Row],[SP Exp Date]] - MockToday,"")</f>
        <v/>
      </c>
      <c r="CX375" s="31" t="str">
        <f>IF(SnapshotTable[[#This Row],[SP Is Filled]],SnapshotTable[[#This Row],[SP Buyback Price to Use]] * 100 * SnapshotTable[[#This Row],[SP Qty]], "")</f>
        <v/>
      </c>
      <c r="CY375" s="4" t="str">
        <f>IF(ISNUMBER(SnapshotTable[[#This Row],[SP Strike Price]]), SnapshotTable[[#This Row],[SP Strike Price]] * (1 - SP_MaxLoss_StrikePct), "")</f>
        <v/>
      </c>
      <c r="CZ375" s="31" t="str">
        <f>IF(ISNUMBER(SnapshotTable[[#This Row],[SP Strike  Stop Per Share]]),SnapshotTable[[#This Row],[SP Premium]] - ((SnapshotTable[[#This Row],[SP Strike Price]]-SnapshotTable[[#This Row],[SP Strike  Stop Per Share]]) *(SnapshotTable[[#This Row],[SP Qty]] * 100)),"")</f>
        <v/>
      </c>
      <c r="DA375" s="4" t="str">
        <f>IF(AND(ISNUMBER(SnapshotTable[[#This Row],[SP Premium]]),SnapshotTable[[#This Row],[SP Premium]]&gt;0), SnapshotTable[[#This Row],[SP Book Price]] * (1 + SP_MaxLoss_OptionPct), "")</f>
        <v/>
      </c>
      <c r="DB375" s="31" t="str">
        <f>IF(ISNUMBER(SnapshotTable[[#This Row],[SP Option  Stop Contract]]),(SnapshotTable[[#This Row],[SP Option  Stop Contract]] *(SnapshotTable[[#This Row],[SP Qty]] * 100) - SnapshotTable[[#This Row],[SP Premium]]),"")</f>
        <v/>
      </c>
      <c r="DC375" s="4"/>
      <c r="DD375" s="4"/>
      <c r="DE375" s="4" t="str">
        <f>IF(AND(SnapshotTable[[#This Row],[SP Qty]]&gt;0, SnapshotTable[[#This Row],[SP Stop To Use]]&gt;0),SnapshotTable[[#This Row],[SP Premium]] - ( SnapshotTable[[#This Row],[SP Qty]] * SnapshotTable[[#This Row],[SP Stop To Use]] * 100), "")</f>
        <v/>
      </c>
      <c r="DF375" s="31" t="str">
        <f>IF(AND(SnapshotTable[[#This Row],[SP Qty]]&gt;0,SnapshotTable[[#This Row],[SP Current Ask]]&gt;0), SnapshotTable[[#This Row],[SP Qty]] * SnapshotTable[[#This Row],[SP Current Ask]] * -100, "")</f>
        <v/>
      </c>
      <c r="DG375" s="31" t="str">
        <f>IF(ISNUMBER((SnapshotTable[[#This Row],[SP Total Value]])), SnapshotTable[[#This Row],[SP Premium]] + SnapshotTable[[#This Row],[SP Total Value]], "")</f>
        <v/>
      </c>
      <c r="DH375" s="294" t="str">
        <f>IF(ISNUMBER((SnapshotTable[[#This Row],[SP Total Value]])), SnapshotTable[[#This Row],[SP Gain Loss]] / SnapshotTable[[#This Row],[SP Premium]], "")</f>
        <v/>
      </c>
      <c r="DI375" s="406"/>
      <c r="DJ375" s="138"/>
      <c r="DK375" s="148"/>
      <c r="DL375" s="147"/>
      <c r="DM375" s="147"/>
      <c r="DO375" s="31">
        <f>IF(SnapshotTable[[#This Row],[LC Symbol Count]]=1, SnapshotTable[[#This Row],[LC Qty]] * SnapshotTable[[#This Row],[LC Book Price]] * 100, 0)</f>
        <v>0</v>
      </c>
      <c r="DP375" s="163" t="str">
        <f>IF(AND(SnapshotTable[[#This Row],[LC Exp Date]]&gt;0, SnapshotTable[[#This Row],[LC Strike Price]]&gt;0,SnapshotTable[[#This Row],[LC Qty]]&gt;0,SnapshotTable[[#This Row],[LC Book Date]]&gt;0,SnapshotTable[[#This Row],[LC Book Price]]&gt;0,SnapshotTable[[#This Row],[LC Fill Date]]=0),"Y","")</f>
        <v/>
      </c>
      <c r="DQ375" s="386" t="str">
        <f>IF(SnapshotTable[[#This Row],[LC Premium]] &gt; 0,SnapshotTable[[#This Row],[LC Exp Date]]-MAX(SnapshotTable[[#This Row],[LC Book Date]], SnapshotTable[[#This Row],[LC Fill Date]]),"")</f>
        <v/>
      </c>
      <c r="DR375" s="386" t="str">
        <f>IF(ISNUMBER(SnapshotTable[[#This Row],[LC Term]]), SnapshotTable[[#This Row],[LC Exp Date]] - MockToday, "")</f>
        <v/>
      </c>
      <c r="DS375" s="234" t="str">
        <f>IF(SnapshotTable[[#This Row],[LC Premium]]&gt;0,SnapshotTable[[#This Row],[LC Strike Price]] + SnapshotTable[[#This Row],[LC Book Price]],"")</f>
        <v/>
      </c>
      <c r="DU375" s="9" t="str">
        <f>IF(AND(SnapshotTable[[#This Row],[LC Symbol Count]]&gt;0, SnapshotTable[[#This Row],[LC Contract Value]]&gt;0), SnapshotTable[[#This Row],[LC Contract Value]] * SnapshotTable[[#This Row],[LC Qty]] * 100, "")</f>
        <v/>
      </c>
      <c r="DV375" s="9" t="str">
        <f>IF(AND(ISNUMBER(SnapshotTable[[#This Row],[LC Total Value]]), SnapshotTable[[#This Row],[LC Not Filled]]&lt;&gt;"Y"), SnapshotTable[[#This Row],[LC Total Value]]-SnapshotTable[[#This Row],[LC Premium]],"")</f>
        <v/>
      </c>
      <c r="DW375" s="240" t="str">
        <f>IF(ISNUMBER(SnapshotTable[[#This Row],[LC Actual Gain Loss]]), SnapshotTable[[#This Row],[LC Actual Gain Loss]] / SnapshotTable[[#This Row],[LC Premium]],"")</f>
        <v/>
      </c>
      <c r="DX375" s="284" t="str">
        <f>IF(ISNUMBER(SnapshotTable[[#This Row],[LC Book Price]]),SnapshotTable[[#This Row],[LC Book Price]] * 1.5,"")</f>
        <v/>
      </c>
      <c r="DY375" s="265" t="str">
        <f>IF(SnapshotTable[[#This Row],[LC Premium]]&gt;0, SnapshotTable[[#This Row],[LC Next Target]] * SnapshotTable[[#This Row],[LC Qty]] * 100,"")</f>
        <v/>
      </c>
      <c r="DZ375" s="265" t="str">
        <f>IF(ISNUMBER(SnapshotTable[[#This Row],[LC Target Gross]]), SnapshotTable[[#This Row],[LC Target Gross]] - SnapshotTable[[#This Row],[LC Premium]], "")</f>
        <v/>
      </c>
      <c r="EA375" s="305" t="str">
        <f>IF(ISNUMBER(SnapshotTable[[#This Row],[LC Target Gain Loss]]), SnapshotTable[[#This Row],[LC Target Gain Loss]]/SnapshotTable[[#This Row],[LC Premium]], "")</f>
        <v/>
      </c>
      <c r="EB375" s="262"/>
      <c r="EC375" s="283" t="str">
        <f>IF(SnapshotTable[[#This Row],[LC Premium]]&gt;0, SnapshotTable[[#This Row],[LC Book Price]] * (1 - LC_StopLoss_Pct),"")</f>
        <v/>
      </c>
      <c r="ED375" s="284"/>
      <c r="EE375" s="283" t="str">
        <f>IF(ISNUMBER(SnapshotTable[[#This Row],[LC Contract Value]]),IF(ISNUMBER(SnapshotTable[[#This Row],[LC Stop Loss Override]]), SnapshotTable[[#This Row],[LC Stop Loss Override]],SnapshotTable[[#This Row],[LC Stop Loss Calc Target]]),"")</f>
        <v/>
      </c>
      <c r="EF375" s="31" t="str">
        <f>IF(ISNUMBER(SnapshotTable[[#This Row],[LC Stop  To Use]]), (SnapshotTable[[#This Row],[LC Stop  To Use]] * SnapshotTable[[#This Row],[LC Qty]] * 100),"")</f>
        <v/>
      </c>
      <c r="EG375" s="9" t="str">
        <f>IF(ISNUMBER(SnapshotTable[[#This Row],[LC Total Value]]),SnapshotTable[[#This Row],[LC Stop Loss Amount]] - SnapshotTable[[#This Row],[LC Premium]],"")</f>
        <v/>
      </c>
      <c r="EH375" s="9">
        <f>IF(ISNUMBER(SnapshotTable[[#This Row],[LC Premium]]), SnapshotTable[[#This Row],[LC Qty]] * 100 * SnapshotTable[[#This Row],[LC Strike Price]], "")</f>
        <v>0</v>
      </c>
      <c r="EI375" s="240" t="str">
        <f>IF(AND(ISNUMBER(SnapshotTable[[#This Row],[LC Total Value]]),SnapshotTable[[#This Row],[LC Total Value]]&gt;0),SnapshotTable[[#This Row],[LC Stop Gain Loss]]  / SnapshotTable[[#This Row],[LC Premium]],"")</f>
        <v/>
      </c>
      <c r="EJ375" s="35">
        <f>IF(ISNUMBER(SnapshotTable[[#This Row],[Equity Shares]]),TRUNC(SnapshotTable[[#This Row],[Equity Shares]] / 100),0) + SnapshotTable[[#This Row],[LC Qty]]</f>
        <v>0</v>
      </c>
      <c r="EK375" s="147"/>
      <c r="EL375" s="138" t="str">
        <f>IF(SnapshotTable[[#This Row],[SC Exp Date]]&lt;&gt;"",TRUNC(SnapshotTable[[#This Row],[Last Price]]),"")</f>
        <v/>
      </c>
      <c r="EM375" s="148"/>
      <c r="EN375" s="147"/>
      <c r="EO375" s="147"/>
      <c r="EP375" s="138"/>
      <c r="EQ375" s="419" t="b">
        <f>AND(ISNUMBER(SnapshotTable[[#This Row],[SC Exp Date]]), ISNUMBER(SnapshotTable[[#This Row],[SC Strike Price]]), ISNUMBER(SnapshotTable[[#This Row],[SC Qty]]), ISNUMBER(SnapshotTable[[#This Row],[SC Book Date]]), ISNUMBER(SnapshotTable[[#This Row],[SC Book Price]]))</f>
        <v>0</v>
      </c>
      <c r="ER375" s="419" t="b">
        <f>AND(SnapshotTable[[#This Row],[SC Is Booked]], NOT(ISBLANK(SnapshotTable[[#This Row],[SC Fill Date]])))</f>
        <v>0</v>
      </c>
      <c r="ES375" s="370"/>
      <c r="ET375" s="34" t="str">
        <f>IF(AND(ISNUMBER(SnapshotTable[[#This Row],[SC Exp Date]]), ISNUMBER(SnapshotTable[[#This Row],[SC Book Date]])), SnapshotTable[[#This Row],[SC Exp Date]] - MAX(SnapshotTable[[#This Row],[SC Book Date]], SnapshotTable[[#This Row],[SC Fill Date]]) + 1, "")</f>
        <v/>
      </c>
      <c r="EU375" s="34" t="str">
        <f>IF(ISNUMBER(SnapshotTable[[#This Row],[SC Term]]), SnapshotTable[[#This Row],[SC Exp Date]]- MockToday, "")</f>
        <v/>
      </c>
      <c r="EV375" s="31">
        <f>IF(SnapshotTable[[#This Row],[SC Is Booked]], SnapshotTable[[#This Row],[SC Qty]] * SnapshotTable[[#This Row],[SC Book Price]] * 100, 0)</f>
        <v>0</v>
      </c>
      <c r="EW375" s="4" t="str">
        <f>IF(AND(ISNUMBER(SnapshotTable[[#This Row],[Last Price]]), ISNUMBER( SnapshotTable[[#This Row],[SC Book Price]])), SnapshotTable[[#This Row],[Last Price]] - SnapshotTable[[#This Row],[SC Book Price]],"")</f>
        <v/>
      </c>
      <c r="EX375" s="234" t="str">
        <f>IF(SnapshotTable[[#This Row],[SC Is Booked]],IF(SnapshotTable[[#This Row],[SC Intrinsic Value]] &gt; 0, SnapshotTable[[#This Row],[SC Strike Price]], SnapshotTable[[#This Row],[Last Price]]), "")</f>
        <v/>
      </c>
      <c r="EY375" s="4">
        <f>IF(SnapshotTable[[#This Row],[SC Is Booked]], (MinimumPremiumRequired * SnapshotTable[[#This Row],[SC Basis]] * SnapshotTable[[#This Row],[SC Term]]), 0)</f>
        <v>0</v>
      </c>
      <c r="EZ375" s="283"/>
      <c r="FA375" s="218"/>
      <c r="FB375" s="370"/>
      <c r="FC375" s="4">
        <f>IF(SnapshotTable[[#This Row],[SC Is Filled]], btc_max_buyback_amount(SnapshotTable[[#This Row],[SC Fill Date]],SnapshotTable[[#This Row],[SC Exp Date]], SnapshotTable[[#This Row],[SC Book Price]]),0)</f>
        <v>0</v>
      </c>
      <c r="FD375" s="5"/>
      <c r="FE375" s="144" t="str">
        <f>IF(SnapshotTable[[#This Row],[SC Is Filled]], btc_next_cutoff_date(SnapshotTable[[#This Row],[SC Fill Date]],SnapshotTable[[#This Row],[SC Exp Date]]),"")</f>
        <v/>
      </c>
      <c r="FF375" s="4" t="str" cm="1">
        <f t="array" ref="FF375">IF(SnapshotTable[[#This Row],[SC Is Filled]], btc_should_buy_back(SnapshotTable[[#This Row],[SC Fill Date]], SnapshotTable[[#This Row],[SC Exp Date]], SnapshotTable[[#This Row],[SC Book Price]], SnapshotTable[[#This Row],[SC Current Ask]], MockToday, SnapshotTable[[#This Row],[SC Buyback Override]]),"")</f>
        <v/>
      </c>
      <c r="FG375" s="4">
        <f>IF(SnapshotTable[[#This Row],[SC Is Filled]], MAX(0,SnapshotTable[[#This Row],[Last Price]]  - SnapshotTable[[#This Row],[SC Strike Price]]), 0)</f>
        <v>0</v>
      </c>
      <c r="FH375" s="382">
        <f>IF(SnapshotTable[[#This Row],[SC Is Filled]], IF(ISNUMBER(SnapshotTable[[#This Row],[SC Current Ask]]), SnapshotTable[[#This Row],[SC Current Ask]], SnapshotTable[[#This Row],[SC Book Price]]) - SnapshotTable[[#This Row],[SC Intrinsic Value]], 0)</f>
        <v>0</v>
      </c>
      <c r="FI375" s="143"/>
      <c r="FJ375" s="32" t="str">
        <f>IF(SnapshotTable[[#This Row],[SC Is Filled]],100 * SnapshotTable[[#This Row],[SC Qty]] * IF(ISNUMBER(SnapshotTable[[#This Row],[SC Buyback Override]]), SnapshotTable[[#This Row],[SC Buyback Override]], SnapshotTable[[#This Row],[SC Current Ask]]), "")</f>
        <v/>
      </c>
      <c r="FK375" s="250" t="str">
        <f>IF(SnapshotTable[[#This Row],[SC Time Val]]&gt;0, SnapshotTable[[#This Row],[SC Time Val]] / SnapshotTable[[#This Row],[Last Price]],"")</f>
        <v/>
      </c>
      <c r="FL375" s="302" t="str">
        <f>IF(SnapshotTable[[#This Row],[SC Is Booked]], ((SnapshotTable[[#This Row],[Last Price]] -SnapshotTable[[#This Row],[SC Strike Price]]) / SnapshotTable[[#This Row],[Last Price]]) * -1, "")</f>
        <v/>
      </c>
      <c r="FM375" s="157" t="str">
        <f>IF(SnapshotTable[[#This Row],[SC Is Booked]],  (SnapshotTable[[#This Row],[SC Qty]] * 100 * SnapshotTable[[#This Row],[SC Strike Price]]) - SnapshotTable[[#This Row],[SC Current Ask]], "")</f>
        <v/>
      </c>
      <c r="FN375"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5" s="157" t="str">
        <f>IF(AND(ISNUMBER(SnapshotTable[[#This Row],[SC Exercise Gross]]), ISNUMBER(SnapshotTable[[#This Row],[Equity Basis Per Share]] )), SnapshotTable[[#This Row],[SC Exercise Gross]] - SnapshotTable[[#This Row],[Equity Basis Total]] +  SnapshotTable[[#This Row],[SC Premium]], "")</f>
        <v/>
      </c>
      <c r="FP375" s="5" t="str">
        <f>IF(ISNUMBER(SnapshotTable[[#This Row],[SC Exercise Gross]]), (SnapshotTable[[#This Row],[SC Exercise Gross]]) / (SnapshotTable[[#This Row],[SC Qty]] * 100), "")</f>
        <v/>
      </c>
      <c r="FQ375" s="27" t="str">
        <f>IF(SnapshotTable[[#This Row],[SC Is Booked]],SnapshotTable[[#This Row],[SC Time Val]] /SnapshotTable[[#This Row],[SC Basis]], "")</f>
        <v/>
      </c>
      <c r="FR375" s="27" t="str" cm="1">
        <f t="array" ref="FR375">IF(AND(ISNUMBER(SnapshotTable[[#This Row],[SC Term]]),ISNUMBER(SnapshotTable[[#This Row],[SC Simple ROO]])), EllmanAnnualize(SnapshotTable[[#This Row],[SC DTE]], SnapshotTable[[#This Row],[SC Simple ROO]] ),"")</f>
        <v/>
      </c>
      <c r="FS375" s="4" t="e">
        <f>IF(SnapshotTable[[#This Row],[SC Strike Price]] &gt; SnapshotTable[[#This Row],[Last Price]], SnapshotTable[[#This Row],[SC Strike Price]] - SnapshotTable[[#This Row],[Last Price]],0)</f>
        <v>#VALUE!</v>
      </c>
      <c r="FT375" s="27" t="e">
        <f>IF(AND(ISNUMBER(SnapshotTable[[#This Row],[SC Upside Potential]]), SnapshotTable[[#This Row],[SC Upside Potential]] &gt; 0),(SnapshotTable[[#This Row],[SC Upside Potential]]/ SnapshotTable[[#This Row],[ACB]]),"")</f>
        <v>#VALUE!</v>
      </c>
      <c r="FU375" s="333" t="str">
        <f>IF(SnapshotTable[[#This Row],[SC Intrinsic Value]] &gt; 0,SnapshotTable[[#This Row],[SC Intrinsic Value]],"")</f>
        <v/>
      </c>
      <c r="FV375" s="27" t="str">
        <f>IF(AND( ISNUMBER( SnapshotTable[[#This Row],[ACB]]),ISNUMBER(SnapshotTable[[#This Row],[SC Downside Protect]])),SnapshotTable[[#This Row],[SC Downside Protect]] / SnapshotTable[[#This Row],[ACB]],"")</f>
        <v/>
      </c>
      <c r="FW375" s="236" t="str">
        <f>IF(AND(ISNUMBER(SnapshotTable[[#This Row],[SC Simple ROO]]),SnapshotTable[[#This Row],[SC Simple ROO]] &gt; 0), SnapshotTable[[#This Row],[SC Premium]] + (SnapshotTable[[#This Row],[SC Qty]] * SnapshotTable[[#This Row],[SC Upside Potential]]), "")</f>
        <v/>
      </c>
      <c r="FX375" s="302" t="str" cm="1">
        <f t="array" ref="FX375">IF(ISNUMBER(SnapshotTable[[#This Row],[SC Max Dollars]]), annualize(SnapshotTable[[#This Row],[SC Term]],(SnapshotTable[[#This Row],[SC Max Dollars]]/SnapshotTable[[#This Row],[SC Basis]])),"")</f>
        <v/>
      </c>
      <c r="FY375" s="236" t="str">
        <f>IF(AND(SnapshotTable[[#This Row],[SC Qty]]&gt;0,SnapshotTable[[#This Row],[SC Current Ask]]&gt;0), SnapshotTable[[#This Row],[SC Qty]] * SnapshotTable[[#This Row],[SC Current Ask]] * -100, "")</f>
        <v/>
      </c>
      <c r="FZ375" s="235" t="str">
        <f>IF(ISNUMBER((SnapshotTable[[#This Row],[SC Current Value]])), SnapshotTable[[#This Row],[SC Premium]] + SnapshotTable[[#This Row],[SC Current Value]], "")</f>
        <v/>
      </c>
      <c r="GA375" s="294" t="str">
        <f>IFERROR( IF(ISNUMBER((SnapshotTable[[#This Row],[SC Current Value]])), SnapshotTable[[#This Row],[SC Gain Loss]] / SnapshotTable[[#This Row],[SC Premium]], ""), "")</f>
        <v/>
      </c>
      <c r="GB375" s="42">
        <f>SnapshotTable[[#This Row],[Equity Shares]] * SaleSharesToConsiderPercentage</f>
        <v>0</v>
      </c>
      <c r="GC375" s="40">
        <f>SnapshotTable[[#This Row],[Long Term Target]] * SellingPriceToConsiderBasedOnTargetPercentage</f>
        <v>0</v>
      </c>
      <c r="GD375" s="40">
        <f>SnapshotTable[[#This Row],[Last Price]] * (1+ SellingPriceToConsiderBasedOnTargetPercentage)</f>
        <v>310.88850000000002</v>
      </c>
      <c r="GE375" s="41"/>
      <c r="GF375" s="40"/>
      <c r="GG375" s="31">
        <f>SnapshotTable[[#This Row],[Booked Sale Shares]] * SnapshotTable[[#This Row],[Booked Sale Price]]</f>
        <v>0</v>
      </c>
      <c r="GH375" s="31" t="str">
        <f>IF(SnapshotTable[[#This Row],[Equity Basis Total]] &gt; 0, SnapshotTable[[#This Row],[Equity Basis Per Share]] * SnapshotTable[[#This Row],[Booked Sale Shares]], "")</f>
        <v/>
      </c>
      <c r="GI375" s="31">
        <f>IF(SnapshotTable[[#This Row],[Sale Proceeds]]&gt;0, SnapshotTable[[#This Row],[Sale Proceeds]] - SnapshotTable[[#This Row],[Sale Basis]], 0)</f>
        <v>0</v>
      </c>
      <c r="GJ375" s="158" t="str">
        <f>IF(SnapshotTable[[#This Row],[Sale G/L]]&gt;0, SnapshotTable[[#This Row],[Sale G/L]] / SnapshotTable[[#This Row],[Sale Basis]], IF(ISNUMBER(SnapshotTable[[#This Row],[SC Exercise P&amp;L (TAX)]]), SnapshotTable[[#This Row],[SC Exercise P&amp;L (TAX)]] / SnapshotTable[[#This Row],[SC Basis]], ""))</f>
        <v/>
      </c>
      <c r="GK375" s="27"/>
      <c r="GL375" s="159" t="str">
        <f>IF(AND(SnapshotTable[[#This Row],[LP Exp Date]]&gt;0,SnapshotTable[[#This Row],[LP Strike Price]]&gt;0), [1]!ToOptionSymbol(SnapshotTable[[#This Row],[Symbol]], SnapshotTable[[#This Row],[LP Strike Price]],SnapshotTable[[#This Row],[LP Exp Date]],1), "")</f>
        <v/>
      </c>
      <c r="GM375" s="30" t="str">
        <f>IF(LEN(SnapshotTable[[#This Row],[LP Symbol]])&gt;0, 1, "")</f>
        <v/>
      </c>
      <c r="GN375" s="43" t="str">
        <f>IF(AND(SnapshotTable[[#This Row],[SP Exp Date]]&gt;0,SnapshotTable[[#This Row],[SP Strike Price]]&gt;0), [1]!ToOptionSymbol(SnapshotTable[[#This Row],[Symbol]], SnapshotTable[[#This Row],[SP Strike Price]],SnapshotTable[[#This Row],[SP Exp Date]],1), "")</f>
        <v/>
      </c>
      <c r="GO375" s="30" t="str">
        <f>IF(LEN(SnapshotTable[[#This Row],[SP Symbol]])&gt;0, 1, "")</f>
        <v/>
      </c>
      <c r="GP375" s="159" t="str">
        <f>IF(AND(SnapshotTable[[#This Row],[LC Exp Date]]&gt;0,SnapshotTable[[#This Row],[LC Strike Price]]&gt;0), [1]!ToOptionSymbol(SnapshotTable[[#This Row],[Symbol]], SnapshotTable[[#This Row],[LC Strike Price]],SnapshotTable[[#This Row],[LC Exp Date]],0), "")</f>
        <v/>
      </c>
      <c r="GQ375" s="160" t="str">
        <f>IF(LEN(SnapshotTable[[#This Row],[LC Symbol]])&gt;0, 1, "")</f>
        <v/>
      </c>
      <c r="GR375" s="159" t="str">
        <f>IF(AND(SnapshotTable[[#This Row],[SC Exp Date]]&gt;0,SnapshotTable[[#This Row],[SC Strike Price]]&gt;0), [1]!ToOptionSymbol(SnapshotTable[[#This Row],[Symbol]], SnapshotTable[[#This Row],[SC Strike Price]],SnapshotTable[[#This Row],[SC Exp Date]],0), "")</f>
        <v/>
      </c>
      <c r="GS375" s="160" t="str">
        <f>IF(LEN(SnapshotTable[[#This Row],[SC Symbol]])&gt;0, 1, "")</f>
        <v/>
      </c>
      <c r="GT375" s="161" t="str">
        <f>IF(COUNT(SnapshotTable[[#This Row],[LP Symbol Count]],SnapshotTable[[#This Row],[SP Symbol Count]],SnapshotTable[[#This Row],[LC Symbol Count]],SnapshotTable[[#This Row],[SC Symbol Count]])&gt;0, "Y", "")</f>
        <v/>
      </c>
      <c r="GU37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5" s="231" t="e">
        <f>MAX(SnapshotTable[[#This Row],[Equity Basis Total]],SnapshotTable[[#This Row],[Equity Value]]) + (SnapshotTable[[#This Row],[SP Potential Spend]]- SnapshotTable[[#This Row],[SP Premium]] + SnapshotTable[[#This Row],[LP Premium]])+ (SnapshotTable[[#This Row],[LC Premium]] - SnapshotTable[[#This Row],[SC Premium]])</f>
        <v>#VALUE!</v>
      </c>
      <c r="GW375" s="139" t="e">
        <f>IF(AND(SnapshotTable[[#This Row],[Exposure]] &lt;&gt; 0),SnapshotTable[[#This Row],[Exposure]] / SnapshotTable[[#Totals],[Exposure]], "")</f>
        <v>#VALUE!</v>
      </c>
      <c r="GX375" s="2"/>
      <c r="GY375" s="387"/>
      <c r="GZ375"/>
      <c r="HA375" s="2"/>
      <c r="HB375" s="2"/>
      <c r="HK375" s="1"/>
      <c r="HL375" s="1"/>
      <c r="HM375" s="1"/>
      <c r="HN375" s="1"/>
      <c r="HO375" s="1"/>
      <c r="HP375" s="1"/>
    </row>
    <row r="376" spans="2:224" ht="12.75" hidden="1" customHeight="1" x14ac:dyDescent="0.25">
      <c r="B376" s="12" t="s">
        <v>115</v>
      </c>
      <c r="C376" s="422">
        <v>154.44999999999999</v>
      </c>
      <c r="D376" s="208"/>
      <c r="E376" s="39">
        <f>SnapshotTable[[#This Row],[Last Price]]*(1 -CrashDiscount)</f>
        <v>131.2825</v>
      </c>
      <c r="F376" s="26" t="s">
        <v>114</v>
      </c>
      <c r="G376" s="26" t="s">
        <v>41</v>
      </c>
      <c r="H376" s="149"/>
      <c r="I376" s="194">
        <v>44862.270833333336</v>
      </c>
      <c r="J376" s="195">
        <v>44862.270833333336</v>
      </c>
      <c r="K376" s="196" t="s">
        <v>3</v>
      </c>
      <c r="L376" s="326"/>
      <c r="M376" s="140"/>
      <c r="N376" s="140"/>
      <c r="O376" s="140"/>
      <c r="P376" s="22"/>
      <c r="Q376" s="25"/>
      <c r="R376" s="4" t="str">
        <f>IF(SnapshotTable[[#This Row],[Equity Basis Total]] &gt; 0, SnapshotTable[[#This Row],[Equity Basis Total]] / SnapshotTable[[#This Row],[Equity Shares]], "")</f>
        <v/>
      </c>
      <c r="S376" s="269">
        <f>SnapshotTable[[#This Row],[Last Price]] * SnapshotTable[[#This Row],[Equity Shares]]</f>
        <v>0</v>
      </c>
      <c r="T376" s="269">
        <f>SnapshotTable[[#This Row],[Equity Value]] - SnapshotTable[[#This Row],[Equity Basis Total]]</f>
        <v>0</v>
      </c>
      <c r="U376" s="270" t="str">
        <f>IF(SnapshotTable[[#This Row],[Equity Basis Total]] &gt; 0, SnapshotTable[[#This Row],[Equity G/L]] / SnapshotTable[[#This Row],[Equity Basis Total]], "")</f>
        <v/>
      </c>
      <c r="V376" s="268"/>
      <c r="W376" s="268"/>
      <c r="X376" s="4" t="str">
        <f>IF(AND(ISNUMBER(SnapshotTable[[#This Row],[Equity Basis Per Share]]),ISNUMBER(SnapshotTable[[#This Row],[Equity Target]])),SnapshotTable[[#This Row],[Equity Target]]-SnapshotTable[[#This Row],[Equity Basis Per Share]],"")</f>
        <v/>
      </c>
      <c r="Y376" s="4" t="str">
        <f>IF(AND(ISNUMBER(SnapshotTable[[#This Row],[Equity Basis Per Share]]),ISNUMBER(SnapshotTable[[#This Row],[Equity Stop Loss]])),SnapshotTable[[#This Row],[Equity Stop Loss]]-SnapshotTable[[#This Row],[Equity Basis Per Share]],"")</f>
        <v/>
      </c>
      <c r="Z376" s="275" t="str">
        <f>IFERROR( TEXT(SnapshotTable[[#This Row],[Equity Max Gain Per Share]] /ABS( SnapshotTable[[#This Row],[Equity Max Loss Per Share]]),"0.0 " ) &amp; " : 1", "")</f>
        <v/>
      </c>
      <c r="AA376" s="31" t="str">
        <f>IF(ISNUMBER(SnapshotTable[[#This Row],[Equity Max Gain Per Share]]),SnapshotTable[[#This Row],[Equity Max Gain Per Share]] * SnapshotTable[[#This Row],[Equity Shares]],"")</f>
        <v/>
      </c>
      <c r="AB376" s="31" t="str">
        <f>IF(ISNUMBER(SnapshotTable[[#This Row],[Equity Max Loss Per Share]]),SnapshotTable[[#This Row],[Equity Max Loss Per Share]] * SnapshotTable[[#This Row],[Equity Shares]],"")</f>
        <v/>
      </c>
      <c r="AC376" s="150">
        <v>3</v>
      </c>
      <c r="AD376" s="151">
        <v>42804</v>
      </c>
      <c r="AE376" s="31">
        <f>(SnapshotTable[[#This Row],[Annual Dividend Per Share]] / 4) * SnapshotTable[[#This Row],[Equity Shares]]</f>
        <v>0</v>
      </c>
      <c r="AF376" s="31">
        <f>SnapshotTable[[#This Row],[Quarterly Div $]] * 4</f>
        <v>0</v>
      </c>
      <c r="AG376" s="7">
        <f>IF(SnapshotTable[[#This Row],[Annual Dividend Per Share]]&gt;0, SnapshotTable[[#This Row],[Annual Dividend Per Share]]  / SnapshotTable[[#This Row],[Last Price]], 0)</f>
        <v>1.9423761735189383E-2</v>
      </c>
      <c r="AH376" s="151">
        <v>42859</v>
      </c>
      <c r="AI376" s="5"/>
      <c r="AJ376" s="138">
        <v>43.77</v>
      </c>
      <c r="AK376" s="152" t="str">
        <f>IF(ISNUMBER( SnapshotTable[[#This Row],[EBF Target]]),(SnapshotTable[[#This Row],[EBF Target]] - SnapshotTable[[#This Row],[Last Price]]) / SnapshotTable[[#This Row],[Last Price]], "")</f>
        <v/>
      </c>
      <c r="AL376" s="152" t="str">
        <f>IF(AND(SnapshotTable[[#This Row],[Equity Basis Total]] &gt; 0,ISNUMBER( SnapshotTable[[#This Row],[Long Term Target]])), SnapshotTable[[#This Row],[From Basis $]] / SnapshotTable[[#This Row],[Equity Basis Total]], "")</f>
        <v/>
      </c>
      <c r="AM376" s="9">
        <f>IF( AND(SnapshotTable[[#This Row],[Equity Shares]] &gt;0,ISNUMBER( SnapshotTable[[#This Row],[Long Term Target]])),(SnapshotTable[[#This Row],[Equity Shares]] * SnapshotTable[[#This Row],[Long Term Target]]) - SnapshotTable[[#This Row],[Equity Basis Total]],0)</f>
        <v>0</v>
      </c>
      <c r="AN376" s="9">
        <f>IF( AND(SnapshotTable[[#This Row],[Equity Shares]] &gt;0,ISNUMBER( SnapshotTable[[#This Row],[Long Term Target]])),(SnapshotTable[[#This Row],[Equity Shares]]*SnapshotTable[[#This Row],[Long Term Target]]) - SnapshotTable[[#This Row],[Equity Value]],0)</f>
        <v>0</v>
      </c>
      <c r="AO376" s="152">
        <f>IF(AND(ISNUMBER( SnapshotTable[[#This Row],[Long Term Target]]), ISNUMBER(SnapshotTable[[#This Row],[Last Price]])),(SnapshotTable[[#This Row],[Long Term Target]] - SnapshotTable[[#This Row],[Last Price]]) / SnapshotTable[[#This Row],[Last Price]], "")</f>
        <v>-0.71660731628358687</v>
      </c>
      <c r="AP376" s="5">
        <v>95</v>
      </c>
      <c r="AQ376" s="38" t="s">
        <v>27</v>
      </c>
      <c r="AR376" s="5">
        <v>95</v>
      </c>
      <c r="AS376" s="38" t="s">
        <v>38</v>
      </c>
      <c r="AT376" s="146" t="s">
        <v>542</v>
      </c>
      <c r="AU376" s="187" t="str">
        <f>IF(OR(SnapshotTable[[#This Row],[LP No Fill]]="Y",SnapshotTable[[#This Row],[SP Is Filled]],SnapshotTable[[#This Row],[LC Not Filled]]="Y",SnapshotTable[[#This Row],[SC Is Filled]]),"Y","")</f>
        <v/>
      </c>
      <c r="AV376" s="219"/>
      <c r="AW376" s="225"/>
      <c r="AX376" s="220"/>
      <c r="AY376" s="219" t="str">
        <f>IF(SnapshotTable[[#This Row],[Implied Move]]&gt;0, SnapshotTable[[#This Row],[Last Price]]-SnapshotTable[[#This Row],[Implied Move]],"")</f>
        <v/>
      </c>
      <c r="AZ376" s="219" t="str">
        <f>IF(SnapshotTable[[#This Row],[Implied Move]]&gt;0, SnapshotTable[[#This Row],[Last Price]] + SnapshotTable[[#This Row],[Implied Move]],"")</f>
        <v/>
      </c>
      <c r="BA376" s="331">
        <v>75.77</v>
      </c>
      <c r="BB376" s="347"/>
      <c r="BC37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6" s="351"/>
      <c r="BE376" s="5"/>
      <c r="BF376" s="14"/>
      <c r="BG376" s="13"/>
      <c r="BH376" s="13"/>
      <c r="BI376" s="5"/>
      <c r="BJ376" s="136">
        <f>IF(SnapshotTable[[#This Row],[LP Qty]] &gt; 0, SnapshotTable[[#This Row],[LP Qty]] * SnapshotTable[[#This Row],[LP Book Price]] * 100,0)</f>
        <v>0</v>
      </c>
      <c r="BK376" s="136">
        <f>IF(SnapshotTable[[#This Row],[LP Premium]] &gt; 0, SnapshotTable[[#This Row],[LP Qty]] * SnapshotTable[[#This Row],[LP Strike Price]] * 100,0)</f>
        <v>0</v>
      </c>
      <c r="BL376" s="154"/>
      <c r="BM376" s="385" t="str">
        <f>IF(SnapshotTable[[#This Row],[LP Premium]] &gt; 0,SnapshotTable[[#This Row],[LP Exp Date]]-MAX(SnapshotTable[[#This Row],[LP Book Date]], SnapshotTable[[#This Row],[LP Fill Date]]),"")</f>
        <v/>
      </c>
      <c r="BN376" s="385" t="str">
        <f>IF(ISNUMBER( SnapshotTable[[#This Row],[LP Term]]), SnapshotTable[[#This Row],[LP Exp Date]] - MockToday,"")</f>
        <v/>
      </c>
      <c r="BO376" s="163" t="str">
        <f>IF(AND(SnapshotTable[[#This Row],[LP Exp Date]]&gt;0, SnapshotTable[[#This Row],[LP Strike Price]]&gt;0,SnapshotTable[[#This Row],[LP Qty]]&gt;0,SnapshotTable[[#This Row],[LP Book Date]]&gt;0,SnapshotTable[[#This Row],[LP Book Price]]&gt;0,SnapshotTable[[#This Row],[LP Fill Date]]=0),"Y","")</f>
        <v/>
      </c>
      <c r="BP376" s="31" t="str">
        <f>IF(AND(SnapshotTable[[#This Row],[LP No Fill]]&lt;&gt;"Y",SnapshotTable[[#This Row],[LP Contract Value]]&gt;0, SnapshotTable[[#This Row],[LP Qty]]&gt;0), SnapshotTable[[#This Row],[LP Contract Value]]*SnapshotTable[[#This Row],[LP Qty]]*100,"")</f>
        <v/>
      </c>
      <c r="BQ376" s="13"/>
      <c r="BR376" s="5" t="str">
        <f>IF(SnapshotTable[[#This Row],[SP Exp Date]]&lt;&gt;"",TRUNC(SnapshotTable[[#This Row],[Last Price]]),"")</f>
        <v/>
      </c>
      <c r="BS376" s="36"/>
      <c r="BT376" s="147"/>
      <c r="BU376" s="13"/>
      <c r="BV376" s="5"/>
      <c r="BW376" s="419" t="b">
        <f>AND(ISNUMBER(SnapshotTable[[#This Row],[SP Exp Date]]), ISNUMBER(SnapshotTable[[#This Row],[SP Strike Price]]), ISNUMBER(SnapshotTable[[#This Row],[SP Qty]]), ISNUMBER(SnapshotTable[[#This Row],[SP Book Date]]), ISNUMBER(SnapshotTable[[#This Row],[SP Book Price]]))</f>
        <v>0</v>
      </c>
      <c r="BX376" s="419" t="b">
        <f>AND(SnapshotTable[[#This Row],[SP Is Booked]], NOT(ISBLANK(SnapshotTable[[#This Row],[SP Fill Date]])))</f>
        <v>0</v>
      </c>
      <c r="BY376" s="33">
        <f>IF(SnapshotTable[[#This Row],[SP Is Booked]], SnapshotTable[[#This Row],[SP Qty]] * SnapshotTable[[#This Row],[SP Book Price]] * 100, 0)</f>
        <v>0</v>
      </c>
      <c r="BZ376" s="369"/>
      <c r="CA376" s="368">
        <f>SnapshotTable[[#This Row],[LP Qty]]</f>
        <v>0</v>
      </c>
      <c r="CB376" s="4" t="str">
        <f>IF(SnapshotTable[[#This Row],[SP Is Booked]], SnapshotTable[[#This Row],[SP Strike Price]] - SnapshotTable[[#This Row],[SP Book Price]], "")</f>
        <v/>
      </c>
      <c r="CC376" s="19" t="str">
        <f>IF(SnapshotTable[[#This Row],[SP Is Booked]],SnapshotTable[[#This Row],[SP Exp Date]]-MAX(SnapshotTable[[#This Row],[SP Book Date]], SnapshotTable[[#This Row],[SP Fill Date]]),"")</f>
        <v/>
      </c>
      <c r="CD376" s="7" t="str">
        <f>IF(SnapshotTable[[#This Row],[SP Is Booked]], SnapshotTable[[#This Row],[SP Book Price]]/SnapshotTable[[#This Row],[SP Strike Price]], "")</f>
        <v/>
      </c>
      <c r="CE376" s="7" t="str">
        <f>IF(ISNUMBER(SnapshotTable[[#This Row],[SP ROO Term]]),SnapshotTable[[#This Row],[SP ROO Term]]*(365/SnapshotTable[[#This Row],[SP Term]]),"")</f>
        <v/>
      </c>
      <c r="CF376" s="236">
        <f>SnapshotTable[[#This Row],[LP Strike Price]] * SnapshotTable[[#This Row],[LP Qty]] * 100</f>
        <v>0</v>
      </c>
      <c r="CG376" s="31" t="e">
        <f>IF(ISNUMBER(SnapshotTable[[#This Row],[SP Premium]]), (SnapshotTable[[#This Row],[SP Qty]] * SnapshotTable[[#This Row],[SP Strike Price]]* 100) - SnapshotTable[[#This Row],[LP Protection]], 0)</f>
        <v>#VALUE!</v>
      </c>
      <c r="CH376" s="7" t="str">
        <f>IF(ISNUMBER(SnapshotTable[[#This Row],[SP Break Even]]),-1 * (SnapshotTable[[#This Row],[SP Break Even]] - SnapshotTable[[#This Row],[Last Price]]) / SnapshotTable[[#This Row],[Last Price]], "")</f>
        <v/>
      </c>
      <c r="CI376" s="31">
        <f>IF(AND(ISNUMBER((SnapshotTable[[#This Row],[SP Potential Spend]])), SnapshotTable[[#This Row],[SP Strike Price]] &gt; SnapshotTable[[#This Row],[Last Price]], SnapshotTable[[#This Row],[SP Is Filled]]), SnapshotTable[[#This Row],[SP Potential Spend]] -  SnapshotTable[[#This Row],[LP Max Value]], 0)</f>
        <v>0</v>
      </c>
      <c r="CJ376" s="244"/>
      <c r="CK376" s="31" t="str">
        <f>IF(ISNUMBER(SnapshotTable[[#This Row],[SP Potential Spend]]),IF(ISNUMBER(SnapshotTable[[#This Row],[SP POW]]), SnapshotTable[[#This Row],[SP POW]] * SnapshotTable[[#This Row],[SP Potential Spend]], SnapshotTable[[#This Row],[SP Potential Spend]]), "")</f>
        <v/>
      </c>
      <c r="CL376" s="164" t="e">
        <f>IF(NOT(SnapshotTable[[#This Row],[SP Is Filled]]),(SnapshotTable[[#This Row],[SP Qty]] * SnapshotTable[[#This Row],[SP Strike Price]] * 100) - SnapshotTable[[#This Row],[LP Max Value]],"")</f>
        <v>#VALUE!</v>
      </c>
      <c r="CM376" s="31" t="str">
        <f>IF(SnapshotTable[[#This Row],[SP Actual Spend]]&lt;&gt;0, ((SnapshotTable[[#This Row],[SP Strike Price]]-SnapshotTable[[#This Row],[Last Price]]) *(SnapshotTable[[#This Row],[SP Qty]]*100) - SnapshotTable[[#This Row],[SP Premium]]) * - 1, "")</f>
        <v/>
      </c>
      <c r="CN376" s="78"/>
      <c r="CO376" s="369"/>
      <c r="CP376" s="4" t="str">
        <f>IF(SnapshotTable[[#This Row],[SP Is Filled]], btc_max_buyback_amount(SnapshotTable[[#This Row],[SP Fill Date]],SnapshotTable[[#This Row],[SP Exp Date]], SnapshotTable[[#This Row],[SP Book Price]]),"")</f>
        <v/>
      </c>
      <c r="CQ376" s="78"/>
      <c r="CR37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6" s="155" t="str">
        <f>IF(SnapshotTable[[#This Row],[SP Is Filled]], btc_next_cutoff_date(SnapshotTable[[#This Row],[SP Fill Date]],SnapshotTable[[#This Row],[SP Exp Date]]),"")</f>
        <v/>
      </c>
      <c r="CT376" s="235" t="str" cm="1">
        <f t="array" ref="CT376">IF(SnapshotTable[[#This Row],[SP Is Filled]], btc_should_buy_back(SnapshotTable[[#This Row],[SP Fill Date]], SnapshotTable[[#This Row],[SP Exp Date]], SnapshotTable[[#This Row],[SP Book Price]], SnapshotTable[[#This Row],[SP Current Ask]], MockToday, SnapshotTable[[#This Row],[SP Buyback Override]]),"")</f>
        <v/>
      </c>
      <c r="CU376" s="143"/>
      <c r="CV376" s="235"/>
      <c r="CW376" s="378" t="str">
        <f>IF(ISNUMBER( SnapshotTable[[#This Row],[SP Term]]), SnapshotTable[[#This Row],[SP Exp Date]] - MockToday,"")</f>
        <v/>
      </c>
      <c r="CX376" s="31" t="str">
        <f>IF(SnapshotTable[[#This Row],[SP Is Filled]],SnapshotTable[[#This Row],[SP Buyback Price to Use]] * 100 * SnapshotTable[[#This Row],[SP Qty]], "")</f>
        <v/>
      </c>
      <c r="CY376" s="4" t="str">
        <f>IF(ISNUMBER(SnapshotTable[[#This Row],[SP Strike Price]]), SnapshotTable[[#This Row],[SP Strike Price]] * (1 - SP_MaxLoss_StrikePct), "")</f>
        <v/>
      </c>
      <c r="CZ376" s="31" t="str">
        <f>IF(ISNUMBER(SnapshotTable[[#This Row],[SP Strike  Stop Per Share]]),SnapshotTable[[#This Row],[SP Premium]] - ((SnapshotTable[[#This Row],[SP Strike Price]]-SnapshotTable[[#This Row],[SP Strike  Stop Per Share]]) *(SnapshotTable[[#This Row],[SP Qty]] * 100)),"")</f>
        <v/>
      </c>
      <c r="DA376" s="4" t="str">
        <f>IF(AND(ISNUMBER(SnapshotTable[[#This Row],[SP Premium]]),SnapshotTable[[#This Row],[SP Premium]]&gt;0), SnapshotTable[[#This Row],[SP Book Price]] * (1 + SP_MaxLoss_OptionPct), "")</f>
        <v/>
      </c>
      <c r="DB376" s="31" t="str">
        <f>IF(ISNUMBER(SnapshotTable[[#This Row],[SP Option  Stop Contract]]),(SnapshotTable[[#This Row],[SP Option  Stop Contract]] *(SnapshotTable[[#This Row],[SP Qty]] * 100) - SnapshotTable[[#This Row],[SP Premium]]),"")</f>
        <v/>
      </c>
      <c r="DC376" s="4"/>
      <c r="DD376" s="4"/>
      <c r="DE376" s="4" t="str">
        <f>IF(AND(SnapshotTable[[#This Row],[SP Qty]]&gt;0, SnapshotTable[[#This Row],[SP Stop To Use]]&gt;0),SnapshotTable[[#This Row],[SP Premium]] - ( SnapshotTable[[#This Row],[SP Qty]] * SnapshotTable[[#This Row],[SP Stop To Use]] * 100), "")</f>
        <v/>
      </c>
      <c r="DF376" s="31" t="str">
        <f>IF(AND(SnapshotTable[[#This Row],[SP Qty]]&gt;0,SnapshotTable[[#This Row],[SP Current Ask]]&gt;0), SnapshotTable[[#This Row],[SP Qty]] * SnapshotTable[[#This Row],[SP Current Ask]] * -100, "")</f>
        <v/>
      </c>
      <c r="DG376" s="31" t="str">
        <f>IF(ISNUMBER((SnapshotTable[[#This Row],[SP Total Value]])), SnapshotTable[[#This Row],[SP Premium]] + SnapshotTable[[#This Row],[SP Total Value]], "")</f>
        <v/>
      </c>
      <c r="DH376" s="294" t="str">
        <f>IF(ISNUMBER((SnapshotTable[[#This Row],[SP Total Value]])), SnapshotTable[[#This Row],[SP Gain Loss]] / SnapshotTable[[#This Row],[SP Premium]], "")</f>
        <v/>
      </c>
      <c r="DI376" s="406"/>
      <c r="DJ376" s="138"/>
      <c r="DK376" s="148"/>
      <c r="DL376" s="13"/>
      <c r="DM376" s="13"/>
      <c r="DO376" s="31">
        <f>IF(SnapshotTable[[#This Row],[LC Symbol Count]]=1, SnapshotTable[[#This Row],[LC Qty]] * SnapshotTable[[#This Row],[LC Book Price]] * 100, 0)</f>
        <v>0</v>
      </c>
      <c r="DP376" s="163" t="str">
        <f>IF(AND(SnapshotTable[[#This Row],[LC Exp Date]]&gt;0, SnapshotTable[[#This Row],[LC Strike Price]]&gt;0,SnapshotTable[[#This Row],[LC Qty]]&gt;0,SnapshotTable[[#This Row],[LC Book Date]]&gt;0,SnapshotTable[[#This Row],[LC Book Price]]&gt;0,SnapshotTable[[#This Row],[LC Fill Date]]=0),"Y","")</f>
        <v/>
      </c>
      <c r="DQ376" s="386" t="str">
        <f>IF(SnapshotTable[[#This Row],[LC Premium]] &gt; 0,SnapshotTable[[#This Row],[LC Exp Date]]-MAX(SnapshotTable[[#This Row],[LC Book Date]], SnapshotTable[[#This Row],[LC Fill Date]]),"")</f>
        <v/>
      </c>
      <c r="DR376" s="386" t="str">
        <f>IF(ISNUMBER(SnapshotTable[[#This Row],[LC Term]]), SnapshotTable[[#This Row],[LC Exp Date]] - MockToday, "")</f>
        <v/>
      </c>
      <c r="DS376" s="234" t="str">
        <f>IF(SnapshotTable[[#This Row],[LC Premium]]&gt;0,SnapshotTable[[#This Row],[LC Strike Price]] + SnapshotTable[[#This Row],[LC Book Price]],"")</f>
        <v/>
      </c>
      <c r="DU376" s="9" t="str">
        <f>IF(AND(SnapshotTable[[#This Row],[LC Symbol Count]]&gt;0, SnapshotTable[[#This Row],[LC Contract Value]]&gt;0), SnapshotTable[[#This Row],[LC Contract Value]] * SnapshotTable[[#This Row],[LC Qty]] * 100, "")</f>
        <v/>
      </c>
      <c r="DV376" s="9" t="str">
        <f>IF(AND(ISNUMBER(SnapshotTable[[#This Row],[LC Total Value]]), SnapshotTable[[#This Row],[LC Not Filled]]&lt;&gt;"Y"), SnapshotTable[[#This Row],[LC Total Value]]-SnapshotTable[[#This Row],[LC Premium]],"")</f>
        <v/>
      </c>
      <c r="DW376" s="240" t="str">
        <f>IF(ISNUMBER(SnapshotTable[[#This Row],[LC Actual Gain Loss]]), SnapshotTable[[#This Row],[LC Actual Gain Loss]] / SnapshotTable[[#This Row],[LC Premium]],"")</f>
        <v/>
      </c>
      <c r="DX376" s="284" t="str">
        <f>IF(ISNUMBER(SnapshotTable[[#This Row],[LC Book Price]]),SnapshotTable[[#This Row],[LC Book Price]] * 1.5,"")</f>
        <v/>
      </c>
      <c r="DY376" s="265" t="str">
        <f>IF(SnapshotTable[[#This Row],[LC Premium]]&gt;0, SnapshotTable[[#This Row],[LC Next Target]] * SnapshotTable[[#This Row],[LC Qty]] * 100,"")</f>
        <v/>
      </c>
      <c r="DZ376" s="265" t="str">
        <f>IF(ISNUMBER(SnapshotTable[[#This Row],[LC Target Gross]]), SnapshotTable[[#This Row],[LC Target Gross]] - SnapshotTable[[#This Row],[LC Premium]], "")</f>
        <v/>
      </c>
      <c r="EA376" s="305" t="str">
        <f>IF(ISNUMBER(SnapshotTable[[#This Row],[LC Target Gain Loss]]), SnapshotTable[[#This Row],[LC Target Gain Loss]]/SnapshotTable[[#This Row],[LC Premium]], "")</f>
        <v/>
      </c>
      <c r="EB376" s="262"/>
      <c r="EC376" s="283" t="str">
        <f>IF(SnapshotTable[[#This Row],[LC Premium]]&gt;0, SnapshotTable[[#This Row],[LC Book Price]] * (1 - LC_StopLoss_Pct),"")</f>
        <v/>
      </c>
      <c r="ED376" s="284"/>
      <c r="EE376" s="283" t="str">
        <f>IF(ISNUMBER(SnapshotTable[[#This Row],[LC Contract Value]]),IF(ISNUMBER(SnapshotTable[[#This Row],[LC Stop Loss Override]]), SnapshotTable[[#This Row],[LC Stop Loss Override]],SnapshotTable[[#This Row],[LC Stop Loss Calc Target]]),"")</f>
        <v/>
      </c>
      <c r="EF376" s="31" t="str">
        <f>IF(ISNUMBER(SnapshotTable[[#This Row],[LC Stop  To Use]]), (SnapshotTable[[#This Row],[LC Stop  To Use]] * SnapshotTable[[#This Row],[LC Qty]] * 100),"")</f>
        <v/>
      </c>
      <c r="EG376" s="9" t="str">
        <f>IF(ISNUMBER(SnapshotTable[[#This Row],[LC Total Value]]),SnapshotTable[[#This Row],[LC Stop Loss Amount]] - SnapshotTable[[#This Row],[LC Premium]],"")</f>
        <v/>
      </c>
      <c r="EH376" s="9">
        <f>IF(ISNUMBER(SnapshotTable[[#This Row],[LC Premium]]), SnapshotTable[[#This Row],[LC Qty]] * 100 * SnapshotTable[[#This Row],[LC Strike Price]], "")</f>
        <v>0</v>
      </c>
      <c r="EI376" s="240" t="str">
        <f>IF(AND(ISNUMBER(SnapshotTable[[#This Row],[LC Total Value]]),SnapshotTable[[#This Row],[LC Total Value]]&gt;0),SnapshotTable[[#This Row],[LC Stop Gain Loss]]  / SnapshotTable[[#This Row],[LC Premium]],"")</f>
        <v/>
      </c>
      <c r="EJ376" s="35">
        <f>IF(ISNUMBER(SnapshotTable[[#This Row],[Equity Shares]]),TRUNC(SnapshotTable[[#This Row],[Equity Shares]] / 100),0) + SnapshotTable[[#This Row],[LC Qty]]</f>
        <v>0</v>
      </c>
      <c r="EK376" s="147"/>
      <c r="EL376" s="138" t="str">
        <f>IF(SnapshotTable[[#This Row],[SC Exp Date]]&lt;&gt;"",TRUNC(SnapshotTable[[#This Row],[Last Price]]),"")</f>
        <v/>
      </c>
      <c r="EM376" s="148"/>
      <c r="EN376" s="147"/>
      <c r="EO376" s="147"/>
      <c r="EP376" s="138"/>
      <c r="EQ376" s="419" t="b">
        <f>AND(ISNUMBER(SnapshotTable[[#This Row],[SC Exp Date]]), ISNUMBER(SnapshotTable[[#This Row],[SC Strike Price]]), ISNUMBER(SnapshotTable[[#This Row],[SC Qty]]), ISNUMBER(SnapshotTable[[#This Row],[SC Book Date]]), ISNUMBER(SnapshotTable[[#This Row],[SC Book Price]]))</f>
        <v>0</v>
      </c>
      <c r="ER376" s="419" t="b">
        <f>AND(SnapshotTable[[#This Row],[SC Is Booked]], NOT(ISBLANK(SnapshotTable[[#This Row],[SC Fill Date]])))</f>
        <v>0</v>
      </c>
      <c r="ES376" s="370"/>
      <c r="ET376" s="34" t="str">
        <f>IF(AND(ISNUMBER(SnapshotTable[[#This Row],[SC Exp Date]]), ISNUMBER(SnapshotTable[[#This Row],[SC Book Date]])), SnapshotTable[[#This Row],[SC Exp Date]] - MAX(SnapshotTable[[#This Row],[SC Book Date]], SnapshotTable[[#This Row],[SC Fill Date]]) + 1, "")</f>
        <v/>
      </c>
      <c r="EU376" s="34" t="str">
        <f>IF(ISNUMBER(SnapshotTable[[#This Row],[SC Term]]), SnapshotTable[[#This Row],[SC Exp Date]]- MockToday, "")</f>
        <v/>
      </c>
      <c r="EV376" s="31">
        <f>IF(SnapshotTable[[#This Row],[SC Is Booked]], SnapshotTable[[#This Row],[SC Qty]] * SnapshotTable[[#This Row],[SC Book Price]] * 100, 0)</f>
        <v>0</v>
      </c>
      <c r="EW376" s="4" t="str">
        <f>IF(AND(ISNUMBER(SnapshotTable[[#This Row],[Last Price]]), ISNUMBER( SnapshotTable[[#This Row],[SC Book Price]])), SnapshotTable[[#This Row],[Last Price]] - SnapshotTable[[#This Row],[SC Book Price]],"")</f>
        <v/>
      </c>
      <c r="EX376" s="234" t="str">
        <f>IF(SnapshotTable[[#This Row],[SC Is Booked]],IF(SnapshotTable[[#This Row],[SC Intrinsic Value]] &gt; 0, SnapshotTable[[#This Row],[SC Strike Price]], SnapshotTable[[#This Row],[Last Price]]), "")</f>
        <v/>
      </c>
      <c r="EY376" s="4">
        <f>IF(SnapshotTable[[#This Row],[SC Is Booked]], (MinimumPremiumRequired * SnapshotTable[[#This Row],[SC Basis]] * SnapshotTable[[#This Row],[SC Term]]), 0)</f>
        <v>0</v>
      </c>
      <c r="EZ376" s="283"/>
      <c r="FA376" s="218"/>
      <c r="FB376" s="370"/>
      <c r="FC376" s="4">
        <f>IF(SnapshotTable[[#This Row],[SC Is Filled]], btc_max_buyback_amount(SnapshotTable[[#This Row],[SC Fill Date]],SnapshotTable[[#This Row],[SC Exp Date]], SnapshotTable[[#This Row],[SC Book Price]]),0)</f>
        <v>0</v>
      </c>
      <c r="FD376" s="5"/>
      <c r="FE376" s="144" t="str">
        <f>IF(SnapshotTable[[#This Row],[SC Is Filled]], btc_next_cutoff_date(SnapshotTable[[#This Row],[SC Fill Date]],SnapshotTable[[#This Row],[SC Exp Date]]),"")</f>
        <v/>
      </c>
      <c r="FF376" s="4" t="str" cm="1">
        <f t="array" ref="FF376">IF(SnapshotTable[[#This Row],[SC Is Filled]], btc_should_buy_back(SnapshotTable[[#This Row],[SC Fill Date]], SnapshotTable[[#This Row],[SC Exp Date]], SnapshotTable[[#This Row],[SC Book Price]], SnapshotTable[[#This Row],[SC Current Ask]], MockToday, SnapshotTable[[#This Row],[SC Buyback Override]]),"")</f>
        <v/>
      </c>
      <c r="FG376" s="4">
        <f>IF(SnapshotTable[[#This Row],[SC Is Filled]], MAX(0,SnapshotTable[[#This Row],[Last Price]]  - SnapshotTable[[#This Row],[SC Strike Price]]), 0)</f>
        <v>0</v>
      </c>
      <c r="FH376" s="382">
        <f>IF(SnapshotTable[[#This Row],[SC Is Filled]], IF(ISNUMBER(SnapshotTable[[#This Row],[SC Current Ask]]), SnapshotTable[[#This Row],[SC Current Ask]], SnapshotTable[[#This Row],[SC Book Price]]) - SnapshotTable[[#This Row],[SC Intrinsic Value]], 0)</f>
        <v>0</v>
      </c>
      <c r="FI376" s="143"/>
      <c r="FJ376" s="32" t="str">
        <f>IF(SnapshotTable[[#This Row],[SC Is Filled]],100 * SnapshotTable[[#This Row],[SC Qty]] * IF(ISNUMBER(SnapshotTable[[#This Row],[SC Buyback Override]]), SnapshotTable[[#This Row],[SC Buyback Override]], SnapshotTable[[#This Row],[SC Current Ask]]), "")</f>
        <v/>
      </c>
      <c r="FK376" s="250" t="str">
        <f>IF(SnapshotTable[[#This Row],[SC Time Val]]&gt;0, SnapshotTable[[#This Row],[SC Time Val]] / SnapshotTable[[#This Row],[Last Price]],"")</f>
        <v/>
      </c>
      <c r="FL376" s="302" t="str">
        <f>IF(SnapshotTable[[#This Row],[SC Is Booked]], ((SnapshotTable[[#This Row],[Last Price]] -SnapshotTable[[#This Row],[SC Strike Price]]) / SnapshotTable[[#This Row],[Last Price]]) * -1, "")</f>
        <v/>
      </c>
      <c r="FM376" s="157" t="str">
        <f>IF(SnapshotTable[[#This Row],[SC Is Booked]],  (SnapshotTable[[#This Row],[SC Qty]] * 100 * SnapshotTable[[#This Row],[SC Strike Price]]) - SnapshotTable[[#This Row],[SC Current Ask]], "")</f>
        <v/>
      </c>
      <c r="FN37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6" s="31" t="str">
        <f>IF(AND(ISNUMBER(SnapshotTable[[#This Row],[SC Exercise Gross]]), ISNUMBER(SnapshotTable[[#This Row],[Equity Basis Per Share]] )), SnapshotTable[[#This Row],[SC Exercise Gross]] - SnapshotTable[[#This Row],[Equity Basis Total]] +  SnapshotTable[[#This Row],[SC Premium]], "")</f>
        <v/>
      </c>
      <c r="FP376" s="5" t="str">
        <f>IF(ISNUMBER(SnapshotTable[[#This Row],[SC Exercise Gross]]), (SnapshotTable[[#This Row],[SC Exercise Gross]]) / (SnapshotTable[[#This Row],[SC Qty]] * 100), "")</f>
        <v/>
      </c>
      <c r="FQ376" s="27" t="str">
        <f>IF(SnapshotTable[[#This Row],[SC Is Booked]],SnapshotTable[[#This Row],[SC Time Val]] /SnapshotTable[[#This Row],[SC Basis]], "")</f>
        <v/>
      </c>
      <c r="FR376" s="27" t="str" cm="1">
        <f t="array" ref="FR376">IF(AND(ISNUMBER(SnapshotTable[[#This Row],[SC Term]]),ISNUMBER(SnapshotTable[[#This Row],[SC Simple ROO]])), EllmanAnnualize(SnapshotTable[[#This Row],[SC DTE]], SnapshotTable[[#This Row],[SC Simple ROO]] ),"")</f>
        <v/>
      </c>
      <c r="FS376" s="4" t="e">
        <f>IF(SnapshotTable[[#This Row],[SC Strike Price]] &gt; SnapshotTable[[#This Row],[Last Price]], SnapshotTable[[#This Row],[SC Strike Price]] - SnapshotTable[[#This Row],[Last Price]],0)</f>
        <v>#VALUE!</v>
      </c>
      <c r="FT376" s="27" t="e">
        <f>IF(AND(ISNUMBER(SnapshotTable[[#This Row],[SC Upside Potential]]), SnapshotTable[[#This Row],[SC Upside Potential]] &gt; 0),(SnapshotTable[[#This Row],[SC Upside Potential]]/ SnapshotTable[[#This Row],[ACB]]),"")</f>
        <v>#VALUE!</v>
      </c>
      <c r="FU376" s="333" t="str">
        <f>IF(SnapshotTable[[#This Row],[SC Intrinsic Value]] &gt; 0,SnapshotTable[[#This Row],[SC Intrinsic Value]],"")</f>
        <v/>
      </c>
      <c r="FV376" s="27" t="str">
        <f>IF(AND( ISNUMBER( SnapshotTable[[#This Row],[ACB]]),ISNUMBER(SnapshotTable[[#This Row],[SC Downside Protect]])),SnapshotTable[[#This Row],[SC Downside Protect]] / SnapshotTable[[#This Row],[ACB]],"")</f>
        <v/>
      </c>
      <c r="FW376" s="236" t="str">
        <f>IF(AND(ISNUMBER(SnapshotTable[[#This Row],[SC Simple ROO]]),SnapshotTable[[#This Row],[SC Simple ROO]] &gt; 0), SnapshotTable[[#This Row],[SC Premium]] + (SnapshotTable[[#This Row],[SC Qty]] * SnapshotTable[[#This Row],[SC Upside Potential]]), "")</f>
        <v/>
      </c>
      <c r="FX376" s="302" t="str" cm="1">
        <f t="array" ref="FX376">IF(ISNUMBER(SnapshotTable[[#This Row],[SC Max Dollars]]), annualize(SnapshotTable[[#This Row],[SC Term]],(SnapshotTable[[#This Row],[SC Max Dollars]]/SnapshotTable[[#This Row],[SC Basis]])),"")</f>
        <v/>
      </c>
      <c r="FY376" s="236" t="str">
        <f>IF(AND(SnapshotTable[[#This Row],[SC Qty]]&gt;0,SnapshotTable[[#This Row],[SC Current Ask]]&gt;0), SnapshotTable[[#This Row],[SC Qty]] * SnapshotTable[[#This Row],[SC Current Ask]] * -100, "")</f>
        <v/>
      </c>
      <c r="FZ376" s="31" t="str">
        <f>IF(ISNUMBER((SnapshotTable[[#This Row],[SC Current Value]])), SnapshotTable[[#This Row],[SC Premium]] + SnapshotTable[[#This Row],[SC Current Value]], "")</f>
        <v/>
      </c>
      <c r="GA376" s="294" t="str">
        <f>IFERROR( IF(ISNUMBER((SnapshotTable[[#This Row],[SC Current Value]])), SnapshotTable[[#This Row],[SC Gain Loss]] / SnapshotTable[[#This Row],[SC Premium]], ""), "")</f>
        <v/>
      </c>
      <c r="GB376" s="42">
        <f>SnapshotTable[[#This Row],[Equity Shares]] * SaleSharesToConsiderPercentage</f>
        <v>0</v>
      </c>
      <c r="GC376" s="40">
        <f>SnapshotTable[[#This Row],[Long Term Target]] * SellingPriceToConsiderBasedOnTargetPercentage</f>
        <v>41.581499999999998</v>
      </c>
      <c r="GD376" s="40">
        <f>SnapshotTable[[#This Row],[Last Price]] * (1+ SellingPriceToConsiderBasedOnTargetPercentage)</f>
        <v>301.17749999999995</v>
      </c>
      <c r="GE376" s="41"/>
      <c r="GF376" s="40"/>
      <c r="GG376" s="31">
        <f>SnapshotTable[[#This Row],[Booked Sale Shares]] * SnapshotTable[[#This Row],[Booked Sale Price]]</f>
        <v>0</v>
      </c>
      <c r="GH376" s="31" t="str">
        <f>IF(SnapshotTable[[#This Row],[Equity Basis Total]] &gt; 0, SnapshotTable[[#This Row],[Equity Basis Per Share]] * SnapshotTable[[#This Row],[Booked Sale Shares]], "")</f>
        <v/>
      </c>
      <c r="GI376" s="31">
        <f>IF(SnapshotTable[[#This Row],[Sale Proceeds]]&gt;0, SnapshotTable[[#This Row],[Sale Proceeds]] - SnapshotTable[[#This Row],[Sale Basis]], 0)</f>
        <v>0</v>
      </c>
      <c r="GJ376" s="27" t="str">
        <f>IF(SnapshotTable[[#This Row],[Sale G/L]]&gt;0, SnapshotTable[[#This Row],[Sale G/L]] / SnapshotTable[[#This Row],[Sale Basis]], IF(ISNUMBER(SnapshotTable[[#This Row],[SC Exercise P&amp;L (TAX)]]), SnapshotTable[[#This Row],[SC Exercise P&amp;L (TAX)]] / SnapshotTable[[#This Row],[SC Basis]], ""))</f>
        <v/>
      </c>
      <c r="GK376" s="27" t="s">
        <v>1057</v>
      </c>
      <c r="GL376" s="43" t="str">
        <f>IF(AND(SnapshotTable[[#This Row],[LP Exp Date]]&gt;0,SnapshotTable[[#This Row],[LP Strike Price]]&gt;0), [1]!ToOptionSymbol(SnapshotTable[[#This Row],[Symbol]], SnapshotTable[[#This Row],[LP Strike Price]],SnapshotTable[[#This Row],[LP Exp Date]],1), "")</f>
        <v/>
      </c>
      <c r="GM376" s="30" t="str">
        <f>IF(LEN(SnapshotTable[[#This Row],[LP Symbol]])&gt;0, 1, "")</f>
        <v/>
      </c>
      <c r="GN376" s="43" t="str">
        <f>IF(AND(SnapshotTable[[#This Row],[SP Exp Date]]&gt;0,SnapshotTable[[#This Row],[SP Strike Price]]&gt;0), [1]!ToOptionSymbol(SnapshotTable[[#This Row],[Symbol]], SnapshotTable[[#This Row],[SP Strike Price]],SnapshotTable[[#This Row],[SP Exp Date]],1), "")</f>
        <v/>
      </c>
      <c r="GO376" s="30" t="str">
        <f>IF(LEN(SnapshotTable[[#This Row],[SP Symbol]])&gt;0, 1, "")</f>
        <v/>
      </c>
      <c r="GP376" s="43" t="str">
        <f>IF(AND(SnapshotTable[[#This Row],[LC Exp Date]]&gt;0,SnapshotTable[[#This Row],[LC Strike Price]]&gt;0), [1]!ToOptionSymbol(SnapshotTable[[#This Row],[Symbol]], SnapshotTable[[#This Row],[LC Strike Price]],SnapshotTable[[#This Row],[LC Exp Date]],0), "")</f>
        <v/>
      </c>
      <c r="GQ376" s="30" t="str">
        <f>IF(LEN(SnapshotTable[[#This Row],[LC Symbol]])&gt;0, 1, "")</f>
        <v/>
      </c>
      <c r="GR376" s="43" t="str">
        <f>IF(AND(SnapshotTable[[#This Row],[SC Exp Date]]&gt;0,SnapshotTable[[#This Row],[SC Strike Price]]&gt;0), [1]!ToOptionSymbol(SnapshotTable[[#This Row],[Symbol]], SnapshotTable[[#This Row],[SC Strike Price]],SnapshotTable[[#This Row],[SC Exp Date]],0), "")</f>
        <v/>
      </c>
      <c r="GS376" s="30" t="str">
        <f>IF(LEN(SnapshotTable[[#This Row],[SC Symbol]])&gt;0, 1, "")</f>
        <v/>
      </c>
      <c r="GT376" s="29" t="str">
        <f>IF(COUNT(SnapshotTable[[#This Row],[LP Symbol Count]],SnapshotTable[[#This Row],[SP Symbol Count]],SnapshotTable[[#This Row],[LC Symbol Count]],SnapshotTable[[#This Row],[SC Symbol Count]])&gt;0, "Y", "")</f>
        <v/>
      </c>
      <c r="GU37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6" s="231" t="e">
        <f>MAX(SnapshotTable[[#This Row],[Equity Basis Total]],SnapshotTable[[#This Row],[Equity Value]]) + (SnapshotTable[[#This Row],[SP Potential Spend]]- SnapshotTable[[#This Row],[SP Premium]] + SnapshotTable[[#This Row],[LP Premium]])+ (SnapshotTable[[#This Row],[LC Premium]] - SnapshotTable[[#This Row],[SC Premium]])</f>
        <v>#VALUE!</v>
      </c>
      <c r="GW376" s="139" t="e">
        <f>IF(AND(SnapshotTable[[#This Row],[Exposure]] &lt;&gt; 0),SnapshotTable[[#This Row],[Exposure]] / SnapshotTable[[#Totals],[Exposure]], "")</f>
        <v>#VALUE!</v>
      </c>
      <c r="GX376" s="2"/>
      <c r="GY376" s="387"/>
      <c r="GZ376"/>
      <c r="HA376" s="2"/>
      <c r="HB376" s="2"/>
      <c r="HK376" s="1"/>
      <c r="HL376" s="1"/>
      <c r="HM376" s="1"/>
      <c r="HN376" s="1"/>
      <c r="HO376" s="1"/>
      <c r="HP376" s="1"/>
    </row>
    <row r="377" spans="2:224" ht="12.75" hidden="1" customHeight="1" x14ac:dyDescent="0.25">
      <c r="B377" s="12" t="s">
        <v>249</v>
      </c>
      <c r="C377" s="422">
        <v>213.65</v>
      </c>
      <c r="D377" s="208"/>
      <c r="E377" s="39">
        <f>SnapshotTable[[#This Row],[Last Price]]*(1 -CrashDiscount)</f>
        <v>181.60249999999999</v>
      </c>
      <c r="F377" s="26" t="s">
        <v>15</v>
      </c>
      <c r="G377" s="26" t="s">
        <v>14</v>
      </c>
      <c r="H377" s="149"/>
      <c r="I377" s="194">
        <v>44781.677083333336</v>
      </c>
      <c r="J377" s="195">
        <v>44781.677083333336</v>
      </c>
      <c r="K377" s="196"/>
      <c r="L377" s="326"/>
      <c r="M377" s="140"/>
      <c r="N377" s="140"/>
      <c r="O377" s="140"/>
      <c r="P377" s="22"/>
      <c r="Q377" s="25"/>
      <c r="R377" s="4" t="str">
        <f>IF(SnapshotTable[[#This Row],[Equity Basis Total]] &gt; 0, SnapshotTable[[#This Row],[Equity Basis Total]] / SnapshotTable[[#This Row],[Equity Shares]], "")</f>
        <v/>
      </c>
      <c r="S377" s="269">
        <f>SnapshotTable[[#This Row],[Last Price]] * SnapshotTable[[#This Row],[Equity Shares]]</f>
        <v>0</v>
      </c>
      <c r="T377" s="269">
        <f>SnapshotTable[[#This Row],[Equity Value]] - SnapshotTable[[#This Row],[Equity Basis Total]]</f>
        <v>0</v>
      </c>
      <c r="U377" s="270" t="str">
        <f>IF(SnapshotTable[[#This Row],[Equity Basis Total]] &gt; 0, SnapshotTable[[#This Row],[Equity G/L]] / SnapshotTable[[#This Row],[Equity Basis Total]], "")</f>
        <v/>
      </c>
      <c r="V377" s="268"/>
      <c r="W377" s="268"/>
      <c r="X377" s="4" t="str">
        <f>IF(AND(ISNUMBER(SnapshotTable[[#This Row],[Equity Basis Per Share]]),ISNUMBER(SnapshotTable[[#This Row],[Equity Target]])),SnapshotTable[[#This Row],[Equity Target]]-SnapshotTable[[#This Row],[Equity Basis Per Share]],"")</f>
        <v/>
      </c>
      <c r="Y377" s="4" t="str">
        <f>IF(AND(ISNUMBER(SnapshotTable[[#This Row],[Equity Basis Per Share]]),ISNUMBER(SnapshotTable[[#This Row],[Equity Stop Loss]])),SnapshotTable[[#This Row],[Equity Stop Loss]]-SnapshotTable[[#This Row],[Equity Basis Per Share]],"")</f>
        <v/>
      </c>
      <c r="Z377" s="275" t="str">
        <f>IFERROR( TEXT(SnapshotTable[[#This Row],[Equity Max Gain Per Share]] /ABS( SnapshotTable[[#This Row],[Equity Max Loss Per Share]]),"0.0 " ) &amp; " : 1", "")</f>
        <v/>
      </c>
      <c r="AA377" s="31" t="str">
        <f>IF(ISNUMBER(SnapshotTable[[#This Row],[Equity Max Gain Per Share]]),SnapshotTable[[#This Row],[Equity Max Gain Per Share]] * SnapshotTable[[#This Row],[Equity Shares]],"")</f>
        <v/>
      </c>
      <c r="AB377" s="31" t="str">
        <f>IF(ISNUMBER(SnapshotTable[[#This Row],[Equity Max Loss Per Share]]),SnapshotTable[[#This Row],[Equity Max Loss Per Share]] * SnapshotTable[[#This Row],[Equity Shares]],"")</f>
        <v/>
      </c>
      <c r="AC377" s="150"/>
      <c r="AD377" s="151"/>
      <c r="AE377" s="31">
        <f>(SnapshotTable[[#This Row],[Annual Dividend Per Share]] / 4) * SnapshotTable[[#This Row],[Equity Shares]]</f>
        <v>0</v>
      </c>
      <c r="AF377" s="31">
        <f>SnapshotTable[[#This Row],[Quarterly Div $]] * 4</f>
        <v>0</v>
      </c>
      <c r="AG377" s="7">
        <f>IF(SnapshotTable[[#This Row],[Annual Dividend Per Share]]&gt;0, SnapshotTable[[#This Row],[Annual Dividend Per Share]]  / SnapshotTable[[#This Row],[Last Price]], 0)</f>
        <v>0</v>
      </c>
      <c r="AH377" s="151"/>
      <c r="AI377" s="5"/>
      <c r="AJ377" s="138">
        <v>91.72</v>
      </c>
      <c r="AK377" s="152" t="str">
        <f>IF(ISNUMBER( SnapshotTable[[#This Row],[EBF Target]]),(SnapshotTable[[#This Row],[EBF Target]] - SnapshotTable[[#This Row],[Last Price]]) / SnapshotTable[[#This Row],[Last Price]], "")</f>
        <v/>
      </c>
      <c r="AL377" s="152" t="str">
        <f>IF(AND(SnapshotTable[[#This Row],[Equity Basis Total]] &gt; 0,ISNUMBER( SnapshotTable[[#This Row],[Long Term Target]])), SnapshotTable[[#This Row],[From Basis $]] / SnapshotTable[[#This Row],[Equity Basis Total]], "")</f>
        <v/>
      </c>
      <c r="AM377" s="9">
        <f>IF( AND(SnapshotTable[[#This Row],[Equity Shares]] &gt;0,ISNUMBER( SnapshotTable[[#This Row],[Long Term Target]])),(SnapshotTable[[#This Row],[Equity Shares]] * SnapshotTable[[#This Row],[Long Term Target]]) - SnapshotTable[[#This Row],[Equity Basis Total]],0)</f>
        <v>0</v>
      </c>
      <c r="AN377" s="9">
        <f>IF( AND(SnapshotTable[[#This Row],[Equity Shares]] &gt;0,ISNUMBER( SnapshotTable[[#This Row],[Long Term Target]])),(SnapshotTable[[#This Row],[Equity Shares]]*SnapshotTable[[#This Row],[Long Term Target]]) - SnapshotTable[[#This Row],[Equity Value]],0)</f>
        <v>0</v>
      </c>
      <c r="AO377" s="152">
        <f>IF(AND(ISNUMBER( SnapshotTable[[#This Row],[Long Term Target]]), ISNUMBER(SnapshotTable[[#This Row],[Last Price]])),(SnapshotTable[[#This Row],[Long Term Target]] - SnapshotTable[[#This Row],[Last Price]]) / SnapshotTable[[#This Row],[Last Price]], "")</f>
        <v>-0.57069974256962319</v>
      </c>
      <c r="AP377" s="5"/>
      <c r="AQ377" s="38"/>
      <c r="AR377" s="5"/>
      <c r="AS377" s="38"/>
      <c r="AT377" s="146"/>
      <c r="AU377" s="187" t="str">
        <f>IF(OR(SnapshotTable[[#This Row],[LP No Fill]]="Y",SnapshotTable[[#This Row],[SP Is Filled]],SnapshotTable[[#This Row],[LC Not Filled]]="Y",SnapshotTable[[#This Row],[SC Is Filled]]),"Y","")</f>
        <v/>
      </c>
      <c r="AV377" s="219"/>
      <c r="AW377" s="225"/>
      <c r="AX377" s="220"/>
      <c r="AY377" s="219" t="str">
        <f>IF(SnapshotTable[[#This Row],[Implied Move]]&gt;0, SnapshotTable[[#This Row],[Last Price]]-SnapshotTable[[#This Row],[Implied Move]],"")</f>
        <v/>
      </c>
      <c r="AZ377" s="219" t="str">
        <f>IF(SnapshotTable[[#This Row],[Implied Move]]&gt;0, SnapshotTable[[#This Row],[Last Price]] + SnapshotTable[[#This Row],[Implied Move]],"")</f>
        <v/>
      </c>
      <c r="BA377" s="331"/>
      <c r="BB377" s="347"/>
      <c r="BC37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7" s="351"/>
      <c r="BE377" s="5"/>
      <c r="BF377" s="14"/>
      <c r="BG377" s="13"/>
      <c r="BH377" s="13"/>
      <c r="BI377" s="5"/>
      <c r="BJ377" s="136">
        <f>IF(SnapshotTable[[#This Row],[LP Qty]] &gt; 0, SnapshotTable[[#This Row],[LP Qty]] * SnapshotTable[[#This Row],[LP Book Price]] * 100,0)</f>
        <v>0</v>
      </c>
      <c r="BK377" s="136">
        <f>IF(SnapshotTable[[#This Row],[LP Premium]] &gt; 0, SnapshotTable[[#This Row],[LP Qty]] * SnapshotTable[[#This Row],[LP Strike Price]] * 100,0)</f>
        <v>0</v>
      </c>
      <c r="BL377" s="154"/>
      <c r="BM377" s="385" t="str">
        <f>IF(SnapshotTable[[#This Row],[LP Premium]] &gt; 0,SnapshotTable[[#This Row],[LP Exp Date]]-MAX(SnapshotTable[[#This Row],[LP Book Date]], SnapshotTable[[#This Row],[LP Fill Date]]),"")</f>
        <v/>
      </c>
      <c r="BN377" s="385" t="str">
        <f>IF(ISNUMBER( SnapshotTable[[#This Row],[LP Term]]), SnapshotTable[[#This Row],[LP Exp Date]] - MockToday,"")</f>
        <v/>
      </c>
      <c r="BO377" s="163" t="str">
        <f>IF(AND(SnapshotTable[[#This Row],[LP Exp Date]]&gt;0, SnapshotTable[[#This Row],[LP Strike Price]]&gt;0,SnapshotTable[[#This Row],[LP Qty]]&gt;0,SnapshotTable[[#This Row],[LP Book Date]]&gt;0,SnapshotTable[[#This Row],[LP Book Price]]&gt;0,SnapshotTable[[#This Row],[LP Fill Date]]=0),"Y","")</f>
        <v/>
      </c>
      <c r="BP377" s="31" t="str">
        <f>IF(AND(SnapshotTable[[#This Row],[LP No Fill]]&lt;&gt;"Y",SnapshotTable[[#This Row],[LP Contract Value]]&gt;0, SnapshotTable[[#This Row],[LP Qty]]&gt;0), SnapshotTable[[#This Row],[LP Contract Value]]*SnapshotTable[[#This Row],[LP Qty]]*100,"")</f>
        <v/>
      </c>
      <c r="BQ377" s="13"/>
      <c r="BR377" s="5" t="str">
        <f>IF(SnapshotTable[[#This Row],[SP Exp Date]]&lt;&gt;"",TRUNC(SnapshotTable[[#This Row],[Last Price]]),"")</f>
        <v/>
      </c>
      <c r="BS377" s="36"/>
      <c r="BT377" s="147"/>
      <c r="BU377" s="13"/>
      <c r="BV377" s="5"/>
      <c r="BW377" s="419" t="b">
        <f>AND(ISNUMBER(SnapshotTable[[#This Row],[SP Exp Date]]), ISNUMBER(SnapshotTable[[#This Row],[SP Strike Price]]), ISNUMBER(SnapshotTable[[#This Row],[SP Qty]]), ISNUMBER(SnapshotTable[[#This Row],[SP Book Date]]), ISNUMBER(SnapshotTable[[#This Row],[SP Book Price]]))</f>
        <v>0</v>
      </c>
      <c r="BX377" s="419" t="b">
        <f>AND(SnapshotTable[[#This Row],[SP Is Booked]], NOT(ISBLANK(SnapshotTable[[#This Row],[SP Fill Date]])))</f>
        <v>0</v>
      </c>
      <c r="BY377" s="33">
        <f>IF(SnapshotTable[[#This Row],[SP Is Booked]], SnapshotTable[[#This Row],[SP Qty]] * SnapshotTable[[#This Row],[SP Book Price]] * 100, 0)</f>
        <v>0</v>
      </c>
      <c r="BZ377" s="369"/>
      <c r="CA377" s="368">
        <f>SnapshotTable[[#This Row],[LP Qty]]</f>
        <v>0</v>
      </c>
      <c r="CB377" s="4" t="str">
        <f>IF(SnapshotTable[[#This Row],[SP Is Booked]], SnapshotTable[[#This Row],[SP Strike Price]] - SnapshotTable[[#This Row],[SP Book Price]], "")</f>
        <v/>
      </c>
      <c r="CC377" s="19" t="str">
        <f>IF(SnapshotTable[[#This Row],[SP Is Booked]],SnapshotTable[[#This Row],[SP Exp Date]]-MAX(SnapshotTable[[#This Row],[SP Book Date]], SnapshotTable[[#This Row],[SP Fill Date]]),"")</f>
        <v/>
      </c>
      <c r="CD377" s="7" t="str">
        <f>IF(SnapshotTable[[#This Row],[SP Is Booked]], SnapshotTable[[#This Row],[SP Book Price]]/SnapshotTable[[#This Row],[SP Strike Price]], "")</f>
        <v/>
      </c>
      <c r="CE377" s="7" t="str">
        <f>IF(ISNUMBER(SnapshotTable[[#This Row],[SP ROO Term]]),SnapshotTable[[#This Row],[SP ROO Term]]*(365/SnapshotTable[[#This Row],[SP Term]]),"")</f>
        <v/>
      </c>
      <c r="CF377" s="236">
        <f>SnapshotTable[[#This Row],[LP Strike Price]] * SnapshotTable[[#This Row],[LP Qty]] * 100</f>
        <v>0</v>
      </c>
      <c r="CG377" s="31" t="e">
        <f>IF(ISNUMBER(SnapshotTable[[#This Row],[SP Premium]]), (SnapshotTable[[#This Row],[SP Qty]] * SnapshotTable[[#This Row],[SP Strike Price]]* 100) - SnapshotTable[[#This Row],[LP Protection]], 0)</f>
        <v>#VALUE!</v>
      </c>
      <c r="CH377" s="7" t="str">
        <f>IF(ISNUMBER(SnapshotTable[[#This Row],[SP Break Even]]),-1 * (SnapshotTable[[#This Row],[SP Break Even]] - SnapshotTable[[#This Row],[Last Price]]) / SnapshotTable[[#This Row],[Last Price]], "")</f>
        <v/>
      </c>
      <c r="CI377" s="31">
        <f>IF(AND(ISNUMBER((SnapshotTable[[#This Row],[SP Potential Spend]])), SnapshotTable[[#This Row],[SP Strike Price]] &gt; SnapshotTable[[#This Row],[Last Price]], SnapshotTable[[#This Row],[SP Is Filled]]), SnapshotTable[[#This Row],[SP Potential Spend]] -  SnapshotTable[[#This Row],[LP Max Value]], 0)</f>
        <v>0</v>
      </c>
      <c r="CJ377" s="244"/>
      <c r="CK377" s="31" t="str">
        <f>IF(ISNUMBER(SnapshotTable[[#This Row],[SP Potential Spend]]),IF(ISNUMBER(SnapshotTable[[#This Row],[SP POW]]), SnapshotTable[[#This Row],[SP POW]] * SnapshotTable[[#This Row],[SP Potential Spend]], SnapshotTable[[#This Row],[SP Potential Spend]]), "")</f>
        <v/>
      </c>
      <c r="CL377" s="164" t="e">
        <f>IF(NOT(SnapshotTable[[#This Row],[SP Is Filled]]),(SnapshotTable[[#This Row],[SP Qty]] * SnapshotTable[[#This Row],[SP Strike Price]] * 100) - SnapshotTable[[#This Row],[LP Max Value]],"")</f>
        <v>#VALUE!</v>
      </c>
      <c r="CM377" s="31" t="str">
        <f>IF(SnapshotTable[[#This Row],[SP Actual Spend]]&lt;&gt;0, ((SnapshotTable[[#This Row],[SP Strike Price]]-SnapshotTable[[#This Row],[Last Price]]) *(SnapshotTable[[#This Row],[SP Qty]]*100) - SnapshotTable[[#This Row],[SP Premium]]) * - 1, "")</f>
        <v/>
      </c>
      <c r="CN377" s="78"/>
      <c r="CO377" s="369"/>
      <c r="CP377" s="4" t="str">
        <f>IF(SnapshotTable[[#This Row],[SP Is Filled]], btc_max_buyback_amount(SnapshotTable[[#This Row],[SP Fill Date]],SnapshotTable[[#This Row],[SP Exp Date]], SnapshotTable[[#This Row],[SP Book Price]]),"")</f>
        <v/>
      </c>
      <c r="CQ377" s="78"/>
      <c r="CR37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7" s="155" t="str">
        <f>IF(SnapshotTable[[#This Row],[SP Is Filled]], btc_next_cutoff_date(SnapshotTable[[#This Row],[SP Fill Date]],SnapshotTable[[#This Row],[SP Exp Date]]),"")</f>
        <v/>
      </c>
      <c r="CT377" s="235" t="str" cm="1">
        <f t="array" ref="CT377">IF(SnapshotTable[[#This Row],[SP Is Filled]], btc_should_buy_back(SnapshotTable[[#This Row],[SP Fill Date]], SnapshotTable[[#This Row],[SP Exp Date]], SnapshotTable[[#This Row],[SP Book Price]], SnapshotTable[[#This Row],[SP Current Ask]], MockToday, SnapshotTable[[#This Row],[SP Buyback Override]]),"")</f>
        <v/>
      </c>
      <c r="CU377" s="143"/>
      <c r="CV377" s="235"/>
      <c r="CW377" s="378" t="str">
        <f>IF(ISNUMBER( SnapshotTable[[#This Row],[SP Term]]), SnapshotTable[[#This Row],[SP Exp Date]] - MockToday,"")</f>
        <v/>
      </c>
      <c r="CX377" s="31" t="str">
        <f>IF(SnapshotTable[[#This Row],[SP Is Filled]],SnapshotTable[[#This Row],[SP Buyback Price to Use]] * 100 * SnapshotTable[[#This Row],[SP Qty]], "")</f>
        <v/>
      </c>
      <c r="CY377" s="4" t="str">
        <f>IF(ISNUMBER(SnapshotTable[[#This Row],[SP Strike Price]]), SnapshotTable[[#This Row],[SP Strike Price]] * (1 - SP_MaxLoss_StrikePct), "")</f>
        <v/>
      </c>
      <c r="CZ377" s="31" t="str">
        <f>IF(ISNUMBER(SnapshotTable[[#This Row],[SP Strike  Stop Per Share]]),SnapshotTable[[#This Row],[SP Premium]] - ((SnapshotTable[[#This Row],[SP Strike Price]]-SnapshotTable[[#This Row],[SP Strike  Stop Per Share]]) *(SnapshotTable[[#This Row],[SP Qty]] * 100)),"")</f>
        <v/>
      </c>
      <c r="DA377" s="4" t="str">
        <f>IF(AND(ISNUMBER(SnapshotTable[[#This Row],[SP Premium]]),SnapshotTable[[#This Row],[SP Premium]]&gt;0), SnapshotTable[[#This Row],[SP Book Price]] * (1 + SP_MaxLoss_OptionPct), "")</f>
        <v/>
      </c>
      <c r="DB377" s="31" t="str">
        <f>IF(ISNUMBER(SnapshotTable[[#This Row],[SP Option  Stop Contract]]),(SnapshotTable[[#This Row],[SP Option  Stop Contract]] *(SnapshotTable[[#This Row],[SP Qty]] * 100) - SnapshotTable[[#This Row],[SP Premium]]),"")</f>
        <v/>
      </c>
      <c r="DC377" s="4"/>
      <c r="DD377" s="4"/>
      <c r="DE377" s="4" t="str">
        <f>IF(AND(SnapshotTable[[#This Row],[SP Qty]]&gt;0, SnapshotTable[[#This Row],[SP Stop To Use]]&gt;0),SnapshotTable[[#This Row],[SP Premium]] - ( SnapshotTable[[#This Row],[SP Qty]] * SnapshotTable[[#This Row],[SP Stop To Use]] * 100), "")</f>
        <v/>
      </c>
      <c r="DF377" s="31" t="str">
        <f>IF(AND(SnapshotTable[[#This Row],[SP Qty]]&gt;0,SnapshotTable[[#This Row],[SP Current Ask]]&gt;0), SnapshotTable[[#This Row],[SP Qty]] * SnapshotTable[[#This Row],[SP Current Ask]] * -100, "")</f>
        <v/>
      </c>
      <c r="DG377" s="31" t="str">
        <f>IF(ISNUMBER((SnapshotTable[[#This Row],[SP Total Value]])), SnapshotTable[[#This Row],[SP Premium]] + SnapshotTable[[#This Row],[SP Total Value]], "")</f>
        <v/>
      </c>
      <c r="DH377" s="294" t="str">
        <f>IF(ISNUMBER((SnapshotTable[[#This Row],[SP Total Value]])), SnapshotTable[[#This Row],[SP Gain Loss]] / SnapshotTable[[#This Row],[SP Premium]], "")</f>
        <v/>
      </c>
      <c r="DI377" s="406"/>
      <c r="DJ377" s="138"/>
      <c r="DK377" s="148"/>
      <c r="DL377" s="13"/>
      <c r="DM377" s="13"/>
      <c r="DO377" s="31">
        <f>IF(SnapshotTable[[#This Row],[LC Symbol Count]]=1, SnapshotTable[[#This Row],[LC Qty]] * SnapshotTable[[#This Row],[LC Book Price]] * 100, 0)</f>
        <v>0</v>
      </c>
      <c r="DP377" s="163" t="str">
        <f>IF(AND(SnapshotTable[[#This Row],[LC Exp Date]]&gt;0, SnapshotTable[[#This Row],[LC Strike Price]]&gt;0,SnapshotTable[[#This Row],[LC Qty]]&gt;0,SnapshotTable[[#This Row],[LC Book Date]]&gt;0,SnapshotTable[[#This Row],[LC Book Price]]&gt;0,SnapshotTable[[#This Row],[LC Fill Date]]=0),"Y","")</f>
        <v/>
      </c>
      <c r="DQ377" s="386" t="str">
        <f>IF(SnapshotTable[[#This Row],[LC Premium]] &gt; 0,SnapshotTable[[#This Row],[LC Exp Date]]-MAX(SnapshotTable[[#This Row],[LC Book Date]], SnapshotTable[[#This Row],[LC Fill Date]]),"")</f>
        <v/>
      </c>
      <c r="DR377" s="386" t="str">
        <f>IF(ISNUMBER(SnapshotTable[[#This Row],[LC Term]]), SnapshotTable[[#This Row],[LC Exp Date]] - MockToday, "")</f>
        <v/>
      </c>
      <c r="DS377" s="234" t="str">
        <f>IF(SnapshotTable[[#This Row],[LC Premium]]&gt;0,SnapshotTable[[#This Row],[LC Strike Price]] + SnapshotTable[[#This Row],[LC Book Price]],"")</f>
        <v/>
      </c>
      <c r="DU377" s="9" t="str">
        <f>IF(AND(SnapshotTable[[#This Row],[LC Symbol Count]]&gt;0, SnapshotTable[[#This Row],[LC Contract Value]]&gt;0), SnapshotTable[[#This Row],[LC Contract Value]] * SnapshotTable[[#This Row],[LC Qty]] * 100, "")</f>
        <v/>
      </c>
      <c r="DV377" s="9" t="str">
        <f>IF(AND(ISNUMBER(SnapshotTable[[#This Row],[LC Total Value]]), SnapshotTable[[#This Row],[LC Not Filled]]&lt;&gt;"Y"), SnapshotTable[[#This Row],[LC Total Value]]-SnapshotTable[[#This Row],[LC Premium]],"")</f>
        <v/>
      </c>
      <c r="DW377" s="240" t="str">
        <f>IF(ISNUMBER(SnapshotTable[[#This Row],[LC Actual Gain Loss]]), SnapshotTable[[#This Row],[LC Actual Gain Loss]] / SnapshotTable[[#This Row],[LC Premium]],"")</f>
        <v/>
      </c>
      <c r="DX377" s="284" t="str">
        <f>IF(ISNUMBER(SnapshotTable[[#This Row],[LC Book Price]]),SnapshotTable[[#This Row],[LC Book Price]] * 1.5,"")</f>
        <v/>
      </c>
      <c r="DY377" s="265" t="str">
        <f>IF(SnapshotTable[[#This Row],[LC Premium]]&gt;0, SnapshotTable[[#This Row],[LC Next Target]] * SnapshotTable[[#This Row],[LC Qty]] * 100,"")</f>
        <v/>
      </c>
      <c r="DZ377" s="265" t="str">
        <f>IF(ISNUMBER(SnapshotTable[[#This Row],[LC Target Gross]]), SnapshotTable[[#This Row],[LC Target Gross]] - SnapshotTable[[#This Row],[LC Premium]], "")</f>
        <v/>
      </c>
      <c r="EA377" s="305" t="str">
        <f>IF(ISNUMBER(SnapshotTable[[#This Row],[LC Target Gain Loss]]), SnapshotTable[[#This Row],[LC Target Gain Loss]]/SnapshotTable[[#This Row],[LC Premium]], "")</f>
        <v/>
      </c>
      <c r="EB377" s="262"/>
      <c r="EC377" s="283" t="str">
        <f>IF(SnapshotTable[[#This Row],[LC Premium]]&gt;0, SnapshotTable[[#This Row],[LC Book Price]] * (1 - LC_StopLoss_Pct),"")</f>
        <v/>
      </c>
      <c r="ED377" s="284"/>
      <c r="EE377" s="283" t="str">
        <f>IF(ISNUMBER(SnapshotTable[[#This Row],[LC Contract Value]]),IF(ISNUMBER(SnapshotTable[[#This Row],[LC Stop Loss Override]]), SnapshotTable[[#This Row],[LC Stop Loss Override]],SnapshotTable[[#This Row],[LC Stop Loss Calc Target]]),"")</f>
        <v/>
      </c>
      <c r="EF377" s="31" t="str">
        <f>IF(ISNUMBER(SnapshotTable[[#This Row],[LC Stop  To Use]]), (SnapshotTable[[#This Row],[LC Stop  To Use]] * SnapshotTable[[#This Row],[LC Qty]] * 100),"")</f>
        <v/>
      </c>
      <c r="EG377" s="9" t="str">
        <f>IF(ISNUMBER(SnapshotTable[[#This Row],[LC Total Value]]),SnapshotTable[[#This Row],[LC Stop Loss Amount]] - SnapshotTable[[#This Row],[LC Premium]],"")</f>
        <v/>
      </c>
      <c r="EH377" s="9">
        <f>IF(ISNUMBER(SnapshotTable[[#This Row],[LC Premium]]), SnapshotTable[[#This Row],[LC Qty]] * 100 * SnapshotTable[[#This Row],[LC Strike Price]], "")</f>
        <v>0</v>
      </c>
      <c r="EI377" s="240" t="str">
        <f>IF(AND(ISNUMBER(SnapshotTable[[#This Row],[LC Total Value]]),SnapshotTable[[#This Row],[LC Total Value]]&gt;0),SnapshotTable[[#This Row],[LC Stop Gain Loss]]  / SnapshotTable[[#This Row],[LC Premium]],"")</f>
        <v/>
      </c>
      <c r="EJ377" s="35">
        <f>IF(ISNUMBER(SnapshotTable[[#This Row],[Equity Shares]]),TRUNC(SnapshotTable[[#This Row],[Equity Shares]] / 100),0) + SnapshotTable[[#This Row],[LC Qty]]</f>
        <v>0</v>
      </c>
      <c r="EK377" s="147"/>
      <c r="EL377" s="138" t="str">
        <f>IF(SnapshotTable[[#This Row],[SC Exp Date]]&lt;&gt;"",TRUNC(SnapshotTable[[#This Row],[Last Price]]),"")</f>
        <v/>
      </c>
      <c r="EM377" s="148"/>
      <c r="EN377" s="147"/>
      <c r="EO377" s="147"/>
      <c r="EP377" s="138"/>
      <c r="EQ377" s="419" t="b">
        <f>AND(ISNUMBER(SnapshotTable[[#This Row],[SC Exp Date]]), ISNUMBER(SnapshotTable[[#This Row],[SC Strike Price]]), ISNUMBER(SnapshotTable[[#This Row],[SC Qty]]), ISNUMBER(SnapshotTable[[#This Row],[SC Book Date]]), ISNUMBER(SnapshotTable[[#This Row],[SC Book Price]]))</f>
        <v>0</v>
      </c>
      <c r="ER377" s="419" t="b">
        <f>AND(SnapshotTable[[#This Row],[SC Is Booked]], NOT(ISBLANK(SnapshotTable[[#This Row],[SC Fill Date]])))</f>
        <v>0</v>
      </c>
      <c r="ES377" s="370"/>
      <c r="ET377" s="34" t="str">
        <f>IF(AND(ISNUMBER(SnapshotTable[[#This Row],[SC Exp Date]]), ISNUMBER(SnapshotTable[[#This Row],[SC Book Date]])), SnapshotTable[[#This Row],[SC Exp Date]] - MAX(SnapshotTable[[#This Row],[SC Book Date]], SnapshotTable[[#This Row],[SC Fill Date]]) + 1, "")</f>
        <v/>
      </c>
      <c r="EU377" s="34" t="str">
        <f>IF(ISNUMBER(SnapshotTable[[#This Row],[SC Term]]), SnapshotTable[[#This Row],[SC Exp Date]]- MockToday, "")</f>
        <v/>
      </c>
      <c r="EV377" s="31">
        <f>IF(SnapshotTable[[#This Row],[SC Is Booked]], SnapshotTable[[#This Row],[SC Qty]] * SnapshotTable[[#This Row],[SC Book Price]] * 100, 0)</f>
        <v>0</v>
      </c>
      <c r="EW377" s="4" t="str">
        <f>IF(AND(ISNUMBER(SnapshotTable[[#This Row],[Last Price]]), ISNUMBER( SnapshotTable[[#This Row],[SC Book Price]])), SnapshotTable[[#This Row],[Last Price]] - SnapshotTable[[#This Row],[SC Book Price]],"")</f>
        <v/>
      </c>
      <c r="EX377" s="234" t="str">
        <f>IF(SnapshotTable[[#This Row],[SC Is Booked]],IF(SnapshotTable[[#This Row],[SC Intrinsic Value]] &gt; 0, SnapshotTable[[#This Row],[SC Strike Price]], SnapshotTable[[#This Row],[Last Price]]), "")</f>
        <v/>
      </c>
      <c r="EY377" s="4">
        <f>IF(SnapshotTable[[#This Row],[SC Is Booked]], (MinimumPremiumRequired * SnapshotTable[[#This Row],[SC Basis]] * SnapshotTable[[#This Row],[SC Term]]), 0)</f>
        <v>0</v>
      </c>
      <c r="EZ377" s="283"/>
      <c r="FA377" s="218"/>
      <c r="FB377" s="370"/>
      <c r="FC377" s="4">
        <f>IF(SnapshotTable[[#This Row],[SC Is Filled]], btc_max_buyback_amount(SnapshotTable[[#This Row],[SC Fill Date]],SnapshotTable[[#This Row],[SC Exp Date]], SnapshotTable[[#This Row],[SC Book Price]]),0)</f>
        <v>0</v>
      </c>
      <c r="FD377" s="5"/>
      <c r="FE377" s="144" t="str">
        <f>IF(SnapshotTable[[#This Row],[SC Is Filled]], btc_next_cutoff_date(SnapshotTable[[#This Row],[SC Fill Date]],SnapshotTable[[#This Row],[SC Exp Date]]),"")</f>
        <v/>
      </c>
      <c r="FF377" s="4" t="str" cm="1">
        <f t="array" ref="FF377">IF(SnapshotTable[[#This Row],[SC Is Filled]], btc_should_buy_back(SnapshotTable[[#This Row],[SC Fill Date]], SnapshotTable[[#This Row],[SC Exp Date]], SnapshotTable[[#This Row],[SC Book Price]], SnapshotTable[[#This Row],[SC Current Ask]], MockToday, SnapshotTable[[#This Row],[SC Buyback Override]]),"")</f>
        <v/>
      </c>
      <c r="FG377" s="4">
        <f>IF(SnapshotTable[[#This Row],[SC Is Filled]], MAX(0,SnapshotTable[[#This Row],[Last Price]]  - SnapshotTable[[#This Row],[SC Strike Price]]), 0)</f>
        <v>0</v>
      </c>
      <c r="FH377" s="382">
        <f>IF(SnapshotTable[[#This Row],[SC Is Filled]], IF(ISNUMBER(SnapshotTable[[#This Row],[SC Current Ask]]), SnapshotTable[[#This Row],[SC Current Ask]], SnapshotTable[[#This Row],[SC Book Price]]) - SnapshotTable[[#This Row],[SC Intrinsic Value]], 0)</f>
        <v>0</v>
      </c>
      <c r="FI377" s="143"/>
      <c r="FJ377" s="32" t="str">
        <f>IF(SnapshotTable[[#This Row],[SC Is Filled]],100 * SnapshotTable[[#This Row],[SC Qty]] * IF(ISNUMBER(SnapshotTable[[#This Row],[SC Buyback Override]]), SnapshotTable[[#This Row],[SC Buyback Override]], SnapshotTable[[#This Row],[SC Current Ask]]), "")</f>
        <v/>
      </c>
      <c r="FK377" s="250" t="str">
        <f>IF(SnapshotTable[[#This Row],[SC Time Val]]&gt;0, SnapshotTable[[#This Row],[SC Time Val]] / SnapshotTable[[#This Row],[Last Price]],"")</f>
        <v/>
      </c>
      <c r="FL377" s="302" t="str">
        <f>IF(SnapshotTable[[#This Row],[SC Is Booked]], ((SnapshotTable[[#This Row],[Last Price]] -SnapshotTable[[#This Row],[SC Strike Price]]) / SnapshotTable[[#This Row],[Last Price]]) * -1, "")</f>
        <v/>
      </c>
      <c r="FM377" s="157" t="str">
        <f>IF(SnapshotTable[[#This Row],[SC Is Booked]],  (SnapshotTable[[#This Row],[SC Qty]] * 100 * SnapshotTable[[#This Row],[SC Strike Price]]) - SnapshotTable[[#This Row],[SC Current Ask]], "")</f>
        <v/>
      </c>
      <c r="FN37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7" s="31" t="str">
        <f>IF(AND(ISNUMBER(SnapshotTable[[#This Row],[SC Exercise Gross]]), ISNUMBER(SnapshotTable[[#This Row],[Equity Basis Per Share]] )), SnapshotTable[[#This Row],[SC Exercise Gross]] - SnapshotTable[[#This Row],[Equity Basis Total]] +  SnapshotTable[[#This Row],[SC Premium]], "")</f>
        <v/>
      </c>
      <c r="FP377" s="5" t="str">
        <f>IF(ISNUMBER(SnapshotTable[[#This Row],[SC Exercise Gross]]), (SnapshotTable[[#This Row],[SC Exercise Gross]]) / (SnapshotTable[[#This Row],[SC Qty]] * 100), "")</f>
        <v/>
      </c>
      <c r="FQ377" s="27" t="str">
        <f>IF(SnapshotTable[[#This Row],[SC Is Booked]],SnapshotTable[[#This Row],[SC Time Val]] /SnapshotTable[[#This Row],[SC Basis]], "")</f>
        <v/>
      </c>
      <c r="FR377" s="27" t="str" cm="1">
        <f t="array" ref="FR377">IF(AND(ISNUMBER(SnapshotTable[[#This Row],[SC Term]]),ISNUMBER(SnapshotTable[[#This Row],[SC Simple ROO]])), EllmanAnnualize(SnapshotTable[[#This Row],[SC DTE]], SnapshotTable[[#This Row],[SC Simple ROO]] ),"")</f>
        <v/>
      </c>
      <c r="FS377" s="4" t="e">
        <f>IF(SnapshotTable[[#This Row],[SC Strike Price]] &gt; SnapshotTable[[#This Row],[Last Price]], SnapshotTable[[#This Row],[SC Strike Price]] - SnapshotTable[[#This Row],[Last Price]],0)</f>
        <v>#VALUE!</v>
      </c>
      <c r="FT377" s="27" t="e">
        <f>IF(AND(ISNUMBER(SnapshotTable[[#This Row],[SC Upside Potential]]), SnapshotTable[[#This Row],[SC Upside Potential]] &gt; 0),(SnapshotTable[[#This Row],[SC Upside Potential]]/ SnapshotTable[[#This Row],[ACB]]),"")</f>
        <v>#VALUE!</v>
      </c>
      <c r="FU377" s="333" t="str">
        <f>IF(SnapshotTable[[#This Row],[SC Intrinsic Value]] &gt; 0,SnapshotTable[[#This Row],[SC Intrinsic Value]],"")</f>
        <v/>
      </c>
      <c r="FV377" s="27" t="str">
        <f>IF(AND( ISNUMBER( SnapshotTable[[#This Row],[ACB]]),ISNUMBER(SnapshotTable[[#This Row],[SC Downside Protect]])),SnapshotTable[[#This Row],[SC Downside Protect]] / SnapshotTable[[#This Row],[ACB]],"")</f>
        <v/>
      </c>
      <c r="FW377" s="236" t="str">
        <f>IF(AND(ISNUMBER(SnapshotTable[[#This Row],[SC Simple ROO]]),SnapshotTable[[#This Row],[SC Simple ROO]] &gt; 0), SnapshotTable[[#This Row],[SC Premium]] + (SnapshotTable[[#This Row],[SC Qty]] * SnapshotTable[[#This Row],[SC Upside Potential]]), "")</f>
        <v/>
      </c>
      <c r="FX377" s="302" t="str" cm="1">
        <f t="array" ref="FX377">IF(ISNUMBER(SnapshotTable[[#This Row],[SC Max Dollars]]), annualize(SnapshotTable[[#This Row],[SC Term]],(SnapshotTable[[#This Row],[SC Max Dollars]]/SnapshotTable[[#This Row],[SC Basis]])),"")</f>
        <v/>
      </c>
      <c r="FY377" s="236" t="str">
        <f>IF(AND(SnapshotTable[[#This Row],[SC Qty]]&gt;0,SnapshotTable[[#This Row],[SC Current Ask]]&gt;0), SnapshotTable[[#This Row],[SC Qty]] * SnapshotTable[[#This Row],[SC Current Ask]] * -100, "")</f>
        <v/>
      </c>
      <c r="FZ377" s="31" t="str">
        <f>IF(ISNUMBER((SnapshotTable[[#This Row],[SC Current Value]])), SnapshotTable[[#This Row],[SC Premium]] + SnapshotTable[[#This Row],[SC Current Value]], "")</f>
        <v/>
      </c>
      <c r="GA377" s="294" t="str">
        <f>IFERROR( IF(ISNUMBER((SnapshotTable[[#This Row],[SC Current Value]])), SnapshotTable[[#This Row],[SC Gain Loss]] / SnapshotTable[[#This Row],[SC Premium]], ""), "")</f>
        <v/>
      </c>
      <c r="GB377" s="42">
        <f>SnapshotTable[[#This Row],[Equity Shares]] * SaleSharesToConsiderPercentage</f>
        <v>0</v>
      </c>
      <c r="GC377" s="40">
        <f>SnapshotTable[[#This Row],[Long Term Target]] * SellingPriceToConsiderBasedOnTargetPercentage</f>
        <v>87.134</v>
      </c>
      <c r="GD377" s="40">
        <f>SnapshotTable[[#This Row],[Last Price]] * (1+ SellingPriceToConsiderBasedOnTargetPercentage)</f>
        <v>416.61750000000001</v>
      </c>
      <c r="GE377" s="41"/>
      <c r="GF377" s="40"/>
      <c r="GG377" s="31">
        <f>SnapshotTable[[#This Row],[Booked Sale Shares]] * SnapshotTable[[#This Row],[Booked Sale Price]]</f>
        <v>0</v>
      </c>
      <c r="GH377" s="31" t="str">
        <f>IF(SnapshotTable[[#This Row],[Equity Basis Total]] &gt; 0, SnapshotTable[[#This Row],[Equity Basis Per Share]] * SnapshotTable[[#This Row],[Booked Sale Shares]], "")</f>
        <v/>
      </c>
      <c r="GI377" s="31">
        <f>IF(SnapshotTable[[#This Row],[Sale Proceeds]]&gt;0, SnapshotTable[[#This Row],[Sale Proceeds]] - SnapshotTable[[#This Row],[Sale Basis]], 0)</f>
        <v>0</v>
      </c>
      <c r="GJ377" s="27" t="str">
        <f>IF(SnapshotTable[[#This Row],[Sale G/L]]&gt;0, SnapshotTable[[#This Row],[Sale G/L]] / SnapshotTable[[#This Row],[Sale Basis]], IF(ISNUMBER(SnapshotTable[[#This Row],[SC Exercise P&amp;L (TAX)]]), SnapshotTable[[#This Row],[SC Exercise P&amp;L (TAX)]] / SnapshotTable[[#This Row],[SC Basis]], ""))</f>
        <v/>
      </c>
      <c r="GK377" s="27" t="s">
        <v>807</v>
      </c>
      <c r="GL377" s="43" t="str">
        <f>IF(AND(SnapshotTable[[#This Row],[LP Exp Date]]&gt;0,SnapshotTable[[#This Row],[LP Strike Price]]&gt;0), [1]!ToOptionSymbol(SnapshotTable[[#This Row],[Symbol]], SnapshotTable[[#This Row],[LP Strike Price]],SnapshotTable[[#This Row],[LP Exp Date]],1), "")</f>
        <v/>
      </c>
      <c r="GM377" s="30" t="str">
        <f>IF(LEN(SnapshotTable[[#This Row],[LP Symbol]])&gt;0, 1, "")</f>
        <v/>
      </c>
      <c r="GN377" s="43" t="str">
        <f>IF(AND(SnapshotTable[[#This Row],[SP Exp Date]]&gt;0,SnapshotTable[[#This Row],[SP Strike Price]]&gt;0), [1]!ToOptionSymbol(SnapshotTable[[#This Row],[Symbol]], SnapshotTable[[#This Row],[SP Strike Price]],SnapshotTable[[#This Row],[SP Exp Date]],1), "")</f>
        <v/>
      </c>
      <c r="GO377" s="30" t="str">
        <f>IF(LEN(SnapshotTable[[#This Row],[SP Symbol]])&gt;0, 1, "")</f>
        <v/>
      </c>
      <c r="GP377" s="43" t="str">
        <f>IF(AND(SnapshotTable[[#This Row],[LC Exp Date]]&gt;0,SnapshotTable[[#This Row],[LC Strike Price]]&gt;0), [1]!ToOptionSymbol(SnapshotTable[[#This Row],[Symbol]], SnapshotTable[[#This Row],[LC Strike Price]],SnapshotTable[[#This Row],[LC Exp Date]],0), "")</f>
        <v/>
      </c>
      <c r="GQ377" s="30" t="str">
        <f>IF(LEN(SnapshotTable[[#This Row],[LC Symbol]])&gt;0, 1, "")</f>
        <v/>
      </c>
      <c r="GR377" s="43" t="str">
        <f>IF(AND(SnapshotTable[[#This Row],[SC Exp Date]]&gt;0,SnapshotTable[[#This Row],[SC Strike Price]]&gt;0), [1]!ToOptionSymbol(SnapshotTable[[#This Row],[Symbol]], SnapshotTable[[#This Row],[SC Strike Price]],SnapshotTable[[#This Row],[SC Exp Date]],0), "")</f>
        <v/>
      </c>
      <c r="GS377" s="30" t="str">
        <f>IF(LEN(SnapshotTable[[#This Row],[SC Symbol]])&gt;0, 1, "")</f>
        <v/>
      </c>
      <c r="GT377" s="29" t="str">
        <f>IF(COUNT(SnapshotTable[[#This Row],[LP Symbol Count]],SnapshotTable[[#This Row],[SP Symbol Count]],SnapshotTable[[#This Row],[LC Symbol Count]],SnapshotTable[[#This Row],[SC Symbol Count]])&gt;0, "Y", "")</f>
        <v/>
      </c>
      <c r="GU37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7" s="231" t="e">
        <f>MAX(SnapshotTable[[#This Row],[Equity Basis Total]],SnapshotTable[[#This Row],[Equity Value]]) + (SnapshotTable[[#This Row],[SP Potential Spend]]- SnapshotTable[[#This Row],[SP Premium]] + SnapshotTable[[#This Row],[LP Premium]])+ (SnapshotTable[[#This Row],[LC Premium]] - SnapshotTable[[#This Row],[SC Premium]])</f>
        <v>#VALUE!</v>
      </c>
      <c r="GW377" s="139" t="e">
        <f>IF(AND(SnapshotTable[[#This Row],[Exposure]] &lt;&gt; 0),SnapshotTable[[#This Row],[Exposure]] / SnapshotTable[[#Totals],[Exposure]], "")</f>
        <v>#VALUE!</v>
      </c>
      <c r="GX377" s="2"/>
      <c r="GY377" s="387"/>
      <c r="GZ377"/>
      <c r="HA377" s="2"/>
      <c r="HB377" s="2"/>
      <c r="HK377" s="1"/>
      <c r="HL377" s="1"/>
      <c r="HM377" s="1"/>
      <c r="HN377" s="1"/>
      <c r="HO377" s="1"/>
      <c r="HP377" s="1"/>
    </row>
    <row r="378" spans="2:224" ht="12.75" hidden="1" customHeight="1" x14ac:dyDescent="0.25">
      <c r="B378" s="12" t="s">
        <v>162</v>
      </c>
      <c r="C378" s="422">
        <v>88.74</v>
      </c>
      <c r="D378" s="208"/>
      <c r="E378" s="39">
        <f>SnapshotTable[[#This Row],[Last Price]]*(1 -CrashDiscount)</f>
        <v>75.428999999999988</v>
      </c>
      <c r="F378" s="26" t="s">
        <v>5</v>
      </c>
      <c r="G378" s="26" t="s">
        <v>4</v>
      </c>
      <c r="H378" s="149"/>
      <c r="I378" s="194">
        <v>44781.677083333336</v>
      </c>
      <c r="J378" s="195">
        <v>44781.677083333336</v>
      </c>
      <c r="K378" s="196"/>
      <c r="L378" s="326"/>
      <c r="M378" s="140"/>
      <c r="N378" s="140"/>
      <c r="O378" s="140"/>
      <c r="P378" s="22"/>
      <c r="Q378" s="25"/>
      <c r="R378" s="4" t="str">
        <f>IF(SnapshotTable[[#This Row],[Equity Basis Total]] &gt; 0, SnapshotTable[[#This Row],[Equity Basis Total]] / SnapshotTable[[#This Row],[Equity Shares]], "")</f>
        <v/>
      </c>
      <c r="S378" s="269">
        <f>SnapshotTable[[#This Row],[Last Price]] * SnapshotTable[[#This Row],[Equity Shares]]</f>
        <v>0</v>
      </c>
      <c r="T378" s="269">
        <f>SnapshotTable[[#This Row],[Equity Value]] - SnapshotTable[[#This Row],[Equity Basis Total]]</f>
        <v>0</v>
      </c>
      <c r="U378" s="270" t="str">
        <f>IF(SnapshotTable[[#This Row],[Equity Basis Total]] &gt; 0, SnapshotTable[[#This Row],[Equity G/L]] / SnapshotTable[[#This Row],[Equity Basis Total]], "")</f>
        <v/>
      </c>
      <c r="V378" s="268"/>
      <c r="W378" s="268"/>
      <c r="X378" s="4" t="str">
        <f>IF(AND(ISNUMBER(SnapshotTable[[#This Row],[Equity Basis Per Share]]),ISNUMBER(SnapshotTable[[#This Row],[Equity Target]])),SnapshotTable[[#This Row],[Equity Target]]-SnapshotTable[[#This Row],[Equity Basis Per Share]],"")</f>
        <v/>
      </c>
      <c r="Y378" s="4" t="str">
        <f>IF(AND(ISNUMBER(SnapshotTable[[#This Row],[Equity Basis Per Share]]),ISNUMBER(SnapshotTable[[#This Row],[Equity Stop Loss]])),SnapshotTable[[#This Row],[Equity Stop Loss]]-SnapshotTable[[#This Row],[Equity Basis Per Share]],"")</f>
        <v/>
      </c>
      <c r="Z378" s="275" t="str">
        <f>IFERROR( TEXT(SnapshotTable[[#This Row],[Equity Max Gain Per Share]] /ABS( SnapshotTable[[#This Row],[Equity Max Loss Per Share]]),"0.0 " ) &amp; " : 1", "")</f>
        <v/>
      </c>
      <c r="AA378" s="31" t="str">
        <f>IF(ISNUMBER(SnapshotTable[[#This Row],[Equity Max Gain Per Share]]),SnapshotTable[[#This Row],[Equity Max Gain Per Share]] * SnapshotTable[[#This Row],[Equity Shares]],"")</f>
        <v/>
      </c>
      <c r="AB378" s="31" t="str">
        <f>IF(ISNUMBER(SnapshotTable[[#This Row],[Equity Max Loss Per Share]]),SnapshotTable[[#This Row],[Equity Max Loss Per Share]] * SnapshotTable[[#This Row],[Equity Shares]],"")</f>
        <v/>
      </c>
      <c r="AC378" s="150">
        <v>0</v>
      </c>
      <c r="AD378" s="151" t="s">
        <v>2</v>
      </c>
      <c r="AE378" s="31">
        <f>(SnapshotTable[[#This Row],[Annual Dividend Per Share]] / 4) * SnapshotTable[[#This Row],[Equity Shares]]</f>
        <v>0</v>
      </c>
      <c r="AF378" s="31">
        <f>SnapshotTable[[#This Row],[Quarterly Div $]] * 4</f>
        <v>0</v>
      </c>
      <c r="AG378" s="7">
        <f>IF(SnapshotTable[[#This Row],[Annual Dividend Per Share]]&gt;0, SnapshotTable[[#This Row],[Annual Dividend Per Share]]  / SnapshotTable[[#This Row],[Last Price]], 0)</f>
        <v>0</v>
      </c>
      <c r="AH378" s="151" t="s">
        <v>2</v>
      </c>
      <c r="AI378" s="5"/>
      <c r="AJ378" s="138" t="s">
        <v>164</v>
      </c>
      <c r="AK378" s="152" t="str">
        <f>IF(ISNUMBER( SnapshotTable[[#This Row],[EBF Target]]),(SnapshotTable[[#This Row],[EBF Target]] - SnapshotTable[[#This Row],[Last Price]]) / SnapshotTable[[#This Row],[Last Price]], "")</f>
        <v/>
      </c>
      <c r="AL378" s="152" t="str">
        <f>IF(AND(SnapshotTable[[#This Row],[Equity Basis Total]] &gt; 0,ISNUMBER( SnapshotTable[[#This Row],[Long Term Target]])), SnapshotTable[[#This Row],[From Basis $]] / SnapshotTable[[#This Row],[Equity Basis Total]], "")</f>
        <v/>
      </c>
      <c r="AM378" s="9">
        <f>IF( AND(SnapshotTable[[#This Row],[Equity Shares]] &gt;0,ISNUMBER( SnapshotTable[[#This Row],[Long Term Target]])),(SnapshotTable[[#This Row],[Equity Shares]] * SnapshotTable[[#This Row],[Long Term Target]]) - SnapshotTable[[#This Row],[Equity Basis Total]],0)</f>
        <v>0</v>
      </c>
      <c r="AN378" s="9">
        <f>IF( AND(SnapshotTable[[#This Row],[Equity Shares]] &gt;0,ISNUMBER( SnapshotTable[[#This Row],[Long Term Target]])),(SnapshotTable[[#This Row],[Equity Shares]]*SnapshotTable[[#This Row],[Long Term Target]]) - SnapshotTable[[#This Row],[Equity Value]],0)</f>
        <v>0</v>
      </c>
      <c r="AO378" s="152" t="str">
        <f>IF(AND(ISNUMBER( SnapshotTable[[#This Row],[Long Term Target]]), ISNUMBER(SnapshotTable[[#This Row],[Last Price]])),(SnapshotTable[[#This Row],[Long Term Target]] - SnapshotTable[[#This Row],[Last Price]]) / SnapshotTable[[#This Row],[Last Price]], "")</f>
        <v/>
      </c>
      <c r="AP378" s="5"/>
      <c r="AQ378" s="38"/>
      <c r="AR378" s="5"/>
      <c r="AS378" s="38"/>
      <c r="AT378" s="146"/>
      <c r="AU378" s="187" t="str">
        <f>IF(OR(SnapshotTable[[#This Row],[LP No Fill]]="Y",SnapshotTable[[#This Row],[SP Is Filled]],SnapshotTable[[#This Row],[LC Not Filled]]="Y",SnapshotTable[[#This Row],[SC Is Filled]]),"Y","")</f>
        <v/>
      </c>
      <c r="AV378" s="219"/>
      <c r="AW378" s="225"/>
      <c r="AX378" s="220"/>
      <c r="AY378" s="219" t="str">
        <f>IF(SnapshotTable[[#This Row],[Implied Move]]&gt;0, SnapshotTable[[#This Row],[Last Price]]-SnapshotTable[[#This Row],[Implied Move]],"")</f>
        <v/>
      </c>
      <c r="AZ378" s="219" t="str">
        <f>IF(SnapshotTable[[#This Row],[Implied Move]]&gt;0, SnapshotTable[[#This Row],[Last Price]] + SnapshotTable[[#This Row],[Implied Move]],"")</f>
        <v/>
      </c>
      <c r="BA378" s="331"/>
      <c r="BB378" s="347"/>
      <c r="BC37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8" s="351"/>
      <c r="BE378" s="5"/>
      <c r="BF378" s="14"/>
      <c r="BG378" s="13"/>
      <c r="BH378" s="13"/>
      <c r="BI378" s="5"/>
      <c r="BJ378" s="136">
        <f>IF(SnapshotTable[[#This Row],[LP Qty]] &gt; 0, SnapshotTable[[#This Row],[LP Qty]] * SnapshotTable[[#This Row],[LP Book Price]] * 100,0)</f>
        <v>0</v>
      </c>
      <c r="BK378" s="136">
        <f>IF(SnapshotTable[[#This Row],[LP Premium]] &gt; 0, SnapshotTable[[#This Row],[LP Qty]] * SnapshotTable[[#This Row],[LP Strike Price]] * 100,0)</f>
        <v>0</v>
      </c>
      <c r="BL378" s="154"/>
      <c r="BM378" s="385" t="str">
        <f>IF(SnapshotTable[[#This Row],[LP Premium]] &gt; 0,SnapshotTable[[#This Row],[LP Exp Date]]-MAX(SnapshotTable[[#This Row],[LP Book Date]], SnapshotTable[[#This Row],[LP Fill Date]]),"")</f>
        <v/>
      </c>
      <c r="BN378" s="385" t="str">
        <f>IF(ISNUMBER( SnapshotTable[[#This Row],[LP Term]]), SnapshotTable[[#This Row],[LP Exp Date]] - MockToday,"")</f>
        <v/>
      </c>
      <c r="BO378" s="163" t="str">
        <f>IF(AND(SnapshotTable[[#This Row],[LP Exp Date]]&gt;0, SnapshotTable[[#This Row],[LP Strike Price]]&gt;0,SnapshotTable[[#This Row],[LP Qty]]&gt;0,SnapshotTable[[#This Row],[LP Book Date]]&gt;0,SnapshotTable[[#This Row],[LP Book Price]]&gt;0,SnapshotTable[[#This Row],[LP Fill Date]]=0),"Y","")</f>
        <v/>
      </c>
      <c r="BP378" s="31" t="str">
        <f>IF(AND(SnapshotTable[[#This Row],[LP No Fill]]&lt;&gt;"Y",SnapshotTable[[#This Row],[LP Contract Value]]&gt;0, SnapshotTable[[#This Row],[LP Qty]]&gt;0), SnapshotTable[[#This Row],[LP Contract Value]]*SnapshotTable[[#This Row],[LP Qty]]*100,"")</f>
        <v/>
      </c>
      <c r="BQ378" s="13"/>
      <c r="BR378" s="5" t="str">
        <f>IF(SnapshotTable[[#This Row],[SP Exp Date]]&lt;&gt;"",TRUNC(SnapshotTable[[#This Row],[Last Price]]),"")</f>
        <v/>
      </c>
      <c r="BS378" s="36"/>
      <c r="BT378" s="147"/>
      <c r="BU378" s="13"/>
      <c r="BV378" s="5"/>
      <c r="BW378" s="419" t="b">
        <f>AND(ISNUMBER(SnapshotTable[[#This Row],[SP Exp Date]]), ISNUMBER(SnapshotTable[[#This Row],[SP Strike Price]]), ISNUMBER(SnapshotTable[[#This Row],[SP Qty]]), ISNUMBER(SnapshotTable[[#This Row],[SP Book Date]]), ISNUMBER(SnapshotTable[[#This Row],[SP Book Price]]))</f>
        <v>0</v>
      </c>
      <c r="BX378" s="419" t="b">
        <f>AND(SnapshotTable[[#This Row],[SP Is Booked]], NOT(ISBLANK(SnapshotTable[[#This Row],[SP Fill Date]])))</f>
        <v>0</v>
      </c>
      <c r="BY378" s="33">
        <f>IF(SnapshotTable[[#This Row],[SP Is Booked]], SnapshotTable[[#This Row],[SP Qty]] * SnapshotTable[[#This Row],[SP Book Price]] * 100, 0)</f>
        <v>0</v>
      </c>
      <c r="BZ378" s="369"/>
      <c r="CA378" s="368">
        <f>SnapshotTable[[#This Row],[LP Qty]]</f>
        <v>0</v>
      </c>
      <c r="CB378" s="4" t="str">
        <f>IF(SnapshotTable[[#This Row],[SP Is Booked]], SnapshotTable[[#This Row],[SP Strike Price]] - SnapshotTable[[#This Row],[SP Book Price]], "")</f>
        <v/>
      </c>
      <c r="CC378" s="19" t="str">
        <f>IF(SnapshotTable[[#This Row],[SP Is Booked]],SnapshotTable[[#This Row],[SP Exp Date]]-MAX(SnapshotTable[[#This Row],[SP Book Date]], SnapshotTable[[#This Row],[SP Fill Date]]),"")</f>
        <v/>
      </c>
      <c r="CD378" s="7" t="str">
        <f>IF(SnapshotTable[[#This Row],[SP Is Booked]], SnapshotTable[[#This Row],[SP Book Price]]/SnapshotTable[[#This Row],[SP Strike Price]], "")</f>
        <v/>
      </c>
      <c r="CE378" s="7" t="str">
        <f>IF(ISNUMBER(SnapshotTable[[#This Row],[SP ROO Term]]),SnapshotTable[[#This Row],[SP ROO Term]]*(365/SnapshotTable[[#This Row],[SP Term]]),"")</f>
        <v/>
      </c>
      <c r="CF378" s="236">
        <f>SnapshotTable[[#This Row],[LP Strike Price]] * SnapshotTable[[#This Row],[LP Qty]] * 100</f>
        <v>0</v>
      </c>
      <c r="CG378" s="31" t="e">
        <f>IF(ISNUMBER(SnapshotTable[[#This Row],[SP Premium]]), (SnapshotTable[[#This Row],[SP Qty]] * SnapshotTable[[#This Row],[SP Strike Price]]* 100) - SnapshotTable[[#This Row],[LP Protection]], 0)</f>
        <v>#VALUE!</v>
      </c>
      <c r="CH378" s="7" t="str">
        <f>IF(ISNUMBER(SnapshotTable[[#This Row],[SP Break Even]]),-1 * (SnapshotTable[[#This Row],[SP Break Even]] - SnapshotTable[[#This Row],[Last Price]]) / SnapshotTable[[#This Row],[Last Price]], "")</f>
        <v/>
      </c>
      <c r="CI378" s="31">
        <f>IF(AND(ISNUMBER((SnapshotTable[[#This Row],[SP Potential Spend]])), SnapshotTable[[#This Row],[SP Strike Price]] &gt; SnapshotTable[[#This Row],[Last Price]], SnapshotTable[[#This Row],[SP Is Filled]]), SnapshotTable[[#This Row],[SP Potential Spend]] -  SnapshotTable[[#This Row],[LP Max Value]], 0)</f>
        <v>0</v>
      </c>
      <c r="CJ378" s="244"/>
      <c r="CK378" s="31" t="str">
        <f>IF(ISNUMBER(SnapshotTable[[#This Row],[SP Potential Spend]]),IF(ISNUMBER(SnapshotTable[[#This Row],[SP POW]]), SnapshotTable[[#This Row],[SP POW]] * SnapshotTable[[#This Row],[SP Potential Spend]], SnapshotTable[[#This Row],[SP Potential Spend]]), "")</f>
        <v/>
      </c>
      <c r="CL378" s="164" t="e">
        <f>IF(NOT(SnapshotTable[[#This Row],[SP Is Filled]]),(SnapshotTable[[#This Row],[SP Qty]] * SnapshotTable[[#This Row],[SP Strike Price]] * 100) - SnapshotTable[[#This Row],[LP Max Value]],"")</f>
        <v>#VALUE!</v>
      </c>
      <c r="CM378" s="31" t="str">
        <f>IF(SnapshotTable[[#This Row],[SP Actual Spend]]&lt;&gt;0, ((SnapshotTable[[#This Row],[SP Strike Price]]-SnapshotTable[[#This Row],[Last Price]]) *(SnapshotTable[[#This Row],[SP Qty]]*100) - SnapshotTable[[#This Row],[SP Premium]]) * - 1, "")</f>
        <v/>
      </c>
      <c r="CN378" s="78"/>
      <c r="CO378" s="369"/>
      <c r="CP378" s="4" t="str">
        <f>IF(SnapshotTable[[#This Row],[SP Is Filled]], btc_max_buyback_amount(SnapshotTable[[#This Row],[SP Fill Date]],SnapshotTable[[#This Row],[SP Exp Date]], SnapshotTable[[#This Row],[SP Book Price]]),"")</f>
        <v/>
      </c>
      <c r="CQ378" s="78"/>
      <c r="CR37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8" s="155" t="str">
        <f>IF(SnapshotTable[[#This Row],[SP Is Filled]], btc_next_cutoff_date(SnapshotTable[[#This Row],[SP Fill Date]],SnapshotTable[[#This Row],[SP Exp Date]]),"")</f>
        <v/>
      </c>
      <c r="CT378" s="235" t="str" cm="1">
        <f t="array" ref="CT378">IF(SnapshotTable[[#This Row],[SP Is Filled]], btc_should_buy_back(SnapshotTable[[#This Row],[SP Fill Date]], SnapshotTable[[#This Row],[SP Exp Date]], SnapshotTable[[#This Row],[SP Book Price]], SnapshotTable[[#This Row],[SP Current Ask]], MockToday, SnapshotTable[[#This Row],[SP Buyback Override]]),"")</f>
        <v/>
      </c>
      <c r="CU378" s="143"/>
      <c r="CV378" s="235"/>
      <c r="CW378" s="378" t="str">
        <f>IF(ISNUMBER( SnapshotTable[[#This Row],[SP Term]]), SnapshotTable[[#This Row],[SP Exp Date]] - MockToday,"")</f>
        <v/>
      </c>
      <c r="CX378" s="31" t="str">
        <f>IF(SnapshotTable[[#This Row],[SP Is Filled]],SnapshotTable[[#This Row],[SP Buyback Price to Use]] * 100 * SnapshotTable[[#This Row],[SP Qty]], "")</f>
        <v/>
      </c>
      <c r="CY378" s="4" t="str">
        <f>IF(ISNUMBER(SnapshotTable[[#This Row],[SP Strike Price]]), SnapshotTable[[#This Row],[SP Strike Price]] * (1 - SP_MaxLoss_StrikePct), "")</f>
        <v/>
      </c>
      <c r="CZ378" s="31" t="str">
        <f>IF(ISNUMBER(SnapshotTable[[#This Row],[SP Strike  Stop Per Share]]),SnapshotTable[[#This Row],[SP Premium]] - ((SnapshotTable[[#This Row],[SP Strike Price]]-SnapshotTable[[#This Row],[SP Strike  Stop Per Share]]) *(SnapshotTable[[#This Row],[SP Qty]] * 100)),"")</f>
        <v/>
      </c>
      <c r="DA378" s="4" t="str">
        <f>IF(AND(ISNUMBER(SnapshotTable[[#This Row],[SP Premium]]),SnapshotTable[[#This Row],[SP Premium]]&gt;0), SnapshotTable[[#This Row],[SP Book Price]] * (1 + SP_MaxLoss_OptionPct), "")</f>
        <v/>
      </c>
      <c r="DB378" s="31" t="str">
        <f>IF(ISNUMBER(SnapshotTable[[#This Row],[SP Option  Stop Contract]]),(SnapshotTable[[#This Row],[SP Option  Stop Contract]] *(SnapshotTable[[#This Row],[SP Qty]] * 100) - SnapshotTable[[#This Row],[SP Premium]]),"")</f>
        <v/>
      </c>
      <c r="DC378" s="4"/>
      <c r="DD378" s="4"/>
      <c r="DE378" s="4" t="str">
        <f>IF(AND(SnapshotTable[[#This Row],[SP Qty]]&gt;0, SnapshotTable[[#This Row],[SP Stop To Use]]&gt;0),SnapshotTable[[#This Row],[SP Premium]] - ( SnapshotTable[[#This Row],[SP Qty]] * SnapshotTable[[#This Row],[SP Stop To Use]] * 100), "")</f>
        <v/>
      </c>
      <c r="DF378" s="31" t="str">
        <f>IF(AND(SnapshotTable[[#This Row],[SP Qty]]&gt;0,SnapshotTable[[#This Row],[SP Current Ask]]&gt;0), SnapshotTable[[#This Row],[SP Qty]] * SnapshotTable[[#This Row],[SP Current Ask]] * -100, "")</f>
        <v/>
      </c>
      <c r="DG378" s="31" t="str">
        <f>IF(ISNUMBER((SnapshotTable[[#This Row],[SP Total Value]])), SnapshotTable[[#This Row],[SP Premium]] + SnapshotTable[[#This Row],[SP Total Value]], "")</f>
        <v/>
      </c>
      <c r="DH378" s="294" t="str">
        <f>IF(ISNUMBER((SnapshotTable[[#This Row],[SP Total Value]])), SnapshotTable[[#This Row],[SP Gain Loss]] / SnapshotTable[[#This Row],[SP Premium]], "")</f>
        <v/>
      </c>
      <c r="DI378" s="406"/>
      <c r="DJ378" s="138"/>
      <c r="DK378" s="148"/>
      <c r="DL378" s="13"/>
      <c r="DM378" s="13"/>
      <c r="DO378" s="31">
        <f>IF(SnapshotTable[[#This Row],[LC Symbol Count]]=1, SnapshotTable[[#This Row],[LC Qty]] * SnapshotTable[[#This Row],[LC Book Price]] * 100, 0)</f>
        <v>0</v>
      </c>
      <c r="DP378" s="163" t="str">
        <f>IF(AND(SnapshotTable[[#This Row],[LC Exp Date]]&gt;0, SnapshotTable[[#This Row],[LC Strike Price]]&gt;0,SnapshotTable[[#This Row],[LC Qty]]&gt;0,SnapshotTable[[#This Row],[LC Book Date]]&gt;0,SnapshotTable[[#This Row],[LC Book Price]]&gt;0,SnapshotTable[[#This Row],[LC Fill Date]]=0),"Y","")</f>
        <v/>
      </c>
      <c r="DQ378" s="386" t="str">
        <f>IF(SnapshotTable[[#This Row],[LC Premium]] &gt; 0,SnapshotTable[[#This Row],[LC Exp Date]]-MAX(SnapshotTable[[#This Row],[LC Book Date]], SnapshotTable[[#This Row],[LC Fill Date]]),"")</f>
        <v/>
      </c>
      <c r="DR378" s="386" t="str">
        <f>IF(ISNUMBER(SnapshotTable[[#This Row],[LC Term]]), SnapshotTable[[#This Row],[LC Exp Date]] - MockToday, "")</f>
        <v/>
      </c>
      <c r="DS378" s="234" t="str">
        <f>IF(SnapshotTable[[#This Row],[LC Premium]]&gt;0,SnapshotTable[[#This Row],[LC Strike Price]] + SnapshotTable[[#This Row],[LC Book Price]],"")</f>
        <v/>
      </c>
      <c r="DU378" s="9" t="str">
        <f>IF(AND(SnapshotTable[[#This Row],[LC Symbol Count]]&gt;0, SnapshotTable[[#This Row],[LC Contract Value]]&gt;0), SnapshotTable[[#This Row],[LC Contract Value]] * SnapshotTable[[#This Row],[LC Qty]] * 100, "")</f>
        <v/>
      </c>
      <c r="DV378" s="9" t="str">
        <f>IF(AND(ISNUMBER(SnapshotTable[[#This Row],[LC Total Value]]), SnapshotTable[[#This Row],[LC Not Filled]]&lt;&gt;"Y"), SnapshotTable[[#This Row],[LC Total Value]]-SnapshotTable[[#This Row],[LC Premium]],"")</f>
        <v/>
      </c>
      <c r="DW378" s="240" t="str">
        <f>IF(ISNUMBER(SnapshotTable[[#This Row],[LC Actual Gain Loss]]), SnapshotTable[[#This Row],[LC Actual Gain Loss]] / SnapshotTable[[#This Row],[LC Premium]],"")</f>
        <v/>
      </c>
      <c r="DX378" s="284" t="str">
        <f>IF(ISNUMBER(SnapshotTable[[#This Row],[LC Book Price]]),SnapshotTable[[#This Row],[LC Book Price]] * 1.5,"")</f>
        <v/>
      </c>
      <c r="DY378" s="265" t="str">
        <f>IF(SnapshotTable[[#This Row],[LC Premium]]&gt;0, SnapshotTable[[#This Row],[LC Next Target]] * SnapshotTable[[#This Row],[LC Qty]] * 100,"")</f>
        <v/>
      </c>
      <c r="DZ378" s="265" t="str">
        <f>IF(ISNUMBER(SnapshotTable[[#This Row],[LC Target Gross]]), SnapshotTable[[#This Row],[LC Target Gross]] - SnapshotTable[[#This Row],[LC Premium]], "")</f>
        <v/>
      </c>
      <c r="EA378" s="305" t="str">
        <f>IF(ISNUMBER(SnapshotTable[[#This Row],[LC Target Gain Loss]]), SnapshotTable[[#This Row],[LC Target Gain Loss]]/SnapshotTable[[#This Row],[LC Premium]], "")</f>
        <v/>
      </c>
      <c r="EB378" s="262"/>
      <c r="EC378" s="283" t="str">
        <f>IF(SnapshotTable[[#This Row],[LC Premium]]&gt;0, SnapshotTable[[#This Row],[LC Book Price]] * (1 - LC_StopLoss_Pct),"")</f>
        <v/>
      </c>
      <c r="ED378" s="284"/>
      <c r="EE378" s="283" t="str">
        <f>IF(ISNUMBER(SnapshotTable[[#This Row],[LC Contract Value]]),IF(ISNUMBER(SnapshotTable[[#This Row],[LC Stop Loss Override]]), SnapshotTable[[#This Row],[LC Stop Loss Override]],SnapshotTable[[#This Row],[LC Stop Loss Calc Target]]),"")</f>
        <v/>
      </c>
      <c r="EF378" s="31" t="str">
        <f>IF(ISNUMBER(SnapshotTable[[#This Row],[LC Stop  To Use]]), (SnapshotTable[[#This Row],[LC Stop  To Use]] * SnapshotTable[[#This Row],[LC Qty]] * 100),"")</f>
        <v/>
      </c>
      <c r="EG378" s="9" t="str">
        <f>IF(ISNUMBER(SnapshotTable[[#This Row],[LC Total Value]]),SnapshotTable[[#This Row],[LC Stop Loss Amount]] - SnapshotTable[[#This Row],[LC Premium]],"")</f>
        <v/>
      </c>
      <c r="EH378" s="9">
        <f>IF(ISNUMBER(SnapshotTable[[#This Row],[LC Premium]]), SnapshotTable[[#This Row],[LC Qty]] * 100 * SnapshotTable[[#This Row],[LC Strike Price]], "")</f>
        <v>0</v>
      </c>
      <c r="EI378" s="240" t="str">
        <f>IF(AND(ISNUMBER(SnapshotTable[[#This Row],[LC Total Value]]),SnapshotTable[[#This Row],[LC Total Value]]&gt;0),SnapshotTable[[#This Row],[LC Stop Gain Loss]]  / SnapshotTable[[#This Row],[LC Premium]],"")</f>
        <v/>
      </c>
      <c r="EJ378" s="35">
        <f>IF(ISNUMBER(SnapshotTable[[#This Row],[Equity Shares]]),TRUNC(SnapshotTable[[#This Row],[Equity Shares]] / 100),0) + SnapshotTable[[#This Row],[LC Qty]]</f>
        <v>0</v>
      </c>
      <c r="EK378" s="147"/>
      <c r="EL378" s="138" t="str">
        <f>IF(SnapshotTable[[#This Row],[SC Exp Date]]&lt;&gt;"",TRUNC(SnapshotTable[[#This Row],[Last Price]]),"")</f>
        <v/>
      </c>
      <c r="EM378" s="148"/>
      <c r="EN378" s="147"/>
      <c r="EO378" s="147"/>
      <c r="EP378" s="138"/>
      <c r="EQ378" s="419" t="b">
        <f>AND(ISNUMBER(SnapshotTable[[#This Row],[SC Exp Date]]), ISNUMBER(SnapshotTable[[#This Row],[SC Strike Price]]), ISNUMBER(SnapshotTable[[#This Row],[SC Qty]]), ISNUMBER(SnapshotTable[[#This Row],[SC Book Date]]), ISNUMBER(SnapshotTable[[#This Row],[SC Book Price]]))</f>
        <v>0</v>
      </c>
      <c r="ER378" s="419" t="b">
        <f>AND(SnapshotTable[[#This Row],[SC Is Booked]], NOT(ISBLANK(SnapshotTable[[#This Row],[SC Fill Date]])))</f>
        <v>0</v>
      </c>
      <c r="ES378" s="370"/>
      <c r="ET378" s="34" t="str">
        <f>IF(AND(ISNUMBER(SnapshotTable[[#This Row],[SC Exp Date]]), ISNUMBER(SnapshotTable[[#This Row],[SC Book Date]])), SnapshotTable[[#This Row],[SC Exp Date]] - MAX(SnapshotTable[[#This Row],[SC Book Date]], SnapshotTable[[#This Row],[SC Fill Date]]) + 1, "")</f>
        <v/>
      </c>
      <c r="EU378" s="34" t="str">
        <f>IF(ISNUMBER(SnapshotTable[[#This Row],[SC Term]]), SnapshotTable[[#This Row],[SC Exp Date]]- MockToday, "")</f>
        <v/>
      </c>
      <c r="EV378" s="31">
        <f>IF(SnapshotTable[[#This Row],[SC Is Booked]], SnapshotTable[[#This Row],[SC Qty]] * SnapshotTable[[#This Row],[SC Book Price]] * 100, 0)</f>
        <v>0</v>
      </c>
      <c r="EW378" s="4" t="str">
        <f>IF(AND(ISNUMBER(SnapshotTable[[#This Row],[Last Price]]), ISNUMBER( SnapshotTable[[#This Row],[SC Book Price]])), SnapshotTable[[#This Row],[Last Price]] - SnapshotTable[[#This Row],[SC Book Price]],"")</f>
        <v/>
      </c>
      <c r="EX378" s="234" t="str">
        <f>IF(SnapshotTable[[#This Row],[SC Is Booked]],IF(SnapshotTable[[#This Row],[SC Intrinsic Value]] &gt; 0, SnapshotTable[[#This Row],[SC Strike Price]], SnapshotTable[[#This Row],[Last Price]]), "")</f>
        <v/>
      </c>
      <c r="EY378" s="4">
        <f>IF(SnapshotTable[[#This Row],[SC Is Booked]], (MinimumPremiumRequired * SnapshotTable[[#This Row],[SC Basis]] * SnapshotTable[[#This Row],[SC Term]]), 0)</f>
        <v>0</v>
      </c>
      <c r="EZ378" s="283"/>
      <c r="FA378" s="218"/>
      <c r="FB378" s="370"/>
      <c r="FC378" s="4">
        <f>IF(SnapshotTable[[#This Row],[SC Is Filled]], btc_max_buyback_amount(SnapshotTable[[#This Row],[SC Fill Date]],SnapshotTable[[#This Row],[SC Exp Date]], SnapshotTable[[#This Row],[SC Book Price]]),0)</f>
        <v>0</v>
      </c>
      <c r="FD378" s="5">
        <v>0.8</v>
      </c>
      <c r="FE378" s="144" t="str">
        <f>IF(SnapshotTable[[#This Row],[SC Is Filled]], btc_next_cutoff_date(SnapshotTable[[#This Row],[SC Fill Date]],SnapshotTable[[#This Row],[SC Exp Date]]),"")</f>
        <v/>
      </c>
      <c r="FF378" s="4" t="str" cm="1">
        <f t="array" ref="FF378">IF(SnapshotTable[[#This Row],[SC Is Filled]], btc_should_buy_back(SnapshotTable[[#This Row],[SC Fill Date]], SnapshotTable[[#This Row],[SC Exp Date]], SnapshotTable[[#This Row],[SC Book Price]], SnapshotTable[[#This Row],[SC Current Ask]], MockToday, SnapshotTable[[#This Row],[SC Buyback Override]]),"")</f>
        <v/>
      </c>
      <c r="FG378" s="4">
        <f>IF(SnapshotTable[[#This Row],[SC Is Filled]], MAX(0,SnapshotTable[[#This Row],[Last Price]]  - SnapshotTable[[#This Row],[SC Strike Price]]), 0)</f>
        <v>0</v>
      </c>
      <c r="FH378" s="382">
        <f>IF(SnapshotTable[[#This Row],[SC Is Filled]], IF(ISNUMBER(SnapshotTable[[#This Row],[SC Current Ask]]), SnapshotTable[[#This Row],[SC Current Ask]], SnapshotTable[[#This Row],[SC Book Price]]) - SnapshotTable[[#This Row],[SC Intrinsic Value]], 0)</f>
        <v>0</v>
      </c>
      <c r="FI378" s="143"/>
      <c r="FJ378" s="32" t="str">
        <f>IF(SnapshotTable[[#This Row],[SC Is Filled]],100 * SnapshotTable[[#This Row],[SC Qty]] * IF(ISNUMBER(SnapshotTable[[#This Row],[SC Buyback Override]]), SnapshotTable[[#This Row],[SC Buyback Override]], SnapshotTable[[#This Row],[SC Current Ask]]), "")</f>
        <v/>
      </c>
      <c r="FK378" s="250" t="str">
        <f>IF(SnapshotTable[[#This Row],[SC Time Val]]&gt;0, SnapshotTable[[#This Row],[SC Time Val]] / SnapshotTable[[#This Row],[Last Price]],"")</f>
        <v/>
      </c>
      <c r="FL378" s="302" t="str">
        <f>IF(SnapshotTable[[#This Row],[SC Is Booked]], ((SnapshotTable[[#This Row],[Last Price]] -SnapshotTable[[#This Row],[SC Strike Price]]) / SnapshotTable[[#This Row],[Last Price]]) * -1, "")</f>
        <v/>
      </c>
      <c r="FM378" s="157" t="str">
        <f>IF(SnapshotTable[[#This Row],[SC Is Booked]],  (SnapshotTable[[#This Row],[SC Qty]] * 100 * SnapshotTable[[#This Row],[SC Strike Price]]) - SnapshotTable[[#This Row],[SC Current Ask]], "")</f>
        <v/>
      </c>
      <c r="FN37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8" s="31" t="str">
        <f>IF(AND(ISNUMBER(SnapshotTable[[#This Row],[SC Exercise Gross]]), ISNUMBER(SnapshotTable[[#This Row],[Equity Basis Per Share]] )), SnapshotTable[[#This Row],[SC Exercise Gross]] - SnapshotTable[[#This Row],[Equity Basis Total]] +  SnapshotTable[[#This Row],[SC Premium]], "")</f>
        <v/>
      </c>
      <c r="FP378" s="5" t="str">
        <f>IF(ISNUMBER(SnapshotTable[[#This Row],[SC Exercise Gross]]), (SnapshotTable[[#This Row],[SC Exercise Gross]]) / (SnapshotTable[[#This Row],[SC Qty]] * 100), "")</f>
        <v/>
      </c>
      <c r="FQ378" s="27" t="str">
        <f>IF(SnapshotTable[[#This Row],[SC Is Booked]],SnapshotTable[[#This Row],[SC Time Val]] /SnapshotTable[[#This Row],[SC Basis]], "")</f>
        <v/>
      </c>
      <c r="FR378" s="27" t="str" cm="1">
        <f t="array" ref="FR378">IF(AND(ISNUMBER(SnapshotTable[[#This Row],[SC Term]]),ISNUMBER(SnapshotTable[[#This Row],[SC Simple ROO]])), EllmanAnnualize(SnapshotTable[[#This Row],[SC DTE]], SnapshotTable[[#This Row],[SC Simple ROO]] ),"")</f>
        <v/>
      </c>
      <c r="FS378" s="4" t="e">
        <f>IF(SnapshotTable[[#This Row],[SC Strike Price]] &gt; SnapshotTable[[#This Row],[Last Price]], SnapshotTable[[#This Row],[SC Strike Price]] - SnapshotTable[[#This Row],[Last Price]],0)</f>
        <v>#VALUE!</v>
      </c>
      <c r="FT378" s="27" t="e">
        <f>IF(AND(ISNUMBER(SnapshotTable[[#This Row],[SC Upside Potential]]), SnapshotTable[[#This Row],[SC Upside Potential]] &gt; 0),(SnapshotTable[[#This Row],[SC Upside Potential]]/ SnapshotTable[[#This Row],[ACB]]),"")</f>
        <v>#VALUE!</v>
      </c>
      <c r="FU378" s="333" t="str">
        <f>IF(SnapshotTable[[#This Row],[SC Intrinsic Value]] &gt; 0,SnapshotTable[[#This Row],[SC Intrinsic Value]],"")</f>
        <v/>
      </c>
      <c r="FV378" s="27" t="str">
        <f>IF(AND( ISNUMBER( SnapshotTable[[#This Row],[ACB]]),ISNUMBER(SnapshotTable[[#This Row],[SC Downside Protect]])),SnapshotTable[[#This Row],[SC Downside Protect]] / SnapshotTable[[#This Row],[ACB]],"")</f>
        <v/>
      </c>
      <c r="FW378" s="236" t="str">
        <f>IF(AND(ISNUMBER(SnapshotTable[[#This Row],[SC Simple ROO]]),SnapshotTable[[#This Row],[SC Simple ROO]] &gt; 0), SnapshotTable[[#This Row],[SC Premium]] + (SnapshotTable[[#This Row],[SC Qty]] * SnapshotTable[[#This Row],[SC Upside Potential]]), "")</f>
        <v/>
      </c>
      <c r="FX378" s="302" t="str" cm="1">
        <f t="array" ref="FX378">IF(ISNUMBER(SnapshotTable[[#This Row],[SC Max Dollars]]), annualize(SnapshotTable[[#This Row],[SC Term]],(SnapshotTable[[#This Row],[SC Max Dollars]]/SnapshotTable[[#This Row],[SC Basis]])),"")</f>
        <v/>
      </c>
      <c r="FY378" s="236" t="str">
        <f>IF(AND(SnapshotTable[[#This Row],[SC Qty]]&gt;0,SnapshotTable[[#This Row],[SC Current Ask]]&gt;0), SnapshotTable[[#This Row],[SC Qty]] * SnapshotTable[[#This Row],[SC Current Ask]] * -100, "")</f>
        <v/>
      </c>
      <c r="FZ378" s="31" t="str">
        <f>IF(ISNUMBER((SnapshotTable[[#This Row],[SC Current Value]])), SnapshotTable[[#This Row],[SC Premium]] + SnapshotTable[[#This Row],[SC Current Value]], "")</f>
        <v/>
      </c>
      <c r="GA378" s="294" t="str">
        <f>IFERROR( IF(ISNUMBER((SnapshotTable[[#This Row],[SC Current Value]])), SnapshotTable[[#This Row],[SC Gain Loss]] / SnapshotTable[[#This Row],[SC Premium]], ""), "")</f>
        <v/>
      </c>
      <c r="GB378" s="42">
        <f>SnapshotTable[[#This Row],[Equity Shares]] * SaleSharesToConsiderPercentage</f>
        <v>0</v>
      </c>
      <c r="GC378" s="40" t="e">
        <f>SnapshotTable[[#This Row],[Long Term Target]] * SellingPriceToConsiderBasedOnTargetPercentage</f>
        <v>#VALUE!</v>
      </c>
      <c r="GD378" s="40">
        <f>SnapshotTable[[#This Row],[Last Price]] * (1+ SellingPriceToConsiderBasedOnTargetPercentage)</f>
        <v>173.04299999999998</v>
      </c>
      <c r="GE378" s="41"/>
      <c r="GF378" s="40"/>
      <c r="GG378" s="31">
        <f>SnapshotTable[[#This Row],[Booked Sale Shares]] * SnapshotTable[[#This Row],[Booked Sale Price]]</f>
        <v>0</v>
      </c>
      <c r="GH378" s="31" t="str">
        <f>IF(SnapshotTable[[#This Row],[Equity Basis Total]] &gt; 0, SnapshotTable[[#This Row],[Equity Basis Per Share]] * SnapshotTable[[#This Row],[Booked Sale Shares]], "")</f>
        <v/>
      </c>
      <c r="GI378" s="31">
        <f>IF(SnapshotTable[[#This Row],[Sale Proceeds]]&gt;0, SnapshotTable[[#This Row],[Sale Proceeds]] - SnapshotTable[[#This Row],[Sale Basis]], 0)</f>
        <v>0</v>
      </c>
      <c r="GJ378" s="27" t="str">
        <f>IF(SnapshotTable[[#This Row],[Sale G/L]]&gt;0, SnapshotTable[[#This Row],[Sale G/L]] / SnapshotTable[[#This Row],[Sale Basis]], IF(ISNUMBER(SnapshotTable[[#This Row],[SC Exercise P&amp;L (TAX)]]), SnapshotTable[[#This Row],[SC Exercise P&amp;L (TAX)]] / SnapshotTable[[#This Row],[SC Basis]], ""))</f>
        <v/>
      </c>
      <c r="GK378" s="27" t="s">
        <v>808</v>
      </c>
      <c r="GL378" s="43" t="str">
        <f>IF(AND(SnapshotTable[[#This Row],[LP Exp Date]]&gt;0,SnapshotTable[[#This Row],[LP Strike Price]]&gt;0), [1]!ToOptionSymbol(SnapshotTable[[#This Row],[Symbol]], SnapshotTable[[#This Row],[LP Strike Price]],SnapshotTable[[#This Row],[LP Exp Date]],1), "")</f>
        <v/>
      </c>
      <c r="GM378" s="30" t="str">
        <f>IF(LEN(SnapshotTable[[#This Row],[LP Symbol]])&gt;0, 1, "")</f>
        <v/>
      </c>
      <c r="GN378" s="43" t="str">
        <f>IF(AND(SnapshotTable[[#This Row],[SP Exp Date]]&gt;0,SnapshotTable[[#This Row],[SP Strike Price]]&gt;0), [1]!ToOptionSymbol(SnapshotTable[[#This Row],[Symbol]], SnapshotTable[[#This Row],[SP Strike Price]],SnapshotTable[[#This Row],[SP Exp Date]],1), "")</f>
        <v/>
      </c>
      <c r="GO378" s="30" t="str">
        <f>IF(LEN(SnapshotTable[[#This Row],[SP Symbol]])&gt;0, 1, "")</f>
        <v/>
      </c>
      <c r="GP378" s="43" t="str">
        <f>IF(AND(SnapshotTable[[#This Row],[LC Exp Date]]&gt;0,SnapshotTable[[#This Row],[LC Strike Price]]&gt;0), [1]!ToOptionSymbol(SnapshotTable[[#This Row],[Symbol]], SnapshotTable[[#This Row],[LC Strike Price]],SnapshotTable[[#This Row],[LC Exp Date]],0), "")</f>
        <v/>
      </c>
      <c r="GQ378" s="30" t="str">
        <f>IF(LEN(SnapshotTable[[#This Row],[LC Symbol]])&gt;0, 1, "")</f>
        <v/>
      </c>
      <c r="GR378" s="43" t="str">
        <f>IF(AND(SnapshotTable[[#This Row],[SC Exp Date]]&gt;0,SnapshotTable[[#This Row],[SC Strike Price]]&gt;0), [1]!ToOptionSymbol(SnapshotTable[[#This Row],[Symbol]], SnapshotTable[[#This Row],[SC Strike Price]],SnapshotTable[[#This Row],[SC Exp Date]],0), "")</f>
        <v/>
      </c>
      <c r="GS378" s="30" t="str">
        <f>IF(LEN(SnapshotTable[[#This Row],[SC Symbol]])&gt;0, 1, "")</f>
        <v/>
      </c>
      <c r="GT378" s="29" t="str">
        <f>IF(COUNT(SnapshotTable[[#This Row],[LP Symbol Count]],SnapshotTable[[#This Row],[SP Symbol Count]],SnapshotTable[[#This Row],[LC Symbol Count]],SnapshotTable[[#This Row],[SC Symbol Count]])&gt;0, "Y", "")</f>
        <v/>
      </c>
      <c r="GU37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8" s="231" t="e">
        <f>MAX(SnapshotTable[[#This Row],[Equity Basis Total]],SnapshotTable[[#This Row],[Equity Value]]) + (SnapshotTable[[#This Row],[SP Potential Spend]]- SnapshotTable[[#This Row],[SP Premium]] + SnapshotTable[[#This Row],[LP Premium]])+ (SnapshotTable[[#This Row],[LC Premium]] - SnapshotTable[[#This Row],[SC Premium]])</f>
        <v>#VALUE!</v>
      </c>
      <c r="GW378" s="139" t="e">
        <f>IF(AND(SnapshotTable[[#This Row],[Exposure]] &lt;&gt; 0),SnapshotTable[[#This Row],[Exposure]] / SnapshotTable[[#Totals],[Exposure]], "")</f>
        <v>#VALUE!</v>
      </c>
      <c r="GX378" s="2"/>
      <c r="GY378" s="387"/>
      <c r="GZ378"/>
      <c r="HA378" s="2"/>
      <c r="HB378" s="2"/>
      <c r="HK378" s="1"/>
      <c r="HL378" s="1"/>
      <c r="HM378" s="1"/>
      <c r="HN378" s="1"/>
      <c r="HO378" s="1"/>
      <c r="HP378" s="1"/>
    </row>
    <row r="379" spans="2:224" ht="12.75" hidden="1" customHeight="1" x14ac:dyDescent="0.25">
      <c r="B379" s="12" t="s">
        <v>994</v>
      </c>
      <c r="C379" s="422">
        <v>24.81</v>
      </c>
      <c r="D379" s="208"/>
      <c r="E379" s="39">
        <f>SnapshotTable[[#This Row],[Last Price]]*(1 -CrashDiscount)</f>
        <v>21.0885</v>
      </c>
      <c r="F379" s="26" t="s">
        <v>607</v>
      </c>
      <c r="G379" s="26" t="s">
        <v>606</v>
      </c>
      <c r="H379" s="149"/>
      <c r="I379" s="194">
        <v>44777.670138888891</v>
      </c>
      <c r="J379" s="195">
        <v>44777.670138888891</v>
      </c>
      <c r="K379" s="196"/>
      <c r="L379" s="326"/>
      <c r="M379" s="140"/>
      <c r="N379" s="140"/>
      <c r="O379" s="140"/>
      <c r="P379" s="22"/>
      <c r="Q379" s="25"/>
      <c r="R379" s="4" t="str">
        <f>IF(SnapshotTable[[#This Row],[Equity Basis Total]] &gt; 0, SnapshotTable[[#This Row],[Equity Basis Total]] / SnapshotTable[[#This Row],[Equity Shares]], "")</f>
        <v/>
      </c>
      <c r="S379" s="269">
        <f>SnapshotTable[[#This Row],[Last Price]] * SnapshotTable[[#This Row],[Equity Shares]]</f>
        <v>0</v>
      </c>
      <c r="T379" s="269">
        <f>SnapshotTable[[#This Row],[Equity Value]] - SnapshotTable[[#This Row],[Equity Basis Total]]</f>
        <v>0</v>
      </c>
      <c r="U379" s="270" t="str">
        <f>IF(SnapshotTable[[#This Row],[Equity Basis Total]] &gt; 0, SnapshotTable[[#This Row],[Equity G/L]] / SnapshotTable[[#This Row],[Equity Basis Total]], "")</f>
        <v/>
      </c>
      <c r="V379" s="268"/>
      <c r="W379" s="268"/>
      <c r="X379" s="4" t="str">
        <f>IF(AND(ISNUMBER(SnapshotTable[[#This Row],[Equity Basis Per Share]]),ISNUMBER(SnapshotTable[[#This Row],[Equity Target]])),SnapshotTable[[#This Row],[Equity Target]]-SnapshotTable[[#This Row],[Equity Basis Per Share]],"")</f>
        <v/>
      </c>
      <c r="Y379" s="4" t="str">
        <f>IF(AND(ISNUMBER(SnapshotTable[[#This Row],[Equity Basis Per Share]]),ISNUMBER(SnapshotTable[[#This Row],[Equity Stop Loss]])),SnapshotTable[[#This Row],[Equity Stop Loss]]-SnapshotTable[[#This Row],[Equity Basis Per Share]],"")</f>
        <v/>
      </c>
      <c r="Z379" s="275" t="str">
        <f>IFERROR( TEXT(SnapshotTable[[#This Row],[Equity Max Gain Per Share]] /ABS( SnapshotTable[[#This Row],[Equity Max Loss Per Share]]),"0.0 " ) &amp; " : 1", "")</f>
        <v/>
      </c>
      <c r="AA379" s="31" t="str">
        <f>IF(ISNUMBER(SnapshotTable[[#This Row],[Equity Max Gain Per Share]]),SnapshotTable[[#This Row],[Equity Max Gain Per Share]] * SnapshotTable[[#This Row],[Equity Shares]],"")</f>
        <v/>
      </c>
      <c r="AB379" s="31" t="str">
        <f>IF(ISNUMBER(SnapshotTable[[#This Row],[Equity Max Loss Per Share]]),SnapshotTable[[#This Row],[Equity Max Loss Per Share]] * SnapshotTable[[#This Row],[Equity Shares]],"")</f>
        <v/>
      </c>
      <c r="AC379" s="150"/>
      <c r="AD379" s="151"/>
      <c r="AE379" s="31">
        <f>(SnapshotTable[[#This Row],[Annual Dividend Per Share]] / 4) * SnapshotTable[[#This Row],[Equity Shares]]</f>
        <v>0</v>
      </c>
      <c r="AF379" s="31">
        <f>SnapshotTable[[#This Row],[Quarterly Div $]] * 4</f>
        <v>0</v>
      </c>
      <c r="AG379" s="7">
        <f>IF(SnapshotTable[[#This Row],[Annual Dividend Per Share]]&gt;0, SnapshotTable[[#This Row],[Annual Dividend Per Share]]  / SnapshotTable[[#This Row],[Last Price]], 0)</f>
        <v>0</v>
      </c>
      <c r="AH379" s="151"/>
      <c r="AI379" s="5"/>
      <c r="AJ379" s="138">
        <v>40.799999999999997</v>
      </c>
      <c r="AK379" s="152" t="str">
        <f>IF(ISNUMBER( SnapshotTable[[#This Row],[EBF Target]]),(SnapshotTable[[#This Row],[EBF Target]] - SnapshotTable[[#This Row],[Last Price]]) / SnapshotTable[[#This Row],[Last Price]], "")</f>
        <v/>
      </c>
      <c r="AL379" s="152" t="str">
        <f>IF(AND(SnapshotTable[[#This Row],[Equity Basis Total]] &gt; 0,ISNUMBER( SnapshotTable[[#This Row],[Long Term Target]])), SnapshotTable[[#This Row],[From Basis $]] / SnapshotTable[[#This Row],[Equity Basis Total]], "")</f>
        <v/>
      </c>
      <c r="AM379" s="9">
        <f>IF( AND(SnapshotTable[[#This Row],[Equity Shares]] &gt;0,ISNUMBER( SnapshotTable[[#This Row],[Long Term Target]])),(SnapshotTable[[#This Row],[Equity Shares]] * SnapshotTable[[#This Row],[Long Term Target]]) - SnapshotTable[[#This Row],[Equity Basis Total]],0)</f>
        <v>0</v>
      </c>
      <c r="AN379" s="9">
        <f>IF( AND(SnapshotTable[[#This Row],[Equity Shares]] &gt;0,ISNUMBER( SnapshotTable[[#This Row],[Long Term Target]])),(SnapshotTable[[#This Row],[Equity Shares]]*SnapshotTable[[#This Row],[Long Term Target]]) - SnapshotTable[[#This Row],[Equity Value]],0)</f>
        <v>0</v>
      </c>
      <c r="AO379" s="152">
        <f>IF(AND(ISNUMBER( SnapshotTable[[#This Row],[Long Term Target]]), ISNUMBER(SnapshotTable[[#This Row],[Last Price]])),(SnapshotTable[[#This Row],[Long Term Target]] - SnapshotTable[[#This Row],[Last Price]]) / SnapshotTable[[#This Row],[Last Price]], "")</f>
        <v>0.6444981862152358</v>
      </c>
      <c r="AP379" s="5"/>
      <c r="AQ379" s="38"/>
      <c r="AR379" s="5"/>
      <c r="AS379" s="38"/>
      <c r="AT379" s="146"/>
      <c r="AU379" s="187" t="str">
        <f>IF(OR(SnapshotTable[[#This Row],[LP No Fill]]="Y",SnapshotTable[[#This Row],[SP Is Filled]],SnapshotTable[[#This Row],[LC Not Filled]]="Y",SnapshotTable[[#This Row],[SC Is Filled]]),"Y","")</f>
        <v/>
      </c>
      <c r="AV379" s="219"/>
      <c r="AW379" s="225"/>
      <c r="AX379" s="220"/>
      <c r="AY379" s="219" t="str">
        <f>IF(SnapshotTable[[#This Row],[Implied Move]]&gt;0, SnapshotTable[[#This Row],[Last Price]]-SnapshotTable[[#This Row],[Implied Move]],"")</f>
        <v/>
      </c>
      <c r="AZ379" s="219" t="str">
        <f>IF(SnapshotTable[[#This Row],[Implied Move]]&gt;0, SnapshotTable[[#This Row],[Last Price]] + SnapshotTable[[#This Row],[Implied Move]],"")</f>
        <v/>
      </c>
      <c r="BA379" s="331">
        <v>39.979999999999997</v>
      </c>
      <c r="BB379" s="347"/>
      <c r="BC37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9" s="351"/>
      <c r="BE379" s="138"/>
      <c r="BF379" s="166"/>
      <c r="BG379" s="167"/>
      <c r="BH379" s="167"/>
      <c r="BI379" s="221"/>
      <c r="BJ379" s="153">
        <f>IF(SnapshotTable[[#This Row],[LP Qty]] &gt; 0, SnapshotTable[[#This Row],[LP Qty]] * SnapshotTable[[#This Row],[LP Book Price]] * 100,0)</f>
        <v>0</v>
      </c>
      <c r="BK379" s="136">
        <f>IF(SnapshotTable[[#This Row],[LP Premium]] &gt; 0, SnapshotTable[[#This Row],[LP Qty]] * SnapshotTable[[#This Row],[LP Strike Price]] * 100,0)</f>
        <v>0</v>
      </c>
      <c r="BL379" s="154"/>
      <c r="BM379" s="385" t="str">
        <f>IF(SnapshotTable[[#This Row],[LP Premium]] &gt; 0,SnapshotTable[[#This Row],[LP Exp Date]]-MAX(SnapshotTable[[#This Row],[LP Book Date]], SnapshotTable[[#This Row],[LP Fill Date]]),"")</f>
        <v/>
      </c>
      <c r="BN379" s="385" t="str">
        <f>IF(ISNUMBER( SnapshotTable[[#This Row],[LP Term]]), SnapshotTable[[#This Row],[LP Exp Date]] - MockToday,"")</f>
        <v/>
      </c>
      <c r="BO379" s="163" t="str">
        <f>IF(AND(SnapshotTable[[#This Row],[LP Exp Date]]&gt;0, SnapshotTable[[#This Row],[LP Strike Price]]&gt;0,SnapshotTable[[#This Row],[LP Qty]]&gt;0,SnapshotTable[[#This Row],[LP Book Date]]&gt;0,SnapshotTable[[#This Row],[LP Book Price]]&gt;0,SnapshotTable[[#This Row],[LP Fill Date]]=0),"Y","")</f>
        <v/>
      </c>
      <c r="BP379" s="31" t="str">
        <f>IF(AND(SnapshotTable[[#This Row],[LP No Fill]]&lt;&gt;"Y",SnapshotTable[[#This Row],[LP Contract Value]]&gt;0, SnapshotTable[[#This Row],[LP Qty]]&gt;0), SnapshotTable[[#This Row],[LP Contract Value]]*SnapshotTable[[#This Row],[LP Qty]]*100,"")</f>
        <v/>
      </c>
      <c r="BQ379" s="13"/>
      <c r="BR379" s="5" t="str">
        <f>IF(SnapshotTable[[#This Row],[SP Exp Date]]&lt;&gt;"",TRUNC(SnapshotTable[[#This Row],[Last Price]]),"")</f>
        <v/>
      </c>
      <c r="BS379" s="36"/>
      <c r="BT379" s="147"/>
      <c r="BU379" s="13"/>
      <c r="BV379" s="5"/>
      <c r="BW379" s="419" t="b">
        <f>AND(ISNUMBER(SnapshotTable[[#This Row],[SP Exp Date]]), ISNUMBER(SnapshotTable[[#This Row],[SP Strike Price]]), ISNUMBER(SnapshotTable[[#This Row],[SP Qty]]), ISNUMBER(SnapshotTable[[#This Row],[SP Book Date]]), ISNUMBER(SnapshotTable[[#This Row],[SP Book Price]]))</f>
        <v>0</v>
      </c>
      <c r="BX379" s="419" t="b">
        <f>AND(SnapshotTable[[#This Row],[SP Is Booked]], NOT(ISBLANK(SnapshotTable[[#This Row],[SP Fill Date]])))</f>
        <v>0</v>
      </c>
      <c r="BY379" s="33">
        <f>IF(SnapshotTable[[#This Row],[SP Is Booked]], SnapshotTable[[#This Row],[SP Qty]] * SnapshotTable[[#This Row],[SP Book Price]] * 100, 0)</f>
        <v>0</v>
      </c>
      <c r="BZ379" s="369"/>
      <c r="CA379" s="368">
        <f>SnapshotTable[[#This Row],[LP Qty]]</f>
        <v>0</v>
      </c>
      <c r="CB379" s="4" t="str">
        <f>IF(SnapshotTable[[#This Row],[SP Is Booked]], SnapshotTable[[#This Row],[SP Strike Price]] - SnapshotTable[[#This Row],[SP Book Price]], "")</f>
        <v/>
      </c>
      <c r="CC379" s="19" t="str">
        <f>IF(SnapshotTable[[#This Row],[SP Is Booked]],SnapshotTable[[#This Row],[SP Exp Date]]-MAX(SnapshotTable[[#This Row],[SP Book Date]], SnapshotTable[[#This Row],[SP Fill Date]]),"")</f>
        <v/>
      </c>
      <c r="CD379" s="7" t="str">
        <f>IF(SnapshotTable[[#This Row],[SP Is Booked]], SnapshotTable[[#This Row],[SP Book Price]]/SnapshotTable[[#This Row],[SP Strike Price]], "")</f>
        <v/>
      </c>
      <c r="CE379" s="7" t="str">
        <f>IF(ISNUMBER(SnapshotTable[[#This Row],[SP ROO Term]]),SnapshotTable[[#This Row],[SP ROO Term]]*(365/SnapshotTable[[#This Row],[SP Term]]),"")</f>
        <v/>
      </c>
      <c r="CF379" s="236">
        <f>SnapshotTable[[#This Row],[LP Strike Price]] * SnapshotTable[[#This Row],[LP Qty]] * 100</f>
        <v>0</v>
      </c>
      <c r="CG379" s="31" t="e">
        <f>IF(ISNUMBER(SnapshotTable[[#This Row],[SP Premium]]), (SnapshotTable[[#This Row],[SP Qty]] * SnapshotTable[[#This Row],[SP Strike Price]]* 100) - SnapshotTable[[#This Row],[LP Protection]], 0)</f>
        <v>#VALUE!</v>
      </c>
      <c r="CH379" s="7" t="str">
        <f>IF(ISNUMBER(SnapshotTable[[#This Row],[SP Break Even]]),-1 * (SnapshotTable[[#This Row],[SP Break Even]] - SnapshotTable[[#This Row],[Last Price]]) / SnapshotTable[[#This Row],[Last Price]], "")</f>
        <v/>
      </c>
      <c r="CI379" s="31">
        <f>IF(AND(ISNUMBER((SnapshotTable[[#This Row],[SP Potential Spend]])), SnapshotTable[[#This Row],[SP Strike Price]] &gt; SnapshotTable[[#This Row],[Last Price]], SnapshotTable[[#This Row],[SP Is Filled]]), SnapshotTable[[#This Row],[SP Potential Spend]] -  SnapshotTable[[#This Row],[LP Max Value]], 0)</f>
        <v>0</v>
      </c>
      <c r="CJ379" s="244"/>
      <c r="CK379" s="31" t="str">
        <f>IF(ISNUMBER(SnapshotTable[[#This Row],[SP Potential Spend]]),IF(ISNUMBER(SnapshotTable[[#This Row],[SP POW]]), SnapshotTable[[#This Row],[SP POW]] * SnapshotTable[[#This Row],[SP Potential Spend]], SnapshotTable[[#This Row],[SP Potential Spend]]), "")</f>
        <v/>
      </c>
      <c r="CL379" s="164" t="e">
        <f>IF(NOT(SnapshotTable[[#This Row],[SP Is Filled]]),(SnapshotTable[[#This Row],[SP Qty]] * SnapshotTable[[#This Row],[SP Strike Price]] * 100) - SnapshotTable[[#This Row],[LP Max Value]],"")</f>
        <v>#VALUE!</v>
      </c>
      <c r="CM379" s="31" t="str">
        <f>IF(SnapshotTable[[#This Row],[SP Actual Spend]]&lt;&gt;0, ((SnapshotTable[[#This Row],[SP Strike Price]]-SnapshotTable[[#This Row],[Last Price]]) *(SnapshotTable[[#This Row],[SP Qty]]*100) - SnapshotTable[[#This Row],[SP Premium]]) * - 1, "")</f>
        <v/>
      </c>
      <c r="CN379" s="154"/>
      <c r="CO379" s="369"/>
      <c r="CP379" s="4" t="str">
        <f>IF(SnapshotTable[[#This Row],[SP Is Filled]], btc_max_buyback_amount(SnapshotTable[[#This Row],[SP Fill Date]],SnapshotTable[[#This Row],[SP Exp Date]], SnapshotTable[[#This Row],[SP Book Price]]),"")</f>
        <v/>
      </c>
      <c r="CQ379" s="78"/>
      <c r="CR37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9" s="155" t="str">
        <f>IF(SnapshotTable[[#This Row],[SP Is Filled]], btc_next_cutoff_date(SnapshotTable[[#This Row],[SP Fill Date]],SnapshotTable[[#This Row],[SP Exp Date]]),"")</f>
        <v/>
      </c>
      <c r="CT379" s="235" t="str" cm="1">
        <f t="array" ref="CT379">IF(SnapshotTable[[#This Row],[SP Is Filled]], btc_should_buy_back(SnapshotTable[[#This Row],[SP Fill Date]], SnapshotTable[[#This Row],[SP Exp Date]], SnapshotTable[[#This Row],[SP Book Price]], SnapshotTable[[#This Row],[SP Current Ask]], MockToday, SnapshotTable[[#This Row],[SP Buyback Override]]),"")</f>
        <v/>
      </c>
      <c r="CU379" s="143"/>
      <c r="CV379" s="235"/>
      <c r="CW379" s="378" t="str">
        <f>IF(ISNUMBER( SnapshotTable[[#This Row],[SP Term]]), SnapshotTable[[#This Row],[SP Exp Date]] - MockToday,"")</f>
        <v/>
      </c>
      <c r="CX379" s="31" t="str">
        <f>IF(SnapshotTable[[#This Row],[SP Is Filled]],SnapshotTable[[#This Row],[SP Buyback Price to Use]] * 100 * SnapshotTable[[#This Row],[SP Qty]], "")</f>
        <v/>
      </c>
      <c r="CY379" s="4" t="str">
        <f>IF(ISNUMBER(SnapshotTable[[#This Row],[SP Strike Price]]), SnapshotTable[[#This Row],[SP Strike Price]] * (1 - SP_MaxLoss_StrikePct), "")</f>
        <v/>
      </c>
      <c r="CZ379" s="31" t="str">
        <f>IF(ISNUMBER(SnapshotTable[[#This Row],[SP Strike  Stop Per Share]]),SnapshotTable[[#This Row],[SP Premium]] - ((SnapshotTable[[#This Row],[SP Strike Price]]-SnapshotTable[[#This Row],[SP Strike  Stop Per Share]]) *(SnapshotTable[[#This Row],[SP Qty]] * 100)),"")</f>
        <v/>
      </c>
      <c r="DA379" s="4" t="str">
        <f>IF(AND(ISNUMBER(SnapshotTable[[#This Row],[SP Premium]]),SnapshotTable[[#This Row],[SP Premium]]&gt;0), SnapshotTable[[#This Row],[SP Book Price]] * (1 + SP_MaxLoss_OptionPct), "")</f>
        <v/>
      </c>
      <c r="DB379" s="31" t="str">
        <f>IF(ISNUMBER(SnapshotTable[[#This Row],[SP Option  Stop Contract]]),(SnapshotTable[[#This Row],[SP Option  Stop Contract]] *(SnapshotTable[[#This Row],[SP Qty]] * 100) - SnapshotTable[[#This Row],[SP Premium]]),"")</f>
        <v/>
      </c>
      <c r="DC379" s="4"/>
      <c r="DD379" s="4"/>
      <c r="DE379" s="4" t="str">
        <f>IF(AND(SnapshotTable[[#This Row],[SP Qty]]&gt;0, SnapshotTable[[#This Row],[SP Stop To Use]]&gt;0),SnapshotTable[[#This Row],[SP Premium]] - ( SnapshotTable[[#This Row],[SP Qty]] * SnapshotTable[[#This Row],[SP Stop To Use]] * 100), "")</f>
        <v/>
      </c>
      <c r="DF379" s="31" t="str">
        <f>IF(AND(SnapshotTable[[#This Row],[SP Qty]]&gt;0,SnapshotTable[[#This Row],[SP Current Ask]]&gt;0), SnapshotTable[[#This Row],[SP Qty]] * SnapshotTable[[#This Row],[SP Current Ask]] * -100, "")</f>
        <v/>
      </c>
      <c r="DG379" s="31" t="str">
        <f>IF(ISNUMBER((SnapshotTable[[#This Row],[SP Total Value]])), SnapshotTable[[#This Row],[SP Premium]] + SnapshotTable[[#This Row],[SP Total Value]], "")</f>
        <v/>
      </c>
      <c r="DH379" s="294" t="str">
        <f>IF(ISNUMBER((SnapshotTable[[#This Row],[SP Total Value]])), SnapshotTable[[#This Row],[SP Gain Loss]] / SnapshotTable[[#This Row],[SP Premium]], "")</f>
        <v/>
      </c>
      <c r="DI379" s="406"/>
      <c r="DJ379" s="138"/>
      <c r="DK379" s="148"/>
      <c r="DL379" s="147"/>
      <c r="DM379" s="147"/>
      <c r="DO379" s="31">
        <f>IF(SnapshotTable[[#This Row],[LC Symbol Count]]=1, SnapshotTable[[#This Row],[LC Qty]] * SnapshotTable[[#This Row],[LC Book Price]] * 100, 0)</f>
        <v>0</v>
      </c>
      <c r="DP379" s="163" t="str">
        <f>IF(AND(SnapshotTable[[#This Row],[LC Exp Date]]&gt;0, SnapshotTable[[#This Row],[LC Strike Price]]&gt;0,SnapshotTable[[#This Row],[LC Qty]]&gt;0,SnapshotTable[[#This Row],[LC Book Date]]&gt;0,SnapshotTable[[#This Row],[LC Book Price]]&gt;0,SnapshotTable[[#This Row],[LC Fill Date]]=0),"Y","")</f>
        <v/>
      </c>
      <c r="DQ379" s="386" t="str">
        <f>IF(SnapshotTable[[#This Row],[LC Premium]] &gt; 0,SnapshotTable[[#This Row],[LC Exp Date]]-MAX(SnapshotTable[[#This Row],[LC Book Date]], SnapshotTable[[#This Row],[LC Fill Date]]),"")</f>
        <v/>
      </c>
      <c r="DR379" s="386" t="str">
        <f>IF(ISNUMBER(SnapshotTable[[#This Row],[LC Term]]), SnapshotTable[[#This Row],[LC Exp Date]] - MockToday, "")</f>
        <v/>
      </c>
      <c r="DS379" s="234" t="str">
        <f>IF(SnapshotTable[[#This Row],[LC Premium]]&gt;0,SnapshotTable[[#This Row],[LC Strike Price]] + SnapshotTable[[#This Row],[LC Book Price]],"")</f>
        <v/>
      </c>
      <c r="DU379" s="9" t="str">
        <f>IF(AND(SnapshotTable[[#This Row],[LC Symbol Count]]&gt;0, SnapshotTable[[#This Row],[LC Contract Value]]&gt;0), SnapshotTable[[#This Row],[LC Contract Value]] * SnapshotTable[[#This Row],[LC Qty]] * 100, "")</f>
        <v/>
      </c>
      <c r="DV379" s="9" t="str">
        <f>IF(AND(ISNUMBER(SnapshotTable[[#This Row],[LC Total Value]]), SnapshotTable[[#This Row],[LC Not Filled]]&lt;&gt;"Y"), SnapshotTable[[#This Row],[LC Total Value]]-SnapshotTable[[#This Row],[LC Premium]],"")</f>
        <v/>
      </c>
      <c r="DW379" s="240" t="str">
        <f>IF(ISNUMBER(SnapshotTable[[#This Row],[LC Actual Gain Loss]]), SnapshotTable[[#This Row],[LC Actual Gain Loss]] / SnapshotTable[[#This Row],[LC Premium]],"")</f>
        <v/>
      </c>
      <c r="DX379" s="284" t="str">
        <f>IF(ISNUMBER(SnapshotTable[[#This Row],[LC Book Price]]),SnapshotTable[[#This Row],[LC Book Price]] * 1.5,"")</f>
        <v/>
      </c>
      <c r="DY379" s="265" t="str">
        <f>IF(SnapshotTable[[#This Row],[LC Premium]]&gt;0, SnapshotTable[[#This Row],[LC Next Target]] * SnapshotTable[[#This Row],[LC Qty]] * 100,"")</f>
        <v/>
      </c>
      <c r="DZ379" s="265" t="str">
        <f>IF(ISNUMBER(SnapshotTable[[#This Row],[LC Target Gross]]), SnapshotTable[[#This Row],[LC Target Gross]] - SnapshotTable[[#This Row],[LC Premium]], "")</f>
        <v/>
      </c>
      <c r="EA379" s="305" t="str">
        <f>IF(ISNUMBER(SnapshotTable[[#This Row],[LC Target Gain Loss]]), SnapshotTable[[#This Row],[LC Target Gain Loss]]/SnapshotTable[[#This Row],[LC Premium]], "")</f>
        <v/>
      </c>
      <c r="EB379" s="262"/>
      <c r="EC379" s="283" t="str">
        <f>IF(SnapshotTable[[#This Row],[LC Premium]]&gt;0, SnapshotTable[[#This Row],[LC Book Price]] * (1 - LC_StopLoss_Pct),"")</f>
        <v/>
      </c>
      <c r="ED379" s="284"/>
      <c r="EE379" s="283" t="str">
        <f>IF(ISNUMBER(SnapshotTable[[#This Row],[LC Contract Value]]),IF(ISNUMBER(SnapshotTable[[#This Row],[LC Stop Loss Override]]), SnapshotTable[[#This Row],[LC Stop Loss Override]],SnapshotTable[[#This Row],[LC Stop Loss Calc Target]]),"")</f>
        <v/>
      </c>
      <c r="EF379" s="31" t="str">
        <f>IF(ISNUMBER(SnapshotTable[[#This Row],[LC Stop  To Use]]), (SnapshotTable[[#This Row],[LC Stop  To Use]] * SnapshotTable[[#This Row],[LC Qty]] * 100),"")</f>
        <v/>
      </c>
      <c r="EG379" s="9" t="str">
        <f>IF(ISNUMBER(SnapshotTable[[#This Row],[LC Total Value]]),SnapshotTable[[#This Row],[LC Stop Loss Amount]] - SnapshotTable[[#This Row],[LC Premium]],"")</f>
        <v/>
      </c>
      <c r="EH379" s="9">
        <f>IF(ISNUMBER(SnapshotTable[[#This Row],[LC Premium]]), SnapshotTable[[#This Row],[LC Qty]] * 100 * SnapshotTable[[#This Row],[LC Strike Price]], "")</f>
        <v>0</v>
      </c>
      <c r="EI379" s="240" t="str">
        <f>IF(AND(ISNUMBER(SnapshotTable[[#This Row],[LC Total Value]]),SnapshotTable[[#This Row],[LC Total Value]]&gt;0),SnapshotTable[[#This Row],[LC Stop Gain Loss]]  / SnapshotTable[[#This Row],[LC Premium]],"")</f>
        <v/>
      </c>
      <c r="EJ379" s="35">
        <f>IF(ISNUMBER(SnapshotTable[[#This Row],[Equity Shares]]),TRUNC(SnapshotTable[[#This Row],[Equity Shares]] / 100),0) + SnapshotTable[[#This Row],[LC Qty]]</f>
        <v>0</v>
      </c>
      <c r="EK379" s="147"/>
      <c r="EL379" s="138" t="str">
        <f>IF(SnapshotTable[[#This Row],[SC Exp Date]]&lt;&gt;"",TRUNC(SnapshotTable[[#This Row],[Last Price]]),"")</f>
        <v/>
      </c>
      <c r="EM379" s="148"/>
      <c r="EN379" s="147"/>
      <c r="EO379" s="147"/>
      <c r="EP379" s="138"/>
      <c r="EQ379" s="419" t="b">
        <f>AND(ISNUMBER(SnapshotTable[[#This Row],[SC Exp Date]]), ISNUMBER(SnapshotTable[[#This Row],[SC Strike Price]]), ISNUMBER(SnapshotTable[[#This Row],[SC Qty]]), ISNUMBER(SnapshotTable[[#This Row],[SC Book Date]]), ISNUMBER(SnapshotTable[[#This Row],[SC Book Price]]))</f>
        <v>0</v>
      </c>
      <c r="ER379" s="419" t="b">
        <f>AND(SnapshotTable[[#This Row],[SC Is Booked]], NOT(ISBLANK(SnapshotTable[[#This Row],[SC Fill Date]])))</f>
        <v>0</v>
      </c>
      <c r="ES379" s="370"/>
      <c r="ET379" s="34" t="str">
        <f>IF(AND(ISNUMBER(SnapshotTable[[#This Row],[SC Exp Date]]), ISNUMBER(SnapshotTable[[#This Row],[SC Book Date]])), SnapshotTable[[#This Row],[SC Exp Date]] - MAX(SnapshotTable[[#This Row],[SC Book Date]], SnapshotTable[[#This Row],[SC Fill Date]]) + 1, "")</f>
        <v/>
      </c>
      <c r="EU379" s="34" t="str">
        <f>IF(ISNUMBER(SnapshotTable[[#This Row],[SC Term]]), SnapshotTable[[#This Row],[SC Exp Date]]- MockToday, "")</f>
        <v/>
      </c>
      <c r="EV379" s="31">
        <f>IF(SnapshotTable[[#This Row],[SC Is Booked]], SnapshotTable[[#This Row],[SC Qty]] * SnapshotTable[[#This Row],[SC Book Price]] * 100, 0)</f>
        <v>0</v>
      </c>
      <c r="EW379" s="4" t="str">
        <f>IF(AND(ISNUMBER(SnapshotTable[[#This Row],[Last Price]]), ISNUMBER( SnapshotTable[[#This Row],[SC Book Price]])), SnapshotTable[[#This Row],[Last Price]] - SnapshotTable[[#This Row],[SC Book Price]],"")</f>
        <v/>
      </c>
      <c r="EX379" s="234" t="str">
        <f>IF(SnapshotTable[[#This Row],[SC Is Booked]],IF(SnapshotTable[[#This Row],[SC Intrinsic Value]] &gt; 0, SnapshotTable[[#This Row],[SC Strike Price]], SnapshotTable[[#This Row],[Last Price]]), "")</f>
        <v/>
      </c>
      <c r="EY379" s="4">
        <f>IF(SnapshotTable[[#This Row],[SC Is Booked]], (MinimumPremiumRequired * SnapshotTable[[#This Row],[SC Basis]] * SnapshotTable[[#This Row],[SC Term]]), 0)</f>
        <v>0</v>
      </c>
      <c r="EZ379" s="283"/>
      <c r="FA379" s="218"/>
      <c r="FB379" s="370"/>
      <c r="FC379" s="4">
        <f>IF(SnapshotTable[[#This Row],[SC Is Filled]], btc_max_buyback_amount(SnapshotTable[[#This Row],[SC Fill Date]],SnapshotTable[[#This Row],[SC Exp Date]], SnapshotTable[[#This Row],[SC Book Price]]),0)</f>
        <v>0</v>
      </c>
      <c r="FD379" s="5"/>
      <c r="FE379" s="144" t="str">
        <f>IF(SnapshotTable[[#This Row],[SC Is Filled]], btc_next_cutoff_date(SnapshotTable[[#This Row],[SC Fill Date]],SnapshotTable[[#This Row],[SC Exp Date]]),"")</f>
        <v/>
      </c>
      <c r="FF379" s="4" t="str" cm="1">
        <f t="array" ref="FF379">IF(SnapshotTable[[#This Row],[SC Is Filled]], btc_should_buy_back(SnapshotTable[[#This Row],[SC Fill Date]], SnapshotTable[[#This Row],[SC Exp Date]], SnapshotTable[[#This Row],[SC Book Price]], SnapshotTable[[#This Row],[SC Current Ask]], MockToday, SnapshotTable[[#This Row],[SC Buyback Override]]),"")</f>
        <v/>
      </c>
      <c r="FG379" s="4">
        <f>IF(SnapshotTable[[#This Row],[SC Is Filled]], MAX(0,SnapshotTable[[#This Row],[Last Price]]  - SnapshotTable[[#This Row],[SC Strike Price]]), 0)</f>
        <v>0</v>
      </c>
      <c r="FH379" s="382">
        <f>IF(SnapshotTable[[#This Row],[SC Is Filled]], IF(ISNUMBER(SnapshotTable[[#This Row],[SC Current Ask]]), SnapshotTable[[#This Row],[SC Current Ask]], SnapshotTable[[#This Row],[SC Book Price]]) - SnapshotTable[[#This Row],[SC Intrinsic Value]], 0)</f>
        <v>0</v>
      </c>
      <c r="FI379" s="143"/>
      <c r="FJ379" s="32" t="str">
        <f>IF(SnapshotTable[[#This Row],[SC Is Filled]],100 * SnapshotTable[[#This Row],[SC Qty]] * IF(ISNUMBER(SnapshotTable[[#This Row],[SC Buyback Override]]), SnapshotTable[[#This Row],[SC Buyback Override]], SnapshotTable[[#This Row],[SC Current Ask]]), "")</f>
        <v/>
      </c>
      <c r="FK379" s="250" t="str">
        <f>IF(SnapshotTable[[#This Row],[SC Time Val]]&gt;0, SnapshotTable[[#This Row],[SC Time Val]] / SnapshotTable[[#This Row],[Last Price]],"")</f>
        <v/>
      </c>
      <c r="FL379" s="302" t="str">
        <f>IF(SnapshotTable[[#This Row],[SC Is Booked]], ((SnapshotTable[[#This Row],[Last Price]] -SnapshotTable[[#This Row],[SC Strike Price]]) / SnapshotTable[[#This Row],[Last Price]]) * -1, "")</f>
        <v/>
      </c>
      <c r="FM379" s="157" t="str">
        <f>IF(SnapshotTable[[#This Row],[SC Is Booked]],  (SnapshotTable[[#This Row],[SC Qty]] * 100 * SnapshotTable[[#This Row],[SC Strike Price]]) - SnapshotTable[[#This Row],[SC Current Ask]], "")</f>
        <v/>
      </c>
      <c r="FN379"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9" s="157" t="str">
        <f>IF(AND(ISNUMBER(SnapshotTable[[#This Row],[SC Exercise Gross]]), ISNUMBER(SnapshotTable[[#This Row],[Equity Basis Per Share]] )), SnapshotTable[[#This Row],[SC Exercise Gross]] - SnapshotTable[[#This Row],[Equity Basis Total]] +  SnapshotTable[[#This Row],[SC Premium]], "")</f>
        <v/>
      </c>
      <c r="FP379" s="5" t="str">
        <f>IF(ISNUMBER(SnapshotTable[[#This Row],[SC Exercise Gross]]), (SnapshotTable[[#This Row],[SC Exercise Gross]]) / (SnapshotTable[[#This Row],[SC Qty]] * 100), "")</f>
        <v/>
      </c>
      <c r="FQ379" s="27" t="str">
        <f>IF(SnapshotTable[[#This Row],[SC Is Booked]],SnapshotTable[[#This Row],[SC Time Val]] /SnapshotTable[[#This Row],[SC Basis]], "")</f>
        <v/>
      </c>
      <c r="FR379" s="27" t="str" cm="1">
        <f t="array" ref="FR379">IF(AND(ISNUMBER(SnapshotTable[[#This Row],[SC Term]]),ISNUMBER(SnapshotTable[[#This Row],[SC Simple ROO]])), EllmanAnnualize(SnapshotTable[[#This Row],[SC DTE]], SnapshotTable[[#This Row],[SC Simple ROO]] ),"")</f>
        <v/>
      </c>
      <c r="FS379" s="4" t="e">
        <f>IF(SnapshotTable[[#This Row],[SC Strike Price]] &gt; SnapshotTable[[#This Row],[Last Price]], SnapshotTable[[#This Row],[SC Strike Price]] - SnapshotTable[[#This Row],[Last Price]],0)</f>
        <v>#VALUE!</v>
      </c>
      <c r="FT379" s="27" t="e">
        <f>IF(AND(ISNUMBER(SnapshotTable[[#This Row],[SC Upside Potential]]), SnapshotTable[[#This Row],[SC Upside Potential]] &gt; 0),(SnapshotTable[[#This Row],[SC Upside Potential]]/ SnapshotTable[[#This Row],[ACB]]),"")</f>
        <v>#VALUE!</v>
      </c>
      <c r="FU379" s="333" t="str">
        <f>IF(SnapshotTable[[#This Row],[SC Intrinsic Value]] &gt; 0,SnapshotTable[[#This Row],[SC Intrinsic Value]],"")</f>
        <v/>
      </c>
      <c r="FV379" s="27" t="str">
        <f>IF(AND( ISNUMBER( SnapshotTable[[#This Row],[ACB]]),ISNUMBER(SnapshotTable[[#This Row],[SC Downside Protect]])),SnapshotTable[[#This Row],[SC Downside Protect]] / SnapshotTable[[#This Row],[ACB]],"")</f>
        <v/>
      </c>
      <c r="FW379" s="236" t="str">
        <f>IF(AND(ISNUMBER(SnapshotTable[[#This Row],[SC Simple ROO]]),SnapshotTable[[#This Row],[SC Simple ROO]] &gt; 0), SnapshotTable[[#This Row],[SC Premium]] + (SnapshotTable[[#This Row],[SC Qty]] * SnapshotTable[[#This Row],[SC Upside Potential]]), "")</f>
        <v/>
      </c>
      <c r="FX379" s="302" t="str" cm="1">
        <f t="array" ref="FX379">IF(ISNUMBER(SnapshotTable[[#This Row],[SC Max Dollars]]), annualize(SnapshotTable[[#This Row],[SC Term]],(SnapshotTable[[#This Row],[SC Max Dollars]]/SnapshotTable[[#This Row],[SC Basis]])),"")</f>
        <v/>
      </c>
      <c r="FY379" s="236" t="str">
        <f>IF(AND(SnapshotTable[[#This Row],[SC Qty]]&gt;0,SnapshotTable[[#This Row],[SC Current Ask]]&gt;0), SnapshotTable[[#This Row],[SC Qty]] * SnapshotTable[[#This Row],[SC Current Ask]] * -100, "")</f>
        <v/>
      </c>
      <c r="FZ379" s="235" t="str">
        <f>IF(ISNUMBER((SnapshotTable[[#This Row],[SC Current Value]])), SnapshotTable[[#This Row],[SC Premium]] + SnapshotTable[[#This Row],[SC Current Value]], "")</f>
        <v/>
      </c>
      <c r="GA379" s="294" t="str">
        <f>IFERROR( IF(ISNUMBER((SnapshotTable[[#This Row],[SC Current Value]])), SnapshotTable[[#This Row],[SC Gain Loss]] / SnapshotTable[[#This Row],[SC Premium]], ""), "")</f>
        <v/>
      </c>
      <c r="GB379" s="42">
        <f>SnapshotTable[[#This Row],[Equity Shares]] * SaleSharesToConsiderPercentage</f>
        <v>0</v>
      </c>
      <c r="GC379" s="40">
        <f>SnapshotTable[[#This Row],[Long Term Target]] * SellingPriceToConsiderBasedOnTargetPercentage</f>
        <v>38.76</v>
      </c>
      <c r="GD379" s="40">
        <f>SnapshotTable[[#This Row],[Last Price]] * (1+ SellingPriceToConsiderBasedOnTargetPercentage)</f>
        <v>48.379499999999993</v>
      </c>
      <c r="GE379" s="41"/>
      <c r="GF379" s="40"/>
      <c r="GG379" s="31">
        <f>SnapshotTable[[#This Row],[Booked Sale Shares]] * SnapshotTable[[#This Row],[Booked Sale Price]]</f>
        <v>0</v>
      </c>
      <c r="GH379" s="31" t="str">
        <f>IF(SnapshotTable[[#This Row],[Equity Basis Total]] &gt; 0, SnapshotTable[[#This Row],[Equity Basis Per Share]] * SnapshotTable[[#This Row],[Booked Sale Shares]], "")</f>
        <v/>
      </c>
      <c r="GI379" s="31">
        <f>IF(SnapshotTable[[#This Row],[Sale Proceeds]]&gt;0, SnapshotTable[[#This Row],[Sale Proceeds]] - SnapshotTable[[#This Row],[Sale Basis]], 0)</f>
        <v>0</v>
      </c>
      <c r="GJ379" s="158" t="str">
        <f>IF(SnapshotTable[[#This Row],[Sale G/L]]&gt;0, SnapshotTable[[#This Row],[Sale G/L]] / SnapshotTable[[#This Row],[Sale Basis]], IF(ISNUMBER(SnapshotTable[[#This Row],[SC Exercise P&amp;L (TAX)]]), SnapshotTable[[#This Row],[SC Exercise P&amp;L (TAX)]] / SnapshotTable[[#This Row],[SC Basis]], ""))</f>
        <v/>
      </c>
      <c r="GK379" s="27"/>
      <c r="GL379" s="159" t="str">
        <f>IF(AND(SnapshotTable[[#This Row],[LP Exp Date]]&gt;0,SnapshotTable[[#This Row],[LP Strike Price]]&gt;0), [1]!ToOptionSymbol(SnapshotTable[[#This Row],[Symbol]], SnapshotTable[[#This Row],[LP Strike Price]],SnapshotTable[[#This Row],[LP Exp Date]],1), "")</f>
        <v/>
      </c>
      <c r="GM379" s="30" t="str">
        <f>IF(LEN(SnapshotTable[[#This Row],[LP Symbol]])&gt;0, 1, "")</f>
        <v/>
      </c>
      <c r="GN379" s="43" t="str">
        <f>IF(AND(SnapshotTable[[#This Row],[SP Exp Date]]&gt;0,SnapshotTable[[#This Row],[SP Strike Price]]&gt;0), [1]!ToOptionSymbol(SnapshotTable[[#This Row],[Symbol]], SnapshotTable[[#This Row],[SP Strike Price]],SnapshotTable[[#This Row],[SP Exp Date]],1), "")</f>
        <v/>
      </c>
      <c r="GO379" s="30" t="str">
        <f>IF(LEN(SnapshotTable[[#This Row],[SP Symbol]])&gt;0, 1, "")</f>
        <v/>
      </c>
      <c r="GP379" s="159" t="str">
        <f>IF(AND(SnapshotTable[[#This Row],[LC Exp Date]]&gt;0,SnapshotTable[[#This Row],[LC Strike Price]]&gt;0), [1]!ToOptionSymbol(SnapshotTable[[#This Row],[Symbol]], SnapshotTable[[#This Row],[LC Strike Price]],SnapshotTable[[#This Row],[LC Exp Date]],0), "")</f>
        <v/>
      </c>
      <c r="GQ379" s="160" t="str">
        <f>IF(LEN(SnapshotTable[[#This Row],[LC Symbol]])&gt;0, 1, "")</f>
        <v/>
      </c>
      <c r="GR379" s="159" t="str">
        <f>IF(AND(SnapshotTable[[#This Row],[SC Exp Date]]&gt;0,SnapshotTable[[#This Row],[SC Strike Price]]&gt;0), [1]!ToOptionSymbol(SnapshotTable[[#This Row],[Symbol]], SnapshotTable[[#This Row],[SC Strike Price]],SnapshotTable[[#This Row],[SC Exp Date]],0), "")</f>
        <v/>
      </c>
      <c r="GS379" s="160" t="str">
        <f>IF(LEN(SnapshotTable[[#This Row],[SC Symbol]])&gt;0, 1, "")</f>
        <v/>
      </c>
      <c r="GT379" s="161" t="str">
        <f>IF(COUNT(SnapshotTable[[#This Row],[LP Symbol Count]],SnapshotTable[[#This Row],[SP Symbol Count]],SnapshotTable[[#This Row],[LC Symbol Count]],SnapshotTable[[#This Row],[SC Symbol Count]])&gt;0, "Y", "")</f>
        <v/>
      </c>
      <c r="GU37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9" s="231" t="e">
        <f>MAX(SnapshotTable[[#This Row],[Equity Basis Total]],SnapshotTable[[#This Row],[Equity Value]]) + (SnapshotTable[[#This Row],[SP Potential Spend]]- SnapshotTable[[#This Row],[SP Premium]] + SnapshotTable[[#This Row],[LP Premium]])+ (SnapshotTable[[#This Row],[LC Premium]] - SnapshotTable[[#This Row],[SC Premium]])</f>
        <v>#VALUE!</v>
      </c>
      <c r="GW379" s="139" t="e">
        <f>IF(AND(SnapshotTable[[#This Row],[Exposure]] &lt;&gt; 0),SnapshotTable[[#This Row],[Exposure]] / SnapshotTable[[#Totals],[Exposure]], "")</f>
        <v>#VALUE!</v>
      </c>
      <c r="GX379" s="15"/>
      <c r="GZ379" s="13"/>
      <c r="HA379" s="13"/>
      <c r="HB379" s="2"/>
      <c r="HC379" s="197"/>
      <c r="HD379" s="2"/>
      <c r="HK379" s="1"/>
      <c r="HL379" s="1"/>
      <c r="HM379" s="1"/>
      <c r="HN379" s="1"/>
      <c r="HO379" s="1"/>
      <c r="HP379" s="1"/>
    </row>
    <row r="380" spans="2:224" s="47" customFormat="1" ht="12.75" hidden="1" customHeight="1" x14ac:dyDescent="0.25">
      <c r="B380" s="12" t="s">
        <v>894</v>
      </c>
      <c r="C380" s="422">
        <v>51.76</v>
      </c>
      <c r="D380" s="208"/>
      <c r="E380" s="39">
        <f>SnapshotTable[[#This Row],[Last Price]]*(1 -CrashDiscount)</f>
        <v>43.995999999999995</v>
      </c>
      <c r="F380" s="26" t="s">
        <v>814</v>
      </c>
      <c r="G380" s="26" t="s">
        <v>610</v>
      </c>
      <c r="H380" s="149"/>
      <c r="I380" s="194">
        <v>44783.25</v>
      </c>
      <c r="J380" s="195">
        <v>44783.25</v>
      </c>
      <c r="K380" s="196"/>
      <c r="L380" s="326"/>
      <c r="M380" s="140"/>
      <c r="N380" s="140"/>
      <c r="O380" s="140"/>
      <c r="P380" s="22"/>
      <c r="Q380" s="25"/>
      <c r="R380" s="4" t="str">
        <f>IF(SnapshotTable[[#This Row],[Equity Basis Total]] &gt; 0, SnapshotTable[[#This Row],[Equity Basis Total]] / SnapshotTable[[#This Row],[Equity Shares]], "")</f>
        <v/>
      </c>
      <c r="S380" s="269">
        <f>SnapshotTable[[#This Row],[Last Price]] * SnapshotTable[[#This Row],[Equity Shares]]</f>
        <v>0</v>
      </c>
      <c r="T380" s="269">
        <f>SnapshotTable[[#This Row],[Equity Value]] - SnapshotTable[[#This Row],[Equity Basis Total]]</f>
        <v>0</v>
      </c>
      <c r="U380" s="270" t="str">
        <f>IF(SnapshotTable[[#This Row],[Equity Basis Total]] &gt; 0, SnapshotTable[[#This Row],[Equity G/L]] / SnapshotTable[[#This Row],[Equity Basis Total]], "")</f>
        <v/>
      </c>
      <c r="V380" s="268"/>
      <c r="W380" s="268"/>
      <c r="X380" s="4" t="str">
        <f>IF(AND(ISNUMBER(SnapshotTable[[#This Row],[Equity Basis Per Share]]),ISNUMBER(SnapshotTable[[#This Row],[Equity Target]])),SnapshotTable[[#This Row],[Equity Target]]-SnapshotTable[[#This Row],[Equity Basis Per Share]],"")</f>
        <v/>
      </c>
      <c r="Y380" s="4" t="str">
        <f>IF(AND(ISNUMBER(SnapshotTable[[#This Row],[Equity Basis Per Share]]),ISNUMBER(SnapshotTable[[#This Row],[Equity Stop Loss]])),SnapshotTable[[#This Row],[Equity Stop Loss]]-SnapshotTable[[#This Row],[Equity Basis Per Share]],"")</f>
        <v/>
      </c>
      <c r="Z380" s="275" t="str">
        <f>IFERROR( TEXT(SnapshotTable[[#This Row],[Equity Max Gain Per Share]] /ABS( SnapshotTable[[#This Row],[Equity Max Loss Per Share]]),"0.0 " ) &amp; " : 1", "")</f>
        <v/>
      </c>
      <c r="AA380" s="31" t="str">
        <f>IF(ISNUMBER(SnapshotTable[[#This Row],[Equity Max Gain Per Share]]),SnapshotTable[[#This Row],[Equity Max Gain Per Share]] * SnapshotTable[[#This Row],[Equity Shares]],"")</f>
        <v/>
      </c>
      <c r="AB380" s="31" t="str">
        <f>IF(ISNUMBER(SnapshotTable[[#This Row],[Equity Max Loss Per Share]]),SnapshotTable[[#This Row],[Equity Max Loss Per Share]] * SnapshotTable[[#This Row],[Equity Shares]],"")</f>
        <v/>
      </c>
      <c r="AC380" s="150"/>
      <c r="AD380" s="151"/>
      <c r="AE380" s="31">
        <f>(SnapshotTable[[#This Row],[Annual Dividend Per Share]] / 4) * SnapshotTable[[#This Row],[Equity Shares]]</f>
        <v>0</v>
      </c>
      <c r="AF380" s="31">
        <f>SnapshotTable[[#This Row],[Quarterly Div $]] * 4</f>
        <v>0</v>
      </c>
      <c r="AG380" s="7">
        <f>IF(SnapshotTable[[#This Row],[Annual Dividend Per Share]]&gt;0, SnapshotTable[[#This Row],[Annual Dividend Per Share]]  / SnapshotTable[[#This Row],[Last Price]], 0)</f>
        <v>0</v>
      </c>
      <c r="AH380" s="151"/>
      <c r="AI380" s="5"/>
      <c r="AJ380" s="138">
        <v>56.36</v>
      </c>
      <c r="AK380" s="152" t="str">
        <f>IF(ISNUMBER( SnapshotTable[[#This Row],[EBF Target]]),(SnapshotTable[[#This Row],[EBF Target]] - SnapshotTable[[#This Row],[Last Price]]) / SnapshotTable[[#This Row],[Last Price]], "")</f>
        <v/>
      </c>
      <c r="AL380" s="152" t="str">
        <f>IF(AND(SnapshotTable[[#This Row],[Equity Basis Total]] &gt; 0,ISNUMBER( SnapshotTable[[#This Row],[Long Term Target]])), SnapshotTable[[#This Row],[From Basis $]] / SnapshotTable[[#This Row],[Equity Basis Total]], "")</f>
        <v/>
      </c>
      <c r="AM380" s="9">
        <f>IF( AND(SnapshotTable[[#This Row],[Equity Shares]] &gt;0,ISNUMBER( SnapshotTable[[#This Row],[Long Term Target]])),(SnapshotTable[[#This Row],[Equity Shares]] * SnapshotTable[[#This Row],[Long Term Target]]) - SnapshotTable[[#This Row],[Equity Basis Total]],0)</f>
        <v>0</v>
      </c>
      <c r="AN380" s="9">
        <f>IF( AND(SnapshotTable[[#This Row],[Equity Shares]] &gt;0,ISNUMBER( SnapshotTable[[#This Row],[Long Term Target]])),(SnapshotTable[[#This Row],[Equity Shares]]*SnapshotTable[[#This Row],[Long Term Target]]) - SnapshotTable[[#This Row],[Equity Value]],0)</f>
        <v>0</v>
      </c>
      <c r="AO380" s="152">
        <f>IF(AND(ISNUMBER( SnapshotTable[[#This Row],[Long Term Target]]), ISNUMBER(SnapshotTable[[#This Row],[Last Price]])),(SnapshotTable[[#This Row],[Long Term Target]] - SnapshotTable[[#This Row],[Last Price]]) / SnapshotTable[[#This Row],[Last Price]], "")</f>
        <v>8.8871715610510077E-2</v>
      </c>
      <c r="AP380" s="5"/>
      <c r="AQ380" s="38"/>
      <c r="AR380" s="5"/>
      <c r="AS380" s="38"/>
      <c r="AT380" s="146"/>
      <c r="AU380" s="187" t="str">
        <f>IF(OR(SnapshotTable[[#This Row],[LP No Fill]]="Y",SnapshotTable[[#This Row],[SP Is Filled]],SnapshotTable[[#This Row],[LC Not Filled]]="Y",SnapshotTable[[#This Row],[SC Is Filled]]),"Y","")</f>
        <v/>
      </c>
      <c r="AV380" s="219"/>
      <c r="AW380" s="225"/>
      <c r="AX380" s="220"/>
      <c r="AY380" s="219" t="str">
        <f>IF(SnapshotTable[[#This Row],[Implied Move]]&gt;0, SnapshotTable[[#This Row],[Last Price]]-SnapshotTable[[#This Row],[Implied Move]],"")</f>
        <v/>
      </c>
      <c r="AZ380" s="219" t="str">
        <f>IF(SnapshotTable[[#This Row],[Implied Move]]&gt;0, SnapshotTable[[#This Row],[Last Price]] + SnapshotTable[[#This Row],[Implied Move]],"")</f>
        <v/>
      </c>
      <c r="BA380" s="331"/>
      <c r="BB380" s="347"/>
      <c r="BC38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0" s="351"/>
      <c r="BE380" s="138"/>
      <c r="BF380" s="166"/>
      <c r="BG380" s="167"/>
      <c r="BH380" s="167"/>
      <c r="BI380" s="221"/>
      <c r="BJ380" s="153">
        <f>IF(SnapshotTable[[#This Row],[LP Qty]] &gt; 0, SnapshotTable[[#This Row],[LP Qty]] * SnapshotTable[[#This Row],[LP Book Price]] * 100,0)</f>
        <v>0</v>
      </c>
      <c r="BK380" s="136">
        <f>IF(SnapshotTable[[#This Row],[LP Premium]] &gt; 0, SnapshotTable[[#This Row],[LP Qty]] * SnapshotTable[[#This Row],[LP Strike Price]] * 100,0)</f>
        <v>0</v>
      </c>
      <c r="BL380" s="154"/>
      <c r="BM380" s="385" t="str">
        <f>IF(SnapshotTable[[#This Row],[LP Premium]] &gt; 0,SnapshotTable[[#This Row],[LP Exp Date]]-MAX(SnapshotTable[[#This Row],[LP Book Date]], SnapshotTable[[#This Row],[LP Fill Date]]),"")</f>
        <v/>
      </c>
      <c r="BN380" s="385" t="str">
        <f>IF(ISNUMBER( SnapshotTable[[#This Row],[LP Term]]), SnapshotTable[[#This Row],[LP Exp Date]] - MockToday,"")</f>
        <v/>
      </c>
      <c r="BO380" s="163" t="str">
        <f>IF(AND(SnapshotTable[[#This Row],[LP Exp Date]]&gt;0, SnapshotTable[[#This Row],[LP Strike Price]]&gt;0,SnapshotTable[[#This Row],[LP Qty]]&gt;0,SnapshotTable[[#This Row],[LP Book Date]]&gt;0,SnapshotTable[[#This Row],[LP Book Price]]&gt;0,SnapshotTable[[#This Row],[LP Fill Date]]=0),"Y","")</f>
        <v/>
      </c>
      <c r="BP380" s="31" t="str">
        <f>IF(AND(SnapshotTable[[#This Row],[LP No Fill]]&lt;&gt;"Y",SnapshotTable[[#This Row],[LP Contract Value]]&gt;0, SnapshotTable[[#This Row],[LP Qty]]&gt;0), SnapshotTable[[#This Row],[LP Contract Value]]*SnapshotTable[[#This Row],[LP Qty]]*100,"")</f>
        <v/>
      </c>
      <c r="BQ380" s="13"/>
      <c r="BR380" s="5" t="str">
        <f>IF(SnapshotTable[[#This Row],[SP Exp Date]]&lt;&gt;"",TRUNC(SnapshotTable[[#This Row],[Last Price]]),"")</f>
        <v/>
      </c>
      <c r="BS380" s="36"/>
      <c r="BT380" s="147"/>
      <c r="BU380" s="13"/>
      <c r="BV380" s="5"/>
      <c r="BW380" s="419" t="b">
        <f>AND(ISNUMBER(SnapshotTable[[#This Row],[SP Exp Date]]), ISNUMBER(SnapshotTable[[#This Row],[SP Strike Price]]), ISNUMBER(SnapshotTable[[#This Row],[SP Qty]]), ISNUMBER(SnapshotTable[[#This Row],[SP Book Date]]), ISNUMBER(SnapshotTable[[#This Row],[SP Book Price]]))</f>
        <v>0</v>
      </c>
      <c r="BX380" s="419" t="b">
        <f>AND(SnapshotTable[[#This Row],[SP Is Booked]], NOT(ISBLANK(SnapshotTable[[#This Row],[SP Fill Date]])))</f>
        <v>0</v>
      </c>
      <c r="BY380" s="33">
        <f>IF(SnapshotTable[[#This Row],[SP Is Booked]], SnapshotTable[[#This Row],[SP Qty]] * SnapshotTable[[#This Row],[SP Book Price]] * 100, 0)</f>
        <v>0</v>
      </c>
      <c r="BZ380" s="369"/>
      <c r="CA380" s="368">
        <f>SnapshotTable[[#This Row],[LP Qty]]</f>
        <v>0</v>
      </c>
      <c r="CB380" s="4" t="str">
        <f>IF(SnapshotTable[[#This Row],[SP Is Booked]], SnapshotTable[[#This Row],[SP Strike Price]] - SnapshotTable[[#This Row],[SP Book Price]], "")</f>
        <v/>
      </c>
      <c r="CC380" s="19" t="str">
        <f>IF(SnapshotTable[[#This Row],[SP Is Booked]],SnapshotTable[[#This Row],[SP Exp Date]]-MAX(SnapshotTable[[#This Row],[SP Book Date]], SnapshotTable[[#This Row],[SP Fill Date]]),"")</f>
        <v/>
      </c>
      <c r="CD380" s="7" t="str">
        <f>IF(SnapshotTable[[#This Row],[SP Is Booked]], SnapshotTable[[#This Row],[SP Book Price]]/SnapshotTable[[#This Row],[SP Strike Price]], "")</f>
        <v/>
      </c>
      <c r="CE380" s="7" t="str">
        <f>IF(ISNUMBER(SnapshotTable[[#This Row],[SP ROO Term]]),SnapshotTable[[#This Row],[SP ROO Term]]*(365/SnapshotTable[[#This Row],[SP Term]]),"")</f>
        <v/>
      </c>
      <c r="CF380" s="236">
        <f>SnapshotTable[[#This Row],[LP Strike Price]] * SnapshotTable[[#This Row],[LP Qty]] * 100</f>
        <v>0</v>
      </c>
      <c r="CG380" s="31" t="e">
        <f>IF(ISNUMBER(SnapshotTable[[#This Row],[SP Premium]]), (SnapshotTable[[#This Row],[SP Qty]] * SnapshotTable[[#This Row],[SP Strike Price]]* 100) - SnapshotTable[[#This Row],[LP Protection]], 0)</f>
        <v>#VALUE!</v>
      </c>
      <c r="CH380" s="7" t="str">
        <f>IF(ISNUMBER(SnapshotTable[[#This Row],[SP Break Even]]),-1 * (SnapshotTable[[#This Row],[SP Break Even]] - SnapshotTable[[#This Row],[Last Price]]) / SnapshotTable[[#This Row],[Last Price]], "")</f>
        <v/>
      </c>
      <c r="CI380" s="31">
        <f>IF(AND(ISNUMBER((SnapshotTable[[#This Row],[SP Potential Spend]])), SnapshotTable[[#This Row],[SP Strike Price]] &gt; SnapshotTable[[#This Row],[Last Price]], SnapshotTable[[#This Row],[SP Is Filled]]), SnapshotTable[[#This Row],[SP Potential Spend]] -  SnapshotTable[[#This Row],[LP Max Value]], 0)</f>
        <v>0</v>
      </c>
      <c r="CJ380" s="244"/>
      <c r="CK380" s="31" t="str">
        <f>IF(ISNUMBER(SnapshotTable[[#This Row],[SP Potential Spend]]),IF(ISNUMBER(SnapshotTable[[#This Row],[SP POW]]), SnapshotTable[[#This Row],[SP POW]] * SnapshotTable[[#This Row],[SP Potential Spend]], SnapshotTable[[#This Row],[SP Potential Spend]]), "")</f>
        <v/>
      </c>
      <c r="CL380" s="164" t="e">
        <f>IF(NOT(SnapshotTable[[#This Row],[SP Is Filled]]),(SnapshotTable[[#This Row],[SP Qty]] * SnapshotTable[[#This Row],[SP Strike Price]] * 100) - SnapshotTable[[#This Row],[LP Max Value]],"")</f>
        <v>#VALUE!</v>
      </c>
      <c r="CM380" s="31" t="str">
        <f>IF(SnapshotTable[[#This Row],[SP Actual Spend]]&lt;&gt;0, ((SnapshotTable[[#This Row],[SP Strike Price]]-SnapshotTable[[#This Row],[Last Price]]) *(SnapshotTable[[#This Row],[SP Qty]]*100) - SnapshotTable[[#This Row],[SP Premium]]) * - 1, "")</f>
        <v/>
      </c>
      <c r="CN380" s="154"/>
      <c r="CO380" s="369"/>
      <c r="CP380" s="4" t="str">
        <f>IF(SnapshotTable[[#This Row],[SP Is Filled]], btc_max_buyback_amount(SnapshotTable[[#This Row],[SP Fill Date]],SnapshotTable[[#This Row],[SP Exp Date]], SnapshotTable[[#This Row],[SP Book Price]]),"")</f>
        <v/>
      </c>
      <c r="CQ380" s="78"/>
      <c r="CR38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0" s="155" t="str">
        <f>IF(SnapshotTable[[#This Row],[SP Is Filled]], btc_next_cutoff_date(SnapshotTable[[#This Row],[SP Fill Date]],SnapshotTable[[#This Row],[SP Exp Date]]),"")</f>
        <v/>
      </c>
      <c r="CT380" s="235" t="str" cm="1">
        <f t="array" ref="CT380">IF(SnapshotTable[[#This Row],[SP Is Filled]], btc_should_buy_back(SnapshotTable[[#This Row],[SP Fill Date]], SnapshotTable[[#This Row],[SP Exp Date]], SnapshotTable[[#This Row],[SP Book Price]], SnapshotTable[[#This Row],[SP Current Ask]], MockToday, SnapshotTable[[#This Row],[SP Buyback Override]]),"")</f>
        <v/>
      </c>
      <c r="CU380" s="156"/>
      <c r="CV380" s="235"/>
      <c r="CW380" s="378" t="str">
        <f>IF(ISNUMBER( SnapshotTable[[#This Row],[SP Term]]), SnapshotTable[[#This Row],[SP Exp Date]] - MockToday,"")</f>
        <v/>
      </c>
      <c r="CX380" s="31" t="str">
        <f>IF(SnapshotTable[[#This Row],[SP Is Filled]],SnapshotTable[[#This Row],[SP Buyback Price to Use]] * 100 * SnapshotTable[[#This Row],[SP Qty]], "")</f>
        <v/>
      </c>
      <c r="CY380" s="4" t="str">
        <f>IF(ISNUMBER(SnapshotTable[[#This Row],[SP Strike Price]]), SnapshotTable[[#This Row],[SP Strike Price]] * (1 - SP_MaxLoss_StrikePct), "")</f>
        <v/>
      </c>
      <c r="CZ380" s="31" t="str">
        <f>IF(ISNUMBER(SnapshotTable[[#This Row],[SP Strike  Stop Per Share]]),SnapshotTable[[#This Row],[SP Premium]] - ((SnapshotTable[[#This Row],[SP Strike Price]]-SnapshotTable[[#This Row],[SP Strike  Stop Per Share]]) *(SnapshotTable[[#This Row],[SP Qty]] * 100)),"")</f>
        <v/>
      </c>
      <c r="DA380" s="4" t="str">
        <f>IF(AND(ISNUMBER(SnapshotTable[[#This Row],[SP Premium]]),SnapshotTable[[#This Row],[SP Premium]]&gt;0), SnapshotTable[[#This Row],[SP Book Price]] * (1 + SP_MaxLoss_OptionPct), "")</f>
        <v/>
      </c>
      <c r="DB380" s="31" t="str">
        <f>IF(ISNUMBER(SnapshotTable[[#This Row],[SP Option  Stop Contract]]),(SnapshotTable[[#This Row],[SP Option  Stop Contract]] *(SnapshotTable[[#This Row],[SP Qty]] * 100) - SnapshotTable[[#This Row],[SP Premium]]),"")</f>
        <v/>
      </c>
      <c r="DC380" s="4"/>
      <c r="DD380" s="4"/>
      <c r="DE380" s="4" t="str">
        <f>IF(AND(SnapshotTable[[#This Row],[SP Qty]]&gt;0, SnapshotTable[[#This Row],[SP Stop To Use]]&gt;0),SnapshotTable[[#This Row],[SP Premium]] - ( SnapshotTable[[#This Row],[SP Qty]] * SnapshotTable[[#This Row],[SP Stop To Use]] * 100), "")</f>
        <v/>
      </c>
      <c r="DF380" s="31" t="str">
        <f>IF(AND(SnapshotTable[[#This Row],[SP Qty]]&gt;0,SnapshotTable[[#This Row],[SP Current Ask]]&gt;0), SnapshotTable[[#This Row],[SP Qty]] * SnapshotTable[[#This Row],[SP Current Ask]] * -100, "")</f>
        <v/>
      </c>
      <c r="DG380" s="31" t="str">
        <f>IF(ISNUMBER((SnapshotTable[[#This Row],[SP Total Value]])), SnapshotTable[[#This Row],[SP Premium]] + SnapshotTable[[#This Row],[SP Total Value]], "")</f>
        <v/>
      </c>
      <c r="DH380" s="294" t="str">
        <f>IF(ISNUMBER((SnapshotTable[[#This Row],[SP Total Value]])), SnapshotTable[[#This Row],[SP Gain Loss]] / SnapshotTable[[#This Row],[SP Premium]], "")</f>
        <v/>
      </c>
      <c r="DI380" s="406"/>
      <c r="DJ380" s="138"/>
      <c r="DK380" s="148"/>
      <c r="DL380" s="147"/>
      <c r="DM380" s="147"/>
      <c r="DN380" s="5"/>
      <c r="DO380" s="31">
        <f>IF(SnapshotTable[[#This Row],[LC Symbol Count]]=1, SnapshotTable[[#This Row],[LC Qty]] * SnapshotTable[[#This Row],[LC Book Price]] * 100, 0)</f>
        <v>0</v>
      </c>
      <c r="DP380" s="289" t="str">
        <f>IF(AND(SnapshotTable[[#This Row],[LC Exp Date]]&gt;0, SnapshotTable[[#This Row],[LC Strike Price]]&gt;0,SnapshotTable[[#This Row],[LC Qty]]&gt;0,SnapshotTable[[#This Row],[LC Book Date]]&gt;0,SnapshotTable[[#This Row],[LC Book Price]]&gt;0,SnapshotTable[[#This Row],[LC Fill Date]]=0),"Y","")</f>
        <v/>
      </c>
      <c r="DQ380" s="386" t="str">
        <f>IF(SnapshotTable[[#This Row],[LC Premium]] &gt; 0,SnapshotTable[[#This Row],[LC Exp Date]]-MAX(SnapshotTable[[#This Row],[LC Book Date]], SnapshotTable[[#This Row],[LC Fill Date]]),"")</f>
        <v/>
      </c>
      <c r="DR380" s="386" t="str">
        <f>IF(ISNUMBER(SnapshotTable[[#This Row],[LC Term]]), SnapshotTable[[#This Row],[LC Exp Date]] - MockToday, "")</f>
        <v/>
      </c>
      <c r="DS380" s="234" t="str">
        <f>IF(SnapshotTable[[#This Row],[LC Premium]]&gt;0,SnapshotTable[[#This Row],[LC Strike Price]] + SnapshotTable[[#This Row],[LC Book Price]],"")</f>
        <v/>
      </c>
      <c r="DT380" s="5"/>
      <c r="DU380" s="9" t="str">
        <f>IF(AND(SnapshotTable[[#This Row],[LC Symbol Count]]&gt;0, SnapshotTable[[#This Row],[LC Contract Value]]&gt;0), SnapshotTable[[#This Row],[LC Contract Value]] * SnapshotTable[[#This Row],[LC Qty]] * 100, "")</f>
        <v/>
      </c>
      <c r="DV380" s="9" t="str">
        <f>IF(AND(ISNUMBER(SnapshotTable[[#This Row],[LC Total Value]]), SnapshotTable[[#This Row],[LC Not Filled]]&lt;&gt;"Y"), SnapshotTable[[#This Row],[LC Total Value]]-SnapshotTable[[#This Row],[LC Premium]],"")</f>
        <v/>
      </c>
      <c r="DW380" s="240" t="str">
        <f>IF(ISNUMBER(SnapshotTable[[#This Row],[LC Actual Gain Loss]]), SnapshotTable[[#This Row],[LC Actual Gain Loss]] / SnapshotTable[[#This Row],[LC Premium]],"")</f>
        <v/>
      </c>
      <c r="DX380" s="284" t="str">
        <f>IF(ISNUMBER(SnapshotTable[[#This Row],[LC Book Price]]),SnapshotTable[[#This Row],[LC Book Price]] * 1.5,"")</f>
        <v/>
      </c>
      <c r="DY380" s="265" t="str">
        <f>IF(SnapshotTable[[#This Row],[LC Premium]]&gt;0, SnapshotTable[[#This Row],[LC Next Target]] * SnapshotTable[[#This Row],[LC Qty]] * 100,"")</f>
        <v/>
      </c>
      <c r="DZ380" s="265" t="str">
        <f>IF(ISNUMBER(SnapshotTable[[#This Row],[LC Target Gross]]), SnapshotTable[[#This Row],[LC Target Gross]] - SnapshotTable[[#This Row],[LC Premium]], "")</f>
        <v/>
      </c>
      <c r="EA380" s="305" t="str">
        <f>IF(ISNUMBER(SnapshotTable[[#This Row],[LC Target Gain Loss]]), SnapshotTable[[#This Row],[LC Target Gain Loss]]/SnapshotTable[[#This Row],[LC Premium]], "")</f>
        <v/>
      </c>
      <c r="EB380" s="262"/>
      <c r="EC380" s="283" t="str">
        <f>IF(SnapshotTable[[#This Row],[LC Premium]]&gt;0, SnapshotTable[[#This Row],[LC Book Price]] * (1 - LC_StopLoss_Pct),"")</f>
        <v/>
      </c>
      <c r="ED380" s="284"/>
      <c r="EE380" s="283" t="str">
        <f>IF(ISNUMBER(SnapshotTable[[#This Row],[LC Contract Value]]),IF(ISNUMBER(SnapshotTable[[#This Row],[LC Stop Loss Override]]), SnapshotTable[[#This Row],[LC Stop Loss Override]],SnapshotTable[[#This Row],[LC Stop Loss Calc Target]]),"")</f>
        <v/>
      </c>
      <c r="EF380" s="31" t="str">
        <f>IF(ISNUMBER(SnapshotTable[[#This Row],[LC Stop  To Use]]), (SnapshotTable[[#This Row],[LC Stop  To Use]] * SnapshotTable[[#This Row],[LC Qty]] * 100),"")</f>
        <v/>
      </c>
      <c r="EG380" s="9" t="str">
        <f>IF(ISNUMBER(SnapshotTable[[#This Row],[LC Total Value]]),SnapshotTable[[#This Row],[LC Stop Loss Amount]] - SnapshotTable[[#This Row],[LC Premium]],"")</f>
        <v/>
      </c>
      <c r="EH380" s="9">
        <f>IF(ISNUMBER(SnapshotTable[[#This Row],[LC Premium]]), SnapshotTable[[#This Row],[LC Qty]] * 100 * SnapshotTable[[#This Row],[LC Strike Price]], "")</f>
        <v>0</v>
      </c>
      <c r="EI380" s="240" t="str">
        <f>IF(AND(ISNUMBER(SnapshotTable[[#This Row],[LC Total Value]]),SnapshotTable[[#This Row],[LC Total Value]]&gt;0),SnapshotTable[[#This Row],[LC Stop Gain Loss]]  / SnapshotTable[[#This Row],[LC Premium]],"")</f>
        <v/>
      </c>
      <c r="EJ380" s="35">
        <f>IF(ISNUMBER(SnapshotTable[[#This Row],[Equity Shares]]),TRUNC(SnapshotTable[[#This Row],[Equity Shares]] / 100),0) + SnapshotTable[[#This Row],[LC Qty]]</f>
        <v>0</v>
      </c>
      <c r="EK380" s="147"/>
      <c r="EL380" s="138" t="str">
        <f>IF(SnapshotTable[[#This Row],[SC Exp Date]]&lt;&gt;"",TRUNC(SnapshotTable[[#This Row],[Last Price]]),"")</f>
        <v/>
      </c>
      <c r="EM380" s="148"/>
      <c r="EN380" s="147"/>
      <c r="EO380" s="147"/>
      <c r="EP380" s="138"/>
      <c r="EQ380" s="419" t="b">
        <f>AND(ISNUMBER(SnapshotTable[[#This Row],[SC Exp Date]]), ISNUMBER(SnapshotTable[[#This Row],[SC Strike Price]]), ISNUMBER(SnapshotTable[[#This Row],[SC Qty]]), ISNUMBER(SnapshotTable[[#This Row],[SC Book Date]]), ISNUMBER(SnapshotTable[[#This Row],[SC Book Price]]))</f>
        <v>0</v>
      </c>
      <c r="ER380" s="419" t="b">
        <f>AND(SnapshotTable[[#This Row],[SC Is Booked]], NOT(ISBLANK(SnapshotTable[[#This Row],[SC Fill Date]])))</f>
        <v>0</v>
      </c>
      <c r="ES380" s="370"/>
      <c r="ET380" s="34" t="str">
        <f>IF(AND(ISNUMBER(SnapshotTable[[#This Row],[SC Exp Date]]), ISNUMBER(SnapshotTable[[#This Row],[SC Book Date]])), SnapshotTable[[#This Row],[SC Exp Date]] - MAX(SnapshotTable[[#This Row],[SC Book Date]], SnapshotTable[[#This Row],[SC Fill Date]]) + 1, "")</f>
        <v/>
      </c>
      <c r="EU380" s="34" t="str">
        <f>IF(ISNUMBER(SnapshotTable[[#This Row],[SC Term]]), SnapshotTable[[#This Row],[SC Exp Date]]- MockToday, "")</f>
        <v/>
      </c>
      <c r="EV380" s="31">
        <f>IF(SnapshotTable[[#This Row],[SC Is Booked]], SnapshotTable[[#This Row],[SC Qty]] * SnapshotTable[[#This Row],[SC Book Price]] * 100, 0)</f>
        <v>0</v>
      </c>
      <c r="EW380" s="4" t="str">
        <f>IF(AND(ISNUMBER(SnapshotTable[[#This Row],[Last Price]]), ISNUMBER( SnapshotTable[[#This Row],[SC Book Price]])), SnapshotTable[[#This Row],[Last Price]] - SnapshotTable[[#This Row],[SC Book Price]],"")</f>
        <v/>
      </c>
      <c r="EX380" s="234" t="str">
        <f>IF(SnapshotTable[[#This Row],[SC Is Booked]],IF(SnapshotTable[[#This Row],[SC Intrinsic Value]] &gt; 0, SnapshotTable[[#This Row],[SC Strike Price]], SnapshotTable[[#This Row],[Last Price]]), "")</f>
        <v/>
      </c>
      <c r="EY380" s="4">
        <f>IF(SnapshotTable[[#This Row],[SC Is Booked]], (MinimumPremiumRequired * SnapshotTable[[#This Row],[SC Basis]] * SnapshotTable[[#This Row],[SC Term]]), 0)</f>
        <v>0</v>
      </c>
      <c r="EZ380" s="283"/>
      <c r="FA380" s="218"/>
      <c r="FB380" s="370"/>
      <c r="FC380" s="4">
        <f>IF(SnapshotTable[[#This Row],[SC Is Filled]], btc_max_buyback_amount(SnapshotTable[[#This Row],[SC Fill Date]],SnapshotTable[[#This Row],[SC Exp Date]], SnapshotTable[[#This Row],[SC Book Price]]),0)</f>
        <v>0</v>
      </c>
      <c r="FD380" s="5"/>
      <c r="FE380" s="144" t="str">
        <f>IF(SnapshotTable[[#This Row],[SC Is Filled]], btc_next_cutoff_date(SnapshotTable[[#This Row],[SC Fill Date]],SnapshotTable[[#This Row],[SC Exp Date]]),"")</f>
        <v/>
      </c>
      <c r="FF380" s="4" t="str" cm="1">
        <f t="array" ref="FF380">IF(SnapshotTable[[#This Row],[SC Is Filled]], btc_should_buy_back(SnapshotTable[[#This Row],[SC Fill Date]], SnapshotTable[[#This Row],[SC Exp Date]], SnapshotTable[[#This Row],[SC Book Price]], SnapshotTable[[#This Row],[SC Current Ask]], MockToday, SnapshotTable[[#This Row],[SC Buyback Override]]),"")</f>
        <v/>
      </c>
      <c r="FG380" s="4">
        <f>IF(SnapshotTable[[#This Row],[SC Is Filled]], MAX(0,SnapshotTable[[#This Row],[Last Price]]  - SnapshotTable[[#This Row],[SC Strike Price]]), 0)</f>
        <v>0</v>
      </c>
      <c r="FH380" s="382">
        <f>IF(SnapshotTable[[#This Row],[SC Is Filled]], IF(ISNUMBER(SnapshotTable[[#This Row],[SC Current Ask]]), SnapshotTable[[#This Row],[SC Current Ask]], SnapshotTable[[#This Row],[SC Book Price]]) - SnapshotTable[[#This Row],[SC Intrinsic Value]], 0)</f>
        <v>0</v>
      </c>
      <c r="FI380" s="143"/>
      <c r="FJ380" s="32" t="str">
        <f>IF(SnapshotTable[[#This Row],[SC Is Filled]],100 * SnapshotTable[[#This Row],[SC Qty]] * IF(ISNUMBER(SnapshotTable[[#This Row],[SC Buyback Override]]), SnapshotTable[[#This Row],[SC Buyback Override]], SnapshotTable[[#This Row],[SC Current Ask]]), "")</f>
        <v/>
      </c>
      <c r="FK380" s="250" t="str">
        <f>IF(SnapshotTable[[#This Row],[SC Time Val]]&gt;0, SnapshotTable[[#This Row],[SC Time Val]] / SnapshotTable[[#This Row],[Last Price]],"")</f>
        <v/>
      </c>
      <c r="FL380" s="302" t="str">
        <f>IF(SnapshotTable[[#This Row],[SC Is Booked]], ((SnapshotTable[[#This Row],[Last Price]] -SnapshotTable[[#This Row],[SC Strike Price]]) / SnapshotTable[[#This Row],[Last Price]]) * -1, "")</f>
        <v/>
      </c>
      <c r="FM380" s="157" t="str">
        <f>IF(SnapshotTable[[#This Row],[SC Is Booked]],  (SnapshotTable[[#This Row],[SC Qty]] * 100 * SnapshotTable[[#This Row],[SC Strike Price]]) - SnapshotTable[[#This Row],[SC Current Ask]], "")</f>
        <v/>
      </c>
      <c r="FN380"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0" s="157" t="str">
        <f>IF(AND(ISNUMBER(SnapshotTable[[#This Row],[SC Exercise Gross]]), ISNUMBER(SnapshotTable[[#This Row],[Equity Basis Per Share]] )), SnapshotTable[[#This Row],[SC Exercise Gross]] - SnapshotTable[[#This Row],[Equity Basis Total]] +  SnapshotTable[[#This Row],[SC Premium]], "")</f>
        <v/>
      </c>
      <c r="FP380" s="5" t="str">
        <f>IF(ISNUMBER(SnapshotTable[[#This Row],[SC Exercise Gross]]), (SnapshotTable[[#This Row],[SC Exercise Gross]]) / (SnapshotTable[[#This Row],[SC Qty]] * 100), "")</f>
        <v/>
      </c>
      <c r="FQ380" s="27" t="str">
        <f>IF(SnapshotTable[[#This Row],[SC Is Booked]],SnapshotTable[[#This Row],[SC Time Val]] /SnapshotTable[[#This Row],[SC Basis]], "")</f>
        <v/>
      </c>
      <c r="FR380" s="27" t="str" cm="1">
        <f t="array" ref="FR380">IF(AND(ISNUMBER(SnapshotTable[[#This Row],[SC Term]]),ISNUMBER(SnapshotTable[[#This Row],[SC Simple ROO]])), EllmanAnnualize(SnapshotTable[[#This Row],[SC DTE]], SnapshotTable[[#This Row],[SC Simple ROO]] ),"")</f>
        <v/>
      </c>
      <c r="FS380" s="4" t="e">
        <f>IF(SnapshotTable[[#This Row],[SC Strike Price]] &gt; SnapshotTable[[#This Row],[Last Price]], SnapshotTable[[#This Row],[SC Strike Price]] - SnapshotTable[[#This Row],[Last Price]],0)</f>
        <v>#VALUE!</v>
      </c>
      <c r="FT380" s="27" t="e">
        <f>IF(AND(ISNUMBER(SnapshotTable[[#This Row],[SC Upside Potential]]), SnapshotTable[[#This Row],[SC Upside Potential]] &gt; 0),(SnapshotTable[[#This Row],[SC Upside Potential]]/ SnapshotTable[[#This Row],[ACB]]),"")</f>
        <v>#VALUE!</v>
      </c>
      <c r="FU380" s="333" t="str">
        <f>IF(SnapshotTable[[#This Row],[SC Intrinsic Value]] &gt; 0,SnapshotTable[[#This Row],[SC Intrinsic Value]],"")</f>
        <v/>
      </c>
      <c r="FV380" s="27" t="str">
        <f>IF(AND( ISNUMBER( SnapshotTable[[#This Row],[ACB]]),ISNUMBER(SnapshotTable[[#This Row],[SC Downside Protect]])),SnapshotTable[[#This Row],[SC Downside Protect]] / SnapshotTable[[#This Row],[ACB]],"")</f>
        <v/>
      </c>
      <c r="FW380" s="236" t="str">
        <f>IF(AND(ISNUMBER(SnapshotTable[[#This Row],[SC Simple ROO]]),SnapshotTable[[#This Row],[SC Simple ROO]] &gt; 0), SnapshotTable[[#This Row],[SC Premium]] + (SnapshotTable[[#This Row],[SC Qty]] * SnapshotTable[[#This Row],[SC Upside Potential]]), "")</f>
        <v/>
      </c>
      <c r="FX380" s="302" t="str" cm="1">
        <f t="array" ref="FX380">IF(ISNUMBER(SnapshotTable[[#This Row],[SC Max Dollars]]), annualize(SnapshotTable[[#This Row],[SC Term]],(SnapshotTable[[#This Row],[SC Max Dollars]]/SnapshotTable[[#This Row],[SC Basis]])),"")</f>
        <v/>
      </c>
      <c r="FY380" s="236" t="str">
        <f>IF(AND(SnapshotTable[[#This Row],[SC Qty]]&gt;0,SnapshotTable[[#This Row],[SC Current Ask]]&gt;0), SnapshotTable[[#This Row],[SC Qty]] * SnapshotTable[[#This Row],[SC Current Ask]] * -100, "")</f>
        <v/>
      </c>
      <c r="FZ380" s="235" t="str">
        <f>IF(ISNUMBER((SnapshotTable[[#This Row],[SC Current Value]])), SnapshotTable[[#This Row],[SC Premium]] + SnapshotTable[[#This Row],[SC Current Value]], "")</f>
        <v/>
      </c>
      <c r="GA380" s="294" t="str">
        <f>IFERROR( IF(ISNUMBER((SnapshotTable[[#This Row],[SC Current Value]])), SnapshotTable[[#This Row],[SC Gain Loss]] / SnapshotTable[[#This Row],[SC Premium]], ""), "")</f>
        <v/>
      </c>
      <c r="GB380" s="42">
        <f>SnapshotTable[[#This Row],[Equity Shares]] * SaleSharesToConsiderPercentage</f>
        <v>0</v>
      </c>
      <c r="GC380" s="40">
        <f>SnapshotTable[[#This Row],[Long Term Target]] * SellingPriceToConsiderBasedOnTargetPercentage</f>
        <v>53.541999999999994</v>
      </c>
      <c r="GD380" s="40">
        <f>SnapshotTable[[#This Row],[Last Price]] * (1+ SellingPriceToConsiderBasedOnTargetPercentage)</f>
        <v>100.93199999999999</v>
      </c>
      <c r="GE380" s="41"/>
      <c r="GF380" s="40"/>
      <c r="GG380" s="31">
        <f>SnapshotTable[[#This Row],[Booked Sale Shares]] * SnapshotTable[[#This Row],[Booked Sale Price]]</f>
        <v>0</v>
      </c>
      <c r="GH380" s="31" t="str">
        <f>IF(SnapshotTable[[#This Row],[Equity Basis Total]] &gt; 0, SnapshotTable[[#This Row],[Equity Basis Per Share]] * SnapshotTable[[#This Row],[Booked Sale Shares]], "")</f>
        <v/>
      </c>
      <c r="GI380" s="31">
        <f>IF(SnapshotTable[[#This Row],[Sale Proceeds]]&gt;0, SnapshotTable[[#This Row],[Sale Proceeds]] - SnapshotTable[[#This Row],[Sale Basis]], 0)</f>
        <v>0</v>
      </c>
      <c r="GJ380" s="158" t="str">
        <f>IF(SnapshotTable[[#This Row],[Sale G/L]]&gt;0, SnapshotTable[[#This Row],[Sale G/L]] / SnapshotTable[[#This Row],[Sale Basis]], IF(ISNUMBER(SnapshotTable[[#This Row],[SC Exercise P&amp;L (TAX)]]), SnapshotTable[[#This Row],[SC Exercise P&amp;L (TAX)]] / SnapshotTable[[#This Row],[SC Basis]], ""))</f>
        <v/>
      </c>
      <c r="GK380" s="158"/>
      <c r="GL380" s="159" t="str">
        <f>IF(AND(SnapshotTable[[#This Row],[LP Exp Date]]&gt;0,SnapshotTable[[#This Row],[LP Strike Price]]&gt;0), [1]!ToOptionSymbol(SnapshotTable[[#This Row],[Symbol]], SnapshotTable[[#This Row],[LP Strike Price]],SnapshotTable[[#This Row],[LP Exp Date]],1), "")</f>
        <v/>
      </c>
      <c r="GM380" s="30" t="str">
        <f>IF(LEN(SnapshotTable[[#This Row],[LP Symbol]])&gt;0, 1, "")</f>
        <v/>
      </c>
      <c r="GN380" s="43" t="str">
        <f>IF(AND(SnapshotTable[[#This Row],[SP Exp Date]]&gt;0,SnapshotTable[[#This Row],[SP Strike Price]]&gt;0), [1]!ToOptionSymbol(SnapshotTable[[#This Row],[Symbol]], SnapshotTable[[#This Row],[SP Strike Price]],SnapshotTable[[#This Row],[SP Exp Date]],1), "")</f>
        <v/>
      </c>
      <c r="GO380" s="30" t="str">
        <f>IF(LEN(SnapshotTable[[#This Row],[SP Symbol]])&gt;0, 1, "")</f>
        <v/>
      </c>
      <c r="GP380" s="159" t="str">
        <f>IF(AND(SnapshotTable[[#This Row],[LC Exp Date]]&gt;0,SnapshotTable[[#This Row],[LC Strike Price]]&gt;0), [1]!ToOptionSymbol(SnapshotTable[[#This Row],[Symbol]], SnapshotTable[[#This Row],[LC Strike Price]],SnapshotTable[[#This Row],[LC Exp Date]],0), "")</f>
        <v/>
      </c>
      <c r="GQ380" s="160" t="str">
        <f>IF(LEN(SnapshotTable[[#This Row],[LC Symbol]])&gt;0, 1, "")</f>
        <v/>
      </c>
      <c r="GR380" s="159" t="str">
        <f>IF(AND(SnapshotTable[[#This Row],[SC Exp Date]]&gt;0,SnapshotTable[[#This Row],[SC Strike Price]]&gt;0), [1]!ToOptionSymbol(SnapshotTable[[#This Row],[Symbol]], SnapshotTable[[#This Row],[SC Strike Price]],SnapshotTable[[#This Row],[SC Exp Date]],0), "")</f>
        <v/>
      </c>
      <c r="GS380" s="160" t="str">
        <f>IF(LEN(SnapshotTable[[#This Row],[SC Symbol]])&gt;0, 1, "")</f>
        <v/>
      </c>
      <c r="GT380" s="161" t="str">
        <f>IF(COUNT(SnapshotTable[[#This Row],[LP Symbol Count]],SnapshotTable[[#This Row],[SP Symbol Count]],SnapshotTable[[#This Row],[LC Symbol Count]],SnapshotTable[[#This Row],[SC Symbol Count]])&gt;0, "Y", "")</f>
        <v/>
      </c>
      <c r="GU38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0" s="231" t="e">
        <f>MAX(SnapshotTable[[#This Row],[Equity Basis Total]],SnapshotTable[[#This Row],[Equity Value]]) + (SnapshotTable[[#This Row],[SP Potential Spend]]- SnapshotTable[[#This Row],[SP Premium]] + SnapshotTable[[#This Row],[LP Premium]])+ (SnapshotTable[[#This Row],[LC Premium]] - SnapshotTable[[#This Row],[SC Premium]])</f>
        <v>#VALUE!</v>
      </c>
      <c r="GW380" s="139" t="e">
        <f>IF(AND(SnapshotTable[[#This Row],[Exposure]] &lt;&gt; 0),SnapshotTable[[#This Row],[Exposure]] / SnapshotTable[[#Totals],[Exposure]], "")</f>
        <v>#VALUE!</v>
      </c>
      <c r="GY380" s="381"/>
      <c r="HE380" s="381"/>
      <c r="HF380" s="381"/>
      <c r="HG380" s="381"/>
      <c r="HH380" s="381"/>
      <c r="HI380" s="381"/>
      <c r="HJ380" s="381"/>
    </row>
    <row r="381" spans="2:224" ht="12.75" hidden="1" customHeight="1" x14ac:dyDescent="0.25">
      <c r="B381" s="12" t="s">
        <v>496</v>
      </c>
      <c r="C381" s="422">
        <v>36.96</v>
      </c>
      <c r="D381" s="208"/>
      <c r="E381" s="39">
        <f>SnapshotTable[[#This Row],[Last Price]]*(1 -CrashDiscount)</f>
        <v>31.416</v>
      </c>
      <c r="F381" s="26" t="s">
        <v>94</v>
      </c>
      <c r="G381" s="26" t="s">
        <v>9</v>
      </c>
      <c r="H381" s="149"/>
      <c r="I381" s="194">
        <v>44783.25</v>
      </c>
      <c r="J381" s="195">
        <v>44783.25</v>
      </c>
      <c r="K381" s="196"/>
      <c r="L381" s="326"/>
      <c r="M381" s="140"/>
      <c r="N381" s="140"/>
      <c r="O381" s="140"/>
      <c r="P381" s="22"/>
      <c r="Q381" s="25"/>
      <c r="R381" s="4" t="str">
        <f>IF(SnapshotTable[[#This Row],[Equity Basis Total]] &gt; 0, SnapshotTable[[#This Row],[Equity Basis Total]] / SnapshotTable[[#This Row],[Equity Shares]], "")</f>
        <v/>
      </c>
      <c r="S381" s="269">
        <f>SnapshotTable[[#This Row],[Last Price]] * SnapshotTable[[#This Row],[Equity Shares]]</f>
        <v>0</v>
      </c>
      <c r="T381" s="269">
        <f>SnapshotTable[[#This Row],[Equity Value]] - SnapshotTable[[#This Row],[Equity Basis Total]]</f>
        <v>0</v>
      </c>
      <c r="U381" s="270" t="str">
        <f>IF(SnapshotTable[[#This Row],[Equity Basis Total]] &gt; 0, SnapshotTable[[#This Row],[Equity G/L]] / SnapshotTable[[#This Row],[Equity Basis Total]], "")</f>
        <v/>
      </c>
      <c r="V381" s="268"/>
      <c r="W381" s="268"/>
      <c r="X381" s="4" t="str">
        <f>IF(AND(ISNUMBER(SnapshotTable[[#This Row],[Equity Basis Per Share]]),ISNUMBER(SnapshotTable[[#This Row],[Equity Target]])),SnapshotTable[[#This Row],[Equity Target]]-SnapshotTable[[#This Row],[Equity Basis Per Share]],"")</f>
        <v/>
      </c>
      <c r="Y381" s="4" t="str">
        <f>IF(AND(ISNUMBER(SnapshotTable[[#This Row],[Equity Basis Per Share]]),ISNUMBER(SnapshotTable[[#This Row],[Equity Stop Loss]])),SnapshotTable[[#This Row],[Equity Stop Loss]]-SnapshotTable[[#This Row],[Equity Basis Per Share]],"")</f>
        <v/>
      </c>
      <c r="Z381" s="275" t="str">
        <f>IFERROR( TEXT(SnapshotTable[[#This Row],[Equity Max Gain Per Share]] /ABS( SnapshotTable[[#This Row],[Equity Max Loss Per Share]]),"0.0 " ) &amp; " : 1", "")</f>
        <v/>
      </c>
      <c r="AA381" s="31" t="str">
        <f>IF(ISNUMBER(SnapshotTable[[#This Row],[Equity Max Gain Per Share]]),SnapshotTable[[#This Row],[Equity Max Gain Per Share]] * SnapshotTable[[#This Row],[Equity Shares]],"")</f>
        <v/>
      </c>
      <c r="AB381" s="31" t="str">
        <f>IF(ISNUMBER(SnapshotTable[[#This Row],[Equity Max Loss Per Share]]),SnapshotTable[[#This Row],[Equity Max Loss Per Share]] * SnapshotTable[[#This Row],[Equity Shares]],"")</f>
        <v/>
      </c>
      <c r="AC381" s="150"/>
      <c r="AD381" s="151"/>
      <c r="AE381" s="31">
        <f>(SnapshotTable[[#This Row],[Annual Dividend Per Share]] / 4) * SnapshotTable[[#This Row],[Equity Shares]]</f>
        <v>0</v>
      </c>
      <c r="AF381" s="31">
        <f>SnapshotTable[[#This Row],[Quarterly Div $]] * 4</f>
        <v>0</v>
      </c>
      <c r="AG381" s="7">
        <f>IF(SnapshotTable[[#This Row],[Annual Dividend Per Share]]&gt;0, SnapshotTable[[#This Row],[Annual Dividend Per Share]]  / SnapshotTable[[#This Row],[Last Price]], 0)</f>
        <v>0</v>
      </c>
      <c r="AH381" s="151"/>
      <c r="AI381" s="5"/>
      <c r="AJ381" s="138">
        <v>3362.58</v>
      </c>
      <c r="AK381" s="152" t="str">
        <f>IF(ISNUMBER( SnapshotTable[[#This Row],[EBF Target]]),(SnapshotTable[[#This Row],[EBF Target]] - SnapshotTable[[#This Row],[Last Price]]) / SnapshotTable[[#This Row],[Last Price]], "")</f>
        <v/>
      </c>
      <c r="AL381" s="152" t="str">
        <f>IF(AND(SnapshotTable[[#This Row],[Equity Basis Total]] &gt; 0,ISNUMBER( SnapshotTable[[#This Row],[Long Term Target]])), SnapshotTable[[#This Row],[From Basis $]] / SnapshotTable[[#This Row],[Equity Basis Total]], "")</f>
        <v/>
      </c>
      <c r="AM381" s="9">
        <f>IF( AND(SnapshotTable[[#This Row],[Equity Shares]] &gt;0,ISNUMBER( SnapshotTable[[#This Row],[Long Term Target]])),(SnapshotTable[[#This Row],[Equity Shares]] * SnapshotTable[[#This Row],[Long Term Target]]) - SnapshotTable[[#This Row],[Equity Basis Total]],0)</f>
        <v>0</v>
      </c>
      <c r="AN381" s="9">
        <f>IF( AND(SnapshotTable[[#This Row],[Equity Shares]] &gt;0,ISNUMBER( SnapshotTable[[#This Row],[Long Term Target]])),(SnapshotTable[[#This Row],[Equity Shares]]*SnapshotTable[[#This Row],[Long Term Target]]) - SnapshotTable[[#This Row],[Equity Value]],0)</f>
        <v>0</v>
      </c>
      <c r="AO381" s="152">
        <f>IF(AND(ISNUMBER( SnapshotTable[[#This Row],[Long Term Target]]), ISNUMBER(SnapshotTable[[#This Row],[Last Price]])),(SnapshotTable[[#This Row],[Long Term Target]] - SnapshotTable[[#This Row],[Last Price]]) / SnapshotTable[[#This Row],[Last Price]], "")</f>
        <v>89.978896103896105</v>
      </c>
      <c r="AP381" s="5"/>
      <c r="AQ381" s="38"/>
      <c r="AR381" s="5"/>
      <c r="AS381" s="38"/>
      <c r="AT381" s="146"/>
      <c r="AU381" s="187" t="str">
        <f>IF(OR(SnapshotTable[[#This Row],[LP No Fill]]="Y",SnapshotTable[[#This Row],[SP Is Filled]],SnapshotTable[[#This Row],[LC Not Filled]]="Y",SnapshotTable[[#This Row],[SC Is Filled]]),"Y","")</f>
        <v/>
      </c>
      <c r="AV381" s="219"/>
      <c r="AW381" s="225"/>
      <c r="AX381" s="220"/>
      <c r="AY381" s="219" t="str">
        <f>IF(SnapshotTable[[#This Row],[Implied Move]]&gt;0, SnapshotTable[[#This Row],[Last Price]]-SnapshotTable[[#This Row],[Implied Move]],"")</f>
        <v/>
      </c>
      <c r="AZ381" s="219" t="str">
        <f>IF(SnapshotTable[[#This Row],[Implied Move]]&gt;0, SnapshotTable[[#This Row],[Last Price]] + SnapshotTable[[#This Row],[Implied Move]],"")</f>
        <v/>
      </c>
      <c r="BA381" s="331"/>
      <c r="BB381" s="347"/>
      <c r="BC38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1" s="351"/>
      <c r="BE381" s="5"/>
      <c r="BF381" s="14"/>
      <c r="BG381" s="13"/>
      <c r="BH381" s="13"/>
      <c r="BI381" s="5"/>
      <c r="BJ381" s="136">
        <f>IF(SnapshotTable[[#This Row],[LP Qty]] &gt; 0, SnapshotTable[[#This Row],[LP Qty]] * SnapshotTable[[#This Row],[LP Book Price]] * 100,0)</f>
        <v>0</v>
      </c>
      <c r="BK381" s="136">
        <f>IF(SnapshotTable[[#This Row],[LP Premium]] &gt; 0, SnapshotTable[[#This Row],[LP Qty]] * SnapshotTable[[#This Row],[LP Strike Price]] * 100,0)</f>
        <v>0</v>
      </c>
      <c r="BL381" s="154"/>
      <c r="BM381" s="385" t="str">
        <f>IF(SnapshotTable[[#This Row],[LP Premium]] &gt; 0,SnapshotTable[[#This Row],[LP Exp Date]]-MAX(SnapshotTable[[#This Row],[LP Book Date]], SnapshotTable[[#This Row],[LP Fill Date]]),"")</f>
        <v/>
      </c>
      <c r="BN381" s="385" t="str">
        <f>IF(ISNUMBER( SnapshotTable[[#This Row],[LP Term]]), SnapshotTable[[#This Row],[LP Exp Date]] - MockToday,"")</f>
        <v/>
      </c>
      <c r="BO381" s="163" t="str">
        <f>IF(AND(SnapshotTable[[#This Row],[LP Exp Date]]&gt;0, SnapshotTable[[#This Row],[LP Strike Price]]&gt;0,SnapshotTable[[#This Row],[LP Qty]]&gt;0,SnapshotTable[[#This Row],[LP Book Date]]&gt;0,SnapshotTable[[#This Row],[LP Book Price]]&gt;0,SnapshotTable[[#This Row],[LP Fill Date]]=0),"Y","")</f>
        <v/>
      </c>
      <c r="BP381" s="31" t="str">
        <f>IF(AND(SnapshotTable[[#This Row],[LP No Fill]]&lt;&gt;"Y",SnapshotTable[[#This Row],[LP Contract Value]]&gt;0, SnapshotTable[[#This Row],[LP Qty]]&gt;0), SnapshotTable[[#This Row],[LP Contract Value]]*SnapshotTable[[#This Row],[LP Qty]]*100,"")</f>
        <v/>
      </c>
      <c r="BQ381" s="13"/>
      <c r="BR381" s="5" t="str">
        <f>IF(SnapshotTable[[#This Row],[SP Exp Date]]&lt;&gt;"",TRUNC(SnapshotTable[[#This Row],[Last Price]]),"")</f>
        <v/>
      </c>
      <c r="BS381" s="36"/>
      <c r="BT381" s="147"/>
      <c r="BU381" s="13"/>
      <c r="BV381" s="5"/>
      <c r="BW381" s="419" t="b">
        <f>AND(ISNUMBER(SnapshotTable[[#This Row],[SP Exp Date]]), ISNUMBER(SnapshotTable[[#This Row],[SP Strike Price]]), ISNUMBER(SnapshotTable[[#This Row],[SP Qty]]), ISNUMBER(SnapshotTable[[#This Row],[SP Book Date]]), ISNUMBER(SnapshotTable[[#This Row],[SP Book Price]]))</f>
        <v>0</v>
      </c>
      <c r="BX381" s="419" t="b">
        <f>AND(SnapshotTable[[#This Row],[SP Is Booked]], NOT(ISBLANK(SnapshotTable[[#This Row],[SP Fill Date]])))</f>
        <v>0</v>
      </c>
      <c r="BY381" s="33">
        <f>IF(SnapshotTable[[#This Row],[SP Is Booked]], SnapshotTable[[#This Row],[SP Qty]] * SnapshotTable[[#This Row],[SP Book Price]] * 100, 0)</f>
        <v>0</v>
      </c>
      <c r="BZ381" s="369"/>
      <c r="CA381" s="368">
        <f>SnapshotTable[[#This Row],[LP Qty]]</f>
        <v>0</v>
      </c>
      <c r="CB381" s="4" t="str">
        <f>IF(SnapshotTable[[#This Row],[SP Is Booked]], SnapshotTable[[#This Row],[SP Strike Price]] - SnapshotTable[[#This Row],[SP Book Price]], "")</f>
        <v/>
      </c>
      <c r="CC381" s="19" t="str">
        <f>IF(SnapshotTable[[#This Row],[SP Is Booked]],SnapshotTable[[#This Row],[SP Exp Date]]-MAX(SnapshotTable[[#This Row],[SP Book Date]], SnapshotTable[[#This Row],[SP Fill Date]]),"")</f>
        <v/>
      </c>
      <c r="CD381" s="7" t="str">
        <f>IF(SnapshotTable[[#This Row],[SP Is Booked]], SnapshotTable[[#This Row],[SP Book Price]]/SnapshotTable[[#This Row],[SP Strike Price]], "")</f>
        <v/>
      </c>
      <c r="CE381" s="7" t="str">
        <f>IF(ISNUMBER(SnapshotTable[[#This Row],[SP ROO Term]]),SnapshotTable[[#This Row],[SP ROO Term]]*(365/SnapshotTable[[#This Row],[SP Term]]),"")</f>
        <v/>
      </c>
      <c r="CF381" s="236">
        <f>SnapshotTable[[#This Row],[LP Strike Price]] * SnapshotTable[[#This Row],[LP Qty]] * 100</f>
        <v>0</v>
      </c>
      <c r="CG381" s="31" t="e">
        <f>IF(ISNUMBER(SnapshotTable[[#This Row],[SP Premium]]), (SnapshotTable[[#This Row],[SP Qty]] * SnapshotTable[[#This Row],[SP Strike Price]]* 100) - SnapshotTable[[#This Row],[LP Protection]], 0)</f>
        <v>#VALUE!</v>
      </c>
      <c r="CH381" s="7" t="str">
        <f>IF(ISNUMBER(SnapshotTable[[#This Row],[SP Break Even]]),-1 * (SnapshotTable[[#This Row],[SP Break Even]] - SnapshotTable[[#This Row],[Last Price]]) / SnapshotTable[[#This Row],[Last Price]], "")</f>
        <v/>
      </c>
      <c r="CI381" s="31">
        <f>IF(AND(ISNUMBER((SnapshotTable[[#This Row],[SP Potential Spend]])), SnapshotTable[[#This Row],[SP Strike Price]] &gt; SnapshotTable[[#This Row],[Last Price]], SnapshotTable[[#This Row],[SP Is Filled]]), SnapshotTable[[#This Row],[SP Potential Spend]] -  SnapshotTable[[#This Row],[LP Max Value]], 0)</f>
        <v>0</v>
      </c>
      <c r="CJ381" s="244"/>
      <c r="CK381" s="31" t="str">
        <f>IF(ISNUMBER(SnapshotTable[[#This Row],[SP Potential Spend]]),IF(ISNUMBER(SnapshotTable[[#This Row],[SP POW]]), SnapshotTable[[#This Row],[SP POW]] * SnapshotTable[[#This Row],[SP Potential Spend]], SnapshotTable[[#This Row],[SP Potential Spend]]), "")</f>
        <v/>
      </c>
      <c r="CL381" s="164" t="e">
        <f>IF(NOT(SnapshotTable[[#This Row],[SP Is Filled]]),(SnapshotTable[[#This Row],[SP Qty]] * SnapshotTable[[#This Row],[SP Strike Price]] * 100) - SnapshotTable[[#This Row],[LP Max Value]],"")</f>
        <v>#VALUE!</v>
      </c>
      <c r="CM381" s="31" t="str">
        <f>IF(SnapshotTable[[#This Row],[SP Actual Spend]]&lt;&gt;0, ((SnapshotTable[[#This Row],[SP Strike Price]]-SnapshotTable[[#This Row],[Last Price]]) *(SnapshotTable[[#This Row],[SP Qty]]*100) - SnapshotTable[[#This Row],[SP Premium]]) * - 1, "")</f>
        <v/>
      </c>
      <c r="CN381" s="78"/>
      <c r="CO381" s="369"/>
      <c r="CP381" s="4" t="str">
        <f>IF(SnapshotTable[[#This Row],[SP Is Filled]], btc_max_buyback_amount(SnapshotTable[[#This Row],[SP Fill Date]],SnapshotTable[[#This Row],[SP Exp Date]], SnapshotTable[[#This Row],[SP Book Price]]),"")</f>
        <v/>
      </c>
      <c r="CQ381" s="78"/>
      <c r="CR38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1" s="155" t="str">
        <f>IF(SnapshotTable[[#This Row],[SP Is Filled]], btc_next_cutoff_date(SnapshotTable[[#This Row],[SP Fill Date]],SnapshotTable[[#This Row],[SP Exp Date]]),"")</f>
        <v/>
      </c>
      <c r="CT381" s="235" t="str" cm="1">
        <f t="array" ref="CT381">IF(SnapshotTable[[#This Row],[SP Is Filled]], btc_should_buy_back(SnapshotTable[[#This Row],[SP Fill Date]], SnapshotTable[[#This Row],[SP Exp Date]], SnapshotTable[[#This Row],[SP Book Price]], SnapshotTable[[#This Row],[SP Current Ask]], MockToday, SnapshotTable[[#This Row],[SP Buyback Override]]),"")</f>
        <v/>
      </c>
      <c r="CU381" s="143"/>
      <c r="CV381" s="235"/>
      <c r="CW381" s="378" t="str">
        <f>IF(ISNUMBER( SnapshotTable[[#This Row],[SP Term]]), SnapshotTable[[#This Row],[SP Exp Date]] - MockToday,"")</f>
        <v/>
      </c>
      <c r="CX381" s="31" t="str">
        <f>IF(SnapshotTable[[#This Row],[SP Is Filled]],SnapshotTable[[#This Row],[SP Buyback Price to Use]] * 100 * SnapshotTable[[#This Row],[SP Qty]], "")</f>
        <v/>
      </c>
      <c r="CY381" s="4" t="str">
        <f>IF(ISNUMBER(SnapshotTable[[#This Row],[SP Strike Price]]), SnapshotTable[[#This Row],[SP Strike Price]] * (1 - SP_MaxLoss_StrikePct), "")</f>
        <v/>
      </c>
      <c r="CZ381" s="31" t="str">
        <f>IF(ISNUMBER(SnapshotTable[[#This Row],[SP Strike  Stop Per Share]]),SnapshotTable[[#This Row],[SP Premium]] - ((SnapshotTable[[#This Row],[SP Strike Price]]-SnapshotTable[[#This Row],[SP Strike  Stop Per Share]]) *(SnapshotTable[[#This Row],[SP Qty]] * 100)),"")</f>
        <v/>
      </c>
      <c r="DA381" s="4" t="str">
        <f>IF(AND(ISNUMBER(SnapshotTable[[#This Row],[SP Premium]]),SnapshotTable[[#This Row],[SP Premium]]&gt;0), SnapshotTable[[#This Row],[SP Book Price]] * (1 + SP_MaxLoss_OptionPct), "")</f>
        <v/>
      </c>
      <c r="DB381" s="31" t="str">
        <f>IF(ISNUMBER(SnapshotTable[[#This Row],[SP Option  Stop Contract]]),(SnapshotTable[[#This Row],[SP Option  Stop Contract]] *(SnapshotTable[[#This Row],[SP Qty]] * 100) - SnapshotTable[[#This Row],[SP Premium]]),"")</f>
        <v/>
      </c>
      <c r="DC381" s="4"/>
      <c r="DD381" s="4"/>
      <c r="DE381" s="4" t="str">
        <f>IF(AND(SnapshotTable[[#This Row],[SP Qty]]&gt;0, SnapshotTable[[#This Row],[SP Stop To Use]]&gt;0),SnapshotTable[[#This Row],[SP Premium]] - ( SnapshotTable[[#This Row],[SP Qty]] * SnapshotTable[[#This Row],[SP Stop To Use]] * 100), "")</f>
        <v/>
      </c>
      <c r="DF381" s="31" t="str">
        <f>IF(AND(SnapshotTable[[#This Row],[SP Qty]]&gt;0,SnapshotTable[[#This Row],[SP Current Ask]]&gt;0), SnapshotTable[[#This Row],[SP Qty]] * SnapshotTable[[#This Row],[SP Current Ask]] * -100, "")</f>
        <v/>
      </c>
      <c r="DG381" s="31" t="str">
        <f>IF(ISNUMBER((SnapshotTable[[#This Row],[SP Total Value]])), SnapshotTable[[#This Row],[SP Premium]] + SnapshotTable[[#This Row],[SP Total Value]], "")</f>
        <v/>
      </c>
      <c r="DH381" s="294" t="str">
        <f>IF(ISNUMBER((SnapshotTable[[#This Row],[SP Total Value]])), SnapshotTable[[#This Row],[SP Gain Loss]] / SnapshotTable[[#This Row],[SP Premium]], "")</f>
        <v/>
      </c>
      <c r="DI381" s="406"/>
      <c r="DJ381" s="138"/>
      <c r="DK381" s="148"/>
      <c r="DL381" s="13"/>
      <c r="DM381" s="13"/>
      <c r="DO381" s="31">
        <f>IF(SnapshotTable[[#This Row],[LC Symbol Count]]=1, SnapshotTable[[#This Row],[LC Qty]] * SnapshotTable[[#This Row],[LC Book Price]] * 100, 0)</f>
        <v>0</v>
      </c>
      <c r="DP381" s="163" t="str">
        <f>IF(AND(SnapshotTable[[#This Row],[LC Exp Date]]&gt;0, SnapshotTable[[#This Row],[LC Strike Price]]&gt;0,SnapshotTable[[#This Row],[LC Qty]]&gt;0,SnapshotTable[[#This Row],[LC Book Date]]&gt;0,SnapshotTable[[#This Row],[LC Book Price]]&gt;0,SnapshotTable[[#This Row],[LC Fill Date]]=0),"Y","")</f>
        <v/>
      </c>
      <c r="DQ381" s="386" t="str">
        <f>IF(SnapshotTable[[#This Row],[LC Premium]] &gt; 0,SnapshotTable[[#This Row],[LC Exp Date]]-MAX(SnapshotTable[[#This Row],[LC Book Date]], SnapshotTable[[#This Row],[LC Fill Date]]),"")</f>
        <v/>
      </c>
      <c r="DR381" s="386" t="str">
        <f>IF(ISNUMBER(SnapshotTable[[#This Row],[LC Term]]), SnapshotTable[[#This Row],[LC Exp Date]] - MockToday, "")</f>
        <v/>
      </c>
      <c r="DS381" s="234" t="str">
        <f>IF(SnapshotTable[[#This Row],[LC Premium]]&gt;0,SnapshotTable[[#This Row],[LC Strike Price]] + SnapshotTable[[#This Row],[LC Book Price]],"")</f>
        <v/>
      </c>
      <c r="DU381" s="9" t="str">
        <f>IF(AND(SnapshotTable[[#This Row],[LC Symbol Count]]&gt;0, SnapshotTable[[#This Row],[LC Contract Value]]&gt;0), SnapshotTable[[#This Row],[LC Contract Value]] * SnapshotTable[[#This Row],[LC Qty]] * 100, "")</f>
        <v/>
      </c>
      <c r="DV381" s="9" t="str">
        <f>IF(AND(ISNUMBER(SnapshotTable[[#This Row],[LC Total Value]]), SnapshotTable[[#This Row],[LC Not Filled]]&lt;&gt;"Y"), SnapshotTable[[#This Row],[LC Total Value]]-SnapshotTable[[#This Row],[LC Premium]],"")</f>
        <v/>
      </c>
      <c r="DW381" s="240" t="str">
        <f>IF(ISNUMBER(SnapshotTable[[#This Row],[LC Actual Gain Loss]]), SnapshotTable[[#This Row],[LC Actual Gain Loss]] / SnapshotTable[[#This Row],[LC Premium]],"")</f>
        <v/>
      </c>
      <c r="DX381" s="284" t="str">
        <f>IF(ISNUMBER(SnapshotTable[[#This Row],[LC Book Price]]),SnapshotTable[[#This Row],[LC Book Price]] * 1.5,"")</f>
        <v/>
      </c>
      <c r="DY381" s="265" t="str">
        <f>IF(SnapshotTable[[#This Row],[LC Premium]]&gt;0, SnapshotTable[[#This Row],[LC Next Target]] * SnapshotTable[[#This Row],[LC Qty]] * 100,"")</f>
        <v/>
      </c>
      <c r="DZ381" s="265" t="str">
        <f>IF(ISNUMBER(SnapshotTable[[#This Row],[LC Target Gross]]), SnapshotTable[[#This Row],[LC Target Gross]] - SnapshotTable[[#This Row],[LC Premium]], "")</f>
        <v/>
      </c>
      <c r="EA381" s="305" t="str">
        <f>IF(ISNUMBER(SnapshotTable[[#This Row],[LC Target Gain Loss]]), SnapshotTable[[#This Row],[LC Target Gain Loss]]/SnapshotTable[[#This Row],[LC Premium]], "")</f>
        <v/>
      </c>
      <c r="EB381" s="262"/>
      <c r="EC381" s="283" t="str">
        <f>IF(SnapshotTable[[#This Row],[LC Premium]]&gt;0, SnapshotTable[[#This Row],[LC Book Price]] * (1 - LC_StopLoss_Pct),"")</f>
        <v/>
      </c>
      <c r="ED381" s="284"/>
      <c r="EE381" s="283" t="str">
        <f>IF(ISNUMBER(SnapshotTable[[#This Row],[LC Contract Value]]),IF(ISNUMBER(SnapshotTable[[#This Row],[LC Stop Loss Override]]), SnapshotTable[[#This Row],[LC Stop Loss Override]],SnapshotTable[[#This Row],[LC Stop Loss Calc Target]]),"")</f>
        <v/>
      </c>
      <c r="EF381" s="31" t="str">
        <f>IF(ISNUMBER(SnapshotTable[[#This Row],[LC Stop  To Use]]), (SnapshotTable[[#This Row],[LC Stop  To Use]] * SnapshotTable[[#This Row],[LC Qty]] * 100),"")</f>
        <v/>
      </c>
      <c r="EG381" s="9" t="str">
        <f>IF(ISNUMBER(SnapshotTable[[#This Row],[LC Total Value]]),SnapshotTable[[#This Row],[LC Stop Loss Amount]] - SnapshotTable[[#This Row],[LC Premium]],"")</f>
        <v/>
      </c>
      <c r="EH381" s="9">
        <f>IF(ISNUMBER(SnapshotTable[[#This Row],[LC Premium]]), SnapshotTable[[#This Row],[LC Qty]] * 100 * SnapshotTable[[#This Row],[LC Strike Price]], "")</f>
        <v>0</v>
      </c>
      <c r="EI381" s="240" t="str">
        <f>IF(AND(ISNUMBER(SnapshotTable[[#This Row],[LC Total Value]]),SnapshotTable[[#This Row],[LC Total Value]]&gt;0),SnapshotTable[[#This Row],[LC Stop Gain Loss]]  / SnapshotTable[[#This Row],[LC Premium]],"")</f>
        <v/>
      </c>
      <c r="EJ381" s="35">
        <f>IF(ISNUMBER(SnapshotTable[[#This Row],[Equity Shares]]),TRUNC(SnapshotTable[[#This Row],[Equity Shares]] / 100),0) + SnapshotTable[[#This Row],[LC Qty]]</f>
        <v>0</v>
      </c>
      <c r="EK381" s="147"/>
      <c r="EL381" s="138" t="str">
        <f>IF(SnapshotTable[[#This Row],[SC Exp Date]]&lt;&gt;"",TRUNC(SnapshotTable[[#This Row],[Last Price]]),"")</f>
        <v/>
      </c>
      <c r="EM381" s="148"/>
      <c r="EN381" s="147"/>
      <c r="EO381" s="147"/>
      <c r="EP381" s="138"/>
      <c r="EQ381" s="419" t="b">
        <f>AND(ISNUMBER(SnapshotTable[[#This Row],[SC Exp Date]]), ISNUMBER(SnapshotTable[[#This Row],[SC Strike Price]]), ISNUMBER(SnapshotTable[[#This Row],[SC Qty]]), ISNUMBER(SnapshotTable[[#This Row],[SC Book Date]]), ISNUMBER(SnapshotTable[[#This Row],[SC Book Price]]))</f>
        <v>0</v>
      </c>
      <c r="ER381" s="419" t="b">
        <f>AND(SnapshotTable[[#This Row],[SC Is Booked]], NOT(ISBLANK(SnapshotTable[[#This Row],[SC Fill Date]])))</f>
        <v>0</v>
      </c>
      <c r="ES381" s="370"/>
      <c r="ET381" s="34" t="str">
        <f>IF(AND(ISNUMBER(SnapshotTable[[#This Row],[SC Exp Date]]), ISNUMBER(SnapshotTable[[#This Row],[SC Book Date]])), SnapshotTable[[#This Row],[SC Exp Date]] - MAX(SnapshotTable[[#This Row],[SC Book Date]], SnapshotTable[[#This Row],[SC Fill Date]]) + 1, "")</f>
        <v/>
      </c>
      <c r="EU381" s="34" t="str">
        <f>IF(ISNUMBER(SnapshotTable[[#This Row],[SC Term]]), SnapshotTable[[#This Row],[SC Exp Date]]- MockToday, "")</f>
        <v/>
      </c>
      <c r="EV381" s="31">
        <f>IF(SnapshotTable[[#This Row],[SC Is Booked]], SnapshotTable[[#This Row],[SC Qty]] * SnapshotTable[[#This Row],[SC Book Price]] * 100, 0)</f>
        <v>0</v>
      </c>
      <c r="EW381" s="4" t="str">
        <f>IF(AND(ISNUMBER(SnapshotTable[[#This Row],[Last Price]]), ISNUMBER( SnapshotTable[[#This Row],[SC Book Price]])), SnapshotTable[[#This Row],[Last Price]] - SnapshotTable[[#This Row],[SC Book Price]],"")</f>
        <v/>
      </c>
      <c r="EX381" s="234" t="str">
        <f>IF(SnapshotTable[[#This Row],[SC Is Booked]],IF(SnapshotTable[[#This Row],[SC Intrinsic Value]] &gt; 0, SnapshotTable[[#This Row],[SC Strike Price]], SnapshotTable[[#This Row],[Last Price]]), "")</f>
        <v/>
      </c>
      <c r="EY381" s="4">
        <f>IF(SnapshotTable[[#This Row],[SC Is Booked]], (MinimumPremiumRequired * SnapshotTable[[#This Row],[SC Basis]] * SnapshotTable[[#This Row],[SC Term]]), 0)</f>
        <v>0</v>
      </c>
      <c r="EZ381" s="283"/>
      <c r="FA381" s="218"/>
      <c r="FB381" s="370"/>
      <c r="FC381" s="4">
        <f>IF(SnapshotTable[[#This Row],[SC Is Filled]], btc_max_buyback_amount(SnapshotTable[[#This Row],[SC Fill Date]],SnapshotTable[[#This Row],[SC Exp Date]], SnapshotTable[[#This Row],[SC Book Price]]),0)</f>
        <v>0</v>
      </c>
      <c r="FD381" s="5"/>
      <c r="FE381" s="144" t="str">
        <f>IF(SnapshotTable[[#This Row],[SC Is Filled]], btc_next_cutoff_date(SnapshotTable[[#This Row],[SC Fill Date]],SnapshotTable[[#This Row],[SC Exp Date]]),"")</f>
        <v/>
      </c>
      <c r="FF381" s="4" t="str" cm="1">
        <f t="array" ref="FF381">IF(SnapshotTable[[#This Row],[SC Is Filled]], btc_should_buy_back(SnapshotTable[[#This Row],[SC Fill Date]], SnapshotTable[[#This Row],[SC Exp Date]], SnapshotTable[[#This Row],[SC Book Price]], SnapshotTable[[#This Row],[SC Current Ask]], MockToday, SnapshotTable[[#This Row],[SC Buyback Override]]),"")</f>
        <v/>
      </c>
      <c r="FG381" s="4">
        <f>IF(SnapshotTable[[#This Row],[SC Is Filled]], MAX(0,SnapshotTable[[#This Row],[Last Price]]  - SnapshotTable[[#This Row],[SC Strike Price]]), 0)</f>
        <v>0</v>
      </c>
      <c r="FH381" s="382">
        <f>IF(SnapshotTable[[#This Row],[SC Is Filled]], IF(ISNUMBER(SnapshotTable[[#This Row],[SC Current Ask]]), SnapshotTable[[#This Row],[SC Current Ask]], SnapshotTable[[#This Row],[SC Book Price]]) - SnapshotTable[[#This Row],[SC Intrinsic Value]], 0)</f>
        <v>0</v>
      </c>
      <c r="FI381" s="143"/>
      <c r="FJ381" s="32" t="str">
        <f>IF(SnapshotTable[[#This Row],[SC Is Filled]],100 * SnapshotTable[[#This Row],[SC Qty]] * IF(ISNUMBER(SnapshotTable[[#This Row],[SC Buyback Override]]), SnapshotTable[[#This Row],[SC Buyback Override]], SnapshotTable[[#This Row],[SC Current Ask]]), "")</f>
        <v/>
      </c>
      <c r="FK381" s="250" t="str">
        <f>IF(SnapshotTable[[#This Row],[SC Time Val]]&gt;0, SnapshotTable[[#This Row],[SC Time Val]] / SnapshotTable[[#This Row],[Last Price]],"")</f>
        <v/>
      </c>
      <c r="FL381" s="302" t="str">
        <f>IF(SnapshotTable[[#This Row],[SC Is Booked]], ((SnapshotTable[[#This Row],[Last Price]] -SnapshotTable[[#This Row],[SC Strike Price]]) / SnapshotTable[[#This Row],[Last Price]]) * -1, "")</f>
        <v/>
      </c>
      <c r="FM381" s="157" t="str">
        <f>IF(SnapshotTable[[#This Row],[SC Is Booked]],  (SnapshotTable[[#This Row],[SC Qty]] * 100 * SnapshotTable[[#This Row],[SC Strike Price]]) - SnapshotTable[[#This Row],[SC Current Ask]], "")</f>
        <v/>
      </c>
      <c r="FN38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1" s="31" t="str">
        <f>IF(AND(ISNUMBER(SnapshotTable[[#This Row],[SC Exercise Gross]]), ISNUMBER(SnapshotTable[[#This Row],[Equity Basis Per Share]] )), SnapshotTable[[#This Row],[SC Exercise Gross]] - SnapshotTable[[#This Row],[Equity Basis Total]] +  SnapshotTable[[#This Row],[SC Premium]], "")</f>
        <v/>
      </c>
      <c r="FP381" s="5" t="str">
        <f>IF(ISNUMBER(SnapshotTable[[#This Row],[SC Exercise Gross]]), (SnapshotTable[[#This Row],[SC Exercise Gross]]) / (SnapshotTable[[#This Row],[SC Qty]] * 100), "")</f>
        <v/>
      </c>
      <c r="FQ381" s="27" t="str">
        <f>IF(SnapshotTable[[#This Row],[SC Is Booked]],SnapshotTable[[#This Row],[SC Time Val]] /SnapshotTable[[#This Row],[SC Basis]], "")</f>
        <v/>
      </c>
      <c r="FR381" s="27" t="str" cm="1">
        <f t="array" ref="FR381">IF(AND(ISNUMBER(SnapshotTable[[#This Row],[SC Term]]),ISNUMBER(SnapshotTable[[#This Row],[SC Simple ROO]])), EllmanAnnualize(SnapshotTable[[#This Row],[SC DTE]], SnapshotTable[[#This Row],[SC Simple ROO]] ),"")</f>
        <v/>
      </c>
      <c r="FS381" s="4" t="e">
        <f>IF(SnapshotTable[[#This Row],[SC Strike Price]] &gt; SnapshotTable[[#This Row],[Last Price]], SnapshotTable[[#This Row],[SC Strike Price]] - SnapshotTable[[#This Row],[Last Price]],0)</f>
        <v>#VALUE!</v>
      </c>
      <c r="FT381" s="27" t="e">
        <f>IF(AND(ISNUMBER(SnapshotTable[[#This Row],[SC Upside Potential]]), SnapshotTable[[#This Row],[SC Upside Potential]] &gt; 0),(SnapshotTable[[#This Row],[SC Upside Potential]]/ SnapshotTable[[#This Row],[ACB]]),"")</f>
        <v>#VALUE!</v>
      </c>
      <c r="FU381" s="333" t="str">
        <f>IF(SnapshotTable[[#This Row],[SC Intrinsic Value]] &gt; 0,SnapshotTable[[#This Row],[SC Intrinsic Value]],"")</f>
        <v/>
      </c>
      <c r="FV381" s="27" t="str">
        <f>IF(AND( ISNUMBER( SnapshotTable[[#This Row],[ACB]]),ISNUMBER(SnapshotTable[[#This Row],[SC Downside Protect]])),SnapshotTable[[#This Row],[SC Downside Protect]] / SnapshotTable[[#This Row],[ACB]],"")</f>
        <v/>
      </c>
      <c r="FW381" s="236" t="str">
        <f>IF(AND(ISNUMBER(SnapshotTable[[#This Row],[SC Simple ROO]]),SnapshotTable[[#This Row],[SC Simple ROO]] &gt; 0), SnapshotTable[[#This Row],[SC Premium]] + (SnapshotTable[[#This Row],[SC Qty]] * SnapshotTable[[#This Row],[SC Upside Potential]]), "")</f>
        <v/>
      </c>
      <c r="FX381" s="302" t="str" cm="1">
        <f t="array" ref="FX381">IF(ISNUMBER(SnapshotTable[[#This Row],[SC Max Dollars]]), annualize(SnapshotTable[[#This Row],[SC Term]],(SnapshotTable[[#This Row],[SC Max Dollars]]/SnapshotTable[[#This Row],[SC Basis]])),"")</f>
        <v/>
      </c>
      <c r="FY381" s="236" t="str">
        <f>IF(AND(SnapshotTable[[#This Row],[SC Qty]]&gt;0,SnapshotTable[[#This Row],[SC Current Ask]]&gt;0), SnapshotTable[[#This Row],[SC Qty]] * SnapshotTable[[#This Row],[SC Current Ask]] * -100, "")</f>
        <v/>
      </c>
      <c r="FZ381" s="31" t="str">
        <f>IF(ISNUMBER((SnapshotTable[[#This Row],[SC Current Value]])), SnapshotTable[[#This Row],[SC Premium]] + SnapshotTable[[#This Row],[SC Current Value]], "")</f>
        <v/>
      </c>
      <c r="GA381" s="294" t="str">
        <f>IFERROR( IF(ISNUMBER((SnapshotTable[[#This Row],[SC Current Value]])), SnapshotTable[[#This Row],[SC Gain Loss]] / SnapshotTable[[#This Row],[SC Premium]], ""), "")</f>
        <v/>
      </c>
      <c r="GB381" s="42">
        <f>SnapshotTable[[#This Row],[Equity Shares]] * SaleSharesToConsiderPercentage</f>
        <v>0</v>
      </c>
      <c r="GC381" s="40">
        <f>SnapshotTable[[#This Row],[Long Term Target]] * SellingPriceToConsiderBasedOnTargetPercentage</f>
        <v>3194.4509999999996</v>
      </c>
      <c r="GD381" s="40">
        <f>SnapshotTable[[#This Row],[Last Price]] * (1+ SellingPriceToConsiderBasedOnTargetPercentage)</f>
        <v>72.072000000000003</v>
      </c>
      <c r="GE381" s="41"/>
      <c r="GF381" s="40"/>
      <c r="GG381" s="31">
        <f>SnapshotTable[[#This Row],[Booked Sale Shares]] * SnapshotTable[[#This Row],[Booked Sale Price]]</f>
        <v>0</v>
      </c>
      <c r="GH381" s="31" t="str">
        <f>IF(SnapshotTable[[#This Row],[Equity Basis Total]] &gt; 0, SnapshotTable[[#This Row],[Equity Basis Per Share]] * SnapshotTable[[#This Row],[Booked Sale Shares]], "")</f>
        <v/>
      </c>
      <c r="GI381" s="31">
        <f>IF(SnapshotTable[[#This Row],[Sale Proceeds]]&gt;0, SnapshotTable[[#This Row],[Sale Proceeds]] - SnapshotTable[[#This Row],[Sale Basis]], 0)</f>
        <v>0</v>
      </c>
      <c r="GJ381" s="27" t="str">
        <f>IF(SnapshotTable[[#This Row],[Sale G/L]]&gt;0, SnapshotTable[[#This Row],[Sale G/L]] / SnapshotTable[[#This Row],[Sale Basis]], IF(ISNUMBER(SnapshotTable[[#This Row],[SC Exercise P&amp;L (TAX)]]), SnapshotTable[[#This Row],[SC Exercise P&amp;L (TAX)]] / SnapshotTable[[#This Row],[SC Basis]], ""))</f>
        <v/>
      </c>
      <c r="GK381" s="27" t="s">
        <v>809</v>
      </c>
      <c r="GL381" s="43" t="str">
        <f>IF(AND(SnapshotTable[[#This Row],[LP Exp Date]]&gt;0,SnapshotTable[[#This Row],[LP Strike Price]]&gt;0), [1]!ToOptionSymbol(SnapshotTable[[#This Row],[Symbol]], SnapshotTable[[#This Row],[LP Strike Price]],SnapshotTable[[#This Row],[LP Exp Date]],1), "")</f>
        <v/>
      </c>
      <c r="GM381" s="30" t="str">
        <f>IF(LEN(SnapshotTable[[#This Row],[LP Symbol]])&gt;0, 1, "")</f>
        <v/>
      </c>
      <c r="GN381" s="43" t="str">
        <f>IF(AND(SnapshotTable[[#This Row],[SP Exp Date]]&gt;0,SnapshotTable[[#This Row],[SP Strike Price]]&gt;0), [1]!ToOptionSymbol(SnapshotTable[[#This Row],[Symbol]], SnapshotTable[[#This Row],[SP Strike Price]],SnapshotTable[[#This Row],[SP Exp Date]],1), "")</f>
        <v/>
      </c>
      <c r="GO381" s="30" t="str">
        <f>IF(LEN(SnapshotTable[[#This Row],[SP Symbol]])&gt;0, 1, "")</f>
        <v/>
      </c>
      <c r="GP381" s="43" t="str">
        <f>IF(AND(SnapshotTable[[#This Row],[LC Exp Date]]&gt;0,SnapshotTable[[#This Row],[LC Strike Price]]&gt;0), [1]!ToOptionSymbol(SnapshotTable[[#This Row],[Symbol]], SnapshotTable[[#This Row],[LC Strike Price]],SnapshotTable[[#This Row],[LC Exp Date]],0), "")</f>
        <v/>
      </c>
      <c r="GQ381" s="30" t="str">
        <f>IF(LEN(SnapshotTable[[#This Row],[LC Symbol]])&gt;0, 1, "")</f>
        <v/>
      </c>
      <c r="GR381" s="43" t="str">
        <f>IF(AND(SnapshotTable[[#This Row],[SC Exp Date]]&gt;0,SnapshotTable[[#This Row],[SC Strike Price]]&gt;0), [1]!ToOptionSymbol(SnapshotTable[[#This Row],[Symbol]], SnapshotTable[[#This Row],[SC Strike Price]],SnapshotTable[[#This Row],[SC Exp Date]],0), "")</f>
        <v/>
      </c>
      <c r="GS381" s="30" t="str">
        <f>IF(LEN(SnapshotTable[[#This Row],[SC Symbol]])&gt;0, 1, "")</f>
        <v/>
      </c>
      <c r="GT381" s="29" t="str">
        <f>IF(COUNT(SnapshotTable[[#This Row],[LP Symbol Count]],SnapshotTable[[#This Row],[SP Symbol Count]],SnapshotTable[[#This Row],[LC Symbol Count]],SnapshotTable[[#This Row],[SC Symbol Count]])&gt;0, "Y", "")</f>
        <v/>
      </c>
      <c r="GU38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1" s="231" t="e">
        <f>MAX(SnapshotTable[[#This Row],[Equity Basis Total]],SnapshotTable[[#This Row],[Equity Value]]) + (SnapshotTable[[#This Row],[SP Potential Spend]]- SnapshotTable[[#This Row],[SP Premium]] + SnapshotTable[[#This Row],[LP Premium]])+ (SnapshotTable[[#This Row],[LC Premium]] - SnapshotTable[[#This Row],[SC Premium]])</f>
        <v>#VALUE!</v>
      </c>
      <c r="GW381" s="139" t="e">
        <f>IF(AND(SnapshotTable[[#This Row],[Exposure]] &lt;&gt; 0),SnapshotTable[[#This Row],[Exposure]] / SnapshotTable[[#Totals],[Exposure]], "")</f>
        <v>#VALUE!</v>
      </c>
      <c r="HK381" s="1"/>
      <c r="HL381" s="1"/>
      <c r="HM381" s="1"/>
      <c r="HN381" s="1"/>
      <c r="HO381" s="1"/>
      <c r="HP381" s="1"/>
    </row>
    <row r="382" spans="2:224" ht="12.75" hidden="1" customHeight="1" x14ac:dyDescent="0.25">
      <c r="B382" s="12" t="s">
        <v>605</v>
      </c>
      <c r="C382" s="422">
        <v>31.36</v>
      </c>
      <c r="D382" s="208" t="s">
        <v>578</v>
      </c>
      <c r="E382" s="39">
        <f>SnapshotTable[[#This Row],[Last Price]]*(1 -CrashDiscount)</f>
        <v>26.655999999999999</v>
      </c>
      <c r="F382" s="26" t="s">
        <v>607</v>
      </c>
      <c r="G382" s="26" t="s">
        <v>606</v>
      </c>
      <c r="H382" s="149"/>
      <c r="I382" s="194">
        <v>44777.670138888891</v>
      </c>
      <c r="J382" s="195">
        <v>44777.670138888891</v>
      </c>
      <c r="K382" s="196"/>
      <c r="L382" s="326"/>
      <c r="M382" s="140"/>
      <c r="N382" s="140"/>
      <c r="O382" s="140"/>
      <c r="P382" s="22"/>
      <c r="Q382" s="25"/>
      <c r="R382" s="4" t="str">
        <f>IF(SnapshotTable[[#This Row],[Equity Basis Total]] &gt; 0, SnapshotTable[[#This Row],[Equity Basis Total]] / SnapshotTable[[#This Row],[Equity Shares]], "")</f>
        <v/>
      </c>
      <c r="S382" s="269">
        <f>SnapshotTable[[#This Row],[Last Price]] * SnapshotTable[[#This Row],[Equity Shares]]</f>
        <v>0</v>
      </c>
      <c r="T382" s="269">
        <f>SnapshotTable[[#This Row],[Equity Value]] - SnapshotTable[[#This Row],[Equity Basis Total]]</f>
        <v>0</v>
      </c>
      <c r="U382" s="270" t="str">
        <f>IF(SnapshotTable[[#This Row],[Equity Basis Total]] &gt; 0, SnapshotTable[[#This Row],[Equity G/L]] / SnapshotTable[[#This Row],[Equity Basis Total]], "")</f>
        <v/>
      </c>
      <c r="V382" s="268"/>
      <c r="W382" s="268"/>
      <c r="X382" s="4" t="str">
        <f>IF(AND(ISNUMBER(SnapshotTable[[#This Row],[Equity Basis Per Share]]),ISNUMBER(SnapshotTable[[#This Row],[Equity Target]])),SnapshotTable[[#This Row],[Equity Target]]-SnapshotTable[[#This Row],[Equity Basis Per Share]],"")</f>
        <v/>
      </c>
      <c r="Y382" s="4" t="str">
        <f>IF(AND(ISNUMBER(SnapshotTable[[#This Row],[Equity Basis Per Share]]),ISNUMBER(SnapshotTable[[#This Row],[Equity Stop Loss]])),SnapshotTable[[#This Row],[Equity Stop Loss]]-SnapshotTable[[#This Row],[Equity Basis Per Share]],"")</f>
        <v/>
      </c>
      <c r="Z382" s="275" t="str">
        <f>IFERROR( TEXT(SnapshotTable[[#This Row],[Equity Max Gain Per Share]] /ABS( SnapshotTable[[#This Row],[Equity Max Loss Per Share]]),"0.0 " ) &amp; " : 1", "")</f>
        <v/>
      </c>
      <c r="AA382" s="31" t="str">
        <f>IF(ISNUMBER(SnapshotTable[[#This Row],[Equity Max Gain Per Share]]),SnapshotTable[[#This Row],[Equity Max Gain Per Share]] * SnapshotTable[[#This Row],[Equity Shares]],"")</f>
        <v/>
      </c>
      <c r="AB382" s="31" t="str">
        <f>IF(ISNUMBER(SnapshotTable[[#This Row],[Equity Max Loss Per Share]]),SnapshotTable[[#This Row],[Equity Max Loss Per Share]] * SnapshotTable[[#This Row],[Equity Shares]],"")</f>
        <v/>
      </c>
      <c r="AC382" s="150"/>
      <c r="AD382" s="151"/>
      <c r="AE382" s="31">
        <f>(SnapshotTable[[#This Row],[Annual Dividend Per Share]] / 4) * SnapshotTable[[#This Row],[Equity Shares]]</f>
        <v>0</v>
      </c>
      <c r="AF382" s="31">
        <f>SnapshotTable[[#This Row],[Quarterly Div $]] * 4</f>
        <v>0</v>
      </c>
      <c r="AG382" s="7">
        <f>IF(SnapshotTable[[#This Row],[Annual Dividend Per Share]]&gt;0, SnapshotTable[[#This Row],[Annual Dividend Per Share]]  / SnapshotTable[[#This Row],[Last Price]], 0)</f>
        <v>0</v>
      </c>
      <c r="AH382" s="151"/>
      <c r="AI382" s="5"/>
      <c r="AJ382" s="138">
        <v>58.5</v>
      </c>
      <c r="AK382" s="152" t="str">
        <f>IF(ISNUMBER( SnapshotTable[[#This Row],[EBF Target]]),(SnapshotTable[[#This Row],[EBF Target]] - SnapshotTable[[#This Row],[Last Price]]) / SnapshotTable[[#This Row],[Last Price]], "")</f>
        <v/>
      </c>
      <c r="AL382" s="152" t="str">
        <f>IF(AND(SnapshotTable[[#This Row],[Equity Basis Total]] &gt; 0,ISNUMBER( SnapshotTable[[#This Row],[Long Term Target]])), SnapshotTable[[#This Row],[From Basis $]] / SnapshotTable[[#This Row],[Equity Basis Total]], "")</f>
        <v/>
      </c>
      <c r="AM382" s="9">
        <f>IF( AND(SnapshotTable[[#This Row],[Equity Shares]] &gt;0,ISNUMBER( SnapshotTable[[#This Row],[Long Term Target]])),(SnapshotTable[[#This Row],[Equity Shares]] * SnapshotTable[[#This Row],[Long Term Target]]) - SnapshotTable[[#This Row],[Equity Basis Total]],0)</f>
        <v>0</v>
      </c>
      <c r="AN382" s="9">
        <f>IF( AND(SnapshotTable[[#This Row],[Equity Shares]] &gt;0,ISNUMBER( SnapshotTable[[#This Row],[Long Term Target]])),(SnapshotTable[[#This Row],[Equity Shares]]*SnapshotTable[[#This Row],[Long Term Target]]) - SnapshotTable[[#This Row],[Equity Value]],0)</f>
        <v>0</v>
      </c>
      <c r="AO382" s="152">
        <f>IF(AND(ISNUMBER( SnapshotTable[[#This Row],[Long Term Target]]), ISNUMBER(SnapshotTable[[#This Row],[Last Price]])),(SnapshotTable[[#This Row],[Long Term Target]] - SnapshotTable[[#This Row],[Last Price]]) / SnapshotTable[[#This Row],[Last Price]], "")</f>
        <v>0.86543367346938782</v>
      </c>
      <c r="AP382" s="5">
        <v>180</v>
      </c>
      <c r="AQ382" s="38" t="s">
        <v>110</v>
      </c>
      <c r="AR382" s="5">
        <v>171.25</v>
      </c>
      <c r="AS382" s="38" t="s">
        <v>45</v>
      </c>
      <c r="AT382" s="146" t="s">
        <v>533</v>
      </c>
      <c r="AU382" s="187" t="str">
        <f>IF(OR(SnapshotTable[[#This Row],[LP No Fill]]="Y",SnapshotTable[[#This Row],[SP Is Filled]],SnapshotTable[[#This Row],[LC Not Filled]]="Y",SnapshotTable[[#This Row],[SC Is Filled]]),"Y","")</f>
        <v/>
      </c>
      <c r="AV382" s="219"/>
      <c r="AW382" s="225"/>
      <c r="AX382" s="220"/>
      <c r="AY382" s="219"/>
      <c r="AZ382" s="219"/>
      <c r="BA382" s="331">
        <v>6.25</v>
      </c>
      <c r="BB382" s="347"/>
      <c r="BC38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2" s="351"/>
      <c r="BE382" s="138"/>
      <c r="BF382" s="166"/>
      <c r="BG382" s="167"/>
      <c r="BH382" s="167"/>
      <c r="BI382" s="221"/>
      <c r="BJ382" s="153">
        <f>IF(SnapshotTable[[#This Row],[LP Qty]] &gt; 0, SnapshotTable[[#This Row],[LP Qty]] * SnapshotTable[[#This Row],[LP Book Price]] * 100,0)</f>
        <v>0</v>
      </c>
      <c r="BK382" s="136">
        <f>IF(SnapshotTable[[#This Row],[LP Premium]] &gt; 0, SnapshotTable[[#This Row],[LP Qty]] * SnapshotTable[[#This Row],[LP Strike Price]] * 100,0)</f>
        <v>0</v>
      </c>
      <c r="BL382" s="154"/>
      <c r="BM382" s="385" t="str">
        <f>IF(SnapshotTable[[#This Row],[LP Premium]] &gt; 0,SnapshotTable[[#This Row],[LP Exp Date]]-MAX(SnapshotTable[[#This Row],[LP Book Date]], SnapshotTable[[#This Row],[LP Fill Date]]),"")</f>
        <v/>
      </c>
      <c r="BN382" s="385" t="str">
        <f>IF(ISNUMBER( SnapshotTable[[#This Row],[LP Term]]), SnapshotTable[[#This Row],[LP Exp Date]] - MockToday,"")</f>
        <v/>
      </c>
      <c r="BO382" s="163" t="str">
        <f>IF(AND(SnapshotTable[[#This Row],[LP Exp Date]]&gt;0, SnapshotTable[[#This Row],[LP Strike Price]]&gt;0,SnapshotTable[[#This Row],[LP Qty]]&gt;0,SnapshotTable[[#This Row],[LP Book Date]]&gt;0,SnapshotTable[[#This Row],[LP Book Price]]&gt;0,SnapshotTable[[#This Row],[LP Fill Date]]=0),"Y","")</f>
        <v/>
      </c>
      <c r="BP382" s="31" t="str">
        <f>IF(AND(SnapshotTable[[#This Row],[LP No Fill]]&lt;&gt;"Y",SnapshotTable[[#This Row],[LP Contract Value]]&gt;0, SnapshotTable[[#This Row],[LP Qty]]&gt;0), SnapshotTable[[#This Row],[LP Contract Value]]*SnapshotTable[[#This Row],[LP Qty]]*100,"")</f>
        <v/>
      </c>
      <c r="BQ382" s="13"/>
      <c r="BR382" s="5" t="str">
        <f>IF(SnapshotTable[[#This Row],[SP Exp Date]]&lt;&gt;"",TRUNC(SnapshotTable[[#This Row],[Last Price]]),"")</f>
        <v/>
      </c>
      <c r="BS382" s="36"/>
      <c r="BT382" s="147"/>
      <c r="BU382" s="13"/>
      <c r="BV382" s="5"/>
      <c r="BW382" s="419" t="b">
        <f>AND(ISNUMBER(SnapshotTable[[#This Row],[SP Exp Date]]), ISNUMBER(SnapshotTable[[#This Row],[SP Strike Price]]), ISNUMBER(SnapshotTable[[#This Row],[SP Qty]]), ISNUMBER(SnapshotTable[[#This Row],[SP Book Date]]), ISNUMBER(SnapshotTable[[#This Row],[SP Book Price]]))</f>
        <v>0</v>
      </c>
      <c r="BX382" s="419" t="b">
        <f>AND(SnapshotTable[[#This Row],[SP Is Booked]], NOT(ISBLANK(SnapshotTable[[#This Row],[SP Fill Date]])))</f>
        <v>0</v>
      </c>
      <c r="BY382" s="33">
        <f>IF(SnapshotTable[[#This Row],[SP Is Booked]], SnapshotTable[[#This Row],[SP Qty]] * SnapshotTable[[#This Row],[SP Book Price]] * 100, 0)</f>
        <v>0</v>
      </c>
      <c r="BZ382" s="369"/>
      <c r="CA382" s="368">
        <f>SnapshotTable[[#This Row],[LP Qty]]</f>
        <v>0</v>
      </c>
      <c r="CB382" s="4" t="str">
        <f>IF(SnapshotTable[[#This Row],[SP Is Booked]], SnapshotTable[[#This Row],[SP Strike Price]] - SnapshotTable[[#This Row],[SP Book Price]], "")</f>
        <v/>
      </c>
      <c r="CC382" s="19" t="str">
        <f>IF(SnapshotTable[[#This Row],[SP Is Booked]],SnapshotTable[[#This Row],[SP Exp Date]]-MAX(SnapshotTable[[#This Row],[SP Book Date]], SnapshotTable[[#This Row],[SP Fill Date]]),"")</f>
        <v/>
      </c>
      <c r="CD382" s="7" t="str">
        <f>IF(SnapshotTable[[#This Row],[SP Is Booked]], SnapshotTable[[#This Row],[SP Book Price]]/SnapshotTable[[#This Row],[SP Strike Price]], "")</f>
        <v/>
      </c>
      <c r="CE382" s="7" t="str">
        <f>IF(ISNUMBER(SnapshotTable[[#This Row],[SP ROO Term]]),SnapshotTable[[#This Row],[SP ROO Term]]*(365/SnapshotTable[[#This Row],[SP Term]]),"")</f>
        <v/>
      </c>
      <c r="CF382" s="236">
        <f>SnapshotTable[[#This Row],[LP Strike Price]] * SnapshotTable[[#This Row],[LP Qty]] * 100</f>
        <v>0</v>
      </c>
      <c r="CG382" s="31" t="e">
        <f>IF(ISNUMBER(SnapshotTable[[#This Row],[SP Premium]]), (SnapshotTable[[#This Row],[SP Qty]] * SnapshotTable[[#This Row],[SP Strike Price]]* 100) - SnapshotTable[[#This Row],[LP Protection]], 0)</f>
        <v>#VALUE!</v>
      </c>
      <c r="CH382" s="7" t="str">
        <f>IF(ISNUMBER(SnapshotTable[[#This Row],[SP Break Even]]),-1 * (SnapshotTable[[#This Row],[SP Break Even]] - SnapshotTable[[#This Row],[Last Price]]) / SnapshotTable[[#This Row],[Last Price]], "")</f>
        <v/>
      </c>
      <c r="CI382" s="31">
        <f>IF(AND(ISNUMBER((SnapshotTable[[#This Row],[SP Potential Spend]])), SnapshotTable[[#This Row],[SP Strike Price]] &gt; SnapshotTable[[#This Row],[Last Price]], SnapshotTable[[#This Row],[SP Is Filled]]), SnapshotTable[[#This Row],[SP Potential Spend]] -  SnapshotTable[[#This Row],[LP Max Value]], 0)</f>
        <v>0</v>
      </c>
      <c r="CJ382" s="244"/>
      <c r="CK382" s="31" t="str">
        <f>IF(ISNUMBER(SnapshotTable[[#This Row],[SP Potential Spend]]),IF(ISNUMBER(SnapshotTable[[#This Row],[SP POW]]), SnapshotTable[[#This Row],[SP POW]] * SnapshotTable[[#This Row],[SP Potential Spend]], SnapshotTable[[#This Row],[SP Potential Spend]]), "")</f>
        <v/>
      </c>
      <c r="CL382" s="164" t="e">
        <f>IF(NOT(SnapshotTable[[#This Row],[SP Is Filled]]),(SnapshotTable[[#This Row],[SP Qty]] * SnapshotTable[[#This Row],[SP Strike Price]] * 100) - SnapshotTable[[#This Row],[LP Max Value]],"")</f>
        <v>#VALUE!</v>
      </c>
      <c r="CM382" s="31" t="str">
        <f>IF(SnapshotTable[[#This Row],[SP Actual Spend]]&lt;&gt;0, ((SnapshotTable[[#This Row],[SP Strike Price]]-SnapshotTable[[#This Row],[Last Price]]) *(SnapshotTable[[#This Row],[SP Qty]]*100) - SnapshotTable[[#This Row],[SP Premium]]) * - 1, "")</f>
        <v/>
      </c>
      <c r="CN382" s="218"/>
      <c r="CO382" s="369"/>
      <c r="CP382" s="4" t="str">
        <f>IF(SnapshotTable[[#This Row],[SP Is Filled]], btc_max_buyback_amount(SnapshotTable[[#This Row],[SP Fill Date]],SnapshotTable[[#This Row],[SP Exp Date]], SnapshotTable[[#This Row],[SP Book Price]]),"")</f>
        <v/>
      </c>
      <c r="CQ382" s="78"/>
      <c r="CR38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2" s="155" t="str">
        <f>IF(SnapshotTable[[#This Row],[SP Is Filled]], btc_next_cutoff_date(SnapshotTable[[#This Row],[SP Fill Date]],SnapshotTable[[#This Row],[SP Exp Date]]),"")</f>
        <v/>
      </c>
      <c r="CT382" s="235" t="str" cm="1">
        <f t="array" ref="CT382">IF(SnapshotTable[[#This Row],[SP Is Filled]], btc_should_buy_back(SnapshotTable[[#This Row],[SP Fill Date]], SnapshotTable[[#This Row],[SP Exp Date]], SnapshotTable[[#This Row],[SP Book Price]], SnapshotTable[[#This Row],[SP Current Ask]], MockToday, SnapshotTable[[#This Row],[SP Buyback Override]]),"")</f>
        <v/>
      </c>
      <c r="CU382" s="156"/>
      <c r="CV382" s="235"/>
      <c r="CW382" s="378" t="str">
        <f>IF(ISNUMBER( SnapshotTable[[#This Row],[SP Term]]), SnapshotTable[[#This Row],[SP Exp Date]] - MockToday,"")</f>
        <v/>
      </c>
      <c r="CX382" s="31" t="str">
        <f>IF(SnapshotTable[[#This Row],[SP Is Filled]],SnapshotTable[[#This Row],[SP Buyback Price to Use]] * 100 * SnapshotTable[[#This Row],[SP Qty]], "")</f>
        <v/>
      </c>
      <c r="CY382" s="4" t="str">
        <f>IF(ISNUMBER(SnapshotTable[[#This Row],[SP Strike Price]]), SnapshotTable[[#This Row],[SP Strike Price]] * (1 - SP_MaxLoss_StrikePct), "")</f>
        <v/>
      </c>
      <c r="CZ382" s="31" t="str">
        <f>IF(ISNUMBER(SnapshotTable[[#This Row],[SP Strike  Stop Per Share]]),SnapshotTable[[#This Row],[SP Premium]] - ((SnapshotTable[[#This Row],[SP Strike Price]]-SnapshotTable[[#This Row],[SP Strike  Stop Per Share]]) *(SnapshotTable[[#This Row],[SP Qty]] * 100)),"")</f>
        <v/>
      </c>
      <c r="DA382" s="4" t="str">
        <f>IF(AND(ISNUMBER(SnapshotTable[[#This Row],[SP Premium]]),SnapshotTable[[#This Row],[SP Premium]]&gt;0), SnapshotTable[[#This Row],[SP Book Price]] * (1 + SP_MaxLoss_OptionPct), "")</f>
        <v/>
      </c>
      <c r="DB382" s="31" t="str">
        <f>IF(ISNUMBER(SnapshotTable[[#This Row],[SP Option  Stop Contract]]),(SnapshotTable[[#This Row],[SP Option  Stop Contract]] *(SnapshotTable[[#This Row],[SP Qty]] * 100) - SnapshotTable[[#This Row],[SP Premium]]),"")</f>
        <v/>
      </c>
      <c r="DC382" s="4"/>
      <c r="DD382" s="4"/>
      <c r="DE382" s="4" t="str">
        <f>IF(AND(SnapshotTable[[#This Row],[SP Qty]]&gt;0, SnapshotTable[[#This Row],[SP Stop To Use]]&gt;0),SnapshotTable[[#This Row],[SP Premium]] - ( SnapshotTable[[#This Row],[SP Qty]] * SnapshotTable[[#This Row],[SP Stop To Use]] * 100), "")</f>
        <v/>
      </c>
      <c r="DF382" s="31" t="str">
        <f>IF(AND(SnapshotTable[[#This Row],[SP Qty]]&gt;0,SnapshotTable[[#This Row],[SP Current Ask]]&gt;0), SnapshotTable[[#This Row],[SP Qty]] * SnapshotTable[[#This Row],[SP Current Ask]] * -100, "")</f>
        <v/>
      </c>
      <c r="DG382" s="31" t="str">
        <f>IF(ISNUMBER((SnapshotTable[[#This Row],[SP Total Value]])), SnapshotTable[[#This Row],[SP Premium]] + SnapshotTable[[#This Row],[SP Total Value]], "")</f>
        <v/>
      </c>
      <c r="DH382" s="294" t="str">
        <f>IF(ISNUMBER((SnapshotTable[[#This Row],[SP Total Value]])), SnapshotTable[[#This Row],[SP Gain Loss]] / SnapshotTable[[#This Row],[SP Premium]], "")</f>
        <v/>
      </c>
      <c r="DI382" s="406"/>
      <c r="DJ382" s="138"/>
      <c r="DK382" s="148"/>
      <c r="DL382" s="147"/>
      <c r="DM382" s="147"/>
      <c r="DO382" s="31">
        <f>IF(SnapshotTable[[#This Row],[LC Symbol Count]]=1, SnapshotTable[[#This Row],[LC Qty]] * SnapshotTable[[#This Row],[LC Book Price]] * 100, 0)</f>
        <v>0</v>
      </c>
      <c r="DP382" s="163" t="str">
        <f>IF(AND(SnapshotTable[[#This Row],[LC Exp Date]]&gt;0, SnapshotTable[[#This Row],[LC Strike Price]]&gt;0,SnapshotTable[[#This Row],[LC Qty]]&gt;0,SnapshotTable[[#This Row],[LC Book Date]]&gt;0,SnapshotTable[[#This Row],[LC Book Price]]&gt;0,SnapshotTable[[#This Row],[LC Fill Date]]=0),"Y","")</f>
        <v/>
      </c>
      <c r="DQ382" s="386" t="str">
        <f>IF(SnapshotTable[[#This Row],[LC Premium]] &gt; 0,SnapshotTable[[#This Row],[LC Exp Date]]-MAX(SnapshotTable[[#This Row],[LC Book Date]], SnapshotTable[[#This Row],[LC Fill Date]]),"")</f>
        <v/>
      </c>
      <c r="DR382" s="386" t="str">
        <f>IF(ISNUMBER(SnapshotTable[[#This Row],[LC Term]]), SnapshotTable[[#This Row],[LC Exp Date]] - MockToday, "")</f>
        <v/>
      </c>
      <c r="DS382" s="234" t="str">
        <f>IF(SnapshotTable[[#This Row],[LC Premium]]&gt;0,SnapshotTable[[#This Row],[LC Strike Price]] + SnapshotTable[[#This Row],[LC Book Price]],"")</f>
        <v/>
      </c>
      <c r="DU382" s="9" t="str">
        <f>IF(AND(SnapshotTable[[#This Row],[LC Symbol Count]]&gt;0, SnapshotTable[[#This Row],[LC Contract Value]]&gt;0), SnapshotTable[[#This Row],[LC Contract Value]] * SnapshotTable[[#This Row],[LC Qty]] * 100, "")</f>
        <v/>
      </c>
      <c r="DV382" s="9" t="str">
        <f>IF(AND(ISNUMBER(SnapshotTable[[#This Row],[LC Total Value]]), SnapshotTable[[#This Row],[LC Not Filled]]&lt;&gt;"Y"), SnapshotTable[[#This Row],[LC Total Value]]-SnapshotTable[[#This Row],[LC Premium]],"")</f>
        <v/>
      </c>
      <c r="DW382" s="240" t="str">
        <f>IF(ISNUMBER(SnapshotTable[[#This Row],[LC Actual Gain Loss]]), SnapshotTable[[#This Row],[LC Actual Gain Loss]] / SnapshotTable[[#This Row],[LC Premium]],"")</f>
        <v/>
      </c>
      <c r="DX382" s="284" t="str">
        <f>IF(ISNUMBER(SnapshotTable[[#This Row],[LC Book Price]]),SnapshotTable[[#This Row],[LC Book Price]] * 1.5,"")</f>
        <v/>
      </c>
      <c r="DY382" s="265" t="str">
        <f>IF(SnapshotTable[[#This Row],[LC Premium]]&gt;0, SnapshotTable[[#This Row],[LC Next Target]] * SnapshotTable[[#This Row],[LC Qty]] * 100,"")</f>
        <v/>
      </c>
      <c r="DZ382" s="265" t="str">
        <f>IF(ISNUMBER(SnapshotTable[[#This Row],[LC Target Gross]]), SnapshotTable[[#This Row],[LC Target Gross]] - SnapshotTable[[#This Row],[LC Premium]], "")</f>
        <v/>
      </c>
      <c r="EA382" s="305" t="str">
        <f>IF(ISNUMBER(SnapshotTable[[#This Row],[LC Target Gain Loss]]), SnapshotTable[[#This Row],[LC Target Gain Loss]]/SnapshotTable[[#This Row],[LC Premium]], "")</f>
        <v/>
      </c>
      <c r="EB382" s="262" t="s">
        <v>827</v>
      </c>
      <c r="EC382" s="283" t="str">
        <f>IF(SnapshotTable[[#This Row],[LC Premium]]&gt;0, SnapshotTable[[#This Row],[LC Book Price]] * (1 - LC_StopLoss_Pct),"")</f>
        <v/>
      </c>
      <c r="ED382" s="284"/>
      <c r="EE382" s="283" t="str">
        <f>IF(ISNUMBER(SnapshotTable[[#This Row],[LC Contract Value]]),IF(ISNUMBER(SnapshotTable[[#This Row],[LC Stop Loss Override]]), SnapshotTable[[#This Row],[LC Stop Loss Override]],SnapshotTable[[#This Row],[LC Stop Loss Calc Target]]),"")</f>
        <v/>
      </c>
      <c r="EF382" s="31" t="str">
        <f>IF(ISNUMBER(SnapshotTable[[#This Row],[LC Stop  To Use]]), (SnapshotTable[[#This Row],[LC Stop  To Use]] * SnapshotTable[[#This Row],[LC Qty]] * 100),"")</f>
        <v/>
      </c>
      <c r="EG382" s="9" t="str">
        <f>IF(ISNUMBER(SnapshotTable[[#This Row],[LC Total Value]]),SnapshotTable[[#This Row],[LC Stop Loss Amount]] - SnapshotTable[[#This Row],[LC Premium]],"")</f>
        <v/>
      </c>
      <c r="EH382" s="9">
        <f>IF(ISNUMBER(SnapshotTable[[#This Row],[LC Premium]]), SnapshotTable[[#This Row],[LC Qty]] * 100 * SnapshotTable[[#This Row],[LC Strike Price]], "")</f>
        <v>0</v>
      </c>
      <c r="EI382" s="240" t="str">
        <f>IF(AND(ISNUMBER(SnapshotTable[[#This Row],[LC Total Value]]),SnapshotTable[[#This Row],[LC Total Value]]&gt;0),SnapshotTable[[#This Row],[LC Stop Gain Loss]]  / SnapshotTable[[#This Row],[LC Premium]],"")</f>
        <v/>
      </c>
      <c r="EJ382" s="35">
        <f>IF(ISNUMBER(SnapshotTable[[#This Row],[Equity Shares]]),TRUNC(SnapshotTable[[#This Row],[Equity Shares]] / 100),0) + SnapshotTable[[#This Row],[LC Qty]]</f>
        <v>0</v>
      </c>
      <c r="EK382" s="147"/>
      <c r="EL382" s="138" t="str">
        <f>IF(SnapshotTable[[#This Row],[SC Exp Date]]&lt;&gt;"",TRUNC(SnapshotTable[[#This Row],[Last Price]]),"")</f>
        <v/>
      </c>
      <c r="EM382" s="148"/>
      <c r="EN382" s="147"/>
      <c r="EO382" s="147"/>
      <c r="EP382" s="138"/>
      <c r="EQ382" s="419" t="b">
        <f>AND(ISNUMBER(SnapshotTable[[#This Row],[SC Exp Date]]), ISNUMBER(SnapshotTable[[#This Row],[SC Strike Price]]), ISNUMBER(SnapshotTable[[#This Row],[SC Qty]]), ISNUMBER(SnapshotTable[[#This Row],[SC Book Date]]), ISNUMBER(SnapshotTable[[#This Row],[SC Book Price]]))</f>
        <v>0</v>
      </c>
      <c r="ER382" s="419" t="b">
        <f>AND(SnapshotTable[[#This Row],[SC Is Booked]], NOT(ISBLANK(SnapshotTable[[#This Row],[SC Fill Date]])))</f>
        <v>0</v>
      </c>
      <c r="ES382" s="370"/>
      <c r="ET382" s="34" t="str">
        <f>IF(AND(ISNUMBER(SnapshotTable[[#This Row],[SC Exp Date]]), ISNUMBER(SnapshotTable[[#This Row],[SC Book Date]])), SnapshotTable[[#This Row],[SC Exp Date]] - MAX(SnapshotTable[[#This Row],[SC Book Date]], SnapshotTable[[#This Row],[SC Fill Date]]) + 1, "")</f>
        <v/>
      </c>
      <c r="EU382" s="34" t="str">
        <f>IF(ISNUMBER(SnapshotTable[[#This Row],[SC Term]]), SnapshotTable[[#This Row],[SC Exp Date]]- MockToday, "")</f>
        <v/>
      </c>
      <c r="EV382" s="31">
        <f>IF(SnapshotTable[[#This Row],[SC Is Booked]], SnapshotTable[[#This Row],[SC Qty]] * SnapshotTable[[#This Row],[SC Book Price]] * 100, 0)</f>
        <v>0</v>
      </c>
      <c r="EW382" s="4" t="str">
        <f>IF(AND(ISNUMBER(SnapshotTable[[#This Row],[Last Price]]), ISNUMBER( SnapshotTable[[#This Row],[SC Book Price]])), SnapshotTable[[#This Row],[Last Price]] - SnapshotTable[[#This Row],[SC Book Price]],"")</f>
        <v/>
      </c>
      <c r="EX382" s="234" t="str">
        <f>IF(SnapshotTable[[#This Row],[SC Is Booked]],IF(SnapshotTable[[#This Row],[SC Intrinsic Value]] &gt; 0, SnapshotTable[[#This Row],[SC Strike Price]], SnapshotTable[[#This Row],[Last Price]]), "")</f>
        <v/>
      </c>
      <c r="EY382" s="4">
        <f>IF(SnapshotTable[[#This Row],[SC Is Booked]], (MinimumPremiumRequired * SnapshotTable[[#This Row],[SC Basis]] * SnapshotTable[[#This Row],[SC Term]]), 0)</f>
        <v>0</v>
      </c>
      <c r="EZ382" s="283"/>
      <c r="FA382" s="218"/>
      <c r="FB382" s="370"/>
      <c r="FC382" s="4">
        <f>IF(SnapshotTable[[#This Row],[SC Is Filled]], btc_max_buyback_amount(SnapshotTable[[#This Row],[SC Fill Date]],SnapshotTable[[#This Row],[SC Exp Date]], SnapshotTable[[#This Row],[SC Book Price]]),0)</f>
        <v>0</v>
      </c>
      <c r="FD382" s="5"/>
      <c r="FE382" s="144" t="str">
        <f>IF(SnapshotTable[[#This Row],[SC Is Filled]], btc_next_cutoff_date(SnapshotTable[[#This Row],[SC Fill Date]],SnapshotTable[[#This Row],[SC Exp Date]]),"")</f>
        <v/>
      </c>
      <c r="FF382" s="4" t="str" cm="1">
        <f t="array" ref="FF382">IF(SnapshotTable[[#This Row],[SC Is Filled]], btc_should_buy_back(SnapshotTable[[#This Row],[SC Fill Date]], SnapshotTable[[#This Row],[SC Exp Date]], SnapshotTable[[#This Row],[SC Book Price]], SnapshotTable[[#This Row],[SC Current Ask]], MockToday, SnapshotTable[[#This Row],[SC Buyback Override]]),"")</f>
        <v/>
      </c>
      <c r="FG382" s="4">
        <f>IF(SnapshotTable[[#This Row],[SC Is Filled]], MAX(0,SnapshotTable[[#This Row],[Last Price]]  - SnapshotTable[[#This Row],[SC Strike Price]]), 0)</f>
        <v>0</v>
      </c>
      <c r="FH382" s="382">
        <f>IF(SnapshotTable[[#This Row],[SC Is Filled]], IF(ISNUMBER(SnapshotTable[[#This Row],[SC Current Ask]]), SnapshotTable[[#This Row],[SC Current Ask]], SnapshotTable[[#This Row],[SC Book Price]]) - SnapshotTable[[#This Row],[SC Intrinsic Value]], 0)</f>
        <v>0</v>
      </c>
      <c r="FI382" s="143"/>
      <c r="FJ382" s="32" t="str">
        <f>IF(SnapshotTable[[#This Row],[SC Is Filled]],100 * SnapshotTable[[#This Row],[SC Qty]] * IF(ISNUMBER(SnapshotTable[[#This Row],[SC Buyback Override]]), SnapshotTable[[#This Row],[SC Buyback Override]], SnapshotTable[[#This Row],[SC Current Ask]]), "")</f>
        <v/>
      </c>
      <c r="FK382" s="250" t="str">
        <f>IF(SnapshotTable[[#This Row],[SC Time Val]]&gt;0, SnapshotTable[[#This Row],[SC Time Val]] / SnapshotTable[[#This Row],[Last Price]],"")</f>
        <v/>
      </c>
      <c r="FL382" s="302" t="str">
        <f>IF(SnapshotTable[[#This Row],[SC Is Booked]], ((SnapshotTable[[#This Row],[Last Price]] -SnapshotTable[[#This Row],[SC Strike Price]]) / SnapshotTable[[#This Row],[Last Price]]) * -1, "")</f>
        <v/>
      </c>
      <c r="FM382" s="157" t="str">
        <f>IF(SnapshotTable[[#This Row],[SC Is Booked]],  (SnapshotTable[[#This Row],[SC Qty]] * 100 * SnapshotTable[[#This Row],[SC Strike Price]]) - SnapshotTable[[#This Row],[SC Current Ask]], "")</f>
        <v/>
      </c>
      <c r="FN382"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2" s="157" t="str">
        <f>IF(AND(ISNUMBER(SnapshotTable[[#This Row],[SC Exercise Gross]]), ISNUMBER(SnapshotTable[[#This Row],[Equity Basis Per Share]] )), SnapshotTable[[#This Row],[SC Exercise Gross]] - SnapshotTable[[#This Row],[Equity Basis Total]] +  SnapshotTable[[#This Row],[SC Premium]], "")</f>
        <v/>
      </c>
      <c r="FP382" s="5" t="str">
        <f>IF(ISNUMBER(SnapshotTable[[#This Row],[SC Exercise Gross]]), (SnapshotTable[[#This Row],[SC Exercise Gross]]) / (SnapshotTable[[#This Row],[SC Qty]] * 100), "")</f>
        <v/>
      </c>
      <c r="FQ382" s="27" t="str">
        <f>IF(SnapshotTable[[#This Row],[SC Is Booked]],SnapshotTable[[#This Row],[SC Time Val]] /SnapshotTable[[#This Row],[SC Basis]], "")</f>
        <v/>
      </c>
      <c r="FR382" s="27" t="str" cm="1">
        <f t="array" ref="FR382">IF(AND(ISNUMBER(SnapshotTable[[#This Row],[SC Term]]),ISNUMBER(SnapshotTable[[#This Row],[SC Simple ROO]])), EllmanAnnualize(SnapshotTable[[#This Row],[SC DTE]], SnapshotTable[[#This Row],[SC Simple ROO]] ),"")</f>
        <v/>
      </c>
      <c r="FS382" s="4" t="e">
        <f>IF(SnapshotTable[[#This Row],[SC Strike Price]] &gt; SnapshotTable[[#This Row],[Last Price]], SnapshotTable[[#This Row],[SC Strike Price]] - SnapshotTable[[#This Row],[Last Price]],0)</f>
        <v>#VALUE!</v>
      </c>
      <c r="FT382" s="27" t="e">
        <f>IF(AND(ISNUMBER(SnapshotTable[[#This Row],[SC Upside Potential]]), SnapshotTable[[#This Row],[SC Upside Potential]] &gt; 0),(SnapshotTable[[#This Row],[SC Upside Potential]]/ SnapshotTable[[#This Row],[ACB]]),"")</f>
        <v>#VALUE!</v>
      </c>
      <c r="FU382" s="333" t="str">
        <f>IF(SnapshotTable[[#This Row],[SC Intrinsic Value]] &gt; 0,SnapshotTable[[#This Row],[SC Intrinsic Value]],"")</f>
        <v/>
      </c>
      <c r="FV382" s="27" t="str">
        <f>IF(AND( ISNUMBER( SnapshotTable[[#This Row],[ACB]]),ISNUMBER(SnapshotTable[[#This Row],[SC Downside Protect]])),SnapshotTable[[#This Row],[SC Downside Protect]] / SnapshotTable[[#This Row],[ACB]],"")</f>
        <v/>
      </c>
      <c r="FW382" s="236" t="str">
        <f>IF(AND(ISNUMBER(SnapshotTable[[#This Row],[SC Simple ROO]]),SnapshotTable[[#This Row],[SC Simple ROO]] &gt; 0), SnapshotTable[[#This Row],[SC Premium]] + (SnapshotTable[[#This Row],[SC Qty]] * SnapshotTable[[#This Row],[SC Upside Potential]]), "")</f>
        <v/>
      </c>
      <c r="FX382" s="302" t="str" cm="1">
        <f t="array" ref="FX382">IF(ISNUMBER(SnapshotTable[[#This Row],[SC Max Dollars]]), annualize(SnapshotTable[[#This Row],[SC Term]],(SnapshotTable[[#This Row],[SC Max Dollars]]/SnapshotTable[[#This Row],[SC Basis]])),"")</f>
        <v/>
      </c>
      <c r="FY382" s="236" t="str">
        <f>IF(AND(SnapshotTable[[#This Row],[SC Qty]]&gt;0,SnapshotTable[[#This Row],[SC Current Ask]]&gt;0), SnapshotTable[[#This Row],[SC Qty]] * SnapshotTable[[#This Row],[SC Current Ask]] * -100, "")</f>
        <v/>
      </c>
      <c r="FZ382" s="31" t="str">
        <f>IF(ISNUMBER((SnapshotTable[[#This Row],[SC Current Value]])), SnapshotTable[[#This Row],[SC Premium]] + SnapshotTable[[#This Row],[SC Current Value]], "")</f>
        <v/>
      </c>
      <c r="GA382" s="294" t="str">
        <f>IFERROR( IF(ISNUMBER((SnapshotTable[[#This Row],[SC Current Value]])), SnapshotTable[[#This Row],[SC Gain Loss]] / SnapshotTable[[#This Row],[SC Premium]], ""), "")</f>
        <v/>
      </c>
      <c r="GB382" s="42">
        <f>SnapshotTable[[#This Row],[Equity Shares]] * SaleSharesToConsiderPercentage</f>
        <v>0</v>
      </c>
      <c r="GC382" s="40">
        <f>SnapshotTable[[#This Row],[Long Term Target]] * SellingPriceToConsiderBasedOnTargetPercentage</f>
        <v>55.574999999999996</v>
      </c>
      <c r="GD382" s="40">
        <f>SnapshotTable[[#This Row],[Last Price]] * (1+ SellingPriceToConsiderBasedOnTargetPercentage)</f>
        <v>61.152000000000001</v>
      </c>
      <c r="GE382" s="41"/>
      <c r="GF382" s="40"/>
      <c r="GG382" s="31">
        <f>SnapshotTable[[#This Row],[Booked Sale Shares]] * SnapshotTable[[#This Row],[Booked Sale Price]]</f>
        <v>0</v>
      </c>
      <c r="GH382" s="31" t="str">
        <f>IF(SnapshotTable[[#This Row],[Equity Basis Total]] &gt; 0, SnapshotTable[[#This Row],[Equity Basis Per Share]] * SnapshotTable[[#This Row],[Booked Sale Shares]], "")</f>
        <v/>
      </c>
      <c r="GI382" s="31">
        <f>IF(SnapshotTable[[#This Row],[Sale Proceeds]]&gt;0, SnapshotTable[[#This Row],[Sale Proceeds]] - SnapshotTable[[#This Row],[Sale Basis]], 0)</f>
        <v>0</v>
      </c>
      <c r="GJ382" s="158" t="str">
        <f>IF(SnapshotTable[[#This Row],[Sale G/L]]&gt;0, SnapshotTable[[#This Row],[Sale G/L]] / SnapshotTable[[#This Row],[Sale Basis]], IF(ISNUMBER(SnapshotTable[[#This Row],[SC Exercise P&amp;L (TAX)]]), SnapshotTable[[#This Row],[SC Exercise P&amp;L (TAX)]] / SnapshotTable[[#This Row],[SC Basis]], ""))</f>
        <v/>
      </c>
      <c r="GK382" s="158" t="s">
        <v>751</v>
      </c>
      <c r="GL382" s="159" t="str">
        <f>IF(AND(SnapshotTable[[#This Row],[LP Exp Date]]&gt;0,SnapshotTable[[#This Row],[LP Strike Price]]&gt;0), [1]!ToOptionSymbol(SnapshotTable[[#This Row],[Symbol]], SnapshotTable[[#This Row],[LP Strike Price]],SnapshotTable[[#This Row],[LP Exp Date]],1), "")</f>
        <v/>
      </c>
      <c r="GM382" s="30" t="str">
        <f>IF(LEN(SnapshotTable[[#This Row],[LP Symbol]])&gt;0, 1, "")</f>
        <v/>
      </c>
      <c r="GN382" s="43" t="str">
        <f>IF(AND(SnapshotTable[[#This Row],[SP Exp Date]]&gt;0,SnapshotTable[[#This Row],[SP Strike Price]]&gt;0), [1]!ToOptionSymbol(SnapshotTable[[#This Row],[Symbol]], SnapshotTable[[#This Row],[SP Strike Price]],SnapshotTable[[#This Row],[SP Exp Date]],1), "")</f>
        <v/>
      </c>
      <c r="GO382" s="30" t="str">
        <f>IF(LEN(SnapshotTable[[#This Row],[SP Symbol]])&gt;0, 1, "")</f>
        <v/>
      </c>
      <c r="GP382" s="159" t="str">
        <f>IF(AND(SnapshotTable[[#This Row],[LC Exp Date]]&gt;0,SnapshotTable[[#This Row],[LC Strike Price]]&gt;0), [1]!ToOptionSymbol(SnapshotTable[[#This Row],[Symbol]], SnapshotTable[[#This Row],[LC Strike Price]],SnapshotTable[[#This Row],[LC Exp Date]],0), "")</f>
        <v/>
      </c>
      <c r="GQ382" s="160" t="str">
        <f>IF(LEN(SnapshotTable[[#This Row],[LC Symbol]])&gt;0, 1, "")</f>
        <v/>
      </c>
      <c r="GR382" s="159" t="str">
        <f>IF(AND(SnapshotTable[[#This Row],[SC Exp Date]]&gt;0,SnapshotTable[[#This Row],[SC Strike Price]]&gt;0), [1]!ToOptionSymbol(SnapshotTable[[#This Row],[Symbol]], SnapshotTable[[#This Row],[SC Strike Price]],SnapshotTable[[#This Row],[SC Exp Date]],0), "")</f>
        <v/>
      </c>
      <c r="GS382" s="160" t="str">
        <f>IF(LEN(SnapshotTable[[#This Row],[SC Symbol]])&gt;0, 1, "")</f>
        <v/>
      </c>
      <c r="GT382" s="161" t="str">
        <f>IF(COUNT(SnapshotTable[[#This Row],[LP Symbol Count]],SnapshotTable[[#This Row],[SP Symbol Count]],SnapshotTable[[#This Row],[LC Symbol Count]],SnapshotTable[[#This Row],[SC Symbol Count]])&gt;0, "Y", "")</f>
        <v/>
      </c>
      <c r="GU38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2" s="231" t="e">
        <f>MAX(SnapshotTable[[#This Row],[Equity Basis Total]],SnapshotTable[[#This Row],[Equity Value]]) + (SnapshotTable[[#This Row],[SP Potential Spend]]- SnapshotTable[[#This Row],[SP Premium]] + SnapshotTable[[#This Row],[LP Premium]])+ (SnapshotTable[[#This Row],[LC Premium]] - SnapshotTable[[#This Row],[SC Premium]])</f>
        <v>#VALUE!</v>
      </c>
      <c r="GW382" s="139" t="e">
        <f>IF(AND(SnapshotTable[[#This Row],[Exposure]] &lt;&gt; 0),SnapshotTable[[#This Row],[Exposure]] / SnapshotTable[[#Totals],[Exposure]], "")</f>
        <v>#VALUE!</v>
      </c>
      <c r="GX382" s="2"/>
      <c r="GY382" s="387"/>
      <c r="GZ382"/>
      <c r="HA382" s="2"/>
      <c r="HB382" s="2"/>
      <c r="HK382" s="1"/>
      <c r="HL382" s="1"/>
      <c r="HM382" s="1"/>
      <c r="HN382" s="1"/>
      <c r="HO382" s="1"/>
      <c r="HP382" s="1"/>
    </row>
    <row r="383" spans="2:224" ht="12.75" hidden="1" customHeight="1" x14ac:dyDescent="0.25">
      <c r="B383" s="12" t="s">
        <v>554</v>
      </c>
      <c r="C383" s="422">
        <v>85.81</v>
      </c>
      <c r="D383" s="208" t="s">
        <v>578</v>
      </c>
      <c r="E383" s="39">
        <f>SnapshotTable[[#This Row],[Last Price]]*(1 -CrashDiscount)</f>
        <v>72.938500000000005</v>
      </c>
      <c r="F383" s="26" t="s">
        <v>230</v>
      </c>
      <c r="G383" s="26" t="s">
        <v>9</v>
      </c>
      <c r="H383" s="149"/>
      <c r="I383" s="194">
        <v>44795.670138888891</v>
      </c>
      <c r="J383" s="195">
        <v>44795.670138888891</v>
      </c>
      <c r="K383" s="196"/>
      <c r="L383" s="326"/>
      <c r="M383" s="140"/>
      <c r="N383" s="140"/>
      <c r="O383" s="140"/>
      <c r="P383" s="22"/>
      <c r="Q383" s="25"/>
      <c r="R383" s="4" t="str">
        <f>IF(SnapshotTable[[#This Row],[Equity Basis Total]] &gt; 0, SnapshotTable[[#This Row],[Equity Basis Total]] / SnapshotTable[[#This Row],[Equity Shares]], "")</f>
        <v/>
      </c>
      <c r="S383" s="269">
        <f>SnapshotTable[[#This Row],[Last Price]] * SnapshotTable[[#This Row],[Equity Shares]]</f>
        <v>0</v>
      </c>
      <c r="T383" s="269">
        <f>SnapshotTable[[#This Row],[Equity Value]] - SnapshotTable[[#This Row],[Equity Basis Total]]</f>
        <v>0</v>
      </c>
      <c r="U383" s="270" t="str">
        <f>IF(SnapshotTable[[#This Row],[Equity Basis Total]] &gt; 0, SnapshotTable[[#This Row],[Equity G/L]] / SnapshotTable[[#This Row],[Equity Basis Total]], "")</f>
        <v/>
      </c>
      <c r="V383" s="268"/>
      <c r="W383" s="268"/>
      <c r="X383" s="4" t="str">
        <f>IF(AND(ISNUMBER(SnapshotTable[[#This Row],[Equity Basis Per Share]]),ISNUMBER(SnapshotTable[[#This Row],[Equity Target]])),SnapshotTable[[#This Row],[Equity Target]]-SnapshotTable[[#This Row],[Equity Basis Per Share]],"")</f>
        <v/>
      </c>
      <c r="Y383" s="4" t="str">
        <f>IF(AND(ISNUMBER(SnapshotTable[[#This Row],[Equity Basis Per Share]]),ISNUMBER(SnapshotTable[[#This Row],[Equity Stop Loss]])),SnapshotTable[[#This Row],[Equity Stop Loss]]-SnapshotTable[[#This Row],[Equity Basis Per Share]],"")</f>
        <v/>
      </c>
      <c r="Z383" s="275" t="str">
        <f>IFERROR( TEXT(SnapshotTable[[#This Row],[Equity Max Gain Per Share]] /ABS( SnapshotTable[[#This Row],[Equity Max Loss Per Share]]),"0.0 " ) &amp; " : 1", "")</f>
        <v/>
      </c>
      <c r="AA383" s="31" t="str">
        <f>IF(ISNUMBER(SnapshotTable[[#This Row],[Equity Max Gain Per Share]]),SnapshotTable[[#This Row],[Equity Max Gain Per Share]] * SnapshotTable[[#This Row],[Equity Shares]],"")</f>
        <v/>
      </c>
      <c r="AB383" s="31" t="str">
        <f>IF(ISNUMBER(SnapshotTable[[#This Row],[Equity Max Loss Per Share]]),SnapshotTable[[#This Row],[Equity Max Loss Per Share]] * SnapshotTable[[#This Row],[Equity Shares]],"")</f>
        <v/>
      </c>
      <c r="AC383" s="150"/>
      <c r="AD383" s="151"/>
      <c r="AE383" s="31">
        <f>(SnapshotTable[[#This Row],[Annual Dividend Per Share]] / 4) * SnapshotTable[[#This Row],[Equity Shares]]</f>
        <v>0</v>
      </c>
      <c r="AF383" s="31">
        <f>SnapshotTable[[#This Row],[Quarterly Div $]] * 4</f>
        <v>0</v>
      </c>
      <c r="AG383" s="7">
        <f>IF(SnapshotTable[[#This Row],[Annual Dividend Per Share]]&gt;0, SnapshotTable[[#This Row],[Annual Dividend Per Share]]  / SnapshotTable[[#This Row],[Last Price]], 0)</f>
        <v>0</v>
      </c>
      <c r="AH383" s="151"/>
      <c r="AI383" s="5"/>
      <c r="AJ383" s="138">
        <v>413.23</v>
      </c>
      <c r="AK383" s="152" t="str">
        <f>IF(ISNUMBER( SnapshotTable[[#This Row],[EBF Target]]),(SnapshotTable[[#This Row],[EBF Target]] - SnapshotTable[[#This Row],[Last Price]]) / SnapshotTable[[#This Row],[Last Price]], "")</f>
        <v/>
      </c>
      <c r="AL383" s="152" t="str">
        <f>IF(AND(SnapshotTable[[#This Row],[Equity Basis Total]] &gt; 0,ISNUMBER( SnapshotTable[[#This Row],[Long Term Target]])), SnapshotTable[[#This Row],[From Basis $]] / SnapshotTable[[#This Row],[Equity Basis Total]], "")</f>
        <v/>
      </c>
      <c r="AM383" s="9">
        <f>IF( AND(SnapshotTable[[#This Row],[Equity Shares]] &gt;0,ISNUMBER( SnapshotTable[[#This Row],[Long Term Target]])),(SnapshotTable[[#This Row],[Equity Shares]] * SnapshotTable[[#This Row],[Long Term Target]]) - SnapshotTable[[#This Row],[Equity Basis Total]],0)</f>
        <v>0</v>
      </c>
      <c r="AN383" s="9">
        <f>IF( AND(SnapshotTable[[#This Row],[Equity Shares]] &gt;0,ISNUMBER( SnapshotTable[[#This Row],[Long Term Target]])),(SnapshotTable[[#This Row],[Equity Shares]]*SnapshotTable[[#This Row],[Long Term Target]]) - SnapshotTable[[#This Row],[Equity Value]],0)</f>
        <v>0</v>
      </c>
      <c r="AO383" s="152">
        <f>IF(AND(ISNUMBER( SnapshotTable[[#This Row],[Long Term Target]]), ISNUMBER(SnapshotTable[[#This Row],[Last Price]])),(SnapshotTable[[#This Row],[Long Term Target]] - SnapshotTable[[#This Row],[Last Price]]) / SnapshotTable[[#This Row],[Last Price]], "")</f>
        <v>3.8156392028901061</v>
      </c>
      <c r="AP383" s="5"/>
      <c r="AQ383" s="38"/>
      <c r="AR383" s="5"/>
      <c r="AS383" s="38"/>
      <c r="AT383" s="146"/>
      <c r="AU383" s="187" t="str">
        <f>IF(OR(SnapshotTable[[#This Row],[LP No Fill]]="Y",SnapshotTable[[#This Row],[SP Is Filled]],SnapshotTable[[#This Row],[LC Not Filled]]="Y",SnapshotTable[[#This Row],[SC Is Filled]]),"Y","")</f>
        <v/>
      </c>
      <c r="AV383" s="219"/>
      <c r="AW383" s="225"/>
      <c r="AX383" s="220"/>
      <c r="AY383" s="219" t="str">
        <f>IF(SnapshotTable[[#This Row],[Implied Move]]&gt;0, SnapshotTable[[#This Row],[Last Price]]-SnapshotTable[[#This Row],[Implied Move]],"")</f>
        <v/>
      </c>
      <c r="AZ383" s="219" t="str">
        <f>IF(SnapshotTable[[#This Row],[Implied Move]]&gt;0, SnapshotTable[[#This Row],[Last Price]] + SnapshotTable[[#This Row],[Implied Move]],"")</f>
        <v/>
      </c>
      <c r="BA383" s="331">
        <v>107.99</v>
      </c>
      <c r="BB383" s="347"/>
      <c r="BC38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3" s="351"/>
      <c r="BE383" s="5"/>
      <c r="BF383" s="14"/>
      <c r="BG383" s="13"/>
      <c r="BH383" s="13"/>
      <c r="BI383" s="5"/>
      <c r="BJ383" s="136">
        <f>IF(SnapshotTable[[#This Row],[LP Qty]] &gt; 0, SnapshotTable[[#This Row],[LP Qty]] * SnapshotTable[[#This Row],[LP Book Price]] * 100,0)</f>
        <v>0</v>
      </c>
      <c r="BK383" s="136">
        <f>IF(SnapshotTable[[#This Row],[LP Premium]] &gt; 0, SnapshotTable[[#This Row],[LP Qty]] * SnapshotTable[[#This Row],[LP Strike Price]] * 100,0)</f>
        <v>0</v>
      </c>
      <c r="BL383" s="154"/>
      <c r="BM383" s="385" t="str">
        <f>IF(SnapshotTable[[#This Row],[LP Premium]] &gt; 0,SnapshotTable[[#This Row],[LP Exp Date]]-MAX(SnapshotTable[[#This Row],[LP Book Date]], SnapshotTable[[#This Row],[LP Fill Date]]),"")</f>
        <v/>
      </c>
      <c r="BN383" s="385" t="str">
        <f>IF(ISNUMBER( SnapshotTable[[#This Row],[LP Term]]), SnapshotTable[[#This Row],[LP Exp Date]] - MockToday,"")</f>
        <v/>
      </c>
      <c r="BO383" s="163" t="str">
        <f>IF(AND(SnapshotTable[[#This Row],[LP Exp Date]]&gt;0, SnapshotTable[[#This Row],[LP Strike Price]]&gt;0,SnapshotTable[[#This Row],[LP Qty]]&gt;0,SnapshotTable[[#This Row],[LP Book Date]]&gt;0,SnapshotTable[[#This Row],[LP Book Price]]&gt;0,SnapshotTable[[#This Row],[LP Fill Date]]=0),"Y","")</f>
        <v/>
      </c>
      <c r="BP383" s="31" t="str">
        <f>IF(AND(SnapshotTable[[#This Row],[LP No Fill]]&lt;&gt;"Y",SnapshotTable[[#This Row],[LP Contract Value]]&gt;0, SnapshotTable[[#This Row],[LP Qty]]&gt;0), SnapshotTable[[#This Row],[LP Contract Value]]*SnapshotTable[[#This Row],[LP Qty]]*100,"")</f>
        <v/>
      </c>
      <c r="BQ383" s="13"/>
      <c r="BR383" s="5" t="str">
        <f>IF(SnapshotTable[[#This Row],[SP Exp Date]]&lt;&gt;"",TRUNC(SnapshotTable[[#This Row],[Last Price]]),"")</f>
        <v/>
      </c>
      <c r="BS383" s="36"/>
      <c r="BT383" s="147"/>
      <c r="BU383" s="13"/>
      <c r="BV383" s="5"/>
      <c r="BW383" s="419" t="b">
        <f>AND(ISNUMBER(SnapshotTable[[#This Row],[SP Exp Date]]), ISNUMBER(SnapshotTable[[#This Row],[SP Strike Price]]), ISNUMBER(SnapshotTable[[#This Row],[SP Qty]]), ISNUMBER(SnapshotTable[[#This Row],[SP Book Date]]), ISNUMBER(SnapshotTable[[#This Row],[SP Book Price]]))</f>
        <v>0</v>
      </c>
      <c r="BX383" s="419" t="b">
        <f>AND(SnapshotTable[[#This Row],[SP Is Booked]], NOT(ISBLANK(SnapshotTable[[#This Row],[SP Fill Date]])))</f>
        <v>0</v>
      </c>
      <c r="BY383" s="33">
        <f>IF(SnapshotTable[[#This Row],[SP Is Booked]], SnapshotTable[[#This Row],[SP Qty]] * SnapshotTable[[#This Row],[SP Book Price]] * 100, 0)</f>
        <v>0</v>
      </c>
      <c r="BZ383" s="369"/>
      <c r="CA383" s="368">
        <f>SnapshotTable[[#This Row],[LP Qty]]</f>
        <v>0</v>
      </c>
      <c r="CB383" s="4" t="str">
        <f>IF(SnapshotTable[[#This Row],[SP Is Booked]], SnapshotTable[[#This Row],[SP Strike Price]] - SnapshotTable[[#This Row],[SP Book Price]], "")</f>
        <v/>
      </c>
      <c r="CC383" s="19" t="str">
        <f>IF(SnapshotTable[[#This Row],[SP Is Booked]],SnapshotTable[[#This Row],[SP Exp Date]]-MAX(SnapshotTable[[#This Row],[SP Book Date]], SnapshotTable[[#This Row],[SP Fill Date]]),"")</f>
        <v/>
      </c>
      <c r="CD383" s="7" t="str">
        <f>IF(SnapshotTable[[#This Row],[SP Is Booked]], SnapshotTable[[#This Row],[SP Book Price]]/SnapshotTable[[#This Row],[SP Strike Price]], "")</f>
        <v/>
      </c>
      <c r="CE383" s="7" t="str">
        <f>IF(ISNUMBER(SnapshotTable[[#This Row],[SP ROO Term]]),SnapshotTable[[#This Row],[SP ROO Term]]*(365/SnapshotTable[[#This Row],[SP Term]]),"")</f>
        <v/>
      </c>
      <c r="CF383" s="236">
        <f>SnapshotTable[[#This Row],[LP Strike Price]] * SnapshotTable[[#This Row],[LP Qty]] * 100</f>
        <v>0</v>
      </c>
      <c r="CG383" s="31" t="e">
        <f>IF(ISNUMBER(SnapshotTable[[#This Row],[SP Premium]]), (SnapshotTable[[#This Row],[SP Qty]] * SnapshotTable[[#This Row],[SP Strike Price]]* 100) - SnapshotTable[[#This Row],[LP Protection]], 0)</f>
        <v>#VALUE!</v>
      </c>
      <c r="CH383" s="7" t="str">
        <f>IF(ISNUMBER(SnapshotTable[[#This Row],[SP Break Even]]),-1 * (SnapshotTable[[#This Row],[SP Break Even]] - SnapshotTable[[#This Row],[Last Price]]) / SnapshotTable[[#This Row],[Last Price]], "")</f>
        <v/>
      </c>
      <c r="CI383" s="31">
        <f>IF(AND(ISNUMBER((SnapshotTable[[#This Row],[SP Potential Spend]])), SnapshotTable[[#This Row],[SP Strike Price]] &gt; SnapshotTable[[#This Row],[Last Price]], SnapshotTable[[#This Row],[SP Is Filled]]), SnapshotTable[[#This Row],[SP Potential Spend]] -  SnapshotTable[[#This Row],[LP Max Value]], 0)</f>
        <v>0</v>
      </c>
      <c r="CJ383" s="244"/>
      <c r="CK383" s="31" t="str">
        <f>IF(ISNUMBER(SnapshotTable[[#This Row],[SP Potential Spend]]),IF(ISNUMBER(SnapshotTable[[#This Row],[SP POW]]), SnapshotTable[[#This Row],[SP POW]] * SnapshotTable[[#This Row],[SP Potential Spend]], SnapshotTable[[#This Row],[SP Potential Spend]]), "")</f>
        <v/>
      </c>
      <c r="CL383" s="164" t="e">
        <f>IF(NOT(SnapshotTable[[#This Row],[SP Is Filled]]),(SnapshotTable[[#This Row],[SP Qty]] * SnapshotTable[[#This Row],[SP Strike Price]] * 100) - SnapshotTable[[#This Row],[LP Max Value]],"")</f>
        <v>#VALUE!</v>
      </c>
      <c r="CM383" s="31" t="str">
        <f>IF(SnapshotTable[[#This Row],[SP Actual Spend]]&lt;&gt;0, ((SnapshotTable[[#This Row],[SP Strike Price]]-SnapshotTable[[#This Row],[Last Price]]) *(SnapshotTable[[#This Row],[SP Qty]]*100) - SnapshotTable[[#This Row],[SP Premium]]) * - 1, "")</f>
        <v/>
      </c>
      <c r="CN383" s="78"/>
      <c r="CO383" s="369"/>
      <c r="CP383" s="4" t="str">
        <f>IF(SnapshotTable[[#This Row],[SP Is Filled]], btc_max_buyback_amount(SnapshotTable[[#This Row],[SP Fill Date]],SnapshotTable[[#This Row],[SP Exp Date]], SnapshotTable[[#This Row],[SP Book Price]]),"")</f>
        <v/>
      </c>
      <c r="CQ383" s="78"/>
      <c r="CR38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3" s="155" t="str">
        <f>IF(SnapshotTable[[#This Row],[SP Is Filled]], btc_next_cutoff_date(SnapshotTable[[#This Row],[SP Fill Date]],SnapshotTable[[#This Row],[SP Exp Date]]),"")</f>
        <v/>
      </c>
      <c r="CT383" s="235" t="str" cm="1">
        <f t="array" ref="CT383">IF(SnapshotTable[[#This Row],[SP Is Filled]], btc_should_buy_back(SnapshotTable[[#This Row],[SP Fill Date]], SnapshotTable[[#This Row],[SP Exp Date]], SnapshotTable[[#This Row],[SP Book Price]], SnapshotTable[[#This Row],[SP Current Ask]], MockToday, SnapshotTable[[#This Row],[SP Buyback Override]]),"")</f>
        <v/>
      </c>
      <c r="CU383" s="143">
        <v>44743</v>
      </c>
      <c r="CV383" s="235"/>
      <c r="CW383" s="378" t="str">
        <f>IF(ISNUMBER( SnapshotTable[[#This Row],[SP Term]]), SnapshotTable[[#This Row],[SP Exp Date]] - MockToday,"")</f>
        <v/>
      </c>
      <c r="CX383" s="31" t="str">
        <f>IF(SnapshotTable[[#This Row],[SP Is Filled]],SnapshotTable[[#This Row],[SP Buyback Price to Use]] * 100 * SnapshotTable[[#This Row],[SP Qty]], "")</f>
        <v/>
      </c>
      <c r="CY383" s="4" t="str">
        <f>IF(ISNUMBER(SnapshotTable[[#This Row],[SP Strike Price]]), SnapshotTable[[#This Row],[SP Strike Price]] * (1 - SP_MaxLoss_StrikePct), "")</f>
        <v/>
      </c>
      <c r="CZ383" s="31" t="str">
        <f>IF(ISNUMBER(SnapshotTable[[#This Row],[SP Strike  Stop Per Share]]),SnapshotTable[[#This Row],[SP Premium]] - ((SnapshotTable[[#This Row],[SP Strike Price]]-SnapshotTable[[#This Row],[SP Strike  Stop Per Share]]) *(SnapshotTable[[#This Row],[SP Qty]] * 100)),"")</f>
        <v/>
      </c>
      <c r="DA383" s="4" t="str">
        <f>IF(AND(ISNUMBER(SnapshotTable[[#This Row],[SP Premium]]),SnapshotTable[[#This Row],[SP Premium]]&gt;0), SnapshotTable[[#This Row],[SP Book Price]] * (1 + SP_MaxLoss_OptionPct), "")</f>
        <v/>
      </c>
      <c r="DB383" s="31" t="str">
        <f>IF(ISNUMBER(SnapshotTable[[#This Row],[SP Option  Stop Contract]]),(SnapshotTable[[#This Row],[SP Option  Stop Contract]] *(SnapshotTable[[#This Row],[SP Qty]] * 100) - SnapshotTable[[#This Row],[SP Premium]]),"")</f>
        <v/>
      </c>
      <c r="DC383" s="4"/>
      <c r="DD383" s="4"/>
      <c r="DE383" s="4" t="str">
        <f>IF(AND(SnapshotTable[[#This Row],[SP Qty]]&gt;0, SnapshotTable[[#This Row],[SP Stop To Use]]&gt;0),SnapshotTable[[#This Row],[SP Premium]] - ( SnapshotTable[[#This Row],[SP Qty]] * SnapshotTable[[#This Row],[SP Stop To Use]] * 100), "")</f>
        <v/>
      </c>
      <c r="DF383" s="31" t="str">
        <f>IF(AND(SnapshotTable[[#This Row],[SP Qty]]&gt;0,SnapshotTable[[#This Row],[SP Current Ask]]&gt;0), SnapshotTable[[#This Row],[SP Qty]] * SnapshotTable[[#This Row],[SP Current Ask]] * -100, "")</f>
        <v/>
      </c>
      <c r="DG383" s="31" t="str">
        <f>IF(ISNUMBER((SnapshotTable[[#This Row],[SP Total Value]])), SnapshotTable[[#This Row],[SP Premium]] + SnapshotTable[[#This Row],[SP Total Value]], "")</f>
        <v/>
      </c>
      <c r="DH383" s="294" t="str">
        <f>IF(ISNUMBER((SnapshotTable[[#This Row],[SP Total Value]])), SnapshotTable[[#This Row],[SP Gain Loss]] / SnapshotTable[[#This Row],[SP Premium]], "")</f>
        <v/>
      </c>
      <c r="DI383" s="406"/>
      <c r="DJ383" s="138"/>
      <c r="DK383" s="148"/>
      <c r="DL383" s="13"/>
      <c r="DM383" s="13"/>
      <c r="DO383" s="31">
        <f>IF(SnapshotTable[[#This Row],[LC Symbol Count]]=1, SnapshotTable[[#This Row],[LC Qty]] * SnapshotTable[[#This Row],[LC Book Price]] * 100, 0)</f>
        <v>0</v>
      </c>
      <c r="DP383" s="163" t="str">
        <f>IF(AND(SnapshotTable[[#This Row],[LC Exp Date]]&gt;0, SnapshotTable[[#This Row],[LC Strike Price]]&gt;0,SnapshotTable[[#This Row],[LC Qty]]&gt;0,SnapshotTable[[#This Row],[LC Book Date]]&gt;0,SnapshotTable[[#This Row],[LC Book Price]]&gt;0,SnapshotTable[[#This Row],[LC Fill Date]]=0),"Y","")</f>
        <v/>
      </c>
      <c r="DQ383" s="386" t="str">
        <f>IF(SnapshotTable[[#This Row],[LC Premium]] &gt; 0,SnapshotTable[[#This Row],[LC Exp Date]]-MAX(SnapshotTable[[#This Row],[LC Book Date]], SnapshotTable[[#This Row],[LC Fill Date]]),"")</f>
        <v/>
      </c>
      <c r="DR383" s="386" t="str">
        <f>IF(ISNUMBER(SnapshotTable[[#This Row],[LC Term]]), SnapshotTable[[#This Row],[LC Exp Date]] - MockToday, "")</f>
        <v/>
      </c>
      <c r="DS383" s="234" t="str">
        <f>IF(SnapshotTable[[#This Row],[LC Premium]]&gt;0,SnapshotTable[[#This Row],[LC Strike Price]] + SnapshotTable[[#This Row],[LC Book Price]],"")</f>
        <v/>
      </c>
      <c r="DT383" s="5">
        <v>0</v>
      </c>
      <c r="DU383" s="9" t="str">
        <f>IF(AND(SnapshotTable[[#This Row],[LC Symbol Count]]&gt;0, SnapshotTable[[#This Row],[LC Contract Value]]&gt;0), SnapshotTable[[#This Row],[LC Contract Value]] * SnapshotTable[[#This Row],[LC Qty]] * 100, "")</f>
        <v/>
      </c>
      <c r="DV383" s="9" t="str">
        <f>IF(AND(ISNUMBER(SnapshotTable[[#This Row],[LC Total Value]]), SnapshotTable[[#This Row],[LC Not Filled]]&lt;&gt;"Y"), SnapshotTable[[#This Row],[LC Total Value]]-SnapshotTable[[#This Row],[LC Premium]],"")</f>
        <v/>
      </c>
      <c r="DW383" s="240" t="str">
        <f>IF(ISNUMBER(SnapshotTable[[#This Row],[LC Actual Gain Loss]]), SnapshotTable[[#This Row],[LC Actual Gain Loss]] / SnapshotTable[[#This Row],[LC Premium]],"")</f>
        <v/>
      </c>
      <c r="DX383" s="284" t="str">
        <f>IF(ISNUMBER(SnapshotTable[[#This Row],[LC Book Price]]),SnapshotTable[[#This Row],[LC Book Price]] * 1.5,"")</f>
        <v/>
      </c>
      <c r="DY383" s="265" t="str">
        <f>IF(SnapshotTable[[#This Row],[LC Premium]]&gt;0, SnapshotTable[[#This Row],[LC Next Target]] * SnapshotTable[[#This Row],[LC Qty]] * 100,"")</f>
        <v/>
      </c>
      <c r="DZ383" s="265" t="str">
        <f>IF(ISNUMBER(SnapshotTable[[#This Row],[LC Target Gross]]), SnapshotTable[[#This Row],[LC Target Gross]] - SnapshotTable[[#This Row],[LC Premium]], "")</f>
        <v/>
      </c>
      <c r="EA383" s="305" t="str">
        <f>IF(ISNUMBER(SnapshotTable[[#This Row],[LC Target Gain Loss]]), SnapshotTable[[#This Row],[LC Target Gain Loss]]/SnapshotTable[[#This Row],[LC Premium]], "")</f>
        <v/>
      </c>
      <c r="EB383" s="262"/>
      <c r="EC383" s="283" t="str">
        <f>IF(SnapshotTable[[#This Row],[LC Premium]]&gt;0, SnapshotTable[[#This Row],[LC Book Price]] * (1 - LC_StopLoss_Pct),"")</f>
        <v/>
      </c>
      <c r="ED383" s="284"/>
      <c r="EE383" s="283" t="str">
        <f>IF(ISNUMBER(SnapshotTable[[#This Row],[LC Contract Value]]),IF(ISNUMBER(SnapshotTable[[#This Row],[LC Stop Loss Override]]), SnapshotTable[[#This Row],[LC Stop Loss Override]],SnapshotTable[[#This Row],[LC Stop Loss Calc Target]]),"")</f>
        <v/>
      </c>
      <c r="EF383" s="31" t="str">
        <f>IF(ISNUMBER(SnapshotTable[[#This Row],[LC Stop  To Use]]), (SnapshotTable[[#This Row],[LC Stop  To Use]] * SnapshotTable[[#This Row],[LC Qty]] * 100),"")</f>
        <v/>
      </c>
      <c r="EG383" s="9" t="str">
        <f>IF(ISNUMBER(SnapshotTable[[#This Row],[LC Total Value]]),SnapshotTable[[#This Row],[LC Stop Loss Amount]] - SnapshotTable[[#This Row],[LC Premium]],"")</f>
        <v/>
      </c>
      <c r="EH383" s="9">
        <f>IF(ISNUMBER(SnapshotTable[[#This Row],[LC Premium]]), SnapshotTable[[#This Row],[LC Qty]] * 100 * SnapshotTable[[#This Row],[LC Strike Price]], "")</f>
        <v>0</v>
      </c>
      <c r="EI383" s="240" t="str">
        <f>IF(AND(ISNUMBER(SnapshotTable[[#This Row],[LC Total Value]]),SnapshotTable[[#This Row],[LC Total Value]]&gt;0),SnapshotTable[[#This Row],[LC Stop Gain Loss]]  / SnapshotTable[[#This Row],[LC Premium]],"")</f>
        <v/>
      </c>
      <c r="EJ383" s="35">
        <f>IF(ISNUMBER(SnapshotTable[[#This Row],[Equity Shares]]),TRUNC(SnapshotTable[[#This Row],[Equity Shares]] / 100),0) + SnapshotTable[[#This Row],[LC Qty]]</f>
        <v>0</v>
      </c>
      <c r="EK383" s="147"/>
      <c r="EL383" s="138" t="str">
        <f>IF(SnapshotTable[[#This Row],[SC Exp Date]]&lt;&gt;"",TRUNC(SnapshotTable[[#This Row],[Last Price]]),"")</f>
        <v/>
      </c>
      <c r="EM383" s="148"/>
      <c r="EN383" s="147"/>
      <c r="EO383" s="147"/>
      <c r="EP383" s="138"/>
      <c r="EQ383" s="419" t="b">
        <f>AND(ISNUMBER(SnapshotTable[[#This Row],[SC Exp Date]]), ISNUMBER(SnapshotTable[[#This Row],[SC Strike Price]]), ISNUMBER(SnapshotTable[[#This Row],[SC Qty]]), ISNUMBER(SnapshotTable[[#This Row],[SC Book Date]]), ISNUMBER(SnapshotTable[[#This Row],[SC Book Price]]))</f>
        <v>0</v>
      </c>
      <c r="ER383" s="419" t="b">
        <f>AND(SnapshotTable[[#This Row],[SC Is Booked]], NOT(ISBLANK(SnapshotTable[[#This Row],[SC Fill Date]])))</f>
        <v>0</v>
      </c>
      <c r="ES383" s="370"/>
      <c r="ET383" s="34" t="str">
        <f>IF(AND(ISNUMBER(SnapshotTable[[#This Row],[SC Exp Date]]), ISNUMBER(SnapshotTable[[#This Row],[SC Book Date]])), SnapshotTable[[#This Row],[SC Exp Date]] - MAX(SnapshotTable[[#This Row],[SC Book Date]], SnapshotTable[[#This Row],[SC Fill Date]]) + 1, "")</f>
        <v/>
      </c>
      <c r="EU383" s="34" t="str">
        <f>IF(ISNUMBER(SnapshotTable[[#This Row],[SC Term]]), SnapshotTable[[#This Row],[SC Exp Date]]- MockToday, "")</f>
        <v/>
      </c>
      <c r="EV383" s="31">
        <f>IF(SnapshotTable[[#This Row],[SC Is Booked]], SnapshotTable[[#This Row],[SC Qty]] * SnapshotTable[[#This Row],[SC Book Price]] * 100, 0)</f>
        <v>0</v>
      </c>
      <c r="EW383" s="4" t="str">
        <f>IF(AND(ISNUMBER(SnapshotTable[[#This Row],[Last Price]]), ISNUMBER( SnapshotTable[[#This Row],[SC Book Price]])), SnapshotTable[[#This Row],[Last Price]] - SnapshotTable[[#This Row],[SC Book Price]],"")</f>
        <v/>
      </c>
      <c r="EX383" s="234" t="str">
        <f>IF(SnapshotTable[[#This Row],[SC Is Booked]],IF(SnapshotTable[[#This Row],[SC Intrinsic Value]] &gt; 0, SnapshotTable[[#This Row],[SC Strike Price]], SnapshotTable[[#This Row],[Last Price]]), "")</f>
        <v/>
      </c>
      <c r="EY383" s="4">
        <f>IF(SnapshotTable[[#This Row],[SC Is Booked]], (MinimumPremiumRequired * SnapshotTable[[#This Row],[SC Basis]] * SnapshotTable[[#This Row],[SC Term]]), 0)</f>
        <v>0</v>
      </c>
      <c r="EZ383" s="283"/>
      <c r="FA383" s="423"/>
      <c r="FB383" s="370"/>
      <c r="FC383" s="4">
        <f>IF(SnapshotTable[[#This Row],[SC Is Filled]], btc_max_buyback_amount(SnapshotTable[[#This Row],[SC Fill Date]],SnapshotTable[[#This Row],[SC Exp Date]], SnapshotTable[[#This Row],[SC Book Price]]),0)</f>
        <v>0</v>
      </c>
      <c r="FD383" s="5"/>
      <c r="FE383" s="144" t="str">
        <f>IF(SnapshotTable[[#This Row],[SC Is Filled]], btc_next_cutoff_date(SnapshotTable[[#This Row],[SC Fill Date]],SnapshotTable[[#This Row],[SC Exp Date]]),"")</f>
        <v/>
      </c>
      <c r="FF383" s="4" t="str" cm="1">
        <f t="array" ref="FF383">IF(SnapshotTable[[#This Row],[SC Is Filled]], btc_should_buy_back(SnapshotTable[[#This Row],[SC Fill Date]], SnapshotTable[[#This Row],[SC Exp Date]], SnapshotTable[[#This Row],[SC Book Price]], SnapshotTable[[#This Row],[SC Current Ask]], MockToday, SnapshotTable[[#This Row],[SC Buyback Override]]),"")</f>
        <v/>
      </c>
      <c r="FG383" s="4">
        <f>IF(SnapshotTable[[#This Row],[SC Is Filled]], MAX(0,SnapshotTable[[#This Row],[Last Price]]  - SnapshotTable[[#This Row],[SC Strike Price]]), 0)</f>
        <v>0</v>
      </c>
      <c r="FH383" s="382">
        <f>IF(SnapshotTable[[#This Row],[SC Is Filled]], IF(ISNUMBER(SnapshotTable[[#This Row],[SC Current Ask]]), SnapshotTable[[#This Row],[SC Current Ask]], SnapshotTable[[#This Row],[SC Book Price]]) - SnapshotTable[[#This Row],[SC Intrinsic Value]], 0)</f>
        <v>0</v>
      </c>
      <c r="FI383" s="143"/>
      <c r="FJ383" s="32" t="str">
        <f>IF(SnapshotTable[[#This Row],[SC Is Filled]],100 * SnapshotTable[[#This Row],[SC Qty]] * IF(ISNUMBER(SnapshotTable[[#This Row],[SC Buyback Override]]), SnapshotTable[[#This Row],[SC Buyback Override]], SnapshotTable[[#This Row],[SC Current Ask]]), "")</f>
        <v/>
      </c>
      <c r="FK383" s="250" t="str">
        <f>IF(SnapshotTable[[#This Row],[SC Time Val]]&gt;0, SnapshotTable[[#This Row],[SC Time Val]] / SnapshotTable[[#This Row],[Last Price]],"")</f>
        <v/>
      </c>
      <c r="FL383" s="302" t="str">
        <f>IF(SnapshotTable[[#This Row],[SC Is Booked]], ((SnapshotTable[[#This Row],[Last Price]] -SnapshotTable[[#This Row],[SC Strike Price]]) / SnapshotTable[[#This Row],[Last Price]]) * -1, "")</f>
        <v/>
      </c>
      <c r="FM383" s="157" t="str">
        <f>IF(SnapshotTable[[#This Row],[SC Is Booked]],  (SnapshotTable[[#This Row],[SC Qty]] * 100 * SnapshotTable[[#This Row],[SC Strike Price]]) - SnapshotTable[[#This Row],[SC Current Ask]], "")</f>
        <v/>
      </c>
      <c r="FN38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3" s="31" t="str">
        <f>IF(AND(ISNUMBER(SnapshotTable[[#This Row],[SC Exercise Gross]]), ISNUMBER(SnapshotTable[[#This Row],[Equity Basis Per Share]] )), SnapshotTable[[#This Row],[SC Exercise Gross]] - SnapshotTable[[#This Row],[Equity Basis Total]] +  SnapshotTable[[#This Row],[SC Premium]], "")</f>
        <v/>
      </c>
      <c r="FP383" s="5" t="str">
        <f>IF(ISNUMBER(SnapshotTable[[#This Row],[SC Exercise Gross]]), (SnapshotTable[[#This Row],[SC Exercise Gross]]) / (SnapshotTable[[#This Row],[SC Qty]] * 100), "")</f>
        <v/>
      </c>
      <c r="FQ383" s="27" t="str">
        <f>IF(SnapshotTable[[#This Row],[SC Is Booked]],SnapshotTable[[#This Row],[SC Time Val]] /SnapshotTable[[#This Row],[SC Basis]], "")</f>
        <v/>
      </c>
      <c r="FR383" s="27" t="str" cm="1">
        <f t="array" ref="FR383">IF(AND(ISNUMBER(SnapshotTable[[#This Row],[SC Term]]),ISNUMBER(SnapshotTable[[#This Row],[SC Simple ROO]])), EllmanAnnualize(SnapshotTable[[#This Row],[SC DTE]], SnapshotTable[[#This Row],[SC Simple ROO]] ),"")</f>
        <v/>
      </c>
      <c r="FS383" s="4" t="e">
        <f>IF(SnapshotTable[[#This Row],[SC Strike Price]] &gt; SnapshotTable[[#This Row],[Last Price]], SnapshotTable[[#This Row],[SC Strike Price]] - SnapshotTable[[#This Row],[Last Price]],0)</f>
        <v>#VALUE!</v>
      </c>
      <c r="FT383" s="27" t="e">
        <f>IF(AND(ISNUMBER(SnapshotTable[[#This Row],[SC Upside Potential]]), SnapshotTable[[#This Row],[SC Upside Potential]] &gt; 0),(SnapshotTable[[#This Row],[SC Upside Potential]]/ SnapshotTable[[#This Row],[ACB]]),"")</f>
        <v>#VALUE!</v>
      </c>
      <c r="FU383" s="333" t="str">
        <f>IF(SnapshotTable[[#This Row],[SC Intrinsic Value]] &gt; 0,SnapshotTable[[#This Row],[SC Intrinsic Value]],"")</f>
        <v/>
      </c>
      <c r="FV383" s="27" t="str">
        <f>IF(AND( ISNUMBER( SnapshotTable[[#This Row],[ACB]]),ISNUMBER(SnapshotTable[[#This Row],[SC Downside Protect]])),SnapshotTable[[#This Row],[SC Downside Protect]] / SnapshotTable[[#This Row],[ACB]],"")</f>
        <v/>
      </c>
      <c r="FW383" s="236" t="str">
        <f>IF(AND(ISNUMBER(SnapshotTable[[#This Row],[SC Simple ROO]]),SnapshotTable[[#This Row],[SC Simple ROO]] &gt; 0), SnapshotTable[[#This Row],[SC Premium]] + (SnapshotTable[[#This Row],[SC Qty]] * SnapshotTable[[#This Row],[SC Upside Potential]]), "")</f>
        <v/>
      </c>
      <c r="FX383" s="302" t="str" cm="1">
        <f t="array" ref="FX383">IF(ISNUMBER(SnapshotTable[[#This Row],[SC Max Dollars]]), annualize(SnapshotTable[[#This Row],[SC Term]],(SnapshotTable[[#This Row],[SC Max Dollars]]/SnapshotTable[[#This Row],[SC Basis]])),"")</f>
        <v/>
      </c>
      <c r="FY383" s="236" t="str">
        <f>IF(AND(SnapshotTable[[#This Row],[SC Qty]]&gt;0,SnapshotTable[[#This Row],[SC Current Ask]]&gt;0), SnapshotTable[[#This Row],[SC Qty]] * SnapshotTable[[#This Row],[SC Current Ask]] * -100, "")</f>
        <v/>
      </c>
      <c r="FZ383" s="31" t="str">
        <f>IF(ISNUMBER((SnapshotTable[[#This Row],[SC Current Value]])), SnapshotTable[[#This Row],[SC Premium]] + SnapshotTable[[#This Row],[SC Current Value]], "")</f>
        <v/>
      </c>
      <c r="GA383" s="294" t="str">
        <f>IFERROR( IF(ISNUMBER((SnapshotTable[[#This Row],[SC Current Value]])), SnapshotTable[[#This Row],[SC Gain Loss]] / SnapshotTable[[#This Row],[SC Premium]], ""), "")</f>
        <v/>
      </c>
      <c r="GB383" s="42">
        <f>SnapshotTable[[#This Row],[Equity Shares]] * SaleSharesToConsiderPercentage</f>
        <v>0</v>
      </c>
      <c r="GC383" s="40">
        <f>SnapshotTable[[#This Row],[Long Term Target]] * SellingPriceToConsiderBasedOnTargetPercentage</f>
        <v>392.56849999999997</v>
      </c>
      <c r="GD383" s="40">
        <f>SnapshotTable[[#This Row],[Last Price]] * (1+ SellingPriceToConsiderBasedOnTargetPercentage)</f>
        <v>167.3295</v>
      </c>
      <c r="GE383" s="41"/>
      <c r="GF383" s="40"/>
      <c r="GG383" s="31">
        <f>SnapshotTable[[#This Row],[Booked Sale Shares]] * SnapshotTable[[#This Row],[Booked Sale Price]]</f>
        <v>0</v>
      </c>
      <c r="GH383" s="31" t="str">
        <f>IF(SnapshotTable[[#This Row],[Equity Basis Total]] &gt; 0, SnapshotTable[[#This Row],[Equity Basis Per Share]] * SnapshotTable[[#This Row],[Booked Sale Shares]], "")</f>
        <v/>
      </c>
      <c r="GI383" s="31">
        <f>IF(SnapshotTable[[#This Row],[Sale Proceeds]]&gt;0, SnapshotTable[[#This Row],[Sale Proceeds]] - SnapshotTable[[#This Row],[Sale Basis]], 0)</f>
        <v>0</v>
      </c>
      <c r="GJ383" s="27" t="str">
        <f>IF(SnapshotTable[[#This Row],[Sale G/L]]&gt;0, SnapshotTable[[#This Row],[Sale G/L]] / SnapshotTable[[#This Row],[Sale Basis]], IF(ISNUMBER(SnapshotTable[[#This Row],[SC Exercise P&amp;L (TAX)]]), SnapshotTable[[#This Row],[SC Exercise P&amp;L (TAX)]] / SnapshotTable[[#This Row],[SC Basis]], ""))</f>
        <v/>
      </c>
      <c r="GK383" s="27" t="s">
        <v>810</v>
      </c>
      <c r="GL383" s="43" t="str">
        <f>IF(AND(SnapshotTable[[#This Row],[LP Exp Date]]&gt;0,SnapshotTable[[#This Row],[LP Strike Price]]&gt;0), [1]!ToOptionSymbol(SnapshotTable[[#This Row],[Symbol]], SnapshotTable[[#This Row],[LP Strike Price]],SnapshotTable[[#This Row],[LP Exp Date]],1), "")</f>
        <v/>
      </c>
      <c r="GM383" s="30" t="str">
        <f>IF(LEN(SnapshotTable[[#This Row],[LP Symbol]])&gt;0, 1, "")</f>
        <v/>
      </c>
      <c r="GN383" s="43" t="str">
        <f>IF(AND(SnapshotTable[[#This Row],[SP Exp Date]]&gt;0,SnapshotTable[[#This Row],[SP Strike Price]]&gt;0), [1]!ToOptionSymbol(SnapshotTable[[#This Row],[Symbol]], SnapshotTable[[#This Row],[SP Strike Price]],SnapshotTable[[#This Row],[SP Exp Date]],1), "")</f>
        <v/>
      </c>
      <c r="GO383" s="30" t="str">
        <f>IF(LEN(SnapshotTable[[#This Row],[SP Symbol]])&gt;0, 1, "")</f>
        <v/>
      </c>
      <c r="GP383" s="43" t="str">
        <f>IF(AND(SnapshotTable[[#This Row],[LC Exp Date]]&gt;0,SnapshotTable[[#This Row],[LC Strike Price]]&gt;0), [1]!ToOptionSymbol(SnapshotTable[[#This Row],[Symbol]], SnapshotTable[[#This Row],[LC Strike Price]],SnapshotTable[[#This Row],[LC Exp Date]],0), "")</f>
        <v/>
      </c>
      <c r="GQ383" s="30" t="str">
        <f>IF(LEN(SnapshotTable[[#This Row],[LC Symbol]])&gt;0, 1, "")</f>
        <v/>
      </c>
      <c r="GR383" s="43" t="str">
        <f>IF(AND(SnapshotTable[[#This Row],[SC Exp Date]]&gt;0,SnapshotTable[[#This Row],[SC Strike Price]]&gt;0), [1]!ToOptionSymbol(SnapshotTable[[#This Row],[Symbol]], SnapshotTable[[#This Row],[SC Strike Price]],SnapshotTable[[#This Row],[SC Exp Date]],0), "")</f>
        <v/>
      </c>
      <c r="GS383" s="30" t="str">
        <f>IF(LEN(SnapshotTable[[#This Row],[SC Symbol]])&gt;0, 1, "")</f>
        <v/>
      </c>
      <c r="GT383" s="29" t="str">
        <f>IF(COUNT(SnapshotTable[[#This Row],[LP Symbol Count]],SnapshotTable[[#This Row],[SP Symbol Count]],SnapshotTable[[#This Row],[LC Symbol Count]],SnapshotTable[[#This Row],[SC Symbol Count]])&gt;0, "Y", "")</f>
        <v/>
      </c>
      <c r="GU38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3" s="231" t="e">
        <f>MAX(SnapshotTable[[#This Row],[Equity Basis Total]],SnapshotTable[[#This Row],[Equity Value]]) + (SnapshotTable[[#This Row],[SP Potential Spend]]- SnapshotTable[[#This Row],[SP Premium]] + SnapshotTable[[#This Row],[LP Premium]])+ (SnapshotTable[[#This Row],[LC Premium]] - SnapshotTable[[#This Row],[SC Premium]])</f>
        <v>#VALUE!</v>
      </c>
      <c r="GW383" s="139" t="e">
        <f>IF(AND(SnapshotTable[[#This Row],[Exposure]] &lt;&gt; 0),SnapshotTable[[#This Row],[Exposure]] / SnapshotTable[[#Totals],[Exposure]], "")</f>
        <v>#VALUE!</v>
      </c>
      <c r="GX383" s="2"/>
      <c r="GY383" s="387"/>
      <c r="GZ383"/>
      <c r="HA383" s="2"/>
      <c r="HB383" s="2"/>
      <c r="HK383" s="1"/>
      <c r="HL383" s="1"/>
      <c r="HM383" s="1"/>
      <c r="HN383" s="1"/>
      <c r="HO383" s="1"/>
      <c r="HP383" s="1"/>
    </row>
    <row r="384" spans="2:224" ht="12.75" hidden="1" customHeight="1" x14ac:dyDescent="0.25">
      <c r="B384" s="12" t="s">
        <v>977</v>
      </c>
      <c r="C384" s="422">
        <v>142.26</v>
      </c>
      <c r="D384" s="208" t="s">
        <v>850</v>
      </c>
      <c r="E384" s="39">
        <f>SnapshotTable[[#This Row],[Last Price]]*(1 -CrashDiscount)</f>
        <v>120.92099999999999</v>
      </c>
      <c r="F384" s="26" t="s">
        <v>840</v>
      </c>
      <c r="G384" s="26" t="s">
        <v>9</v>
      </c>
      <c r="H384" s="149"/>
      <c r="I384" s="194">
        <v>44798.673611111109</v>
      </c>
      <c r="J384" s="195">
        <v>44798.673611111109</v>
      </c>
      <c r="K384" s="196"/>
      <c r="L384" s="326"/>
      <c r="M384" s="140"/>
      <c r="N384" s="140"/>
      <c r="O384" s="140"/>
      <c r="P384" s="22"/>
      <c r="Q384" s="25"/>
      <c r="R384" s="4" t="str">
        <f>IF(SnapshotTable[[#This Row],[Equity Basis Total]] &gt; 0, SnapshotTable[[#This Row],[Equity Basis Total]] / SnapshotTable[[#This Row],[Equity Shares]], "")</f>
        <v/>
      </c>
      <c r="S384" s="269">
        <f>SnapshotTable[[#This Row],[Last Price]] * SnapshotTable[[#This Row],[Equity Shares]]</f>
        <v>0</v>
      </c>
      <c r="T384" s="269">
        <f>SnapshotTable[[#This Row],[Equity Value]] - SnapshotTable[[#This Row],[Equity Basis Total]]</f>
        <v>0</v>
      </c>
      <c r="U384" s="270" t="str">
        <f>IF(SnapshotTable[[#This Row],[Equity Basis Total]] &gt; 0, SnapshotTable[[#This Row],[Equity G/L]] / SnapshotTable[[#This Row],[Equity Basis Total]], "")</f>
        <v/>
      </c>
      <c r="V384" s="268"/>
      <c r="W384" s="268"/>
      <c r="X384" s="4" t="str">
        <f>IF(AND(ISNUMBER(SnapshotTable[[#This Row],[Equity Basis Per Share]]),ISNUMBER(SnapshotTable[[#This Row],[Equity Target]])),SnapshotTable[[#This Row],[Equity Target]]-SnapshotTable[[#This Row],[Equity Basis Per Share]],"")</f>
        <v/>
      </c>
      <c r="Y384" s="4" t="str">
        <f>IF(AND(ISNUMBER(SnapshotTable[[#This Row],[Equity Basis Per Share]]),ISNUMBER(SnapshotTable[[#This Row],[Equity Stop Loss]])),SnapshotTable[[#This Row],[Equity Stop Loss]]-SnapshotTable[[#This Row],[Equity Basis Per Share]],"")</f>
        <v/>
      </c>
      <c r="Z384" s="275" t="str">
        <f>IFERROR( TEXT(SnapshotTable[[#This Row],[Equity Max Gain Per Share]] /ABS( SnapshotTable[[#This Row],[Equity Max Loss Per Share]]),"0.0 " ) &amp; " : 1", "")</f>
        <v/>
      </c>
      <c r="AA384" s="31" t="str">
        <f>IF(ISNUMBER(SnapshotTable[[#This Row],[Equity Max Gain Per Share]]),SnapshotTable[[#This Row],[Equity Max Gain Per Share]] * SnapshotTable[[#This Row],[Equity Shares]],"")</f>
        <v/>
      </c>
      <c r="AB384" s="31" t="str">
        <f>IF(ISNUMBER(SnapshotTable[[#This Row],[Equity Max Loss Per Share]]),SnapshotTable[[#This Row],[Equity Max Loss Per Share]] * SnapshotTable[[#This Row],[Equity Shares]],"")</f>
        <v/>
      </c>
      <c r="AC384" s="150"/>
      <c r="AD384" s="151"/>
      <c r="AE384" s="31">
        <f>(SnapshotTable[[#This Row],[Annual Dividend Per Share]] / 4) * SnapshotTable[[#This Row],[Equity Shares]]</f>
        <v>0</v>
      </c>
      <c r="AF384" s="31">
        <f>SnapshotTable[[#This Row],[Quarterly Div $]] * 4</f>
        <v>0</v>
      </c>
      <c r="AG384" s="7">
        <f>IF(SnapshotTable[[#This Row],[Annual Dividend Per Share]]&gt;0, SnapshotTable[[#This Row],[Annual Dividend Per Share]]  / SnapshotTable[[#This Row],[Last Price]], 0)</f>
        <v>0</v>
      </c>
      <c r="AH384" s="151"/>
      <c r="AI384" s="5"/>
      <c r="AJ384" s="138">
        <v>230.33</v>
      </c>
      <c r="AK384" s="152" t="str">
        <f>IF(ISNUMBER( SnapshotTable[[#This Row],[EBF Target]]),(SnapshotTable[[#This Row],[EBF Target]] - SnapshotTable[[#This Row],[Last Price]]) / SnapshotTable[[#This Row],[Last Price]], "")</f>
        <v/>
      </c>
      <c r="AL384" s="152" t="str">
        <f>IF(AND(SnapshotTable[[#This Row],[Equity Basis Total]] &gt; 0,ISNUMBER( SnapshotTable[[#This Row],[Long Term Target]])), SnapshotTable[[#This Row],[From Basis $]] / SnapshotTable[[#This Row],[Equity Basis Total]], "")</f>
        <v/>
      </c>
      <c r="AM384" s="9">
        <f>IF( AND(SnapshotTable[[#This Row],[Equity Shares]] &gt;0,ISNUMBER( SnapshotTable[[#This Row],[Long Term Target]])),(SnapshotTable[[#This Row],[Equity Shares]] * SnapshotTable[[#This Row],[Long Term Target]]) - SnapshotTable[[#This Row],[Equity Basis Total]],0)</f>
        <v>0</v>
      </c>
      <c r="AN384" s="9">
        <f>IF( AND(SnapshotTable[[#This Row],[Equity Shares]] &gt;0,ISNUMBER( SnapshotTable[[#This Row],[Long Term Target]])),(SnapshotTable[[#This Row],[Equity Shares]]*SnapshotTable[[#This Row],[Long Term Target]]) - SnapshotTable[[#This Row],[Equity Value]],0)</f>
        <v>0</v>
      </c>
      <c r="AO384" s="152">
        <f>IF(AND(ISNUMBER( SnapshotTable[[#This Row],[Long Term Target]]), ISNUMBER(SnapshotTable[[#This Row],[Last Price]])),(SnapshotTable[[#This Row],[Long Term Target]] - SnapshotTable[[#This Row],[Last Price]]) / SnapshotTable[[#This Row],[Last Price]], "")</f>
        <v>0.61907774497399148</v>
      </c>
      <c r="AP384" s="5">
        <v>150</v>
      </c>
      <c r="AQ384" s="38" t="s">
        <v>38</v>
      </c>
      <c r="AR384" s="5">
        <v>150</v>
      </c>
      <c r="AS384" s="38" t="s">
        <v>26</v>
      </c>
      <c r="AT384" s="146" t="s">
        <v>538</v>
      </c>
      <c r="AU384" s="187" t="str">
        <f>IF(OR(SnapshotTable[[#This Row],[LP No Fill]]="Y",SnapshotTable[[#This Row],[SP Is Filled]],SnapshotTable[[#This Row],[LC Not Filled]]="Y",SnapshotTable[[#This Row],[SC Is Filled]]),"Y","")</f>
        <v/>
      </c>
      <c r="AV384" s="219"/>
      <c r="AW384" s="225">
        <v>8.5779999999999994</v>
      </c>
      <c r="AX384" s="220">
        <v>44302</v>
      </c>
      <c r="AY384" s="219">
        <f>IF(SnapshotTable[[#This Row],[Implied Move]]&gt;0, SnapshotTable[[#This Row],[Last Price]]-SnapshotTable[[#This Row],[Implied Move]],"")</f>
        <v>133.68199999999999</v>
      </c>
      <c r="AZ384" s="219">
        <f>IF(SnapshotTable[[#This Row],[Implied Move]]&gt;0, SnapshotTable[[#This Row],[Last Price]] + SnapshotTable[[#This Row],[Implied Move]],"")</f>
        <v>150.83799999999999</v>
      </c>
      <c r="BA384" s="331">
        <v>144.85</v>
      </c>
      <c r="BB384" s="347"/>
      <c r="BC38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4" s="351"/>
      <c r="BE384" s="5"/>
      <c r="BF384" s="14"/>
      <c r="BG384" s="13"/>
      <c r="BH384" s="13"/>
      <c r="BI384" s="5"/>
      <c r="BJ384" s="136">
        <f>IF(SnapshotTable[[#This Row],[LP Qty]] &gt; 0, SnapshotTable[[#This Row],[LP Qty]] * SnapshotTable[[#This Row],[LP Book Price]] * 100,0)</f>
        <v>0</v>
      </c>
      <c r="BK384" s="136">
        <f>IF(SnapshotTable[[#This Row],[LP Premium]] &gt; 0, SnapshotTable[[#This Row],[LP Qty]] * SnapshotTable[[#This Row],[LP Strike Price]] * 100,0)</f>
        <v>0</v>
      </c>
      <c r="BL384" s="154"/>
      <c r="BM384" s="385" t="str">
        <f>IF(SnapshotTable[[#This Row],[LP Premium]] &gt; 0,SnapshotTable[[#This Row],[LP Exp Date]]-MAX(SnapshotTable[[#This Row],[LP Book Date]], SnapshotTable[[#This Row],[LP Fill Date]]),"")</f>
        <v/>
      </c>
      <c r="BN384" s="385" t="str">
        <f>IF(ISNUMBER( SnapshotTable[[#This Row],[LP Term]]), SnapshotTable[[#This Row],[LP Exp Date]] - MockToday,"")</f>
        <v/>
      </c>
      <c r="BO384" s="163" t="str">
        <f>IF(AND(SnapshotTable[[#This Row],[LP Exp Date]]&gt;0, SnapshotTable[[#This Row],[LP Strike Price]]&gt;0,SnapshotTable[[#This Row],[LP Qty]]&gt;0,SnapshotTable[[#This Row],[LP Book Date]]&gt;0,SnapshotTable[[#This Row],[LP Book Price]]&gt;0,SnapshotTable[[#This Row],[LP Fill Date]]=0),"Y","")</f>
        <v/>
      </c>
      <c r="BP384" s="31" t="str">
        <f>IF(AND(SnapshotTable[[#This Row],[LP No Fill]]&lt;&gt;"Y",SnapshotTable[[#This Row],[LP Contract Value]]&gt;0, SnapshotTable[[#This Row],[LP Qty]]&gt;0), SnapshotTable[[#This Row],[LP Contract Value]]*SnapshotTable[[#This Row],[LP Qty]]*100,"")</f>
        <v/>
      </c>
      <c r="BQ384" s="13"/>
      <c r="BR384" s="5" t="str">
        <f>IF(SnapshotTable[[#This Row],[SP Exp Date]]&lt;&gt;"",TRUNC(SnapshotTable[[#This Row],[Last Price]]),"")</f>
        <v/>
      </c>
      <c r="BS384" s="36"/>
      <c r="BT384" s="147"/>
      <c r="BU384" s="13"/>
      <c r="BV384" s="5"/>
      <c r="BW384" s="419" t="b">
        <f>AND(ISNUMBER(SnapshotTable[[#This Row],[SP Exp Date]]), ISNUMBER(SnapshotTable[[#This Row],[SP Strike Price]]), ISNUMBER(SnapshotTable[[#This Row],[SP Qty]]), ISNUMBER(SnapshotTable[[#This Row],[SP Book Date]]), ISNUMBER(SnapshotTable[[#This Row],[SP Book Price]]))</f>
        <v>0</v>
      </c>
      <c r="BX384" s="419" t="b">
        <f>AND(SnapshotTable[[#This Row],[SP Is Booked]], NOT(ISBLANK(SnapshotTable[[#This Row],[SP Fill Date]])))</f>
        <v>0</v>
      </c>
      <c r="BY384" s="33">
        <f>IF(SnapshotTable[[#This Row],[SP Is Booked]], SnapshotTable[[#This Row],[SP Qty]] * SnapshotTable[[#This Row],[SP Book Price]] * 100, 0)</f>
        <v>0</v>
      </c>
      <c r="BZ384" s="369"/>
      <c r="CA384" s="368">
        <f>SnapshotTable[[#This Row],[LP Qty]]</f>
        <v>0</v>
      </c>
      <c r="CB384" s="4" t="str">
        <f>IF(SnapshotTable[[#This Row],[SP Is Booked]], SnapshotTable[[#This Row],[SP Strike Price]] - SnapshotTable[[#This Row],[SP Book Price]], "")</f>
        <v/>
      </c>
      <c r="CC384" s="19" t="str">
        <f>IF(SnapshotTable[[#This Row],[SP Is Booked]],SnapshotTable[[#This Row],[SP Exp Date]]-MAX(SnapshotTable[[#This Row],[SP Book Date]], SnapshotTable[[#This Row],[SP Fill Date]]),"")</f>
        <v/>
      </c>
      <c r="CD384" s="7" t="str">
        <f>IF(SnapshotTable[[#This Row],[SP Is Booked]], SnapshotTable[[#This Row],[SP Book Price]]/SnapshotTable[[#This Row],[SP Strike Price]], "")</f>
        <v/>
      </c>
      <c r="CE384" s="7" t="str">
        <f>IF(ISNUMBER(SnapshotTable[[#This Row],[SP ROO Term]]),SnapshotTable[[#This Row],[SP ROO Term]]*(365/SnapshotTable[[#This Row],[SP Term]]),"")</f>
        <v/>
      </c>
      <c r="CF384" s="236">
        <f>SnapshotTable[[#This Row],[LP Strike Price]] * SnapshotTable[[#This Row],[LP Qty]] * 100</f>
        <v>0</v>
      </c>
      <c r="CG384" s="31" t="e">
        <f>IF(ISNUMBER(SnapshotTable[[#This Row],[SP Premium]]), (SnapshotTable[[#This Row],[SP Qty]] * SnapshotTable[[#This Row],[SP Strike Price]]* 100) - SnapshotTable[[#This Row],[LP Protection]], 0)</f>
        <v>#VALUE!</v>
      </c>
      <c r="CH384" s="7" t="str">
        <f>IF(ISNUMBER(SnapshotTable[[#This Row],[SP Break Even]]),-1 * (SnapshotTable[[#This Row],[SP Break Even]] - SnapshotTable[[#This Row],[Last Price]]) / SnapshotTable[[#This Row],[Last Price]], "")</f>
        <v/>
      </c>
      <c r="CI384" s="31">
        <f>IF(AND(ISNUMBER((SnapshotTable[[#This Row],[SP Potential Spend]])), SnapshotTable[[#This Row],[SP Strike Price]] &gt; SnapshotTable[[#This Row],[Last Price]], SnapshotTable[[#This Row],[SP Is Filled]]), SnapshotTable[[#This Row],[SP Potential Spend]] -  SnapshotTable[[#This Row],[LP Max Value]], 0)</f>
        <v>0</v>
      </c>
      <c r="CJ384" s="244">
        <v>0.5</v>
      </c>
      <c r="CK384" s="31" t="str">
        <f>IF(ISNUMBER(SnapshotTable[[#This Row],[SP Potential Spend]]),IF(ISNUMBER(SnapshotTable[[#This Row],[SP POW]]), SnapshotTable[[#This Row],[SP POW]] * SnapshotTable[[#This Row],[SP Potential Spend]], SnapshotTable[[#This Row],[SP Potential Spend]]), "")</f>
        <v/>
      </c>
      <c r="CL384" s="164" t="e">
        <f>IF(NOT(SnapshotTable[[#This Row],[SP Is Filled]]),(SnapshotTable[[#This Row],[SP Qty]] * SnapshotTable[[#This Row],[SP Strike Price]] * 100) - SnapshotTable[[#This Row],[LP Max Value]],"")</f>
        <v>#VALUE!</v>
      </c>
      <c r="CM384" s="31" t="str">
        <f>IF(SnapshotTable[[#This Row],[SP Actual Spend]]&lt;&gt;0, ((SnapshotTable[[#This Row],[SP Strike Price]]-SnapshotTable[[#This Row],[Last Price]]) *(SnapshotTable[[#This Row],[SP Qty]]*100) - SnapshotTable[[#This Row],[SP Premium]]) * - 1, "")</f>
        <v/>
      </c>
      <c r="CN384" s="78"/>
      <c r="CO384" s="369"/>
      <c r="CP384" s="4" t="str">
        <f>IF(SnapshotTable[[#This Row],[SP Is Filled]], btc_max_buyback_amount(SnapshotTable[[#This Row],[SP Fill Date]],SnapshotTable[[#This Row],[SP Exp Date]], SnapshotTable[[#This Row],[SP Book Price]]),"")</f>
        <v/>
      </c>
      <c r="CQ384" s="78"/>
      <c r="CR38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4" s="155" t="str">
        <f>IF(SnapshotTable[[#This Row],[SP Is Filled]], btc_next_cutoff_date(SnapshotTable[[#This Row],[SP Fill Date]],SnapshotTable[[#This Row],[SP Exp Date]]),"")</f>
        <v/>
      </c>
      <c r="CT384" s="235" t="str" cm="1">
        <f t="array" ref="CT384">IF(SnapshotTable[[#This Row],[SP Is Filled]], btc_should_buy_back(SnapshotTable[[#This Row],[SP Fill Date]], SnapshotTable[[#This Row],[SP Exp Date]], SnapshotTable[[#This Row],[SP Book Price]], SnapshotTable[[#This Row],[SP Current Ask]], MockToday, SnapshotTable[[#This Row],[SP Buyback Override]]),"")</f>
        <v/>
      </c>
      <c r="CU384" s="143"/>
      <c r="CV384" s="235"/>
      <c r="CW384" s="378" t="str">
        <f>IF(ISNUMBER( SnapshotTable[[#This Row],[SP Term]]), SnapshotTable[[#This Row],[SP Exp Date]] - MockToday,"")</f>
        <v/>
      </c>
      <c r="CX384" s="31" t="str">
        <f>IF(SnapshotTable[[#This Row],[SP Is Filled]],SnapshotTable[[#This Row],[SP Buyback Price to Use]] * 100 * SnapshotTable[[#This Row],[SP Qty]], "")</f>
        <v/>
      </c>
      <c r="CY384" s="4" t="str">
        <f>IF(ISNUMBER(SnapshotTable[[#This Row],[SP Strike Price]]), SnapshotTable[[#This Row],[SP Strike Price]] * (1 - SP_MaxLoss_StrikePct), "")</f>
        <v/>
      </c>
      <c r="CZ384" s="31" t="str">
        <f>IF(ISNUMBER(SnapshotTable[[#This Row],[SP Strike  Stop Per Share]]),SnapshotTable[[#This Row],[SP Premium]] - ((SnapshotTable[[#This Row],[SP Strike Price]]-SnapshotTable[[#This Row],[SP Strike  Stop Per Share]]) *(SnapshotTable[[#This Row],[SP Qty]] * 100)),"")</f>
        <v/>
      </c>
      <c r="DA384" s="4" t="str">
        <f>IF(AND(ISNUMBER(SnapshotTable[[#This Row],[SP Premium]]),SnapshotTable[[#This Row],[SP Premium]]&gt;0), SnapshotTable[[#This Row],[SP Book Price]] * (1 + SP_MaxLoss_OptionPct), "")</f>
        <v/>
      </c>
      <c r="DB384" s="31" t="str">
        <f>IF(ISNUMBER(SnapshotTable[[#This Row],[SP Option  Stop Contract]]),(SnapshotTable[[#This Row],[SP Option  Stop Contract]] *(SnapshotTable[[#This Row],[SP Qty]] * 100) - SnapshotTable[[#This Row],[SP Premium]]),"")</f>
        <v/>
      </c>
      <c r="DC384" s="4"/>
      <c r="DD384" s="4"/>
      <c r="DE384" s="4" t="str">
        <f>IF(AND(SnapshotTable[[#This Row],[SP Qty]]&gt;0, SnapshotTable[[#This Row],[SP Stop To Use]]&gt;0),SnapshotTable[[#This Row],[SP Premium]] - ( SnapshotTable[[#This Row],[SP Qty]] * SnapshotTable[[#This Row],[SP Stop To Use]] * 100), "")</f>
        <v/>
      </c>
      <c r="DF384" s="31" t="str">
        <f>IF(AND(SnapshotTable[[#This Row],[SP Qty]]&gt;0,SnapshotTable[[#This Row],[SP Current Ask]]&gt;0), SnapshotTable[[#This Row],[SP Qty]] * SnapshotTable[[#This Row],[SP Current Ask]] * -100, "")</f>
        <v/>
      </c>
      <c r="DG384" s="31" t="str">
        <f>IF(ISNUMBER((SnapshotTable[[#This Row],[SP Total Value]])), SnapshotTable[[#This Row],[SP Premium]] + SnapshotTable[[#This Row],[SP Total Value]], "")</f>
        <v/>
      </c>
      <c r="DH384" s="294" t="str">
        <f>IF(ISNUMBER((SnapshotTable[[#This Row],[SP Total Value]])), SnapshotTable[[#This Row],[SP Gain Loss]] / SnapshotTable[[#This Row],[SP Premium]], "")</f>
        <v/>
      </c>
      <c r="DI384" s="406"/>
      <c r="DJ384" s="138"/>
      <c r="DK384" s="148"/>
      <c r="DL384" s="13"/>
      <c r="DM384" s="13"/>
      <c r="DO384" s="31">
        <f>IF(SnapshotTable[[#This Row],[LC Symbol Count]]=1, SnapshotTable[[#This Row],[LC Qty]] * SnapshotTable[[#This Row],[LC Book Price]] * 100, 0)</f>
        <v>0</v>
      </c>
      <c r="DP384" s="163" t="str">
        <f>IF(AND(SnapshotTable[[#This Row],[LC Exp Date]]&gt;0, SnapshotTable[[#This Row],[LC Strike Price]]&gt;0,SnapshotTable[[#This Row],[LC Qty]]&gt;0,SnapshotTable[[#This Row],[LC Book Date]]&gt;0,SnapshotTable[[#This Row],[LC Book Price]]&gt;0,SnapshotTable[[#This Row],[LC Fill Date]]=0),"Y","")</f>
        <v/>
      </c>
      <c r="DQ384" s="386" t="str">
        <f>IF(SnapshotTable[[#This Row],[LC Premium]] &gt; 0,SnapshotTable[[#This Row],[LC Exp Date]]-MAX(SnapshotTable[[#This Row],[LC Book Date]], SnapshotTable[[#This Row],[LC Fill Date]]),"")</f>
        <v/>
      </c>
      <c r="DR384" s="386" t="str">
        <f>IF(ISNUMBER(SnapshotTable[[#This Row],[LC Term]]), SnapshotTable[[#This Row],[LC Exp Date]] - MockToday, "")</f>
        <v/>
      </c>
      <c r="DS384" s="234" t="str">
        <f>IF(SnapshotTable[[#This Row],[LC Premium]]&gt;0,SnapshotTable[[#This Row],[LC Strike Price]] + SnapshotTable[[#This Row],[LC Book Price]],"")</f>
        <v/>
      </c>
      <c r="DU384" s="9" t="str">
        <f>IF(AND(SnapshotTable[[#This Row],[LC Symbol Count]]&gt;0, SnapshotTable[[#This Row],[LC Contract Value]]&gt;0), SnapshotTable[[#This Row],[LC Contract Value]] * SnapshotTable[[#This Row],[LC Qty]] * 100, "")</f>
        <v/>
      </c>
      <c r="DV384" s="9" t="str">
        <f>IF(AND(ISNUMBER(SnapshotTable[[#This Row],[LC Total Value]]), SnapshotTable[[#This Row],[LC Not Filled]]&lt;&gt;"Y"), SnapshotTable[[#This Row],[LC Total Value]]-SnapshotTable[[#This Row],[LC Premium]],"")</f>
        <v/>
      </c>
      <c r="DW384" s="240" t="str">
        <f>IF(ISNUMBER(SnapshotTable[[#This Row],[LC Actual Gain Loss]]), SnapshotTable[[#This Row],[LC Actual Gain Loss]] / SnapshotTable[[#This Row],[LC Premium]],"")</f>
        <v/>
      </c>
      <c r="DX384" s="284" t="str">
        <f>IF(ISNUMBER(SnapshotTable[[#This Row],[LC Book Price]]),SnapshotTable[[#This Row],[LC Book Price]] * 1.5,"")</f>
        <v/>
      </c>
      <c r="DY384" s="265" t="str">
        <f>IF(SnapshotTable[[#This Row],[LC Premium]]&gt;0, SnapshotTable[[#This Row],[LC Next Target]] * SnapshotTable[[#This Row],[LC Qty]] * 100,"")</f>
        <v/>
      </c>
      <c r="DZ384" s="265" t="str">
        <f>IF(ISNUMBER(SnapshotTable[[#This Row],[LC Target Gross]]), SnapshotTable[[#This Row],[LC Target Gross]] - SnapshotTable[[#This Row],[LC Premium]], "")</f>
        <v/>
      </c>
      <c r="EA384" s="305" t="str">
        <f>IF(ISNUMBER(SnapshotTable[[#This Row],[LC Target Gain Loss]]), SnapshotTable[[#This Row],[LC Target Gain Loss]]/SnapshotTable[[#This Row],[LC Premium]], "")</f>
        <v/>
      </c>
      <c r="EB384" s="262"/>
      <c r="EC384" s="283" t="str">
        <f>IF(SnapshotTable[[#This Row],[LC Premium]]&gt;0, SnapshotTable[[#This Row],[LC Book Price]] * (1 - LC_StopLoss_Pct),"")</f>
        <v/>
      </c>
      <c r="ED384" s="284"/>
      <c r="EE384" s="283" t="str">
        <f>IF(ISNUMBER(SnapshotTable[[#This Row],[LC Contract Value]]),IF(ISNUMBER(SnapshotTable[[#This Row],[LC Stop Loss Override]]), SnapshotTable[[#This Row],[LC Stop Loss Override]],SnapshotTable[[#This Row],[LC Stop Loss Calc Target]]),"")</f>
        <v/>
      </c>
      <c r="EF384" s="31" t="str">
        <f>IF(ISNUMBER(SnapshotTable[[#This Row],[LC Stop  To Use]]), (SnapshotTable[[#This Row],[LC Stop  To Use]] * SnapshotTable[[#This Row],[LC Qty]] * 100),"")</f>
        <v/>
      </c>
      <c r="EG384" s="9" t="str">
        <f>IF(ISNUMBER(SnapshotTable[[#This Row],[LC Total Value]]),SnapshotTable[[#This Row],[LC Stop Loss Amount]] - SnapshotTable[[#This Row],[LC Premium]],"")</f>
        <v/>
      </c>
      <c r="EH384" s="9">
        <f>IF(ISNUMBER(SnapshotTable[[#This Row],[LC Premium]]), SnapshotTable[[#This Row],[LC Qty]] * 100 * SnapshotTable[[#This Row],[LC Strike Price]], "")</f>
        <v>0</v>
      </c>
      <c r="EI384" s="240" t="str">
        <f>IF(AND(ISNUMBER(SnapshotTable[[#This Row],[LC Total Value]]),SnapshotTable[[#This Row],[LC Total Value]]&gt;0),SnapshotTable[[#This Row],[LC Stop Gain Loss]]  / SnapshotTable[[#This Row],[LC Premium]],"")</f>
        <v/>
      </c>
      <c r="EJ384" s="35">
        <f>IF(ISNUMBER(SnapshotTable[[#This Row],[Equity Shares]]),TRUNC(SnapshotTable[[#This Row],[Equity Shares]] / 100),0) + SnapshotTable[[#This Row],[LC Qty]]</f>
        <v>0</v>
      </c>
      <c r="EK384" s="147"/>
      <c r="EL384" s="138" t="str">
        <f>IF(SnapshotTable[[#This Row],[SC Exp Date]]&lt;&gt;"",TRUNC(SnapshotTable[[#This Row],[Last Price]]),"")</f>
        <v/>
      </c>
      <c r="EM384" s="148"/>
      <c r="EN384" s="147"/>
      <c r="EO384" s="147"/>
      <c r="EP384" s="138"/>
      <c r="EQ384" s="419" t="b">
        <f>AND(ISNUMBER(SnapshotTable[[#This Row],[SC Exp Date]]), ISNUMBER(SnapshotTable[[#This Row],[SC Strike Price]]), ISNUMBER(SnapshotTable[[#This Row],[SC Qty]]), ISNUMBER(SnapshotTable[[#This Row],[SC Book Date]]), ISNUMBER(SnapshotTable[[#This Row],[SC Book Price]]))</f>
        <v>0</v>
      </c>
      <c r="ER384" s="419" t="b">
        <f>AND(SnapshotTable[[#This Row],[SC Is Booked]], NOT(ISBLANK(SnapshotTable[[#This Row],[SC Fill Date]])))</f>
        <v>0</v>
      </c>
      <c r="ES384" s="370"/>
      <c r="ET384" s="34" t="str">
        <f>IF(AND(ISNUMBER(SnapshotTable[[#This Row],[SC Exp Date]]), ISNUMBER(SnapshotTable[[#This Row],[SC Book Date]])), SnapshotTable[[#This Row],[SC Exp Date]] - MAX(SnapshotTable[[#This Row],[SC Book Date]], SnapshotTable[[#This Row],[SC Fill Date]]) + 1, "")</f>
        <v/>
      </c>
      <c r="EU384" s="34" t="str">
        <f>IF(ISNUMBER(SnapshotTable[[#This Row],[SC Term]]), SnapshotTable[[#This Row],[SC Exp Date]]- MockToday, "")</f>
        <v/>
      </c>
      <c r="EV384" s="31">
        <f>IF(SnapshotTable[[#This Row],[SC Is Booked]], SnapshotTable[[#This Row],[SC Qty]] * SnapshotTable[[#This Row],[SC Book Price]] * 100, 0)</f>
        <v>0</v>
      </c>
      <c r="EW384" s="4" t="str">
        <f>IF(AND(ISNUMBER(SnapshotTable[[#This Row],[Last Price]]), ISNUMBER( SnapshotTable[[#This Row],[SC Book Price]])), SnapshotTable[[#This Row],[Last Price]] - SnapshotTable[[#This Row],[SC Book Price]],"")</f>
        <v/>
      </c>
      <c r="EX384" s="234" t="str">
        <f>IF(SnapshotTable[[#This Row],[SC Is Booked]],IF(SnapshotTable[[#This Row],[SC Intrinsic Value]] &gt; 0, SnapshotTable[[#This Row],[SC Strike Price]], SnapshotTable[[#This Row],[Last Price]]), "")</f>
        <v/>
      </c>
      <c r="EY384" s="4">
        <f>IF(SnapshotTable[[#This Row],[SC Is Booked]], (MinimumPremiumRequired * SnapshotTable[[#This Row],[SC Basis]] * SnapshotTable[[#This Row],[SC Term]]), 0)</f>
        <v>0</v>
      </c>
      <c r="EZ384" s="283"/>
      <c r="FA384" s="218"/>
      <c r="FB384" s="370"/>
      <c r="FC384" s="4">
        <f>IF(SnapshotTable[[#This Row],[SC Is Filled]], btc_max_buyback_amount(SnapshotTable[[#This Row],[SC Fill Date]],SnapshotTable[[#This Row],[SC Exp Date]], SnapshotTable[[#This Row],[SC Book Price]]),0)</f>
        <v>0</v>
      </c>
      <c r="FD384" s="5"/>
      <c r="FE384" s="144" t="str">
        <f>IF(SnapshotTable[[#This Row],[SC Is Filled]], btc_next_cutoff_date(SnapshotTable[[#This Row],[SC Fill Date]],SnapshotTable[[#This Row],[SC Exp Date]]),"")</f>
        <v/>
      </c>
      <c r="FF384" s="4" t="str" cm="1">
        <f t="array" ref="FF384">IF(SnapshotTable[[#This Row],[SC Is Filled]], btc_should_buy_back(SnapshotTable[[#This Row],[SC Fill Date]], SnapshotTable[[#This Row],[SC Exp Date]], SnapshotTable[[#This Row],[SC Book Price]], SnapshotTable[[#This Row],[SC Current Ask]], MockToday, SnapshotTable[[#This Row],[SC Buyback Override]]),"")</f>
        <v/>
      </c>
      <c r="FG384" s="4">
        <f>IF(SnapshotTable[[#This Row],[SC Is Filled]], MAX(0,SnapshotTable[[#This Row],[Last Price]]  - SnapshotTable[[#This Row],[SC Strike Price]]), 0)</f>
        <v>0</v>
      </c>
      <c r="FH384" s="382">
        <f>IF(SnapshotTable[[#This Row],[SC Is Filled]], IF(ISNUMBER(SnapshotTable[[#This Row],[SC Current Ask]]), SnapshotTable[[#This Row],[SC Current Ask]], SnapshotTable[[#This Row],[SC Book Price]]) - SnapshotTable[[#This Row],[SC Intrinsic Value]], 0)</f>
        <v>0</v>
      </c>
      <c r="FI384" s="143"/>
      <c r="FJ384" s="32" t="str">
        <f>IF(SnapshotTable[[#This Row],[SC Is Filled]],100 * SnapshotTable[[#This Row],[SC Qty]] * IF(ISNUMBER(SnapshotTable[[#This Row],[SC Buyback Override]]), SnapshotTable[[#This Row],[SC Buyback Override]], SnapshotTable[[#This Row],[SC Current Ask]]), "")</f>
        <v/>
      </c>
      <c r="FK384" s="250" t="str">
        <f>IF(SnapshotTable[[#This Row],[SC Time Val]]&gt;0, SnapshotTable[[#This Row],[SC Time Val]] / SnapshotTable[[#This Row],[Last Price]],"")</f>
        <v/>
      </c>
      <c r="FL384" s="302" t="str">
        <f>IF(SnapshotTable[[#This Row],[SC Is Booked]], ((SnapshotTable[[#This Row],[Last Price]] -SnapshotTable[[#This Row],[SC Strike Price]]) / SnapshotTable[[#This Row],[Last Price]]) * -1, "")</f>
        <v/>
      </c>
      <c r="FM384" s="157" t="str">
        <f>IF(SnapshotTable[[#This Row],[SC Is Booked]],  (SnapshotTable[[#This Row],[SC Qty]] * 100 * SnapshotTable[[#This Row],[SC Strike Price]]) - SnapshotTable[[#This Row],[SC Current Ask]], "")</f>
        <v/>
      </c>
      <c r="FN38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4" s="31" t="str">
        <f>IF(AND(ISNUMBER(SnapshotTable[[#This Row],[SC Exercise Gross]]), ISNUMBER(SnapshotTable[[#This Row],[Equity Basis Per Share]] )), SnapshotTable[[#This Row],[SC Exercise Gross]] - SnapshotTable[[#This Row],[Equity Basis Total]] +  SnapshotTable[[#This Row],[SC Premium]], "")</f>
        <v/>
      </c>
      <c r="FP384" s="5" t="str">
        <f>IF(ISNUMBER(SnapshotTable[[#This Row],[SC Exercise Gross]]), (SnapshotTable[[#This Row],[SC Exercise Gross]]) / (SnapshotTable[[#This Row],[SC Qty]] * 100), "")</f>
        <v/>
      </c>
      <c r="FQ384" s="27" t="str">
        <f>IF(SnapshotTable[[#This Row],[SC Is Booked]],SnapshotTable[[#This Row],[SC Time Val]] /SnapshotTable[[#This Row],[SC Basis]], "")</f>
        <v/>
      </c>
      <c r="FR384" s="27" t="str" cm="1">
        <f t="array" ref="FR384">IF(AND(ISNUMBER(SnapshotTable[[#This Row],[SC Term]]),ISNUMBER(SnapshotTable[[#This Row],[SC Simple ROO]])), EllmanAnnualize(SnapshotTable[[#This Row],[SC DTE]], SnapshotTable[[#This Row],[SC Simple ROO]] ),"")</f>
        <v/>
      </c>
      <c r="FS384" s="4" t="e">
        <f>IF(SnapshotTable[[#This Row],[SC Strike Price]] &gt; SnapshotTable[[#This Row],[Last Price]], SnapshotTable[[#This Row],[SC Strike Price]] - SnapshotTable[[#This Row],[Last Price]],0)</f>
        <v>#VALUE!</v>
      </c>
      <c r="FT384" s="27" t="e">
        <f>IF(AND(ISNUMBER(SnapshotTable[[#This Row],[SC Upside Potential]]), SnapshotTable[[#This Row],[SC Upside Potential]] &gt; 0),(SnapshotTable[[#This Row],[SC Upside Potential]]/ SnapshotTable[[#This Row],[ACB]]),"")</f>
        <v>#VALUE!</v>
      </c>
      <c r="FU384" s="333" t="str">
        <f>IF(SnapshotTable[[#This Row],[SC Intrinsic Value]] &gt; 0,SnapshotTable[[#This Row],[SC Intrinsic Value]],"")</f>
        <v/>
      </c>
      <c r="FV384" s="27" t="str">
        <f>IF(AND( ISNUMBER( SnapshotTable[[#This Row],[ACB]]),ISNUMBER(SnapshotTable[[#This Row],[SC Downside Protect]])),SnapshotTable[[#This Row],[SC Downside Protect]] / SnapshotTable[[#This Row],[ACB]],"")</f>
        <v/>
      </c>
      <c r="FW384" s="236" t="str">
        <f>IF(AND(ISNUMBER(SnapshotTable[[#This Row],[SC Simple ROO]]),SnapshotTable[[#This Row],[SC Simple ROO]] &gt; 0), SnapshotTable[[#This Row],[SC Premium]] + (SnapshotTable[[#This Row],[SC Qty]] * SnapshotTable[[#This Row],[SC Upside Potential]]), "")</f>
        <v/>
      </c>
      <c r="FX384" s="302" t="str" cm="1">
        <f t="array" ref="FX384">IF(ISNUMBER(SnapshotTable[[#This Row],[SC Max Dollars]]), annualize(SnapshotTable[[#This Row],[SC Term]],(SnapshotTable[[#This Row],[SC Max Dollars]]/SnapshotTable[[#This Row],[SC Basis]])),"")</f>
        <v/>
      </c>
      <c r="FY384" s="236" t="str">
        <f>IF(AND(SnapshotTable[[#This Row],[SC Qty]]&gt;0,SnapshotTable[[#This Row],[SC Current Ask]]&gt;0), SnapshotTable[[#This Row],[SC Qty]] * SnapshotTable[[#This Row],[SC Current Ask]] * -100, "")</f>
        <v/>
      </c>
      <c r="FZ384" s="31" t="str">
        <f>IF(ISNUMBER((SnapshotTable[[#This Row],[SC Current Value]])), SnapshotTable[[#This Row],[SC Premium]] + SnapshotTable[[#This Row],[SC Current Value]], "")</f>
        <v/>
      </c>
      <c r="GA384" s="294" t="str">
        <f>IFERROR( IF(ISNUMBER((SnapshotTable[[#This Row],[SC Current Value]])), SnapshotTable[[#This Row],[SC Gain Loss]] / SnapshotTable[[#This Row],[SC Premium]], ""), "")</f>
        <v/>
      </c>
      <c r="GB384" s="42">
        <f>SnapshotTable[[#This Row],[Equity Shares]] * SaleSharesToConsiderPercentage</f>
        <v>0</v>
      </c>
      <c r="GC384" s="40">
        <f>SnapshotTable[[#This Row],[Long Term Target]] * SellingPriceToConsiderBasedOnTargetPercentage</f>
        <v>218.8135</v>
      </c>
      <c r="GD384" s="40">
        <f>SnapshotTable[[#This Row],[Last Price]] * (1+ SellingPriceToConsiderBasedOnTargetPercentage)</f>
        <v>277.40699999999998</v>
      </c>
      <c r="GE384" s="41"/>
      <c r="GF384" s="40"/>
      <c r="GG384" s="31">
        <f>SnapshotTable[[#This Row],[Booked Sale Shares]] * SnapshotTable[[#This Row],[Booked Sale Price]]</f>
        <v>0</v>
      </c>
      <c r="GH384" s="31" t="str">
        <f>IF(SnapshotTable[[#This Row],[Equity Basis Total]] &gt; 0, SnapshotTable[[#This Row],[Equity Basis Per Share]] * SnapshotTable[[#This Row],[Booked Sale Shares]], "")</f>
        <v/>
      </c>
      <c r="GI384" s="31">
        <f>IF(SnapshotTable[[#This Row],[Sale Proceeds]]&gt;0, SnapshotTable[[#This Row],[Sale Proceeds]] - SnapshotTable[[#This Row],[Sale Basis]], 0)</f>
        <v>0</v>
      </c>
      <c r="GJ384" s="27" t="str">
        <f>IF(SnapshotTable[[#This Row],[Sale G/L]]&gt;0, SnapshotTable[[#This Row],[Sale G/L]] / SnapshotTable[[#This Row],[Sale Basis]], IF(ISNUMBER(SnapshotTable[[#This Row],[SC Exercise P&amp;L (TAX)]]), SnapshotTable[[#This Row],[SC Exercise P&amp;L (TAX)]] / SnapshotTable[[#This Row],[SC Basis]], ""))</f>
        <v/>
      </c>
      <c r="GK384" s="27"/>
      <c r="GL384" s="43" t="str">
        <f>IF(AND(SnapshotTable[[#This Row],[LP Exp Date]]&gt;0,SnapshotTable[[#This Row],[LP Strike Price]]&gt;0), [1]!ToOptionSymbol(SnapshotTable[[#This Row],[Symbol]], SnapshotTable[[#This Row],[LP Strike Price]],SnapshotTable[[#This Row],[LP Exp Date]],1), "")</f>
        <v/>
      </c>
      <c r="GM384" s="30" t="str">
        <f>IF(LEN(SnapshotTable[[#This Row],[LP Symbol]])&gt;0, 1, "")</f>
        <v/>
      </c>
      <c r="GN384" s="43" t="str">
        <f>IF(AND(SnapshotTable[[#This Row],[SP Exp Date]]&gt;0,SnapshotTable[[#This Row],[SP Strike Price]]&gt;0), [1]!ToOptionSymbol(SnapshotTable[[#This Row],[Symbol]], SnapshotTable[[#This Row],[SP Strike Price]],SnapshotTable[[#This Row],[SP Exp Date]],1), "")</f>
        <v/>
      </c>
      <c r="GO384" s="30" t="str">
        <f>IF(LEN(SnapshotTable[[#This Row],[SP Symbol]])&gt;0, 1, "")</f>
        <v/>
      </c>
      <c r="GP384" s="43" t="str">
        <f>IF(AND(SnapshotTable[[#This Row],[LC Exp Date]]&gt;0,SnapshotTable[[#This Row],[LC Strike Price]]&gt;0), [1]!ToOptionSymbol(SnapshotTable[[#This Row],[Symbol]], SnapshotTable[[#This Row],[LC Strike Price]],SnapshotTable[[#This Row],[LC Exp Date]],0), "")</f>
        <v/>
      </c>
      <c r="GQ384" s="30" t="str">
        <f>IF(LEN(SnapshotTable[[#This Row],[LC Symbol]])&gt;0, 1, "")</f>
        <v/>
      </c>
      <c r="GR384" s="43" t="str">
        <f>IF(AND(SnapshotTable[[#This Row],[SC Exp Date]]&gt;0,SnapshotTable[[#This Row],[SC Strike Price]]&gt;0), [1]!ToOptionSymbol(SnapshotTable[[#This Row],[Symbol]], SnapshotTable[[#This Row],[SC Strike Price]],SnapshotTable[[#This Row],[SC Exp Date]],0), "")</f>
        <v/>
      </c>
      <c r="GS384" s="30" t="str">
        <f>IF(LEN(SnapshotTable[[#This Row],[SC Symbol]])&gt;0, 1, "")</f>
        <v/>
      </c>
      <c r="GT384" s="29" t="str">
        <f>IF(COUNT(SnapshotTable[[#This Row],[LP Symbol Count]],SnapshotTable[[#This Row],[SP Symbol Count]],SnapshotTable[[#This Row],[LC Symbol Count]],SnapshotTable[[#This Row],[SC Symbol Count]])&gt;0, "Y", "")</f>
        <v/>
      </c>
      <c r="GU38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4" s="231" t="e">
        <f>MAX(SnapshotTable[[#This Row],[Equity Basis Total]],SnapshotTable[[#This Row],[Equity Value]]) + (SnapshotTable[[#This Row],[SP Potential Spend]]- SnapshotTable[[#This Row],[SP Premium]] + SnapshotTable[[#This Row],[LP Premium]])+ (SnapshotTable[[#This Row],[LC Premium]] - SnapshotTable[[#This Row],[SC Premium]])</f>
        <v>#VALUE!</v>
      </c>
      <c r="GW384" s="139" t="e">
        <f>IF(AND(SnapshotTable[[#This Row],[Exposure]] &lt;&gt; 0),SnapshotTable[[#This Row],[Exposure]] / SnapshotTable[[#Totals],[Exposure]], "")</f>
        <v>#VALUE!</v>
      </c>
      <c r="GX384" s="2"/>
      <c r="GY384" s="387"/>
      <c r="GZ384"/>
      <c r="HA384" s="2"/>
      <c r="HB384" s="2"/>
      <c r="HK384" s="1"/>
      <c r="HL384" s="1"/>
      <c r="HM384" s="1"/>
      <c r="HN384" s="1"/>
      <c r="HO384" s="1"/>
      <c r="HP384" s="1"/>
    </row>
    <row r="385" spans="2:224" ht="12.75" hidden="1" customHeight="1" x14ac:dyDescent="0.25">
      <c r="B385" s="12" t="s">
        <v>504</v>
      </c>
      <c r="C385" s="422">
        <v>14.05</v>
      </c>
      <c r="D385" s="208"/>
      <c r="E385" s="39">
        <f>SnapshotTable[[#This Row],[Last Price]]*(1 -CrashDiscount)</f>
        <v>11.942500000000001</v>
      </c>
      <c r="F385" s="26" t="s">
        <v>230</v>
      </c>
      <c r="G385" s="26" t="s">
        <v>9</v>
      </c>
      <c r="H385" s="149"/>
      <c r="I385" s="194">
        <v>44797.666666666664</v>
      </c>
      <c r="J385" s="195">
        <v>44797.666666666664</v>
      </c>
      <c r="K385" s="196"/>
      <c r="L385" s="326"/>
      <c r="M385" s="140"/>
      <c r="N385" s="140"/>
      <c r="O385" s="140"/>
      <c r="P385" s="22"/>
      <c r="Q385" s="25"/>
      <c r="R385" s="4" t="str">
        <f>IF(SnapshotTable[[#This Row],[Equity Basis Total]] &gt; 0, SnapshotTable[[#This Row],[Equity Basis Total]] / SnapshotTable[[#This Row],[Equity Shares]], "")</f>
        <v/>
      </c>
      <c r="S385" s="269">
        <f>SnapshotTable[[#This Row],[Last Price]] * SnapshotTable[[#This Row],[Equity Shares]]</f>
        <v>0</v>
      </c>
      <c r="T385" s="269">
        <f>SnapshotTable[[#This Row],[Equity Value]] - SnapshotTable[[#This Row],[Equity Basis Total]]</f>
        <v>0</v>
      </c>
      <c r="U385" s="270" t="str">
        <f>IF(SnapshotTable[[#This Row],[Equity Basis Total]] &gt; 0, SnapshotTable[[#This Row],[Equity G/L]] / SnapshotTable[[#This Row],[Equity Basis Total]], "")</f>
        <v/>
      </c>
      <c r="V385" s="268"/>
      <c r="W385" s="268"/>
      <c r="X385" s="4" t="str">
        <f>IF(AND(ISNUMBER(SnapshotTable[[#This Row],[Equity Basis Per Share]]),ISNUMBER(SnapshotTable[[#This Row],[Equity Target]])),SnapshotTable[[#This Row],[Equity Target]]-SnapshotTable[[#This Row],[Equity Basis Per Share]],"")</f>
        <v/>
      </c>
      <c r="Y385" s="4" t="str">
        <f>IF(AND(ISNUMBER(SnapshotTable[[#This Row],[Equity Basis Per Share]]),ISNUMBER(SnapshotTable[[#This Row],[Equity Stop Loss]])),SnapshotTable[[#This Row],[Equity Stop Loss]]-SnapshotTable[[#This Row],[Equity Basis Per Share]],"")</f>
        <v/>
      </c>
      <c r="Z385" s="275" t="str">
        <f>IFERROR( TEXT(SnapshotTable[[#This Row],[Equity Max Gain Per Share]] /ABS( SnapshotTable[[#This Row],[Equity Max Loss Per Share]]),"0.0 " ) &amp; " : 1", "")</f>
        <v/>
      </c>
      <c r="AA385" s="31" t="str">
        <f>IF(ISNUMBER(SnapshotTable[[#This Row],[Equity Max Gain Per Share]]),SnapshotTable[[#This Row],[Equity Max Gain Per Share]] * SnapshotTable[[#This Row],[Equity Shares]],"")</f>
        <v/>
      </c>
      <c r="AB385" s="31" t="str">
        <f>IF(ISNUMBER(SnapshotTable[[#This Row],[Equity Max Loss Per Share]]),SnapshotTable[[#This Row],[Equity Max Loss Per Share]] * SnapshotTable[[#This Row],[Equity Shares]],"")</f>
        <v/>
      </c>
      <c r="AC385" s="150"/>
      <c r="AD385" s="151"/>
      <c r="AE385" s="31">
        <f>(SnapshotTable[[#This Row],[Annual Dividend Per Share]] / 4) * SnapshotTable[[#This Row],[Equity Shares]]</f>
        <v>0</v>
      </c>
      <c r="AF385" s="31">
        <f>SnapshotTable[[#This Row],[Quarterly Div $]] * 4</f>
        <v>0</v>
      </c>
      <c r="AG385" s="7">
        <f>IF(SnapshotTable[[#This Row],[Annual Dividend Per Share]]&gt;0, SnapshotTable[[#This Row],[Annual Dividend Per Share]]  / SnapshotTable[[#This Row],[Last Price]], 0)</f>
        <v>0</v>
      </c>
      <c r="AH385" s="151"/>
      <c r="AI385" s="5"/>
      <c r="AJ385" s="138">
        <v>11.92</v>
      </c>
      <c r="AK385" s="152" t="str">
        <f>IF(ISNUMBER( SnapshotTable[[#This Row],[EBF Target]]),(SnapshotTable[[#This Row],[EBF Target]] - SnapshotTable[[#This Row],[Last Price]]) / SnapshotTable[[#This Row],[Last Price]], "")</f>
        <v/>
      </c>
      <c r="AL385" s="152" t="str">
        <f>IF(AND(SnapshotTable[[#This Row],[Equity Basis Total]] &gt; 0,ISNUMBER( SnapshotTable[[#This Row],[Long Term Target]])), SnapshotTable[[#This Row],[From Basis $]] / SnapshotTable[[#This Row],[Equity Basis Total]], "")</f>
        <v/>
      </c>
      <c r="AM385" s="9">
        <f>IF( AND(SnapshotTable[[#This Row],[Equity Shares]] &gt;0,ISNUMBER( SnapshotTable[[#This Row],[Long Term Target]])),(SnapshotTable[[#This Row],[Equity Shares]] * SnapshotTable[[#This Row],[Long Term Target]]) - SnapshotTable[[#This Row],[Equity Basis Total]],0)</f>
        <v>0</v>
      </c>
      <c r="AN385" s="9">
        <f>IF( AND(SnapshotTable[[#This Row],[Equity Shares]] &gt;0,ISNUMBER( SnapshotTable[[#This Row],[Long Term Target]])),(SnapshotTable[[#This Row],[Equity Shares]]*SnapshotTable[[#This Row],[Long Term Target]]) - SnapshotTable[[#This Row],[Equity Value]],0)</f>
        <v>0</v>
      </c>
      <c r="AO385" s="152">
        <f>IF(AND(ISNUMBER( SnapshotTable[[#This Row],[Long Term Target]]), ISNUMBER(SnapshotTable[[#This Row],[Last Price]])),(SnapshotTable[[#This Row],[Long Term Target]] - SnapshotTable[[#This Row],[Last Price]]) / SnapshotTable[[#This Row],[Last Price]], "")</f>
        <v>-0.15160142348754455</v>
      </c>
      <c r="AP385" s="5">
        <v>17.5</v>
      </c>
      <c r="AQ385" s="38" t="s">
        <v>38</v>
      </c>
      <c r="AR385" s="5">
        <v>17.5</v>
      </c>
      <c r="AS385" s="38" t="s">
        <v>26</v>
      </c>
      <c r="AT385" s="146"/>
      <c r="AU385" s="187" t="str">
        <f>IF(OR(SnapshotTable[[#This Row],[LP No Fill]]="Y",SnapshotTable[[#This Row],[SP Is Filled]],SnapshotTable[[#This Row],[LC Not Filled]]="Y",SnapshotTable[[#This Row],[SC Is Filled]]),"Y","")</f>
        <v/>
      </c>
      <c r="AV385" s="219"/>
      <c r="AW385" s="225"/>
      <c r="AX385" s="220"/>
      <c r="AY385" s="219" t="str">
        <f>IF(SnapshotTable[[#This Row],[Implied Move]]&gt;0, SnapshotTable[[#This Row],[Last Price]]-SnapshotTable[[#This Row],[Implied Move]],"")</f>
        <v/>
      </c>
      <c r="AZ385" s="219" t="str">
        <f>IF(SnapshotTable[[#This Row],[Implied Move]]&gt;0, SnapshotTable[[#This Row],[Last Price]] + SnapshotTable[[#This Row],[Implied Move]],"")</f>
        <v/>
      </c>
      <c r="BA385" s="331"/>
      <c r="BB385" s="347"/>
      <c r="BC38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5" s="351"/>
      <c r="BE385" s="5"/>
      <c r="BF385" s="14"/>
      <c r="BG385" s="13"/>
      <c r="BH385" s="13"/>
      <c r="BI385" s="5"/>
      <c r="BJ385" s="136">
        <f>IF(SnapshotTable[[#This Row],[LP Qty]] &gt; 0, SnapshotTable[[#This Row],[LP Qty]] * SnapshotTable[[#This Row],[LP Book Price]] * 100,0)</f>
        <v>0</v>
      </c>
      <c r="BK385" s="136">
        <f>IF(SnapshotTable[[#This Row],[LP Premium]] &gt; 0, SnapshotTable[[#This Row],[LP Qty]] * SnapshotTable[[#This Row],[LP Strike Price]] * 100,0)</f>
        <v>0</v>
      </c>
      <c r="BL385" s="154"/>
      <c r="BM385" s="385" t="str">
        <f>IF(SnapshotTable[[#This Row],[LP Premium]] &gt; 0,SnapshotTable[[#This Row],[LP Exp Date]]-MAX(SnapshotTable[[#This Row],[LP Book Date]], SnapshotTable[[#This Row],[LP Fill Date]]),"")</f>
        <v/>
      </c>
      <c r="BN385" s="385" t="str">
        <f>IF(ISNUMBER( SnapshotTable[[#This Row],[LP Term]]), SnapshotTable[[#This Row],[LP Exp Date]] - MockToday,"")</f>
        <v/>
      </c>
      <c r="BO385" s="163" t="str">
        <f>IF(AND(SnapshotTable[[#This Row],[LP Exp Date]]&gt;0, SnapshotTable[[#This Row],[LP Strike Price]]&gt;0,SnapshotTable[[#This Row],[LP Qty]]&gt;0,SnapshotTable[[#This Row],[LP Book Date]]&gt;0,SnapshotTable[[#This Row],[LP Book Price]]&gt;0,SnapshotTable[[#This Row],[LP Fill Date]]=0),"Y","")</f>
        <v/>
      </c>
      <c r="BP385" s="31" t="str">
        <f>IF(AND(SnapshotTable[[#This Row],[LP No Fill]]&lt;&gt;"Y",SnapshotTable[[#This Row],[LP Contract Value]]&gt;0, SnapshotTable[[#This Row],[LP Qty]]&gt;0), SnapshotTable[[#This Row],[LP Contract Value]]*SnapshotTable[[#This Row],[LP Qty]]*100,"")</f>
        <v/>
      </c>
      <c r="BQ385" s="13"/>
      <c r="BR385" s="5" t="str">
        <f>IF(SnapshotTable[[#This Row],[SP Exp Date]]&lt;&gt;"",TRUNC(SnapshotTable[[#This Row],[Last Price]]),"")</f>
        <v/>
      </c>
      <c r="BS385" s="36"/>
      <c r="BT385" s="147"/>
      <c r="BU385" s="13"/>
      <c r="BV385" s="5"/>
      <c r="BW385" s="419" t="b">
        <f>AND(ISNUMBER(SnapshotTable[[#This Row],[SP Exp Date]]), ISNUMBER(SnapshotTable[[#This Row],[SP Strike Price]]), ISNUMBER(SnapshotTable[[#This Row],[SP Qty]]), ISNUMBER(SnapshotTable[[#This Row],[SP Book Date]]), ISNUMBER(SnapshotTable[[#This Row],[SP Book Price]]))</f>
        <v>0</v>
      </c>
      <c r="BX385" s="419" t="b">
        <f>AND(SnapshotTable[[#This Row],[SP Is Booked]], NOT(ISBLANK(SnapshotTable[[#This Row],[SP Fill Date]])))</f>
        <v>0</v>
      </c>
      <c r="BY385" s="33">
        <f>IF(SnapshotTable[[#This Row],[SP Is Booked]], SnapshotTable[[#This Row],[SP Qty]] * SnapshotTable[[#This Row],[SP Book Price]] * 100, 0)</f>
        <v>0</v>
      </c>
      <c r="BZ385" s="369"/>
      <c r="CA385" s="368">
        <f>SnapshotTable[[#This Row],[LP Qty]]</f>
        <v>0</v>
      </c>
      <c r="CB385" s="4" t="str">
        <f>IF(SnapshotTable[[#This Row],[SP Is Booked]], SnapshotTable[[#This Row],[SP Strike Price]] - SnapshotTable[[#This Row],[SP Book Price]], "")</f>
        <v/>
      </c>
      <c r="CC385" s="19" t="str">
        <f>IF(SnapshotTable[[#This Row],[SP Is Booked]],SnapshotTable[[#This Row],[SP Exp Date]]-MAX(SnapshotTable[[#This Row],[SP Book Date]], SnapshotTable[[#This Row],[SP Fill Date]]),"")</f>
        <v/>
      </c>
      <c r="CD385" s="7" t="str">
        <f>IF(SnapshotTable[[#This Row],[SP Is Booked]], SnapshotTable[[#This Row],[SP Book Price]]/SnapshotTable[[#This Row],[SP Strike Price]], "")</f>
        <v/>
      </c>
      <c r="CE385" s="7" t="str">
        <f>IF(ISNUMBER(SnapshotTable[[#This Row],[SP ROO Term]]),SnapshotTable[[#This Row],[SP ROO Term]]*(365/SnapshotTable[[#This Row],[SP Term]]),"")</f>
        <v/>
      </c>
      <c r="CF385" s="236">
        <f>SnapshotTable[[#This Row],[LP Strike Price]] * SnapshotTable[[#This Row],[LP Qty]] * 100</f>
        <v>0</v>
      </c>
      <c r="CG385" s="31" t="e">
        <f>IF(ISNUMBER(SnapshotTable[[#This Row],[SP Premium]]), (SnapshotTable[[#This Row],[SP Qty]] * SnapshotTable[[#This Row],[SP Strike Price]]* 100) - SnapshotTable[[#This Row],[LP Protection]], 0)</f>
        <v>#VALUE!</v>
      </c>
      <c r="CH385" s="7" t="str">
        <f>IF(ISNUMBER(SnapshotTable[[#This Row],[SP Break Even]]),-1 * (SnapshotTable[[#This Row],[SP Break Even]] - SnapshotTable[[#This Row],[Last Price]]) / SnapshotTable[[#This Row],[Last Price]], "")</f>
        <v/>
      </c>
      <c r="CI385" s="31">
        <f>IF(AND(ISNUMBER((SnapshotTable[[#This Row],[SP Potential Spend]])), SnapshotTable[[#This Row],[SP Strike Price]] &gt; SnapshotTable[[#This Row],[Last Price]], SnapshotTable[[#This Row],[SP Is Filled]]), SnapshotTable[[#This Row],[SP Potential Spend]] -  SnapshotTable[[#This Row],[LP Max Value]], 0)</f>
        <v>0</v>
      </c>
      <c r="CJ385" s="244"/>
      <c r="CK385" s="31" t="str">
        <f>IF(ISNUMBER(SnapshotTable[[#This Row],[SP Potential Spend]]),IF(ISNUMBER(SnapshotTable[[#This Row],[SP POW]]), SnapshotTable[[#This Row],[SP POW]] * SnapshotTable[[#This Row],[SP Potential Spend]], SnapshotTable[[#This Row],[SP Potential Spend]]), "")</f>
        <v/>
      </c>
      <c r="CL385" s="164" t="e">
        <f>IF(NOT(SnapshotTable[[#This Row],[SP Is Filled]]),(SnapshotTable[[#This Row],[SP Qty]] * SnapshotTable[[#This Row],[SP Strike Price]] * 100) - SnapshotTable[[#This Row],[LP Max Value]],"")</f>
        <v>#VALUE!</v>
      </c>
      <c r="CM385" s="31" t="str">
        <f>IF(SnapshotTable[[#This Row],[SP Actual Spend]]&lt;&gt;0, ((SnapshotTable[[#This Row],[SP Strike Price]]-SnapshotTable[[#This Row],[Last Price]]) *(SnapshotTable[[#This Row],[SP Qty]]*100) - SnapshotTable[[#This Row],[SP Premium]]) * - 1, "")</f>
        <v/>
      </c>
      <c r="CN385" s="78"/>
      <c r="CO385" s="369"/>
      <c r="CP385" s="4" t="str">
        <f>IF(SnapshotTable[[#This Row],[SP Is Filled]], btc_max_buyback_amount(SnapshotTable[[#This Row],[SP Fill Date]],SnapshotTable[[#This Row],[SP Exp Date]], SnapshotTable[[#This Row],[SP Book Price]]),"")</f>
        <v/>
      </c>
      <c r="CQ385" s="78"/>
      <c r="CR38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5" s="155" t="str">
        <f>IF(SnapshotTable[[#This Row],[SP Is Filled]], btc_next_cutoff_date(SnapshotTable[[#This Row],[SP Fill Date]],SnapshotTable[[#This Row],[SP Exp Date]]),"")</f>
        <v/>
      </c>
      <c r="CT385" s="235" t="str" cm="1">
        <f t="array" ref="CT385">IF(SnapshotTable[[#This Row],[SP Is Filled]], btc_should_buy_back(SnapshotTable[[#This Row],[SP Fill Date]], SnapshotTable[[#This Row],[SP Exp Date]], SnapshotTable[[#This Row],[SP Book Price]], SnapshotTable[[#This Row],[SP Current Ask]], MockToday, SnapshotTable[[#This Row],[SP Buyback Override]]),"")</f>
        <v/>
      </c>
      <c r="CU385" s="143"/>
      <c r="CV385" s="235"/>
      <c r="CW385" s="378" t="str">
        <f>IF(ISNUMBER( SnapshotTable[[#This Row],[SP Term]]), SnapshotTable[[#This Row],[SP Exp Date]] - MockToday,"")</f>
        <v/>
      </c>
      <c r="CX385" s="31" t="str">
        <f>IF(SnapshotTable[[#This Row],[SP Is Filled]],SnapshotTable[[#This Row],[SP Buyback Price to Use]] * 100 * SnapshotTable[[#This Row],[SP Qty]], "")</f>
        <v/>
      </c>
      <c r="CY385" s="4" t="str">
        <f>IF(ISNUMBER(SnapshotTable[[#This Row],[SP Strike Price]]), SnapshotTable[[#This Row],[SP Strike Price]] * (1 - SP_MaxLoss_StrikePct), "")</f>
        <v/>
      </c>
      <c r="CZ385" s="31" t="str">
        <f>IF(ISNUMBER(SnapshotTable[[#This Row],[SP Strike  Stop Per Share]]),SnapshotTable[[#This Row],[SP Premium]] - ((SnapshotTable[[#This Row],[SP Strike Price]]-SnapshotTable[[#This Row],[SP Strike  Stop Per Share]]) *(SnapshotTable[[#This Row],[SP Qty]] * 100)),"")</f>
        <v/>
      </c>
      <c r="DA385" s="4" t="str">
        <f>IF(AND(ISNUMBER(SnapshotTable[[#This Row],[SP Premium]]),SnapshotTable[[#This Row],[SP Premium]]&gt;0), SnapshotTable[[#This Row],[SP Book Price]] * (1 + SP_MaxLoss_OptionPct), "")</f>
        <v/>
      </c>
      <c r="DB385" s="31" t="str">
        <f>IF(ISNUMBER(SnapshotTable[[#This Row],[SP Option  Stop Contract]]),(SnapshotTable[[#This Row],[SP Option  Stop Contract]] *(SnapshotTable[[#This Row],[SP Qty]] * 100) - SnapshotTable[[#This Row],[SP Premium]]),"")</f>
        <v/>
      </c>
      <c r="DC385" s="4"/>
      <c r="DD385" s="4"/>
      <c r="DE385" s="4" t="str">
        <f>IF(AND(SnapshotTable[[#This Row],[SP Qty]]&gt;0, SnapshotTable[[#This Row],[SP Stop To Use]]&gt;0),SnapshotTable[[#This Row],[SP Premium]] - ( SnapshotTable[[#This Row],[SP Qty]] * SnapshotTable[[#This Row],[SP Stop To Use]] * 100), "")</f>
        <v/>
      </c>
      <c r="DF385" s="31" t="str">
        <f>IF(AND(SnapshotTable[[#This Row],[SP Qty]]&gt;0,SnapshotTable[[#This Row],[SP Current Ask]]&gt;0), SnapshotTable[[#This Row],[SP Qty]] * SnapshotTable[[#This Row],[SP Current Ask]] * -100, "")</f>
        <v/>
      </c>
      <c r="DG385" s="31" t="str">
        <f>IF(ISNUMBER((SnapshotTable[[#This Row],[SP Total Value]])), SnapshotTable[[#This Row],[SP Premium]] + SnapshotTable[[#This Row],[SP Total Value]], "")</f>
        <v/>
      </c>
      <c r="DH385" s="294" t="str">
        <f>IF(ISNUMBER((SnapshotTable[[#This Row],[SP Total Value]])), SnapshotTable[[#This Row],[SP Gain Loss]] / SnapshotTable[[#This Row],[SP Premium]], "")</f>
        <v/>
      </c>
      <c r="DI385" s="406"/>
      <c r="DJ385" s="138"/>
      <c r="DK385" s="148"/>
      <c r="DL385" s="13"/>
      <c r="DM385" s="13"/>
      <c r="DO385" s="31">
        <f>IF(SnapshotTable[[#This Row],[LC Symbol Count]]=1, SnapshotTable[[#This Row],[LC Qty]] * SnapshotTable[[#This Row],[LC Book Price]] * 100, 0)</f>
        <v>0</v>
      </c>
      <c r="DP385" s="163" t="str">
        <f>IF(AND(SnapshotTable[[#This Row],[LC Exp Date]]&gt;0, SnapshotTable[[#This Row],[LC Strike Price]]&gt;0,SnapshotTable[[#This Row],[LC Qty]]&gt;0,SnapshotTable[[#This Row],[LC Book Date]]&gt;0,SnapshotTable[[#This Row],[LC Book Price]]&gt;0,SnapshotTable[[#This Row],[LC Fill Date]]=0),"Y","")</f>
        <v/>
      </c>
      <c r="DQ385" s="386" t="str">
        <f>IF(SnapshotTable[[#This Row],[LC Premium]] &gt; 0,SnapshotTable[[#This Row],[LC Exp Date]]-MAX(SnapshotTable[[#This Row],[LC Book Date]], SnapshotTable[[#This Row],[LC Fill Date]]),"")</f>
        <v/>
      </c>
      <c r="DR385" s="386" t="str">
        <f>IF(ISNUMBER(SnapshotTable[[#This Row],[LC Term]]), SnapshotTable[[#This Row],[LC Exp Date]] - MockToday, "")</f>
        <v/>
      </c>
      <c r="DS385" s="234" t="str">
        <f>IF(SnapshotTable[[#This Row],[LC Premium]]&gt;0,SnapshotTable[[#This Row],[LC Strike Price]] + SnapshotTable[[#This Row],[LC Book Price]],"")</f>
        <v/>
      </c>
      <c r="DU385" s="9" t="str">
        <f>IF(AND(SnapshotTable[[#This Row],[LC Symbol Count]]&gt;0, SnapshotTable[[#This Row],[LC Contract Value]]&gt;0), SnapshotTable[[#This Row],[LC Contract Value]] * SnapshotTable[[#This Row],[LC Qty]] * 100, "")</f>
        <v/>
      </c>
      <c r="DV385" s="9" t="str">
        <f>IF(AND(ISNUMBER(SnapshotTable[[#This Row],[LC Total Value]]), SnapshotTable[[#This Row],[LC Not Filled]]&lt;&gt;"Y"), SnapshotTable[[#This Row],[LC Total Value]]-SnapshotTable[[#This Row],[LC Premium]],"")</f>
        <v/>
      </c>
      <c r="DW385" s="240" t="str">
        <f>IF(ISNUMBER(SnapshotTable[[#This Row],[LC Actual Gain Loss]]), SnapshotTable[[#This Row],[LC Actual Gain Loss]] / SnapshotTable[[#This Row],[LC Premium]],"")</f>
        <v/>
      </c>
      <c r="DX385" s="284" t="str">
        <f>IF(ISNUMBER(SnapshotTable[[#This Row],[LC Book Price]]),SnapshotTable[[#This Row],[LC Book Price]] * 1.5,"")</f>
        <v/>
      </c>
      <c r="DY385" s="265" t="str">
        <f>IF(SnapshotTable[[#This Row],[LC Premium]]&gt;0, SnapshotTable[[#This Row],[LC Next Target]] * SnapshotTable[[#This Row],[LC Qty]] * 100,"")</f>
        <v/>
      </c>
      <c r="DZ385" s="265" t="str">
        <f>IF(ISNUMBER(SnapshotTable[[#This Row],[LC Target Gross]]), SnapshotTable[[#This Row],[LC Target Gross]] - SnapshotTable[[#This Row],[LC Premium]], "")</f>
        <v/>
      </c>
      <c r="EA385" s="305" t="str">
        <f>IF(ISNUMBER(SnapshotTable[[#This Row],[LC Target Gain Loss]]), SnapshotTable[[#This Row],[LC Target Gain Loss]]/SnapshotTable[[#This Row],[LC Premium]], "")</f>
        <v/>
      </c>
      <c r="EB385" s="262"/>
      <c r="EC385" s="283" t="str">
        <f>IF(SnapshotTable[[#This Row],[LC Premium]]&gt;0, SnapshotTable[[#This Row],[LC Book Price]] * (1 - LC_StopLoss_Pct),"")</f>
        <v/>
      </c>
      <c r="ED385" s="284"/>
      <c r="EE385" s="283" t="str">
        <f>IF(ISNUMBER(SnapshotTable[[#This Row],[LC Contract Value]]),IF(ISNUMBER(SnapshotTable[[#This Row],[LC Stop Loss Override]]), SnapshotTable[[#This Row],[LC Stop Loss Override]],SnapshotTable[[#This Row],[LC Stop Loss Calc Target]]),"")</f>
        <v/>
      </c>
      <c r="EF385" s="31" t="str">
        <f>IF(ISNUMBER(SnapshotTable[[#This Row],[LC Stop  To Use]]), (SnapshotTable[[#This Row],[LC Stop  To Use]] * SnapshotTable[[#This Row],[LC Qty]] * 100),"")</f>
        <v/>
      </c>
      <c r="EG385" s="9" t="str">
        <f>IF(ISNUMBER(SnapshotTable[[#This Row],[LC Total Value]]),SnapshotTable[[#This Row],[LC Stop Loss Amount]] - SnapshotTable[[#This Row],[LC Premium]],"")</f>
        <v/>
      </c>
      <c r="EH385" s="9">
        <f>IF(ISNUMBER(SnapshotTable[[#This Row],[LC Premium]]), SnapshotTable[[#This Row],[LC Qty]] * 100 * SnapshotTable[[#This Row],[LC Strike Price]], "")</f>
        <v>0</v>
      </c>
      <c r="EI385" s="240" t="str">
        <f>IF(AND(ISNUMBER(SnapshotTable[[#This Row],[LC Total Value]]),SnapshotTable[[#This Row],[LC Total Value]]&gt;0),SnapshotTable[[#This Row],[LC Stop Gain Loss]]  / SnapshotTable[[#This Row],[LC Premium]],"")</f>
        <v/>
      </c>
      <c r="EJ385" s="35">
        <f>IF(ISNUMBER(SnapshotTable[[#This Row],[Equity Shares]]),TRUNC(SnapshotTable[[#This Row],[Equity Shares]] / 100),0) + SnapshotTable[[#This Row],[LC Qty]]</f>
        <v>0</v>
      </c>
      <c r="EK385" s="147"/>
      <c r="EL385" s="138" t="str">
        <f>IF(SnapshotTable[[#This Row],[SC Exp Date]]&lt;&gt;"",TRUNC(SnapshotTable[[#This Row],[Last Price]]),"")</f>
        <v/>
      </c>
      <c r="EM385" s="148"/>
      <c r="EN385" s="147"/>
      <c r="EO385" s="147"/>
      <c r="EP385" s="138"/>
      <c r="EQ385" s="419" t="b">
        <f>AND(ISNUMBER(SnapshotTable[[#This Row],[SC Exp Date]]), ISNUMBER(SnapshotTable[[#This Row],[SC Strike Price]]), ISNUMBER(SnapshotTable[[#This Row],[SC Qty]]), ISNUMBER(SnapshotTable[[#This Row],[SC Book Date]]), ISNUMBER(SnapshotTable[[#This Row],[SC Book Price]]))</f>
        <v>0</v>
      </c>
      <c r="ER385" s="419" t="b">
        <f>AND(SnapshotTable[[#This Row],[SC Is Booked]], NOT(ISBLANK(SnapshotTable[[#This Row],[SC Fill Date]])))</f>
        <v>0</v>
      </c>
      <c r="ES385" s="370"/>
      <c r="ET385" s="34" t="str">
        <f>IF(AND(ISNUMBER(SnapshotTable[[#This Row],[SC Exp Date]]), ISNUMBER(SnapshotTable[[#This Row],[SC Book Date]])), SnapshotTable[[#This Row],[SC Exp Date]] - MAX(SnapshotTable[[#This Row],[SC Book Date]], SnapshotTable[[#This Row],[SC Fill Date]]) + 1, "")</f>
        <v/>
      </c>
      <c r="EU385" s="34" t="str">
        <f>IF(ISNUMBER(SnapshotTable[[#This Row],[SC Term]]), SnapshotTable[[#This Row],[SC Exp Date]]- MockToday, "")</f>
        <v/>
      </c>
      <c r="EV385" s="31">
        <f>IF(SnapshotTable[[#This Row],[SC Is Booked]], SnapshotTable[[#This Row],[SC Qty]] * SnapshotTable[[#This Row],[SC Book Price]] * 100, 0)</f>
        <v>0</v>
      </c>
      <c r="EW385" s="4" t="str">
        <f>IF(AND(ISNUMBER(SnapshotTable[[#This Row],[Last Price]]), ISNUMBER( SnapshotTable[[#This Row],[SC Book Price]])), SnapshotTable[[#This Row],[Last Price]] - SnapshotTable[[#This Row],[SC Book Price]],"")</f>
        <v/>
      </c>
      <c r="EX385" s="234" t="str">
        <f>IF(SnapshotTable[[#This Row],[SC Is Booked]],IF(SnapshotTable[[#This Row],[SC Intrinsic Value]] &gt; 0, SnapshotTable[[#This Row],[SC Strike Price]], SnapshotTable[[#This Row],[Last Price]]), "")</f>
        <v/>
      </c>
      <c r="EY385" s="4">
        <f>IF(SnapshotTable[[#This Row],[SC Is Booked]], (MinimumPremiumRequired * SnapshotTable[[#This Row],[SC Basis]] * SnapshotTable[[#This Row],[SC Term]]), 0)</f>
        <v>0</v>
      </c>
      <c r="EZ385" s="283"/>
      <c r="FA385" s="218"/>
      <c r="FB385" s="370"/>
      <c r="FC385" s="4">
        <f>IF(SnapshotTable[[#This Row],[SC Is Filled]], btc_max_buyback_amount(SnapshotTable[[#This Row],[SC Fill Date]],SnapshotTable[[#This Row],[SC Exp Date]], SnapshotTable[[#This Row],[SC Book Price]]),0)</f>
        <v>0</v>
      </c>
      <c r="FD385" s="5"/>
      <c r="FE385" s="144" t="str">
        <f>IF(SnapshotTable[[#This Row],[SC Is Filled]], btc_next_cutoff_date(SnapshotTable[[#This Row],[SC Fill Date]],SnapshotTable[[#This Row],[SC Exp Date]]),"")</f>
        <v/>
      </c>
      <c r="FF385" s="4" t="str" cm="1">
        <f t="array" ref="FF385">IF(SnapshotTable[[#This Row],[SC Is Filled]], btc_should_buy_back(SnapshotTable[[#This Row],[SC Fill Date]], SnapshotTable[[#This Row],[SC Exp Date]], SnapshotTable[[#This Row],[SC Book Price]], SnapshotTable[[#This Row],[SC Current Ask]], MockToday, SnapshotTable[[#This Row],[SC Buyback Override]]),"")</f>
        <v/>
      </c>
      <c r="FG385" s="4">
        <f>IF(SnapshotTable[[#This Row],[SC Is Filled]], MAX(0,SnapshotTable[[#This Row],[Last Price]]  - SnapshotTable[[#This Row],[SC Strike Price]]), 0)</f>
        <v>0</v>
      </c>
      <c r="FH385" s="382">
        <f>IF(SnapshotTable[[#This Row],[SC Is Filled]], IF(ISNUMBER(SnapshotTable[[#This Row],[SC Current Ask]]), SnapshotTable[[#This Row],[SC Current Ask]], SnapshotTable[[#This Row],[SC Book Price]]) - SnapshotTable[[#This Row],[SC Intrinsic Value]], 0)</f>
        <v>0</v>
      </c>
      <c r="FI385" s="143"/>
      <c r="FJ385" s="32" t="str">
        <f>IF(SnapshotTable[[#This Row],[SC Is Filled]],100 * SnapshotTable[[#This Row],[SC Qty]] * IF(ISNUMBER(SnapshotTable[[#This Row],[SC Buyback Override]]), SnapshotTable[[#This Row],[SC Buyback Override]], SnapshotTable[[#This Row],[SC Current Ask]]), "")</f>
        <v/>
      </c>
      <c r="FK385" s="250" t="str">
        <f>IF(SnapshotTable[[#This Row],[SC Time Val]]&gt;0, SnapshotTable[[#This Row],[SC Time Val]] / SnapshotTable[[#This Row],[Last Price]],"")</f>
        <v/>
      </c>
      <c r="FL385" s="302" t="str">
        <f>IF(SnapshotTable[[#This Row],[SC Is Booked]], ((SnapshotTable[[#This Row],[Last Price]] -SnapshotTable[[#This Row],[SC Strike Price]]) / SnapshotTable[[#This Row],[Last Price]]) * -1, "")</f>
        <v/>
      </c>
      <c r="FM385" s="157" t="str">
        <f>IF(SnapshotTable[[#This Row],[SC Is Booked]],  (SnapshotTable[[#This Row],[SC Qty]] * 100 * SnapshotTable[[#This Row],[SC Strike Price]]) - SnapshotTable[[#This Row],[SC Current Ask]], "")</f>
        <v/>
      </c>
      <c r="FN38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5" s="31" t="str">
        <f>IF(AND(ISNUMBER(SnapshotTable[[#This Row],[SC Exercise Gross]]), ISNUMBER(SnapshotTable[[#This Row],[Equity Basis Per Share]] )), SnapshotTable[[#This Row],[SC Exercise Gross]] - SnapshotTable[[#This Row],[Equity Basis Total]] +  SnapshotTable[[#This Row],[SC Premium]], "")</f>
        <v/>
      </c>
      <c r="FP385" s="5" t="str">
        <f>IF(ISNUMBER(SnapshotTable[[#This Row],[SC Exercise Gross]]), (SnapshotTable[[#This Row],[SC Exercise Gross]]) / (SnapshotTable[[#This Row],[SC Qty]] * 100), "")</f>
        <v/>
      </c>
      <c r="FQ385" s="27" t="str">
        <f>IF(SnapshotTable[[#This Row],[SC Is Booked]],SnapshotTable[[#This Row],[SC Time Val]] /SnapshotTable[[#This Row],[SC Basis]], "")</f>
        <v/>
      </c>
      <c r="FR385" s="27" t="str" cm="1">
        <f t="array" ref="FR385">IF(AND(ISNUMBER(SnapshotTable[[#This Row],[SC Term]]),ISNUMBER(SnapshotTable[[#This Row],[SC Simple ROO]])), EllmanAnnualize(SnapshotTable[[#This Row],[SC DTE]], SnapshotTable[[#This Row],[SC Simple ROO]] ),"")</f>
        <v/>
      </c>
      <c r="FS385" s="4" t="e">
        <f>IF(SnapshotTable[[#This Row],[SC Strike Price]] &gt; SnapshotTable[[#This Row],[Last Price]], SnapshotTable[[#This Row],[SC Strike Price]] - SnapshotTable[[#This Row],[Last Price]],0)</f>
        <v>#VALUE!</v>
      </c>
      <c r="FT385" s="27" t="e">
        <f>IF(AND(ISNUMBER(SnapshotTable[[#This Row],[SC Upside Potential]]), SnapshotTable[[#This Row],[SC Upside Potential]] &gt; 0),(SnapshotTable[[#This Row],[SC Upside Potential]]/ SnapshotTable[[#This Row],[ACB]]),"")</f>
        <v>#VALUE!</v>
      </c>
      <c r="FU385" s="333" t="str">
        <f>IF(SnapshotTable[[#This Row],[SC Intrinsic Value]] &gt; 0,SnapshotTable[[#This Row],[SC Intrinsic Value]],"")</f>
        <v/>
      </c>
      <c r="FV385" s="27" t="str">
        <f>IF(AND( ISNUMBER( SnapshotTable[[#This Row],[ACB]]),ISNUMBER(SnapshotTable[[#This Row],[SC Downside Protect]])),SnapshotTable[[#This Row],[SC Downside Protect]] / SnapshotTable[[#This Row],[ACB]],"")</f>
        <v/>
      </c>
      <c r="FW385" s="236" t="str">
        <f>IF(AND(ISNUMBER(SnapshotTable[[#This Row],[SC Simple ROO]]),SnapshotTable[[#This Row],[SC Simple ROO]] &gt; 0), SnapshotTable[[#This Row],[SC Premium]] + (SnapshotTable[[#This Row],[SC Qty]] * SnapshotTable[[#This Row],[SC Upside Potential]]), "")</f>
        <v/>
      </c>
      <c r="FX385" s="302" t="str" cm="1">
        <f t="array" ref="FX385">IF(ISNUMBER(SnapshotTable[[#This Row],[SC Max Dollars]]), annualize(SnapshotTable[[#This Row],[SC Term]],(SnapshotTable[[#This Row],[SC Max Dollars]]/SnapshotTable[[#This Row],[SC Basis]])),"")</f>
        <v/>
      </c>
      <c r="FY385" s="236" t="str">
        <f>IF(AND(SnapshotTable[[#This Row],[SC Qty]]&gt;0,SnapshotTable[[#This Row],[SC Current Ask]]&gt;0), SnapshotTable[[#This Row],[SC Qty]] * SnapshotTable[[#This Row],[SC Current Ask]] * -100, "")</f>
        <v/>
      </c>
      <c r="FZ385" s="31" t="str">
        <f>IF(ISNUMBER((SnapshotTable[[#This Row],[SC Current Value]])), SnapshotTable[[#This Row],[SC Premium]] + SnapshotTable[[#This Row],[SC Current Value]], "")</f>
        <v/>
      </c>
      <c r="GA385" s="294" t="str">
        <f>IFERROR( IF(ISNUMBER((SnapshotTable[[#This Row],[SC Current Value]])), SnapshotTable[[#This Row],[SC Gain Loss]] / SnapshotTable[[#This Row],[SC Premium]], ""), "")</f>
        <v/>
      </c>
      <c r="GB385" s="42">
        <f>SnapshotTable[[#This Row],[Equity Shares]] * SaleSharesToConsiderPercentage</f>
        <v>0</v>
      </c>
      <c r="GC385" s="40">
        <f>SnapshotTable[[#This Row],[Long Term Target]] * SellingPriceToConsiderBasedOnTargetPercentage</f>
        <v>11.324</v>
      </c>
      <c r="GD385" s="40">
        <f>SnapshotTable[[#This Row],[Last Price]] * (1+ SellingPriceToConsiderBasedOnTargetPercentage)</f>
        <v>27.397500000000001</v>
      </c>
      <c r="GE385" s="41"/>
      <c r="GF385" s="40"/>
      <c r="GG385" s="31">
        <f>SnapshotTable[[#This Row],[Booked Sale Shares]] * SnapshotTable[[#This Row],[Booked Sale Price]]</f>
        <v>0</v>
      </c>
      <c r="GH385" s="31" t="str">
        <f>IF(SnapshotTable[[#This Row],[Equity Basis Total]] &gt; 0, SnapshotTable[[#This Row],[Equity Basis Per Share]] * SnapshotTable[[#This Row],[Booked Sale Shares]], "")</f>
        <v/>
      </c>
      <c r="GI385" s="31">
        <f>IF(SnapshotTable[[#This Row],[Sale Proceeds]]&gt;0, SnapshotTable[[#This Row],[Sale Proceeds]] - SnapshotTable[[#This Row],[Sale Basis]], 0)</f>
        <v>0</v>
      </c>
      <c r="GJ385" s="27" t="str">
        <f>IF(SnapshotTable[[#This Row],[Sale G/L]]&gt;0, SnapshotTable[[#This Row],[Sale G/L]] / SnapshotTable[[#This Row],[Sale Basis]], IF(ISNUMBER(SnapshotTable[[#This Row],[SC Exercise P&amp;L (TAX)]]), SnapshotTable[[#This Row],[SC Exercise P&amp;L (TAX)]] / SnapshotTable[[#This Row],[SC Basis]], ""))</f>
        <v/>
      </c>
      <c r="GK385" s="27" t="s">
        <v>811</v>
      </c>
      <c r="GL385" s="43" t="str">
        <f>IF(AND(SnapshotTable[[#This Row],[LP Exp Date]]&gt;0,SnapshotTable[[#This Row],[LP Strike Price]]&gt;0), [1]!ToOptionSymbol(SnapshotTable[[#This Row],[Symbol]], SnapshotTable[[#This Row],[LP Strike Price]],SnapshotTable[[#This Row],[LP Exp Date]],1), "")</f>
        <v/>
      </c>
      <c r="GM385" s="30" t="str">
        <f>IF(LEN(SnapshotTable[[#This Row],[LP Symbol]])&gt;0, 1, "")</f>
        <v/>
      </c>
      <c r="GN385" s="43" t="str">
        <f>IF(AND(SnapshotTable[[#This Row],[SP Exp Date]]&gt;0,SnapshotTable[[#This Row],[SP Strike Price]]&gt;0), [1]!ToOptionSymbol(SnapshotTable[[#This Row],[Symbol]], SnapshotTable[[#This Row],[SP Strike Price]],SnapshotTable[[#This Row],[SP Exp Date]],1), "")</f>
        <v/>
      </c>
      <c r="GO385" s="30" t="str">
        <f>IF(LEN(SnapshotTable[[#This Row],[SP Symbol]])&gt;0, 1, "")</f>
        <v/>
      </c>
      <c r="GP385" s="43" t="str">
        <f>IF(AND(SnapshotTable[[#This Row],[LC Exp Date]]&gt;0,SnapshotTable[[#This Row],[LC Strike Price]]&gt;0), [1]!ToOptionSymbol(SnapshotTable[[#This Row],[Symbol]], SnapshotTable[[#This Row],[LC Strike Price]],SnapshotTable[[#This Row],[LC Exp Date]],0), "")</f>
        <v/>
      </c>
      <c r="GQ385" s="30" t="str">
        <f>IF(LEN(SnapshotTable[[#This Row],[LC Symbol]])&gt;0, 1, "")</f>
        <v/>
      </c>
      <c r="GR385" s="43" t="str">
        <f>IF(AND(SnapshotTable[[#This Row],[SC Exp Date]]&gt;0,SnapshotTable[[#This Row],[SC Strike Price]]&gt;0), [1]!ToOptionSymbol(SnapshotTable[[#This Row],[Symbol]], SnapshotTable[[#This Row],[SC Strike Price]],SnapshotTable[[#This Row],[SC Exp Date]],0), "")</f>
        <v/>
      </c>
      <c r="GS385" s="30" t="str">
        <f>IF(LEN(SnapshotTable[[#This Row],[SC Symbol]])&gt;0, 1, "")</f>
        <v/>
      </c>
      <c r="GT385" s="29" t="str">
        <f>IF(COUNT(SnapshotTable[[#This Row],[LP Symbol Count]],SnapshotTable[[#This Row],[SP Symbol Count]],SnapshotTable[[#This Row],[LC Symbol Count]],SnapshotTable[[#This Row],[SC Symbol Count]])&gt;0, "Y", "")</f>
        <v/>
      </c>
      <c r="GU38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5" s="231" t="e">
        <f>MAX(SnapshotTable[[#This Row],[Equity Basis Total]],SnapshotTable[[#This Row],[Equity Value]]) + (SnapshotTable[[#This Row],[SP Potential Spend]]- SnapshotTable[[#This Row],[SP Premium]] + SnapshotTable[[#This Row],[LP Premium]])+ (SnapshotTable[[#This Row],[LC Premium]] - SnapshotTable[[#This Row],[SC Premium]])</f>
        <v>#VALUE!</v>
      </c>
      <c r="GW385" s="139" t="e">
        <f>IF(AND(SnapshotTable[[#This Row],[Exposure]] &lt;&gt; 0),SnapshotTable[[#This Row],[Exposure]] / SnapshotTable[[#Totals],[Exposure]], "")</f>
        <v>#VALUE!</v>
      </c>
      <c r="GX385" s="5"/>
      <c r="HE385" s="268"/>
      <c r="HF385" s="268"/>
      <c r="HK385" s="1"/>
      <c r="HL385" s="1"/>
      <c r="HM385" s="1"/>
      <c r="HN385" s="1"/>
      <c r="HO385" s="1"/>
      <c r="HP385" s="1"/>
    </row>
    <row r="386" spans="2:224" ht="12.75" hidden="1" customHeight="1" x14ac:dyDescent="0.25">
      <c r="B386" s="12" t="s">
        <v>1228</v>
      </c>
      <c r="C386" s="422">
        <v>0.39460000000000001</v>
      </c>
      <c r="D386" s="208"/>
      <c r="E386" s="39">
        <f>SnapshotTable[[#This Row],[Last Price]]*(1 -CrashDiscount)</f>
        <v>0.33540999999999999</v>
      </c>
      <c r="F386" s="325" t="s">
        <v>937</v>
      </c>
      <c r="G386" s="325" t="s">
        <v>4</v>
      </c>
      <c r="H386" s="149"/>
      <c r="I386" s="194"/>
      <c r="J386" s="195"/>
      <c r="K386" s="196"/>
      <c r="L386" s="327"/>
      <c r="M386" s="140"/>
      <c r="N386" s="140"/>
      <c r="O386" s="140"/>
      <c r="P386" s="22">
        <v>1000</v>
      </c>
      <c r="Q386" s="25">
        <v>886.95</v>
      </c>
      <c r="R386" s="4">
        <f>IF(SnapshotTable[[#This Row],[Equity Basis Total]] &gt; 0, SnapshotTable[[#This Row],[Equity Basis Total]] / SnapshotTable[[#This Row],[Equity Shares]], "")</f>
        <v>0.88695000000000002</v>
      </c>
      <c r="S386" s="329">
        <f>SnapshotTable[[#This Row],[Last Price]] * SnapshotTable[[#This Row],[Equity Shares]]</f>
        <v>394.6</v>
      </c>
      <c r="T386" s="269">
        <f>SnapshotTable[[#This Row],[Equity Value]] - SnapshotTable[[#This Row],[Equity Basis Total]]</f>
        <v>-492.35</v>
      </c>
      <c r="U386" s="270">
        <f>IF(SnapshotTable[[#This Row],[Equity Basis Total]] &gt; 0, SnapshotTable[[#This Row],[Equity G/L]] / SnapshotTable[[#This Row],[Equity Basis Total]], "")</f>
        <v>-0.55510457184734197</v>
      </c>
      <c r="V386" s="268"/>
      <c r="W386" s="268"/>
      <c r="X386" s="4" t="str">
        <f>IF(AND(ISNUMBER(SnapshotTable[[#This Row],[Equity Basis Per Share]]),ISNUMBER(SnapshotTable[[#This Row],[Equity Target]])),SnapshotTable[[#This Row],[Equity Target]]-SnapshotTable[[#This Row],[Equity Basis Per Share]],"")</f>
        <v/>
      </c>
      <c r="Y386" s="4" t="str">
        <f>IF(AND(ISNUMBER(SnapshotTable[[#This Row],[Equity Basis Per Share]]),ISNUMBER(SnapshotTable[[#This Row],[Equity Stop Loss]])),SnapshotTable[[#This Row],[Equity Stop Loss]]-SnapshotTable[[#This Row],[Equity Basis Per Share]],"")</f>
        <v/>
      </c>
      <c r="Z386" s="275" t="str">
        <f>IFERROR( TEXT(SnapshotTable[[#This Row],[Equity Max Gain Per Share]] /ABS( SnapshotTable[[#This Row],[Equity Max Loss Per Share]]),"0.0 " ) &amp; " : 1", "")</f>
        <v/>
      </c>
      <c r="AA386" s="31" t="str">
        <f>IF(ISNUMBER(SnapshotTable[[#This Row],[Equity Max Gain Per Share]]),SnapshotTable[[#This Row],[Equity Max Gain Per Share]] * SnapshotTable[[#This Row],[Equity Shares]],"")</f>
        <v/>
      </c>
      <c r="AB386" s="31" t="str">
        <f>IF(ISNUMBER(SnapshotTable[[#This Row],[Equity Max Loss Per Share]]),SnapshotTable[[#This Row],[Equity Max Loss Per Share]] * SnapshotTable[[#This Row],[Equity Shares]],"")</f>
        <v/>
      </c>
      <c r="AC386" s="150"/>
      <c r="AD386" s="151"/>
      <c r="AE386" s="31">
        <f>(SnapshotTable[[#This Row],[Annual Dividend Per Share]] / 4) * SnapshotTable[[#This Row],[Equity Shares]]</f>
        <v>0</v>
      </c>
      <c r="AF386" s="31">
        <f>SnapshotTable[[#This Row],[Quarterly Div $]] * 4</f>
        <v>0</v>
      </c>
      <c r="AG386" s="7">
        <f>IF(SnapshotTable[[#This Row],[Annual Dividend Per Share]]&gt;0, SnapshotTable[[#This Row],[Annual Dividend Per Share]]  / SnapshotTable[[#This Row],[Last Price]], 0)</f>
        <v>0</v>
      </c>
      <c r="AH386" s="151"/>
      <c r="AI386" s="330"/>
      <c r="AJ386" s="138"/>
      <c r="AK386" s="152" t="str">
        <f>IF(ISNUMBER( SnapshotTable[[#This Row],[EBF Target]]),(SnapshotTable[[#This Row],[EBF Target]] - SnapshotTable[[#This Row],[Last Price]]) / SnapshotTable[[#This Row],[Last Price]], "")</f>
        <v/>
      </c>
      <c r="AL386" s="152" t="str">
        <f>IF(AND(SnapshotTable[[#This Row],[Equity Basis Total]] &gt; 0,ISNUMBER( SnapshotTable[[#This Row],[Long Term Target]])), SnapshotTable[[#This Row],[From Basis $]] / SnapshotTable[[#This Row],[Equity Basis Total]], "")</f>
        <v/>
      </c>
      <c r="AM386" s="9">
        <f>IF( AND(SnapshotTable[[#This Row],[Equity Shares]] &gt;0,ISNUMBER( SnapshotTable[[#This Row],[Long Term Target]])),(SnapshotTable[[#This Row],[Equity Shares]] * SnapshotTable[[#This Row],[Long Term Target]]) - SnapshotTable[[#This Row],[Equity Basis Total]],0)</f>
        <v>0</v>
      </c>
      <c r="AN386" s="9">
        <f>IF( AND(SnapshotTable[[#This Row],[Equity Shares]] &gt;0,ISNUMBER( SnapshotTable[[#This Row],[Long Term Target]])),(SnapshotTable[[#This Row],[Equity Shares]]*SnapshotTable[[#This Row],[Long Term Target]]) - SnapshotTable[[#This Row],[Equity Value]],0)</f>
        <v>0</v>
      </c>
      <c r="AO386" s="152" t="str">
        <f>IF(AND(ISNUMBER( SnapshotTable[[#This Row],[Long Term Target]]), ISNUMBER(SnapshotTable[[#This Row],[Last Price]])),(SnapshotTable[[#This Row],[Long Term Target]] - SnapshotTable[[#This Row],[Last Price]]) / SnapshotTable[[#This Row],[Last Price]], "")</f>
        <v/>
      </c>
      <c r="AP386" s="5"/>
      <c r="AQ386" s="38"/>
      <c r="AR386" s="5"/>
      <c r="AS386" s="38"/>
      <c r="AT386" s="146" t="s">
        <v>1132</v>
      </c>
      <c r="AU386" s="187" t="str">
        <f>IF(OR(SnapshotTable[[#This Row],[LP No Fill]]="Y",SnapshotTable[[#This Row],[SP Is Filled]],SnapshotTable[[#This Row],[LC Not Filled]]="Y",SnapshotTable[[#This Row],[SC Is Filled]]),"Y","")</f>
        <v/>
      </c>
      <c r="AV386" s="338" t="s">
        <v>1138</v>
      </c>
      <c r="AW386" s="339"/>
      <c r="AX386" s="220"/>
      <c r="AY386" s="219" t="str">
        <f>IF(SnapshotTable[[#This Row],[Implied Move]]&gt;0, SnapshotTable[[#This Row],[Last Price]]-SnapshotTable[[#This Row],[Implied Move]],"")</f>
        <v/>
      </c>
      <c r="AZ386" s="219" t="str">
        <f>IF(SnapshotTable[[#This Row],[Implied Move]]&gt;0, SnapshotTable[[#This Row],[Last Price]] + SnapshotTable[[#This Row],[Implied Move]],"")</f>
        <v/>
      </c>
      <c r="BA386" s="331">
        <v>2.95</v>
      </c>
      <c r="BB386" s="347"/>
      <c r="BC38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6" s="351"/>
      <c r="BE386" s="138"/>
      <c r="BF386" s="166"/>
      <c r="BG386" s="167"/>
      <c r="BH386" s="167"/>
      <c r="BI386" s="221"/>
      <c r="BJ386" s="153">
        <f>IF(SnapshotTable[[#This Row],[LP Qty]] &gt; 0, SnapshotTable[[#This Row],[LP Qty]] * SnapshotTable[[#This Row],[LP Book Price]] * 100,0)</f>
        <v>0</v>
      </c>
      <c r="BK386" s="136">
        <f>IF(SnapshotTable[[#This Row],[LP Premium]] &gt; 0, SnapshotTable[[#This Row],[LP Qty]] * SnapshotTable[[#This Row],[LP Strike Price]] * 100,0)</f>
        <v>0</v>
      </c>
      <c r="BL386" s="154"/>
      <c r="BM386" s="385" t="str">
        <f>IF(SnapshotTable[[#This Row],[LP Premium]] &gt; 0,SnapshotTable[[#This Row],[LP Exp Date]]-MAX(SnapshotTable[[#This Row],[LP Book Date]], SnapshotTable[[#This Row],[LP Fill Date]]),"")</f>
        <v/>
      </c>
      <c r="BN386" s="385" t="str">
        <f>IF(ISNUMBER( SnapshotTable[[#This Row],[LP Term]]), SnapshotTable[[#This Row],[LP Exp Date]] - MockToday,"")</f>
        <v/>
      </c>
      <c r="BO386" s="163" t="str">
        <f>IF(AND(SnapshotTable[[#This Row],[LP Exp Date]]&gt;0, SnapshotTable[[#This Row],[LP Strike Price]]&gt;0,SnapshotTable[[#This Row],[LP Qty]]&gt;0,SnapshotTable[[#This Row],[LP Book Date]]&gt;0,SnapshotTable[[#This Row],[LP Book Price]]&gt;0,SnapshotTable[[#This Row],[LP Fill Date]]=0),"Y","")</f>
        <v/>
      </c>
      <c r="BP386" s="31" t="str">
        <f>IF(AND(SnapshotTable[[#This Row],[LP No Fill]]&lt;&gt;"Y",SnapshotTable[[#This Row],[LP Contract Value]]&gt;0, SnapshotTable[[#This Row],[LP Qty]]&gt;0), SnapshotTable[[#This Row],[LP Contract Value]]*SnapshotTable[[#This Row],[LP Qty]]*100,"")</f>
        <v/>
      </c>
      <c r="BQ386" s="13"/>
      <c r="BR386" s="5" t="str">
        <f>IF(SnapshotTable[[#This Row],[SP Exp Date]]&lt;&gt;"",TRUNC(SnapshotTable[[#This Row],[Last Price]]),"")</f>
        <v/>
      </c>
      <c r="BS386" s="36"/>
      <c r="BT386" s="147"/>
      <c r="BU386" s="13"/>
      <c r="BV386" s="5"/>
      <c r="BW386" s="419" t="b">
        <f>AND(ISNUMBER(SnapshotTable[[#This Row],[SP Exp Date]]), ISNUMBER(SnapshotTable[[#This Row],[SP Strike Price]]), ISNUMBER(SnapshotTable[[#This Row],[SP Qty]]), ISNUMBER(SnapshotTable[[#This Row],[SP Book Date]]), ISNUMBER(SnapshotTable[[#This Row],[SP Book Price]]))</f>
        <v>0</v>
      </c>
      <c r="BX386" s="419" t="b">
        <f>AND(SnapshotTable[[#This Row],[SP Is Booked]], NOT(ISBLANK(SnapshotTable[[#This Row],[SP Fill Date]])))</f>
        <v>0</v>
      </c>
      <c r="BY386" s="33">
        <f>IF(SnapshotTable[[#This Row],[SP Is Booked]], SnapshotTable[[#This Row],[SP Qty]] * SnapshotTable[[#This Row],[SP Book Price]] * 100, 0)</f>
        <v>0</v>
      </c>
      <c r="BZ386" s="369"/>
      <c r="CA386" s="368">
        <f>SnapshotTable[[#This Row],[LP Qty]]</f>
        <v>0</v>
      </c>
      <c r="CB386" s="4" t="str">
        <f>IF(SnapshotTable[[#This Row],[SP Is Booked]], SnapshotTable[[#This Row],[SP Strike Price]] - SnapshotTable[[#This Row],[SP Book Price]], "")</f>
        <v/>
      </c>
      <c r="CC386" s="19" t="str">
        <f>IF(SnapshotTable[[#This Row],[SP Is Booked]],SnapshotTable[[#This Row],[SP Exp Date]]-MAX(SnapshotTable[[#This Row],[SP Book Date]], SnapshotTable[[#This Row],[SP Fill Date]]),"")</f>
        <v/>
      </c>
      <c r="CD386" s="7" t="str">
        <f>IF(SnapshotTable[[#This Row],[SP Is Booked]], SnapshotTable[[#This Row],[SP Book Price]]/SnapshotTable[[#This Row],[SP Strike Price]], "")</f>
        <v/>
      </c>
      <c r="CE386" s="7" t="str">
        <f>IF(ISNUMBER(SnapshotTable[[#This Row],[SP ROO Term]]),SnapshotTable[[#This Row],[SP ROO Term]]*(365/SnapshotTable[[#This Row],[SP Term]]),"")</f>
        <v/>
      </c>
      <c r="CF386" s="236">
        <f>SnapshotTable[[#This Row],[LP Strike Price]] * SnapshotTable[[#This Row],[LP Qty]] * 100</f>
        <v>0</v>
      </c>
      <c r="CG386" s="31" t="e">
        <f>IF(ISNUMBER(SnapshotTable[[#This Row],[SP Premium]]), (SnapshotTable[[#This Row],[SP Qty]] * SnapshotTable[[#This Row],[SP Strike Price]]* 100) - SnapshotTable[[#This Row],[LP Protection]], 0)</f>
        <v>#VALUE!</v>
      </c>
      <c r="CH386" s="7" t="str">
        <f>IF(ISNUMBER(SnapshotTable[[#This Row],[SP Break Even]]),-1 * (SnapshotTable[[#This Row],[SP Break Even]] - SnapshotTable[[#This Row],[Last Price]]) / SnapshotTable[[#This Row],[Last Price]], "")</f>
        <v/>
      </c>
      <c r="CI386" s="31">
        <f>IF(AND(ISNUMBER((SnapshotTable[[#This Row],[SP Potential Spend]])), SnapshotTable[[#This Row],[SP Strike Price]] &gt; SnapshotTable[[#This Row],[Last Price]], SnapshotTable[[#This Row],[SP Is Filled]]), SnapshotTable[[#This Row],[SP Potential Spend]] -  SnapshotTable[[#This Row],[LP Max Value]], 0)</f>
        <v>0</v>
      </c>
      <c r="CJ386" s="244"/>
      <c r="CK386" s="31" t="str">
        <f>IF(ISNUMBER(SnapshotTable[[#This Row],[SP Potential Spend]]),IF(ISNUMBER(SnapshotTable[[#This Row],[SP POW]]), SnapshotTable[[#This Row],[SP POW]] * SnapshotTable[[#This Row],[SP Potential Spend]], SnapshotTable[[#This Row],[SP Potential Spend]]), "")</f>
        <v/>
      </c>
      <c r="CL386" s="164" t="e">
        <f>IF(NOT(SnapshotTable[[#This Row],[SP Is Filled]]),(SnapshotTable[[#This Row],[SP Qty]] * SnapshotTable[[#This Row],[SP Strike Price]] * 100) - SnapshotTable[[#This Row],[LP Max Value]],"")</f>
        <v>#VALUE!</v>
      </c>
      <c r="CM386" s="31" t="str">
        <f>IF(SnapshotTable[[#This Row],[SP Actual Spend]]&lt;&gt;0, ((SnapshotTable[[#This Row],[SP Strike Price]]-SnapshotTable[[#This Row],[Last Price]]) *(SnapshotTable[[#This Row],[SP Qty]]*100) - SnapshotTable[[#This Row],[SP Premium]]) * - 1, "")</f>
        <v/>
      </c>
      <c r="CN386" s="154"/>
      <c r="CO386" s="369"/>
      <c r="CP386" s="320" t="str">
        <f>IF(SnapshotTable[[#This Row],[SP Is Filled]], btc_max_buyback_amount(SnapshotTable[[#This Row],[SP Fill Date]],SnapshotTable[[#This Row],[SP Exp Date]], SnapshotTable[[#This Row],[SP Book Price]]),"")</f>
        <v/>
      </c>
      <c r="CQ386" s="78"/>
      <c r="CR386" s="76"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6" s="155" t="str">
        <f>IF(SnapshotTable[[#This Row],[SP Is Filled]], btc_next_cutoff_date(SnapshotTable[[#This Row],[SP Fill Date]],SnapshotTable[[#This Row],[SP Exp Date]]),"")</f>
        <v/>
      </c>
      <c r="CT386" s="235" t="str" cm="1">
        <f t="array" ref="CT386">IF(SnapshotTable[[#This Row],[SP Is Filled]], btc_should_buy_back(SnapshotTable[[#This Row],[SP Fill Date]], SnapshotTable[[#This Row],[SP Exp Date]], SnapshotTable[[#This Row],[SP Book Price]], SnapshotTable[[#This Row],[SP Current Ask]], MockToday, SnapshotTable[[#This Row],[SP Buyback Override]]),"")</f>
        <v/>
      </c>
      <c r="CU386" s="143"/>
      <c r="CV386" s="235"/>
      <c r="CW386" s="378" t="str">
        <f>IF(ISNUMBER( SnapshotTable[[#This Row],[SP Term]]), SnapshotTable[[#This Row],[SP Exp Date]] - MockToday,"")</f>
        <v/>
      </c>
      <c r="CX386" s="31" t="str">
        <f>IF(SnapshotTable[[#This Row],[SP Is Filled]],SnapshotTable[[#This Row],[SP Buyback Price to Use]] * 100 * SnapshotTable[[#This Row],[SP Qty]], "")</f>
        <v/>
      </c>
      <c r="CY386" s="4" t="str">
        <f>IF(ISNUMBER(SnapshotTable[[#This Row],[SP Strike Price]]), SnapshotTable[[#This Row],[SP Strike Price]] * (1 - SP_MaxLoss_StrikePct), "")</f>
        <v/>
      </c>
      <c r="CZ386" s="31" t="str">
        <f>IF(ISNUMBER(SnapshotTable[[#This Row],[SP Strike  Stop Per Share]]),SnapshotTable[[#This Row],[SP Premium]] - ((SnapshotTable[[#This Row],[SP Strike Price]]-SnapshotTable[[#This Row],[SP Strike  Stop Per Share]]) *(SnapshotTable[[#This Row],[SP Qty]] * 100)),"")</f>
        <v/>
      </c>
      <c r="DA386" s="4" t="str">
        <f>IF(AND(ISNUMBER(SnapshotTable[[#This Row],[SP Premium]]),SnapshotTable[[#This Row],[SP Premium]]&gt;0), SnapshotTable[[#This Row],[SP Book Price]] * (1 + SP_MaxLoss_OptionPct), "")</f>
        <v/>
      </c>
      <c r="DB386" s="31" t="str">
        <f>IF(ISNUMBER(SnapshotTable[[#This Row],[SP Option  Stop Contract]]),(SnapshotTable[[#This Row],[SP Option  Stop Contract]] *(SnapshotTable[[#This Row],[SP Qty]] * 100) - SnapshotTable[[#This Row],[SP Premium]]),"")</f>
        <v/>
      </c>
      <c r="DC386" s="4"/>
      <c r="DD386" s="4"/>
      <c r="DE386" s="4" t="str">
        <f>IF(AND(SnapshotTable[[#This Row],[SP Qty]]&gt;0, SnapshotTable[[#This Row],[SP Stop To Use]]&gt;0),SnapshotTable[[#This Row],[SP Premium]] - ( SnapshotTable[[#This Row],[SP Qty]] * SnapshotTable[[#This Row],[SP Stop To Use]] * 100), "")</f>
        <v/>
      </c>
      <c r="DF386" s="31" t="str">
        <f>IF(AND(SnapshotTable[[#This Row],[SP Qty]]&gt;0,SnapshotTable[[#This Row],[SP Current Ask]]&gt;0), SnapshotTable[[#This Row],[SP Qty]] * SnapshotTable[[#This Row],[SP Current Ask]] * -100, "")</f>
        <v/>
      </c>
      <c r="DG386" s="31" t="str">
        <f>IF(ISNUMBER((SnapshotTable[[#This Row],[SP Total Value]])), SnapshotTable[[#This Row],[SP Premium]] + SnapshotTable[[#This Row],[SP Total Value]], "")</f>
        <v/>
      </c>
      <c r="DH386" s="294" t="str">
        <f>IF(ISNUMBER((SnapshotTable[[#This Row],[SP Total Value]])), SnapshotTable[[#This Row],[SP Gain Loss]] / SnapshotTable[[#This Row],[SP Premium]], "")</f>
        <v/>
      </c>
      <c r="DI386" s="406"/>
      <c r="DJ386" s="138"/>
      <c r="DK386" s="166"/>
      <c r="DL386" s="167"/>
      <c r="DM386" s="167"/>
      <c r="DO386" s="31">
        <f>IF(SnapshotTable[[#This Row],[LC Symbol Count]]=1, SnapshotTable[[#This Row],[LC Qty]] * SnapshotTable[[#This Row],[LC Book Price]] * 100, 0)</f>
        <v>0</v>
      </c>
      <c r="DP386" s="289" t="str">
        <f>IF(AND(SnapshotTable[[#This Row],[LC Exp Date]]&gt;0, SnapshotTable[[#This Row],[LC Strike Price]]&gt;0,SnapshotTable[[#This Row],[LC Qty]]&gt;0,SnapshotTable[[#This Row],[LC Book Date]]&gt;0,SnapshotTable[[#This Row],[LC Book Price]]&gt;0,SnapshotTable[[#This Row],[LC Fill Date]]=0),"Y","")</f>
        <v/>
      </c>
      <c r="DQ386" s="386" t="str">
        <f>IF(SnapshotTable[[#This Row],[LC Premium]] &gt; 0,SnapshotTable[[#This Row],[LC Exp Date]]-MAX(SnapshotTable[[#This Row],[LC Book Date]], SnapshotTable[[#This Row],[LC Fill Date]]),"")</f>
        <v/>
      </c>
      <c r="DR386" s="386" t="str">
        <f>IF(ISNUMBER(SnapshotTable[[#This Row],[LC Term]]), SnapshotTable[[#This Row],[LC Exp Date]] - MockToday, "")</f>
        <v/>
      </c>
      <c r="DS386" s="234" t="str">
        <f>IF(SnapshotTable[[#This Row],[LC Premium]]&gt;0,SnapshotTable[[#This Row],[LC Strike Price]] + SnapshotTable[[#This Row],[LC Book Price]],"")</f>
        <v/>
      </c>
      <c r="DU386" s="9" t="str">
        <f>IF(AND(SnapshotTable[[#This Row],[LC Symbol Count]]&gt;0, SnapshotTable[[#This Row],[LC Contract Value]]&gt;0), SnapshotTable[[#This Row],[LC Contract Value]] * SnapshotTable[[#This Row],[LC Qty]] * 100, "")</f>
        <v/>
      </c>
      <c r="DV386" s="9" t="str">
        <f>IF(AND(ISNUMBER(SnapshotTable[[#This Row],[LC Total Value]]), SnapshotTable[[#This Row],[LC Not Filled]]&lt;&gt;"Y"), SnapshotTable[[#This Row],[LC Total Value]]-SnapshotTable[[#This Row],[LC Premium]],"")</f>
        <v/>
      </c>
      <c r="DW386" s="240" t="str">
        <f>IF(ISNUMBER(SnapshotTable[[#This Row],[LC Actual Gain Loss]]), SnapshotTable[[#This Row],[LC Actual Gain Loss]] / SnapshotTable[[#This Row],[LC Premium]],"")</f>
        <v/>
      </c>
      <c r="DX386" s="284" t="str">
        <f>IF(ISNUMBER(SnapshotTable[[#This Row],[LC Book Price]]),SnapshotTable[[#This Row],[LC Book Price]] * 1.5,"")</f>
        <v/>
      </c>
      <c r="DY386" s="265" t="str">
        <f>IF(SnapshotTable[[#This Row],[LC Premium]]&gt;0, SnapshotTable[[#This Row],[LC Next Target]] * SnapshotTable[[#This Row],[LC Qty]] * 100,"")</f>
        <v/>
      </c>
      <c r="DZ386" s="265" t="str">
        <f>IF(ISNUMBER(SnapshotTable[[#This Row],[LC Target Gross]]), SnapshotTable[[#This Row],[LC Target Gross]] - SnapshotTable[[#This Row],[LC Premium]], "")</f>
        <v/>
      </c>
      <c r="EA386" s="305" t="str">
        <f>IF(ISNUMBER(SnapshotTable[[#This Row],[LC Target Gain Loss]]), SnapshotTable[[#This Row],[LC Target Gain Loss]]/SnapshotTable[[#This Row],[LC Premium]], "")</f>
        <v/>
      </c>
      <c r="EB386" s="262"/>
      <c r="EC386" s="290" t="str">
        <f>IF(SnapshotTable[[#This Row],[LC Premium]]&gt;0, SnapshotTable[[#This Row],[LC Book Price]] * (1 - LC_StopLoss_Pct),"")</f>
        <v/>
      </c>
      <c r="ED386" s="284"/>
      <c r="EE386" s="290" t="str">
        <f>IF(ISNUMBER(SnapshotTable[[#This Row],[LC Contract Value]]),IF(ISNUMBER(SnapshotTable[[#This Row],[LC Stop Loss Override]]), SnapshotTable[[#This Row],[LC Stop Loss Override]],SnapshotTable[[#This Row],[LC Stop Loss Calc Target]]),"")</f>
        <v/>
      </c>
      <c r="EF386" s="321" t="str">
        <f>IF(ISNUMBER(SnapshotTable[[#This Row],[LC Stop  To Use]]), (SnapshotTable[[#This Row],[LC Stop  To Use]] * SnapshotTable[[#This Row],[LC Qty]] * 100),"")</f>
        <v/>
      </c>
      <c r="EG386" s="9" t="str">
        <f>IF(ISNUMBER(SnapshotTable[[#This Row],[LC Total Value]]),SnapshotTable[[#This Row],[LC Stop Loss Amount]] - SnapshotTable[[#This Row],[LC Premium]],"")</f>
        <v/>
      </c>
      <c r="EH386" s="9">
        <f>IF(ISNUMBER(SnapshotTable[[#This Row],[LC Premium]]), SnapshotTable[[#This Row],[LC Qty]] * 100 * SnapshotTable[[#This Row],[LC Strike Price]], "")</f>
        <v>0</v>
      </c>
      <c r="EI386" s="240" t="str">
        <f>IF(AND(ISNUMBER(SnapshotTable[[#This Row],[LC Total Value]]),SnapshotTable[[#This Row],[LC Total Value]]&gt;0),SnapshotTable[[#This Row],[LC Stop Gain Loss]]  / SnapshotTable[[#This Row],[LC Premium]],"")</f>
        <v/>
      </c>
      <c r="EJ386" s="35">
        <f>IF(ISNUMBER(SnapshotTable[[#This Row],[Equity Shares]]),TRUNC(SnapshotTable[[#This Row],[Equity Shares]] / 100),0) + SnapshotTable[[#This Row],[LC Qty]]</f>
        <v>10</v>
      </c>
      <c r="EK386" s="147"/>
      <c r="EL386" s="138" t="str">
        <f>IF(SnapshotTable[[#This Row],[SC Exp Date]]&lt;&gt;"",TRUNC(SnapshotTable[[#This Row],[Last Price]]),"")</f>
        <v/>
      </c>
      <c r="EM386" s="148"/>
      <c r="EN386" s="147"/>
      <c r="EO386" s="147"/>
      <c r="EP386" s="138"/>
      <c r="EQ386" s="419" t="b">
        <f>AND(ISNUMBER(SnapshotTable[[#This Row],[SC Exp Date]]), ISNUMBER(SnapshotTable[[#This Row],[SC Strike Price]]), ISNUMBER(SnapshotTable[[#This Row],[SC Qty]]), ISNUMBER(SnapshotTable[[#This Row],[SC Book Date]]), ISNUMBER(SnapshotTable[[#This Row],[SC Book Price]]))</f>
        <v>0</v>
      </c>
      <c r="ER386" s="419" t="b">
        <f>AND(SnapshotTable[[#This Row],[SC Is Booked]], NOT(ISBLANK(SnapshotTable[[#This Row],[SC Fill Date]])))</f>
        <v>0</v>
      </c>
      <c r="ES386" s="370"/>
      <c r="ET386" s="34" t="str">
        <f>IF(AND(ISNUMBER(SnapshotTable[[#This Row],[SC Exp Date]]), ISNUMBER(SnapshotTable[[#This Row],[SC Book Date]])), SnapshotTable[[#This Row],[SC Exp Date]] - MAX(SnapshotTable[[#This Row],[SC Book Date]], SnapshotTable[[#This Row],[SC Fill Date]]) + 1, "")</f>
        <v/>
      </c>
      <c r="EU386" s="34" t="str">
        <f>IF(ISNUMBER(SnapshotTable[[#This Row],[SC Term]]), SnapshotTable[[#This Row],[SC Exp Date]]- MockToday, "")</f>
        <v/>
      </c>
      <c r="EV386" s="31">
        <f>IF(SnapshotTable[[#This Row],[SC Is Booked]], SnapshotTable[[#This Row],[SC Qty]] * SnapshotTable[[#This Row],[SC Book Price]] * 100, 0)</f>
        <v>0</v>
      </c>
      <c r="EW386" s="4" t="str">
        <f>IF(AND(ISNUMBER(SnapshotTable[[#This Row],[Last Price]]), ISNUMBER( SnapshotTable[[#This Row],[SC Book Price]])), SnapshotTable[[#This Row],[Last Price]] - SnapshotTable[[#This Row],[SC Book Price]],"")</f>
        <v/>
      </c>
      <c r="EX386" s="234" t="str">
        <f>IF(SnapshotTable[[#This Row],[SC Is Booked]],IF(SnapshotTable[[#This Row],[SC Intrinsic Value]] &gt; 0, SnapshotTable[[#This Row],[SC Strike Price]], SnapshotTable[[#This Row],[Last Price]]), "")</f>
        <v/>
      </c>
      <c r="EY386" s="4">
        <f>IF(SnapshotTable[[#This Row],[SC Is Booked]], (MinimumPremiumRequired * SnapshotTable[[#This Row],[SC Basis]] * SnapshotTable[[#This Row],[SC Term]]), 0)</f>
        <v>0</v>
      </c>
      <c r="EZ386" s="283"/>
      <c r="FA386" s="218"/>
      <c r="FB386" s="370"/>
      <c r="FC386" s="4">
        <f>IF(SnapshotTable[[#This Row],[SC Is Filled]], btc_max_buyback_amount(SnapshotTable[[#This Row],[SC Fill Date]],SnapshotTable[[#This Row],[SC Exp Date]], SnapshotTable[[#This Row],[SC Book Price]]),0)</f>
        <v>0</v>
      </c>
      <c r="FD386" s="5"/>
      <c r="FE386" s="144" t="str">
        <f>IF(SnapshotTable[[#This Row],[SC Is Filled]], btc_next_cutoff_date(SnapshotTable[[#This Row],[SC Fill Date]],SnapshotTable[[#This Row],[SC Exp Date]]),"")</f>
        <v/>
      </c>
      <c r="FF386" s="4" t="str" cm="1">
        <f t="array" ref="FF386">IF(SnapshotTable[[#This Row],[SC Is Filled]], btc_should_buy_back(SnapshotTable[[#This Row],[SC Fill Date]], SnapshotTable[[#This Row],[SC Exp Date]], SnapshotTable[[#This Row],[SC Book Price]], SnapshotTable[[#This Row],[SC Current Ask]], MockToday, SnapshotTable[[#This Row],[SC Buyback Override]]),"")</f>
        <v/>
      </c>
      <c r="FG386" s="4">
        <f>IF(SnapshotTable[[#This Row],[SC Is Filled]], MAX(0,SnapshotTable[[#This Row],[Last Price]]  - SnapshotTable[[#This Row],[SC Strike Price]]), 0)</f>
        <v>0</v>
      </c>
      <c r="FH386" s="382">
        <f>IF(SnapshotTable[[#This Row],[SC Is Filled]], IF(ISNUMBER(SnapshotTable[[#This Row],[SC Current Ask]]), SnapshotTable[[#This Row],[SC Current Ask]], SnapshotTable[[#This Row],[SC Book Price]]) - SnapshotTable[[#This Row],[SC Intrinsic Value]], 0)</f>
        <v>0</v>
      </c>
      <c r="FI386" s="143"/>
      <c r="FJ386" s="32" t="str">
        <f>IF(SnapshotTable[[#This Row],[SC Is Filled]],100 * SnapshotTable[[#This Row],[SC Qty]] * IF(ISNUMBER(SnapshotTable[[#This Row],[SC Buyback Override]]), SnapshotTable[[#This Row],[SC Buyback Override]], SnapshotTable[[#This Row],[SC Current Ask]]), "")</f>
        <v/>
      </c>
      <c r="FK386" s="250" t="str">
        <f>IF(SnapshotTable[[#This Row],[SC Time Val]]&gt;0, SnapshotTable[[#This Row],[SC Time Val]] / SnapshotTable[[#This Row],[Last Price]],"")</f>
        <v/>
      </c>
      <c r="FL386" s="302" t="str">
        <f>IF(SnapshotTable[[#This Row],[SC Is Booked]], ((SnapshotTable[[#This Row],[Last Price]] -SnapshotTable[[#This Row],[SC Strike Price]]) / SnapshotTable[[#This Row],[Last Price]]) * -1, "")</f>
        <v/>
      </c>
      <c r="FM386" s="157" t="str">
        <f>IF(SnapshotTable[[#This Row],[SC Is Booked]],  (SnapshotTable[[#This Row],[SC Qty]] * 100 * SnapshotTable[[#This Row],[SC Strike Price]]) - SnapshotTable[[#This Row],[SC Current Ask]], "")</f>
        <v/>
      </c>
      <c r="FN386" s="157"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6" s="157" t="str">
        <f>IF(AND(ISNUMBER(SnapshotTable[[#This Row],[SC Exercise Gross]]), ISNUMBER(SnapshotTable[[#This Row],[Equity Basis Per Share]] )), SnapshotTable[[#This Row],[SC Exercise Gross]] - SnapshotTable[[#This Row],[Equity Basis Total]] +  SnapshotTable[[#This Row],[SC Premium]], "")</f>
        <v/>
      </c>
      <c r="FP386" s="5" t="str">
        <f>IF(ISNUMBER(SnapshotTable[[#This Row],[SC Exercise Gross]]), (SnapshotTable[[#This Row],[SC Exercise Gross]]) / (SnapshotTable[[#This Row],[SC Qty]] * 100), "")</f>
        <v/>
      </c>
      <c r="FQ386" s="27" t="str">
        <f>IF(SnapshotTable[[#This Row],[SC Is Booked]],SnapshotTable[[#This Row],[SC Time Val]] /SnapshotTable[[#This Row],[SC Basis]], "")</f>
        <v/>
      </c>
      <c r="FR386" s="27" t="str" cm="1">
        <f t="array" ref="FR386">IF(AND(ISNUMBER(SnapshotTable[[#This Row],[SC Term]]),ISNUMBER(SnapshotTable[[#This Row],[SC Simple ROO]])), EllmanAnnualize(SnapshotTable[[#This Row],[SC DTE]], SnapshotTable[[#This Row],[SC Simple ROO]] ),"")</f>
        <v/>
      </c>
      <c r="FS386" s="4" t="e">
        <f>IF(SnapshotTable[[#This Row],[SC Strike Price]] &gt; SnapshotTable[[#This Row],[Last Price]], SnapshotTable[[#This Row],[SC Strike Price]] - SnapshotTable[[#This Row],[Last Price]],0)</f>
        <v>#VALUE!</v>
      </c>
      <c r="FT386" s="27" t="e">
        <f>IF(AND(ISNUMBER(SnapshotTable[[#This Row],[SC Upside Potential]]), SnapshotTable[[#This Row],[SC Upside Potential]] &gt; 0),(SnapshotTable[[#This Row],[SC Upside Potential]]/ SnapshotTable[[#This Row],[ACB]]),"")</f>
        <v>#VALUE!</v>
      </c>
      <c r="FU386" s="333" t="str">
        <f>IF(SnapshotTable[[#This Row],[SC Intrinsic Value]] &gt; 0,SnapshotTable[[#This Row],[SC Intrinsic Value]],"")</f>
        <v/>
      </c>
      <c r="FV386" s="27" t="str">
        <f>IF(AND( ISNUMBER( SnapshotTable[[#This Row],[ACB]]),ISNUMBER(SnapshotTable[[#This Row],[SC Downside Protect]])),SnapshotTable[[#This Row],[SC Downside Protect]] / SnapshotTable[[#This Row],[ACB]],"")</f>
        <v/>
      </c>
      <c r="FW386" s="236" t="str">
        <f>IF(AND(ISNUMBER(SnapshotTable[[#This Row],[SC Simple ROO]]),SnapshotTable[[#This Row],[SC Simple ROO]] &gt; 0), SnapshotTable[[#This Row],[SC Premium]] + (SnapshotTable[[#This Row],[SC Qty]] * SnapshotTable[[#This Row],[SC Upside Potential]]), "")</f>
        <v/>
      </c>
      <c r="FX386" s="302" t="str" cm="1">
        <f t="array" ref="FX386">IF(ISNUMBER(SnapshotTable[[#This Row],[SC Max Dollars]]), annualize(SnapshotTable[[#This Row],[SC Term]],(SnapshotTable[[#This Row],[SC Max Dollars]]/SnapshotTable[[#This Row],[SC Basis]])),"")</f>
        <v/>
      </c>
      <c r="FY386" s="236" t="str">
        <f>IF(AND(SnapshotTable[[#This Row],[SC Qty]]&gt;0,SnapshotTable[[#This Row],[SC Current Ask]]&gt;0), SnapshotTable[[#This Row],[SC Qty]] * SnapshotTable[[#This Row],[SC Current Ask]] * -100, "")</f>
        <v/>
      </c>
      <c r="FZ386" s="235" t="str">
        <f>IF(ISNUMBER((SnapshotTable[[#This Row],[SC Current Value]])), SnapshotTable[[#This Row],[SC Premium]] + SnapshotTable[[#This Row],[SC Current Value]], "")</f>
        <v/>
      </c>
      <c r="GA386" s="294" t="str">
        <f>IFERROR( IF(ISNUMBER((SnapshotTable[[#This Row],[SC Current Value]])), SnapshotTable[[#This Row],[SC Gain Loss]] / SnapshotTable[[#This Row],[SC Premium]], ""), "")</f>
        <v/>
      </c>
      <c r="GB386" s="42">
        <f>SnapshotTable[[#This Row],[Equity Shares]] * SaleSharesToConsiderPercentage</f>
        <v>200</v>
      </c>
      <c r="GC386" s="40">
        <f>SnapshotTable[[#This Row],[Long Term Target]] * SellingPriceToConsiderBasedOnTargetPercentage</f>
        <v>0</v>
      </c>
      <c r="GD386" s="40">
        <f>SnapshotTable[[#This Row],[Last Price]] * (1+ SellingPriceToConsiderBasedOnTargetPercentage)</f>
        <v>0.76946999999999999</v>
      </c>
      <c r="GE386" s="41"/>
      <c r="GF386" s="40"/>
      <c r="GG386" s="31">
        <f>SnapshotTable[[#This Row],[Booked Sale Shares]] * SnapshotTable[[#This Row],[Booked Sale Price]]</f>
        <v>0</v>
      </c>
      <c r="GH386" s="31">
        <f>IF(SnapshotTable[[#This Row],[Equity Basis Total]] &gt; 0, SnapshotTable[[#This Row],[Equity Basis Per Share]] * SnapshotTable[[#This Row],[Booked Sale Shares]], "")</f>
        <v>0</v>
      </c>
      <c r="GI386" s="31">
        <f>IF(SnapshotTable[[#This Row],[Sale Proceeds]]&gt;0, SnapshotTable[[#This Row],[Sale Proceeds]] - SnapshotTable[[#This Row],[Sale Basis]], 0)</f>
        <v>0</v>
      </c>
      <c r="GJ386" s="158" t="str">
        <f>IF(SnapshotTable[[#This Row],[Sale G/L]]&gt;0, SnapshotTable[[#This Row],[Sale G/L]] / SnapshotTable[[#This Row],[Sale Basis]], IF(ISNUMBER(SnapshotTable[[#This Row],[SC Exercise P&amp;L (TAX)]]), SnapshotTable[[#This Row],[SC Exercise P&amp;L (TAX)]] / SnapshotTable[[#This Row],[SC Basis]], ""))</f>
        <v/>
      </c>
      <c r="GK386" s="27"/>
      <c r="GL386" s="159" t="str">
        <f>IF(AND(SnapshotTable[[#This Row],[LP Exp Date]]&gt;0,SnapshotTable[[#This Row],[LP Strike Price]]&gt;0), [1]!ToOptionSymbol(SnapshotTable[[#This Row],[Symbol]], SnapshotTable[[#This Row],[LP Strike Price]],SnapshotTable[[#This Row],[LP Exp Date]],1), "")</f>
        <v/>
      </c>
      <c r="GM386" s="30" t="str">
        <f>IF(LEN(SnapshotTable[[#This Row],[LP Symbol]])&gt;0, 1, "")</f>
        <v/>
      </c>
      <c r="GN386" s="43" t="str">
        <f>IF(AND(SnapshotTable[[#This Row],[SP Exp Date]]&gt;0,SnapshotTable[[#This Row],[SP Strike Price]]&gt;0), [1]!ToOptionSymbol(SnapshotTable[[#This Row],[Symbol]], SnapshotTable[[#This Row],[SP Strike Price]],SnapshotTable[[#This Row],[SP Exp Date]],1), "")</f>
        <v/>
      </c>
      <c r="GO386" s="30" t="str">
        <f>IF(LEN(SnapshotTable[[#This Row],[SP Symbol]])&gt;0, 1, "")</f>
        <v/>
      </c>
      <c r="GP386" s="159" t="str">
        <f>IF(AND(SnapshotTable[[#This Row],[LC Exp Date]]&gt;0,SnapshotTable[[#This Row],[LC Strike Price]]&gt;0), [1]!ToOptionSymbol(SnapshotTable[[#This Row],[Symbol]], SnapshotTable[[#This Row],[LC Strike Price]],SnapshotTable[[#This Row],[LC Exp Date]],0), "")</f>
        <v/>
      </c>
      <c r="GQ386" s="160" t="str">
        <f>IF(LEN(SnapshotTable[[#This Row],[LC Symbol]])&gt;0, 1, "")</f>
        <v/>
      </c>
      <c r="GR386" s="159" t="str">
        <f>IF(AND(SnapshotTable[[#This Row],[SC Exp Date]]&gt;0,SnapshotTable[[#This Row],[SC Strike Price]]&gt;0), [1]!ToOptionSymbol(SnapshotTable[[#This Row],[Symbol]], SnapshotTable[[#This Row],[SC Strike Price]],SnapshotTable[[#This Row],[SC Exp Date]],0), "")</f>
        <v/>
      </c>
      <c r="GS386" s="160" t="str">
        <f>IF(LEN(SnapshotTable[[#This Row],[SC Symbol]])&gt;0, 1, "")</f>
        <v/>
      </c>
      <c r="GT386" s="161" t="str">
        <f>IF(COUNT(SnapshotTable[[#This Row],[LP Symbol Count]],SnapshotTable[[#This Row],[SP Symbol Count]],SnapshotTable[[#This Row],[LC Symbol Count]],SnapshotTable[[#This Row],[SC Symbol Count]])&gt;0, "Y", "")</f>
        <v/>
      </c>
      <c r="GU38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86" s="231" t="e">
        <f>MAX(SnapshotTable[[#This Row],[Equity Basis Total]],SnapshotTable[[#This Row],[Equity Value]]) + (SnapshotTable[[#This Row],[SP Potential Spend]]- SnapshotTable[[#This Row],[SP Premium]] + SnapshotTable[[#This Row],[LP Premium]])+ (SnapshotTable[[#This Row],[LC Premium]] - SnapshotTable[[#This Row],[SC Premium]])</f>
        <v>#VALUE!</v>
      </c>
      <c r="GW386" s="139" t="e">
        <f>IF(AND(SnapshotTable[[#This Row],[Exposure]] &lt;&gt; 0),SnapshotTable[[#This Row],[Exposure]] / SnapshotTable[[#Totals],[Exposure]], "")</f>
        <v>#VALUE!</v>
      </c>
      <c r="HE386" s="268"/>
      <c r="HF386" s="268"/>
      <c r="HK386" s="1"/>
      <c r="HL386" s="1"/>
      <c r="HM386" s="1"/>
      <c r="HN386" s="1"/>
      <c r="HO386" s="1"/>
      <c r="HP386" s="1"/>
    </row>
    <row r="387" spans="2:224" ht="12.75" hidden="1" customHeight="1" x14ac:dyDescent="0.25">
      <c r="B387" s="12" t="s">
        <v>1236</v>
      </c>
      <c r="C387" s="422">
        <v>0.97</v>
      </c>
      <c r="D387" s="208" t="s">
        <v>258</v>
      </c>
      <c r="E387" s="39">
        <f>SnapshotTable[[#This Row],[Last Price]]*(1 -CrashDiscount)</f>
        <v>0.82450000000000001</v>
      </c>
      <c r="F387" s="26" t="s">
        <v>550</v>
      </c>
      <c r="G387" s="26" t="s">
        <v>41</v>
      </c>
      <c r="H387" s="149"/>
      <c r="I387" s="194"/>
      <c r="J387" s="195"/>
      <c r="K387" s="196"/>
      <c r="L387" s="326"/>
      <c r="M387" s="140"/>
      <c r="N387" s="140"/>
      <c r="O387" s="140"/>
      <c r="P387" s="22">
        <v>7000</v>
      </c>
      <c r="Q387" s="25">
        <v>2100</v>
      </c>
      <c r="R387" s="4">
        <f>IF(SnapshotTable[[#This Row],[Equity Basis Total]] &gt; 0, SnapshotTable[[#This Row],[Equity Basis Total]] / SnapshotTable[[#This Row],[Equity Shares]], "")</f>
        <v>0.3</v>
      </c>
      <c r="S387" s="269">
        <f>SnapshotTable[[#This Row],[Last Price]] * SnapshotTable[[#This Row],[Equity Shares]]</f>
        <v>6790</v>
      </c>
      <c r="T387" s="269">
        <f>SnapshotTable[[#This Row],[Equity Value]] - SnapshotTable[[#This Row],[Equity Basis Total]]</f>
        <v>4690</v>
      </c>
      <c r="U387" s="270">
        <f>IF(SnapshotTable[[#This Row],[Equity Basis Total]] &gt; 0, SnapshotTable[[#This Row],[Equity G/L]] / SnapshotTable[[#This Row],[Equity Basis Total]], "")</f>
        <v>2.2333333333333334</v>
      </c>
      <c r="V387" s="268"/>
      <c r="W387" s="268"/>
      <c r="X387" s="4" t="str">
        <f>IF(AND(ISNUMBER(SnapshotTable[[#This Row],[Equity Basis Per Share]]),ISNUMBER(SnapshotTable[[#This Row],[Equity Target]])),SnapshotTable[[#This Row],[Equity Target]]-SnapshotTable[[#This Row],[Equity Basis Per Share]],"")</f>
        <v/>
      </c>
      <c r="Y387" s="4" t="str">
        <f>IF(AND(ISNUMBER(SnapshotTable[[#This Row],[Equity Basis Per Share]]),ISNUMBER(SnapshotTable[[#This Row],[Equity Stop Loss]])),SnapshotTable[[#This Row],[Equity Stop Loss]]-SnapshotTable[[#This Row],[Equity Basis Per Share]],"")</f>
        <v/>
      </c>
      <c r="Z387" s="275" t="str">
        <f>IFERROR( TEXT(SnapshotTable[[#This Row],[Equity Max Gain Per Share]] /ABS( SnapshotTable[[#This Row],[Equity Max Loss Per Share]]),"0.0 " ) &amp; " : 1", "")</f>
        <v/>
      </c>
      <c r="AA387" s="31" t="str">
        <f>IF(ISNUMBER(SnapshotTable[[#This Row],[Equity Max Gain Per Share]]),SnapshotTable[[#This Row],[Equity Max Gain Per Share]] * SnapshotTable[[#This Row],[Equity Shares]],"")</f>
        <v/>
      </c>
      <c r="AB387" s="31" t="str">
        <f>IF(ISNUMBER(SnapshotTable[[#This Row],[Equity Max Loss Per Share]]),SnapshotTable[[#This Row],[Equity Max Loss Per Share]] * SnapshotTable[[#This Row],[Equity Shares]],"")</f>
        <v/>
      </c>
      <c r="AC387" s="150"/>
      <c r="AD387" s="151"/>
      <c r="AE387" s="31">
        <f>(SnapshotTable[[#This Row],[Annual Dividend Per Share]] / 4) * SnapshotTable[[#This Row],[Equity Shares]]</f>
        <v>0</v>
      </c>
      <c r="AF387" s="31">
        <f>SnapshotTable[[#This Row],[Quarterly Div $]] * 4</f>
        <v>0</v>
      </c>
      <c r="AG387" s="7">
        <f>IF(SnapshotTable[[#This Row],[Annual Dividend Per Share]]&gt;0, SnapshotTable[[#This Row],[Annual Dividend Per Share]]  / SnapshotTable[[#This Row],[Last Price]], 0)</f>
        <v>0</v>
      </c>
      <c r="AH387" s="151"/>
      <c r="AI387" s="5"/>
      <c r="AJ387" s="138"/>
      <c r="AK387" s="152" t="str">
        <f>IF(ISNUMBER( SnapshotTable[[#This Row],[EBF Target]]),(SnapshotTable[[#This Row],[EBF Target]] - SnapshotTable[[#This Row],[Last Price]]) / SnapshotTable[[#This Row],[Last Price]], "")</f>
        <v/>
      </c>
      <c r="AL387" s="152" t="str">
        <f>IF(AND(SnapshotTable[[#This Row],[Equity Basis Total]] &gt; 0,ISNUMBER( SnapshotTable[[#This Row],[Long Term Target]])), SnapshotTable[[#This Row],[From Basis $]] / SnapshotTable[[#This Row],[Equity Basis Total]], "")</f>
        <v/>
      </c>
      <c r="AM387" s="9">
        <f>IF( AND(SnapshotTable[[#This Row],[Equity Shares]] &gt;0,ISNUMBER( SnapshotTable[[#This Row],[Long Term Target]])),(SnapshotTable[[#This Row],[Equity Shares]] * SnapshotTable[[#This Row],[Long Term Target]]) - SnapshotTable[[#This Row],[Equity Basis Total]],0)</f>
        <v>0</v>
      </c>
      <c r="AN387" s="9">
        <f>IF( AND(SnapshotTable[[#This Row],[Equity Shares]] &gt;0,ISNUMBER( SnapshotTable[[#This Row],[Long Term Target]])),(SnapshotTable[[#This Row],[Equity Shares]]*SnapshotTable[[#This Row],[Long Term Target]]) - SnapshotTable[[#This Row],[Equity Value]],0)</f>
        <v>0</v>
      </c>
      <c r="AO387" s="152" t="str">
        <f>IF(AND(ISNUMBER( SnapshotTable[[#This Row],[Long Term Target]]), ISNUMBER(SnapshotTable[[#This Row],[Last Price]])),(SnapshotTable[[#This Row],[Long Term Target]] - SnapshotTable[[#This Row],[Last Price]]) / SnapshotTable[[#This Row],[Last Price]], "")</f>
        <v/>
      </c>
      <c r="AP387" s="5"/>
      <c r="AQ387" s="38"/>
      <c r="AR387" s="5"/>
      <c r="AS387" s="38"/>
      <c r="AT387" s="146"/>
      <c r="AU387" s="187" t="str">
        <f>IF(OR(SnapshotTable[[#This Row],[LP No Fill]]="Y",SnapshotTable[[#This Row],[SP Is Filled]],SnapshotTable[[#This Row],[LC Not Filled]]="Y",SnapshotTable[[#This Row],[SC Is Filled]]),"Y","")</f>
        <v/>
      </c>
      <c r="AV387" s="219"/>
      <c r="AW387" s="225"/>
      <c r="AX387" s="220"/>
      <c r="AY387" s="219" t="str">
        <f>IF(SnapshotTable[[#This Row],[Implied Move]]&gt;0, SnapshotTable[[#This Row],[Last Price]]-SnapshotTable[[#This Row],[Implied Move]],"")</f>
        <v/>
      </c>
      <c r="AZ387" s="219" t="str">
        <f>IF(SnapshotTable[[#This Row],[Implied Move]]&gt;0, SnapshotTable[[#This Row],[Last Price]] + SnapshotTable[[#This Row],[Implied Move]],"")</f>
        <v/>
      </c>
      <c r="BA387" s="331">
        <v>0.31</v>
      </c>
      <c r="BB387" s="347"/>
      <c r="BC38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7" s="351"/>
      <c r="BE387" s="5"/>
      <c r="BF387" s="14"/>
      <c r="BG387" s="13"/>
      <c r="BH387" s="13"/>
      <c r="BI387" s="5"/>
      <c r="BJ387" s="136">
        <f>IF(SnapshotTable[[#This Row],[LP Qty]] &gt; 0, SnapshotTable[[#This Row],[LP Qty]] * SnapshotTable[[#This Row],[LP Book Price]] * 100,0)</f>
        <v>0</v>
      </c>
      <c r="BK387" s="136">
        <f>IF(SnapshotTable[[#This Row],[LP Premium]] &gt; 0, SnapshotTable[[#This Row],[LP Qty]] * SnapshotTable[[#This Row],[LP Strike Price]] * 100,0)</f>
        <v>0</v>
      </c>
      <c r="BL387" s="154"/>
      <c r="BM387" s="385" t="str">
        <f>IF(SnapshotTable[[#This Row],[LP Premium]] &gt; 0,SnapshotTable[[#This Row],[LP Exp Date]]-MAX(SnapshotTable[[#This Row],[LP Book Date]], SnapshotTable[[#This Row],[LP Fill Date]]),"")</f>
        <v/>
      </c>
      <c r="BN387" s="385" t="str">
        <f>IF(ISNUMBER( SnapshotTable[[#This Row],[LP Term]]), SnapshotTable[[#This Row],[LP Exp Date]] - MockToday,"")</f>
        <v/>
      </c>
      <c r="BO387" s="163" t="str">
        <f>IF(AND(SnapshotTable[[#This Row],[LP Exp Date]]&gt;0, SnapshotTable[[#This Row],[LP Strike Price]]&gt;0,SnapshotTable[[#This Row],[LP Qty]]&gt;0,SnapshotTable[[#This Row],[LP Book Date]]&gt;0,SnapshotTable[[#This Row],[LP Book Price]]&gt;0,SnapshotTable[[#This Row],[LP Fill Date]]=0),"Y","")</f>
        <v/>
      </c>
      <c r="BP387" s="31" t="str">
        <f>IF(AND(SnapshotTable[[#This Row],[LP No Fill]]&lt;&gt;"Y",SnapshotTable[[#This Row],[LP Contract Value]]&gt;0, SnapshotTable[[#This Row],[LP Qty]]&gt;0), SnapshotTable[[#This Row],[LP Contract Value]]*SnapshotTable[[#This Row],[LP Qty]]*100,"")</f>
        <v/>
      </c>
      <c r="BQ387" s="13"/>
      <c r="BR387" s="5" t="str">
        <f>IF(SnapshotTable[[#This Row],[SP Exp Date]]&lt;&gt;"",TRUNC(SnapshotTable[[#This Row],[Last Price]]),"")</f>
        <v/>
      </c>
      <c r="BS387" s="36"/>
      <c r="BT387" s="147"/>
      <c r="BU387" s="13"/>
      <c r="BV387" s="5"/>
      <c r="BW387" s="419" t="b">
        <f>AND(ISNUMBER(SnapshotTable[[#This Row],[SP Exp Date]]), ISNUMBER(SnapshotTable[[#This Row],[SP Strike Price]]), ISNUMBER(SnapshotTable[[#This Row],[SP Qty]]), ISNUMBER(SnapshotTable[[#This Row],[SP Book Date]]), ISNUMBER(SnapshotTable[[#This Row],[SP Book Price]]))</f>
        <v>0</v>
      </c>
      <c r="BX387" s="419" t="b">
        <f>AND(SnapshotTable[[#This Row],[SP Is Booked]], NOT(ISBLANK(SnapshotTable[[#This Row],[SP Fill Date]])))</f>
        <v>0</v>
      </c>
      <c r="BY387" s="33">
        <f>IF(SnapshotTable[[#This Row],[SP Is Booked]], SnapshotTable[[#This Row],[SP Qty]] * SnapshotTable[[#This Row],[SP Book Price]] * 100, 0)</f>
        <v>0</v>
      </c>
      <c r="BZ387" s="369"/>
      <c r="CA387" s="368">
        <f>SnapshotTable[[#This Row],[LP Qty]]</f>
        <v>0</v>
      </c>
      <c r="CB387" s="4" t="str">
        <f>IF(SnapshotTable[[#This Row],[SP Is Booked]], SnapshotTable[[#This Row],[SP Strike Price]] - SnapshotTable[[#This Row],[SP Book Price]], "")</f>
        <v/>
      </c>
      <c r="CC387" s="19" t="str">
        <f>IF(SnapshotTable[[#This Row],[SP Is Booked]],SnapshotTable[[#This Row],[SP Exp Date]]-MAX(SnapshotTable[[#This Row],[SP Book Date]], SnapshotTable[[#This Row],[SP Fill Date]]),"")</f>
        <v/>
      </c>
      <c r="CD387" s="7" t="str">
        <f>IF(SnapshotTable[[#This Row],[SP Is Booked]], SnapshotTable[[#This Row],[SP Book Price]]/SnapshotTable[[#This Row],[SP Strike Price]], "")</f>
        <v/>
      </c>
      <c r="CE387" s="7" t="str">
        <f>IF(ISNUMBER(SnapshotTable[[#This Row],[SP ROO Term]]),SnapshotTable[[#This Row],[SP ROO Term]]*(365/SnapshotTable[[#This Row],[SP Term]]),"")</f>
        <v/>
      </c>
      <c r="CF387" s="236">
        <f>SnapshotTable[[#This Row],[LP Strike Price]] * SnapshotTable[[#This Row],[LP Qty]] * 100</f>
        <v>0</v>
      </c>
      <c r="CG387" s="31" t="e">
        <f>IF(ISNUMBER(SnapshotTable[[#This Row],[SP Premium]]), (SnapshotTable[[#This Row],[SP Qty]] * SnapshotTable[[#This Row],[SP Strike Price]]* 100) - SnapshotTable[[#This Row],[LP Protection]], 0)</f>
        <v>#VALUE!</v>
      </c>
      <c r="CH387" s="7" t="str">
        <f>IF(ISNUMBER(SnapshotTable[[#This Row],[SP Break Even]]),-1 * (SnapshotTable[[#This Row],[SP Break Even]] - SnapshotTable[[#This Row],[Last Price]]) / SnapshotTable[[#This Row],[Last Price]], "")</f>
        <v/>
      </c>
      <c r="CI387" s="31">
        <f>IF(AND(ISNUMBER((SnapshotTable[[#This Row],[SP Potential Spend]])), SnapshotTable[[#This Row],[SP Strike Price]] &gt; SnapshotTable[[#This Row],[Last Price]], SnapshotTable[[#This Row],[SP Is Filled]]), SnapshotTable[[#This Row],[SP Potential Spend]] -  SnapshotTable[[#This Row],[LP Max Value]], 0)</f>
        <v>0</v>
      </c>
      <c r="CJ387" s="244"/>
      <c r="CK387" s="31" t="str">
        <f>IF(ISNUMBER(SnapshotTable[[#This Row],[SP Potential Spend]]),IF(ISNUMBER(SnapshotTable[[#This Row],[SP POW]]), SnapshotTable[[#This Row],[SP POW]] * SnapshotTable[[#This Row],[SP Potential Spend]], SnapshotTable[[#This Row],[SP Potential Spend]]), "")</f>
        <v/>
      </c>
      <c r="CL387" s="164" t="e">
        <f>IF(NOT(SnapshotTable[[#This Row],[SP Is Filled]]),(SnapshotTable[[#This Row],[SP Qty]] * SnapshotTable[[#This Row],[SP Strike Price]] * 100) - SnapshotTable[[#This Row],[LP Max Value]],"")</f>
        <v>#VALUE!</v>
      </c>
      <c r="CM387" s="31" t="str">
        <f>IF(SnapshotTable[[#This Row],[SP Actual Spend]]&lt;&gt;0, ((SnapshotTable[[#This Row],[SP Strike Price]]-SnapshotTable[[#This Row],[Last Price]]) *(SnapshotTable[[#This Row],[SP Qty]]*100) - SnapshotTable[[#This Row],[SP Premium]]) * - 1, "")</f>
        <v/>
      </c>
      <c r="CN387" s="78"/>
      <c r="CO387" s="369"/>
      <c r="CP387" s="4" t="str">
        <f>IF(SnapshotTable[[#This Row],[SP Is Filled]], btc_max_buyback_amount(SnapshotTable[[#This Row],[SP Fill Date]],SnapshotTable[[#This Row],[SP Exp Date]], SnapshotTable[[#This Row],[SP Book Price]]),"")</f>
        <v/>
      </c>
      <c r="CQ387" s="78"/>
      <c r="CR38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7" s="155" t="str">
        <f>IF(SnapshotTable[[#This Row],[SP Is Filled]], btc_next_cutoff_date(SnapshotTable[[#This Row],[SP Fill Date]],SnapshotTable[[#This Row],[SP Exp Date]]),"")</f>
        <v/>
      </c>
      <c r="CT387" s="235" t="str" cm="1">
        <f t="array" ref="CT387">IF(SnapshotTable[[#This Row],[SP Is Filled]], btc_should_buy_back(SnapshotTable[[#This Row],[SP Fill Date]], SnapshotTable[[#This Row],[SP Exp Date]], SnapshotTable[[#This Row],[SP Book Price]], SnapshotTable[[#This Row],[SP Current Ask]], MockToday, SnapshotTable[[#This Row],[SP Buyback Override]]),"")</f>
        <v/>
      </c>
      <c r="CU387" s="156"/>
      <c r="CV387" s="235"/>
      <c r="CW387" s="378" t="str">
        <f>IF(ISNUMBER( SnapshotTable[[#This Row],[SP Term]]), SnapshotTable[[#This Row],[SP Exp Date]] - MockToday,"")</f>
        <v/>
      </c>
      <c r="CX387" s="31" t="str">
        <f>IF(SnapshotTable[[#This Row],[SP Is Filled]],SnapshotTable[[#This Row],[SP Buyback Price to Use]] * 100 * SnapshotTable[[#This Row],[SP Qty]], "")</f>
        <v/>
      </c>
      <c r="CY387" s="4" t="str">
        <f>IF(ISNUMBER(SnapshotTable[[#This Row],[SP Strike Price]]), SnapshotTable[[#This Row],[SP Strike Price]] * (1 - SP_MaxLoss_StrikePct), "")</f>
        <v/>
      </c>
      <c r="CZ387" s="31" t="str">
        <f>IF(ISNUMBER(SnapshotTable[[#This Row],[SP Strike  Stop Per Share]]),SnapshotTable[[#This Row],[SP Premium]] - ((SnapshotTable[[#This Row],[SP Strike Price]]-SnapshotTable[[#This Row],[SP Strike  Stop Per Share]]) *(SnapshotTable[[#This Row],[SP Qty]] * 100)),"")</f>
        <v/>
      </c>
      <c r="DA387" s="4" t="str">
        <f>IF(AND(ISNUMBER(SnapshotTable[[#This Row],[SP Premium]]),SnapshotTable[[#This Row],[SP Premium]]&gt;0), SnapshotTable[[#This Row],[SP Book Price]] * (1 + SP_MaxLoss_OptionPct), "")</f>
        <v/>
      </c>
      <c r="DB387" s="31" t="str">
        <f>IF(ISNUMBER(SnapshotTable[[#This Row],[SP Option  Stop Contract]]),(SnapshotTable[[#This Row],[SP Option  Stop Contract]] *(SnapshotTable[[#This Row],[SP Qty]] * 100) - SnapshotTable[[#This Row],[SP Premium]]),"")</f>
        <v/>
      </c>
      <c r="DC387" s="4"/>
      <c r="DD387" s="4"/>
      <c r="DE387" s="4" t="str">
        <f>IF(AND(SnapshotTable[[#This Row],[SP Qty]]&gt;0, SnapshotTable[[#This Row],[SP Stop To Use]]&gt;0),SnapshotTable[[#This Row],[SP Premium]] - ( SnapshotTable[[#This Row],[SP Qty]] * SnapshotTable[[#This Row],[SP Stop To Use]] * 100), "")</f>
        <v/>
      </c>
      <c r="DF387" s="31" t="str">
        <f>IF(AND(SnapshotTable[[#This Row],[SP Qty]]&gt;0,SnapshotTable[[#This Row],[SP Current Ask]]&gt;0), SnapshotTable[[#This Row],[SP Qty]] * SnapshotTable[[#This Row],[SP Current Ask]] * -100, "")</f>
        <v/>
      </c>
      <c r="DG387" s="31" t="str">
        <f>IF(ISNUMBER((SnapshotTable[[#This Row],[SP Total Value]])), SnapshotTable[[#This Row],[SP Premium]] + SnapshotTable[[#This Row],[SP Total Value]], "")</f>
        <v/>
      </c>
      <c r="DH387" s="294" t="str">
        <f>IF(ISNUMBER((SnapshotTable[[#This Row],[SP Total Value]])), SnapshotTable[[#This Row],[SP Gain Loss]] / SnapshotTable[[#This Row],[SP Premium]], "")</f>
        <v/>
      </c>
      <c r="DI387" s="406"/>
      <c r="DJ387" s="138"/>
      <c r="DK387" s="148"/>
      <c r="DL387" s="13"/>
      <c r="DM387" s="13"/>
      <c r="DO387" s="31">
        <f>IF(SnapshotTable[[#This Row],[LC Symbol Count]]=1, SnapshotTable[[#This Row],[LC Qty]] * SnapshotTable[[#This Row],[LC Book Price]] * 100, 0)</f>
        <v>0</v>
      </c>
      <c r="DP387" s="163" t="str">
        <f>IF(AND(SnapshotTable[[#This Row],[LC Exp Date]]&gt;0, SnapshotTable[[#This Row],[LC Strike Price]]&gt;0,SnapshotTable[[#This Row],[LC Qty]]&gt;0,SnapshotTable[[#This Row],[LC Book Date]]&gt;0,SnapshotTable[[#This Row],[LC Book Price]]&gt;0,SnapshotTable[[#This Row],[LC Fill Date]]=0),"Y","")</f>
        <v/>
      </c>
      <c r="DQ387" s="386" t="str">
        <f>IF(SnapshotTable[[#This Row],[LC Premium]] &gt; 0,SnapshotTable[[#This Row],[LC Exp Date]]-MAX(SnapshotTable[[#This Row],[LC Book Date]], SnapshotTable[[#This Row],[LC Fill Date]]),"")</f>
        <v/>
      </c>
      <c r="DR387" s="386" t="str">
        <f>IF(ISNUMBER(SnapshotTable[[#This Row],[LC Term]]), SnapshotTable[[#This Row],[LC Exp Date]] - MockToday, "")</f>
        <v/>
      </c>
      <c r="DS387" s="234" t="str">
        <f>IF(SnapshotTable[[#This Row],[LC Premium]]&gt;0,SnapshotTable[[#This Row],[LC Strike Price]] + SnapshotTable[[#This Row],[LC Book Price]],"")</f>
        <v/>
      </c>
      <c r="DU387" s="9" t="str">
        <f>IF(AND(SnapshotTable[[#This Row],[LC Symbol Count]]&gt;0, SnapshotTable[[#This Row],[LC Contract Value]]&gt;0), SnapshotTable[[#This Row],[LC Contract Value]] * SnapshotTable[[#This Row],[LC Qty]] * 100, "")</f>
        <v/>
      </c>
      <c r="DV387" s="9" t="str">
        <f>IF(AND(ISNUMBER(SnapshotTable[[#This Row],[LC Total Value]]), SnapshotTable[[#This Row],[LC Not Filled]]&lt;&gt;"Y"), SnapshotTable[[#This Row],[LC Total Value]]-SnapshotTable[[#This Row],[LC Premium]],"")</f>
        <v/>
      </c>
      <c r="DW387" s="240" t="str">
        <f>IF(ISNUMBER(SnapshotTable[[#This Row],[LC Actual Gain Loss]]), SnapshotTable[[#This Row],[LC Actual Gain Loss]] / SnapshotTable[[#This Row],[LC Premium]],"")</f>
        <v/>
      </c>
      <c r="DX387" s="284" t="str">
        <f>IF(ISNUMBER(SnapshotTable[[#This Row],[LC Book Price]]),SnapshotTable[[#This Row],[LC Book Price]] * 1.5,"")</f>
        <v/>
      </c>
      <c r="DY387" s="265" t="str">
        <f>IF(SnapshotTable[[#This Row],[LC Premium]]&gt;0, SnapshotTable[[#This Row],[LC Next Target]] * SnapshotTable[[#This Row],[LC Qty]] * 100,"")</f>
        <v/>
      </c>
      <c r="DZ387" s="265" t="str">
        <f>IF(ISNUMBER(SnapshotTable[[#This Row],[LC Target Gross]]), SnapshotTable[[#This Row],[LC Target Gross]] - SnapshotTable[[#This Row],[LC Premium]], "")</f>
        <v/>
      </c>
      <c r="EA387" s="305" t="str">
        <f>IF(ISNUMBER(SnapshotTable[[#This Row],[LC Target Gain Loss]]), SnapshotTable[[#This Row],[LC Target Gain Loss]]/SnapshotTable[[#This Row],[LC Premium]], "")</f>
        <v/>
      </c>
      <c r="EB387" s="262"/>
      <c r="EC387" s="283" t="str">
        <f>IF(SnapshotTable[[#This Row],[LC Premium]]&gt;0, SnapshotTable[[#This Row],[LC Book Price]] * (1 - LC_StopLoss_Pct),"")</f>
        <v/>
      </c>
      <c r="ED387" s="284"/>
      <c r="EE387" s="283" t="str">
        <f>IF(ISNUMBER(SnapshotTable[[#This Row],[LC Contract Value]]),IF(ISNUMBER(SnapshotTable[[#This Row],[LC Stop Loss Override]]), SnapshotTable[[#This Row],[LC Stop Loss Override]],SnapshotTable[[#This Row],[LC Stop Loss Calc Target]]),"")</f>
        <v/>
      </c>
      <c r="EF387" s="31" t="str">
        <f>IF(ISNUMBER(SnapshotTable[[#This Row],[LC Stop  To Use]]), (SnapshotTable[[#This Row],[LC Stop  To Use]] * SnapshotTable[[#This Row],[LC Qty]] * 100),"")</f>
        <v/>
      </c>
      <c r="EG387" s="9" t="str">
        <f>IF(ISNUMBER(SnapshotTable[[#This Row],[LC Total Value]]),SnapshotTable[[#This Row],[LC Stop Loss Amount]] - SnapshotTable[[#This Row],[LC Premium]],"")</f>
        <v/>
      </c>
      <c r="EH387" s="9">
        <f>IF(ISNUMBER(SnapshotTable[[#This Row],[LC Premium]]), SnapshotTable[[#This Row],[LC Qty]] * 100 * SnapshotTable[[#This Row],[LC Strike Price]], "")</f>
        <v>0</v>
      </c>
      <c r="EI387" s="240" t="str">
        <f>IF(AND(ISNUMBER(SnapshotTable[[#This Row],[LC Total Value]]),SnapshotTable[[#This Row],[LC Total Value]]&gt;0),SnapshotTable[[#This Row],[LC Stop Gain Loss]]  / SnapshotTable[[#This Row],[LC Premium]],"")</f>
        <v/>
      </c>
      <c r="EJ387" s="35">
        <f>IF(ISNUMBER(SnapshotTable[[#This Row],[Equity Shares]]),TRUNC(SnapshotTable[[#This Row],[Equity Shares]] / 100),0) + SnapshotTable[[#This Row],[LC Qty]]</f>
        <v>70</v>
      </c>
      <c r="EK387" s="147"/>
      <c r="EL387" s="138" t="str">
        <f>IF(SnapshotTable[[#This Row],[SC Exp Date]]&lt;&gt;"",TRUNC(SnapshotTable[[#This Row],[Last Price]]),"")</f>
        <v/>
      </c>
      <c r="EM387" s="148"/>
      <c r="EN387" s="147"/>
      <c r="EO387" s="147"/>
      <c r="EP387" s="138"/>
      <c r="EQ387" s="419" t="b">
        <f>AND(ISNUMBER(SnapshotTable[[#This Row],[SC Exp Date]]), ISNUMBER(SnapshotTable[[#This Row],[SC Strike Price]]), ISNUMBER(SnapshotTable[[#This Row],[SC Qty]]), ISNUMBER(SnapshotTable[[#This Row],[SC Book Date]]), ISNUMBER(SnapshotTable[[#This Row],[SC Book Price]]))</f>
        <v>0</v>
      </c>
      <c r="ER387" s="419" t="b">
        <f>AND(SnapshotTable[[#This Row],[SC Is Booked]], NOT(ISBLANK(SnapshotTable[[#This Row],[SC Fill Date]])))</f>
        <v>0</v>
      </c>
      <c r="ES387" s="370"/>
      <c r="ET387" s="34" t="str">
        <f>IF(AND(ISNUMBER(SnapshotTable[[#This Row],[SC Exp Date]]), ISNUMBER(SnapshotTable[[#This Row],[SC Book Date]])), SnapshotTable[[#This Row],[SC Exp Date]] - MAX(SnapshotTable[[#This Row],[SC Book Date]], SnapshotTable[[#This Row],[SC Fill Date]]) + 1, "")</f>
        <v/>
      </c>
      <c r="EU387" s="34" t="str">
        <f>IF(ISNUMBER(SnapshotTable[[#This Row],[SC Term]]), SnapshotTable[[#This Row],[SC Exp Date]]- MockToday, "")</f>
        <v/>
      </c>
      <c r="EV387" s="31">
        <f>IF(SnapshotTable[[#This Row],[SC Is Booked]], SnapshotTable[[#This Row],[SC Qty]] * SnapshotTable[[#This Row],[SC Book Price]] * 100, 0)</f>
        <v>0</v>
      </c>
      <c r="EW387" s="4" t="str">
        <f>IF(AND(ISNUMBER(SnapshotTable[[#This Row],[Last Price]]), ISNUMBER( SnapshotTable[[#This Row],[SC Book Price]])), SnapshotTable[[#This Row],[Last Price]] - SnapshotTable[[#This Row],[SC Book Price]],"")</f>
        <v/>
      </c>
      <c r="EX387" s="234" t="str">
        <f>IF(SnapshotTable[[#This Row],[SC Is Booked]],IF(SnapshotTable[[#This Row],[SC Intrinsic Value]] &gt; 0, SnapshotTable[[#This Row],[SC Strike Price]], SnapshotTable[[#This Row],[Last Price]]), "")</f>
        <v/>
      </c>
      <c r="EY387" s="4">
        <f>IF(SnapshotTable[[#This Row],[SC Is Booked]], (MinimumPremiumRequired * SnapshotTable[[#This Row],[SC Basis]] * SnapshotTable[[#This Row],[SC Term]]), 0)</f>
        <v>0</v>
      </c>
      <c r="EZ387" s="283"/>
      <c r="FA387" s="218"/>
      <c r="FB387" s="370"/>
      <c r="FC387" s="4">
        <f>IF(SnapshotTable[[#This Row],[SC Is Filled]], btc_max_buyback_amount(SnapshotTable[[#This Row],[SC Fill Date]],SnapshotTable[[#This Row],[SC Exp Date]], SnapshotTable[[#This Row],[SC Book Price]]),0)</f>
        <v>0</v>
      </c>
      <c r="FD387" s="5"/>
      <c r="FE387" s="144" t="str">
        <f>IF(SnapshotTable[[#This Row],[SC Is Filled]], btc_next_cutoff_date(SnapshotTable[[#This Row],[SC Fill Date]],SnapshotTable[[#This Row],[SC Exp Date]]),"")</f>
        <v/>
      </c>
      <c r="FF387" s="4" t="str" cm="1">
        <f t="array" ref="FF387">IF(SnapshotTable[[#This Row],[SC Is Filled]], btc_should_buy_back(SnapshotTable[[#This Row],[SC Fill Date]], SnapshotTable[[#This Row],[SC Exp Date]], SnapshotTable[[#This Row],[SC Book Price]], SnapshotTable[[#This Row],[SC Current Ask]], MockToday, SnapshotTable[[#This Row],[SC Buyback Override]]),"")</f>
        <v/>
      </c>
      <c r="FG387" s="4">
        <f>IF(SnapshotTable[[#This Row],[SC Is Filled]], MAX(0,SnapshotTable[[#This Row],[Last Price]]  - SnapshotTable[[#This Row],[SC Strike Price]]), 0)</f>
        <v>0</v>
      </c>
      <c r="FH387" s="382">
        <f>IF(SnapshotTable[[#This Row],[SC Is Filled]], IF(ISNUMBER(SnapshotTable[[#This Row],[SC Current Ask]]), SnapshotTable[[#This Row],[SC Current Ask]], SnapshotTable[[#This Row],[SC Book Price]]) - SnapshotTable[[#This Row],[SC Intrinsic Value]], 0)</f>
        <v>0</v>
      </c>
      <c r="FI387" s="143"/>
      <c r="FJ387" s="32" t="str">
        <f>IF(SnapshotTable[[#This Row],[SC Is Filled]],100 * SnapshotTable[[#This Row],[SC Qty]] * IF(ISNUMBER(SnapshotTable[[#This Row],[SC Buyback Override]]), SnapshotTable[[#This Row],[SC Buyback Override]], SnapshotTable[[#This Row],[SC Current Ask]]), "")</f>
        <v/>
      </c>
      <c r="FK387" s="250" t="str">
        <f>IF(SnapshotTable[[#This Row],[SC Time Val]]&gt;0, SnapshotTable[[#This Row],[SC Time Val]] / SnapshotTable[[#This Row],[Last Price]],"")</f>
        <v/>
      </c>
      <c r="FL387" s="302" t="str">
        <f>IF(SnapshotTable[[#This Row],[SC Is Booked]], ((SnapshotTable[[#This Row],[Last Price]] -SnapshotTable[[#This Row],[SC Strike Price]]) / SnapshotTable[[#This Row],[Last Price]]) * -1, "")</f>
        <v/>
      </c>
      <c r="FM387" s="157" t="str">
        <f>IF(SnapshotTable[[#This Row],[SC Is Booked]],  (SnapshotTable[[#This Row],[SC Qty]] * 100 * SnapshotTable[[#This Row],[SC Strike Price]]) - SnapshotTable[[#This Row],[SC Current Ask]], "")</f>
        <v/>
      </c>
      <c r="FN38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7" s="31" t="str">
        <f>IF(AND(ISNUMBER(SnapshotTable[[#This Row],[SC Exercise Gross]]), ISNUMBER(SnapshotTable[[#This Row],[Equity Basis Per Share]] )), SnapshotTable[[#This Row],[SC Exercise Gross]] - SnapshotTable[[#This Row],[Equity Basis Total]] +  SnapshotTable[[#This Row],[SC Premium]], "")</f>
        <v/>
      </c>
      <c r="FP387" s="5" t="str">
        <f>IF(ISNUMBER(SnapshotTable[[#This Row],[SC Exercise Gross]]), (SnapshotTable[[#This Row],[SC Exercise Gross]]) / (SnapshotTable[[#This Row],[SC Qty]] * 100), "")</f>
        <v/>
      </c>
      <c r="FQ387" s="27" t="str">
        <f>IF(SnapshotTable[[#This Row],[SC Is Booked]],SnapshotTable[[#This Row],[SC Time Val]] /SnapshotTable[[#This Row],[SC Basis]], "")</f>
        <v/>
      </c>
      <c r="FR387" s="27" t="str" cm="1">
        <f t="array" ref="FR387">IF(AND(ISNUMBER(SnapshotTable[[#This Row],[SC Term]]),ISNUMBER(SnapshotTable[[#This Row],[SC Simple ROO]])), EllmanAnnualize(SnapshotTable[[#This Row],[SC DTE]], SnapshotTable[[#This Row],[SC Simple ROO]] ),"")</f>
        <v/>
      </c>
      <c r="FS387" s="4" t="e">
        <f>IF(SnapshotTable[[#This Row],[SC Strike Price]] &gt; SnapshotTable[[#This Row],[Last Price]], SnapshotTable[[#This Row],[SC Strike Price]] - SnapshotTable[[#This Row],[Last Price]],0)</f>
        <v>#VALUE!</v>
      </c>
      <c r="FT387" s="27" t="e">
        <f>IF(AND(ISNUMBER(SnapshotTable[[#This Row],[SC Upside Potential]]), SnapshotTable[[#This Row],[SC Upside Potential]] &gt; 0),(SnapshotTable[[#This Row],[SC Upside Potential]]/ SnapshotTable[[#This Row],[ACB]]),"")</f>
        <v>#VALUE!</v>
      </c>
      <c r="FU387" s="333" t="str">
        <f>IF(SnapshotTable[[#This Row],[SC Intrinsic Value]] &gt; 0,SnapshotTable[[#This Row],[SC Intrinsic Value]],"")</f>
        <v/>
      </c>
      <c r="FV387" s="27" t="str">
        <f>IF(AND( ISNUMBER( SnapshotTable[[#This Row],[ACB]]),ISNUMBER(SnapshotTable[[#This Row],[SC Downside Protect]])),SnapshotTable[[#This Row],[SC Downside Protect]] / SnapshotTable[[#This Row],[ACB]],"")</f>
        <v/>
      </c>
      <c r="FW387" s="236" t="str">
        <f>IF(AND(ISNUMBER(SnapshotTable[[#This Row],[SC Simple ROO]]),SnapshotTable[[#This Row],[SC Simple ROO]] &gt; 0), SnapshotTable[[#This Row],[SC Premium]] + (SnapshotTable[[#This Row],[SC Qty]] * SnapshotTable[[#This Row],[SC Upside Potential]]), "")</f>
        <v/>
      </c>
      <c r="FX387" s="302" t="str" cm="1">
        <f t="array" ref="FX387">IF(ISNUMBER(SnapshotTable[[#This Row],[SC Max Dollars]]), annualize(SnapshotTable[[#This Row],[SC Term]],(SnapshotTable[[#This Row],[SC Max Dollars]]/SnapshotTable[[#This Row],[SC Basis]])),"")</f>
        <v/>
      </c>
      <c r="FY387" s="236" t="str">
        <f>IF(AND(SnapshotTable[[#This Row],[SC Qty]]&gt;0,SnapshotTable[[#This Row],[SC Current Ask]]&gt;0), SnapshotTable[[#This Row],[SC Qty]] * SnapshotTable[[#This Row],[SC Current Ask]] * -100, "")</f>
        <v/>
      </c>
      <c r="FZ387" s="31" t="str">
        <f>IF(ISNUMBER((SnapshotTable[[#This Row],[SC Current Value]])), SnapshotTable[[#This Row],[SC Premium]] + SnapshotTable[[#This Row],[SC Current Value]], "")</f>
        <v/>
      </c>
      <c r="GA387" s="294" t="str">
        <f>IFERROR( IF(ISNUMBER((SnapshotTable[[#This Row],[SC Current Value]])), SnapshotTable[[#This Row],[SC Gain Loss]] / SnapshotTable[[#This Row],[SC Premium]], ""), "")</f>
        <v/>
      </c>
      <c r="GB387" s="42">
        <f>SnapshotTable[[#This Row],[Equity Shares]] * SaleSharesToConsiderPercentage</f>
        <v>1400</v>
      </c>
      <c r="GC387" s="40">
        <f>SnapshotTable[[#This Row],[Long Term Target]] * SellingPriceToConsiderBasedOnTargetPercentage</f>
        <v>0</v>
      </c>
      <c r="GD387" s="40">
        <f>SnapshotTable[[#This Row],[Last Price]] * (1+ SellingPriceToConsiderBasedOnTargetPercentage)</f>
        <v>1.8915</v>
      </c>
      <c r="GE387" s="41"/>
      <c r="GF387" s="40"/>
      <c r="GG387" s="31">
        <f>SnapshotTable[[#This Row],[Booked Sale Shares]] * SnapshotTable[[#This Row],[Booked Sale Price]]</f>
        <v>0</v>
      </c>
      <c r="GH387" s="31">
        <f>IF(SnapshotTable[[#This Row],[Equity Basis Total]] &gt; 0, SnapshotTable[[#This Row],[Equity Basis Per Share]] * SnapshotTable[[#This Row],[Booked Sale Shares]], "")</f>
        <v>0</v>
      </c>
      <c r="GI387" s="31">
        <f>IF(SnapshotTable[[#This Row],[Sale Proceeds]]&gt;0, SnapshotTable[[#This Row],[Sale Proceeds]] - SnapshotTable[[#This Row],[Sale Basis]], 0)</f>
        <v>0</v>
      </c>
      <c r="GJ387" s="27" t="str">
        <f>IF(SnapshotTable[[#This Row],[Sale G/L]]&gt;0, SnapshotTable[[#This Row],[Sale G/L]] / SnapshotTable[[#This Row],[Sale Basis]], IF(ISNUMBER(SnapshotTable[[#This Row],[SC Exercise P&amp;L (TAX)]]), SnapshotTable[[#This Row],[SC Exercise P&amp;L (TAX)]] / SnapshotTable[[#This Row],[SC Basis]], ""))</f>
        <v/>
      </c>
      <c r="GK387" s="27"/>
      <c r="GL387" s="43" t="str">
        <f>IF(AND(SnapshotTable[[#This Row],[LP Exp Date]]&gt;0,SnapshotTable[[#This Row],[LP Strike Price]]&gt;0), [1]!ToOptionSymbol(SnapshotTable[[#This Row],[Symbol]], SnapshotTable[[#This Row],[LP Strike Price]],SnapshotTable[[#This Row],[LP Exp Date]],1), "")</f>
        <v/>
      </c>
      <c r="GM387" s="30" t="str">
        <f>IF(LEN(SnapshotTable[[#This Row],[LP Symbol]])&gt;0, 1, "")</f>
        <v/>
      </c>
      <c r="GN387" s="43" t="str">
        <f>IF(AND(SnapshotTable[[#This Row],[SP Exp Date]]&gt;0,SnapshotTable[[#This Row],[SP Strike Price]]&gt;0), [1]!ToOptionSymbol(SnapshotTable[[#This Row],[Symbol]], SnapshotTable[[#This Row],[SP Strike Price]],SnapshotTable[[#This Row],[SP Exp Date]],1), "")</f>
        <v/>
      </c>
      <c r="GO387" s="30" t="str">
        <f>IF(LEN(SnapshotTable[[#This Row],[SP Symbol]])&gt;0, 1, "")</f>
        <v/>
      </c>
      <c r="GP387" s="43" t="str">
        <f>IF(AND(SnapshotTable[[#This Row],[LC Exp Date]]&gt;0,SnapshotTable[[#This Row],[LC Strike Price]]&gt;0), [1]!ToOptionSymbol(SnapshotTable[[#This Row],[Symbol]], SnapshotTable[[#This Row],[LC Strike Price]],SnapshotTable[[#This Row],[LC Exp Date]],0), "")</f>
        <v/>
      </c>
      <c r="GQ387" s="30" t="str">
        <f>IF(LEN(SnapshotTable[[#This Row],[LC Symbol]])&gt;0, 1, "")</f>
        <v/>
      </c>
      <c r="GR387" s="43" t="str">
        <f>IF(AND(SnapshotTable[[#This Row],[SC Exp Date]]&gt;0,SnapshotTable[[#This Row],[SC Strike Price]]&gt;0), [1]!ToOptionSymbol(SnapshotTable[[#This Row],[Symbol]], SnapshotTable[[#This Row],[SC Strike Price]],SnapshotTable[[#This Row],[SC Exp Date]],0), "")</f>
        <v/>
      </c>
      <c r="GS387" s="30" t="str">
        <f>IF(LEN(SnapshotTable[[#This Row],[SC Symbol]])&gt;0, 1, "")</f>
        <v/>
      </c>
      <c r="GT387" s="29" t="str">
        <f>IF(COUNT(SnapshotTable[[#This Row],[LP Symbol Count]],SnapshotTable[[#This Row],[SP Symbol Count]],SnapshotTable[[#This Row],[LC Symbol Count]],SnapshotTable[[#This Row],[SC Symbol Count]])&gt;0, "Y", "")</f>
        <v/>
      </c>
      <c r="GU38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87" s="231" t="e">
        <f>MAX(SnapshotTable[[#This Row],[Equity Basis Total]],SnapshotTable[[#This Row],[Equity Value]]) + (SnapshotTable[[#This Row],[SP Potential Spend]]- SnapshotTable[[#This Row],[SP Premium]] + SnapshotTable[[#This Row],[LP Premium]])+ (SnapshotTable[[#This Row],[LC Premium]] - SnapshotTable[[#This Row],[SC Premium]])</f>
        <v>#VALUE!</v>
      </c>
      <c r="GW387" s="139" t="e">
        <f>IF(AND(SnapshotTable[[#This Row],[Exposure]] &lt;&gt; 0),SnapshotTable[[#This Row],[Exposure]] / SnapshotTable[[#Totals],[Exposure]], "")</f>
        <v>#VALUE!</v>
      </c>
      <c r="GX387" s="13"/>
      <c r="HE387" s="268"/>
      <c r="HF387" s="268"/>
      <c r="HK387" s="1"/>
      <c r="HL387" s="1"/>
      <c r="HM387" s="1"/>
      <c r="HN387" s="1"/>
      <c r="HO387" s="1"/>
      <c r="HP387" s="1"/>
    </row>
    <row r="388" spans="2:224" ht="12.75" hidden="1" customHeight="1" x14ac:dyDescent="0.25">
      <c r="B388" s="12" t="s">
        <v>1258</v>
      </c>
      <c r="C388" s="422">
        <v>1.58</v>
      </c>
      <c r="D388" s="208"/>
      <c r="E388" s="39">
        <f>SnapshotTable[[#This Row],[Last Price]]*(1 -CrashDiscount)</f>
        <v>1.343</v>
      </c>
      <c r="F388" s="325" t="s">
        <v>208</v>
      </c>
      <c r="G388" s="325" t="s">
        <v>41</v>
      </c>
      <c r="H388" s="149"/>
      <c r="I388" s="194"/>
      <c r="J388" s="195"/>
      <c r="K388" s="196"/>
      <c r="L388" s="326"/>
      <c r="M388" s="140"/>
      <c r="N388" s="140"/>
      <c r="O388" s="140"/>
      <c r="P388" s="22">
        <v>1000</v>
      </c>
      <c r="Q388" s="25">
        <v>2030</v>
      </c>
      <c r="R388" s="4">
        <f>IF(SnapshotTable[[#This Row],[Equity Basis Total]] &gt; 0, SnapshotTable[[#This Row],[Equity Basis Total]] / SnapshotTable[[#This Row],[Equity Shares]], "")</f>
        <v>2.0299999999999998</v>
      </c>
      <c r="S388" s="269">
        <f>SnapshotTable[[#This Row],[Last Price]] * SnapshotTable[[#This Row],[Equity Shares]]</f>
        <v>1580</v>
      </c>
      <c r="T388" s="269">
        <f>SnapshotTable[[#This Row],[Equity Value]] - SnapshotTable[[#This Row],[Equity Basis Total]]</f>
        <v>-450</v>
      </c>
      <c r="U388" s="270">
        <f>IF(SnapshotTable[[#This Row],[Equity Basis Total]] &gt; 0, SnapshotTable[[#This Row],[Equity G/L]] / SnapshotTable[[#This Row],[Equity Basis Total]], "")</f>
        <v>-0.22167487684729065</v>
      </c>
      <c r="V388" s="268">
        <v>2.5</v>
      </c>
      <c r="W388" s="268"/>
      <c r="X388" s="4">
        <f>IF(AND(ISNUMBER(SnapshotTable[[#This Row],[Equity Basis Per Share]]),ISNUMBER(SnapshotTable[[#This Row],[Equity Target]])),SnapshotTable[[#This Row],[Equity Target]]-SnapshotTable[[#This Row],[Equity Basis Per Share]],"")</f>
        <v>0.4700000000000002</v>
      </c>
      <c r="Y388" s="4" t="str">
        <f>IF(AND(ISNUMBER(SnapshotTable[[#This Row],[Equity Basis Per Share]]),ISNUMBER(SnapshotTable[[#This Row],[Equity Stop Loss]])),SnapshotTable[[#This Row],[Equity Stop Loss]]-SnapshotTable[[#This Row],[Equity Basis Per Share]],"")</f>
        <v/>
      </c>
      <c r="Z388" s="275" t="str">
        <f>IFERROR( TEXT(SnapshotTable[[#This Row],[Equity Max Gain Per Share]] /ABS( SnapshotTable[[#This Row],[Equity Max Loss Per Share]]),"0.0 " ) &amp; " : 1", "")</f>
        <v/>
      </c>
      <c r="AA388" s="31">
        <f>IF(ISNUMBER(SnapshotTable[[#This Row],[Equity Max Gain Per Share]]),SnapshotTable[[#This Row],[Equity Max Gain Per Share]] * SnapshotTable[[#This Row],[Equity Shares]],"")</f>
        <v>470.00000000000017</v>
      </c>
      <c r="AB388" s="31" t="str">
        <f>IF(ISNUMBER(SnapshotTable[[#This Row],[Equity Max Loss Per Share]]),SnapshotTable[[#This Row],[Equity Max Loss Per Share]] * SnapshotTable[[#This Row],[Equity Shares]],"")</f>
        <v/>
      </c>
      <c r="AC388" s="150"/>
      <c r="AD388" s="151"/>
      <c r="AE388" s="31">
        <f>(SnapshotTable[[#This Row],[Annual Dividend Per Share]] / 4) * SnapshotTable[[#This Row],[Equity Shares]]</f>
        <v>0</v>
      </c>
      <c r="AF388" s="31">
        <f>SnapshotTable[[#This Row],[Quarterly Div $]] * 4</f>
        <v>0</v>
      </c>
      <c r="AG388" s="7">
        <f>IF(SnapshotTable[[#This Row],[Annual Dividend Per Share]]&gt;0, SnapshotTable[[#This Row],[Annual Dividend Per Share]]  / SnapshotTable[[#This Row],[Last Price]], 0)</f>
        <v>0</v>
      </c>
      <c r="AH388" s="151"/>
      <c r="AI388" s="5"/>
      <c r="AJ388" s="138"/>
      <c r="AK388" s="152" t="str">
        <f>IF(ISNUMBER( SnapshotTable[[#This Row],[EBF Target]]),(SnapshotTable[[#This Row],[EBF Target]] - SnapshotTable[[#This Row],[Last Price]]) / SnapshotTable[[#This Row],[Last Price]], "")</f>
        <v/>
      </c>
      <c r="AL388" s="152" t="str">
        <f>IF(AND(SnapshotTable[[#This Row],[Equity Basis Total]] &gt; 0,ISNUMBER( SnapshotTable[[#This Row],[Long Term Target]])), SnapshotTable[[#This Row],[From Basis $]] / SnapshotTable[[#This Row],[Equity Basis Total]], "")</f>
        <v/>
      </c>
      <c r="AM388" s="9">
        <f>IF( AND(SnapshotTable[[#This Row],[Equity Shares]] &gt;0,ISNUMBER( SnapshotTable[[#This Row],[Long Term Target]])),(SnapshotTable[[#This Row],[Equity Shares]] * SnapshotTable[[#This Row],[Long Term Target]]) - SnapshotTable[[#This Row],[Equity Basis Total]],0)</f>
        <v>0</v>
      </c>
      <c r="AN388" s="9">
        <f>IF( AND(SnapshotTable[[#This Row],[Equity Shares]] &gt;0,ISNUMBER( SnapshotTable[[#This Row],[Long Term Target]])),(SnapshotTable[[#This Row],[Equity Shares]]*SnapshotTable[[#This Row],[Long Term Target]]) - SnapshotTable[[#This Row],[Equity Value]],0)</f>
        <v>0</v>
      </c>
      <c r="AO388" s="152" t="str">
        <f>IF(AND(ISNUMBER( SnapshotTable[[#This Row],[Long Term Target]]), ISNUMBER(SnapshotTable[[#This Row],[Last Price]])),(SnapshotTable[[#This Row],[Long Term Target]] - SnapshotTable[[#This Row],[Last Price]]) / SnapshotTable[[#This Row],[Last Price]], "")</f>
        <v/>
      </c>
      <c r="AP388" s="5"/>
      <c r="AQ388" s="38"/>
      <c r="AR388" s="5"/>
      <c r="AS388" s="38"/>
      <c r="AT388" s="146"/>
      <c r="AU388" s="187" t="str">
        <f>IF(OR(SnapshotTable[[#This Row],[LP No Fill]]="Y",SnapshotTable[[#This Row],[SP Is Filled]],SnapshotTable[[#This Row],[LC Not Filled]]="Y",SnapshotTable[[#This Row],[SC Is Filled]]),"Y","")</f>
        <v/>
      </c>
      <c r="AV388" s="219"/>
      <c r="AW388" s="225"/>
      <c r="AX388" s="220"/>
      <c r="AY388" s="219" t="str">
        <f>IF(SnapshotTable[[#This Row],[Implied Move]]&gt;0, SnapshotTable[[#This Row],[Last Price]]-SnapshotTable[[#This Row],[Implied Move]],"")</f>
        <v/>
      </c>
      <c r="AZ388" s="219" t="str">
        <f>IF(SnapshotTable[[#This Row],[Implied Move]]&gt;0, SnapshotTable[[#This Row],[Last Price]] + SnapshotTable[[#This Row],[Implied Move]],"")</f>
        <v/>
      </c>
      <c r="BA388" s="331">
        <v>1.68</v>
      </c>
      <c r="BB388" s="347"/>
      <c r="BC38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8" s="351"/>
      <c r="BE388" s="5"/>
      <c r="BF388" s="14"/>
      <c r="BG388" s="13"/>
      <c r="BH388" s="13"/>
      <c r="BI388" s="5"/>
      <c r="BJ388" s="136">
        <f>IF(SnapshotTable[[#This Row],[LP Qty]] &gt; 0, SnapshotTable[[#This Row],[LP Qty]] * SnapshotTable[[#This Row],[LP Book Price]] * 100,0)</f>
        <v>0</v>
      </c>
      <c r="BK388" s="136">
        <f>IF(SnapshotTable[[#This Row],[LP Premium]] &gt; 0, SnapshotTable[[#This Row],[LP Qty]] * SnapshotTable[[#This Row],[LP Strike Price]] * 100,0)</f>
        <v>0</v>
      </c>
      <c r="BL388" s="154"/>
      <c r="BM388" s="385" t="str">
        <f>IF(SnapshotTable[[#This Row],[LP Premium]] &gt; 0,SnapshotTable[[#This Row],[LP Exp Date]]-MAX(SnapshotTable[[#This Row],[LP Book Date]], SnapshotTable[[#This Row],[LP Fill Date]]),"")</f>
        <v/>
      </c>
      <c r="BN388" s="385" t="str">
        <f>IF(ISNUMBER( SnapshotTable[[#This Row],[LP Term]]), SnapshotTable[[#This Row],[LP Exp Date]] - MockToday,"")</f>
        <v/>
      </c>
      <c r="BO388" s="163" t="str">
        <f>IF(AND(SnapshotTable[[#This Row],[LP Exp Date]]&gt;0, SnapshotTable[[#This Row],[LP Strike Price]]&gt;0,SnapshotTable[[#This Row],[LP Qty]]&gt;0,SnapshotTable[[#This Row],[LP Book Date]]&gt;0,SnapshotTable[[#This Row],[LP Book Price]]&gt;0,SnapshotTable[[#This Row],[LP Fill Date]]=0),"Y","")</f>
        <v/>
      </c>
      <c r="BP388" s="31" t="str">
        <f>IF(AND(SnapshotTable[[#This Row],[LP No Fill]]&lt;&gt;"Y",SnapshotTable[[#This Row],[LP Contract Value]]&gt;0, SnapshotTable[[#This Row],[LP Qty]]&gt;0), SnapshotTable[[#This Row],[LP Contract Value]]*SnapshotTable[[#This Row],[LP Qty]]*100,"")</f>
        <v/>
      </c>
      <c r="BQ388" s="13"/>
      <c r="BR388" s="5" t="str">
        <f>IF(SnapshotTable[[#This Row],[SP Exp Date]]&lt;&gt;"",TRUNC(SnapshotTable[[#This Row],[Last Price]]),"")</f>
        <v/>
      </c>
      <c r="BS388" s="36"/>
      <c r="BT388" s="147"/>
      <c r="BU388" s="13"/>
      <c r="BV388" s="5"/>
      <c r="BW388" s="419" t="b">
        <f>AND(ISNUMBER(SnapshotTable[[#This Row],[SP Exp Date]]), ISNUMBER(SnapshotTable[[#This Row],[SP Strike Price]]), ISNUMBER(SnapshotTable[[#This Row],[SP Qty]]), ISNUMBER(SnapshotTable[[#This Row],[SP Book Date]]), ISNUMBER(SnapshotTable[[#This Row],[SP Book Price]]))</f>
        <v>0</v>
      </c>
      <c r="BX388" s="419" t="b">
        <f>AND(SnapshotTable[[#This Row],[SP Is Booked]], NOT(ISBLANK(SnapshotTable[[#This Row],[SP Fill Date]])))</f>
        <v>0</v>
      </c>
      <c r="BY388" s="33">
        <f>IF(SnapshotTable[[#This Row],[SP Is Booked]], SnapshotTable[[#This Row],[SP Qty]] * SnapshotTable[[#This Row],[SP Book Price]] * 100, 0)</f>
        <v>0</v>
      </c>
      <c r="BZ388" s="369"/>
      <c r="CA388" s="368">
        <f>SnapshotTable[[#This Row],[LP Qty]]</f>
        <v>0</v>
      </c>
      <c r="CB388" s="4" t="str">
        <f>IF(SnapshotTable[[#This Row],[SP Is Booked]], SnapshotTable[[#This Row],[SP Strike Price]] - SnapshotTable[[#This Row],[SP Book Price]], "")</f>
        <v/>
      </c>
      <c r="CC388" s="19" t="str">
        <f>IF(SnapshotTable[[#This Row],[SP Is Booked]],SnapshotTable[[#This Row],[SP Exp Date]]-MAX(SnapshotTable[[#This Row],[SP Book Date]], SnapshotTable[[#This Row],[SP Fill Date]]),"")</f>
        <v/>
      </c>
      <c r="CD388" s="7" t="str">
        <f>IF(SnapshotTable[[#This Row],[SP Is Booked]], SnapshotTable[[#This Row],[SP Book Price]]/SnapshotTable[[#This Row],[SP Strike Price]], "")</f>
        <v/>
      </c>
      <c r="CE388" s="7" t="str">
        <f>IF(ISNUMBER(SnapshotTable[[#This Row],[SP ROO Term]]),SnapshotTable[[#This Row],[SP ROO Term]]*(365/SnapshotTable[[#This Row],[SP Term]]),"")</f>
        <v/>
      </c>
      <c r="CF388" s="236">
        <f>SnapshotTable[[#This Row],[LP Strike Price]] * SnapshotTable[[#This Row],[LP Qty]] * 100</f>
        <v>0</v>
      </c>
      <c r="CG388" s="31" t="e">
        <f>IF(ISNUMBER(SnapshotTable[[#This Row],[SP Premium]]), (SnapshotTable[[#This Row],[SP Qty]] * SnapshotTable[[#This Row],[SP Strike Price]]* 100) - SnapshotTable[[#This Row],[LP Protection]], 0)</f>
        <v>#VALUE!</v>
      </c>
      <c r="CH388" s="7" t="str">
        <f>IF(ISNUMBER(SnapshotTable[[#This Row],[SP Break Even]]),-1 * (SnapshotTable[[#This Row],[SP Break Even]] - SnapshotTable[[#This Row],[Last Price]]) / SnapshotTable[[#This Row],[Last Price]], "")</f>
        <v/>
      </c>
      <c r="CI388" s="31">
        <f>IF(AND(ISNUMBER((SnapshotTable[[#This Row],[SP Potential Spend]])), SnapshotTable[[#This Row],[SP Strike Price]] &gt; SnapshotTable[[#This Row],[Last Price]], SnapshotTable[[#This Row],[SP Is Filled]]), SnapshotTable[[#This Row],[SP Potential Spend]] -  SnapshotTable[[#This Row],[LP Max Value]], 0)</f>
        <v>0</v>
      </c>
      <c r="CJ388" s="244"/>
      <c r="CK388" s="31" t="str">
        <f>IF(ISNUMBER(SnapshotTable[[#This Row],[SP Potential Spend]]),IF(ISNUMBER(SnapshotTable[[#This Row],[SP POW]]), SnapshotTable[[#This Row],[SP POW]] * SnapshotTable[[#This Row],[SP Potential Spend]], SnapshotTable[[#This Row],[SP Potential Spend]]), "")</f>
        <v/>
      </c>
      <c r="CL388" s="164" t="e">
        <f>IF(NOT(SnapshotTable[[#This Row],[SP Is Filled]]),(SnapshotTable[[#This Row],[SP Qty]] * SnapshotTable[[#This Row],[SP Strike Price]] * 100) - SnapshotTable[[#This Row],[LP Max Value]],"")</f>
        <v>#VALUE!</v>
      </c>
      <c r="CM388" s="31" t="str">
        <f>IF(SnapshotTable[[#This Row],[SP Actual Spend]]&lt;&gt;0, ((SnapshotTable[[#This Row],[SP Strike Price]]-SnapshotTable[[#This Row],[Last Price]]) *(SnapshotTable[[#This Row],[SP Qty]]*100) - SnapshotTable[[#This Row],[SP Premium]]) * - 1, "")</f>
        <v/>
      </c>
      <c r="CN388" s="78"/>
      <c r="CO388" s="369"/>
      <c r="CP388" s="4" t="str">
        <f>IF(SnapshotTable[[#This Row],[SP Is Filled]], btc_max_buyback_amount(SnapshotTable[[#This Row],[SP Fill Date]],SnapshotTable[[#This Row],[SP Exp Date]], SnapshotTable[[#This Row],[SP Book Price]]),"")</f>
        <v/>
      </c>
      <c r="CQ388" s="78"/>
      <c r="CR38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8" s="155" t="str">
        <f>IF(SnapshotTable[[#This Row],[SP Is Filled]], btc_next_cutoff_date(SnapshotTable[[#This Row],[SP Fill Date]],SnapshotTable[[#This Row],[SP Exp Date]]),"")</f>
        <v/>
      </c>
      <c r="CT388" s="235" t="str" cm="1">
        <f t="array" ref="CT388">IF(SnapshotTable[[#This Row],[SP Is Filled]], btc_should_buy_back(SnapshotTable[[#This Row],[SP Fill Date]], SnapshotTable[[#This Row],[SP Exp Date]], SnapshotTable[[#This Row],[SP Book Price]], SnapshotTable[[#This Row],[SP Current Ask]], MockToday, SnapshotTable[[#This Row],[SP Buyback Override]]),"")</f>
        <v/>
      </c>
      <c r="CU388" s="143"/>
      <c r="CV388" s="235"/>
      <c r="CW388" s="378" t="str">
        <f>IF(ISNUMBER( SnapshotTable[[#This Row],[SP Term]]), SnapshotTable[[#This Row],[SP Exp Date]] - MockToday,"")</f>
        <v/>
      </c>
      <c r="CX388" s="31" t="str">
        <f>IF(SnapshotTable[[#This Row],[SP Is Filled]],SnapshotTable[[#This Row],[SP Buyback Price to Use]] * 100 * SnapshotTable[[#This Row],[SP Qty]], "")</f>
        <v/>
      </c>
      <c r="CY388" s="4" t="str">
        <f>IF(ISNUMBER(SnapshotTable[[#This Row],[SP Strike Price]]), SnapshotTable[[#This Row],[SP Strike Price]] * (1 - SP_MaxLoss_StrikePct), "")</f>
        <v/>
      </c>
      <c r="CZ388" s="31" t="str">
        <f>IF(ISNUMBER(SnapshotTable[[#This Row],[SP Strike  Stop Per Share]]),SnapshotTable[[#This Row],[SP Premium]] - ((SnapshotTable[[#This Row],[SP Strike Price]]-SnapshotTable[[#This Row],[SP Strike  Stop Per Share]]) *(SnapshotTable[[#This Row],[SP Qty]] * 100)),"")</f>
        <v/>
      </c>
      <c r="DA388" s="4" t="str">
        <f>IF(AND(ISNUMBER(SnapshotTable[[#This Row],[SP Premium]]),SnapshotTable[[#This Row],[SP Premium]]&gt;0), SnapshotTable[[#This Row],[SP Book Price]] * (1 + SP_MaxLoss_OptionPct), "")</f>
        <v/>
      </c>
      <c r="DB388" s="31" t="str">
        <f>IF(ISNUMBER(SnapshotTable[[#This Row],[SP Option  Stop Contract]]),(SnapshotTable[[#This Row],[SP Option  Stop Contract]] *(SnapshotTable[[#This Row],[SP Qty]] * 100) - SnapshotTable[[#This Row],[SP Premium]]),"")</f>
        <v/>
      </c>
      <c r="DC388" s="4"/>
      <c r="DD388" s="4"/>
      <c r="DE388" s="4" t="str">
        <f>IF(AND(SnapshotTable[[#This Row],[SP Qty]]&gt;0, SnapshotTable[[#This Row],[SP Stop To Use]]&gt;0),SnapshotTable[[#This Row],[SP Premium]] - ( SnapshotTable[[#This Row],[SP Qty]] * SnapshotTable[[#This Row],[SP Stop To Use]] * 100), "")</f>
        <v/>
      </c>
      <c r="DF388" s="31" t="str">
        <f>IF(AND(SnapshotTable[[#This Row],[SP Qty]]&gt;0,SnapshotTable[[#This Row],[SP Current Ask]]&gt;0), SnapshotTable[[#This Row],[SP Qty]] * SnapshotTable[[#This Row],[SP Current Ask]] * -100, "")</f>
        <v/>
      </c>
      <c r="DG388" s="31" t="str">
        <f>IF(ISNUMBER((SnapshotTable[[#This Row],[SP Total Value]])), SnapshotTable[[#This Row],[SP Premium]] + SnapshotTable[[#This Row],[SP Total Value]], "")</f>
        <v/>
      </c>
      <c r="DH388" s="294" t="str">
        <f>IF(ISNUMBER((SnapshotTable[[#This Row],[SP Total Value]])), SnapshotTable[[#This Row],[SP Gain Loss]] / SnapshotTable[[#This Row],[SP Premium]], "")</f>
        <v/>
      </c>
      <c r="DI388" s="406"/>
      <c r="DJ388" s="138"/>
      <c r="DK388" s="148"/>
      <c r="DL388" s="13"/>
      <c r="DM388" s="13"/>
      <c r="DO388" s="31">
        <f>IF(SnapshotTable[[#This Row],[LC Symbol Count]]=1, SnapshotTable[[#This Row],[LC Qty]] * SnapshotTable[[#This Row],[LC Book Price]] * 100, 0)</f>
        <v>0</v>
      </c>
      <c r="DP388" s="163" t="str">
        <f>IF(AND(SnapshotTable[[#This Row],[LC Exp Date]]&gt;0, SnapshotTable[[#This Row],[LC Strike Price]]&gt;0,SnapshotTable[[#This Row],[LC Qty]]&gt;0,SnapshotTable[[#This Row],[LC Book Date]]&gt;0,SnapshotTable[[#This Row],[LC Book Price]]&gt;0,SnapshotTable[[#This Row],[LC Fill Date]]=0),"Y","")</f>
        <v/>
      </c>
      <c r="DQ388" s="386" t="str">
        <f>IF(SnapshotTable[[#This Row],[LC Premium]] &gt; 0,SnapshotTable[[#This Row],[LC Exp Date]]-MAX(SnapshotTable[[#This Row],[LC Book Date]], SnapshotTable[[#This Row],[LC Fill Date]]),"")</f>
        <v/>
      </c>
      <c r="DR388" s="386" t="str">
        <f>IF(ISNUMBER(SnapshotTable[[#This Row],[LC Term]]), SnapshotTable[[#This Row],[LC Exp Date]] - MockToday, "")</f>
        <v/>
      </c>
      <c r="DS388" s="234" t="str">
        <f>IF(SnapshotTable[[#This Row],[LC Premium]]&gt;0,SnapshotTable[[#This Row],[LC Strike Price]] + SnapshotTable[[#This Row],[LC Book Price]],"")</f>
        <v/>
      </c>
      <c r="DU388" s="9" t="str">
        <f>IF(AND(SnapshotTable[[#This Row],[LC Symbol Count]]&gt;0, SnapshotTable[[#This Row],[LC Contract Value]]&gt;0), SnapshotTable[[#This Row],[LC Contract Value]] * SnapshotTable[[#This Row],[LC Qty]] * 100, "")</f>
        <v/>
      </c>
      <c r="DV388" s="9" t="str">
        <f>IF(AND(ISNUMBER(SnapshotTable[[#This Row],[LC Total Value]]), SnapshotTable[[#This Row],[LC Not Filled]]&lt;&gt;"Y"), SnapshotTable[[#This Row],[LC Total Value]]-SnapshotTable[[#This Row],[LC Premium]],"")</f>
        <v/>
      </c>
      <c r="DW388" s="240" t="str">
        <f>IF(ISNUMBER(SnapshotTable[[#This Row],[LC Actual Gain Loss]]), SnapshotTable[[#This Row],[LC Actual Gain Loss]] / SnapshotTable[[#This Row],[LC Premium]],"")</f>
        <v/>
      </c>
      <c r="DX388" s="284" t="str">
        <f>IF(ISNUMBER(SnapshotTable[[#This Row],[LC Book Price]]),SnapshotTable[[#This Row],[LC Book Price]] * 1.5,"")</f>
        <v/>
      </c>
      <c r="DY388" s="265" t="str">
        <f>IF(SnapshotTable[[#This Row],[LC Premium]]&gt;0, SnapshotTable[[#This Row],[LC Next Target]] * SnapshotTable[[#This Row],[LC Qty]] * 100,"")</f>
        <v/>
      </c>
      <c r="DZ388" s="265" t="str">
        <f>IF(ISNUMBER(SnapshotTable[[#This Row],[LC Target Gross]]), SnapshotTable[[#This Row],[LC Target Gross]] - SnapshotTable[[#This Row],[LC Premium]], "")</f>
        <v/>
      </c>
      <c r="EA388" s="305" t="str">
        <f>IF(ISNUMBER(SnapshotTable[[#This Row],[LC Target Gain Loss]]), SnapshotTable[[#This Row],[LC Target Gain Loss]]/SnapshotTable[[#This Row],[LC Premium]], "")</f>
        <v/>
      </c>
      <c r="EB388" s="262"/>
      <c r="EC388" s="283" t="str">
        <f>IF(SnapshotTable[[#This Row],[LC Premium]]&gt;0, SnapshotTable[[#This Row],[LC Book Price]] * (1 - LC_StopLoss_Pct),"")</f>
        <v/>
      </c>
      <c r="ED388" s="284"/>
      <c r="EE388" s="283" t="str">
        <f>IF(ISNUMBER(SnapshotTable[[#This Row],[LC Contract Value]]),IF(ISNUMBER(SnapshotTable[[#This Row],[LC Stop Loss Override]]), SnapshotTable[[#This Row],[LC Stop Loss Override]],SnapshotTable[[#This Row],[LC Stop Loss Calc Target]]),"")</f>
        <v/>
      </c>
      <c r="EF388" s="31" t="str">
        <f>IF(ISNUMBER(SnapshotTable[[#This Row],[LC Stop  To Use]]), (SnapshotTable[[#This Row],[LC Stop  To Use]] * SnapshotTable[[#This Row],[LC Qty]] * 100),"")</f>
        <v/>
      </c>
      <c r="EG388" s="9" t="str">
        <f>IF(ISNUMBER(SnapshotTable[[#This Row],[LC Total Value]]),SnapshotTable[[#This Row],[LC Stop Loss Amount]] - SnapshotTable[[#This Row],[LC Premium]],"")</f>
        <v/>
      </c>
      <c r="EH388" s="9">
        <f>IF(ISNUMBER(SnapshotTable[[#This Row],[LC Premium]]), SnapshotTable[[#This Row],[LC Qty]] * 100 * SnapshotTable[[#This Row],[LC Strike Price]], "")</f>
        <v>0</v>
      </c>
      <c r="EI388" s="240" t="str">
        <f>IF(AND(ISNUMBER(SnapshotTable[[#This Row],[LC Total Value]]),SnapshotTable[[#This Row],[LC Total Value]]&gt;0),SnapshotTable[[#This Row],[LC Stop Gain Loss]]  / SnapshotTable[[#This Row],[LC Premium]],"")</f>
        <v/>
      </c>
      <c r="EJ388" s="35">
        <f>IF(ISNUMBER(SnapshotTable[[#This Row],[Equity Shares]]),TRUNC(SnapshotTable[[#This Row],[Equity Shares]] / 100),0) + SnapshotTable[[#This Row],[LC Qty]]</f>
        <v>10</v>
      </c>
      <c r="EK388" s="147"/>
      <c r="EL388" s="138" t="str">
        <f>IF(SnapshotTable[[#This Row],[SC Exp Date]]&lt;&gt;"",TRUNC(SnapshotTable[[#This Row],[Last Price]]),"")</f>
        <v/>
      </c>
      <c r="EM388" s="148"/>
      <c r="EN388" s="147"/>
      <c r="EO388" s="147"/>
      <c r="EP388" s="138"/>
      <c r="EQ388" s="419" t="b">
        <f>AND(ISNUMBER(SnapshotTable[[#This Row],[SC Exp Date]]), ISNUMBER(SnapshotTable[[#This Row],[SC Strike Price]]), ISNUMBER(SnapshotTable[[#This Row],[SC Qty]]), ISNUMBER(SnapshotTable[[#This Row],[SC Book Date]]), ISNUMBER(SnapshotTable[[#This Row],[SC Book Price]]))</f>
        <v>0</v>
      </c>
      <c r="ER388" s="419" t="b">
        <f>AND(SnapshotTable[[#This Row],[SC Is Booked]], NOT(ISBLANK(SnapshotTable[[#This Row],[SC Fill Date]])))</f>
        <v>0</v>
      </c>
      <c r="ES388" s="370"/>
      <c r="ET388" s="34" t="str">
        <f>IF(AND(ISNUMBER(SnapshotTable[[#This Row],[SC Exp Date]]), ISNUMBER(SnapshotTable[[#This Row],[SC Book Date]])), SnapshotTable[[#This Row],[SC Exp Date]] - MAX(SnapshotTable[[#This Row],[SC Book Date]], SnapshotTable[[#This Row],[SC Fill Date]]) + 1, "")</f>
        <v/>
      </c>
      <c r="EU388" s="34" t="str">
        <f>IF(ISNUMBER(SnapshotTable[[#This Row],[SC Term]]), SnapshotTable[[#This Row],[SC Exp Date]]- MockToday, "")</f>
        <v/>
      </c>
      <c r="EV388" s="31">
        <f>IF(SnapshotTable[[#This Row],[SC Is Booked]], SnapshotTable[[#This Row],[SC Qty]] * SnapshotTable[[#This Row],[SC Book Price]] * 100, 0)</f>
        <v>0</v>
      </c>
      <c r="EW388" s="4" t="str">
        <f>IF(AND(ISNUMBER(SnapshotTable[[#This Row],[Last Price]]), ISNUMBER( SnapshotTable[[#This Row],[SC Book Price]])), SnapshotTable[[#This Row],[Last Price]] - SnapshotTable[[#This Row],[SC Book Price]],"")</f>
        <v/>
      </c>
      <c r="EX388" s="234" t="str">
        <f>IF(SnapshotTable[[#This Row],[SC Is Booked]],IF(SnapshotTable[[#This Row],[SC Intrinsic Value]] &gt; 0, SnapshotTable[[#This Row],[SC Strike Price]], SnapshotTable[[#This Row],[Last Price]]), "")</f>
        <v/>
      </c>
      <c r="EY388" s="4">
        <f>IF(SnapshotTable[[#This Row],[SC Is Booked]], (MinimumPremiumRequired * SnapshotTable[[#This Row],[SC Basis]] * SnapshotTable[[#This Row],[SC Term]]), 0)</f>
        <v>0</v>
      </c>
      <c r="EZ388" s="283"/>
      <c r="FA388" s="218"/>
      <c r="FB388" s="370"/>
      <c r="FC388" s="4">
        <f>IF(SnapshotTable[[#This Row],[SC Is Filled]], btc_max_buyback_amount(SnapshotTable[[#This Row],[SC Fill Date]],SnapshotTable[[#This Row],[SC Exp Date]], SnapshotTable[[#This Row],[SC Book Price]]),0)</f>
        <v>0</v>
      </c>
      <c r="FD388" s="5"/>
      <c r="FE388" s="144" t="str">
        <f>IF(SnapshotTable[[#This Row],[SC Is Filled]], btc_next_cutoff_date(SnapshotTable[[#This Row],[SC Fill Date]],SnapshotTable[[#This Row],[SC Exp Date]]),"")</f>
        <v/>
      </c>
      <c r="FF388" s="4" t="str" cm="1">
        <f t="array" ref="FF388">IF(SnapshotTable[[#This Row],[SC Is Filled]], btc_should_buy_back(SnapshotTable[[#This Row],[SC Fill Date]], SnapshotTable[[#This Row],[SC Exp Date]], SnapshotTable[[#This Row],[SC Book Price]], SnapshotTable[[#This Row],[SC Current Ask]], MockToday, SnapshotTable[[#This Row],[SC Buyback Override]]),"")</f>
        <v/>
      </c>
      <c r="FG388" s="4">
        <f>IF(SnapshotTable[[#This Row],[SC Is Filled]], MAX(0,SnapshotTable[[#This Row],[Last Price]]  - SnapshotTable[[#This Row],[SC Strike Price]]), 0)</f>
        <v>0</v>
      </c>
      <c r="FH388" s="382">
        <f>IF(SnapshotTable[[#This Row],[SC Is Filled]], IF(ISNUMBER(SnapshotTable[[#This Row],[SC Current Ask]]), SnapshotTable[[#This Row],[SC Current Ask]], SnapshotTable[[#This Row],[SC Book Price]]) - SnapshotTable[[#This Row],[SC Intrinsic Value]], 0)</f>
        <v>0</v>
      </c>
      <c r="FI388" s="143"/>
      <c r="FJ388" s="32" t="str">
        <f>IF(SnapshotTable[[#This Row],[SC Is Filled]],100 * SnapshotTable[[#This Row],[SC Qty]] * IF(ISNUMBER(SnapshotTable[[#This Row],[SC Buyback Override]]), SnapshotTable[[#This Row],[SC Buyback Override]], SnapshotTable[[#This Row],[SC Current Ask]]), "")</f>
        <v/>
      </c>
      <c r="FK388" s="250" t="str">
        <f>IF(SnapshotTable[[#This Row],[SC Time Val]]&gt;0, SnapshotTable[[#This Row],[SC Time Val]] / SnapshotTable[[#This Row],[Last Price]],"")</f>
        <v/>
      </c>
      <c r="FL388" s="302" t="str">
        <f>IF(SnapshotTable[[#This Row],[SC Is Booked]], ((SnapshotTable[[#This Row],[Last Price]] -SnapshotTable[[#This Row],[SC Strike Price]]) / SnapshotTable[[#This Row],[Last Price]]) * -1, "")</f>
        <v/>
      </c>
      <c r="FM388" s="157" t="str">
        <f>IF(SnapshotTable[[#This Row],[SC Is Booked]],  (SnapshotTable[[#This Row],[SC Qty]] * 100 * SnapshotTable[[#This Row],[SC Strike Price]]) - SnapshotTable[[#This Row],[SC Current Ask]], "")</f>
        <v/>
      </c>
      <c r="FN38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8" s="31" t="str">
        <f>IF(AND(ISNUMBER(SnapshotTable[[#This Row],[SC Exercise Gross]]), ISNUMBER(SnapshotTable[[#This Row],[Equity Basis Per Share]] )), SnapshotTable[[#This Row],[SC Exercise Gross]] - SnapshotTable[[#This Row],[Equity Basis Total]] +  SnapshotTable[[#This Row],[SC Premium]], "")</f>
        <v/>
      </c>
      <c r="FP388" s="5" t="str">
        <f>IF(ISNUMBER(SnapshotTable[[#This Row],[SC Exercise Gross]]), (SnapshotTable[[#This Row],[SC Exercise Gross]]) / (SnapshotTable[[#This Row],[SC Qty]] * 100), "")</f>
        <v/>
      </c>
      <c r="FQ388" s="27" t="str">
        <f>IF(SnapshotTable[[#This Row],[SC Is Booked]],SnapshotTable[[#This Row],[SC Time Val]] /SnapshotTable[[#This Row],[SC Basis]], "")</f>
        <v/>
      </c>
      <c r="FR388" s="27" t="str" cm="1">
        <f t="array" ref="FR388">IF(AND(ISNUMBER(SnapshotTable[[#This Row],[SC Term]]),ISNUMBER(SnapshotTable[[#This Row],[SC Simple ROO]])), EllmanAnnualize(SnapshotTable[[#This Row],[SC DTE]], SnapshotTable[[#This Row],[SC Simple ROO]] ),"")</f>
        <v/>
      </c>
      <c r="FS388" s="4" t="e">
        <f>IF(SnapshotTable[[#This Row],[SC Strike Price]] &gt; SnapshotTable[[#This Row],[Last Price]], SnapshotTable[[#This Row],[SC Strike Price]] - SnapshotTable[[#This Row],[Last Price]],0)</f>
        <v>#VALUE!</v>
      </c>
      <c r="FT388" s="27" t="e">
        <f>IF(AND(ISNUMBER(SnapshotTable[[#This Row],[SC Upside Potential]]), SnapshotTable[[#This Row],[SC Upside Potential]] &gt; 0),(SnapshotTable[[#This Row],[SC Upside Potential]]/ SnapshotTable[[#This Row],[ACB]]),"")</f>
        <v>#VALUE!</v>
      </c>
      <c r="FU388" s="333" t="str">
        <f>IF(SnapshotTable[[#This Row],[SC Intrinsic Value]] &gt; 0,SnapshotTable[[#This Row],[SC Intrinsic Value]],"")</f>
        <v/>
      </c>
      <c r="FV388" s="27" t="str">
        <f>IF(AND( ISNUMBER( SnapshotTable[[#This Row],[ACB]]),ISNUMBER(SnapshotTable[[#This Row],[SC Downside Protect]])),SnapshotTable[[#This Row],[SC Downside Protect]] / SnapshotTable[[#This Row],[ACB]],"")</f>
        <v/>
      </c>
      <c r="FW388" s="236" t="str">
        <f>IF(AND(ISNUMBER(SnapshotTable[[#This Row],[SC Simple ROO]]),SnapshotTable[[#This Row],[SC Simple ROO]] &gt; 0), SnapshotTable[[#This Row],[SC Premium]] + (SnapshotTable[[#This Row],[SC Qty]] * SnapshotTable[[#This Row],[SC Upside Potential]]), "")</f>
        <v/>
      </c>
      <c r="FX388" s="302" t="str" cm="1">
        <f t="array" ref="FX388">IF(ISNUMBER(SnapshotTable[[#This Row],[SC Max Dollars]]), annualize(SnapshotTable[[#This Row],[SC Term]],(SnapshotTable[[#This Row],[SC Max Dollars]]/SnapshotTable[[#This Row],[SC Basis]])),"")</f>
        <v/>
      </c>
      <c r="FY388" s="236" t="str">
        <f>IF(AND(SnapshotTable[[#This Row],[SC Qty]]&gt;0,SnapshotTable[[#This Row],[SC Current Ask]]&gt;0), SnapshotTable[[#This Row],[SC Qty]] * SnapshotTable[[#This Row],[SC Current Ask]] * -100, "")</f>
        <v/>
      </c>
      <c r="FZ388" s="31" t="str">
        <f>IF(ISNUMBER((SnapshotTable[[#This Row],[SC Current Value]])), SnapshotTable[[#This Row],[SC Premium]] + SnapshotTable[[#This Row],[SC Current Value]], "")</f>
        <v/>
      </c>
      <c r="GA388" s="294" t="str">
        <f>IFERROR( IF(ISNUMBER((SnapshotTable[[#This Row],[SC Current Value]])), SnapshotTable[[#This Row],[SC Gain Loss]] / SnapshotTable[[#This Row],[SC Premium]], ""), "")</f>
        <v/>
      </c>
      <c r="GB388" s="42">
        <f>SnapshotTable[[#This Row],[Equity Shares]] * SaleSharesToConsiderPercentage</f>
        <v>200</v>
      </c>
      <c r="GC388" s="40">
        <f>SnapshotTable[[#This Row],[Long Term Target]] * SellingPriceToConsiderBasedOnTargetPercentage</f>
        <v>0</v>
      </c>
      <c r="GD388" s="40">
        <f>SnapshotTable[[#This Row],[Last Price]] * (1+ SellingPriceToConsiderBasedOnTargetPercentage)</f>
        <v>3.081</v>
      </c>
      <c r="GE388" s="41"/>
      <c r="GF388" s="40"/>
      <c r="GG388" s="31">
        <f>SnapshotTable[[#This Row],[Booked Sale Shares]] * SnapshotTable[[#This Row],[Booked Sale Price]]</f>
        <v>0</v>
      </c>
      <c r="GH388" s="31">
        <f>IF(SnapshotTable[[#This Row],[Equity Basis Total]] &gt; 0, SnapshotTable[[#This Row],[Equity Basis Per Share]] * SnapshotTable[[#This Row],[Booked Sale Shares]], "")</f>
        <v>0</v>
      </c>
      <c r="GI388" s="31">
        <f>IF(SnapshotTable[[#This Row],[Sale Proceeds]]&gt;0, SnapshotTable[[#This Row],[Sale Proceeds]] - SnapshotTable[[#This Row],[Sale Basis]], 0)</f>
        <v>0</v>
      </c>
      <c r="GJ388" s="27" t="str">
        <f>IF(SnapshotTable[[#This Row],[Sale G/L]]&gt;0, SnapshotTable[[#This Row],[Sale G/L]] / SnapshotTable[[#This Row],[Sale Basis]], IF(ISNUMBER(SnapshotTable[[#This Row],[SC Exercise P&amp;L (TAX)]]), SnapshotTable[[#This Row],[SC Exercise P&amp;L (TAX)]] / SnapshotTable[[#This Row],[SC Basis]], ""))</f>
        <v/>
      </c>
      <c r="GK388" s="27"/>
      <c r="GL388" s="43" t="str">
        <f>IF(AND(SnapshotTable[[#This Row],[LP Exp Date]]&gt;0,SnapshotTable[[#This Row],[LP Strike Price]]&gt;0), [1]!ToOptionSymbol(SnapshotTable[[#This Row],[Symbol]], SnapshotTable[[#This Row],[LP Strike Price]],SnapshotTable[[#This Row],[LP Exp Date]],1), "")</f>
        <v/>
      </c>
      <c r="GM388" s="30" t="str">
        <f>IF(LEN(SnapshotTable[[#This Row],[LP Symbol]])&gt;0, 1, "")</f>
        <v/>
      </c>
      <c r="GN388" s="43" t="str">
        <f>IF(AND(SnapshotTable[[#This Row],[SP Exp Date]]&gt;0,SnapshotTable[[#This Row],[SP Strike Price]]&gt;0), [1]!ToOptionSymbol(SnapshotTable[[#This Row],[Symbol]], SnapshotTable[[#This Row],[SP Strike Price]],SnapshotTable[[#This Row],[SP Exp Date]],1), "")</f>
        <v/>
      </c>
      <c r="GO388" s="30" t="str">
        <f>IF(LEN(SnapshotTable[[#This Row],[SP Symbol]])&gt;0, 1, "")</f>
        <v/>
      </c>
      <c r="GP388" s="43" t="str">
        <f>IF(AND(SnapshotTable[[#This Row],[LC Exp Date]]&gt;0,SnapshotTable[[#This Row],[LC Strike Price]]&gt;0), [1]!ToOptionSymbol(SnapshotTable[[#This Row],[Symbol]], SnapshotTable[[#This Row],[LC Strike Price]],SnapshotTable[[#This Row],[LC Exp Date]],0), "")</f>
        <v/>
      </c>
      <c r="GQ388" s="30" t="str">
        <f>IF(LEN(SnapshotTable[[#This Row],[LC Symbol]])&gt;0, 1, "")</f>
        <v/>
      </c>
      <c r="GR388" s="43" t="str">
        <f>IF(AND(SnapshotTable[[#This Row],[SC Exp Date]]&gt;0,SnapshotTable[[#This Row],[SC Strike Price]]&gt;0), [1]!ToOptionSymbol(SnapshotTable[[#This Row],[Symbol]], SnapshotTable[[#This Row],[SC Strike Price]],SnapshotTable[[#This Row],[SC Exp Date]],0), "")</f>
        <v/>
      </c>
      <c r="GS388" s="30" t="str">
        <f>IF(LEN(SnapshotTable[[#This Row],[SC Symbol]])&gt;0, 1, "")</f>
        <v/>
      </c>
      <c r="GT388" s="29" t="str">
        <f>IF(COUNT(SnapshotTable[[#This Row],[LP Symbol Count]],SnapshotTable[[#This Row],[SP Symbol Count]],SnapshotTable[[#This Row],[LC Symbol Count]],SnapshotTable[[#This Row],[SC Symbol Count]])&gt;0, "Y", "")</f>
        <v/>
      </c>
      <c r="GU38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88" s="231" t="e">
        <f>MAX(SnapshotTable[[#This Row],[Equity Basis Total]],SnapshotTable[[#This Row],[Equity Value]]) + (SnapshotTable[[#This Row],[SP Potential Spend]]- SnapshotTable[[#This Row],[SP Premium]] + SnapshotTable[[#This Row],[LP Premium]])+ (SnapshotTable[[#This Row],[LC Premium]] - SnapshotTable[[#This Row],[SC Premium]])</f>
        <v>#VALUE!</v>
      </c>
      <c r="GW388" s="139" t="e">
        <f>IF(AND(SnapshotTable[[#This Row],[Exposure]] &lt;&gt; 0),SnapshotTable[[#This Row],[Exposure]] / SnapshotTable[[#Totals],[Exposure]], "")</f>
        <v>#VALUE!</v>
      </c>
      <c r="GX388" s="13"/>
      <c r="HK388" s="1"/>
      <c r="HL388" s="1"/>
      <c r="HM388" s="1"/>
      <c r="HN388" s="1"/>
      <c r="HO388" s="1"/>
      <c r="HP388" s="1"/>
    </row>
    <row r="389" spans="2:224" ht="12.75" hidden="1" customHeight="1" x14ac:dyDescent="0.25">
      <c r="B389" s="12" t="s">
        <v>1264</v>
      </c>
      <c r="C389" s="422">
        <v>8.9700000000000006</v>
      </c>
      <c r="D389" s="208"/>
      <c r="E389" s="39">
        <f>SnapshotTable[[#This Row],[Last Price]]*(1 -CrashDiscount)</f>
        <v>7.6245000000000003</v>
      </c>
      <c r="F389" s="325" t="s">
        <v>932</v>
      </c>
      <c r="G389" s="325" t="s">
        <v>4</v>
      </c>
      <c r="H389" s="149"/>
      <c r="I389" s="194"/>
      <c r="J389" s="195"/>
      <c r="K389" s="196"/>
      <c r="L389" s="326"/>
      <c r="M389" s="140"/>
      <c r="N389" s="140"/>
      <c r="O389" s="140"/>
      <c r="P389" s="22">
        <v>100</v>
      </c>
      <c r="Q389" s="25">
        <v>985</v>
      </c>
      <c r="R389" s="4">
        <f>IF(SnapshotTable[[#This Row],[Equity Basis Total]] &gt; 0, SnapshotTable[[#This Row],[Equity Basis Total]] / SnapshotTable[[#This Row],[Equity Shares]], "")</f>
        <v>9.85</v>
      </c>
      <c r="S389" s="269">
        <f>SnapshotTable[[#This Row],[Last Price]] * SnapshotTable[[#This Row],[Equity Shares]]</f>
        <v>897.00000000000011</v>
      </c>
      <c r="T389" s="269">
        <f>SnapshotTable[[#This Row],[Equity Value]] - SnapshotTable[[#This Row],[Equity Basis Total]]</f>
        <v>-87.999999999999886</v>
      </c>
      <c r="U389" s="270">
        <f>IF(SnapshotTable[[#This Row],[Equity Basis Total]] &gt; 0, SnapshotTable[[#This Row],[Equity G/L]] / SnapshotTable[[#This Row],[Equity Basis Total]], "")</f>
        <v>-8.9340101522842524E-2</v>
      </c>
      <c r="V389" s="268"/>
      <c r="W389" s="268"/>
      <c r="X389" s="4" t="str">
        <f>IF(AND(ISNUMBER(SnapshotTable[[#This Row],[Equity Basis Per Share]]),ISNUMBER(SnapshotTable[[#This Row],[Equity Target]])),SnapshotTable[[#This Row],[Equity Target]]-SnapshotTable[[#This Row],[Equity Basis Per Share]],"")</f>
        <v/>
      </c>
      <c r="Y389" s="4" t="str">
        <f>IF(AND(ISNUMBER(SnapshotTable[[#This Row],[Equity Basis Per Share]]),ISNUMBER(SnapshotTable[[#This Row],[Equity Stop Loss]])),SnapshotTable[[#This Row],[Equity Stop Loss]]-SnapshotTable[[#This Row],[Equity Basis Per Share]],"")</f>
        <v/>
      </c>
      <c r="Z389" s="275" t="str">
        <f>IFERROR( TEXT(SnapshotTable[[#This Row],[Equity Max Gain Per Share]] /ABS( SnapshotTable[[#This Row],[Equity Max Loss Per Share]]),"0.0 " ) &amp; " : 1", "")</f>
        <v/>
      </c>
      <c r="AA389" s="31" t="str">
        <f>IF(ISNUMBER(SnapshotTable[[#This Row],[Equity Max Gain Per Share]]),SnapshotTable[[#This Row],[Equity Max Gain Per Share]] * SnapshotTable[[#This Row],[Equity Shares]],"")</f>
        <v/>
      </c>
      <c r="AB389" s="31" t="str">
        <f>IF(ISNUMBER(SnapshotTable[[#This Row],[Equity Max Loss Per Share]]),SnapshotTable[[#This Row],[Equity Max Loss Per Share]] * SnapshotTable[[#This Row],[Equity Shares]],"")</f>
        <v/>
      </c>
      <c r="AC389" s="150"/>
      <c r="AD389" s="151"/>
      <c r="AE389" s="31">
        <f>(SnapshotTable[[#This Row],[Annual Dividend Per Share]] / 4) * SnapshotTable[[#This Row],[Equity Shares]]</f>
        <v>0</v>
      </c>
      <c r="AF389" s="31">
        <f>SnapshotTable[[#This Row],[Quarterly Div $]] * 4</f>
        <v>0</v>
      </c>
      <c r="AG389" s="7">
        <f>IF(SnapshotTable[[#This Row],[Annual Dividend Per Share]]&gt;0, SnapshotTable[[#This Row],[Annual Dividend Per Share]]  / SnapshotTable[[#This Row],[Last Price]], 0)</f>
        <v>0</v>
      </c>
      <c r="AH389" s="151"/>
      <c r="AI389" s="5"/>
      <c r="AJ389" s="138"/>
      <c r="AK389" s="152" t="str">
        <f>IF(ISNUMBER( SnapshotTable[[#This Row],[EBF Target]]),(SnapshotTable[[#This Row],[EBF Target]] - SnapshotTable[[#This Row],[Last Price]]) / SnapshotTable[[#This Row],[Last Price]], "")</f>
        <v/>
      </c>
      <c r="AL389" s="152" t="str">
        <f>IF(AND(SnapshotTable[[#This Row],[Equity Basis Total]] &gt; 0,ISNUMBER( SnapshotTable[[#This Row],[Long Term Target]])), SnapshotTable[[#This Row],[From Basis $]] / SnapshotTable[[#This Row],[Equity Basis Total]], "")</f>
        <v/>
      </c>
      <c r="AM389" s="9">
        <f>IF( AND(SnapshotTable[[#This Row],[Equity Shares]] &gt;0,ISNUMBER( SnapshotTable[[#This Row],[Long Term Target]])),(SnapshotTable[[#This Row],[Equity Shares]] * SnapshotTable[[#This Row],[Long Term Target]]) - SnapshotTable[[#This Row],[Equity Basis Total]],0)</f>
        <v>0</v>
      </c>
      <c r="AN389" s="9">
        <f>IF( AND(SnapshotTable[[#This Row],[Equity Shares]] &gt;0,ISNUMBER( SnapshotTable[[#This Row],[Long Term Target]])),(SnapshotTable[[#This Row],[Equity Shares]]*SnapshotTable[[#This Row],[Long Term Target]]) - SnapshotTable[[#This Row],[Equity Value]],0)</f>
        <v>0</v>
      </c>
      <c r="AO389" s="152" t="str">
        <f>IF(AND(ISNUMBER( SnapshotTable[[#This Row],[Long Term Target]]), ISNUMBER(SnapshotTable[[#This Row],[Last Price]])),(SnapshotTable[[#This Row],[Long Term Target]] - SnapshotTable[[#This Row],[Last Price]]) / SnapshotTable[[#This Row],[Last Price]], "")</f>
        <v/>
      </c>
      <c r="AP389" s="5"/>
      <c r="AQ389" s="38"/>
      <c r="AR389" s="5"/>
      <c r="AS389" s="38"/>
      <c r="AT389" s="146"/>
      <c r="AU389" s="187" t="str">
        <f>IF(OR(SnapshotTable[[#This Row],[LP No Fill]]="Y",SnapshotTable[[#This Row],[SP Is Filled]],SnapshotTable[[#This Row],[LC Not Filled]]="Y",SnapshotTable[[#This Row],[SC Is Filled]]),"Y","")</f>
        <v/>
      </c>
      <c r="AV389" s="219" t="s">
        <v>1138</v>
      </c>
      <c r="AW389" s="225"/>
      <c r="AX389" s="220"/>
      <c r="AY389" s="219" t="str">
        <f>IF(SnapshotTable[[#This Row],[Implied Move]]&gt;0, SnapshotTable[[#This Row],[Last Price]]-SnapshotTable[[#This Row],[Implied Move]],"")</f>
        <v/>
      </c>
      <c r="AZ389" s="219" t="str">
        <f>IF(SnapshotTable[[#This Row],[Implied Move]]&gt;0, SnapshotTable[[#This Row],[Last Price]] + SnapshotTable[[#This Row],[Implied Move]],"")</f>
        <v/>
      </c>
      <c r="BA389" s="331">
        <v>10.67</v>
      </c>
      <c r="BB389" s="404"/>
      <c r="BC38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9" s="351"/>
      <c r="BE389" s="5"/>
      <c r="BF389" s="14"/>
      <c r="BG389" s="13"/>
      <c r="BH389" s="13"/>
      <c r="BI389" s="5"/>
      <c r="BJ389" s="136">
        <f>IF(SnapshotTable[[#This Row],[LP Qty]] &gt; 0, SnapshotTable[[#This Row],[LP Qty]] * SnapshotTable[[#This Row],[LP Book Price]] * 100,0)</f>
        <v>0</v>
      </c>
      <c r="BK389" s="136">
        <f>IF(SnapshotTable[[#This Row],[LP Premium]] &gt; 0, SnapshotTable[[#This Row],[LP Qty]] * SnapshotTable[[#This Row],[LP Strike Price]] * 100,0)</f>
        <v>0</v>
      </c>
      <c r="BL389" s="154"/>
      <c r="BM389" s="385" t="str">
        <f>IF(SnapshotTable[[#This Row],[LP Premium]] &gt; 0,SnapshotTable[[#This Row],[LP Exp Date]]-MAX(SnapshotTable[[#This Row],[LP Book Date]], SnapshotTable[[#This Row],[LP Fill Date]]),"")</f>
        <v/>
      </c>
      <c r="BN389" s="385" t="str">
        <f>IF(ISNUMBER( SnapshotTable[[#This Row],[LP Term]]), SnapshotTable[[#This Row],[LP Exp Date]] - MockToday,"")</f>
        <v/>
      </c>
      <c r="BO389" s="163" t="str">
        <f>IF(AND(SnapshotTable[[#This Row],[LP Exp Date]]&gt;0, SnapshotTable[[#This Row],[LP Strike Price]]&gt;0,SnapshotTable[[#This Row],[LP Qty]]&gt;0,SnapshotTable[[#This Row],[LP Book Date]]&gt;0,SnapshotTable[[#This Row],[LP Book Price]]&gt;0,SnapshotTable[[#This Row],[LP Fill Date]]=0),"Y","")</f>
        <v/>
      </c>
      <c r="BP389" s="31" t="str">
        <f>IF(AND(SnapshotTable[[#This Row],[LP No Fill]]&lt;&gt;"Y",SnapshotTable[[#This Row],[LP Contract Value]]&gt;0, SnapshotTable[[#This Row],[LP Qty]]&gt;0), SnapshotTable[[#This Row],[LP Contract Value]]*SnapshotTable[[#This Row],[LP Qty]]*100,"")</f>
        <v/>
      </c>
      <c r="BQ389" s="13"/>
      <c r="BR389" s="5" t="str">
        <f>IF(SnapshotTable[[#This Row],[SP Exp Date]]&lt;&gt;"",TRUNC(SnapshotTable[[#This Row],[Last Price]]),"")</f>
        <v/>
      </c>
      <c r="BS389" s="36"/>
      <c r="BT389" s="147"/>
      <c r="BU389" s="13"/>
      <c r="BV389" s="5"/>
      <c r="BW389" s="419" t="b">
        <f>AND(ISNUMBER(SnapshotTable[[#This Row],[SP Exp Date]]), ISNUMBER(SnapshotTable[[#This Row],[SP Strike Price]]), ISNUMBER(SnapshotTable[[#This Row],[SP Qty]]), ISNUMBER(SnapshotTable[[#This Row],[SP Book Date]]), ISNUMBER(SnapshotTable[[#This Row],[SP Book Price]]))</f>
        <v>0</v>
      </c>
      <c r="BX389" s="419" t="b">
        <f>AND(SnapshotTable[[#This Row],[SP Is Booked]], NOT(ISBLANK(SnapshotTable[[#This Row],[SP Fill Date]])))</f>
        <v>0</v>
      </c>
      <c r="BY389" s="33">
        <f>IF(SnapshotTable[[#This Row],[SP Is Booked]], SnapshotTable[[#This Row],[SP Qty]] * SnapshotTable[[#This Row],[SP Book Price]] * 100, 0)</f>
        <v>0</v>
      </c>
      <c r="BZ389" s="369"/>
      <c r="CA389" s="368">
        <f>SnapshotTable[[#This Row],[LP Qty]]</f>
        <v>0</v>
      </c>
      <c r="CB389" s="4" t="str">
        <f>IF(SnapshotTable[[#This Row],[SP Is Booked]], SnapshotTable[[#This Row],[SP Strike Price]] - SnapshotTable[[#This Row],[SP Book Price]], "")</f>
        <v/>
      </c>
      <c r="CC389" s="19" t="str">
        <f>IF(SnapshotTable[[#This Row],[SP Is Booked]],SnapshotTable[[#This Row],[SP Exp Date]]-MAX(SnapshotTable[[#This Row],[SP Book Date]], SnapshotTable[[#This Row],[SP Fill Date]]),"")</f>
        <v/>
      </c>
      <c r="CD389" s="7" t="str">
        <f>IF(SnapshotTable[[#This Row],[SP Is Booked]], SnapshotTable[[#This Row],[SP Book Price]]/SnapshotTable[[#This Row],[SP Strike Price]], "")</f>
        <v/>
      </c>
      <c r="CE389" s="7" t="str">
        <f>IF(ISNUMBER(SnapshotTable[[#This Row],[SP ROO Term]]),SnapshotTable[[#This Row],[SP ROO Term]]*(365/SnapshotTable[[#This Row],[SP Term]]),"")</f>
        <v/>
      </c>
      <c r="CF389" s="236">
        <f>SnapshotTable[[#This Row],[LP Strike Price]] * SnapshotTable[[#This Row],[LP Qty]] * 100</f>
        <v>0</v>
      </c>
      <c r="CG389" s="31" t="e">
        <f>IF(ISNUMBER(SnapshotTable[[#This Row],[SP Premium]]), (SnapshotTable[[#This Row],[SP Qty]] * SnapshotTable[[#This Row],[SP Strike Price]]* 100) - SnapshotTable[[#This Row],[LP Protection]], 0)</f>
        <v>#VALUE!</v>
      </c>
      <c r="CH389" s="7" t="str">
        <f>IF(ISNUMBER(SnapshotTable[[#This Row],[SP Break Even]]),-1 * (SnapshotTable[[#This Row],[SP Break Even]] - SnapshotTable[[#This Row],[Last Price]]) / SnapshotTable[[#This Row],[Last Price]], "")</f>
        <v/>
      </c>
      <c r="CI389" s="31">
        <f>IF(AND(ISNUMBER((SnapshotTable[[#This Row],[SP Potential Spend]])), SnapshotTable[[#This Row],[SP Strike Price]] &gt; SnapshotTable[[#This Row],[Last Price]], SnapshotTable[[#This Row],[SP Is Filled]]), SnapshotTable[[#This Row],[SP Potential Spend]] -  SnapshotTable[[#This Row],[LP Max Value]], 0)</f>
        <v>0</v>
      </c>
      <c r="CJ389" s="244"/>
      <c r="CK389" s="31" t="str">
        <f>IF(ISNUMBER(SnapshotTable[[#This Row],[SP Potential Spend]]),IF(ISNUMBER(SnapshotTable[[#This Row],[SP POW]]), SnapshotTable[[#This Row],[SP POW]] * SnapshotTable[[#This Row],[SP Potential Spend]], SnapshotTable[[#This Row],[SP Potential Spend]]), "")</f>
        <v/>
      </c>
      <c r="CL389" s="164" t="e">
        <f>IF(NOT(SnapshotTable[[#This Row],[SP Is Filled]]),(SnapshotTable[[#This Row],[SP Qty]] * SnapshotTable[[#This Row],[SP Strike Price]] * 100) - SnapshotTable[[#This Row],[LP Max Value]],"")</f>
        <v>#VALUE!</v>
      </c>
      <c r="CM389" s="31" t="str">
        <f>IF(SnapshotTable[[#This Row],[SP Actual Spend]]&lt;&gt;0, ((SnapshotTable[[#This Row],[SP Strike Price]]-SnapshotTable[[#This Row],[Last Price]]) *(SnapshotTable[[#This Row],[SP Qty]]*100) - SnapshotTable[[#This Row],[SP Premium]]) * - 1, "")</f>
        <v/>
      </c>
      <c r="CN389" s="78"/>
      <c r="CO389" s="369"/>
      <c r="CP389" s="4" t="str">
        <f>IF(SnapshotTable[[#This Row],[SP Is Filled]], btc_max_buyback_amount(SnapshotTable[[#This Row],[SP Fill Date]],SnapshotTable[[#This Row],[SP Exp Date]], SnapshotTable[[#This Row],[SP Book Price]]),"")</f>
        <v/>
      </c>
      <c r="CQ389" s="78"/>
      <c r="CR38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9" s="155" t="str">
        <f>IF(SnapshotTable[[#This Row],[SP Is Filled]], btc_next_cutoff_date(SnapshotTable[[#This Row],[SP Fill Date]],SnapshotTable[[#This Row],[SP Exp Date]]),"")</f>
        <v/>
      </c>
      <c r="CT389" s="235" t="str" cm="1">
        <f t="array" ref="CT389">IF(SnapshotTable[[#This Row],[SP Is Filled]], btc_should_buy_back(SnapshotTable[[#This Row],[SP Fill Date]], SnapshotTable[[#This Row],[SP Exp Date]], SnapshotTable[[#This Row],[SP Book Price]], SnapshotTable[[#This Row],[SP Current Ask]], MockToday, SnapshotTable[[#This Row],[SP Buyback Override]]),"")</f>
        <v/>
      </c>
      <c r="CU389" s="143"/>
      <c r="CV389" s="235"/>
      <c r="CW389" s="378" t="str">
        <f>IF(ISNUMBER( SnapshotTable[[#This Row],[SP Term]]), SnapshotTable[[#This Row],[SP Exp Date]] - MockToday,"")</f>
        <v/>
      </c>
      <c r="CX389" s="31" t="str">
        <f>IF(SnapshotTable[[#This Row],[SP Is Filled]],SnapshotTable[[#This Row],[SP Buyback Price to Use]] * 100 * SnapshotTable[[#This Row],[SP Qty]], "")</f>
        <v/>
      </c>
      <c r="CY389" s="4" t="str">
        <f>IF(ISNUMBER(SnapshotTable[[#This Row],[SP Strike Price]]), SnapshotTable[[#This Row],[SP Strike Price]] * (1 - SP_MaxLoss_StrikePct), "")</f>
        <v/>
      </c>
      <c r="CZ389" s="31" t="str">
        <f>IF(ISNUMBER(SnapshotTable[[#This Row],[SP Strike  Stop Per Share]]),SnapshotTable[[#This Row],[SP Premium]] - ((SnapshotTable[[#This Row],[SP Strike Price]]-SnapshotTable[[#This Row],[SP Strike  Stop Per Share]]) *(SnapshotTable[[#This Row],[SP Qty]] * 100)),"")</f>
        <v/>
      </c>
      <c r="DA389" s="4" t="str">
        <f>IF(AND(ISNUMBER(SnapshotTable[[#This Row],[SP Premium]]),SnapshotTable[[#This Row],[SP Premium]]&gt;0), SnapshotTable[[#This Row],[SP Book Price]] * (1 + SP_MaxLoss_OptionPct), "")</f>
        <v/>
      </c>
      <c r="DB389" s="31" t="str">
        <f>IF(ISNUMBER(SnapshotTable[[#This Row],[SP Option  Stop Contract]]),(SnapshotTable[[#This Row],[SP Option  Stop Contract]] *(SnapshotTable[[#This Row],[SP Qty]] * 100) - SnapshotTable[[#This Row],[SP Premium]]),"")</f>
        <v/>
      </c>
      <c r="DC389" s="4"/>
      <c r="DD389" s="4"/>
      <c r="DE389" s="4" t="str">
        <f>IF(AND(SnapshotTable[[#This Row],[SP Qty]]&gt;0, SnapshotTable[[#This Row],[SP Stop To Use]]&gt;0),SnapshotTable[[#This Row],[SP Premium]] - ( SnapshotTable[[#This Row],[SP Qty]] * SnapshotTable[[#This Row],[SP Stop To Use]] * 100), "")</f>
        <v/>
      </c>
      <c r="DF389" s="31" t="str">
        <f>IF(AND(SnapshotTable[[#This Row],[SP Qty]]&gt;0,SnapshotTable[[#This Row],[SP Current Ask]]&gt;0), SnapshotTable[[#This Row],[SP Qty]] * SnapshotTable[[#This Row],[SP Current Ask]] * -100, "")</f>
        <v/>
      </c>
      <c r="DG389" s="31" t="str">
        <f>IF(ISNUMBER((SnapshotTable[[#This Row],[SP Total Value]])), SnapshotTable[[#This Row],[SP Premium]] + SnapshotTable[[#This Row],[SP Total Value]], "")</f>
        <v/>
      </c>
      <c r="DH389" s="294" t="str">
        <f>IF(ISNUMBER((SnapshotTable[[#This Row],[SP Total Value]])), SnapshotTable[[#This Row],[SP Gain Loss]] / SnapshotTable[[#This Row],[SP Premium]], "")</f>
        <v/>
      </c>
      <c r="DI389" s="406"/>
      <c r="DJ389" s="138"/>
      <c r="DK389" s="148"/>
      <c r="DL389" s="13"/>
      <c r="DM389" s="13"/>
      <c r="DO389" s="31">
        <f>IF(SnapshotTable[[#This Row],[LC Symbol Count]]=1, SnapshotTable[[#This Row],[LC Qty]] * SnapshotTable[[#This Row],[LC Book Price]] * 100, 0)</f>
        <v>0</v>
      </c>
      <c r="DP389" s="163" t="str">
        <f>IF(AND(SnapshotTable[[#This Row],[LC Exp Date]]&gt;0, SnapshotTable[[#This Row],[LC Strike Price]]&gt;0,SnapshotTable[[#This Row],[LC Qty]]&gt;0,SnapshotTable[[#This Row],[LC Book Date]]&gt;0,SnapshotTable[[#This Row],[LC Book Price]]&gt;0,SnapshotTable[[#This Row],[LC Fill Date]]=0),"Y","")</f>
        <v/>
      </c>
      <c r="DQ389" s="386" t="str">
        <f>IF(SnapshotTable[[#This Row],[LC Premium]] &gt; 0,SnapshotTable[[#This Row],[LC Exp Date]]-MAX(SnapshotTable[[#This Row],[LC Book Date]], SnapshotTable[[#This Row],[LC Fill Date]]),"")</f>
        <v/>
      </c>
      <c r="DR389" s="386" t="str">
        <f>IF(ISNUMBER(SnapshotTable[[#This Row],[LC Term]]), SnapshotTable[[#This Row],[LC Exp Date]] - MockToday, "")</f>
        <v/>
      </c>
      <c r="DS389" s="234" t="str">
        <f>IF(SnapshotTable[[#This Row],[LC Premium]]&gt;0,SnapshotTable[[#This Row],[LC Strike Price]] + SnapshotTable[[#This Row],[LC Book Price]],"")</f>
        <v/>
      </c>
      <c r="DU389" s="9" t="str">
        <f>IF(AND(SnapshotTable[[#This Row],[LC Symbol Count]]&gt;0, SnapshotTable[[#This Row],[LC Contract Value]]&gt;0), SnapshotTable[[#This Row],[LC Contract Value]] * SnapshotTable[[#This Row],[LC Qty]] * 100, "")</f>
        <v/>
      </c>
      <c r="DV389" s="9" t="str">
        <f>IF(AND(ISNUMBER(SnapshotTable[[#This Row],[LC Total Value]]), SnapshotTable[[#This Row],[LC Not Filled]]&lt;&gt;"Y"), SnapshotTable[[#This Row],[LC Total Value]]-SnapshotTable[[#This Row],[LC Premium]],"")</f>
        <v/>
      </c>
      <c r="DW389" s="240" t="str">
        <f>IF(ISNUMBER(SnapshotTable[[#This Row],[LC Actual Gain Loss]]), SnapshotTable[[#This Row],[LC Actual Gain Loss]] / SnapshotTable[[#This Row],[LC Premium]],"")</f>
        <v/>
      </c>
      <c r="DX389" s="284" t="str">
        <f>IF(ISNUMBER(SnapshotTable[[#This Row],[LC Book Price]]),SnapshotTable[[#This Row],[LC Book Price]] * 1.5,"")</f>
        <v/>
      </c>
      <c r="DY389" s="265" t="str">
        <f>IF(SnapshotTable[[#This Row],[LC Premium]]&gt;0, SnapshotTable[[#This Row],[LC Next Target]] * SnapshotTable[[#This Row],[LC Qty]] * 100,"")</f>
        <v/>
      </c>
      <c r="DZ389" s="265" t="str">
        <f>IF(ISNUMBER(SnapshotTable[[#This Row],[LC Target Gross]]), SnapshotTable[[#This Row],[LC Target Gross]] - SnapshotTable[[#This Row],[LC Premium]], "")</f>
        <v/>
      </c>
      <c r="EA389" s="305" t="str">
        <f>IF(ISNUMBER(SnapshotTable[[#This Row],[LC Target Gain Loss]]), SnapshotTable[[#This Row],[LC Target Gain Loss]]/SnapshotTable[[#This Row],[LC Premium]], "")</f>
        <v/>
      </c>
      <c r="EB389" s="262"/>
      <c r="EC389" s="283" t="str">
        <f>IF(SnapshotTable[[#This Row],[LC Premium]]&gt;0, SnapshotTable[[#This Row],[LC Book Price]] * (1 - LC_StopLoss_Pct),"")</f>
        <v/>
      </c>
      <c r="ED389" s="284"/>
      <c r="EE389" s="283" t="str">
        <f>IF(ISNUMBER(SnapshotTable[[#This Row],[LC Contract Value]]),IF(ISNUMBER(SnapshotTable[[#This Row],[LC Stop Loss Override]]), SnapshotTable[[#This Row],[LC Stop Loss Override]],SnapshotTable[[#This Row],[LC Stop Loss Calc Target]]),"")</f>
        <v/>
      </c>
      <c r="EF389" s="31" t="str">
        <f>IF(ISNUMBER(SnapshotTable[[#This Row],[LC Stop  To Use]]), (SnapshotTable[[#This Row],[LC Stop  To Use]] * SnapshotTable[[#This Row],[LC Qty]] * 100),"")</f>
        <v/>
      </c>
      <c r="EG389" s="9" t="str">
        <f>IF(ISNUMBER(SnapshotTable[[#This Row],[LC Total Value]]),SnapshotTable[[#This Row],[LC Stop Loss Amount]] - SnapshotTable[[#This Row],[LC Premium]],"")</f>
        <v/>
      </c>
      <c r="EH389" s="9">
        <f>IF(ISNUMBER(SnapshotTable[[#This Row],[LC Premium]]), SnapshotTable[[#This Row],[LC Qty]] * 100 * SnapshotTable[[#This Row],[LC Strike Price]], "")</f>
        <v>0</v>
      </c>
      <c r="EI389" s="240" t="str">
        <f>IF(AND(ISNUMBER(SnapshotTable[[#This Row],[LC Total Value]]),SnapshotTable[[#This Row],[LC Total Value]]&gt;0),SnapshotTable[[#This Row],[LC Stop Gain Loss]]  / SnapshotTable[[#This Row],[LC Premium]],"")</f>
        <v/>
      </c>
      <c r="EJ389" s="35">
        <f>IF(ISNUMBER(SnapshotTable[[#This Row],[Equity Shares]]),TRUNC(SnapshotTable[[#This Row],[Equity Shares]] / 100),0) + SnapshotTable[[#This Row],[LC Qty]]</f>
        <v>1</v>
      </c>
      <c r="EK389" s="147"/>
      <c r="EL389" s="138" t="str">
        <f>IF(SnapshotTable[[#This Row],[SC Exp Date]]&lt;&gt;"",TRUNC(SnapshotTable[[#This Row],[Last Price]]),"")</f>
        <v/>
      </c>
      <c r="EM389" s="148"/>
      <c r="EN389" s="147"/>
      <c r="EO389" s="147"/>
      <c r="EP389" s="138"/>
      <c r="EQ389" s="419" t="b">
        <f>AND(ISNUMBER(SnapshotTable[[#This Row],[SC Exp Date]]), ISNUMBER(SnapshotTable[[#This Row],[SC Strike Price]]), ISNUMBER(SnapshotTable[[#This Row],[SC Qty]]), ISNUMBER(SnapshotTable[[#This Row],[SC Book Date]]), ISNUMBER(SnapshotTable[[#This Row],[SC Book Price]]))</f>
        <v>0</v>
      </c>
      <c r="ER389" s="419" t="b">
        <f>AND(SnapshotTable[[#This Row],[SC Is Booked]], NOT(ISBLANK(SnapshotTable[[#This Row],[SC Fill Date]])))</f>
        <v>0</v>
      </c>
      <c r="ES389" s="370">
        <v>0.35</v>
      </c>
      <c r="ET389" s="34" t="str">
        <f>IF(AND(ISNUMBER(SnapshotTable[[#This Row],[SC Exp Date]]), ISNUMBER(SnapshotTable[[#This Row],[SC Book Date]])), SnapshotTable[[#This Row],[SC Exp Date]] - MAX(SnapshotTable[[#This Row],[SC Book Date]], SnapshotTable[[#This Row],[SC Fill Date]]) + 1, "")</f>
        <v/>
      </c>
      <c r="EU389" s="34" t="str">
        <f>IF(ISNUMBER(SnapshotTable[[#This Row],[SC Term]]), SnapshotTable[[#This Row],[SC Exp Date]]- MockToday, "")</f>
        <v/>
      </c>
      <c r="EV389" s="31">
        <f>IF(SnapshotTable[[#This Row],[SC Is Booked]], SnapshotTable[[#This Row],[SC Qty]] * SnapshotTable[[#This Row],[SC Book Price]] * 100, 0)</f>
        <v>0</v>
      </c>
      <c r="EW389" s="4" t="str">
        <f>IF(AND(ISNUMBER(SnapshotTable[[#This Row],[Last Price]]), ISNUMBER( SnapshotTable[[#This Row],[SC Book Price]])), SnapshotTable[[#This Row],[Last Price]] - SnapshotTable[[#This Row],[SC Book Price]],"")</f>
        <v/>
      </c>
      <c r="EX389" s="234" t="str">
        <f>IF(SnapshotTable[[#This Row],[SC Is Booked]],IF(SnapshotTable[[#This Row],[SC Intrinsic Value]] &gt; 0, SnapshotTable[[#This Row],[SC Strike Price]], SnapshotTable[[#This Row],[Last Price]]), "")</f>
        <v/>
      </c>
      <c r="EY389" s="4">
        <f>IF(SnapshotTable[[#This Row],[SC Is Booked]], (MinimumPremiumRequired * SnapshotTable[[#This Row],[SC Basis]] * SnapshotTable[[#This Row],[SC Term]]), 0)</f>
        <v>0</v>
      </c>
      <c r="EZ389" s="283"/>
      <c r="FA389" s="218"/>
      <c r="FB389" s="370"/>
      <c r="FC389" s="4">
        <f>IF(SnapshotTable[[#This Row],[SC Is Filled]], btc_max_buyback_amount(SnapshotTable[[#This Row],[SC Fill Date]],SnapshotTable[[#This Row],[SC Exp Date]], SnapshotTable[[#This Row],[SC Book Price]]),0)</f>
        <v>0</v>
      </c>
      <c r="FD389" s="5"/>
      <c r="FE389" s="144" t="str">
        <f>IF(SnapshotTable[[#This Row],[SC Is Filled]], btc_next_cutoff_date(SnapshotTable[[#This Row],[SC Fill Date]],SnapshotTable[[#This Row],[SC Exp Date]]),"")</f>
        <v/>
      </c>
      <c r="FF389" s="4" t="str" cm="1">
        <f t="array" ref="FF389">IF(SnapshotTable[[#This Row],[SC Is Filled]], btc_should_buy_back(SnapshotTable[[#This Row],[SC Fill Date]], SnapshotTable[[#This Row],[SC Exp Date]], SnapshotTable[[#This Row],[SC Book Price]], SnapshotTable[[#This Row],[SC Current Ask]], MockToday, SnapshotTable[[#This Row],[SC Buyback Override]]),"")</f>
        <v/>
      </c>
      <c r="FG389" s="4">
        <f>IF(SnapshotTable[[#This Row],[SC Is Filled]], MAX(0,SnapshotTable[[#This Row],[Last Price]]  - SnapshotTable[[#This Row],[SC Strike Price]]), 0)</f>
        <v>0</v>
      </c>
      <c r="FH389" s="382">
        <f>IF(SnapshotTable[[#This Row],[SC Is Filled]], IF(ISNUMBER(SnapshotTable[[#This Row],[SC Current Ask]]), SnapshotTable[[#This Row],[SC Current Ask]], SnapshotTable[[#This Row],[SC Book Price]]) - SnapshotTable[[#This Row],[SC Intrinsic Value]], 0)</f>
        <v>0</v>
      </c>
      <c r="FI389" s="143"/>
      <c r="FJ389" s="32" t="str">
        <f>IF(SnapshotTable[[#This Row],[SC Is Filled]],100 * SnapshotTable[[#This Row],[SC Qty]] * IF(ISNUMBER(SnapshotTable[[#This Row],[SC Buyback Override]]), SnapshotTable[[#This Row],[SC Buyback Override]], SnapshotTable[[#This Row],[SC Current Ask]]), "")</f>
        <v/>
      </c>
      <c r="FK389" s="250" t="str">
        <f>IF(SnapshotTable[[#This Row],[SC Time Val]]&gt;0, SnapshotTable[[#This Row],[SC Time Val]] / SnapshotTable[[#This Row],[Last Price]],"")</f>
        <v/>
      </c>
      <c r="FL389" s="302" t="str">
        <f>IF(SnapshotTable[[#This Row],[SC Is Booked]], ((SnapshotTable[[#This Row],[Last Price]] -SnapshotTable[[#This Row],[SC Strike Price]]) / SnapshotTable[[#This Row],[Last Price]]) * -1, "")</f>
        <v/>
      </c>
      <c r="FM389" s="157" t="str">
        <f>IF(SnapshotTable[[#This Row],[SC Is Booked]],  (SnapshotTable[[#This Row],[SC Qty]] * 100 * SnapshotTable[[#This Row],[SC Strike Price]]) - SnapshotTable[[#This Row],[SC Current Ask]], "")</f>
        <v/>
      </c>
      <c r="FN38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9" s="31" t="str">
        <f>IF(AND(ISNUMBER(SnapshotTable[[#This Row],[SC Exercise Gross]]), ISNUMBER(SnapshotTable[[#This Row],[Equity Basis Per Share]] )), SnapshotTable[[#This Row],[SC Exercise Gross]] - SnapshotTable[[#This Row],[Equity Basis Total]] +  SnapshotTable[[#This Row],[SC Premium]], "")</f>
        <v/>
      </c>
      <c r="FP389" s="5" t="str">
        <f>IF(ISNUMBER(SnapshotTable[[#This Row],[SC Exercise Gross]]), (SnapshotTable[[#This Row],[SC Exercise Gross]]) / (SnapshotTable[[#This Row],[SC Qty]] * 100), "")</f>
        <v/>
      </c>
      <c r="FQ389" s="27" t="str">
        <f>IF(SnapshotTable[[#This Row],[SC Is Booked]],SnapshotTable[[#This Row],[SC Time Val]] /SnapshotTable[[#This Row],[SC Basis]], "")</f>
        <v/>
      </c>
      <c r="FR389" s="27" t="str" cm="1">
        <f t="array" ref="FR389">IF(AND(ISNUMBER(SnapshotTable[[#This Row],[SC Term]]),ISNUMBER(SnapshotTable[[#This Row],[SC Simple ROO]])), EllmanAnnualize(SnapshotTable[[#This Row],[SC DTE]], SnapshotTable[[#This Row],[SC Simple ROO]] ),"")</f>
        <v/>
      </c>
      <c r="FS389" s="4" t="e">
        <f>IF(SnapshotTable[[#This Row],[SC Strike Price]] &gt; SnapshotTable[[#This Row],[Last Price]], SnapshotTable[[#This Row],[SC Strike Price]] - SnapshotTable[[#This Row],[Last Price]],0)</f>
        <v>#VALUE!</v>
      </c>
      <c r="FT389" s="27" t="e">
        <f>IF(AND(ISNUMBER(SnapshotTable[[#This Row],[SC Upside Potential]]), SnapshotTable[[#This Row],[SC Upside Potential]] &gt; 0),(SnapshotTable[[#This Row],[SC Upside Potential]]/ SnapshotTable[[#This Row],[ACB]]),"")</f>
        <v>#VALUE!</v>
      </c>
      <c r="FU389" s="333" t="str">
        <f>IF(SnapshotTable[[#This Row],[SC Intrinsic Value]] &gt; 0,SnapshotTable[[#This Row],[SC Intrinsic Value]],"")</f>
        <v/>
      </c>
      <c r="FV389" s="27" t="str">
        <f>IF(AND( ISNUMBER( SnapshotTable[[#This Row],[ACB]]),ISNUMBER(SnapshotTable[[#This Row],[SC Downside Protect]])),SnapshotTable[[#This Row],[SC Downside Protect]] / SnapshotTable[[#This Row],[ACB]],"")</f>
        <v/>
      </c>
      <c r="FW389" s="236" t="str">
        <f>IF(AND(ISNUMBER(SnapshotTable[[#This Row],[SC Simple ROO]]),SnapshotTable[[#This Row],[SC Simple ROO]] &gt; 0), SnapshotTable[[#This Row],[SC Premium]] + (SnapshotTable[[#This Row],[SC Qty]] * SnapshotTable[[#This Row],[SC Upside Potential]]), "")</f>
        <v/>
      </c>
      <c r="FX389" s="302" t="str" cm="1">
        <f t="array" ref="FX389">IF(ISNUMBER(SnapshotTable[[#This Row],[SC Max Dollars]]), annualize(SnapshotTable[[#This Row],[SC Term]],(SnapshotTable[[#This Row],[SC Max Dollars]]/SnapshotTable[[#This Row],[SC Basis]])),"")</f>
        <v/>
      </c>
      <c r="FY389" s="236" t="str">
        <f>IF(AND(SnapshotTable[[#This Row],[SC Qty]]&gt;0,SnapshotTable[[#This Row],[SC Current Ask]]&gt;0), SnapshotTable[[#This Row],[SC Qty]] * SnapshotTable[[#This Row],[SC Current Ask]] * -100, "")</f>
        <v/>
      </c>
      <c r="FZ389" s="31" t="str">
        <f>IF(ISNUMBER((SnapshotTable[[#This Row],[SC Current Value]])), SnapshotTable[[#This Row],[SC Premium]] + SnapshotTable[[#This Row],[SC Current Value]], "")</f>
        <v/>
      </c>
      <c r="GA389" s="294" t="str">
        <f>IFERROR( IF(ISNUMBER((SnapshotTable[[#This Row],[SC Current Value]])), SnapshotTable[[#This Row],[SC Gain Loss]] / SnapshotTable[[#This Row],[SC Premium]], ""), "")</f>
        <v/>
      </c>
      <c r="GB389" s="42">
        <f>SnapshotTable[[#This Row],[Equity Shares]] * SaleSharesToConsiderPercentage</f>
        <v>20</v>
      </c>
      <c r="GC389" s="40">
        <f>SnapshotTable[[#This Row],[Long Term Target]] * SellingPriceToConsiderBasedOnTargetPercentage</f>
        <v>0</v>
      </c>
      <c r="GD389" s="40">
        <f>SnapshotTable[[#This Row],[Last Price]] * (1+ SellingPriceToConsiderBasedOnTargetPercentage)</f>
        <v>17.491500000000002</v>
      </c>
      <c r="GE389" s="41"/>
      <c r="GF389" s="40"/>
      <c r="GG389" s="31">
        <f>SnapshotTable[[#This Row],[Booked Sale Shares]] * SnapshotTable[[#This Row],[Booked Sale Price]]</f>
        <v>0</v>
      </c>
      <c r="GH389" s="31">
        <f>IF(SnapshotTable[[#This Row],[Equity Basis Total]] &gt; 0, SnapshotTable[[#This Row],[Equity Basis Per Share]] * SnapshotTable[[#This Row],[Booked Sale Shares]], "")</f>
        <v>0</v>
      </c>
      <c r="GI389" s="31">
        <f>IF(SnapshotTable[[#This Row],[Sale Proceeds]]&gt;0, SnapshotTable[[#This Row],[Sale Proceeds]] - SnapshotTable[[#This Row],[Sale Basis]], 0)</f>
        <v>0</v>
      </c>
      <c r="GJ389" s="27" t="str">
        <f>IF(SnapshotTable[[#This Row],[Sale G/L]]&gt;0, SnapshotTable[[#This Row],[Sale G/L]] / SnapshotTable[[#This Row],[Sale Basis]], IF(ISNUMBER(SnapshotTable[[#This Row],[SC Exercise P&amp;L (TAX)]]), SnapshotTable[[#This Row],[SC Exercise P&amp;L (TAX)]] / SnapshotTable[[#This Row],[SC Basis]], ""))</f>
        <v/>
      </c>
      <c r="GK389" s="27"/>
      <c r="GL389" s="43" t="str">
        <f>IF(AND(SnapshotTable[[#This Row],[LP Exp Date]]&gt;0,SnapshotTable[[#This Row],[LP Strike Price]]&gt;0), [1]!ToOptionSymbol(SnapshotTable[[#This Row],[Symbol]], SnapshotTable[[#This Row],[LP Strike Price]],SnapshotTable[[#This Row],[LP Exp Date]],1), "")</f>
        <v/>
      </c>
      <c r="GM389" s="30" t="str">
        <f>IF(LEN(SnapshotTable[[#This Row],[LP Symbol]])&gt;0, 1, "")</f>
        <v/>
      </c>
      <c r="GN389" s="43" t="str">
        <f>IF(AND(SnapshotTable[[#This Row],[SP Exp Date]]&gt;0,SnapshotTable[[#This Row],[SP Strike Price]]&gt;0), [1]!ToOptionSymbol(SnapshotTable[[#This Row],[Symbol]], SnapshotTable[[#This Row],[SP Strike Price]],SnapshotTable[[#This Row],[SP Exp Date]],1), "")</f>
        <v/>
      </c>
      <c r="GO389" s="30" t="str">
        <f>IF(LEN(SnapshotTable[[#This Row],[SP Symbol]])&gt;0, 1, "")</f>
        <v/>
      </c>
      <c r="GP389" s="43" t="str">
        <f>IF(AND(SnapshotTable[[#This Row],[LC Exp Date]]&gt;0,SnapshotTable[[#This Row],[LC Strike Price]]&gt;0), [1]!ToOptionSymbol(SnapshotTable[[#This Row],[Symbol]], SnapshotTable[[#This Row],[LC Strike Price]],SnapshotTable[[#This Row],[LC Exp Date]],0), "")</f>
        <v/>
      </c>
      <c r="GQ389" s="30" t="str">
        <f>IF(LEN(SnapshotTable[[#This Row],[LC Symbol]])&gt;0, 1, "")</f>
        <v/>
      </c>
      <c r="GR389" s="43" t="str">
        <f>IF(AND(SnapshotTable[[#This Row],[SC Exp Date]]&gt;0,SnapshotTable[[#This Row],[SC Strike Price]]&gt;0), [1]!ToOptionSymbol(SnapshotTable[[#This Row],[Symbol]], SnapshotTable[[#This Row],[SC Strike Price]],SnapshotTable[[#This Row],[SC Exp Date]],0), "")</f>
        <v/>
      </c>
      <c r="GS389" s="30" t="str">
        <f>IF(LEN(SnapshotTable[[#This Row],[SC Symbol]])&gt;0, 1, "")</f>
        <v/>
      </c>
      <c r="GT389" s="29" t="str">
        <f>IF(COUNT(SnapshotTable[[#This Row],[LP Symbol Count]],SnapshotTable[[#This Row],[SP Symbol Count]],SnapshotTable[[#This Row],[LC Symbol Count]],SnapshotTable[[#This Row],[SC Symbol Count]])&gt;0, "Y", "")</f>
        <v/>
      </c>
      <c r="GU38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89" s="231" t="e">
        <f>MAX(SnapshotTable[[#This Row],[Equity Basis Total]],SnapshotTable[[#This Row],[Equity Value]]) + (SnapshotTable[[#This Row],[SP Potential Spend]]- SnapshotTable[[#This Row],[SP Premium]] + SnapshotTable[[#This Row],[LP Premium]])+ (SnapshotTable[[#This Row],[LC Premium]] - SnapshotTable[[#This Row],[SC Premium]])</f>
        <v>#VALUE!</v>
      </c>
      <c r="GW389" s="139" t="e">
        <f>IF(AND(SnapshotTable[[#This Row],[Exposure]] &lt;&gt; 0),SnapshotTable[[#This Row],[Exposure]] / SnapshotTable[[#Totals],[Exposure]], "")</f>
        <v>#VALUE!</v>
      </c>
      <c r="HK389" s="1"/>
      <c r="HL389" s="1"/>
      <c r="HM389" s="1"/>
      <c r="HN389" s="1"/>
      <c r="HO389" s="1"/>
      <c r="HP389" s="1"/>
    </row>
    <row r="390" spans="2:224" ht="12.75" hidden="1" customHeight="1" x14ac:dyDescent="0.25">
      <c r="B390" s="12" t="s">
        <v>1256</v>
      </c>
      <c r="C390" s="387">
        <v>16.149999999999999</v>
      </c>
      <c r="D390" s="208" t="s">
        <v>258</v>
      </c>
      <c r="E390" s="39">
        <f>SnapshotTable[[#This Row],[Last Price]]*(1 -CrashDiscount)</f>
        <v>13.727499999999999</v>
      </c>
      <c r="F390" s="26" t="s">
        <v>183</v>
      </c>
      <c r="G390" s="26" t="s">
        <v>4</v>
      </c>
      <c r="H390" s="149"/>
      <c r="I390" s="194">
        <v>44851.260416666664</v>
      </c>
      <c r="J390" s="195">
        <v>44851.260416666664</v>
      </c>
      <c r="K390" s="196"/>
      <c r="L390" s="326"/>
      <c r="M390" s="140"/>
      <c r="N390" s="140"/>
      <c r="O390" s="140"/>
      <c r="P390" s="22">
        <v>1000</v>
      </c>
      <c r="Q390" s="22">
        <v>22000</v>
      </c>
      <c r="R390" s="4">
        <f>IF(SnapshotTable[[#This Row],[Equity Basis Total]] &gt; 0, SnapshotTable[[#This Row],[Equity Basis Total]] / SnapshotTable[[#This Row],[Equity Shares]], "")</f>
        <v>22</v>
      </c>
      <c r="S390" s="269">
        <f>SnapshotTable[[#This Row],[Last Price]] * SnapshotTable[[#This Row],[Equity Shares]]</f>
        <v>16149.999999999998</v>
      </c>
      <c r="T390" s="269">
        <f>SnapshotTable[[#This Row],[Equity Value]] - SnapshotTable[[#This Row],[Equity Basis Total]]</f>
        <v>-5850.0000000000018</v>
      </c>
      <c r="U390" s="270">
        <f>IF(SnapshotTable[[#This Row],[Equity Basis Total]] &gt; 0, SnapshotTable[[#This Row],[Equity G/L]] / SnapshotTable[[#This Row],[Equity Basis Total]], "")</f>
        <v>-0.26590909090909098</v>
      </c>
      <c r="V390" s="268">
        <v>36</v>
      </c>
      <c r="W390" s="334">
        <v>16.399999999999999</v>
      </c>
      <c r="X390" s="4">
        <f>IF(AND(ISNUMBER(SnapshotTable[[#This Row],[Equity Basis Per Share]]),ISNUMBER(SnapshotTable[[#This Row],[Equity Target]])),SnapshotTable[[#This Row],[Equity Target]]-SnapshotTable[[#This Row],[Equity Basis Per Share]],"")</f>
        <v>14</v>
      </c>
      <c r="Y390" s="4">
        <f>IF(AND(ISNUMBER(SnapshotTable[[#This Row],[Equity Basis Per Share]]),ISNUMBER(SnapshotTable[[#This Row],[Equity Stop Loss]])),SnapshotTable[[#This Row],[Equity Stop Loss]]-SnapshotTable[[#This Row],[Equity Basis Per Share]],"")</f>
        <v>-5.6000000000000014</v>
      </c>
      <c r="Z390" s="275" t="str">
        <f>IFERROR( TEXT(SnapshotTable[[#This Row],[Equity Max Gain Per Share]] /ABS( SnapshotTable[[#This Row],[Equity Max Loss Per Share]]),"0.0 " ) &amp; " : 1", "")</f>
        <v>2.5  : 1</v>
      </c>
      <c r="AA390" s="31">
        <f>IF(ISNUMBER(SnapshotTable[[#This Row],[Equity Max Gain Per Share]]),SnapshotTable[[#This Row],[Equity Max Gain Per Share]] * SnapshotTable[[#This Row],[Equity Shares]],"")</f>
        <v>14000</v>
      </c>
      <c r="AB390" s="31">
        <f>IF(ISNUMBER(SnapshotTable[[#This Row],[Equity Max Loss Per Share]]),SnapshotTable[[#This Row],[Equity Max Loss Per Share]] * SnapshotTable[[#This Row],[Equity Shares]],"")</f>
        <v>-5600.0000000000018</v>
      </c>
      <c r="AC390" s="150"/>
      <c r="AD390" s="151"/>
      <c r="AE390" s="31">
        <f>(SnapshotTable[[#This Row],[Annual Dividend Per Share]] / 4) * SnapshotTable[[#This Row],[Equity Shares]]</f>
        <v>0</v>
      </c>
      <c r="AF390" s="31">
        <f>SnapshotTable[[#This Row],[Quarterly Div $]] * 4</f>
        <v>0</v>
      </c>
      <c r="AG390" s="7">
        <f>IF(SnapshotTable[[#This Row],[Annual Dividend Per Share]]&gt;0, SnapshotTable[[#This Row],[Annual Dividend Per Share]]  / SnapshotTable[[#This Row],[Last Price]], 0)</f>
        <v>0</v>
      </c>
      <c r="AH390" s="151"/>
      <c r="AI390" s="5"/>
      <c r="AJ390" s="138">
        <v>40</v>
      </c>
      <c r="AK390" s="152" t="str">
        <f>IF(ISNUMBER( SnapshotTable[[#This Row],[EBF Target]]),(SnapshotTable[[#This Row],[EBF Target]] - SnapshotTable[[#This Row],[Last Price]]) / SnapshotTable[[#This Row],[Last Price]], "")</f>
        <v/>
      </c>
      <c r="AL390" s="152">
        <f>IF(AND(SnapshotTable[[#This Row],[Equity Basis Total]] &gt; 0,ISNUMBER( SnapshotTable[[#This Row],[Long Term Target]])), SnapshotTable[[#This Row],[From Basis $]] / SnapshotTable[[#This Row],[Equity Basis Total]], "")</f>
        <v>0.81818181818181823</v>
      </c>
      <c r="AM390" s="9">
        <f>IF( AND(SnapshotTable[[#This Row],[Equity Shares]] &gt;0,ISNUMBER( SnapshotTable[[#This Row],[Long Term Target]])),(SnapshotTable[[#This Row],[Equity Shares]] * SnapshotTable[[#This Row],[Long Term Target]]) - SnapshotTable[[#This Row],[Equity Basis Total]],0)</f>
        <v>18000</v>
      </c>
      <c r="AN390" s="9">
        <f>IF( AND(SnapshotTable[[#This Row],[Equity Shares]] &gt;0,ISNUMBER( SnapshotTable[[#This Row],[Long Term Target]])),(SnapshotTable[[#This Row],[Equity Shares]]*SnapshotTable[[#This Row],[Long Term Target]]) - SnapshotTable[[#This Row],[Equity Value]],0)</f>
        <v>23850</v>
      </c>
      <c r="AO390" s="152">
        <f>IF(AND(ISNUMBER( SnapshotTable[[#This Row],[Long Term Target]]), ISNUMBER(SnapshotTable[[#This Row],[Last Price]])),(SnapshotTable[[#This Row],[Long Term Target]] - SnapshotTable[[#This Row],[Last Price]]) / SnapshotTable[[#This Row],[Last Price]], "")</f>
        <v>1.4767801857585141</v>
      </c>
      <c r="AP390" s="5"/>
      <c r="AQ390" s="38"/>
      <c r="AR390" s="5"/>
      <c r="AS390" s="38"/>
      <c r="AT390" s="146"/>
      <c r="AU390" s="187" t="str">
        <f ca="1">IF(OR(SnapshotTable[[#This Row],[LP No Fill]]="Y",SnapshotTable[[#This Row],[SP Is Filled]],SnapshotTable[[#This Row],[LC Not Filled]]="Y",SnapshotTable[[#This Row],[SC Is Filled]]),"Y","")</f>
        <v>Y</v>
      </c>
      <c r="AV390" s="219"/>
      <c r="AW390" s="225"/>
      <c r="AX390" s="220"/>
      <c r="AY390" s="219" t="str">
        <f>IF(SnapshotTable[[#This Row],[Implied Move]]&gt;0, SnapshotTable[[#This Row],[Last Price]]-SnapshotTable[[#This Row],[Implied Move]],"")</f>
        <v/>
      </c>
      <c r="AZ390" s="219" t="str">
        <f>IF(SnapshotTable[[#This Row],[Implied Move]]&gt;0, SnapshotTable[[#This Row],[Last Price]] + SnapshotTable[[#This Row],[Implied Move]],"")</f>
        <v/>
      </c>
      <c r="BA390" s="331">
        <v>21.97</v>
      </c>
      <c r="BB390" s="347"/>
      <c r="BC390"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46283</v>
      </c>
      <c r="BD390" s="351"/>
      <c r="BE390" s="138"/>
      <c r="BF390" s="166"/>
      <c r="BG390" s="167"/>
      <c r="BH390" s="167"/>
      <c r="BI390" s="221"/>
      <c r="BJ390" s="153">
        <f>IF(SnapshotTable[[#This Row],[LP Qty]] &gt; 0, SnapshotTable[[#This Row],[LP Qty]] * SnapshotTable[[#This Row],[LP Book Price]] * 100,0)</f>
        <v>0</v>
      </c>
      <c r="BK390" s="136">
        <f>IF(SnapshotTable[[#This Row],[LP Premium]] &gt; 0, SnapshotTable[[#This Row],[LP Qty]] * SnapshotTable[[#This Row],[LP Strike Price]] * 100,0)</f>
        <v>0</v>
      </c>
      <c r="BL390" s="154"/>
      <c r="BM390" s="385" t="str">
        <f>IF(SnapshotTable[[#This Row],[LP Premium]] &gt; 0,SnapshotTable[[#This Row],[LP Exp Date]]-MAX(SnapshotTable[[#This Row],[LP Book Date]], SnapshotTable[[#This Row],[LP Fill Date]]),"")</f>
        <v/>
      </c>
      <c r="BN390" s="385" t="str">
        <f>IF(ISNUMBER( SnapshotTable[[#This Row],[LP Term]]), SnapshotTable[[#This Row],[LP Exp Date]] - MockToday,"")</f>
        <v/>
      </c>
      <c r="BO390" s="163" t="str">
        <f>IF(AND(SnapshotTable[[#This Row],[LP Exp Date]]&gt;0, SnapshotTable[[#This Row],[LP Strike Price]]&gt;0,SnapshotTable[[#This Row],[LP Qty]]&gt;0,SnapshotTable[[#This Row],[LP Book Date]]&gt;0,SnapshotTable[[#This Row],[LP Book Price]]&gt;0,SnapshotTable[[#This Row],[LP Fill Date]]=0),"Y","")</f>
        <v/>
      </c>
      <c r="BP390" s="31" t="str">
        <f>IF(AND(SnapshotTable[[#This Row],[LP No Fill]]&lt;&gt;"Y",SnapshotTable[[#This Row],[LP Contract Value]]&gt;0, SnapshotTable[[#This Row],[LP Qty]]&gt;0), SnapshotTable[[#This Row],[LP Contract Value]]*SnapshotTable[[#This Row],[LP Qty]]*100,"")</f>
        <v/>
      </c>
      <c r="BQ390" s="13"/>
      <c r="BR390" s="5" t="str">
        <f>IF(SnapshotTable[[#This Row],[SP Exp Date]]&lt;&gt;"",TRUNC(SnapshotTable[[#This Row],[Last Price]]),"")</f>
        <v/>
      </c>
      <c r="BS390" s="36"/>
      <c r="BT390" s="147"/>
      <c r="BU390" s="13"/>
      <c r="BV390" s="5"/>
      <c r="BW390" s="419" t="b">
        <f>AND(ISNUMBER(SnapshotTable[[#This Row],[SP Exp Date]]), ISNUMBER(SnapshotTable[[#This Row],[SP Strike Price]]), ISNUMBER(SnapshotTable[[#This Row],[SP Qty]]), ISNUMBER(SnapshotTable[[#This Row],[SP Book Date]]), ISNUMBER(SnapshotTable[[#This Row],[SP Book Price]]))</f>
        <v>0</v>
      </c>
      <c r="BX390" s="419" t="b">
        <f>AND(SnapshotTable[[#This Row],[SP Is Booked]], NOT(ISBLANK(SnapshotTable[[#This Row],[SP Fill Date]])))</f>
        <v>0</v>
      </c>
      <c r="BY390" s="33">
        <f>IF(SnapshotTable[[#This Row],[SP Is Booked]], SnapshotTable[[#This Row],[SP Qty]] * SnapshotTable[[#This Row],[SP Book Price]] * 100, 0)</f>
        <v>0</v>
      </c>
      <c r="BZ390" s="369"/>
      <c r="CA390" s="368">
        <f>SnapshotTable[[#This Row],[LP Qty]]</f>
        <v>0</v>
      </c>
      <c r="CB390" s="4" t="str">
        <f>IF(SnapshotTable[[#This Row],[SP Is Booked]], SnapshotTable[[#This Row],[SP Strike Price]] - SnapshotTable[[#This Row],[SP Book Price]], "")</f>
        <v/>
      </c>
      <c r="CC390" s="19" t="str">
        <f>IF(SnapshotTable[[#This Row],[SP Is Booked]],SnapshotTable[[#This Row],[SP Exp Date]]-MAX(SnapshotTable[[#This Row],[SP Book Date]], SnapshotTable[[#This Row],[SP Fill Date]]),"")</f>
        <v/>
      </c>
      <c r="CD390" s="7" t="str">
        <f>IF(SnapshotTable[[#This Row],[SP Is Booked]], SnapshotTable[[#This Row],[SP Book Price]]/SnapshotTable[[#This Row],[SP Strike Price]], "")</f>
        <v/>
      </c>
      <c r="CE390" s="7" t="str">
        <f>IF(ISNUMBER(SnapshotTable[[#This Row],[SP ROO Term]]),SnapshotTable[[#This Row],[SP ROO Term]]*(365/SnapshotTable[[#This Row],[SP Term]]),"")</f>
        <v/>
      </c>
      <c r="CF390" s="236">
        <f>SnapshotTable[[#This Row],[LP Strike Price]] * SnapshotTable[[#This Row],[LP Qty]] * 100</f>
        <v>0</v>
      </c>
      <c r="CG390" s="31" t="e">
        <f>IF(ISNUMBER(SnapshotTable[[#This Row],[SP Premium]]), (SnapshotTable[[#This Row],[SP Qty]] * SnapshotTable[[#This Row],[SP Strike Price]]* 100) - SnapshotTable[[#This Row],[LP Protection]], 0)</f>
        <v>#VALUE!</v>
      </c>
      <c r="CH390" s="7" t="str">
        <f>IF(ISNUMBER(SnapshotTable[[#This Row],[SP Break Even]]),-1 * (SnapshotTable[[#This Row],[SP Break Even]] - SnapshotTable[[#This Row],[Last Price]]) / SnapshotTable[[#This Row],[Last Price]], "")</f>
        <v/>
      </c>
      <c r="CI390" s="31">
        <f>IF(AND(ISNUMBER((SnapshotTable[[#This Row],[SP Potential Spend]])), SnapshotTable[[#This Row],[SP Strike Price]] &gt; SnapshotTable[[#This Row],[Last Price]], SnapshotTable[[#This Row],[SP Is Filled]]), SnapshotTable[[#This Row],[SP Potential Spend]] -  SnapshotTable[[#This Row],[LP Max Value]], 0)</f>
        <v>0</v>
      </c>
      <c r="CJ390" s="244"/>
      <c r="CK390" s="31" t="str">
        <f>IF(ISNUMBER(SnapshotTable[[#This Row],[SP Potential Spend]]),IF(ISNUMBER(SnapshotTable[[#This Row],[SP POW]]), SnapshotTable[[#This Row],[SP POW]] * SnapshotTable[[#This Row],[SP Potential Spend]], SnapshotTable[[#This Row],[SP Potential Spend]]), "")</f>
        <v/>
      </c>
      <c r="CL390" s="164" t="e">
        <f>IF(NOT(SnapshotTable[[#This Row],[SP Is Filled]]),(SnapshotTable[[#This Row],[SP Qty]] * SnapshotTable[[#This Row],[SP Strike Price]] * 100) - SnapshotTable[[#This Row],[LP Max Value]],"")</f>
        <v>#VALUE!</v>
      </c>
      <c r="CM390" s="31" t="str">
        <f>IF(SnapshotTable[[#This Row],[SP Actual Spend]]&lt;&gt;0, ((SnapshotTable[[#This Row],[SP Strike Price]]-SnapshotTable[[#This Row],[Last Price]]) *(SnapshotTable[[#This Row],[SP Qty]]*100) - SnapshotTable[[#This Row],[SP Premium]]) * - 1, "")</f>
        <v/>
      </c>
      <c r="CN390" s="154"/>
      <c r="CO390" s="369"/>
      <c r="CP390" s="4" t="str">
        <f>IF(SnapshotTable[[#This Row],[SP Is Filled]], btc_max_buyback_amount(SnapshotTable[[#This Row],[SP Fill Date]],SnapshotTable[[#This Row],[SP Exp Date]], SnapshotTable[[#This Row],[SP Book Price]]),"")</f>
        <v/>
      </c>
      <c r="CQ390" s="78"/>
      <c r="CR39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0" s="155" t="str">
        <f>IF(SnapshotTable[[#This Row],[SP Is Filled]], btc_next_cutoff_date(SnapshotTable[[#This Row],[SP Fill Date]],SnapshotTable[[#This Row],[SP Exp Date]]),"")</f>
        <v/>
      </c>
      <c r="CT390" s="235" t="str" cm="1">
        <f t="array" ref="CT390">IF(SnapshotTable[[#This Row],[SP Is Filled]], btc_should_buy_back(SnapshotTable[[#This Row],[SP Fill Date]], SnapshotTable[[#This Row],[SP Exp Date]], SnapshotTable[[#This Row],[SP Book Price]], SnapshotTable[[#This Row],[SP Current Ask]], MockToday, SnapshotTable[[#This Row],[SP Buyback Override]]),"")</f>
        <v/>
      </c>
      <c r="CU390" s="143"/>
      <c r="CV390" s="235"/>
      <c r="CW390" s="378" t="str">
        <f>IF(ISNUMBER( SnapshotTable[[#This Row],[SP Term]]), SnapshotTable[[#This Row],[SP Exp Date]] - MockToday,"")</f>
        <v/>
      </c>
      <c r="CX390" s="31" t="str">
        <f>IF(SnapshotTable[[#This Row],[SP Is Filled]],SnapshotTable[[#This Row],[SP Buyback Price to Use]] * 100 * SnapshotTable[[#This Row],[SP Qty]], "")</f>
        <v/>
      </c>
      <c r="CY390" s="4" t="str">
        <f>IF(ISNUMBER(SnapshotTable[[#This Row],[SP Strike Price]]), SnapshotTable[[#This Row],[SP Strike Price]] * (1 - SP_MaxLoss_StrikePct), "")</f>
        <v/>
      </c>
      <c r="CZ390" s="31" t="str">
        <f>IF(ISNUMBER(SnapshotTable[[#This Row],[SP Strike  Stop Per Share]]),SnapshotTable[[#This Row],[SP Premium]] - ((SnapshotTable[[#This Row],[SP Strike Price]]-SnapshotTable[[#This Row],[SP Strike  Stop Per Share]]) *(SnapshotTable[[#This Row],[SP Qty]] * 100)),"")</f>
        <v/>
      </c>
      <c r="DA390" s="4" t="str">
        <f>IF(AND(ISNUMBER(SnapshotTable[[#This Row],[SP Premium]]),SnapshotTable[[#This Row],[SP Premium]]&gt;0), SnapshotTable[[#This Row],[SP Book Price]] * (1 + SP_MaxLoss_OptionPct), "")</f>
        <v/>
      </c>
      <c r="DB390" s="31" t="str">
        <f>IF(ISNUMBER(SnapshotTable[[#This Row],[SP Option  Stop Contract]]),(SnapshotTable[[#This Row],[SP Option  Stop Contract]] *(SnapshotTable[[#This Row],[SP Qty]] * 100) - SnapshotTable[[#This Row],[SP Premium]]),"")</f>
        <v/>
      </c>
      <c r="DC390" s="4"/>
      <c r="DD390" s="4"/>
      <c r="DE390" s="4" t="str">
        <f>IF(AND(SnapshotTable[[#This Row],[SP Qty]]&gt;0, SnapshotTable[[#This Row],[SP Stop To Use]]&gt;0),SnapshotTable[[#This Row],[SP Premium]] - ( SnapshotTable[[#This Row],[SP Qty]] * SnapshotTable[[#This Row],[SP Stop To Use]] * 100), "")</f>
        <v/>
      </c>
      <c r="DF390" s="31" t="str">
        <f>IF(AND(SnapshotTable[[#This Row],[SP Qty]]&gt;0,SnapshotTable[[#This Row],[SP Current Ask]]&gt;0), SnapshotTable[[#This Row],[SP Qty]] * SnapshotTable[[#This Row],[SP Current Ask]] * -100, "")</f>
        <v/>
      </c>
      <c r="DG390" s="31" t="str">
        <f>IF(ISNUMBER((SnapshotTable[[#This Row],[SP Total Value]])), SnapshotTable[[#This Row],[SP Premium]] + SnapshotTable[[#This Row],[SP Total Value]], "")</f>
        <v/>
      </c>
      <c r="DH390" s="294" t="str">
        <f>IF(ISNUMBER((SnapshotTable[[#This Row],[SP Total Value]])), SnapshotTable[[#This Row],[SP Gain Loss]] / SnapshotTable[[#This Row],[SP Premium]], "")</f>
        <v/>
      </c>
      <c r="DI390" s="406"/>
      <c r="DJ390" s="138"/>
      <c r="DK390" s="148"/>
      <c r="DL390" s="147"/>
      <c r="DM390" s="147"/>
      <c r="DO390" s="31">
        <f>IF(SnapshotTable[[#This Row],[LC Symbol Count]]=1, SnapshotTable[[#This Row],[LC Qty]] * SnapshotTable[[#This Row],[LC Book Price]] * 100, 0)</f>
        <v>0</v>
      </c>
      <c r="DP390" s="163" t="str">
        <f>IF(AND(SnapshotTable[[#This Row],[LC Exp Date]]&gt;0, SnapshotTable[[#This Row],[LC Strike Price]]&gt;0,SnapshotTable[[#This Row],[LC Qty]]&gt;0,SnapshotTable[[#This Row],[LC Book Date]]&gt;0,SnapshotTable[[#This Row],[LC Book Price]]&gt;0,SnapshotTable[[#This Row],[LC Fill Date]]=0),"Y","")</f>
        <v/>
      </c>
      <c r="DQ390" s="386" t="str">
        <f>IF(SnapshotTable[[#This Row],[LC Premium]] &gt; 0,SnapshotTable[[#This Row],[LC Exp Date]]-MAX(SnapshotTable[[#This Row],[LC Book Date]], SnapshotTable[[#This Row],[LC Fill Date]]),"")</f>
        <v/>
      </c>
      <c r="DR390" s="386" t="str">
        <f>IF(ISNUMBER(SnapshotTable[[#This Row],[LC Term]]), SnapshotTable[[#This Row],[LC Exp Date]] - MockToday, "")</f>
        <v/>
      </c>
      <c r="DS390" s="234" t="str">
        <f>IF(SnapshotTable[[#This Row],[LC Premium]]&gt;0,SnapshotTable[[#This Row],[LC Strike Price]] + SnapshotTable[[#This Row],[LC Book Price]],"")</f>
        <v/>
      </c>
      <c r="DU390" s="9" t="str">
        <f>IF(AND(SnapshotTable[[#This Row],[LC Symbol Count]]&gt;0, SnapshotTable[[#This Row],[LC Contract Value]]&gt;0), SnapshotTable[[#This Row],[LC Contract Value]] * SnapshotTable[[#This Row],[LC Qty]] * 100, "")</f>
        <v/>
      </c>
      <c r="DV390" s="9" t="str">
        <f>IF(AND(ISNUMBER(SnapshotTable[[#This Row],[LC Total Value]]), SnapshotTable[[#This Row],[LC Not Filled]]&lt;&gt;"Y"), SnapshotTable[[#This Row],[LC Total Value]]-SnapshotTable[[#This Row],[LC Premium]],"")</f>
        <v/>
      </c>
      <c r="DW390" s="240" t="str">
        <f>IF(ISNUMBER(SnapshotTable[[#This Row],[LC Actual Gain Loss]]), SnapshotTable[[#This Row],[LC Actual Gain Loss]] / SnapshotTable[[#This Row],[LC Premium]],"")</f>
        <v/>
      </c>
      <c r="DX390" s="284" t="str">
        <f>IF(ISNUMBER(SnapshotTable[[#This Row],[LC Book Price]]),SnapshotTable[[#This Row],[LC Book Price]] * 1.5,"")</f>
        <v/>
      </c>
      <c r="DY390" s="265" t="str">
        <f>IF(SnapshotTable[[#This Row],[LC Premium]]&gt;0, SnapshotTable[[#This Row],[LC Next Target]] * SnapshotTable[[#This Row],[LC Qty]] * 100,"")</f>
        <v/>
      </c>
      <c r="DZ390" s="265" t="str">
        <f>IF(ISNUMBER(SnapshotTable[[#This Row],[LC Target Gross]]), SnapshotTable[[#This Row],[LC Target Gross]] - SnapshotTable[[#This Row],[LC Premium]], "")</f>
        <v/>
      </c>
      <c r="EA390" s="305" t="str">
        <f>IF(ISNUMBER(SnapshotTable[[#This Row],[LC Target Gain Loss]]), SnapshotTable[[#This Row],[LC Target Gain Loss]]/SnapshotTable[[#This Row],[LC Premium]], "")</f>
        <v/>
      </c>
      <c r="EB390" s="262"/>
      <c r="EC390" s="283" t="str">
        <f>IF(SnapshotTable[[#This Row],[LC Premium]]&gt;0, SnapshotTable[[#This Row],[LC Book Price]] * (1 - LC_StopLoss_Pct),"")</f>
        <v/>
      </c>
      <c r="ED390" s="284"/>
      <c r="EE390" s="283" t="str">
        <f>IF(ISNUMBER(SnapshotTable[[#This Row],[LC Contract Value]]),IF(ISNUMBER(SnapshotTable[[#This Row],[LC Stop Loss Override]]), SnapshotTable[[#This Row],[LC Stop Loss Override]],SnapshotTable[[#This Row],[LC Stop Loss Calc Target]]),"")</f>
        <v/>
      </c>
      <c r="EF390" s="31" t="str">
        <f>IF(ISNUMBER(SnapshotTable[[#This Row],[LC Stop  To Use]]), (SnapshotTable[[#This Row],[LC Stop  To Use]] * SnapshotTable[[#This Row],[LC Qty]] * 100),"")</f>
        <v/>
      </c>
      <c r="EG390" s="9" t="str">
        <f>IF(ISNUMBER(SnapshotTable[[#This Row],[LC Total Value]]),SnapshotTable[[#This Row],[LC Stop Loss Amount]] - SnapshotTable[[#This Row],[LC Premium]],"")</f>
        <v/>
      </c>
      <c r="EH390" s="9">
        <f>IF(ISNUMBER(SnapshotTable[[#This Row],[LC Premium]]), SnapshotTable[[#This Row],[LC Qty]] * 100 * SnapshotTable[[#This Row],[LC Strike Price]], "")</f>
        <v>0</v>
      </c>
      <c r="EI390" s="240" t="str">
        <f>IF(AND(ISNUMBER(SnapshotTable[[#This Row],[LC Total Value]]),SnapshotTable[[#This Row],[LC Total Value]]&gt;0),SnapshotTable[[#This Row],[LC Stop Gain Loss]]  / SnapshotTable[[#This Row],[LC Premium]],"")</f>
        <v/>
      </c>
      <c r="EJ390" s="35">
        <f>IF(ISNUMBER(SnapshotTable[[#This Row],[Equity Shares]]),TRUNC(SnapshotTable[[#This Row],[Equity Shares]] / 100),0) + SnapshotTable[[#This Row],[LC Qty]]</f>
        <v>10</v>
      </c>
      <c r="EK390" s="147">
        <f ca="1">NextMonthlyOpex</f>
        <v>46283</v>
      </c>
      <c r="EL390" s="138">
        <f ca="1">IF(SnapshotTable[[#This Row],[SC Exp Date]]&lt;&gt;"",TRUNC(SnapshotTable[[#This Row],[Last Price]]),"")</f>
        <v>16</v>
      </c>
      <c r="EM390" s="148">
        <v>10</v>
      </c>
      <c r="EN390" s="147">
        <f ca="1">WORKDAY(MockToday, 0)</f>
        <v>46235</v>
      </c>
      <c r="EO390" s="147">
        <f ca="1">SnapshotTable[[#This Row],[SC Book Date]]</f>
        <v>46235</v>
      </c>
      <c r="EP390" s="138">
        <v>1</v>
      </c>
      <c r="EQ390" s="419" t="b">
        <f ca="1">AND(ISNUMBER(SnapshotTable[[#This Row],[SC Exp Date]]), ISNUMBER(SnapshotTable[[#This Row],[SC Strike Price]]), ISNUMBER(SnapshotTable[[#This Row],[SC Qty]]), ISNUMBER(SnapshotTable[[#This Row],[SC Book Date]]), ISNUMBER(SnapshotTable[[#This Row],[SC Book Price]]))</f>
        <v>1</v>
      </c>
      <c r="ER390" s="419" t="b">
        <f ca="1">AND(SnapshotTable[[#This Row],[SC Is Booked]], NOT(ISBLANK(SnapshotTable[[#This Row],[SC Fill Date]])))</f>
        <v>1</v>
      </c>
      <c r="ES390" s="370">
        <v>0.34</v>
      </c>
      <c r="ET390" s="34">
        <f ca="1">IF(AND(ISNUMBER(SnapshotTable[[#This Row],[SC Exp Date]]), ISNUMBER(SnapshotTable[[#This Row],[SC Book Date]])), SnapshotTable[[#This Row],[SC Exp Date]] - MAX(SnapshotTable[[#This Row],[SC Book Date]], SnapshotTable[[#This Row],[SC Fill Date]]) + 1, "")</f>
        <v>49</v>
      </c>
      <c r="EU390" s="34">
        <f ca="1">IF(ISNUMBER(SnapshotTable[[#This Row],[SC Term]]), SnapshotTable[[#This Row],[SC Exp Date]]- MockToday, "")</f>
        <v>48</v>
      </c>
      <c r="EV390" s="31">
        <f ca="1">IF(SnapshotTable[[#This Row],[SC Is Booked]], SnapshotTable[[#This Row],[SC Qty]] * SnapshotTable[[#This Row],[SC Book Price]] * 100, 0)</f>
        <v>1000</v>
      </c>
      <c r="EW390" s="4">
        <f>IF(AND(ISNUMBER(SnapshotTable[[#This Row],[Last Price]]), ISNUMBER( SnapshotTable[[#This Row],[SC Book Price]])), SnapshotTable[[#This Row],[Last Price]] - SnapshotTable[[#This Row],[SC Book Price]],"")</f>
        <v>15.149999999999999</v>
      </c>
      <c r="EX390" s="234">
        <f ca="1">IF(SnapshotTable[[#This Row],[SC Is Booked]],IF(SnapshotTable[[#This Row],[SC Intrinsic Value]] &gt; 0, SnapshotTable[[#This Row],[SC Strike Price]], SnapshotTable[[#This Row],[Last Price]]), "")</f>
        <v>16</v>
      </c>
      <c r="EY390" s="4">
        <f ca="1">IF(SnapshotTable[[#This Row],[SC Is Booked]], (MinimumPremiumRequired * SnapshotTable[[#This Row],[SC Basis]] * SnapshotTable[[#This Row],[SC Term]]), 0)</f>
        <v>0.78400000000000003</v>
      </c>
      <c r="EZ390" s="283"/>
      <c r="FA390" s="218">
        <v>0.69</v>
      </c>
      <c r="FB390" s="370">
        <v>0.32</v>
      </c>
      <c r="FC390" s="4" t="e">
        <f ca="1">IF(SnapshotTable[[#This Row],[SC Is Filled]], btc_max_buyback_amount(SnapshotTable[[#This Row],[SC Fill Date]],SnapshotTable[[#This Row],[SC Exp Date]], SnapshotTable[[#This Row],[SC Book Price]]),0)</f>
        <v>#NAME?</v>
      </c>
      <c r="FD390" s="5"/>
      <c r="FE390" s="144" t="e">
        <f ca="1">IF(SnapshotTable[[#This Row],[SC Is Filled]], btc_next_cutoff_date(SnapshotTable[[#This Row],[SC Fill Date]],SnapshotTable[[#This Row],[SC Exp Date]]),"")</f>
        <v>#NAME?</v>
      </c>
      <c r="FF390" s="4" t="e" cm="1">
        <f t="array" aca="1" ref="FF390" ca="1">IF(SnapshotTable[[#This Row],[SC Is Filled]], btc_should_buy_back(SnapshotTable[[#This Row],[SC Fill Date]], SnapshotTable[[#This Row],[SC Exp Date]], SnapshotTable[[#This Row],[SC Book Price]], SnapshotTable[[#This Row],[SC Current Ask]], MockToday, SnapshotTable[[#This Row],[SC Buyback Override]]),"")</f>
        <v>#NAME?</v>
      </c>
      <c r="FG390" s="4">
        <f ca="1">IF(SnapshotTable[[#This Row],[SC Is Filled]], MAX(0,SnapshotTable[[#This Row],[Last Price]]  - SnapshotTable[[#This Row],[SC Strike Price]]), 0)</f>
        <v>0.14999999999999858</v>
      </c>
      <c r="FH390" s="382">
        <f ca="1">IF(SnapshotTable[[#This Row],[SC Is Filled]], IF(ISNUMBER(SnapshotTable[[#This Row],[SC Current Ask]]), SnapshotTable[[#This Row],[SC Current Ask]], SnapshotTable[[#This Row],[SC Book Price]]) - SnapshotTable[[#This Row],[SC Intrinsic Value]], 0)</f>
        <v>0.54000000000000137</v>
      </c>
      <c r="FI390" s="143">
        <v>46255</v>
      </c>
      <c r="FJ390" s="32">
        <f ca="1">IF(SnapshotTable[[#This Row],[SC Is Filled]],100 * SnapshotTable[[#This Row],[SC Qty]] * IF(ISNUMBER(SnapshotTable[[#This Row],[SC Buyback Override]]), SnapshotTable[[#This Row],[SC Buyback Override]], SnapshotTable[[#This Row],[SC Current Ask]]), "")</f>
        <v>690</v>
      </c>
      <c r="FK390" s="250">
        <f ca="1">IF(SnapshotTable[[#This Row],[SC Time Val]]&gt;0, SnapshotTable[[#This Row],[SC Time Val]] / SnapshotTable[[#This Row],[Last Price]],"")</f>
        <v>3.3436532507740029E-2</v>
      </c>
      <c r="FL390" s="302">
        <f ca="1">IF(SnapshotTable[[#This Row],[SC Is Booked]], ((SnapshotTable[[#This Row],[Last Price]] -SnapshotTable[[#This Row],[SC Strike Price]]) / SnapshotTable[[#This Row],[Last Price]]) * -1, "")</f>
        <v>-9.2879256965943402E-3</v>
      </c>
      <c r="FM390" s="157">
        <f ca="1">IF(SnapshotTable[[#This Row],[SC Is Booked]],  (SnapshotTable[[#This Row],[SC Qty]] * 100 * SnapshotTable[[#This Row],[SC Strike Price]]) - SnapshotTable[[#This Row],[SC Current Ask]], "")</f>
        <v>15999.31</v>
      </c>
      <c r="FN390" s="157">
        <f ca="1">IF(AND(ISNUMBER(SnapshotTable[[#This Row],[SC Exercise Gross]]), SnapshotTable[[#This Row],[SC Exercise Gross]] &lt; (SnapshotTable[[#This Row],[SC Qty]] * 100 * SnapshotTable[[#This Row],[Last Price]])),  (SnapshotTable[[#This Row],[SC Qty]] * 100 * SnapshotTable[[#This Row],[Last Price]]) - SnapshotTable[[#This Row],[SC Exercise Gross]], "")</f>
        <v>150.68999999999869</v>
      </c>
      <c r="FO390" s="157">
        <f ca="1">IF(AND(ISNUMBER(SnapshotTable[[#This Row],[SC Exercise Gross]]), ISNUMBER(SnapshotTable[[#This Row],[Equity Basis Per Share]] )), SnapshotTable[[#This Row],[SC Exercise Gross]] - SnapshotTable[[#This Row],[Equity Basis Total]] +  SnapshotTable[[#This Row],[SC Premium]], "")</f>
        <v>-5000.6900000000005</v>
      </c>
      <c r="FP390" s="5">
        <f ca="1">IF(ISNUMBER(SnapshotTable[[#This Row],[SC Exercise Gross]]), (SnapshotTable[[#This Row],[SC Exercise Gross]]) / (SnapshotTable[[#This Row],[SC Qty]] * 100), "")</f>
        <v>15.999309999999999</v>
      </c>
      <c r="FQ390" s="27">
        <f ca="1">IF(SnapshotTable[[#This Row],[SC Is Booked]],SnapshotTable[[#This Row],[SC Time Val]] /SnapshotTable[[#This Row],[SC Basis]], "")</f>
        <v>3.3750000000000085E-2</v>
      </c>
      <c r="FR390" s="27" t="e" cm="1">
        <f t="array" aca="1" ref="FR390" ca="1">IF(AND(ISNUMBER(SnapshotTable[[#This Row],[SC Term]]),ISNUMBER(SnapshotTable[[#This Row],[SC Simple ROO]])), EllmanAnnualize(SnapshotTable[[#This Row],[SC DTE]], SnapshotTable[[#This Row],[SC Simple ROO]] ),"")</f>
        <v>#NAME?</v>
      </c>
      <c r="FS390" s="4">
        <f ca="1">IF(SnapshotTable[[#This Row],[SC Strike Price]] &gt; SnapshotTable[[#This Row],[Last Price]], SnapshotTable[[#This Row],[SC Strike Price]] - SnapshotTable[[#This Row],[Last Price]],0)</f>
        <v>0</v>
      </c>
      <c r="FT390" s="27" t="str">
        <f ca="1">IF(AND(ISNUMBER(SnapshotTable[[#This Row],[SC Upside Potential]]), SnapshotTable[[#This Row],[SC Upside Potential]] &gt; 0),(SnapshotTable[[#This Row],[SC Upside Potential]]/ SnapshotTable[[#This Row],[ACB]]),"")</f>
        <v/>
      </c>
      <c r="FU390" s="333">
        <f ca="1">IF(SnapshotTable[[#This Row],[SC Intrinsic Value]] &gt; 0,SnapshotTable[[#This Row],[SC Intrinsic Value]],"")</f>
        <v>0.14999999999999858</v>
      </c>
      <c r="FV390" s="27">
        <f ca="1">IF(AND( ISNUMBER( SnapshotTable[[#This Row],[ACB]]),ISNUMBER(SnapshotTable[[#This Row],[SC Downside Protect]])),SnapshotTable[[#This Row],[SC Downside Protect]] / SnapshotTable[[#This Row],[ACB]],"")</f>
        <v>6.8274920345925616E-3</v>
      </c>
      <c r="FW390" s="236">
        <f ca="1">IF(AND(ISNUMBER(SnapshotTable[[#This Row],[SC Simple ROO]]),SnapshotTable[[#This Row],[SC Simple ROO]] &gt; 0), SnapshotTable[[#This Row],[SC Premium]] + (SnapshotTable[[#This Row],[SC Qty]] * SnapshotTable[[#This Row],[SC Upside Potential]]), "")</f>
        <v>1000</v>
      </c>
      <c r="FX390" s="302" t="e" cm="1">
        <f t="array" aca="1" ref="FX390" ca="1">IF(ISNUMBER(SnapshotTable[[#This Row],[SC Max Dollars]]), annualize(SnapshotTable[[#This Row],[SC Term]],(SnapshotTable[[#This Row],[SC Max Dollars]]/SnapshotTable[[#This Row],[SC Basis]])),"")</f>
        <v>#NAME?</v>
      </c>
      <c r="FY390" s="236">
        <f>IF(AND(SnapshotTable[[#This Row],[SC Qty]]&gt;0,SnapshotTable[[#This Row],[SC Current Ask]]&gt;0), SnapshotTable[[#This Row],[SC Qty]] * SnapshotTable[[#This Row],[SC Current Ask]] * -100, "")</f>
        <v>-690</v>
      </c>
      <c r="FZ390" s="235">
        <f ca="1">IF(ISNUMBER((SnapshotTable[[#This Row],[SC Current Value]])), SnapshotTable[[#This Row],[SC Premium]] + SnapshotTable[[#This Row],[SC Current Value]], "")</f>
        <v>310</v>
      </c>
      <c r="GA390" s="294">
        <f ca="1">IFERROR( IF(ISNUMBER((SnapshotTable[[#This Row],[SC Current Value]])), SnapshotTable[[#This Row],[SC Gain Loss]] / SnapshotTable[[#This Row],[SC Premium]], ""), "")</f>
        <v>0.31</v>
      </c>
      <c r="GB390" s="42">
        <f>SnapshotTable[[#This Row],[Equity Shares]] * SaleSharesToConsiderPercentage</f>
        <v>200</v>
      </c>
      <c r="GC390" s="40">
        <f>SnapshotTable[[#This Row],[Long Term Target]] * SellingPriceToConsiderBasedOnTargetPercentage</f>
        <v>38</v>
      </c>
      <c r="GD390" s="40">
        <f>SnapshotTable[[#This Row],[Last Price]] * (1+ SellingPriceToConsiderBasedOnTargetPercentage)</f>
        <v>31.492499999999996</v>
      </c>
      <c r="GE390" s="41"/>
      <c r="GF390" s="40"/>
      <c r="GG390" s="31">
        <f>SnapshotTable[[#This Row],[Booked Sale Shares]] * SnapshotTable[[#This Row],[Booked Sale Price]]</f>
        <v>0</v>
      </c>
      <c r="GH390" s="31">
        <f>IF(SnapshotTable[[#This Row],[Equity Basis Total]] &gt; 0, SnapshotTable[[#This Row],[Equity Basis Per Share]] * SnapshotTable[[#This Row],[Booked Sale Shares]], "")</f>
        <v>0</v>
      </c>
      <c r="GI390" s="31">
        <f>IF(SnapshotTable[[#This Row],[Sale Proceeds]]&gt;0, SnapshotTable[[#This Row],[Sale Proceeds]] - SnapshotTable[[#This Row],[Sale Basis]], 0)</f>
        <v>0</v>
      </c>
      <c r="GJ390" s="158">
        <f ca="1">IF(SnapshotTable[[#This Row],[Sale G/L]]&gt;0, SnapshotTable[[#This Row],[Sale G/L]] / SnapshotTable[[#This Row],[Sale Basis]], IF(ISNUMBER(SnapshotTable[[#This Row],[SC Exercise P&amp;L (TAX)]]), SnapshotTable[[#This Row],[SC Exercise P&amp;L (TAX)]] / SnapshotTable[[#This Row],[SC Basis]], ""))</f>
        <v>-312.54312500000003</v>
      </c>
      <c r="GK390" s="27" t="s">
        <v>1020</v>
      </c>
      <c r="GL390" s="159" t="str">
        <f>IF(AND(SnapshotTable[[#This Row],[LP Exp Date]]&gt;0,SnapshotTable[[#This Row],[LP Strike Price]]&gt;0), [1]!ToOptionSymbol(SnapshotTable[[#This Row],[Symbol]], SnapshotTable[[#This Row],[LP Strike Price]],SnapshotTable[[#This Row],[LP Exp Date]],1), "")</f>
        <v/>
      </c>
      <c r="GM390" s="30" t="str">
        <f>IF(LEN(SnapshotTable[[#This Row],[LP Symbol]])&gt;0, 1, "")</f>
        <v/>
      </c>
      <c r="GN390" s="43" t="str">
        <f>IF(AND(SnapshotTable[[#This Row],[SP Exp Date]]&gt;0,SnapshotTable[[#This Row],[SP Strike Price]]&gt;0), [1]!ToOptionSymbol(SnapshotTable[[#This Row],[Symbol]], SnapshotTable[[#This Row],[SP Strike Price]],SnapshotTable[[#This Row],[SP Exp Date]],1), "")</f>
        <v/>
      </c>
      <c r="GO390" s="30" t="str">
        <f>IF(LEN(SnapshotTable[[#This Row],[SP Symbol]])&gt;0, 1, "")</f>
        <v/>
      </c>
      <c r="GP390" s="159" t="str">
        <f>IF(AND(SnapshotTable[[#This Row],[LC Exp Date]]&gt;0,SnapshotTable[[#This Row],[LC Strike Price]]&gt;0), [1]!ToOptionSymbol(SnapshotTable[[#This Row],[Symbol]], SnapshotTable[[#This Row],[LC Strike Price]],SnapshotTable[[#This Row],[LC Exp Date]],0), "")</f>
        <v/>
      </c>
      <c r="GQ390" s="160" t="str">
        <f>IF(LEN(SnapshotTable[[#This Row],[LC Symbol]])&gt;0, 1, "")</f>
        <v/>
      </c>
      <c r="GR390" s="159" t="str">
        <f ca="1">IF(AND(SnapshotTable[[#This Row],[SC Exp Date]]&gt;0,SnapshotTable[[#This Row],[SC Strike Price]]&gt;0), [1]!ToOptionSymbol(SnapshotTable[[#This Row],[Symbol]], SnapshotTable[[#This Row],[SC Strike Price]],SnapshotTable[[#This Row],[SC Exp Date]],0), "")</f>
        <v>SOFI260918C00016000</v>
      </c>
      <c r="GS390" s="160">
        <f ca="1">IF(LEN(SnapshotTable[[#This Row],[SC Symbol]])&gt;0, 1, "")</f>
        <v>1</v>
      </c>
      <c r="GT390" s="161" t="str">
        <f ca="1">IF(COUNT(SnapshotTable[[#This Row],[LP Symbol Count]],SnapshotTable[[#This Row],[SP Symbol Count]],SnapshotTable[[#This Row],[LC Symbol Count]],SnapshotTable[[#This Row],[SC Symbol Count]])&gt;0, "Y", "")</f>
        <v>Y</v>
      </c>
      <c r="GU390"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SC </v>
      </c>
      <c r="GV390" s="231" t="e">
        <f ca="1">MAX(SnapshotTable[[#This Row],[Equity Basis Total]],SnapshotTable[[#This Row],[Equity Value]]) + (SnapshotTable[[#This Row],[SP Potential Spend]]- SnapshotTable[[#This Row],[SP Premium]] + SnapshotTable[[#This Row],[LP Premium]])+ (SnapshotTable[[#This Row],[LC Premium]] - SnapshotTable[[#This Row],[SC Premium]])</f>
        <v>#VALUE!</v>
      </c>
      <c r="GW390" s="139" t="e">
        <f ca="1">IF(AND(SnapshotTable[[#This Row],[Exposure]] &lt;&gt; 0),SnapshotTable[[#This Row],[Exposure]] / SnapshotTable[[#Totals],[Exposure]], "")</f>
        <v>#VALUE!</v>
      </c>
      <c r="HK390" s="1"/>
      <c r="HL390" s="1"/>
      <c r="HM390" s="1"/>
      <c r="HN390" s="1"/>
      <c r="HO390" s="1"/>
      <c r="HP390" s="1"/>
    </row>
    <row r="391" spans="2:224" ht="12.75" hidden="1" customHeight="1" x14ac:dyDescent="0.25">
      <c r="B391" s="12" t="s">
        <v>1148</v>
      </c>
      <c r="C391" s="422">
        <v>1E-4</v>
      </c>
      <c r="D391" s="208" t="s">
        <v>258</v>
      </c>
      <c r="E391" s="39">
        <f>SnapshotTable[[#This Row],[Last Price]]*(1 -CrashDiscount)</f>
        <v>8.5000000000000006E-5</v>
      </c>
      <c r="F391" s="26" t="s">
        <v>1149</v>
      </c>
      <c r="G391" s="325" t="s">
        <v>41</v>
      </c>
      <c r="H391" s="149"/>
      <c r="I391" s="194"/>
      <c r="J391" s="195"/>
      <c r="K391" s="196"/>
      <c r="L391" s="326"/>
      <c r="M391" s="140"/>
      <c r="N391" s="140"/>
      <c r="O391" s="140"/>
      <c r="P391" s="22">
        <v>30000</v>
      </c>
      <c r="Q391" s="25">
        <v>990</v>
      </c>
      <c r="R391" s="4">
        <f>IF(SnapshotTable[[#This Row],[Equity Basis Total]] &gt; 0, SnapshotTable[[#This Row],[Equity Basis Total]] / SnapshotTable[[#This Row],[Equity Shares]], "")</f>
        <v>3.3000000000000002E-2</v>
      </c>
      <c r="S391" s="269">
        <f>SnapshotTable[[#This Row],[Last Price]] * SnapshotTable[[#This Row],[Equity Shares]]</f>
        <v>3</v>
      </c>
      <c r="T391" s="269">
        <f>SnapshotTable[[#This Row],[Equity Value]] - SnapshotTable[[#This Row],[Equity Basis Total]]</f>
        <v>-987</v>
      </c>
      <c r="U391" s="270">
        <f>IF(SnapshotTable[[#This Row],[Equity Basis Total]] &gt; 0, SnapshotTable[[#This Row],[Equity G/L]] / SnapshotTable[[#This Row],[Equity Basis Total]], "")</f>
        <v>-0.99696969696969695</v>
      </c>
      <c r="V391" s="268"/>
      <c r="W391" s="268"/>
      <c r="X391" s="4" t="str">
        <f>IF(AND(ISNUMBER(SnapshotTable[[#This Row],[Equity Basis Per Share]]),ISNUMBER(SnapshotTable[[#This Row],[Equity Target]])),SnapshotTable[[#This Row],[Equity Target]]-SnapshotTable[[#This Row],[Equity Basis Per Share]],"")</f>
        <v/>
      </c>
      <c r="Y391" s="4" t="str">
        <f>IF(AND(ISNUMBER(SnapshotTable[[#This Row],[Equity Basis Per Share]]),ISNUMBER(SnapshotTable[[#This Row],[Equity Stop Loss]])),SnapshotTable[[#This Row],[Equity Stop Loss]]-SnapshotTable[[#This Row],[Equity Basis Per Share]],"")</f>
        <v/>
      </c>
      <c r="Z391" s="275" t="str">
        <f>IFERROR( TEXT(SnapshotTable[[#This Row],[Equity Max Gain Per Share]] /ABS( SnapshotTable[[#This Row],[Equity Max Loss Per Share]]),"0.0 " ) &amp; " : 1", "")</f>
        <v/>
      </c>
      <c r="AA391" s="31" t="str">
        <f>IF(ISNUMBER(SnapshotTable[[#This Row],[Equity Max Gain Per Share]]),SnapshotTable[[#This Row],[Equity Max Gain Per Share]] * SnapshotTable[[#This Row],[Equity Shares]],"")</f>
        <v/>
      </c>
      <c r="AB391" s="31" t="str">
        <f>IF(ISNUMBER(SnapshotTable[[#This Row],[Equity Max Loss Per Share]]),SnapshotTable[[#This Row],[Equity Max Loss Per Share]] * SnapshotTable[[#This Row],[Equity Shares]],"")</f>
        <v/>
      </c>
      <c r="AC391" s="150"/>
      <c r="AD391" s="151"/>
      <c r="AE391" s="31">
        <f>(SnapshotTable[[#This Row],[Annual Dividend Per Share]] / 4) * SnapshotTable[[#This Row],[Equity Shares]]</f>
        <v>0</v>
      </c>
      <c r="AF391" s="31">
        <f>SnapshotTable[[#This Row],[Quarterly Div $]] * 4</f>
        <v>0</v>
      </c>
      <c r="AG391" s="7">
        <f>IF(SnapshotTable[[#This Row],[Annual Dividend Per Share]]&gt;0, SnapshotTable[[#This Row],[Annual Dividend Per Share]]  / SnapshotTable[[#This Row],[Last Price]], 0)</f>
        <v>0</v>
      </c>
      <c r="AH391" s="151"/>
      <c r="AI391" s="5"/>
      <c r="AJ391" s="138"/>
      <c r="AK391" s="152" t="str">
        <f>IF(ISNUMBER( SnapshotTable[[#This Row],[EBF Target]]),(SnapshotTable[[#This Row],[EBF Target]] - SnapshotTable[[#This Row],[Last Price]]) / SnapshotTable[[#This Row],[Last Price]], "")</f>
        <v/>
      </c>
      <c r="AL391" s="152" t="str">
        <f>IF(AND(SnapshotTable[[#This Row],[Equity Basis Total]] &gt; 0,ISNUMBER( SnapshotTable[[#This Row],[Long Term Target]])), SnapshotTable[[#This Row],[From Basis $]] / SnapshotTable[[#This Row],[Equity Basis Total]], "")</f>
        <v/>
      </c>
      <c r="AM391" s="9">
        <f>IF( AND(SnapshotTable[[#This Row],[Equity Shares]] &gt;0,ISNUMBER( SnapshotTable[[#This Row],[Long Term Target]])),(SnapshotTable[[#This Row],[Equity Shares]] * SnapshotTable[[#This Row],[Long Term Target]]) - SnapshotTable[[#This Row],[Equity Basis Total]],0)</f>
        <v>0</v>
      </c>
      <c r="AN391" s="9">
        <f>IF( AND(SnapshotTable[[#This Row],[Equity Shares]] &gt;0,ISNUMBER( SnapshotTable[[#This Row],[Long Term Target]])),(SnapshotTable[[#This Row],[Equity Shares]]*SnapshotTable[[#This Row],[Long Term Target]]) - SnapshotTable[[#This Row],[Equity Value]],0)</f>
        <v>0</v>
      </c>
      <c r="AO391" s="152" t="str">
        <f>IF(AND(ISNUMBER( SnapshotTable[[#This Row],[Long Term Target]]), ISNUMBER(SnapshotTable[[#This Row],[Last Price]])),(SnapshotTable[[#This Row],[Long Term Target]] - SnapshotTable[[#This Row],[Last Price]]) / SnapshotTable[[#This Row],[Last Price]], "")</f>
        <v/>
      </c>
      <c r="AP391" s="5">
        <v>7.0000000000000007E-2</v>
      </c>
      <c r="AQ391" s="38"/>
      <c r="AR391" s="5"/>
      <c r="AS391" s="38"/>
      <c r="AT391" s="146"/>
      <c r="AU391" s="187" t="str">
        <f>IF(OR(SnapshotTable[[#This Row],[LP No Fill]]="Y",SnapshotTable[[#This Row],[SP Is Filled]],SnapshotTable[[#This Row],[LC Not Filled]]="Y",SnapshotTable[[#This Row],[SC Is Filled]]),"Y","")</f>
        <v/>
      </c>
      <c r="AV391" s="219"/>
      <c r="AW391" s="225"/>
      <c r="AX391" s="220"/>
      <c r="AY391" s="219" t="str">
        <f>IF(SnapshotTable[[#This Row],[Implied Move]]&gt;0, SnapshotTable[[#This Row],[Last Price]]-SnapshotTable[[#This Row],[Implied Move]],"")</f>
        <v/>
      </c>
      <c r="AZ391" s="219" t="str">
        <f>IF(SnapshotTable[[#This Row],[Implied Move]]&gt;0, SnapshotTable[[#This Row],[Last Price]] + SnapshotTable[[#This Row],[Implied Move]],"")</f>
        <v/>
      </c>
      <c r="BA391" s="331">
        <v>3.3000000000000002E-2</v>
      </c>
      <c r="BB391" s="347"/>
      <c r="BC39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1" s="351"/>
      <c r="BE391" s="5"/>
      <c r="BF391" s="14"/>
      <c r="BG391" s="13"/>
      <c r="BH391" s="13"/>
      <c r="BI391" s="5"/>
      <c r="BJ391" s="136">
        <f>IF(SnapshotTable[[#This Row],[LP Qty]] &gt; 0, SnapshotTable[[#This Row],[LP Qty]] * SnapshotTable[[#This Row],[LP Book Price]] * 100,0)</f>
        <v>0</v>
      </c>
      <c r="BK391" s="136">
        <f>IF(SnapshotTable[[#This Row],[LP Premium]] &gt; 0, SnapshotTable[[#This Row],[LP Qty]] * SnapshotTable[[#This Row],[LP Strike Price]] * 100,0)</f>
        <v>0</v>
      </c>
      <c r="BL391" s="154"/>
      <c r="BM391" s="385" t="str">
        <f>IF(SnapshotTable[[#This Row],[LP Premium]] &gt; 0,SnapshotTable[[#This Row],[LP Exp Date]]-MAX(SnapshotTable[[#This Row],[LP Book Date]], SnapshotTable[[#This Row],[LP Fill Date]]),"")</f>
        <v/>
      </c>
      <c r="BN391" s="385" t="str">
        <f>IF(ISNUMBER( SnapshotTable[[#This Row],[LP Term]]), SnapshotTable[[#This Row],[LP Exp Date]] - MockToday,"")</f>
        <v/>
      </c>
      <c r="BO391" s="163" t="str">
        <f>IF(AND(SnapshotTable[[#This Row],[LP Exp Date]]&gt;0, SnapshotTable[[#This Row],[LP Strike Price]]&gt;0,SnapshotTable[[#This Row],[LP Qty]]&gt;0,SnapshotTable[[#This Row],[LP Book Date]]&gt;0,SnapshotTable[[#This Row],[LP Book Price]]&gt;0,SnapshotTable[[#This Row],[LP Fill Date]]=0),"Y","")</f>
        <v/>
      </c>
      <c r="BP391" s="31" t="str">
        <f>IF(AND(SnapshotTable[[#This Row],[LP No Fill]]&lt;&gt;"Y",SnapshotTable[[#This Row],[LP Contract Value]]&gt;0, SnapshotTable[[#This Row],[LP Qty]]&gt;0), SnapshotTable[[#This Row],[LP Contract Value]]*SnapshotTable[[#This Row],[LP Qty]]*100,"")</f>
        <v/>
      </c>
      <c r="BQ391" s="13"/>
      <c r="BR391" s="5" t="str">
        <f>IF(SnapshotTable[[#This Row],[SP Exp Date]]&lt;&gt;"",TRUNC(SnapshotTable[[#This Row],[Last Price]]),"")</f>
        <v/>
      </c>
      <c r="BS391" s="36"/>
      <c r="BT391" s="147"/>
      <c r="BU391" s="13"/>
      <c r="BV391" s="5"/>
      <c r="BW391" s="419" t="b">
        <f>AND(ISNUMBER(SnapshotTable[[#This Row],[SP Exp Date]]), ISNUMBER(SnapshotTable[[#This Row],[SP Strike Price]]), ISNUMBER(SnapshotTable[[#This Row],[SP Qty]]), ISNUMBER(SnapshotTable[[#This Row],[SP Book Date]]), ISNUMBER(SnapshotTable[[#This Row],[SP Book Price]]))</f>
        <v>0</v>
      </c>
      <c r="BX391" s="419" t="b">
        <f>AND(SnapshotTable[[#This Row],[SP Is Booked]], NOT(ISBLANK(SnapshotTable[[#This Row],[SP Fill Date]])))</f>
        <v>0</v>
      </c>
      <c r="BY391" s="33">
        <f>IF(SnapshotTable[[#This Row],[SP Is Booked]], SnapshotTable[[#This Row],[SP Qty]] * SnapshotTable[[#This Row],[SP Book Price]] * 100, 0)</f>
        <v>0</v>
      </c>
      <c r="BZ391" s="369"/>
      <c r="CA391" s="368">
        <f>SnapshotTable[[#This Row],[LP Qty]]</f>
        <v>0</v>
      </c>
      <c r="CB391" s="4" t="str">
        <f>IF(SnapshotTable[[#This Row],[SP Is Booked]], SnapshotTable[[#This Row],[SP Strike Price]] - SnapshotTable[[#This Row],[SP Book Price]], "")</f>
        <v/>
      </c>
      <c r="CC391" s="19" t="str">
        <f>IF(SnapshotTable[[#This Row],[SP Is Booked]],SnapshotTable[[#This Row],[SP Exp Date]]-MAX(SnapshotTable[[#This Row],[SP Book Date]], SnapshotTable[[#This Row],[SP Fill Date]]),"")</f>
        <v/>
      </c>
      <c r="CD391" s="7" t="str">
        <f>IF(SnapshotTable[[#This Row],[SP Is Booked]], SnapshotTable[[#This Row],[SP Book Price]]/SnapshotTable[[#This Row],[SP Strike Price]], "")</f>
        <v/>
      </c>
      <c r="CE391" s="7" t="str">
        <f>IF(ISNUMBER(SnapshotTable[[#This Row],[SP ROO Term]]),SnapshotTable[[#This Row],[SP ROO Term]]*(365/SnapshotTable[[#This Row],[SP Term]]),"")</f>
        <v/>
      </c>
      <c r="CF391" s="236">
        <f>SnapshotTable[[#This Row],[LP Strike Price]] * SnapshotTable[[#This Row],[LP Qty]] * 100</f>
        <v>0</v>
      </c>
      <c r="CG391" s="31" t="e">
        <f>IF(ISNUMBER(SnapshotTable[[#This Row],[SP Premium]]), (SnapshotTable[[#This Row],[SP Qty]] * SnapshotTable[[#This Row],[SP Strike Price]]* 100) - SnapshotTable[[#This Row],[LP Protection]], 0)</f>
        <v>#VALUE!</v>
      </c>
      <c r="CH391" s="7" t="str">
        <f>IF(ISNUMBER(SnapshotTable[[#This Row],[SP Break Even]]),-1 * (SnapshotTable[[#This Row],[SP Break Even]] - SnapshotTable[[#This Row],[Last Price]]) / SnapshotTable[[#This Row],[Last Price]], "")</f>
        <v/>
      </c>
      <c r="CI391" s="31">
        <f>IF(AND(ISNUMBER((SnapshotTable[[#This Row],[SP Potential Spend]])), SnapshotTable[[#This Row],[SP Strike Price]] &gt; SnapshotTable[[#This Row],[Last Price]], SnapshotTable[[#This Row],[SP Is Filled]]), SnapshotTable[[#This Row],[SP Potential Spend]] -  SnapshotTable[[#This Row],[LP Max Value]], 0)</f>
        <v>0</v>
      </c>
      <c r="CJ391" s="244"/>
      <c r="CK391" s="31" t="str">
        <f>IF(ISNUMBER(SnapshotTable[[#This Row],[SP Potential Spend]]),IF(ISNUMBER(SnapshotTable[[#This Row],[SP POW]]), SnapshotTable[[#This Row],[SP POW]] * SnapshotTable[[#This Row],[SP Potential Spend]], SnapshotTable[[#This Row],[SP Potential Spend]]), "")</f>
        <v/>
      </c>
      <c r="CL391" s="164" t="e">
        <f>IF(NOT(SnapshotTable[[#This Row],[SP Is Filled]]),(SnapshotTable[[#This Row],[SP Qty]] * SnapshotTable[[#This Row],[SP Strike Price]] * 100) - SnapshotTable[[#This Row],[LP Max Value]],"")</f>
        <v>#VALUE!</v>
      </c>
      <c r="CM391" s="31" t="str">
        <f>IF(SnapshotTable[[#This Row],[SP Actual Spend]]&lt;&gt;0, ((SnapshotTable[[#This Row],[SP Strike Price]]-SnapshotTable[[#This Row],[Last Price]]) *(SnapshotTable[[#This Row],[SP Qty]]*100) - SnapshotTable[[#This Row],[SP Premium]]) * - 1, "")</f>
        <v/>
      </c>
      <c r="CN391" s="78"/>
      <c r="CO391" s="369"/>
      <c r="CP391" s="4" t="str">
        <f>IF(SnapshotTable[[#This Row],[SP Is Filled]], btc_max_buyback_amount(SnapshotTable[[#This Row],[SP Fill Date]],SnapshotTable[[#This Row],[SP Exp Date]], SnapshotTable[[#This Row],[SP Book Price]]),"")</f>
        <v/>
      </c>
      <c r="CQ391" s="78"/>
      <c r="CR39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1" s="155" t="str">
        <f>IF(SnapshotTable[[#This Row],[SP Is Filled]], btc_next_cutoff_date(SnapshotTable[[#This Row],[SP Fill Date]],SnapshotTable[[#This Row],[SP Exp Date]]),"")</f>
        <v/>
      </c>
      <c r="CT391" s="235" t="str" cm="1">
        <f t="array" ref="CT391">IF(SnapshotTable[[#This Row],[SP Is Filled]], btc_should_buy_back(SnapshotTable[[#This Row],[SP Fill Date]], SnapshotTable[[#This Row],[SP Exp Date]], SnapshotTable[[#This Row],[SP Book Price]], SnapshotTable[[#This Row],[SP Current Ask]], MockToday, SnapshotTable[[#This Row],[SP Buyback Override]]),"")</f>
        <v/>
      </c>
      <c r="CU391" s="156"/>
      <c r="CV391" s="235"/>
      <c r="CW391" s="378" t="str">
        <f>IF(ISNUMBER( SnapshotTable[[#This Row],[SP Term]]), SnapshotTable[[#This Row],[SP Exp Date]] - MockToday,"")</f>
        <v/>
      </c>
      <c r="CX391" s="31" t="str">
        <f>IF(SnapshotTable[[#This Row],[SP Is Filled]],SnapshotTable[[#This Row],[SP Buyback Price to Use]] * 100 * SnapshotTable[[#This Row],[SP Qty]], "")</f>
        <v/>
      </c>
      <c r="CY391" s="4" t="str">
        <f>IF(ISNUMBER(SnapshotTable[[#This Row],[SP Strike Price]]), SnapshotTable[[#This Row],[SP Strike Price]] * (1 - SP_MaxLoss_StrikePct), "")</f>
        <v/>
      </c>
      <c r="CZ391" s="31" t="str">
        <f>IF(ISNUMBER(SnapshotTable[[#This Row],[SP Strike  Stop Per Share]]),SnapshotTable[[#This Row],[SP Premium]] - ((SnapshotTable[[#This Row],[SP Strike Price]]-SnapshotTable[[#This Row],[SP Strike  Stop Per Share]]) *(SnapshotTable[[#This Row],[SP Qty]] * 100)),"")</f>
        <v/>
      </c>
      <c r="DA391" s="4" t="str">
        <f>IF(AND(ISNUMBER(SnapshotTable[[#This Row],[SP Premium]]),SnapshotTable[[#This Row],[SP Premium]]&gt;0), SnapshotTable[[#This Row],[SP Book Price]] * (1 + SP_MaxLoss_OptionPct), "")</f>
        <v/>
      </c>
      <c r="DB391" s="31" t="str">
        <f>IF(ISNUMBER(SnapshotTable[[#This Row],[SP Option  Stop Contract]]),(SnapshotTable[[#This Row],[SP Option  Stop Contract]] *(SnapshotTable[[#This Row],[SP Qty]] * 100) - SnapshotTable[[#This Row],[SP Premium]]),"")</f>
        <v/>
      </c>
      <c r="DC391" s="4"/>
      <c r="DD391" s="4"/>
      <c r="DE391" s="4" t="str">
        <f>IF(AND(SnapshotTable[[#This Row],[SP Qty]]&gt;0, SnapshotTable[[#This Row],[SP Stop To Use]]&gt;0),SnapshotTable[[#This Row],[SP Premium]] - ( SnapshotTable[[#This Row],[SP Qty]] * SnapshotTable[[#This Row],[SP Stop To Use]] * 100), "")</f>
        <v/>
      </c>
      <c r="DF391" s="31" t="str">
        <f>IF(AND(SnapshotTable[[#This Row],[SP Qty]]&gt;0,SnapshotTable[[#This Row],[SP Current Ask]]&gt;0), SnapshotTable[[#This Row],[SP Qty]] * SnapshotTable[[#This Row],[SP Current Ask]] * -100, "")</f>
        <v/>
      </c>
      <c r="DG391" s="31" t="str">
        <f>IF(ISNUMBER((SnapshotTable[[#This Row],[SP Total Value]])), SnapshotTable[[#This Row],[SP Premium]] + SnapshotTable[[#This Row],[SP Total Value]], "")</f>
        <v/>
      </c>
      <c r="DH391" s="294" t="str">
        <f>IF(ISNUMBER((SnapshotTable[[#This Row],[SP Total Value]])), SnapshotTable[[#This Row],[SP Gain Loss]] / SnapshotTable[[#This Row],[SP Premium]], "")</f>
        <v/>
      </c>
      <c r="DI391" s="406"/>
      <c r="DJ391" s="138"/>
      <c r="DK391" s="148"/>
      <c r="DL391" s="13"/>
      <c r="DM391" s="13"/>
      <c r="DO391" s="31">
        <f>IF(SnapshotTable[[#This Row],[LC Symbol Count]]=1, SnapshotTable[[#This Row],[LC Qty]] * SnapshotTable[[#This Row],[LC Book Price]] * 100, 0)</f>
        <v>0</v>
      </c>
      <c r="DP391" s="163" t="str">
        <f>IF(AND(SnapshotTable[[#This Row],[LC Exp Date]]&gt;0, SnapshotTable[[#This Row],[LC Strike Price]]&gt;0,SnapshotTable[[#This Row],[LC Qty]]&gt;0,SnapshotTable[[#This Row],[LC Book Date]]&gt;0,SnapshotTable[[#This Row],[LC Book Price]]&gt;0,SnapshotTable[[#This Row],[LC Fill Date]]=0),"Y","")</f>
        <v/>
      </c>
      <c r="DQ391" s="386" t="str">
        <f>IF(SnapshotTable[[#This Row],[LC Premium]] &gt; 0,SnapshotTable[[#This Row],[LC Exp Date]]-MAX(SnapshotTable[[#This Row],[LC Book Date]], SnapshotTable[[#This Row],[LC Fill Date]]),"")</f>
        <v/>
      </c>
      <c r="DR391" s="386" t="str">
        <f>IF(ISNUMBER(SnapshotTable[[#This Row],[LC Term]]), SnapshotTable[[#This Row],[LC Exp Date]] - MockToday, "")</f>
        <v/>
      </c>
      <c r="DS391" s="234" t="str">
        <f>IF(SnapshotTable[[#This Row],[LC Premium]]&gt;0,SnapshotTable[[#This Row],[LC Strike Price]] + SnapshotTable[[#This Row],[LC Book Price]],"")</f>
        <v/>
      </c>
      <c r="DU391" s="9" t="str">
        <f>IF(AND(SnapshotTable[[#This Row],[LC Symbol Count]]&gt;0, SnapshotTable[[#This Row],[LC Contract Value]]&gt;0), SnapshotTable[[#This Row],[LC Contract Value]] * SnapshotTable[[#This Row],[LC Qty]] * 100, "")</f>
        <v/>
      </c>
      <c r="DV391" s="9" t="str">
        <f>IF(AND(ISNUMBER(SnapshotTable[[#This Row],[LC Total Value]]), SnapshotTable[[#This Row],[LC Not Filled]]&lt;&gt;"Y"), SnapshotTable[[#This Row],[LC Total Value]]-SnapshotTable[[#This Row],[LC Premium]],"")</f>
        <v/>
      </c>
      <c r="DW391" s="240" t="str">
        <f>IF(ISNUMBER(SnapshotTable[[#This Row],[LC Actual Gain Loss]]), SnapshotTable[[#This Row],[LC Actual Gain Loss]] / SnapshotTable[[#This Row],[LC Premium]],"")</f>
        <v/>
      </c>
      <c r="DX391" s="284" t="str">
        <f>IF(ISNUMBER(SnapshotTable[[#This Row],[LC Book Price]]),SnapshotTable[[#This Row],[LC Book Price]] * 1.5,"")</f>
        <v/>
      </c>
      <c r="DY391" s="265" t="str">
        <f>IF(SnapshotTable[[#This Row],[LC Premium]]&gt;0, SnapshotTable[[#This Row],[LC Next Target]] * SnapshotTable[[#This Row],[LC Qty]] * 100,"")</f>
        <v/>
      </c>
      <c r="DZ391" s="265" t="str">
        <f>IF(ISNUMBER(SnapshotTable[[#This Row],[LC Target Gross]]), SnapshotTable[[#This Row],[LC Target Gross]] - SnapshotTable[[#This Row],[LC Premium]], "")</f>
        <v/>
      </c>
      <c r="EA391" s="305" t="str">
        <f>IF(ISNUMBER(SnapshotTable[[#This Row],[LC Target Gain Loss]]), SnapshotTable[[#This Row],[LC Target Gain Loss]]/SnapshotTable[[#This Row],[LC Premium]], "")</f>
        <v/>
      </c>
      <c r="EB391" s="262"/>
      <c r="EC391" s="283" t="str">
        <f>IF(SnapshotTable[[#This Row],[LC Premium]]&gt;0, SnapshotTable[[#This Row],[LC Book Price]] * (1 - LC_StopLoss_Pct),"")</f>
        <v/>
      </c>
      <c r="ED391" s="284"/>
      <c r="EE391" s="283" t="str">
        <f>IF(ISNUMBER(SnapshotTable[[#This Row],[LC Contract Value]]),IF(ISNUMBER(SnapshotTable[[#This Row],[LC Stop Loss Override]]), SnapshotTable[[#This Row],[LC Stop Loss Override]],SnapshotTable[[#This Row],[LC Stop Loss Calc Target]]),"")</f>
        <v/>
      </c>
      <c r="EF391" s="31" t="str">
        <f>IF(ISNUMBER(SnapshotTable[[#This Row],[LC Stop  To Use]]), (SnapshotTable[[#This Row],[LC Stop  To Use]] * SnapshotTable[[#This Row],[LC Qty]] * 100),"")</f>
        <v/>
      </c>
      <c r="EG391" s="9" t="str">
        <f>IF(ISNUMBER(SnapshotTable[[#This Row],[LC Total Value]]),SnapshotTable[[#This Row],[LC Stop Loss Amount]] - SnapshotTable[[#This Row],[LC Premium]],"")</f>
        <v/>
      </c>
      <c r="EH391" s="9">
        <f>IF(ISNUMBER(SnapshotTable[[#This Row],[LC Premium]]), SnapshotTable[[#This Row],[LC Qty]] * 100 * SnapshotTable[[#This Row],[LC Strike Price]], "")</f>
        <v>0</v>
      </c>
      <c r="EI391" s="240" t="str">
        <f>IF(AND(ISNUMBER(SnapshotTable[[#This Row],[LC Total Value]]),SnapshotTable[[#This Row],[LC Total Value]]&gt;0),SnapshotTable[[#This Row],[LC Stop Gain Loss]]  / SnapshotTable[[#This Row],[LC Premium]],"")</f>
        <v/>
      </c>
      <c r="EJ391" s="35">
        <f>IF(ISNUMBER(SnapshotTable[[#This Row],[Equity Shares]]),TRUNC(SnapshotTable[[#This Row],[Equity Shares]] / 100),0) + SnapshotTable[[#This Row],[LC Qty]]</f>
        <v>300</v>
      </c>
      <c r="EK391" s="147"/>
      <c r="EL391" s="138" t="str">
        <f>IF(SnapshotTable[[#This Row],[SC Exp Date]]&lt;&gt;"",TRUNC(SnapshotTable[[#This Row],[Last Price]]),"")</f>
        <v/>
      </c>
      <c r="EM391" s="148"/>
      <c r="EN391" s="147"/>
      <c r="EO391" s="147"/>
      <c r="EP391" s="138"/>
      <c r="EQ391" s="419" t="b">
        <f>AND(ISNUMBER(SnapshotTable[[#This Row],[SC Exp Date]]), ISNUMBER(SnapshotTable[[#This Row],[SC Strike Price]]), ISNUMBER(SnapshotTable[[#This Row],[SC Qty]]), ISNUMBER(SnapshotTable[[#This Row],[SC Book Date]]), ISNUMBER(SnapshotTable[[#This Row],[SC Book Price]]))</f>
        <v>0</v>
      </c>
      <c r="ER391" s="419" t="b">
        <f>AND(SnapshotTable[[#This Row],[SC Is Booked]], NOT(ISBLANK(SnapshotTable[[#This Row],[SC Fill Date]])))</f>
        <v>0</v>
      </c>
      <c r="ES391" s="370"/>
      <c r="ET391" s="34" t="str">
        <f>IF(AND(ISNUMBER(SnapshotTable[[#This Row],[SC Exp Date]]), ISNUMBER(SnapshotTable[[#This Row],[SC Book Date]])), SnapshotTable[[#This Row],[SC Exp Date]] - MAX(SnapshotTable[[#This Row],[SC Book Date]], SnapshotTable[[#This Row],[SC Fill Date]]) + 1, "")</f>
        <v/>
      </c>
      <c r="EU391" s="34" t="str">
        <f>IF(ISNUMBER(SnapshotTable[[#This Row],[SC Term]]), SnapshotTable[[#This Row],[SC Exp Date]]- MockToday, "")</f>
        <v/>
      </c>
      <c r="EV391" s="31">
        <f>IF(SnapshotTable[[#This Row],[SC Is Booked]], SnapshotTable[[#This Row],[SC Qty]] * SnapshotTable[[#This Row],[SC Book Price]] * 100, 0)</f>
        <v>0</v>
      </c>
      <c r="EW391" s="4" t="str">
        <f>IF(AND(ISNUMBER(SnapshotTable[[#This Row],[Last Price]]), ISNUMBER( SnapshotTable[[#This Row],[SC Book Price]])), SnapshotTable[[#This Row],[Last Price]] - SnapshotTable[[#This Row],[SC Book Price]],"")</f>
        <v/>
      </c>
      <c r="EX391" s="234" t="str">
        <f>IF(SnapshotTable[[#This Row],[SC Is Booked]],IF(SnapshotTable[[#This Row],[SC Intrinsic Value]] &gt; 0, SnapshotTable[[#This Row],[SC Strike Price]], SnapshotTable[[#This Row],[Last Price]]), "")</f>
        <v/>
      </c>
      <c r="EY391" s="4">
        <f>IF(SnapshotTable[[#This Row],[SC Is Booked]], (MinimumPremiumRequired * SnapshotTable[[#This Row],[SC Basis]] * SnapshotTable[[#This Row],[SC Term]]), 0)</f>
        <v>0</v>
      </c>
      <c r="EZ391" s="283"/>
      <c r="FA391" s="218"/>
      <c r="FB391" s="370"/>
      <c r="FC391" s="4">
        <f>IF(SnapshotTable[[#This Row],[SC Is Filled]], btc_max_buyback_amount(SnapshotTable[[#This Row],[SC Fill Date]],SnapshotTable[[#This Row],[SC Exp Date]], SnapshotTable[[#This Row],[SC Book Price]]),0)</f>
        <v>0</v>
      </c>
      <c r="FD391" s="5"/>
      <c r="FE391" s="144" t="str">
        <f>IF(SnapshotTable[[#This Row],[SC Is Filled]], btc_next_cutoff_date(SnapshotTable[[#This Row],[SC Fill Date]],SnapshotTable[[#This Row],[SC Exp Date]]),"")</f>
        <v/>
      </c>
      <c r="FF391" s="4" t="str" cm="1">
        <f t="array" ref="FF391">IF(SnapshotTable[[#This Row],[SC Is Filled]], btc_should_buy_back(SnapshotTable[[#This Row],[SC Fill Date]], SnapshotTable[[#This Row],[SC Exp Date]], SnapshotTable[[#This Row],[SC Book Price]], SnapshotTable[[#This Row],[SC Current Ask]], MockToday, SnapshotTable[[#This Row],[SC Buyback Override]]),"")</f>
        <v/>
      </c>
      <c r="FG391" s="4">
        <f>IF(SnapshotTable[[#This Row],[SC Is Filled]], MAX(0,SnapshotTable[[#This Row],[Last Price]]  - SnapshotTable[[#This Row],[SC Strike Price]]), 0)</f>
        <v>0</v>
      </c>
      <c r="FH391" s="382">
        <f>IF(SnapshotTable[[#This Row],[SC Is Filled]], IF(ISNUMBER(SnapshotTable[[#This Row],[SC Current Ask]]), SnapshotTable[[#This Row],[SC Current Ask]], SnapshotTable[[#This Row],[SC Book Price]]) - SnapshotTable[[#This Row],[SC Intrinsic Value]], 0)</f>
        <v>0</v>
      </c>
      <c r="FI391" s="143"/>
      <c r="FJ391" s="32" t="str">
        <f>IF(SnapshotTable[[#This Row],[SC Is Filled]],100 * SnapshotTable[[#This Row],[SC Qty]] * IF(ISNUMBER(SnapshotTable[[#This Row],[SC Buyback Override]]), SnapshotTable[[#This Row],[SC Buyback Override]], SnapshotTable[[#This Row],[SC Current Ask]]), "")</f>
        <v/>
      </c>
      <c r="FK391" s="250" t="str">
        <f>IF(SnapshotTable[[#This Row],[SC Time Val]]&gt;0, SnapshotTable[[#This Row],[SC Time Val]] / SnapshotTable[[#This Row],[Last Price]],"")</f>
        <v/>
      </c>
      <c r="FL391" s="302" t="str">
        <f>IF(SnapshotTable[[#This Row],[SC Is Booked]], ((SnapshotTable[[#This Row],[Last Price]] -SnapshotTable[[#This Row],[SC Strike Price]]) / SnapshotTable[[#This Row],[Last Price]]) * -1, "")</f>
        <v/>
      </c>
      <c r="FM391" s="157" t="str">
        <f>IF(SnapshotTable[[#This Row],[SC Is Booked]],  (SnapshotTable[[#This Row],[SC Qty]] * 100 * SnapshotTable[[#This Row],[SC Strike Price]]) - SnapshotTable[[#This Row],[SC Current Ask]], "")</f>
        <v/>
      </c>
      <c r="FN39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1" s="31" t="str">
        <f>IF(AND(ISNUMBER(SnapshotTable[[#This Row],[SC Exercise Gross]]), ISNUMBER(SnapshotTable[[#This Row],[Equity Basis Per Share]] )), SnapshotTable[[#This Row],[SC Exercise Gross]] - SnapshotTable[[#This Row],[Equity Basis Total]] +  SnapshotTable[[#This Row],[SC Premium]], "")</f>
        <v/>
      </c>
      <c r="FP391" s="5" t="str">
        <f>IF(ISNUMBER(SnapshotTable[[#This Row],[SC Exercise Gross]]), (SnapshotTable[[#This Row],[SC Exercise Gross]]) / (SnapshotTable[[#This Row],[SC Qty]] * 100), "")</f>
        <v/>
      </c>
      <c r="FQ391" s="27" t="str">
        <f>IF(SnapshotTable[[#This Row],[SC Is Booked]],SnapshotTable[[#This Row],[SC Time Val]] /SnapshotTable[[#This Row],[SC Basis]], "")</f>
        <v/>
      </c>
      <c r="FR391" s="27" t="str" cm="1">
        <f t="array" ref="FR391">IF(AND(ISNUMBER(SnapshotTable[[#This Row],[SC Term]]),ISNUMBER(SnapshotTable[[#This Row],[SC Simple ROO]])), EllmanAnnualize(SnapshotTable[[#This Row],[SC DTE]], SnapshotTable[[#This Row],[SC Simple ROO]] ),"")</f>
        <v/>
      </c>
      <c r="FS391" s="4" t="e">
        <f>IF(SnapshotTable[[#This Row],[SC Strike Price]] &gt; SnapshotTable[[#This Row],[Last Price]], SnapshotTable[[#This Row],[SC Strike Price]] - SnapshotTable[[#This Row],[Last Price]],0)</f>
        <v>#VALUE!</v>
      </c>
      <c r="FT391" s="27" t="e">
        <f>IF(AND(ISNUMBER(SnapshotTable[[#This Row],[SC Upside Potential]]), SnapshotTable[[#This Row],[SC Upside Potential]] &gt; 0),(SnapshotTable[[#This Row],[SC Upside Potential]]/ SnapshotTable[[#This Row],[ACB]]),"")</f>
        <v>#VALUE!</v>
      </c>
      <c r="FU391" s="333" t="str">
        <f>IF(SnapshotTable[[#This Row],[SC Intrinsic Value]] &gt; 0,SnapshotTable[[#This Row],[SC Intrinsic Value]],"")</f>
        <v/>
      </c>
      <c r="FV391" s="27" t="str">
        <f>IF(AND( ISNUMBER( SnapshotTable[[#This Row],[ACB]]),ISNUMBER(SnapshotTable[[#This Row],[SC Downside Protect]])),SnapshotTable[[#This Row],[SC Downside Protect]] / SnapshotTable[[#This Row],[ACB]],"")</f>
        <v/>
      </c>
      <c r="FW391" s="236" t="str">
        <f>IF(AND(ISNUMBER(SnapshotTable[[#This Row],[SC Simple ROO]]),SnapshotTable[[#This Row],[SC Simple ROO]] &gt; 0), SnapshotTable[[#This Row],[SC Premium]] + (SnapshotTable[[#This Row],[SC Qty]] * SnapshotTable[[#This Row],[SC Upside Potential]]), "")</f>
        <v/>
      </c>
      <c r="FX391" s="302" t="str" cm="1">
        <f t="array" ref="FX391">IF(ISNUMBER(SnapshotTable[[#This Row],[SC Max Dollars]]), annualize(SnapshotTable[[#This Row],[SC Term]],(SnapshotTable[[#This Row],[SC Max Dollars]]/SnapshotTable[[#This Row],[SC Basis]])),"")</f>
        <v/>
      </c>
      <c r="FY391" s="236" t="str">
        <f>IF(AND(SnapshotTable[[#This Row],[SC Qty]]&gt;0,SnapshotTable[[#This Row],[SC Current Ask]]&gt;0), SnapshotTable[[#This Row],[SC Qty]] * SnapshotTable[[#This Row],[SC Current Ask]] * -100, "")</f>
        <v/>
      </c>
      <c r="FZ391" s="31" t="str">
        <f>IF(ISNUMBER((SnapshotTable[[#This Row],[SC Current Value]])), SnapshotTable[[#This Row],[SC Premium]] + SnapshotTable[[#This Row],[SC Current Value]], "")</f>
        <v/>
      </c>
      <c r="GA391" s="294" t="str">
        <f>IFERROR( IF(ISNUMBER((SnapshotTable[[#This Row],[SC Current Value]])), SnapshotTable[[#This Row],[SC Gain Loss]] / SnapshotTable[[#This Row],[SC Premium]], ""), "")</f>
        <v/>
      </c>
      <c r="GB391" s="42">
        <f>SnapshotTable[[#This Row],[Equity Shares]] * SaleSharesToConsiderPercentage</f>
        <v>6000</v>
      </c>
      <c r="GC391" s="40">
        <f>SnapshotTable[[#This Row],[Long Term Target]] * SellingPriceToConsiderBasedOnTargetPercentage</f>
        <v>0</v>
      </c>
      <c r="GD391" s="40">
        <f>SnapshotTable[[#This Row],[Last Price]] * (1+ SellingPriceToConsiderBasedOnTargetPercentage)</f>
        <v>1.95E-4</v>
      </c>
      <c r="GE391" s="41"/>
      <c r="GF391" s="40"/>
      <c r="GG391" s="31">
        <f>SnapshotTable[[#This Row],[Booked Sale Shares]] * SnapshotTable[[#This Row],[Booked Sale Price]]</f>
        <v>0</v>
      </c>
      <c r="GH391" s="31">
        <f>IF(SnapshotTable[[#This Row],[Equity Basis Total]] &gt; 0, SnapshotTable[[#This Row],[Equity Basis Per Share]] * SnapshotTable[[#This Row],[Booked Sale Shares]], "")</f>
        <v>0</v>
      </c>
      <c r="GI391" s="31">
        <f>IF(SnapshotTable[[#This Row],[Sale Proceeds]]&gt;0, SnapshotTable[[#This Row],[Sale Proceeds]] - SnapshotTable[[#This Row],[Sale Basis]], 0)</f>
        <v>0</v>
      </c>
      <c r="GJ391" s="27" t="str">
        <f>IF(SnapshotTable[[#This Row],[Sale G/L]]&gt;0, SnapshotTable[[#This Row],[Sale G/L]] / SnapshotTable[[#This Row],[Sale Basis]], IF(ISNUMBER(SnapshotTable[[#This Row],[SC Exercise P&amp;L (TAX)]]), SnapshotTable[[#This Row],[SC Exercise P&amp;L (TAX)]] / SnapshotTable[[#This Row],[SC Basis]], ""))</f>
        <v/>
      </c>
      <c r="GK391" s="27"/>
      <c r="GL391" s="43" t="str">
        <f>IF(AND(SnapshotTable[[#This Row],[LP Exp Date]]&gt;0,SnapshotTable[[#This Row],[LP Strike Price]]&gt;0), [1]!ToOptionSymbol(SnapshotTable[[#This Row],[Symbol]], SnapshotTable[[#This Row],[LP Strike Price]],SnapshotTable[[#This Row],[LP Exp Date]],1), "")</f>
        <v/>
      </c>
      <c r="GM391" s="30" t="str">
        <f>IF(LEN(SnapshotTable[[#This Row],[LP Symbol]])&gt;0, 1, "")</f>
        <v/>
      </c>
      <c r="GN391" s="43" t="str">
        <f>IF(AND(SnapshotTable[[#This Row],[SP Exp Date]]&gt;0,SnapshotTable[[#This Row],[SP Strike Price]]&gt;0), [1]!ToOptionSymbol(SnapshotTable[[#This Row],[Symbol]], SnapshotTable[[#This Row],[SP Strike Price]],SnapshotTable[[#This Row],[SP Exp Date]],1), "")</f>
        <v/>
      </c>
      <c r="GO391" s="30" t="str">
        <f>IF(LEN(SnapshotTable[[#This Row],[SP Symbol]])&gt;0, 1, "")</f>
        <v/>
      </c>
      <c r="GP391" s="43" t="str">
        <f>IF(AND(SnapshotTable[[#This Row],[LC Exp Date]]&gt;0,SnapshotTable[[#This Row],[LC Strike Price]]&gt;0), [1]!ToOptionSymbol(SnapshotTable[[#This Row],[Symbol]], SnapshotTable[[#This Row],[LC Strike Price]],SnapshotTable[[#This Row],[LC Exp Date]],0), "")</f>
        <v/>
      </c>
      <c r="GQ391" s="30" t="str">
        <f>IF(LEN(SnapshotTable[[#This Row],[LC Symbol]])&gt;0, 1, "")</f>
        <v/>
      </c>
      <c r="GR391" s="43" t="str">
        <f>IF(AND(SnapshotTable[[#This Row],[SC Exp Date]]&gt;0,SnapshotTable[[#This Row],[SC Strike Price]]&gt;0), [1]!ToOptionSymbol(SnapshotTable[[#This Row],[Symbol]], SnapshotTable[[#This Row],[SC Strike Price]],SnapshotTable[[#This Row],[SC Exp Date]],0), "")</f>
        <v/>
      </c>
      <c r="GS391" s="30" t="str">
        <f>IF(LEN(SnapshotTable[[#This Row],[SC Symbol]])&gt;0, 1, "")</f>
        <v/>
      </c>
      <c r="GT391" s="29" t="str">
        <f>IF(COUNT(SnapshotTable[[#This Row],[LP Symbol Count]],SnapshotTable[[#This Row],[SP Symbol Count]],SnapshotTable[[#This Row],[LC Symbol Count]],SnapshotTable[[#This Row],[SC Symbol Count]])&gt;0, "Y", "")</f>
        <v/>
      </c>
      <c r="GU39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91" s="231" t="e">
        <f>MAX(SnapshotTable[[#This Row],[Equity Basis Total]],SnapshotTable[[#This Row],[Equity Value]]) + (SnapshotTable[[#This Row],[SP Potential Spend]]- SnapshotTable[[#This Row],[SP Premium]] + SnapshotTable[[#This Row],[LP Premium]])+ (SnapshotTable[[#This Row],[LC Premium]] - SnapshotTable[[#This Row],[SC Premium]])</f>
        <v>#VALUE!</v>
      </c>
      <c r="GW391" s="139" t="e">
        <f>IF(AND(SnapshotTable[[#This Row],[Exposure]] &lt;&gt; 0),SnapshotTable[[#This Row],[Exposure]] / SnapshotTable[[#Totals],[Exposure]], "")</f>
        <v>#VALUE!</v>
      </c>
      <c r="HK391" s="1"/>
      <c r="HL391" s="1"/>
      <c r="HM391" s="1"/>
      <c r="HN391" s="1"/>
      <c r="HO391" s="1"/>
      <c r="HP391" s="1"/>
    </row>
    <row r="392" spans="2:224" ht="12.75" hidden="1" customHeight="1" x14ac:dyDescent="0.25">
      <c r="B392" s="12" t="s">
        <v>1234</v>
      </c>
      <c r="C392" s="422">
        <v>3.54</v>
      </c>
      <c r="D392" s="208"/>
      <c r="E392" s="39">
        <f>SnapshotTable[[#This Row],[Last Price]]*(1 -CrashDiscount)</f>
        <v>3.0089999999999999</v>
      </c>
      <c r="F392" s="325" t="s">
        <v>917</v>
      </c>
      <c r="G392" s="325" t="s">
        <v>872</v>
      </c>
      <c r="H392" s="149"/>
      <c r="I392" s="194"/>
      <c r="J392" s="195"/>
      <c r="K392" s="196"/>
      <c r="L392" s="326"/>
      <c r="M392" s="140"/>
      <c r="N392" s="140"/>
      <c r="O392" s="140"/>
      <c r="P392" s="22"/>
      <c r="Q392" s="25"/>
      <c r="R392" s="4" t="str">
        <f>IF(SnapshotTable[[#This Row],[Equity Basis Total]] &gt; 0, SnapshotTable[[#This Row],[Equity Basis Total]] / SnapshotTable[[#This Row],[Equity Shares]], "")</f>
        <v/>
      </c>
      <c r="S392" s="269">
        <f>SnapshotTable[[#This Row],[Last Price]] * SnapshotTable[[#This Row],[Equity Shares]]</f>
        <v>0</v>
      </c>
      <c r="T392" s="269">
        <f>SnapshotTable[[#This Row],[Equity Value]] - SnapshotTable[[#This Row],[Equity Basis Total]]</f>
        <v>0</v>
      </c>
      <c r="U392" s="270" t="str">
        <f>IF(SnapshotTable[[#This Row],[Equity Basis Total]] &gt; 0, SnapshotTable[[#This Row],[Equity G/L]] / SnapshotTable[[#This Row],[Equity Basis Total]], "")</f>
        <v/>
      </c>
      <c r="V392" s="268"/>
      <c r="W392" s="268"/>
      <c r="X392" s="4" t="str">
        <f>IF(AND(ISNUMBER(SnapshotTable[[#This Row],[Equity Basis Per Share]]),ISNUMBER(SnapshotTable[[#This Row],[Equity Target]])),SnapshotTable[[#This Row],[Equity Target]]-SnapshotTable[[#This Row],[Equity Basis Per Share]],"")</f>
        <v/>
      </c>
      <c r="Y392" s="4" t="str">
        <f>IF(AND(ISNUMBER(SnapshotTable[[#This Row],[Equity Basis Per Share]]),ISNUMBER(SnapshotTable[[#This Row],[Equity Stop Loss]])),SnapshotTable[[#This Row],[Equity Stop Loss]]-SnapshotTable[[#This Row],[Equity Basis Per Share]],"")</f>
        <v/>
      </c>
      <c r="Z392" s="275" t="str">
        <f>IFERROR( TEXT(SnapshotTable[[#This Row],[Equity Max Gain Per Share]] /ABS( SnapshotTable[[#This Row],[Equity Max Loss Per Share]]),"0.0 " ) &amp; " : 1", "")</f>
        <v/>
      </c>
      <c r="AA392" s="31" t="str">
        <f>IF(ISNUMBER(SnapshotTable[[#This Row],[Equity Max Gain Per Share]]),SnapshotTable[[#This Row],[Equity Max Gain Per Share]] * SnapshotTable[[#This Row],[Equity Shares]],"")</f>
        <v/>
      </c>
      <c r="AB392" s="31" t="str">
        <f>IF(ISNUMBER(SnapshotTable[[#This Row],[Equity Max Loss Per Share]]),SnapshotTable[[#This Row],[Equity Max Loss Per Share]] * SnapshotTable[[#This Row],[Equity Shares]],"")</f>
        <v/>
      </c>
      <c r="AC392" s="150"/>
      <c r="AD392" s="151"/>
      <c r="AE392" s="31">
        <f>(SnapshotTable[[#This Row],[Annual Dividend Per Share]] / 4) * SnapshotTable[[#This Row],[Equity Shares]]</f>
        <v>0</v>
      </c>
      <c r="AF392" s="31">
        <f>SnapshotTable[[#This Row],[Quarterly Div $]] * 4</f>
        <v>0</v>
      </c>
      <c r="AG392" s="7">
        <f>IF(SnapshotTable[[#This Row],[Annual Dividend Per Share]]&gt;0, SnapshotTable[[#This Row],[Annual Dividend Per Share]]  / SnapshotTable[[#This Row],[Last Price]], 0)</f>
        <v>0</v>
      </c>
      <c r="AH392" s="151"/>
      <c r="AI392" s="5"/>
      <c r="AJ392" s="138"/>
      <c r="AK392" s="152" t="str">
        <f>IF(ISNUMBER( SnapshotTable[[#This Row],[EBF Target]]),(SnapshotTable[[#This Row],[EBF Target]] - SnapshotTable[[#This Row],[Last Price]]) / SnapshotTable[[#This Row],[Last Price]], "")</f>
        <v/>
      </c>
      <c r="AL392" s="152" t="str">
        <f>IF(AND(SnapshotTable[[#This Row],[Equity Basis Total]] &gt; 0,ISNUMBER( SnapshotTable[[#This Row],[Long Term Target]])), SnapshotTable[[#This Row],[From Basis $]] / SnapshotTable[[#This Row],[Equity Basis Total]], "")</f>
        <v/>
      </c>
      <c r="AM392" s="9">
        <f>IF( AND(SnapshotTable[[#This Row],[Equity Shares]] &gt;0,ISNUMBER( SnapshotTable[[#This Row],[Long Term Target]])),(SnapshotTable[[#This Row],[Equity Shares]] * SnapshotTable[[#This Row],[Long Term Target]]) - SnapshotTable[[#This Row],[Equity Basis Total]],0)</f>
        <v>0</v>
      </c>
      <c r="AN392" s="9">
        <f>IF( AND(SnapshotTable[[#This Row],[Equity Shares]] &gt;0,ISNUMBER( SnapshotTable[[#This Row],[Long Term Target]])),(SnapshotTable[[#This Row],[Equity Shares]]*SnapshotTable[[#This Row],[Long Term Target]]) - SnapshotTable[[#This Row],[Equity Value]],0)</f>
        <v>0</v>
      </c>
      <c r="AO392" s="152" t="str">
        <f>IF(AND(ISNUMBER( SnapshotTable[[#This Row],[Long Term Target]]), ISNUMBER(SnapshotTable[[#This Row],[Last Price]])),(SnapshotTable[[#This Row],[Long Term Target]] - SnapshotTable[[#This Row],[Last Price]]) / SnapshotTable[[#This Row],[Last Price]], "")</f>
        <v/>
      </c>
      <c r="AP392" s="5"/>
      <c r="AQ392" s="38"/>
      <c r="AR392" s="5"/>
      <c r="AS392" s="38"/>
      <c r="AT392" s="146"/>
      <c r="AU392" s="187" t="str">
        <f>IF(OR(SnapshotTable[[#This Row],[LP No Fill]]="Y",SnapshotTable[[#This Row],[SP Is Filled]],SnapshotTable[[#This Row],[LC Not Filled]]="Y",SnapshotTable[[#This Row],[SC Is Filled]]),"Y","")</f>
        <v/>
      </c>
      <c r="AV392" s="219"/>
      <c r="AW392" s="225"/>
      <c r="AX392" s="220"/>
      <c r="AY392" s="219" t="str">
        <f>IF(SnapshotTable[[#This Row],[Implied Move]]&gt;0, SnapshotTable[[#This Row],[Last Price]]-SnapshotTable[[#This Row],[Implied Move]],"")</f>
        <v/>
      </c>
      <c r="AZ392" s="219" t="str">
        <f>IF(SnapshotTable[[#This Row],[Implied Move]]&gt;0, SnapshotTable[[#This Row],[Last Price]] + SnapshotTable[[#This Row],[Implied Move]],"")</f>
        <v/>
      </c>
      <c r="BA392" s="331">
        <v>4.0999999999999996</v>
      </c>
      <c r="BB392" s="347"/>
      <c r="BC39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2" s="351"/>
      <c r="BE392" s="5"/>
      <c r="BF392" s="14"/>
      <c r="BG392" s="13"/>
      <c r="BH392" s="13"/>
      <c r="BI392" s="5"/>
      <c r="BJ392" s="136">
        <f>IF(SnapshotTable[[#This Row],[LP Qty]] &gt; 0, SnapshotTable[[#This Row],[LP Qty]] * SnapshotTable[[#This Row],[LP Book Price]] * 100,0)</f>
        <v>0</v>
      </c>
      <c r="BK392" s="136">
        <f>IF(SnapshotTable[[#This Row],[LP Premium]] &gt; 0, SnapshotTable[[#This Row],[LP Qty]] * SnapshotTable[[#This Row],[LP Strike Price]] * 100,0)</f>
        <v>0</v>
      </c>
      <c r="BL392" s="154"/>
      <c r="BM392" s="385" t="str">
        <f>IF(SnapshotTable[[#This Row],[LP Premium]] &gt; 0,SnapshotTable[[#This Row],[LP Exp Date]]-MAX(SnapshotTable[[#This Row],[LP Book Date]], SnapshotTable[[#This Row],[LP Fill Date]]),"")</f>
        <v/>
      </c>
      <c r="BN392" s="385" t="str">
        <f>IF(ISNUMBER( SnapshotTable[[#This Row],[LP Term]]), SnapshotTable[[#This Row],[LP Exp Date]] - MockToday,"")</f>
        <v/>
      </c>
      <c r="BO392" s="163" t="str">
        <f>IF(AND(SnapshotTable[[#This Row],[LP Exp Date]]&gt;0, SnapshotTable[[#This Row],[LP Strike Price]]&gt;0,SnapshotTable[[#This Row],[LP Qty]]&gt;0,SnapshotTable[[#This Row],[LP Book Date]]&gt;0,SnapshotTable[[#This Row],[LP Book Price]]&gt;0,SnapshotTable[[#This Row],[LP Fill Date]]=0),"Y","")</f>
        <v/>
      </c>
      <c r="BP392" s="31" t="str">
        <f>IF(AND(SnapshotTable[[#This Row],[LP No Fill]]&lt;&gt;"Y",SnapshotTable[[#This Row],[LP Contract Value]]&gt;0, SnapshotTable[[#This Row],[LP Qty]]&gt;0), SnapshotTable[[#This Row],[LP Contract Value]]*SnapshotTable[[#This Row],[LP Qty]]*100,"")</f>
        <v/>
      </c>
      <c r="BQ392" s="13"/>
      <c r="BR392" s="5" t="str">
        <f>IF(SnapshotTable[[#This Row],[SP Exp Date]]&lt;&gt;"",TRUNC(SnapshotTable[[#This Row],[Last Price]]),"")</f>
        <v/>
      </c>
      <c r="BS392" s="36"/>
      <c r="BT392" s="147"/>
      <c r="BU392" s="13"/>
      <c r="BV392" s="5"/>
      <c r="BW392" s="419" t="b">
        <f>AND(ISNUMBER(SnapshotTable[[#This Row],[SP Exp Date]]), ISNUMBER(SnapshotTable[[#This Row],[SP Strike Price]]), ISNUMBER(SnapshotTable[[#This Row],[SP Qty]]), ISNUMBER(SnapshotTable[[#This Row],[SP Book Date]]), ISNUMBER(SnapshotTable[[#This Row],[SP Book Price]]))</f>
        <v>0</v>
      </c>
      <c r="BX392" s="419" t="b">
        <f>AND(SnapshotTable[[#This Row],[SP Is Booked]], NOT(ISBLANK(SnapshotTable[[#This Row],[SP Fill Date]])))</f>
        <v>0</v>
      </c>
      <c r="BY392" s="33">
        <f>IF(SnapshotTable[[#This Row],[SP Is Booked]], SnapshotTable[[#This Row],[SP Qty]] * SnapshotTable[[#This Row],[SP Book Price]] * 100, 0)</f>
        <v>0</v>
      </c>
      <c r="BZ392" s="369"/>
      <c r="CA392" s="368">
        <f>SnapshotTable[[#This Row],[LP Qty]]</f>
        <v>0</v>
      </c>
      <c r="CB392" s="4" t="str">
        <f>IF(SnapshotTable[[#This Row],[SP Is Booked]], SnapshotTable[[#This Row],[SP Strike Price]] - SnapshotTable[[#This Row],[SP Book Price]], "")</f>
        <v/>
      </c>
      <c r="CC392" s="19" t="str">
        <f>IF(SnapshotTable[[#This Row],[SP Is Booked]],SnapshotTable[[#This Row],[SP Exp Date]]-MAX(SnapshotTable[[#This Row],[SP Book Date]], SnapshotTable[[#This Row],[SP Fill Date]]),"")</f>
        <v/>
      </c>
      <c r="CD392" s="7" t="str">
        <f>IF(SnapshotTable[[#This Row],[SP Is Booked]], SnapshotTable[[#This Row],[SP Book Price]]/SnapshotTable[[#This Row],[SP Strike Price]], "")</f>
        <v/>
      </c>
      <c r="CE392" s="7" t="str">
        <f>IF(ISNUMBER(SnapshotTable[[#This Row],[SP ROO Term]]),SnapshotTable[[#This Row],[SP ROO Term]]*(365/SnapshotTable[[#This Row],[SP Term]]),"")</f>
        <v/>
      </c>
      <c r="CF392" s="236">
        <f>SnapshotTable[[#This Row],[LP Strike Price]] * SnapshotTable[[#This Row],[LP Qty]] * 100</f>
        <v>0</v>
      </c>
      <c r="CG392" s="31" t="e">
        <f>IF(ISNUMBER(SnapshotTable[[#This Row],[SP Premium]]), (SnapshotTable[[#This Row],[SP Qty]] * SnapshotTable[[#This Row],[SP Strike Price]]* 100) - SnapshotTable[[#This Row],[LP Protection]], 0)</f>
        <v>#VALUE!</v>
      </c>
      <c r="CH392" s="7" t="str">
        <f>IF(ISNUMBER(SnapshotTable[[#This Row],[SP Break Even]]),-1 * (SnapshotTable[[#This Row],[SP Break Even]] - SnapshotTable[[#This Row],[Last Price]]) / SnapshotTable[[#This Row],[Last Price]], "")</f>
        <v/>
      </c>
      <c r="CI392" s="31">
        <f>IF(AND(ISNUMBER((SnapshotTable[[#This Row],[SP Potential Spend]])), SnapshotTable[[#This Row],[SP Strike Price]] &gt; SnapshotTable[[#This Row],[Last Price]], SnapshotTable[[#This Row],[SP Is Filled]]), SnapshotTable[[#This Row],[SP Potential Spend]] -  SnapshotTable[[#This Row],[LP Max Value]], 0)</f>
        <v>0</v>
      </c>
      <c r="CJ392" s="244"/>
      <c r="CK392" s="31" t="str">
        <f>IF(ISNUMBER(SnapshotTable[[#This Row],[SP Potential Spend]]),IF(ISNUMBER(SnapshotTable[[#This Row],[SP POW]]), SnapshotTable[[#This Row],[SP POW]] * SnapshotTable[[#This Row],[SP Potential Spend]], SnapshotTable[[#This Row],[SP Potential Spend]]), "")</f>
        <v/>
      </c>
      <c r="CL392" s="164" t="e">
        <f>IF(NOT(SnapshotTable[[#This Row],[SP Is Filled]]),(SnapshotTable[[#This Row],[SP Qty]] * SnapshotTable[[#This Row],[SP Strike Price]] * 100) - SnapshotTable[[#This Row],[LP Max Value]],"")</f>
        <v>#VALUE!</v>
      </c>
      <c r="CM392" s="31" t="str">
        <f>IF(SnapshotTable[[#This Row],[SP Actual Spend]]&lt;&gt;0, ((SnapshotTable[[#This Row],[SP Strike Price]]-SnapshotTable[[#This Row],[Last Price]]) *(SnapshotTable[[#This Row],[SP Qty]]*100) - SnapshotTable[[#This Row],[SP Premium]]) * - 1, "")</f>
        <v/>
      </c>
      <c r="CN392" s="78"/>
      <c r="CO392" s="369"/>
      <c r="CP392" s="4" t="str">
        <f>IF(SnapshotTable[[#This Row],[SP Is Filled]], btc_max_buyback_amount(SnapshotTable[[#This Row],[SP Fill Date]],SnapshotTable[[#This Row],[SP Exp Date]], SnapshotTable[[#This Row],[SP Book Price]]),"")</f>
        <v/>
      </c>
      <c r="CQ392" s="78"/>
      <c r="CR39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2" s="155" t="str">
        <f>IF(SnapshotTable[[#This Row],[SP Is Filled]], btc_next_cutoff_date(SnapshotTable[[#This Row],[SP Fill Date]],SnapshotTable[[#This Row],[SP Exp Date]]),"")</f>
        <v/>
      </c>
      <c r="CT392" s="235" t="str" cm="1">
        <f t="array" ref="CT392">IF(SnapshotTable[[#This Row],[SP Is Filled]], btc_should_buy_back(SnapshotTable[[#This Row],[SP Fill Date]], SnapshotTable[[#This Row],[SP Exp Date]], SnapshotTable[[#This Row],[SP Book Price]], SnapshotTable[[#This Row],[SP Current Ask]], MockToday, SnapshotTable[[#This Row],[SP Buyback Override]]),"")</f>
        <v/>
      </c>
      <c r="CU392" s="143"/>
      <c r="CV392" s="235"/>
      <c r="CW392" s="378" t="str">
        <f>IF(ISNUMBER( SnapshotTable[[#This Row],[SP Term]]), SnapshotTable[[#This Row],[SP Exp Date]] - MockToday,"")</f>
        <v/>
      </c>
      <c r="CX392" s="31" t="str">
        <f>IF(SnapshotTable[[#This Row],[SP Is Filled]],SnapshotTable[[#This Row],[SP Buyback Price to Use]] * 100 * SnapshotTable[[#This Row],[SP Qty]], "")</f>
        <v/>
      </c>
      <c r="CY392" s="4" t="str">
        <f>IF(ISNUMBER(SnapshotTable[[#This Row],[SP Strike Price]]), SnapshotTable[[#This Row],[SP Strike Price]] * (1 - SP_MaxLoss_StrikePct), "")</f>
        <v/>
      </c>
      <c r="CZ392" s="31" t="str">
        <f>IF(ISNUMBER(SnapshotTable[[#This Row],[SP Strike  Stop Per Share]]),SnapshotTable[[#This Row],[SP Premium]] - ((SnapshotTable[[#This Row],[SP Strike Price]]-SnapshotTable[[#This Row],[SP Strike  Stop Per Share]]) *(SnapshotTable[[#This Row],[SP Qty]] * 100)),"")</f>
        <v/>
      </c>
      <c r="DA392" s="4" t="str">
        <f>IF(AND(ISNUMBER(SnapshotTable[[#This Row],[SP Premium]]),SnapshotTable[[#This Row],[SP Premium]]&gt;0), SnapshotTable[[#This Row],[SP Book Price]] * (1 + SP_MaxLoss_OptionPct), "")</f>
        <v/>
      </c>
      <c r="DB392" s="31" t="str">
        <f>IF(ISNUMBER(SnapshotTable[[#This Row],[SP Option  Stop Contract]]),(SnapshotTable[[#This Row],[SP Option  Stop Contract]] *(SnapshotTable[[#This Row],[SP Qty]] * 100) - SnapshotTable[[#This Row],[SP Premium]]),"")</f>
        <v/>
      </c>
      <c r="DC392" s="4"/>
      <c r="DD392" s="4"/>
      <c r="DE392" s="4" t="str">
        <f>IF(AND(SnapshotTable[[#This Row],[SP Qty]]&gt;0, SnapshotTable[[#This Row],[SP Stop To Use]]&gt;0),SnapshotTable[[#This Row],[SP Premium]] - ( SnapshotTable[[#This Row],[SP Qty]] * SnapshotTable[[#This Row],[SP Stop To Use]] * 100), "")</f>
        <v/>
      </c>
      <c r="DF392" s="31" t="str">
        <f>IF(AND(SnapshotTable[[#This Row],[SP Qty]]&gt;0,SnapshotTable[[#This Row],[SP Current Ask]]&gt;0), SnapshotTable[[#This Row],[SP Qty]] * SnapshotTable[[#This Row],[SP Current Ask]] * -100, "")</f>
        <v/>
      </c>
      <c r="DG392" s="31" t="str">
        <f>IF(ISNUMBER((SnapshotTable[[#This Row],[SP Total Value]])), SnapshotTable[[#This Row],[SP Premium]] + SnapshotTable[[#This Row],[SP Total Value]], "")</f>
        <v/>
      </c>
      <c r="DH392" s="294" t="str">
        <f>IF(ISNUMBER((SnapshotTable[[#This Row],[SP Total Value]])), SnapshotTable[[#This Row],[SP Gain Loss]] / SnapshotTable[[#This Row],[SP Premium]], "")</f>
        <v/>
      </c>
      <c r="DI392" s="406"/>
      <c r="DJ392" s="138"/>
      <c r="DK392" s="148"/>
      <c r="DL392" s="13"/>
      <c r="DM392" s="13"/>
      <c r="DO392" s="31">
        <f>IF(SnapshotTable[[#This Row],[LC Symbol Count]]=1, SnapshotTable[[#This Row],[LC Qty]] * SnapshotTable[[#This Row],[LC Book Price]] * 100, 0)</f>
        <v>0</v>
      </c>
      <c r="DP392" s="163" t="str">
        <f>IF(AND(SnapshotTable[[#This Row],[LC Exp Date]]&gt;0, SnapshotTable[[#This Row],[LC Strike Price]]&gt;0,SnapshotTable[[#This Row],[LC Qty]]&gt;0,SnapshotTable[[#This Row],[LC Book Date]]&gt;0,SnapshotTable[[#This Row],[LC Book Price]]&gt;0,SnapshotTable[[#This Row],[LC Fill Date]]=0),"Y","")</f>
        <v/>
      </c>
      <c r="DQ392" s="386" t="str">
        <f>IF(SnapshotTable[[#This Row],[LC Premium]] &gt; 0,SnapshotTable[[#This Row],[LC Exp Date]]-MAX(SnapshotTable[[#This Row],[LC Book Date]], SnapshotTable[[#This Row],[LC Fill Date]]),"")</f>
        <v/>
      </c>
      <c r="DR392" s="386" t="str">
        <f>IF(ISNUMBER(SnapshotTable[[#This Row],[LC Term]]), SnapshotTable[[#This Row],[LC Exp Date]] - MockToday, "")</f>
        <v/>
      </c>
      <c r="DS392" s="234" t="str">
        <f>IF(SnapshotTable[[#This Row],[LC Premium]]&gt;0,SnapshotTable[[#This Row],[LC Strike Price]] + SnapshotTable[[#This Row],[LC Book Price]],"")</f>
        <v/>
      </c>
      <c r="DU392" s="9" t="str">
        <f>IF(AND(SnapshotTable[[#This Row],[LC Symbol Count]]&gt;0, SnapshotTable[[#This Row],[LC Contract Value]]&gt;0), SnapshotTable[[#This Row],[LC Contract Value]] * SnapshotTable[[#This Row],[LC Qty]] * 100, "")</f>
        <v/>
      </c>
      <c r="DV392" s="9" t="str">
        <f>IF(AND(ISNUMBER(SnapshotTable[[#This Row],[LC Total Value]]), SnapshotTable[[#This Row],[LC Not Filled]]&lt;&gt;"Y"), SnapshotTable[[#This Row],[LC Total Value]]-SnapshotTable[[#This Row],[LC Premium]],"")</f>
        <v/>
      </c>
      <c r="DW392" s="240" t="str">
        <f>IF(ISNUMBER(SnapshotTable[[#This Row],[LC Actual Gain Loss]]), SnapshotTable[[#This Row],[LC Actual Gain Loss]] / SnapshotTable[[#This Row],[LC Premium]],"")</f>
        <v/>
      </c>
      <c r="DX392" s="284" t="str">
        <f>IF(ISNUMBER(SnapshotTable[[#This Row],[LC Book Price]]),SnapshotTable[[#This Row],[LC Book Price]] * 1.5,"")</f>
        <v/>
      </c>
      <c r="DY392" s="265" t="str">
        <f>IF(SnapshotTable[[#This Row],[LC Premium]]&gt;0, SnapshotTable[[#This Row],[LC Next Target]] * SnapshotTable[[#This Row],[LC Qty]] * 100,"")</f>
        <v/>
      </c>
      <c r="DZ392" s="265" t="str">
        <f>IF(ISNUMBER(SnapshotTable[[#This Row],[LC Target Gross]]), SnapshotTable[[#This Row],[LC Target Gross]] - SnapshotTable[[#This Row],[LC Premium]], "")</f>
        <v/>
      </c>
      <c r="EA392" s="305" t="str">
        <f>IF(ISNUMBER(SnapshotTable[[#This Row],[LC Target Gain Loss]]), SnapshotTable[[#This Row],[LC Target Gain Loss]]/SnapshotTable[[#This Row],[LC Premium]], "")</f>
        <v/>
      </c>
      <c r="EB392" s="262"/>
      <c r="EC392" s="283" t="str">
        <f>IF(SnapshotTable[[#This Row],[LC Premium]]&gt;0, SnapshotTable[[#This Row],[LC Book Price]] * (1 - LC_StopLoss_Pct),"")</f>
        <v/>
      </c>
      <c r="ED392" s="284"/>
      <c r="EE392" s="283" t="str">
        <f>IF(ISNUMBER(SnapshotTable[[#This Row],[LC Contract Value]]),IF(ISNUMBER(SnapshotTable[[#This Row],[LC Stop Loss Override]]), SnapshotTable[[#This Row],[LC Stop Loss Override]],SnapshotTable[[#This Row],[LC Stop Loss Calc Target]]),"")</f>
        <v/>
      </c>
      <c r="EF392" s="31" t="str">
        <f>IF(ISNUMBER(SnapshotTable[[#This Row],[LC Stop  To Use]]), (SnapshotTable[[#This Row],[LC Stop  To Use]] * SnapshotTable[[#This Row],[LC Qty]] * 100),"")</f>
        <v/>
      </c>
      <c r="EG392" s="9" t="str">
        <f>IF(ISNUMBER(SnapshotTable[[#This Row],[LC Total Value]]),SnapshotTable[[#This Row],[LC Stop Loss Amount]] - SnapshotTable[[#This Row],[LC Premium]],"")</f>
        <v/>
      </c>
      <c r="EH392" s="9">
        <f>IF(ISNUMBER(SnapshotTable[[#This Row],[LC Premium]]), SnapshotTable[[#This Row],[LC Qty]] * 100 * SnapshotTable[[#This Row],[LC Strike Price]], "")</f>
        <v>0</v>
      </c>
      <c r="EI392" s="240" t="str">
        <f>IF(AND(ISNUMBER(SnapshotTable[[#This Row],[LC Total Value]]),SnapshotTable[[#This Row],[LC Total Value]]&gt;0),SnapshotTable[[#This Row],[LC Stop Gain Loss]]  / SnapshotTable[[#This Row],[LC Premium]],"")</f>
        <v/>
      </c>
      <c r="EJ392" s="35">
        <f>IF(ISNUMBER(SnapshotTable[[#This Row],[Equity Shares]]),TRUNC(SnapshotTable[[#This Row],[Equity Shares]] / 100),0) + SnapshotTable[[#This Row],[LC Qty]]</f>
        <v>0</v>
      </c>
      <c r="EK392" s="147"/>
      <c r="EL392" s="138" t="str">
        <f>IF(SnapshotTable[[#This Row],[SC Exp Date]]&lt;&gt;"",TRUNC(SnapshotTable[[#This Row],[Last Price]]),"")</f>
        <v/>
      </c>
      <c r="EM392" s="148"/>
      <c r="EN392" s="147"/>
      <c r="EO392" s="147"/>
      <c r="EP392" s="138"/>
      <c r="EQ392" s="419" t="b">
        <f>AND(ISNUMBER(SnapshotTable[[#This Row],[SC Exp Date]]), ISNUMBER(SnapshotTable[[#This Row],[SC Strike Price]]), ISNUMBER(SnapshotTable[[#This Row],[SC Qty]]), ISNUMBER(SnapshotTable[[#This Row],[SC Book Date]]), ISNUMBER(SnapshotTable[[#This Row],[SC Book Price]]))</f>
        <v>0</v>
      </c>
      <c r="ER392" s="419" t="b">
        <f>AND(SnapshotTable[[#This Row],[SC Is Booked]], NOT(ISBLANK(SnapshotTable[[#This Row],[SC Fill Date]])))</f>
        <v>0</v>
      </c>
      <c r="ES392" s="370"/>
      <c r="ET392" s="34" t="str">
        <f>IF(AND(ISNUMBER(SnapshotTable[[#This Row],[SC Exp Date]]), ISNUMBER(SnapshotTable[[#This Row],[SC Book Date]])), SnapshotTable[[#This Row],[SC Exp Date]] - MAX(SnapshotTable[[#This Row],[SC Book Date]], SnapshotTable[[#This Row],[SC Fill Date]]) + 1, "")</f>
        <v/>
      </c>
      <c r="EU392" s="34" t="str">
        <f>IF(ISNUMBER(SnapshotTable[[#This Row],[SC Term]]), SnapshotTable[[#This Row],[SC Exp Date]]- MockToday, "")</f>
        <v/>
      </c>
      <c r="EV392" s="31">
        <f>IF(SnapshotTable[[#This Row],[SC Is Booked]], SnapshotTable[[#This Row],[SC Qty]] * SnapshotTable[[#This Row],[SC Book Price]] * 100, 0)</f>
        <v>0</v>
      </c>
      <c r="EW392" s="4" t="str">
        <f>IF(AND(ISNUMBER(SnapshotTable[[#This Row],[Last Price]]), ISNUMBER( SnapshotTable[[#This Row],[SC Book Price]])), SnapshotTable[[#This Row],[Last Price]] - SnapshotTable[[#This Row],[SC Book Price]],"")</f>
        <v/>
      </c>
      <c r="EX392" s="234" t="str">
        <f>IF(SnapshotTable[[#This Row],[SC Is Booked]],IF(SnapshotTable[[#This Row],[SC Intrinsic Value]] &gt; 0, SnapshotTable[[#This Row],[SC Strike Price]], SnapshotTable[[#This Row],[Last Price]]), "")</f>
        <v/>
      </c>
      <c r="EY392" s="4">
        <f>IF(SnapshotTable[[#This Row],[SC Is Booked]], (MinimumPremiumRequired * SnapshotTable[[#This Row],[SC Basis]] * SnapshotTable[[#This Row],[SC Term]]), 0)</f>
        <v>0</v>
      </c>
      <c r="EZ392" s="283"/>
      <c r="FA392" s="218"/>
      <c r="FB392" s="370"/>
      <c r="FC392" s="4">
        <f>IF(SnapshotTable[[#This Row],[SC Is Filled]], btc_max_buyback_amount(SnapshotTable[[#This Row],[SC Fill Date]],SnapshotTable[[#This Row],[SC Exp Date]], SnapshotTable[[#This Row],[SC Book Price]]),0)</f>
        <v>0</v>
      </c>
      <c r="FD392" s="5"/>
      <c r="FE392" s="144" t="str">
        <f>IF(SnapshotTable[[#This Row],[SC Is Filled]], btc_next_cutoff_date(SnapshotTable[[#This Row],[SC Fill Date]],SnapshotTable[[#This Row],[SC Exp Date]]),"")</f>
        <v/>
      </c>
      <c r="FF392" s="4" t="str" cm="1">
        <f t="array" ref="FF392">IF(SnapshotTable[[#This Row],[SC Is Filled]], btc_should_buy_back(SnapshotTable[[#This Row],[SC Fill Date]], SnapshotTable[[#This Row],[SC Exp Date]], SnapshotTable[[#This Row],[SC Book Price]], SnapshotTable[[#This Row],[SC Current Ask]], MockToday, SnapshotTable[[#This Row],[SC Buyback Override]]),"")</f>
        <v/>
      </c>
      <c r="FG392" s="4">
        <f>IF(SnapshotTable[[#This Row],[SC Is Filled]], MAX(0,SnapshotTable[[#This Row],[Last Price]]  - SnapshotTable[[#This Row],[SC Strike Price]]), 0)</f>
        <v>0</v>
      </c>
      <c r="FH392" s="382">
        <f>IF(SnapshotTable[[#This Row],[SC Is Filled]], IF(ISNUMBER(SnapshotTable[[#This Row],[SC Current Ask]]), SnapshotTable[[#This Row],[SC Current Ask]], SnapshotTable[[#This Row],[SC Book Price]]) - SnapshotTable[[#This Row],[SC Intrinsic Value]], 0)</f>
        <v>0</v>
      </c>
      <c r="FI392" s="143"/>
      <c r="FJ392" s="32" t="str">
        <f>IF(SnapshotTable[[#This Row],[SC Is Filled]],100 * SnapshotTable[[#This Row],[SC Qty]] * IF(ISNUMBER(SnapshotTable[[#This Row],[SC Buyback Override]]), SnapshotTable[[#This Row],[SC Buyback Override]], SnapshotTable[[#This Row],[SC Current Ask]]), "")</f>
        <v/>
      </c>
      <c r="FK392" s="250" t="str">
        <f>IF(SnapshotTable[[#This Row],[SC Time Val]]&gt;0, SnapshotTable[[#This Row],[SC Time Val]] / SnapshotTable[[#This Row],[Last Price]],"")</f>
        <v/>
      </c>
      <c r="FL392" s="302" t="str">
        <f>IF(SnapshotTable[[#This Row],[SC Is Booked]], ((SnapshotTable[[#This Row],[Last Price]] -SnapshotTable[[#This Row],[SC Strike Price]]) / SnapshotTable[[#This Row],[Last Price]]) * -1, "")</f>
        <v/>
      </c>
      <c r="FM392" s="157" t="str">
        <f>IF(SnapshotTable[[#This Row],[SC Is Booked]],  (SnapshotTable[[#This Row],[SC Qty]] * 100 * SnapshotTable[[#This Row],[SC Strike Price]]) - SnapshotTable[[#This Row],[SC Current Ask]], "")</f>
        <v/>
      </c>
      <c r="FN39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2" s="31" t="str">
        <f>IF(AND(ISNUMBER(SnapshotTable[[#This Row],[SC Exercise Gross]]), ISNUMBER(SnapshotTable[[#This Row],[Equity Basis Per Share]] )), SnapshotTable[[#This Row],[SC Exercise Gross]] - SnapshotTable[[#This Row],[Equity Basis Total]] +  SnapshotTable[[#This Row],[SC Premium]], "")</f>
        <v/>
      </c>
      <c r="FP392" s="5" t="str">
        <f>IF(ISNUMBER(SnapshotTable[[#This Row],[SC Exercise Gross]]), (SnapshotTable[[#This Row],[SC Exercise Gross]]) / (SnapshotTable[[#This Row],[SC Qty]] * 100), "")</f>
        <v/>
      </c>
      <c r="FQ392" s="27" t="str">
        <f>IF(SnapshotTable[[#This Row],[SC Is Booked]],SnapshotTable[[#This Row],[SC Time Val]] /SnapshotTable[[#This Row],[SC Basis]], "")</f>
        <v/>
      </c>
      <c r="FR392" s="27" t="str" cm="1">
        <f t="array" ref="FR392">IF(AND(ISNUMBER(SnapshotTable[[#This Row],[SC Term]]),ISNUMBER(SnapshotTable[[#This Row],[SC Simple ROO]])), EllmanAnnualize(SnapshotTable[[#This Row],[SC DTE]], SnapshotTable[[#This Row],[SC Simple ROO]] ),"")</f>
        <v/>
      </c>
      <c r="FS392" s="4" t="e">
        <f>IF(SnapshotTable[[#This Row],[SC Strike Price]] &gt; SnapshotTable[[#This Row],[Last Price]], SnapshotTable[[#This Row],[SC Strike Price]] - SnapshotTable[[#This Row],[Last Price]],0)</f>
        <v>#VALUE!</v>
      </c>
      <c r="FT392" s="27" t="e">
        <f>IF(AND(ISNUMBER(SnapshotTable[[#This Row],[SC Upside Potential]]), SnapshotTable[[#This Row],[SC Upside Potential]] &gt; 0),(SnapshotTable[[#This Row],[SC Upside Potential]]/ SnapshotTable[[#This Row],[ACB]]),"")</f>
        <v>#VALUE!</v>
      </c>
      <c r="FU392" s="333" t="str">
        <f>IF(SnapshotTable[[#This Row],[SC Intrinsic Value]] &gt; 0,SnapshotTable[[#This Row],[SC Intrinsic Value]],"")</f>
        <v/>
      </c>
      <c r="FV392" s="27" t="str">
        <f>IF(AND( ISNUMBER( SnapshotTable[[#This Row],[ACB]]),ISNUMBER(SnapshotTable[[#This Row],[SC Downside Protect]])),SnapshotTable[[#This Row],[SC Downside Protect]] / SnapshotTable[[#This Row],[ACB]],"")</f>
        <v/>
      </c>
      <c r="FW392" s="236" t="str">
        <f>IF(AND(ISNUMBER(SnapshotTable[[#This Row],[SC Simple ROO]]),SnapshotTable[[#This Row],[SC Simple ROO]] &gt; 0), SnapshotTable[[#This Row],[SC Premium]] + (SnapshotTable[[#This Row],[SC Qty]] * SnapshotTable[[#This Row],[SC Upside Potential]]), "")</f>
        <v/>
      </c>
      <c r="FX392" s="302" t="str" cm="1">
        <f t="array" ref="FX392">IF(ISNUMBER(SnapshotTable[[#This Row],[SC Max Dollars]]), annualize(SnapshotTable[[#This Row],[SC Term]],(SnapshotTable[[#This Row],[SC Max Dollars]]/SnapshotTable[[#This Row],[SC Basis]])),"")</f>
        <v/>
      </c>
      <c r="FY392" s="236" t="str">
        <f>IF(AND(SnapshotTable[[#This Row],[SC Qty]]&gt;0,SnapshotTable[[#This Row],[SC Current Ask]]&gt;0), SnapshotTable[[#This Row],[SC Qty]] * SnapshotTable[[#This Row],[SC Current Ask]] * -100, "")</f>
        <v/>
      </c>
      <c r="FZ392" s="31" t="str">
        <f>IF(ISNUMBER((SnapshotTable[[#This Row],[SC Current Value]])), SnapshotTable[[#This Row],[SC Premium]] + SnapshotTable[[#This Row],[SC Current Value]], "")</f>
        <v/>
      </c>
      <c r="GA392" s="294" t="str">
        <f>IFERROR( IF(ISNUMBER((SnapshotTable[[#This Row],[SC Current Value]])), SnapshotTable[[#This Row],[SC Gain Loss]] / SnapshotTable[[#This Row],[SC Premium]], ""), "")</f>
        <v/>
      </c>
      <c r="GB392" s="42">
        <f>SnapshotTable[[#This Row],[Equity Shares]] * SaleSharesToConsiderPercentage</f>
        <v>0</v>
      </c>
      <c r="GC392" s="40">
        <f>SnapshotTable[[#This Row],[Long Term Target]] * SellingPriceToConsiderBasedOnTargetPercentage</f>
        <v>0</v>
      </c>
      <c r="GD392" s="40">
        <f>SnapshotTable[[#This Row],[Last Price]] * (1+ SellingPriceToConsiderBasedOnTargetPercentage)</f>
        <v>6.9029999999999996</v>
      </c>
      <c r="GE392" s="41"/>
      <c r="GF392" s="40"/>
      <c r="GG392" s="31">
        <f>SnapshotTable[[#This Row],[Booked Sale Shares]] * SnapshotTable[[#This Row],[Booked Sale Price]]</f>
        <v>0</v>
      </c>
      <c r="GH392" s="31" t="str">
        <f>IF(SnapshotTable[[#This Row],[Equity Basis Total]] &gt; 0, SnapshotTable[[#This Row],[Equity Basis Per Share]] * SnapshotTable[[#This Row],[Booked Sale Shares]], "")</f>
        <v/>
      </c>
      <c r="GI392" s="31">
        <f>IF(SnapshotTable[[#This Row],[Sale Proceeds]]&gt;0, SnapshotTable[[#This Row],[Sale Proceeds]] - SnapshotTable[[#This Row],[Sale Basis]], 0)</f>
        <v>0</v>
      </c>
      <c r="GJ392" s="27" t="str">
        <f>IF(SnapshotTable[[#This Row],[Sale G/L]]&gt;0, SnapshotTable[[#This Row],[Sale G/L]] / SnapshotTable[[#This Row],[Sale Basis]], IF(ISNUMBER(SnapshotTable[[#This Row],[SC Exercise P&amp;L (TAX)]]), SnapshotTable[[#This Row],[SC Exercise P&amp;L (TAX)]] / SnapshotTable[[#This Row],[SC Basis]], ""))</f>
        <v/>
      </c>
      <c r="GK392" s="27"/>
      <c r="GL392" s="43" t="str">
        <f>IF(AND(SnapshotTable[[#This Row],[LP Exp Date]]&gt;0,SnapshotTable[[#This Row],[LP Strike Price]]&gt;0), [1]!ToOptionSymbol(SnapshotTable[[#This Row],[Symbol]], SnapshotTable[[#This Row],[LP Strike Price]],SnapshotTable[[#This Row],[LP Exp Date]],1), "")</f>
        <v/>
      </c>
      <c r="GM392" s="30" t="str">
        <f>IF(LEN(SnapshotTable[[#This Row],[LP Symbol]])&gt;0, 1, "")</f>
        <v/>
      </c>
      <c r="GN392" s="43" t="str">
        <f>IF(AND(SnapshotTable[[#This Row],[SP Exp Date]]&gt;0,SnapshotTable[[#This Row],[SP Strike Price]]&gt;0), [1]!ToOptionSymbol(SnapshotTable[[#This Row],[Symbol]], SnapshotTable[[#This Row],[SP Strike Price]],SnapshotTable[[#This Row],[SP Exp Date]],1), "")</f>
        <v/>
      </c>
      <c r="GO392" s="30" t="str">
        <f>IF(LEN(SnapshotTable[[#This Row],[SP Symbol]])&gt;0, 1, "")</f>
        <v/>
      </c>
      <c r="GP392" s="43" t="str">
        <f>IF(AND(SnapshotTable[[#This Row],[LC Exp Date]]&gt;0,SnapshotTable[[#This Row],[LC Strike Price]]&gt;0), [1]!ToOptionSymbol(SnapshotTable[[#This Row],[Symbol]], SnapshotTable[[#This Row],[LC Strike Price]],SnapshotTable[[#This Row],[LC Exp Date]],0), "")</f>
        <v/>
      </c>
      <c r="GQ392" s="30" t="str">
        <f>IF(LEN(SnapshotTable[[#This Row],[LC Symbol]])&gt;0, 1, "")</f>
        <v/>
      </c>
      <c r="GR392" s="43" t="str">
        <f>IF(AND(SnapshotTable[[#This Row],[SC Exp Date]]&gt;0,SnapshotTable[[#This Row],[SC Strike Price]]&gt;0), [1]!ToOptionSymbol(SnapshotTable[[#This Row],[Symbol]], SnapshotTable[[#This Row],[SC Strike Price]],SnapshotTable[[#This Row],[SC Exp Date]],0), "")</f>
        <v/>
      </c>
      <c r="GS392" s="30" t="str">
        <f>IF(LEN(SnapshotTable[[#This Row],[SC Symbol]])&gt;0, 1, "")</f>
        <v/>
      </c>
      <c r="GT392" s="29" t="str">
        <f>IF(COUNT(SnapshotTable[[#This Row],[LP Symbol Count]],SnapshotTable[[#This Row],[SP Symbol Count]],SnapshotTable[[#This Row],[LC Symbol Count]],SnapshotTable[[#This Row],[SC Symbol Count]])&gt;0, "Y", "")</f>
        <v/>
      </c>
      <c r="GU39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2" s="231" t="e">
        <f>MAX(SnapshotTable[[#This Row],[Equity Basis Total]],SnapshotTable[[#This Row],[Equity Value]]) + (SnapshotTable[[#This Row],[SP Potential Spend]]- SnapshotTable[[#This Row],[SP Premium]] + SnapshotTable[[#This Row],[LP Premium]])+ (SnapshotTable[[#This Row],[LC Premium]] - SnapshotTable[[#This Row],[SC Premium]])</f>
        <v>#VALUE!</v>
      </c>
      <c r="GW392" s="139" t="e">
        <f>IF(AND(SnapshotTable[[#This Row],[Exposure]] &lt;&gt; 0),SnapshotTable[[#This Row],[Exposure]] / SnapshotTable[[#Totals],[Exposure]], "")</f>
        <v>#VALUE!</v>
      </c>
      <c r="HK392" s="1"/>
      <c r="HL392" s="1"/>
      <c r="HM392" s="1"/>
      <c r="HN392" s="1"/>
      <c r="HO392" s="1"/>
      <c r="HP392" s="1"/>
    </row>
    <row r="393" spans="2:224" ht="12.75" hidden="1" customHeight="1" x14ac:dyDescent="0.25">
      <c r="B393" s="12" t="s">
        <v>1263</v>
      </c>
      <c r="C393" s="422">
        <v>7.8</v>
      </c>
      <c r="D393" s="208"/>
      <c r="E393" s="39">
        <f>SnapshotTable[[#This Row],[Last Price]]*(1 -CrashDiscount)</f>
        <v>6.63</v>
      </c>
      <c r="F393" s="325" t="s">
        <v>210</v>
      </c>
      <c r="G393" s="325" t="s">
        <v>9</v>
      </c>
      <c r="H393" s="149"/>
      <c r="I393" s="194"/>
      <c r="J393" s="195"/>
      <c r="K393" s="196"/>
      <c r="L393" s="326"/>
      <c r="M393" s="140"/>
      <c r="N393" s="140"/>
      <c r="O393" s="140"/>
      <c r="P393" s="328">
        <v>100</v>
      </c>
      <c r="Q393" s="25">
        <v>964</v>
      </c>
      <c r="R393" s="4">
        <f>IF(SnapshotTable[[#This Row],[Equity Basis Total]] &gt; 0, SnapshotTable[[#This Row],[Equity Basis Total]] / SnapshotTable[[#This Row],[Equity Shares]], "")</f>
        <v>9.64</v>
      </c>
      <c r="S393" s="269">
        <f>SnapshotTable[[#This Row],[Last Price]] * SnapshotTable[[#This Row],[Equity Shares]]</f>
        <v>780</v>
      </c>
      <c r="T393" s="269">
        <f>SnapshotTable[[#This Row],[Equity Value]] - SnapshotTable[[#This Row],[Equity Basis Total]]</f>
        <v>-184</v>
      </c>
      <c r="U393" s="270">
        <f>IF(SnapshotTable[[#This Row],[Equity Basis Total]] &gt; 0, SnapshotTable[[#This Row],[Equity G/L]] / SnapshotTable[[#This Row],[Equity Basis Total]], "")</f>
        <v>-0.1908713692946058</v>
      </c>
      <c r="V393" s="268"/>
      <c r="W393" s="268"/>
      <c r="X393" s="4" t="str">
        <f>IF(AND(ISNUMBER(SnapshotTable[[#This Row],[Equity Basis Per Share]]),ISNUMBER(SnapshotTable[[#This Row],[Equity Target]])),SnapshotTable[[#This Row],[Equity Target]]-SnapshotTable[[#This Row],[Equity Basis Per Share]],"")</f>
        <v/>
      </c>
      <c r="Y393" s="4" t="str">
        <f>IF(AND(ISNUMBER(SnapshotTable[[#This Row],[Equity Basis Per Share]]),ISNUMBER(SnapshotTable[[#This Row],[Equity Stop Loss]])),SnapshotTable[[#This Row],[Equity Stop Loss]]-SnapshotTable[[#This Row],[Equity Basis Per Share]],"")</f>
        <v/>
      </c>
      <c r="Z393" s="275" t="str">
        <f>IFERROR( TEXT(SnapshotTable[[#This Row],[Equity Max Gain Per Share]] /ABS( SnapshotTable[[#This Row],[Equity Max Loss Per Share]]),"0.0 " ) &amp; " : 1", "")</f>
        <v/>
      </c>
      <c r="AA393" s="31" t="str">
        <f>IF(ISNUMBER(SnapshotTable[[#This Row],[Equity Max Gain Per Share]]),SnapshotTable[[#This Row],[Equity Max Gain Per Share]] * SnapshotTable[[#This Row],[Equity Shares]],"")</f>
        <v/>
      </c>
      <c r="AB393" s="31" t="str">
        <f>IF(ISNUMBER(SnapshotTable[[#This Row],[Equity Max Loss Per Share]]),SnapshotTable[[#This Row],[Equity Max Loss Per Share]] * SnapshotTable[[#This Row],[Equity Shares]],"")</f>
        <v/>
      </c>
      <c r="AC393" s="150"/>
      <c r="AD393" s="151"/>
      <c r="AE393" s="31">
        <f>(SnapshotTable[[#This Row],[Annual Dividend Per Share]] / 4) * SnapshotTable[[#This Row],[Equity Shares]]</f>
        <v>0</v>
      </c>
      <c r="AF393" s="31">
        <f>SnapshotTable[[#This Row],[Quarterly Div $]] * 4</f>
        <v>0</v>
      </c>
      <c r="AG393" s="7">
        <f>IF(SnapshotTable[[#This Row],[Annual Dividend Per Share]]&gt;0, SnapshotTable[[#This Row],[Annual Dividend Per Share]]  / SnapshotTable[[#This Row],[Last Price]], 0)</f>
        <v>0</v>
      </c>
      <c r="AH393" s="151"/>
      <c r="AI393" s="5"/>
      <c r="AJ393" s="138"/>
      <c r="AK393" s="152" t="str">
        <f>IF(ISNUMBER( SnapshotTable[[#This Row],[EBF Target]]),(SnapshotTable[[#This Row],[EBF Target]] - SnapshotTable[[#This Row],[Last Price]]) / SnapshotTable[[#This Row],[Last Price]], "")</f>
        <v/>
      </c>
      <c r="AL393" s="152" t="str">
        <f>IF(AND(SnapshotTable[[#This Row],[Equity Basis Total]] &gt; 0,ISNUMBER( SnapshotTable[[#This Row],[Long Term Target]])), SnapshotTable[[#This Row],[From Basis $]] / SnapshotTable[[#This Row],[Equity Basis Total]], "")</f>
        <v/>
      </c>
      <c r="AM393" s="9">
        <f>IF( AND(SnapshotTable[[#This Row],[Equity Shares]] &gt;0,ISNUMBER( SnapshotTable[[#This Row],[Long Term Target]])),(SnapshotTable[[#This Row],[Equity Shares]] * SnapshotTable[[#This Row],[Long Term Target]]) - SnapshotTable[[#This Row],[Equity Basis Total]],0)</f>
        <v>0</v>
      </c>
      <c r="AN393" s="9">
        <f>IF( AND(SnapshotTable[[#This Row],[Equity Shares]] &gt;0,ISNUMBER( SnapshotTable[[#This Row],[Long Term Target]])),(SnapshotTable[[#This Row],[Equity Shares]]*SnapshotTable[[#This Row],[Long Term Target]]) - SnapshotTable[[#This Row],[Equity Value]],0)</f>
        <v>0</v>
      </c>
      <c r="AO393" s="152" t="str">
        <f>IF(AND(ISNUMBER( SnapshotTable[[#This Row],[Long Term Target]]), ISNUMBER(SnapshotTable[[#This Row],[Last Price]])),(SnapshotTable[[#This Row],[Long Term Target]] - SnapshotTable[[#This Row],[Last Price]]) / SnapshotTable[[#This Row],[Last Price]], "")</f>
        <v/>
      </c>
      <c r="AP393" s="5"/>
      <c r="AQ393" s="38"/>
      <c r="AR393" s="5"/>
      <c r="AS393" s="38"/>
      <c r="AT393" s="146"/>
      <c r="AU393" s="187" t="str">
        <f>IF(OR(SnapshotTable[[#This Row],[LP No Fill]]="Y",SnapshotTable[[#This Row],[SP Is Filled]],SnapshotTable[[#This Row],[LC Not Filled]]="Y",SnapshotTable[[#This Row],[SC Is Filled]]),"Y","")</f>
        <v/>
      </c>
      <c r="AV393" s="219"/>
      <c r="AW393" s="225"/>
      <c r="AX393" s="220"/>
      <c r="AY393" s="219" t="str">
        <f>IF(SnapshotTable[[#This Row],[Implied Move]]&gt;0, SnapshotTable[[#This Row],[Last Price]]-SnapshotTable[[#This Row],[Implied Move]],"")</f>
        <v/>
      </c>
      <c r="AZ393" s="219" t="str">
        <f>IF(SnapshotTable[[#This Row],[Implied Move]]&gt;0, SnapshotTable[[#This Row],[Last Price]] + SnapshotTable[[#This Row],[Implied Move]],"")</f>
        <v/>
      </c>
      <c r="BA393" s="331">
        <v>8.99</v>
      </c>
      <c r="BB393" s="347" t="s">
        <v>1138</v>
      </c>
      <c r="BC39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3" s="351"/>
      <c r="BE393" s="5"/>
      <c r="BF393" s="14"/>
      <c r="BG393" s="13"/>
      <c r="BH393" s="13"/>
      <c r="BI393" s="5"/>
      <c r="BJ393" s="136">
        <f>IF(SnapshotTable[[#This Row],[LP Qty]] &gt; 0, SnapshotTable[[#This Row],[LP Qty]] * SnapshotTable[[#This Row],[LP Book Price]] * 100,0)</f>
        <v>0</v>
      </c>
      <c r="BK393" s="136">
        <f>IF(SnapshotTable[[#This Row],[LP Premium]] &gt; 0, SnapshotTable[[#This Row],[LP Qty]] * SnapshotTable[[#This Row],[LP Strike Price]] * 100,0)</f>
        <v>0</v>
      </c>
      <c r="BL393" s="154"/>
      <c r="BM393" s="385" t="str">
        <f>IF(SnapshotTable[[#This Row],[LP Premium]] &gt; 0,SnapshotTable[[#This Row],[LP Exp Date]]-MAX(SnapshotTable[[#This Row],[LP Book Date]], SnapshotTable[[#This Row],[LP Fill Date]]),"")</f>
        <v/>
      </c>
      <c r="BN393" s="385" t="str">
        <f>IF(ISNUMBER( SnapshotTable[[#This Row],[LP Term]]), SnapshotTable[[#This Row],[LP Exp Date]] - MockToday,"")</f>
        <v/>
      </c>
      <c r="BO393" s="163" t="str">
        <f>IF(AND(SnapshotTable[[#This Row],[LP Exp Date]]&gt;0, SnapshotTable[[#This Row],[LP Strike Price]]&gt;0,SnapshotTable[[#This Row],[LP Qty]]&gt;0,SnapshotTable[[#This Row],[LP Book Date]]&gt;0,SnapshotTable[[#This Row],[LP Book Price]]&gt;0,SnapshotTable[[#This Row],[LP Fill Date]]=0),"Y","")</f>
        <v/>
      </c>
      <c r="BP393" s="31" t="str">
        <f>IF(AND(SnapshotTable[[#This Row],[LP No Fill]]&lt;&gt;"Y",SnapshotTable[[#This Row],[LP Contract Value]]&gt;0, SnapshotTable[[#This Row],[LP Qty]]&gt;0), SnapshotTable[[#This Row],[LP Contract Value]]*SnapshotTable[[#This Row],[LP Qty]]*100,"")</f>
        <v/>
      </c>
      <c r="BQ393" s="13"/>
      <c r="BR393" s="5" t="str">
        <f>IF(SnapshotTable[[#This Row],[SP Exp Date]]&lt;&gt;"",TRUNC(SnapshotTable[[#This Row],[Last Price]]),"")</f>
        <v/>
      </c>
      <c r="BS393" s="36"/>
      <c r="BT393" s="147"/>
      <c r="BU393" s="13"/>
      <c r="BV393" s="5"/>
      <c r="BW393" s="419" t="b">
        <f>AND(ISNUMBER(SnapshotTable[[#This Row],[SP Exp Date]]), ISNUMBER(SnapshotTable[[#This Row],[SP Strike Price]]), ISNUMBER(SnapshotTable[[#This Row],[SP Qty]]), ISNUMBER(SnapshotTable[[#This Row],[SP Book Date]]), ISNUMBER(SnapshotTable[[#This Row],[SP Book Price]]))</f>
        <v>0</v>
      </c>
      <c r="BX393" s="419" t="b">
        <f>AND(SnapshotTable[[#This Row],[SP Is Booked]], NOT(ISBLANK(SnapshotTable[[#This Row],[SP Fill Date]])))</f>
        <v>0</v>
      </c>
      <c r="BY393" s="33">
        <f>IF(SnapshotTable[[#This Row],[SP Is Booked]], SnapshotTable[[#This Row],[SP Qty]] * SnapshotTable[[#This Row],[SP Book Price]] * 100, 0)</f>
        <v>0</v>
      </c>
      <c r="BZ393" s="369"/>
      <c r="CA393" s="368">
        <f>SnapshotTable[[#This Row],[LP Qty]]</f>
        <v>0</v>
      </c>
      <c r="CB393" s="4" t="str">
        <f>IF(SnapshotTable[[#This Row],[SP Is Booked]], SnapshotTable[[#This Row],[SP Strike Price]] - SnapshotTable[[#This Row],[SP Book Price]], "")</f>
        <v/>
      </c>
      <c r="CC393" s="19" t="str">
        <f>IF(SnapshotTable[[#This Row],[SP Is Booked]],SnapshotTable[[#This Row],[SP Exp Date]]-MAX(SnapshotTable[[#This Row],[SP Book Date]], SnapshotTable[[#This Row],[SP Fill Date]]),"")</f>
        <v/>
      </c>
      <c r="CD393" s="7" t="str">
        <f>IF(SnapshotTable[[#This Row],[SP Is Booked]], SnapshotTable[[#This Row],[SP Book Price]]/SnapshotTable[[#This Row],[SP Strike Price]], "")</f>
        <v/>
      </c>
      <c r="CE393" s="7" t="str">
        <f>IF(ISNUMBER(SnapshotTable[[#This Row],[SP ROO Term]]),SnapshotTable[[#This Row],[SP ROO Term]]*(365/SnapshotTable[[#This Row],[SP Term]]),"")</f>
        <v/>
      </c>
      <c r="CF393" s="236">
        <f>SnapshotTable[[#This Row],[LP Strike Price]] * SnapshotTable[[#This Row],[LP Qty]] * 100</f>
        <v>0</v>
      </c>
      <c r="CG393" s="31" t="e">
        <f>IF(ISNUMBER(SnapshotTable[[#This Row],[SP Premium]]), (SnapshotTable[[#This Row],[SP Qty]] * SnapshotTable[[#This Row],[SP Strike Price]]* 100) - SnapshotTable[[#This Row],[LP Protection]], 0)</f>
        <v>#VALUE!</v>
      </c>
      <c r="CH393" s="7" t="str">
        <f>IF(ISNUMBER(SnapshotTable[[#This Row],[SP Break Even]]),-1 * (SnapshotTable[[#This Row],[SP Break Even]] - SnapshotTable[[#This Row],[Last Price]]) / SnapshotTable[[#This Row],[Last Price]], "")</f>
        <v/>
      </c>
      <c r="CI393" s="31">
        <f>IF(AND(ISNUMBER((SnapshotTable[[#This Row],[SP Potential Spend]])), SnapshotTable[[#This Row],[SP Strike Price]] &gt; SnapshotTable[[#This Row],[Last Price]], SnapshotTable[[#This Row],[SP Is Filled]]), SnapshotTable[[#This Row],[SP Potential Spend]] -  SnapshotTable[[#This Row],[LP Max Value]], 0)</f>
        <v>0</v>
      </c>
      <c r="CJ393" s="244"/>
      <c r="CK393" s="31" t="str">
        <f>IF(ISNUMBER(SnapshotTable[[#This Row],[SP Potential Spend]]),IF(ISNUMBER(SnapshotTable[[#This Row],[SP POW]]), SnapshotTable[[#This Row],[SP POW]] * SnapshotTable[[#This Row],[SP Potential Spend]], SnapshotTable[[#This Row],[SP Potential Spend]]), "")</f>
        <v/>
      </c>
      <c r="CL393" s="164" t="e">
        <f>IF(NOT(SnapshotTable[[#This Row],[SP Is Filled]]),(SnapshotTable[[#This Row],[SP Qty]] * SnapshotTable[[#This Row],[SP Strike Price]] * 100) - SnapshotTable[[#This Row],[LP Max Value]],"")</f>
        <v>#VALUE!</v>
      </c>
      <c r="CM393" s="31" t="str">
        <f>IF(SnapshotTable[[#This Row],[SP Actual Spend]]&lt;&gt;0, ((SnapshotTable[[#This Row],[SP Strike Price]]-SnapshotTable[[#This Row],[Last Price]]) *(SnapshotTable[[#This Row],[SP Qty]]*100) - SnapshotTable[[#This Row],[SP Premium]]) * - 1, "")</f>
        <v/>
      </c>
      <c r="CN393" s="78"/>
      <c r="CO393" s="369"/>
      <c r="CP393" s="4" t="str">
        <f>IF(SnapshotTable[[#This Row],[SP Is Filled]], btc_max_buyback_amount(SnapshotTable[[#This Row],[SP Fill Date]],SnapshotTable[[#This Row],[SP Exp Date]], SnapshotTable[[#This Row],[SP Book Price]]),"")</f>
        <v/>
      </c>
      <c r="CQ393" s="78"/>
      <c r="CR39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3" s="155" t="str">
        <f>IF(SnapshotTable[[#This Row],[SP Is Filled]], btc_next_cutoff_date(SnapshotTable[[#This Row],[SP Fill Date]],SnapshotTable[[#This Row],[SP Exp Date]]),"")</f>
        <v/>
      </c>
      <c r="CT393" s="235" t="str" cm="1">
        <f t="array" ref="CT393">IF(SnapshotTable[[#This Row],[SP Is Filled]], btc_should_buy_back(SnapshotTable[[#This Row],[SP Fill Date]], SnapshotTable[[#This Row],[SP Exp Date]], SnapshotTable[[#This Row],[SP Book Price]], SnapshotTable[[#This Row],[SP Current Ask]], MockToday, SnapshotTable[[#This Row],[SP Buyback Override]]),"")</f>
        <v/>
      </c>
      <c r="CU393" s="143"/>
      <c r="CV393" s="235"/>
      <c r="CW393" s="378" t="str">
        <f>IF(ISNUMBER( SnapshotTable[[#This Row],[SP Term]]), SnapshotTable[[#This Row],[SP Exp Date]] - MockToday,"")</f>
        <v/>
      </c>
      <c r="CX393" s="31" t="str">
        <f>IF(SnapshotTable[[#This Row],[SP Is Filled]],SnapshotTable[[#This Row],[SP Buyback Price to Use]] * 100 * SnapshotTable[[#This Row],[SP Qty]], "")</f>
        <v/>
      </c>
      <c r="CY393" s="4" t="str">
        <f>IF(ISNUMBER(SnapshotTable[[#This Row],[SP Strike Price]]), SnapshotTable[[#This Row],[SP Strike Price]] * (1 - SP_MaxLoss_StrikePct), "")</f>
        <v/>
      </c>
      <c r="CZ393" s="31" t="str">
        <f>IF(ISNUMBER(SnapshotTable[[#This Row],[SP Strike  Stop Per Share]]),SnapshotTable[[#This Row],[SP Premium]] - ((SnapshotTable[[#This Row],[SP Strike Price]]-SnapshotTable[[#This Row],[SP Strike  Stop Per Share]]) *(SnapshotTable[[#This Row],[SP Qty]] * 100)),"")</f>
        <v/>
      </c>
      <c r="DA393" s="4" t="str">
        <f>IF(AND(ISNUMBER(SnapshotTable[[#This Row],[SP Premium]]),SnapshotTable[[#This Row],[SP Premium]]&gt;0), SnapshotTable[[#This Row],[SP Book Price]] * (1 + SP_MaxLoss_OptionPct), "")</f>
        <v/>
      </c>
      <c r="DB393" s="31" t="str">
        <f>IF(ISNUMBER(SnapshotTable[[#This Row],[SP Option  Stop Contract]]),(SnapshotTable[[#This Row],[SP Option  Stop Contract]] *(SnapshotTable[[#This Row],[SP Qty]] * 100) - SnapshotTable[[#This Row],[SP Premium]]),"")</f>
        <v/>
      </c>
      <c r="DC393" s="4"/>
      <c r="DD393" s="4"/>
      <c r="DE393" s="4" t="str">
        <f>IF(AND(SnapshotTable[[#This Row],[SP Qty]]&gt;0, SnapshotTable[[#This Row],[SP Stop To Use]]&gt;0),SnapshotTable[[#This Row],[SP Premium]] - ( SnapshotTable[[#This Row],[SP Qty]] * SnapshotTable[[#This Row],[SP Stop To Use]] * 100), "")</f>
        <v/>
      </c>
      <c r="DF393" s="31" t="str">
        <f>IF(AND(SnapshotTable[[#This Row],[SP Qty]]&gt;0,SnapshotTable[[#This Row],[SP Current Ask]]&gt;0), SnapshotTable[[#This Row],[SP Qty]] * SnapshotTable[[#This Row],[SP Current Ask]] * -100, "")</f>
        <v/>
      </c>
      <c r="DG393" s="31" t="str">
        <f>IF(ISNUMBER((SnapshotTable[[#This Row],[SP Total Value]])), SnapshotTable[[#This Row],[SP Premium]] + SnapshotTable[[#This Row],[SP Total Value]], "")</f>
        <v/>
      </c>
      <c r="DH393" s="294" t="str">
        <f>IF(ISNUMBER((SnapshotTable[[#This Row],[SP Total Value]])), SnapshotTable[[#This Row],[SP Gain Loss]] / SnapshotTable[[#This Row],[SP Premium]], "")</f>
        <v/>
      </c>
      <c r="DI393" s="406"/>
      <c r="DJ393" s="138"/>
      <c r="DK393" s="148"/>
      <c r="DL393" s="147"/>
      <c r="DM393" s="147"/>
      <c r="DO393" s="31">
        <f>IF(SnapshotTable[[#This Row],[LC Symbol Count]]=1, SnapshotTable[[#This Row],[LC Qty]] * SnapshotTable[[#This Row],[LC Book Price]] * 100, 0)</f>
        <v>0</v>
      </c>
      <c r="DP393" s="163" t="str">
        <f>IF(AND(SnapshotTable[[#This Row],[LC Exp Date]]&gt;0, SnapshotTable[[#This Row],[LC Strike Price]]&gt;0,SnapshotTable[[#This Row],[LC Qty]]&gt;0,SnapshotTable[[#This Row],[LC Book Date]]&gt;0,SnapshotTable[[#This Row],[LC Book Price]]&gt;0,SnapshotTable[[#This Row],[LC Fill Date]]=0),"Y","")</f>
        <v/>
      </c>
      <c r="DQ393" s="386" t="str">
        <f>IF(SnapshotTable[[#This Row],[LC Premium]] &gt; 0,SnapshotTable[[#This Row],[LC Exp Date]]-MAX(SnapshotTable[[#This Row],[LC Book Date]], SnapshotTable[[#This Row],[LC Fill Date]]),"")</f>
        <v/>
      </c>
      <c r="DR393" s="386" t="str">
        <f>IF(ISNUMBER(SnapshotTable[[#This Row],[LC Term]]), SnapshotTable[[#This Row],[LC Exp Date]] - MockToday, "")</f>
        <v/>
      </c>
      <c r="DS393" s="234" t="str">
        <f>IF(SnapshotTable[[#This Row],[LC Premium]]&gt;0,SnapshotTable[[#This Row],[LC Strike Price]] + SnapshotTable[[#This Row],[LC Book Price]],"")</f>
        <v/>
      </c>
      <c r="DU393" s="9" t="str">
        <f>IF(AND(SnapshotTable[[#This Row],[LC Symbol Count]]&gt;0, SnapshotTable[[#This Row],[LC Contract Value]]&gt;0), SnapshotTable[[#This Row],[LC Contract Value]] * SnapshotTable[[#This Row],[LC Qty]] * 100, "")</f>
        <v/>
      </c>
      <c r="DV393" s="9" t="str">
        <f>IF(AND(ISNUMBER(SnapshotTable[[#This Row],[LC Total Value]]), SnapshotTable[[#This Row],[LC Not Filled]]&lt;&gt;"Y"), SnapshotTable[[#This Row],[LC Total Value]]-SnapshotTable[[#This Row],[LC Premium]],"")</f>
        <v/>
      </c>
      <c r="DW393" s="240" t="str">
        <f>IF(ISNUMBER(SnapshotTable[[#This Row],[LC Actual Gain Loss]]), SnapshotTable[[#This Row],[LC Actual Gain Loss]] / SnapshotTable[[#This Row],[LC Premium]],"")</f>
        <v/>
      </c>
      <c r="DX393" s="284" t="str">
        <f>IF(ISNUMBER(SnapshotTable[[#This Row],[LC Book Price]]),SnapshotTable[[#This Row],[LC Book Price]] * 1.5,"")</f>
        <v/>
      </c>
      <c r="DY393" s="265" t="str">
        <f>IF(SnapshotTable[[#This Row],[LC Premium]]&gt;0, SnapshotTable[[#This Row],[LC Next Target]] * SnapshotTable[[#This Row],[LC Qty]] * 100,"")</f>
        <v/>
      </c>
      <c r="DZ393" s="265" t="str">
        <f>IF(ISNUMBER(SnapshotTable[[#This Row],[LC Target Gross]]), SnapshotTable[[#This Row],[LC Target Gross]] - SnapshotTable[[#This Row],[LC Premium]], "")</f>
        <v/>
      </c>
      <c r="EA393" s="305" t="str">
        <f>IF(ISNUMBER(SnapshotTable[[#This Row],[LC Target Gain Loss]]), SnapshotTable[[#This Row],[LC Target Gain Loss]]/SnapshotTable[[#This Row],[LC Premium]], "")</f>
        <v/>
      </c>
      <c r="EB393" s="262"/>
      <c r="EC393" s="283" t="str">
        <f>IF(SnapshotTable[[#This Row],[LC Premium]]&gt;0, SnapshotTable[[#This Row],[LC Book Price]] * (1 - LC_StopLoss_Pct),"")</f>
        <v/>
      </c>
      <c r="ED393" s="284"/>
      <c r="EE393" s="283" t="str">
        <f>IF(ISNUMBER(SnapshotTable[[#This Row],[LC Contract Value]]),IF(ISNUMBER(SnapshotTable[[#This Row],[LC Stop Loss Override]]), SnapshotTable[[#This Row],[LC Stop Loss Override]],SnapshotTable[[#This Row],[LC Stop Loss Calc Target]]),"")</f>
        <v/>
      </c>
      <c r="EF393" s="31" t="str">
        <f>IF(ISNUMBER(SnapshotTable[[#This Row],[LC Stop  To Use]]), (SnapshotTable[[#This Row],[LC Stop  To Use]] * SnapshotTable[[#This Row],[LC Qty]] * 100),"")</f>
        <v/>
      </c>
      <c r="EG393" s="9" t="str">
        <f>IF(ISNUMBER(SnapshotTable[[#This Row],[LC Total Value]]),SnapshotTable[[#This Row],[LC Stop Loss Amount]] - SnapshotTable[[#This Row],[LC Premium]],"")</f>
        <v/>
      </c>
      <c r="EH393" s="9">
        <f>IF(ISNUMBER(SnapshotTable[[#This Row],[LC Premium]]), SnapshotTable[[#This Row],[LC Qty]] * 100 * SnapshotTable[[#This Row],[LC Strike Price]], "")</f>
        <v>0</v>
      </c>
      <c r="EI393" s="240" t="str">
        <f>IF(AND(ISNUMBER(SnapshotTable[[#This Row],[LC Total Value]]),SnapshotTable[[#This Row],[LC Total Value]]&gt;0),SnapshotTable[[#This Row],[LC Stop Gain Loss]]  / SnapshotTable[[#This Row],[LC Premium]],"")</f>
        <v/>
      </c>
      <c r="EJ393" s="35">
        <f>IF(ISNUMBER(SnapshotTable[[#This Row],[Equity Shares]]),TRUNC(SnapshotTable[[#This Row],[Equity Shares]] / 100),0) + SnapshotTable[[#This Row],[LC Qty]]</f>
        <v>1</v>
      </c>
      <c r="EK393" s="147"/>
      <c r="EL393" s="138" t="str">
        <f>IF(SnapshotTable[[#This Row],[SC Exp Date]]&lt;&gt;"",TRUNC(SnapshotTable[[#This Row],[Last Price]]),"")</f>
        <v/>
      </c>
      <c r="EM393" s="148"/>
      <c r="EN393" s="147"/>
      <c r="EO393" s="147"/>
      <c r="EP393" s="138"/>
      <c r="EQ393" s="419" t="b">
        <f>AND(ISNUMBER(SnapshotTable[[#This Row],[SC Exp Date]]), ISNUMBER(SnapshotTable[[#This Row],[SC Strike Price]]), ISNUMBER(SnapshotTable[[#This Row],[SC Qty]]), ISNUMBER(SnapshotTable[[#This Row],[SC Book Date]]), ISNUMBER(SnapshotTable[[#This Row],[SC Book Price]]))</f>
        <v>0</v>
      </c>
      <c r="ER393" s="419" t="b">
        <f>AND(SnapshotTable[[#This Row],[SC Is Booked]], NOT(ISBLANK(SnapshotTable[[#This Row],[SC Fill Date]])))</f>
        <v>0</v>
      </c>
      <c r="ES393" s="370">
        <v>0.2</v>
      </c>
      <c r="ET393" s="34" t="str">
        <f>IF(AND(ISNUMBER(SnapshotTable[[#This Row],[SC Exp Date]]), ISNUMBER(SnapshotTable[[#This Row],[SC Book Date]])), SnapshotTable[[#This Row],[SC Exp Date]] - MAX(SnapshotTable[[#This Row],[SC Book Date]], SnapshotTable[[#This Row],[SC Fill Date]]) + 1, "")</f>
        <v/>
      </c>
      <c r="EU393" s="34" t="str">
        <f>IF(ISNUMBER(SnapshotTable[[#This Row],[SC Term]]), SnapshotTable[[#This Row],[SC Exp Date]]- MockToday, "")</f>
        <v/>
      </c>
      <c r="EV393" s="31">
        <f>IF(SnapshotTable[[#This Row],[SC Is Booked]], SnapshotTable[[#This Row],[SC Qty]] * SnapshotTable[[#This Row],[SC Book Price]] * 100, 0)</f>
        <v>0</v>
      </c>
      <c r="EW393" s="4" t="str">
        <f>IF(AND(ISNUMBER(SnapshotTable[[#This Row],[Last Price]]), ISNUMBER( SnapshotTable[[#This Row],[SC Book Price]])), SnapshotTable[[#This Row],[Last Price]] - SnapshotTable[[#This Row],[SC Book Price]],"")</f>
        <v/>
      </c>
      <c r="EX393" s="234" t="str">
        <f>IF(SnapshotTable[[#This Row],[SC Is Booked]],IF(SnapshotTable[[#This Row],[SC Intrinsic Value]] &gt; 0, SnapshotTable[[#This Row],[SC Strike Price]], SnapshotTable[[#This Row],[Last Price]]), "")</f>
        <v/>
      </c>
      <c r="EY393" s="4">
        <f>IF(SnapshotTable[[#This Row],[SC Is Booked]], (MinimumPremiumRequired * SnapshotTable[[#This Row],[SC Basis]] * SnapshotTable[[#This Row],[SC Term]]), 0)</f>
        <v>0</v>
      </c>
      <c r="EZ393" s="283"/>
      <c r="FA393" s="218"/>
      <c r="FB393" s="370"/>
      <c r="FC393" s="4">
        <f>IF(SnapshotTable[[#This Row],[SC Is Filled]], btc_max_buyback_amount(SnapshotTable[[#This Row],[SC Fill Date]],SnapshotTable[[#This Row],[SC Exp Date]], SnapshotTable[[#This Row],[SC Book Price]]),0)</f>
        <v>0</v>
      </c>
      <c r="FD393" s="5"/>
      <c r="FE393" s="144" t="str">
        <f>IF(SnapshotTable[[#This Row],[SC Is Filled]], btc_next_cutoff_date(SnapshotTable[[#This Row],[SC Fill Date]],SnapshotTable[[#This Row],[SC Exp Date]]),"")</f>
        <v/>
      </c>
      <c r="FF393" s="4" t="str" cm="1">
        <f t="array" ref="FF393">IF(SnapshotTable[[#This Row],[SC Is Filled]], btc_should_buy_back(SnapshotTable[[#This Row],[SC Fill Date]], SnapshotTable[[#This Row],[SC Exp Date]], SnapshotTable[[#This Row],[SC Book Price]], SnapshotTable[[#This Row],[SC Current Ask]], MockToday, SnapshotTable[[#This Row],[SC Buyback Override]]),"")</f>
        <v/>
      </c>
      <c r="FG393" s="4">
        <f>IF(SnapshotTable[[#This Row],[SC Is Filled]], MAX(0,SnapshotTable[[#This Row],[Last Price]]  - SnapshotTable[[#This Row],[SC Strike Price]]), 0)</f>
        <v>0</v>
      </c>
      <c r="FH393" s="382">
        <f>IF(SnapshotTable[[#This Row],[SC Is Filled]], IF(ISNUMBER(SnapshotTable[[#This Row],[SC Current Ask]]), SnapshotTable[[#This Row],[SC Current Ask]], SnapshotTable[[#This Row],[SC Book Price]]) - SnapshotTable[[#This Row],[SC Intrinsic Value]], 0)</f>
        <v>0</v>
      </c>
      <c r="FI393" s="143"/>
      <c r="FJ393" s="32" t="str">
        <f>IF(SnapshotTable[[#This Row],[SC Is Filled]],100 * SnapshotTable[[#This Row],[SC Qty]] * IF(ISNUMBER(SnapshotTable[[#This Row],[SC Buyback Override]]), SnapshotTable[[#This Row],[SC Buyback Override]], SnapshotTable[[#This Row],[SC Current Ask]]), "")</f>
        <v/>
      </c>
      <c r="FK393" s="250" t="str">
        <f>IF(SnapshotTable[[#This Row],[SC Time Val]]&gt;0, SnapshotTable[[#This Row],[SC Time Val]] / SnapshotTable[[#This Row],[Last Price]],"")</f>
        <v/>
      </c>
      <c r="FL393" s="302" t="str">
        <f>IF(SnapshotTable[[#This Row],[SC Is Booked]], ((SnapshotTable[[#This Row],[Last Price]] -SnapshotTable[[#This Row],[SC Strike Price]]) / SnapshotTable[[#This Row],[Last Price]]) * -1, "")</f>
        <v/>
      </c>
      <c r="FM393" s="157" t="str">
        <f>IF(SnapshotTable[[#This Row],[SC Is Booked]],  (SnapshotTable[[#This Row],[SC Qty]] * 100 * SnapshotTable[[#This Row],[SC Strike Price]]) - SnapshotTable[[#This Row],[SC Current Ask]], "")</f>
        <v/>
      </c>
      <c r="FN39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3" s="31" t="str">
        <f>IF(AND(ISNUMBER(SnapshotTable[[#This Row],[SC Exercise Gross]]), ISNUMBER(SnapshotTable[[#This Row],[Equity Basis Per Share]] )), SnapshotTable[[#This Row],[SC Exercise Gross]] - SnapshotTable[[#This Row],[Equity Basis Total]] +  SnapshotTable[[#This Row],[SC Premium]], "")</f>
        <v/>
      </c>
      <c r="FP393" s="5" t="str">
        <f>IF(ISNUMBER(SnapshotTable[[#This Row],[SC Exercise Gross]]), (SnapshotTable[[#This Row],[SC Exercise Gross]]) / (SnapshotTable[[#This Row],[SC Qty]] * 100), "")</f>
        <v/>
      </c>
      <c r="FQ393" s="27" t="str">
        <f>IF(SnapshotTable[[#This Row],[SC Is Booked]],SnapshotTable[[#This Row],[SC Time Val]] /SnapshotTable[[#This Row],[SC Basis]], "")</f>
        <v/>
      </c>
      <c r="FR393" s="27" t="str" cm="1">
        <f t="array" ref="FR393">IF(AND(ISNUMBER(SnapshotTable[[#This Row],[SC Term]]),ISNUMBER(SnapshotTable[[#This Row],[SC Simple ROO]])), EllmanAnnualize(SnapshotTable[[#This Row],[SC DTE]], SnapshotTable[[#This Row],[SC Simple ROO]] ),"")</f>
        <v/>
      </c>
      <c r="FS393" s="4" t="e">
        <f>IF(SnapshotTable[[#This Row],[SC Strike Price]] &gt; SnapshotTable[[#This Row],[Last Price]], SnapshotTable[[#This Row],[SC Strike Price]] - SnapshotTable[[#This Row],[Last Price]],0)</f>
        <v>#VALUE!</v>
      </c>
      <c r="FT393" s="27" t="e">
        <f>IF(AND(ISNUMBER(SnapshotTable[[#This Row],[SC Upside Potential]]), SnapshotTable[[#This Row],[SC Upside Potential]] &gt; 0),(SnapshotTable[[#This Row],[SC Upside Potential]]/ SnapshotTable[[#This Row],[ACB]]),"")</f>
        <v>#VALUE!</v>
      </c>
      <c r="FU393" s="333" t="str">
        <f>IF(SnapshotTable[[#This Row],[SC Intrinsic Value]] &gt; 0,SnapshotTable[[#This Row],[SC Intrinsic Value]],"")</f>
        <v/>
      </c>
      <c r="FV393" s="27" t="str">
        <f>IF(AND( ISNUMBER( SnapshotTable[[#This Row],[ACB]]),ISNUMBER(SnapshotTable[[#This Row],[SC Downside Protect]])),SnapshotTable[[#This Row],[SC Downside Protect]] / SnapshotTable[[#This Row],[ACB]],"")</f>
        <v/>
      </c>
      <c r="FW393" s="236" t="str">
        <f>IF(AND(ISNUMBER(SnapshotTable[[#This Row],[SC Simple ROO]]),SnapshotTable[[#This Row],[SC Simple ROO]] &gt; 0), SnapshotTable[[#This Row],[SC Premium]] + (SnapshotTable[[#This Row],[SC Qty]] * SnapshotTable[[#This Row],[SC Upside Potential]]), "")</f>
        <v/>
      </c>
      <c r="FX393" s="302" t="str" cm="1">
        <f t="array" ref="FX393">IF(ISNUMBER(SnapshotTable[[#This Row],[SC Max Dollars]]), annualize(SnapshotTable[[#This Row],[SC Term]],(SnapshotTable[[#This Row],[SC Max Dollars]]/SnapshotTable[[#This Row],[SC Basis]])),"")</f>
        <v/>
      </c>
      <c r="FY393" s="236" t="str">
        <f>IF(AND(SnapshotTable[[#This Row],[SC Qty]]&gt;0,SnapshotTable[[#This Row],[SC Current Ask]]&gt;0), SnapshotTable[[#This Row],[SC Qty]] * SnapshotTable[[#This Row],[SC Current Ask]] * -100, "")</f>
        <v/>
      </c>
      <c r="FZ393" s="31" t="str">
        <f>IF(ISNUMBER((SnapshotTable[[#This Row],[SC Current Value]])), SnapshotTable[[#This Row],[SC Premium]] + SnapshotTable[[#This Row],[SC Current Value]], "")</f>
        <v/>
      </c>
      <c r="GA393" s="294" t="str">
        <f>IFERROR( IF(ISNUMBER((SnapshotTable[[#This Row],[SC Current Value]])), SnapshotTable[[#This Row],[SC Gain Loss]] / SnapshotTable[[#This Row],[SC Premium]], ""), "")</f>
        <v/>
      </c>
      <c r="GB393" s="42">
        <f>SnapshotTable[[#This Row],[Equity Shares]] * SaleSharesToConsiderPercentage</f>
        <v>20</v>
      </c>
      <c r="GC393" s="40">
        <f>SnapshotTable[[#This Row],[Long Term Target]] * SellingPriceToConsiderBasedOnTargetPercentage</f>
        <v>0</v>
      </c>
      <c r="GD393" s="40">
        <f>SnapshotTable[[#This Row],[Last Price]] * (1+ SellingPriceToConsiderBasedOnTargetPercentage)</f>
        <v>15.209999999999999</v>
      </c>
      <c r="GE393" s="41"/>
      <c r="GF393" s="40"/>
      <c r="GG393" s="31">
        <f>SnapshotTable[[#This Row],[Booked Sale Shares]] * SnapshotTable[[#This Row],[Booked Sale Price]]</f>
        <v>0</v>
      </c>
      <c r="GH393" s="31">
        <f>IF(SnapshotTable[[#This Row],[Equity Basis Total]] &gt; 0, SnapshotTable[[#This Row],[Equity Basis Per Share]] * SnapshotTable[[#This Row],[Booked Sale Shares]], "")</f>
        <v>0</v>
      </c>
      <c r="GI393" s="31">
        <f>IF(SnapshotTable[[#This Row],[Sale Proceeds]]&gt;0, SnapshotTable[[#This Row],[Sale Proceeds]] - SnapshotTable[[#This Row],[Sale Basis]], 0)</f>
        <v>0</v>
      </c>
      <c r="GJ393" s="27" t="str">
        <f>IF(SnapshotTable[[#This Row],[Sale G/L]]&gt;0, SnapshotTable[[#This Row],[Sale G/L]] / SnapshotTable[[#This Row],[Sale Basis]], IF(ISNUMBER(SnapshotTable[[#This Row],[SC Exercise P&amp;L (TAX)]]), SnapshotTable[[#This Row],[SC Exercise P&amp;L (TAX)]] / SnapshotTable[[#This Row],[SC Basis]], ""))</f>
        <v/>
      </c>
      <c r="GK393" s="27"/>
      <c r="GL393" s="43" t="str">
        <f>IF(AND(SnapshotTable[[#This Row],[LP Exp Date]]&gt;0,SnapshotTable[[#This Row],[LP Strike Price]]&gt;0), [1]!ToOptionSymbol(SnapshotTable[[#This Row],[Symbol]], SnapshotTable[[#This Row],[LP Strike Price]],SnapshotTable[[#This Row],[LP Exp Date]],1), "")</f>
        <v/>
      </c>
      <c r="GM393" s="30" t="str">
        <f>IF(LEN(SnapshotTable[[#This Row],[LP Symbol]])&gt;0, 1, "")</f>
        <v/>
      </c>
      <c r="GN393" s="43" t="str">
        <f>IF(AND(SnapshotTable[[#This Row],[SP Exp Date]]&gt;0,SnapshotTable[[#This Row],[SP Strike Price]]&gt;0), [1]!ToOptionSymbol(SnapshotTable[[#This Row],[Symbol]], SnapshotTable[[#This Row],[SP Strike Price]],SnapshotTable[[#This Row],[SP Exp Date]],1), "")</f>
        <v/>
      </c>
      <c r="GO393" s="30" t="str">
        <f>IF(LEN(SnapshotTable[[#This Row],[SP Symbol]])&gt;0, 1, "")</f>
        <v/>
      </c>
      <c r="GP393" s="43" t="str">
        <f>IF(AND(SnapshotTable[[#This Row],[LC Exp Date]]&gt;0,SnapshotTable[[#This Row],[LC Strike Price]]&gt;0), [1]!ToOptionSymbol(SnapshotTable[[#This Row],[Symbol]], SnapshotTable[[#This Row],[LC Strike Price]],SnapshotTable[[#This Row],[LC Exp Date]],0), "")</f>
        <v/>
      </c>
      <c r="GQ393" s="30" t="str">
        <f>IF(LEN(SnapshotTable[[#This Row],[LC Symbol]])&gt;0, 1, "")</f>
        <v/>
      </c>
      <c r="GR393" s="43" t="str">
        <f>IF(AND(SnapshotTable[[#This Row],[SC Exp Date]]&gt;0,SnapshotTable[[#This Row],[SC Strike Price]]&gt;0), [1]!ToOptionSymbol(SnapshotTable[[#This Row],[Symbol]], SnapshotTable[[#This Row],[SC Strike Price]],SnapshotTable[[#This Row],[SC Exp Date]],0), "")</f>
        <v/>
      </c>
      <c r="GS393" s="30" t="str">
        <f>IF(LEN(SnapshotTable[[#This Row],[SC Symbol]])&gt;0, 1, "")</f>
        <v/>
      </c>
      <c r="GT393" s="29" t="str">
        <f>IF(COUNT(SnapshotTable[[#This Row],[LP Symbol Count]],SnapshotTable[[#This Row],[SP Symbol Count]],SnapshotTable[[#This Row],[LC Symbol Count]],SnapshotTable[[#This Row],[SC Symbol Count]])&gt;0, "Y", "")</f>
        <v/>
      </c>
      <c r="GU39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93" s="231" t="e">
        <f>MAX(SnapshotTable[[#This Row],[Equity Basis Total]],SnapshotTable[[#This Row],[Equity Value]]) + (SnapshotTable[[#This Row],[SP Potential Spend]]- SnapshotTable[[#This Row],[SP Premium]] + SnapshotTable[[#This Row],[LP Premium]])+ (SnapshotTable[[#This Row],[LC Premium]] - SnapshotTable[[#This Row],[SC Premium]])</f>
        <v>#VALUE!</v>
      </c>
      <c r="GW393" s="139" t="e">
        <f>IF(AND(SnapshotTable[[#This Row],[Exposure]] &lt;&gt; 0),SnapshotTable[[#This Row],[Exposure]] / SnapshotTable[[#Totals],[Exposure]], "")</f>
        <v>#VALUE!</v>
      </c>
      <c r="HK393" s="1"/>
      <c r="HL393" s="1"/>
      <c r="HM393" s="1"/>
      <c r="HN393" s="1"/>
      <c r="HO393" s="1"/>
      <c r="HP393" s="1"/>
    </row>
    <row r="394" spans="2:224" s="197" customFormat="1" ht="12.75" hidden="1" customHeight="1" x14ac:dyDescent="0.25">
      <c r="B394" s="12" t="s">
        <v>1190</v>
      </c>
      <c r="C394" s="422">
        <v>18.46</v>
      </c>
      <c r="D394" s="208"/>
      <c r="E394" s="39">
        <f>SnapshotTable[[#This Row],[Last Price]]*(1 -CrashDiscount)</f>
        <v>15.691000000000001</v>
      </c>
      <c r="F394" s="26" t="s">
        <v>937</v>
      </c>
      <c r="G394" s="26" t="s">
        <v>4</v>
      </c>
      <c r="H394" s="149"/>
      <c r="I394" s="194">
        <v>45743</v>
      </c>
      <c r="J394" s="195"/>
      <c r="K394" s="196"/>
      <c r="L394" s="326"/>
      <c r="M394" s="140"/>
      <c r="N394" s="140"/>
      <c r="O394" s="140"/>
      <c r="P394" s="22">
        <v>100</v>
      </c>
      <c r="Q394" s="25">
        <v>742.99</v>
      </c>
      <c r="R394" s="4">
        <f>IF(SnapshotTable[[#This Row],[Equity Basis Total]] &gt; 0, SnapshotTable[[#This Row],[Equity Basis Total]] / SnapshotTable[[#This Row],[Equity Shares]], "")</f>
        <v>7.4298999999999999</v>
      </c>
      <c r="S394" s="269">
        <f>SnapshotTable[[#This Row],[Last Price]] * SnapshotTable[[#This Row],[Equity Shares]]</f>
        <v>1846</v>
      </c>
      <c r="T394" s="269">
        <f>SnapshotTable[[#This Row],[Equity Value]] - SnapshotTable[[#This Row],[Equity Basis Total]]</f>
        <v>1103.01</v>
      </c>
      <c r="U394" s="270">
        <f>IF(SnapshotTable[[#This Row],[Equity Basis Total]] &gt; 0, SnapshotTable[[#This Row],[Equity G/L]] / SnapshotTable[[#This Row],[Equity Basis Total]], "")</f>
        <v>1.4845556467785568</v>
      </c>
      <c r="V394" s="268">
        <v>9.5</v>
      </c>
      <c r="W394" s="268">
        <v>6</v>
      </c>
      <c r="X394" s="4">
        <f>IF(AND(ISNUMBER(SnapshotTable[[#This Row],[Equity Basis Per Share]]),ISNUMBER(SnapshotTable[[#This Row],[Equity Target]])),SnapshotTable[[#This Row],[Equity Target]]-SnapshotTable[[#This Row],[Equity Basis Per Share]],"")</f>
        <v>2.0701000000000001</v>
      </c>
      <c r="Y394" s="4">
        <f>IF(AND(ISNUMBER(SnapshotTable[[#This Row],[Equity Basis Per Share]]),ISNUMBER(SnapshotTable[[#This Row],[Equity Stop Loss]])),SnapshotTable[[#This Row],[Equity Stop Loss]]-SnapshotTable[[#This Row],[Equity Basis Per Share]],"")</f>
        <v>-1.4298999999999999</v>
      </c>
      <c r="Z394" s="275" t="str">
        <f>IFERROR( TEXT(SnapshotTable[[#This Row],[Equity Max Gain Per Share]] /ABS( SnapshotTable[[#This Row],[Equity Max Loss Per Share]]),"0.0 " ) &amp; " : 1", "")</f>
        <v>1.4  : 1</v>
      </c>
      <c r="AA394" s="31">
        <f>IF(ISNUMBER(SnapshotTable[[#This Row],[Equity Max Gain Per Share]]),SnapshotTable[[#This Row],[Equity Max Gain Per Share]] * SnapshotTable[[#This Row],[Equity Shares]],"")</f>
        <v>207.01</v>
      </c>
      <c r="AB394" s="31">
        <f>IF(ISNUMBER(SnapshotTable[[#This Row],[Equity Max Loss Per Share]]),SnapshotTable[[#This Row],[Equity Max Loss Per Share]] * SnapshotTable[[#This Row],[Equity Shares]],"")</f>
        <v>-142.99</v>
      </c>
      <c r="AC394" s="150"/>
      <c r="AD394" s="151"/>
      <c r="AE394" s="31">
        <f>(SnapshotTable[[#This Row],[Annual Dividend Per Share]] / 4) * SnapshotTable[[#This Row],[Equity Shares]]</f>
        <v>0</v>
      </c>
      <c r="AF394" s="31">
        <f>SnapshotTable[[#This Row],[Quarterly Div $]] * 4</f>
        <v>0</v>
      </c>
      <c r="AG394" s="7">
        <f>IF(SnapshotTable[[#This Row],[Annual Dividend Per Share]]&gt;0, SnapshotTable[[#This Row],[Annual Dividend Per Share]]  / SnapshotTable[[#This Row],[Last Price]], 0)</f>
        <v>0</v>
      </c>
      <c r="AH394" s="151"/>
      <c r="AI394" s="5"/>
      <c r="AJ394" s="138"/>
      <c r="AK394" s="152" t="str">
        <f>IF(ISNUMBER( SnapshotTable[[#This Row],[EBF Target]]),(SnapshotTable[[#This Row],[EBF Target]] - SnapshotTable[[#This Row],[Last Price]]) / SnapshotTable[[#This Row],[Last Price]], "")</f>
        <v/>
      </c>
      <c r="AL394" s="152" t="str">
        <f>IF(AND(SnapshotTable[[#This Row],[Equity Basis Total]] &gt; 0,ISNUMBER( SnapshotTable[[#This Row],[Long Term Target]])), SnapshotTable[[#This Row],[From Basis $]] / SnapshotTable[[#This Row],[Equity Basis Total]], "")</f>
        <v/>
      </c>
      <c r="AM394" s="9">
        <f>IF( AND(SnapshotTable[[#This Row],[Equity Shares]] &gt;0,ISNUMBER( SnapshotTable[[#This Row],[Long Term Target]])),(SnapshotTable[[#This Row],[Equity Shares]] * SnapshotTable[[#This Row],[Long Term Target]]) - SnapshotTable[[#This Row],[Equity Basis Total]],0)</f>
        <v>0</v>
      </c>
      <c r="AN394" s="9">
        <f>IF( AND(SnapshotTable[[#This Row],[Equity Shares]] &gt;0,ISNUMBER( SnapshotTable[[#This Row],[Long Term Target]])),(SnapshotTable[[#This Row],[Equity Shares]]*SnapshotTable[[#This Row],[Long Term Target]]) - SnapshotTable[[#This Row],[Equity Value]],0)</f>
        <v>0</v>
      </c>
      <c r="AO394" s="152" t="str">
        <f>IF(AND(ISNUMBER( SnapshotTable[[#This Row],[Long Term Target]]), ISNUMBER(SnapshotTable[[#This Row],[Last Price]])),(SnapshotTable[[#This Row],[Long Term Target]] - SnapshotTable[[#This Row],[Last Price]]) / SnapshotTable[[#This Row],[Last Price]], "")</f>
        <v/>
      </c>
      <c r="AP394" s="5"/>
      <c r="AQ394" s="38" t="s">
        <v>38</v>
      </c>
      <c r="AR394" s="5"/>
      <c r="AS394" s="38" t="s">
        <v>26</v>
      </c>
      <c r="AT394" s="389" t="s">
        <v>1132</v>
      </c>
      <c r="AU394" s="187" t="str">
        <f>IF(OR(SnapshotTable[[#This Row],[LP No Fill]]="Y",SnapshotTable[[#This Row],[SP Is Filled]],SnapshotTable[[#This Row],[LC Not Filled]]="Y",SnapshotTable[[#This Row],[SC Is Filled]]),"Y","")</f>
        <v/>
      </c>
      <c r="AV394" s="219" t="s">
        <v>1138</v>
      </c>
      <c r="AW394" s="225"/>
      <c r="AX394" s="220"/>
      <c r="AY394" s="219" t="str">
        <f>IF(SnapshotTable[[#This Row],[Implied Move]]&gt;0, SnapshotTable[[#This Row],[Last Price]]-SnapshotTable[[#This Row],[Implied Move]],"")</f>
        <v/>
      </c>
      <c r="AZ394" s="219" t="str">
        <f>IF(SnapshotTable[[#This Row],[Implied Move]]&gt;0, SnapshotTable[[#This Row],[Last Price]] + SnapshotTable[[#This Row],[Implied Move]],"")</f>
        <v/>
      </c>
      <c r="BA394" s="331">
        <v>6.18</v>
      </c>
      <c r="BB394" s="347"/>
      <c r="BC39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4" s="351"/>
      <c r="BE394" s="5"/>
      <c r="BF394" s="14"/>
      <c r="BG394" s="13"/>
      <c r="BH394" s="13"/>
      <c r="BI394" s="5"/>
      <c r="BJ394" s="136">
        <f>IF(SnapshotTable[[#This Row],[LP Qty]] &gt; 0, SnapshotTable[[#This Row],[LP Qty]] * SnapshotTable[[#This Row],[LP Book Price]] * 100,0)</f>
        <v>0</v>
      </c>
      <c r="BK394" s="136">
        <f>IF(SnapshotTable[[#This Row],[LP Premium]] &gt; 0, SnapshotTable[[#This Row],[LP Qty]] * SnapshotTable[[#This Row],[LP Strike Price]] * 100,0)</f>
        <v>0</v>
      </c>
      <c r="BL394" s="154"/>
      <c r="BM394" s="385" t="str">
        <f>IF(SnapshotTable[[#This Row],[LP Premium]] &gt; 0,SnapshotTable[[#This Row],[LP Exp Date]]-MAX(SnapshotTable[[#This Row],[LP Book Date]], SnapshotTable[[#This Row],[LP Fill Date]]),"")</f>
        <v/>
      </c>
      <c r="BN394" s="385" t="str">
        <f>IF(ISNUMBER( SnapshotTable[[#This Row],[LP Term]]), SnapshotTable[[#This Row],[LP Exp Date]] - MockToday,"")</f>
        <v/>
      </c>
      <c r="BO394" s="163" t="str">
        <f>IF(AND(SnapshotTable[[#This Row],[LP Exp Date]]&gt;0, SnapshotTable[[#This Row],[LP Strike Price]]&gt;0,SnapshotTable[[#This Row],[LP Qty]]&gt;0,SnapshotTable[[#This Row],[LP Book Date]]&gt;0,SnapshotTable[[#This Row],[LP Book Price]]&gt;0,SnapshotTable[[#This Row],[LP Fill Date]]=0),"Y","")</f>
        <v/>
      </c>
      <c r="BP394" s="31" t="str">
        <f>IF(AND(SnapshotTable[[#This Row],[LP No Fill]]&lt;&gt;"Y",SnapshotTable[[#This Row],[LP Contract Value]]&gt;0, SnapshotTable[[#This Row],[LP Qty]]&gt;0), SnapshotTable[[#This Row],[LP Contract Value]]*SnapshotTable[[#This Row],[LP Qty]]*100,"")</f>
        <v/>
      </c>
      <c r="BQ394" s="13"/>
      <c r="BR394" s="5" t="str">
        <f>IF(SnapshotTable[[#This Row],[SP Exp Date]]&lt;&gt;"",TRUNC(SnapshotTable[[#This Row],[Last Price]]),"")</f>
        <v/>
      </c>
      <c r="BS394" s="36"/>
      <c r="BT394" s="147"/>
      <c r="BU394" s="13"/>
      <c r="BV394" s="5"/>
      <c r="BW394" s="419" t="b">
        <f>AND(ISNUMBER(SnapshotTable[[#This Row],[SP Exp Date]]), ISNUMBER(SnapshotTable[[#This Row],[SP Strike Price]]), ISNUMBER(SnapshotTable[[#This Row],[SP Qty]]), ISNUMBER(SnapshotTable[[#This Row],[SP Book Date]]), ISNUMBER(SnapshotTable[[#This Row],[SP Book Price]]))</f>
        <v>0</v>
      </c>
      <c r="BX394" s="419" t="b">
        <f>AND(SnapshotTable[[#This Row],[SP Is Booked]], NOT(ISBLANK(SnapshotTable[[#This Row],[SP Fill Date]])))</f>
        <v>0</v>
      </c>
      <c r="BY394" s="33">
        <f>IF(SnapshotTable[[#This Row],[SP Is Booked]], SnapshotTable[[#This Row],[SP Qty]] * SnapshotTable[[#This Row],[SP Book Price]] * 100, 0)</f>
        <v>0</v>
      </c>
      <c r="BZ394" s="369"/>
      <c r="CA394" s="368">
        <f>SnapshotTable[[#This Row],[LP Qty]]</f>
        <v>0</v>
      </c>
      <c r="CB394" s="4" t="str">
        <f>IF(SnapshotTable[[#This Row],[SP Is Booked]], SnapshotTable[[#This Row],[SP Strike Price]] - SnapshotTable[[#This Row],[SP Book Price]], "")</f>
        <v/>
      </c>
      <c r="CC394" s="19" t="str">
        <f>IF(SnapshotTable[[#This Row],[SP Is Booked]],SnapshotTable[[#This Row],[SP Exp Date]]-MAX(SnapshotTable[[#This Row],[SP Book Date]], SnapshotTable[[#This Row],[SP Fill Date]]),"")</f>
        <v/>
      </c>
      <c r="CD394" s="7" t="str">
        <f>IF(SnapshotTable[[#This Row],[SP Is Booked]], SnapshotTable[[#This Row],[SP Book Price]]/SnapshotTable[[#This Row],[SP Strike Price]], "")</f>
        <v/>
      </c>
      <c r="CE394" s="7" t="str">
        <f>IF(ISNUMBER(SnapshotTable[[#This Row],[SP ROO Term]]),SnapshotTable[[#This Row],[SP ROO Term]]*(365/SnapshotTable[[#This Row],[SP Term]]),"")</f>
        <v/>
      </c>
      <c r="CF394" s="236">
        <f>SnapshotTable[[#This Row],[LP Strike Price]] * SnapshotTable[[#This Row],[LP Qty]] * 100</f>
        <v>0</v>
      </c>
      <c r="CG394" s="31" t="e">
        <f>IF(ISNUMBER(SnapshotTable[[#This Row],[SP Premium]]), (SnapshotTable[[#This Row],[SP Qty]] * SnapshotTable[[#This Row],[SP Strike Price]]* 100) - SnapshotTable[[#This Row],[LP Protection]], 0)</f>
        <v>#VALUE!</v>
      </c>
      <c r="CH394" s="7" t="str">
        <f>IF(ISNUMBER(SnapshotTable[[#This Row],[SP Break Even]]),-1 * (SnapshotTable[[#This Row],[SP Break Even]] - SnapshotTable[[#This Row],[Last Price]]) / SnapshotTable[[#This Row],[Last Price]], "")</f>
        <v/>
      </c>
      <c r="CI394" s="31">
        <f>IF(AND(ISNUMBER((SnapshotTable[[#This Row],[SP Potential Spend]])), SnapshotTable[[#This Row],[SP Strike Price]] &gt; SnapshotTable[[#This Row],[Last Price]], SnapshotTable[[#This Row],[SP Is Filled]]), SnapshotTable[[#This Row],[SP Potential Spend]] -  SnapshotTable[[#This Row],[LP Max Value]], 0)</f>
        <v>0</v>
      </c>
      <c r="CJ394" s="244"/>
      <c r="CK394" s="31" t="str">
        <f>IF(ISNUMBER(SnapshotTable[[#This Row],[SP Potential Spend]]),IF(ISNUMBER(SnapshotTable[[#This Row],[SP POW]]), SnapshotTable[[#This Row],[SP POW]] * SnapshotTable[[#This Row],[SP Potential Spend]], SnapshotTable[[#This Row],[SP Potential Spend]]), "")</f>
        <v/>
      </c>
      <c r="CL394" s="164" t="e">
        <f>IF(NOT(SnapshotTable[[#This Row],[SP Is Filled]]),(SnapshotTable[[#This Row],[SP Qty]] * SnapshotTable[[#This Row],[SP Strike Price]] * 100) - SnapshotTable[[#This Row],[LP Max Value]],"")</f>
        <v>#VALUE!</v>
      </c>
      <c r="CM394" s="31" t="str">
        <f>IF(SnapshotTable[[#This Row],[SP Actual Spend]]&lt;&gt;0, ((SnapshotTable[[#This Row],[SP Strike Price]]-SnapshotTable[[#This Row],[Last Price]]) *(SnapshotTable[[#This Row],[SP Qty]]*100) - SnapshotTable[[#This Row],[SP Premium]]) * - 1, "")</f>
        <v/>
      </c>
      <c r="CN394" s="78"/>
      <c r="CO394" s="369"/>
      <c r="CP394" s="4" t="str">
        <f>IF(SnapshotTable[[#This Row],[SP Is Filled]], btc_max_buyback_amount(SnapshotTable[[#This Row],[SP Fill Date]],SnapshotTable[[#This Row],[SP Exp Date]], SnapshotTable[[#This Row],[SP Book Price]]),"")</f>
        <v/>
      </c>
      <c r="CQ394" s="78"/>
      <c r="CR39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4" s="155" t="str">
        <f>IF(SnapshotTable[[#This Row],[SP Is Filled]], btc_next_cutoff_date(SnapshotTable[[#This Row],[SP Fill Date]],SnapshotTable[[#This Row],[SP Exp Date]]),"")</f>
        <v/>
      </c>
      <c r="CT394" s="235" t="str" cm="1">
        <f t="array" ref="CT394">IF(SnapshotTable[[#This Row],[SP Is Filled]], btc_should_buy_back(SnapshotTable[[#This Row],[SP Fill Date]], SnapshotTable[[#This Row],[SP Exp Date]], SnapshotTable[[#This Row],[SP Book Price]], SnapshotTable[[#This Row],[SP Current Ask]], MockToday, SnapshotTable[[#This Row],[SP Buyback Override]]),"")</f>
        <v/>
      </c>
      <c r="CU394" s="143"/>
      <c r="CV394" s="235"/>
      <c r="CW394" s="378" t="str">
        <f>IF(ISNUMBER( SnapshotTable[[#This Row],[SP Term]]), SnapshotTable[[#This Row],[SP Exp Date]] - MockToday,"")</f>
        <v/>
      </c>
      <c r="CX394" s="31" t="str">
        <f>IF(SnapshotTable[[#This Row],[SP Is Filled]],SnapshotTable[[#This Row],[SP Buyback Price to Use]] * 100 * SnapshotTable[[#This Row],[SP Qty]], "")</f>
        <v/>
      </c>
      <c r="CY394" s="4" t="str">
        <f>IF(ISNUMBER(SnapshotTable[[#This Row],[SP Strike Price]]), SnapshotTable[[#This Row],[SP Strike Price]] * (1 - SP_MaxLoss_StrikePct), "")</f>
        <v/>
      </c>
      <c r="CZ394" s="31" t="str">
        <f>IF(ISNUMBER(SnapshotTable[[#This Row],[SP Strike  Stop Per Share]]),SnapshotTable[[#This Row],[SP Premium]] - ((SnapshotTable[[#This Row],[SP Strike Price]]-SnapshotTable[[#This Row],[SP Strike  Stop Per Share]]) *(SnapshotTable[[#This Row],[SP Qty]] * 100)),"")</f>
        <v/>
      </c>
      <c r="DA394" s="4" t="str">
        <f>IF(AND(ISNUMBER(SnapshotTable[[#This Row],[SP Premium]]),SnapshotTable[[#This Row],[SP Premium]]&gt;0), SnapshotTable[[#This Row],[SP Book Price]] * (1 + SP_MaxLoss_OptionPct), "")</f>
        <v/>
      </c>
      <c r="DB394" s="31" t="str">
        <f>IF(ISNUMBER(SnapshotTable[[#This Row],[SP Option  Stop Contract]]),(SnapshotTable[[#This Row],[SP Option  Stop Contract]] *(SnapshotTable[[#This Row],[SP Qty]] * 100) - SnapshotTable[[#This Row],[SP Premium]]),"")</f>
        <v/>
      </c>
      <c r="DC394" s="4"/>
      <c r="DD394" s="4"/>
      <c r="DE394" s="4" t="str">
        <f>IF(AND(SnapshotTable[[#This Row],[SP Qty]]&gt;0, SnapshotTable[[#This Row],[SP Stop To Use]]&gt;0),SnapshotTable[[#This Row],[SP Premium]] - ( SnapshotTable[[#This Row],[SP Qty]] * SnapshotTable[[#This Row],[SP Stop To Use]] * 100), "")</f>
        <v/>
      </c>
      <c r="DF394" s="31" t="str">
        <f>IF(AND(SnapshotTable[[#This Row],[SP Qty]]&gt;0,SnapshotTable[[#This Row],[SP Current Ask]]&gt;0), SnapshotTable[[#This Row],[SP Qty]] * SnapshotTable[[#This Row],[SP Current Ask]] * -100, "")</f>
        <v/>
      </c>
      <c r="DG394" s="31" t="str">
        <f>IF(ISNUMBER((SnapshotTable[[#This Row],[SP Total Value]])), SnapshotTable[[#This Row],[SP Premium]] + SnapshotTable[[#This Row],[SP Total Value]], "")</f>
        <v/>
      </c>
      <c r="DH394" s="294" t="str">
        <f>IF(ISNUMBER((SnapshotTable[[#This Row],[SP Total Value]])), SnapshotTable[[#This Row],[SP Gain Loss]] / SnapshotTable[[#This Row],[SP Premium]], "")</f>
        <v/>
      </c>
      <c r="DI394" s="406"/>
      <c r="DJ394" s="138"/>
      <c r="DK394" s="148"/>
      <c r="DL394" s="13"/>
      <c r="DM394" s="13"/>
      <c r="DN394" s="5"/>
      <c r="DO394" s="31">
        <f>IF(SnapshotTable[[#This Row],[LC Symbol Count]]=1, SnapshotTable[[#This Row],[LC Qty]] * SnapshotTable[[#This Row],[LC Book Price]] * 100, 0)</f>
        <v>0</v>
      </c>
      <c r="DP394" s="163" t="str">
        <f>IF(AND(SnapshotTable[[#This Row],[LC Exp Date]]&gt;0, SnapshotTable[[#This Row],[LC Strike Price]]&gt;0,SnapshotTable[[#This Row],[LC Qty]]&gt;0,SnapshotTable[[#This Row],[LC Book Date]]&gt;0,SnapshotTable[[#This Row],[LC Book Price]]&gt;0,SnapshotTable[[#This Row],[LC Fill Date]]=0),"Y","")</f>
        <v/>
      </c>
      <c r="DQ394" s="386" t="str">
        <f>IF(SnapshotTable[[#This Row],[LC Premium]] &gt; 0,SnapshotTable[[#This Row],[LC Exp Date]]-MAX(SnapshotTable[[#This Row],[LC Book Date]], SnapshotTable[[#This Row],[LC Fill Date]]),"")</f>
        <v/>
      </c>
      <c r="DR394" s="386" t="str">
        <f>IF(ISNUMBER(SnapshotTable[[#This Row],[LC Term]]), SnapshotTable[[#This Row],[LC Exp Date]] - MockToday, "")</f>
        <v/>
      </c>
      <c r="DS394" s="234" t="str">
        <f>IF(SnapshotTable[[#This Row],[LC Premium]]&gt;0,SnapshotTable[[#This Row],[LC Strike Price]] + SnapshotTable[[#This Row],[LC Book Price]],"")</f>
        <v/>
      </c>
      <c r="DT394" s="5"/>
      <c r="DU394" s="9" t="str">
        <f>IF(AND(SnapshotTable[[#This Row],[LC Symbol Count]]&gt;0, SnapshotTable[[#This Row],[LC Contract Value]]&gt;0), SnapshotTable[[#This Row],[LC Contract Value]] * SnapshotTable[[#This Row],[LC Qty]] * 100, "")</f>
        <v/>
      </c>
      <c r="DV394" s="9" t="str">
        <f>IF(AND(ISNUMBER(SnapshotTable[[#This Row],[LC Total Value]]), SnapshotTable[[#This Row],[LC Not Filled]]&lt;&gt;"Y"), SnapshotTable[[#This Row],[LC Total Value]]-SnapshotTable[[#This Row],[LC Premium]],"")</f>
        <v/>
      </c>
      <c r="DW394" s="240" t="str">
        <f>IF(ISNUMBER(SnapshotTable[[#This Row],[LC Actual Gain Loss]]), SnapshotTable[[#This Row],[LC Actual Gain Loss]] / SnapshotTable[[#This Row],[LC Premium]],"")</f>
        <v/>
      </c>
      <c r="DX394" s="284" t="str">
        <f>IF(ISNUMBER(SnapshotTable[[#This Row],[LC Book Price]]),SnapshotTable[[#This Row],[LC Book Price]] * 1.5,"")</f>
        <v/>
      </c>
      <c r="DY394" s="265" t="str">
        <f>IF(SnapshotTable[[#This Row],[LC Premium]]&gt;0, SnapshotTable[[#This Row],[LC Next Target]] * SnapshotTable[[#This Row],[LC Qty]] * 100,"")</f>
        <v/>
      </c>
      <c r="DZ394" s="265" t="str">
        <f>IF(ISNUMBER(SnapshotTable[[#This Row],[LC Target Gross]]), SnapshotTable[[#This Row],[LC Target Gross]] - SnapshotTable[[#This Row],[LC Premium]], "")</f>
        <v/>
      </c>
      <c r="EA394" s="305" t="str">
        <f>IF(ISNUMBER(SnapshotTable[[#This Row],[LC Target Gain Loss]]), SnapshotTable[[#This Row],[LC Target Gain Loss]]/SnapshotTable[[#This Row],[LC Premium]], "")</f>
        <v/>
      </c>
      <c r="EB394" s="262"/>
      <c r="EC394" s="283" t="str">
        <f>IF(SnapshotTable[[#This Row],[LC Premium]]&gt;0, SnapshotTable[[#This Row],[LC Book Price]] * (1 - LC_StopLoss_Pct),"")</f>
        <v/>
      </c>
      <c r="ED394" s="284"/>
      <c r="EE394" s="283" t="str">
        <f>IF(ISNUMBER(SnapshotTable[[#This Row],[LC Contract Value]]),IF(ISNUMBER(SnapshotTable[[#This Row],[LC Stop Loss Override]]), SnapshotTable[[#This Row],[LC Stop Loss Override]],SnapshotTable[[#This Row],[LC Stop Loss Calc Target]]),"")</f>
        <v/>
      </c>
      <c r="EF394" s="31" t="str">
        <f>IF(ISNUMBER(SnapshotTable[[#This Row],[LC Stop  To Use]]), (SnapshotTable[[#This Row],[LC Stop  To Use]] * SnapshotTable[[#This Row],[LC Qty]] * 100),"")</f>
        <v/>
      </c>
      <c r="EG394" s="9" t="str">
        <f>IF(ISNUMBER(SnapshotTable[[#This Row],[LC Total Value]]),SnapshotTable[[#This Row],[LC Stop Loss Amount]] - SnapshotTable[[#This Row],[LC Premium]],"")</f>
        <v/>
      </c>
      <c r="EH394" s="9">
        <f>IF(ISNUMBER(SnapshotTable[[#This Row],[LC Premium]]), SnapshotTable[[#This Row],[LC Qty]] * 100 * SnapshotTable[[#This Row],[LC Strike Price]], "")</f>
        <v>0</v>
      </c>
      <c r="EI394" s="240" t="str">
        <f>IF(AND(ISNUMBER(SnapshotTable[[#This Row],[LC Total Value]]),SnapshotTable[[#This Row],[LC Total Value]]&gt;0),SnapshotTable[[#This Row],[LC Stop Gain Loss]]  / SnapshotTable[[#This Row],[LC Premium]],"")</f>
        <v/>
      </c>
      <c r="EJ394" s="35">
        <f>IF(ISNUMBER(SnapshotTable[[#This Row],[Equity Shares]]),TRUNC(SnapshotTable[[#This Row],[Equity Shares]] / 100),0) + SnapshotTable[[#This Row],[LC Qty]]</f>
        <v>1</v>
      </c>
      <c r="EK394" s="147"/>
      <c r="EL394" s="138" t="str">
        <f>IF(SnapshotTable[[#This Row],[SC Exp Date]]&lt;&gt;"",TRUNC(SnapshotTable[[#This Row],[Last Price]]),"")</f>
        <v/>
      </c>
      <c r="EM394" s="148"/>
      <c r="EN394" s="147"/>
      <c r="EO394" s="147"/>
      <c r="EP394" s="138"/>
      <c r="EQ394" s="419" t="b">
        <f>AND(ISNUMBER(SnapshotTable[[#This Row],[SC Exp Date]]), ISNUMBER(SnapshotTable[[#This Row],[SC Strike Price]]), ISNUMBER(SnapshotTable[[#This Row],[SC Qty]]), ISNUMBER(SnapshotTable[[#This Row],[SC Book Date]]), ISNUMBER(SnapshotTable[[#This Row],[SC Book Price]]))</f>
        <v>0</v>
      </c>
      <c r="ER394" s="419" t="b">
        <f>AND(SnapshotTable[[#This Row],[SC Is Booked]], NOT(ISBLANK(SnapshotTable[[#This Row],[SC Fill Date]])))</f>
        <v>0</v>
      </c>
      <c r="ES394" s="370"/>
      <c r="ET394" s="34" t="str">
        <f>IF(AND(ISNUMBER(SnapshotTable[[#This Row],[SC Exp Date]]), ISNUMBER(SnapshotTable[[#This Row],[SC Book Date]])), SnapshotTable[[#This Row],[SC Exp Date]] - MAX(SnapshotTable[[#This Row],[SC Book Date]], SnapshotTable[[#This Row],[SC Fill Date]]) + 1, "")</f>
        <v/>
      </c>
      <c r="EU394" s="34" t="str">
        <f>IF(ISNUMBER(SnapshotTable[[#This Row],[SC Term]]), SnapshotTable[[#This Row],[SC Exp Date]]- MockToday, "")</f>
        <v/>
      </c>
      <c r="EV394" s="31">
        <f>IF(SnapshotTable[[#This Row],[SC Is Booked]], SnapshotTable[[#This Row],[SC Qty]] * SnapshotTable[[#This Row],[SC Book Price]] * 100, 0)</f>
        <v>0</v>
      </c>
      <c r="EW394" s="4" t="str">
        <f>IF(AND(ISNUMBER(SnapshotTable[[#This Row],[Last Price]]), ISNUMBER( SnapshotTable[[#This Row],[SC Book Price]])), SnapshotTable[[#This Row],[Last Price]] - SnapshotTable[[#This Row],[SC Book Price]],"")</f>
        <v/>
      </c>
      <c r="EX394" s="234" t="str">
        <f>IF(SnapshotTable[[#This Row],[SC Is Booked]],IF(SnapshotTable[[#This Row],[SC Intrinsic Value]] &gt; 0, SnapshotTable[[#This Row],[SC Strike Price]], SnapshotTable[[#This Row],[Last Price]]), "")</f>
        <v/>
      </c>
      <c r="EY394" s="4">
        <f>IF(SnapshotTable[[#This Row],[SC Is Booked]], (MinimumPremiumRequired * SnapshotTable[[#This Row],[SC Basis]] * SnapshotTable[[#This Row],[SC Term]]), 0)</f>
        <v>0</v>
      </c>
      <c r="EZ394" s="283"/>
      <c r="FA394" s="218"/>
      <c r="FB394" s="370"/>
      <c r="FC394" s="4">
        <f>IF(SnapshotTable[[#This Row],[SC Is Filled]], btc_max_buyback_amount(SnapshotTable[[#This Row],[SC Fill Date]],SnapshotTable[[#This Row],[SC Exp Date]], SnapshotTable[[#This Row],[SC Book Price]]),0)</f>
        <v>0</v>
      </c>
      <c r="FD394" s="5"/>
      <c r="FE394" s="144" t="str">
        <f>IF(SnapshotTable[[#This Row],[SC Is Filled]], btc_next_cutoff_date(SnapshotTable[[#This Row],[SC Fill Date]],SnapshotTable[[#This Row],[SC Exp Date]]),"")</f>
        <v/>
      </c>
      <c r="FF394" s="4" t="str" cm="1">
        <f t="array" ref="FF394">IF(SnapshotTable[[#This Row],[SC Is Filled]], btc_should_buy_back(SnapshotTable[[#This Row],[SC Fill Date]], SnapshotTable[[#This Row],[SC Exp Date]], SnapshotTable[[#This Row],[SC Book Price]], SnapshotTable[[#This Row],[SC Current Ask]], MockToday, SnapshotTable[[#This Row],[SC Buyback Override]]),"")</f>
        <v/>
      </c>
      <c r="FG394" s="4">
        <f>IF(SnapshotTable[[#This Row],[SC Is Filled]], MAX(0,SnapshotTable[[#This Row],[Last Price]]  - SnapshotTable[[#This Row],[SC Strike Price]]), 0)</f>
        <v>0</v>
      </c>
      <c r="FH394" s="382">
        <f>IF(SnapshotTable[[#This Row],[SC Is Filled]], IF(ISNUMBER(SnapshotTable[[#This Row],[SC Current Ask]]), SnapshotTable[[#This Row],[SC Current Ask]], SnapshotTable[[#This Row],[SC Book Price]]) - SnapshotTable[[#This Row],[SC Intrinsic Value]], 0)</f>
        <v>0</v>
      </c>
      <c r="FI394" s="143"/>
      <c r="FJ394" s="32" t="str">
        <f>IF(SnapshotTable[[#This Row],[SC Is Filled]],100 * SnapshotTable[[#This Row],[SC Qty]] * IF(ISNUMBER(SnapshotTable[[#This Row],[SC Buyback Override]]), SnapshotTable[[#This Row],[SC Buyback Override]], SnapshotTable[[#This Row],[SC Current Ask]]), "")</f>
        <v/>
      </c>
      <c r="FK394" s="250" t="str">
        <f>IF(SnapshotTable[[#This Row],[SC Time Val]]&gt;0, SnapshotTable[[#This Row],[SC Time Val]] / SnapshotTable[[#This Row],[Last Price]],"")</f>
        <v/>
      </c>
      <c r="FL394" s="302" t="str">
        <f>IF(SnapshotTable[[#This Row],[SC Is Booked]], ((SnapshotTable[[#This Row],[Last Price]] -SnapshotTable[[#This Row],[SC Strike Price]]) / SnapshotTable[[#This Row],[Last Price]]) * -1, "")</f>
        <v/>
      </c>
      <c r="FM394" s="157" t="str">
        <f>IF(SnapshotTable[[#This Row],[SC Is Booked]],  (SnapshotTable[[#This Row],[SC Qty]] * 100 * SnapshotTable[[#This Row],[SC Strike Price]]) - SnapshotTable[[#This Row],[SC Current Ask]], "")</f>
        <v/>
      </c>
      <c r="FN39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4" s="31" t="str">
        <f>IF(AND(ISNUMBER(SnapshotTable[[#This Row],[SC Exercise Gross]]), ISNUMBER(SnapshotTable[[#This Row],[Equity Basis Per Share]] )), SnapshotTable[[#This Row],[SC Exercise Gross]] - SnapshotTable[[#This Row],[Equity Basis Total]] +  SnapshotTable[[#This Row],[SC Premium]], "")</f>
        <v/>
      </c>
      <c r="FP394" s="5" t="str">
        <f>IF(ISNUMBER(SnapshotTable[[#This Row],[SC Exercise Gross]]), (SnapshotTable[[#This Row],[SC Exercise Gross]]) / (SnapshotTable[[#This Row],[SC Qty]] * 100), "")</f>
        <v/>
      </c>
      <c r="FQ394" s="27" t="str">
        <f>IF(SnapshotTable[[#This Row],[SC Is Booked]],SnapshotTable[[#This Row],[SC Time Val]] /SnapshotTable[[#This Row],[SC Basis]], "")</f>
        <v/>
      </c>
      <c r="FR394" s="27" t="str" cm="1">
        <f t="array" ref="FR394">IF(AND(ISNUMBER(SnapshotTable[[#This Row],[SC Term]]),ISNUMBER(SnapshotTable[[#This Row],[SC Simple ROO]])), EllmanAnnualize(SnapshotTable[[#This Row],[SC DTE]], SnapshotTable[[#This Row],[SC Simple ROO]] ),"")</f>
        <v/>
      </c>
      <c r="FS394" s="4" t="e">
        <f>IF(SnapshotTable[[#This Row],[SC Strike Price]] &gt; SnapshotTable[[#This Row],[Last Price]], SnapshotTable[[#This Row],[SC Strike Price]] - SnapshotTable[[#This Row],[Last Price]],0)</f>
        <v>#VALUE!</v>
      </c>
      <c r="FT394" s="27" t="e">
        <f>IF(AND(ISNUMBER(SnapshotTable[[#This Row],[SC Upside Potential]]), SnapshotTable[[#This Row],[SC Upside Potential]] &gt; 0),(SnapshotTable[[#This Row],[SC Upside Potential]]/ SnapshotTable[[#This Row],[ACB]]),"")</f>
        <v>#VALUE!</v>
      </c>
      <c r="FU394" s="333" t="str">
        <f>IF(SnapshotTable[[#This Row],[SC Intrinsic Value]] &gt; 0,SnapshotTable[[#This Row],[SC Intrinsic Value]],"")</f>
        <v/>
      </c>
      <c r="FV394" s="27" t="str">
        <f>IF(AND( ISNUMBER( SnapshotTable[[#This Row],[ACB]]),ISNUMBER(SnapshotTable[[#This Row],[SC Downside Protect]])),SnapshotTable[[#This Row],[SC Downside Protect]] / SnapshotTable[[#This Row],[ACB]],"")</f>
        <v/>
      </c>
      <c r="FW394" s="236" t="str">
        <f>IF(AND(ISNUMBER(SnapshotTable[[#This Row],[SC Simple ROO]]),SnapshotTable[[#This Row],[SC Simple ROO]] &gt; 0), SnapshotTable[[#This Row],[SC Premium]] + (SnapshotTable[[#This Row],[SC Qty]] * SnapshotTable[[#This Row],[SC Upside Potential]]), "")</f>
        <v/>
      </c>
      <c r="FX394" s="302" t="str" cm="1">
        <f t="array" ref="FX394">IF(ISNUMBER(SnapshotTable[[#This Row],[SC Max Dollars]]), annualize(SnapshotTable[[#This Row],[SC Term]],(SnapshotTable[[#This Row],[SC Max Dollars]]/SnapshotTable[[#This Row],[SC Basis]])),"")</f>
        <v/>
      </c>
      <c r="FY394" s="236" t="str">
        <f>IF(AND(SnapshotTable[[#This Row],[SC Qty]]&gt;0,SnapshotTable[[#This Row],[SC Current Ask]]&gt;0), SnapshotTable[[#This Row],[SC Qty]] * SnapshotTable[[#This Row],[SC Current Ask]] * -100, "")</f>
        <v/>
      </c>
      <c r="FZ394" s="31" t="str">
        <f>IF(ISNUMBER((SnapshotTable[[#This Row],[SC Current Value]])), SnapshotTable[[#This Row],[SC Premium]] + SnapshotTable[[#This Row],[SC Current Value]], "")</f>
        <v/>
      </c>
      <c r="GA394" s="294" t="str">
        <f>IFERROR( IF(ISNUMBER((SnapshotTable[[#This Row],[SC Current Value]])), SnapshotTable[[#This Row],[SC Gain Loss]] / SnapshotTable[[#This Row],[SC Premium]], ""), "")</f>
        <v/>
      </c>
      <c r="GB394" s="42">
        <f>SnapshotTable[[#This Row],[Equity Shares]] * SaleSharesToConsiderPercentage</f>
        <v>20</v>
      </c>
      <c r="GC394" s="40">
        <f>SnapshotTable[[#This Row],[Long Term Target]] * SellingPriceToConsiderBasedOnTargetPercentage</f>
        <v>0</v>
      </c>
      <c r="GD394" s="40">
        <f>SnapshotTable[[#This Row],[Last Price]] * (1+ SellingPriceToConsiderBasedOnTargetPercentage)</f>
        <v>35.997</v>
      </c>
      <c r="GE394" s="41"/>
      <c r="GF394" s="40"/>
      <c r="GG394" s="31">
        <f>SnapshotTable[[#This Row],[Booked Sale Shares]] * SnapshotTable[[#This Row],[Booked Sale Price]]</f>
        <v>0</v>
      </c>
      <c r="GH394" s="31">
        <f>IF(SnapshotTable[[#This Row],[Equity Basis Total]] &gt; 0, SnapshotTable[[#This Row],[Equity Basis Per Share]] * SnapshotTable[[#This Row],[Booked Sale Shares]], "")</f>
        <v>0</v>
      </c>
      <c r="GI394" s="31">
        <f>IF(SnapshotTable[[#This Row],[Sale Proceeds]]&gt;0, SnapshotTable[[#This Row],[Sale Proceeds]] - SnapshotTable[[#This Row],[Sale Basis]], 0)</f>
        <v>0</v>
      </c>
      <c r="GJ394" s="27" t="str">
        <f>IF(SnapshotTable[[#This Row],[Sale G/L]]&gt;0, SnapshotTable[[#This Row],[Sale G/L]] / SnapshotTable[[#This Row],[Sale Basis]], IF(ISNUMBER(SnapshotTable[[#This Row],[SC Exercise P&amp;L (TAX)]]), SnapshotTable[[#This Row],[SC Exercise P&amp;L (TAX)]] / SnapshotTable[[#This Row],[SC Basis]], ""))</f>
        <v/>
      </c>
      <c r="GK394" s="27"/>
      <c r="GL394" s="43" t="str">
        <f>IF(AND(SnapshotTable[[#This Row],[LP Exp Date]]&gt;0,SnapshotTable[[#This Row],[LP Strike Price]]&gt;0), [1]!ToOptionSymbol(SnapshotTable[[#This Row],[Symbol]], SnapshotTable[[#This Row],[LP Strike Price]],SnapshotTable[[#This Row],[LP Exp Date]],1), "")</f>
        <v/>
      </c>
      <c r="GM394" s="30" t="str">
        <f>IF(LEN(SnapshotTable[[#This Row],[LP Symbol]])&gt;0, 1, "")</f>
        <v/>
      </c>
      <c r="GN394" s="43" t="str">
        <f>IF(AND(SnapshotTable[[#This Row],[SP Exp Date]]&gt;0,SnapshotTable[[#This Row],[SP Strike Price]]&gt;0), [1]!ToOptionSymbol(SnapshotTable[[#This Row],[Symbol]], SnapshotTable[[#This Row],[SP Strike Price]],SnapshotTable[[#This Row],[SP Exp Date]],1), "")</f>
        <v/>
      </c>
      <c r="GO394" s="30" t="str">
        <f>IF(LEN(SnapshotTable[[#This Row],[SP Symbol]])&gt;0, 1, "")</f>
        <v/>
      </c>
      <c r="GP394" s="43" t="str">
        <f>IF(AND(SnapshotTable[[#This Row],[LC Exp Date]]&gt;0,SnapshotTable[[#This Row],[LC Strike Price]]&gt;0), [1]!ToOptionSymbol(SnapshotTable[[#This Row],[Symbol]], SnapshotTable[[#This Row],[LC Strike Price]],SnapshotTable[[#This Row],[LC Exp Date]],0), "")</f>
        <v/>
      </c>
      <c r="GQ394" s="30" t="str">
        <f>IF(LEN(SnapshotTable[[#This Row],[LC Symbol]])&gt;0, 1, "")</f>
        <v/>
      </c>
      <c r="GR394" s="43" t="str">
        <f>IF(AND(SnapshotTable[[#This Row],[SC Exp Date]]&gt;0,SnapshotTable[[#This Row],[SC Strike Price]]&gt;0), [1]!ToOptionSymbol(SnapshotTable[[#This Row],[Symbol]], SnapshotTable[[#This Row],[SC Strike Price]],SnapshotTable[[#This Row],[SC Exp Date]],0), "")</f>
        <v/>
      </c>
      <c r="GS394" s="30" t="str">
        <f>IF(LEN(SnapshotTable[[#This Row],[SC Symbol]])&gt;0, 1, "")</f>
        <v/>
      </c>
      <c r="GT394" s="29" t="str">
        <f>IF(COUNT(SnapshotTable[[#This Row],[LP Symbol Count]],SnapshotTable[[#This Row],[SP Symbol Count]],SnapshotTable[[#This Row],[LC Symbol Count]],SnapshotTable[[#This Row],[SC Symbol Count]])&gt;0, "Y", "")</f>
        <v/>
      </c>
      <c r="GU39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94" s="231" t="e">
        <f>MAX(SnapshotTable[[#This Row],[Equity Basis Total]],SnapshotTable[[#This Row],[Equity Value]]) + (SnapshotTable[[#This Row],[SP Potential Spend]]- SnapshotTable[[#This Row],[SP Premium]] + SnapshotTable[[#This Row],[LP Premium]])+ (SnapshotTable[[#This Row],[LC Premium]] - SnapshotTable[[#This Row],[SC Premium]])</f>
        <v>#VALUE!</v>
      </c>
      <c r="GW394" s="139" t="e">
        <f>IF(AND(SnapshotTable[[#This Row],[Exposure]] &lt;&gt; 0),SnapshotTable[[#This Row],[Exposure]] / SnapshotTable[[#Totals],[Exposure]], "")</f>
        <v>#VALUE!</v>
      </c>
    </row>
    <row r="395" spans="2:224" s="197" customFormat="1" x14ac:dyDescent="0.25">
      <c r="B395" s="165">
        <f>SUBTOTAL(103,SnapshotTable[Symbol])</f>
        <v>1</v>
      </c>
      <c r="C395" s="418" t="s">
        <v>1195</v>
      </c>
      <c r="D395" s="209"/>
      <c r="E395" s="107"/>
      <c r="F395" s="108"/>
      <c r="G395" s="109"/>
      <c r="H395" s="110"/>
      <c r="I395" s="111"/>
      <c r="J395" s="111"/>
      <c r="K395" s="111"/>
      <c r="L395" s="112"/>
      <c r="M395" s="108"/>
      <c r="N395" s="108"/>
      <c r="O395" s="108"/>
      <c r="P395" s="113">
        <f>SUBTOTAL(109,SnapshotTable[Equity Shares])</f>
        <v>0</v>
      </c>
      <c r="Q395" s="114">
        <f>SUBTOTAL(109,SnapshotTable[Equity Basis Total])</f>
        <v>0</v>
      </c>
      <c r="R395" s="115"/>
      <c r="S395" s="114">
        <f>SUBTOTAL(109,SnapshotTable[Equity Value])</f>
        <v>0</v>
      </c>
      <c r="T395" s="114">
        <f>SUBTOTAL(109,SnapshotTable[Equity G/L])</f>
        <v>0</v>
      </c>
      <c r="U395" s="110"/>
      <c r="V395" s="127"/>
      <c r="W395" s="127"/>
      <c r="X395" s="127"/>
      <c r="Y395" s="127"/>
      <c r="Z395" s="276"/>
      <c r="AA395" s="114">
        <f>SUBTOTAL(109,SnapshotTable[Equity Max Profit])</f>
        <v>0</v>
      </c>
      <c r="AB395" s="114">
        <f>SUBTOTAL(109,SnapshotTable[Equity Max Risk])</f>
        <v>0</v>
      </c>
      <c r="AC395" s="116"/>
      <c r="AD395" s="117"/>
      <c r="AE395" s="118">
        <f>SUBTOTAL(109,SnapshotTable[Quarterly Div $])</f>
        <v>0</v>
      </c>
      <c r="AF395" s="119">
        <f>SUBTOTAL(109,SnapshotTable[Annual Div $])</f>
        <v>0</v>
      </c>
      <c r="AG395" s="120"/>
      <c r="AH395" s="117"/>
      <c r="AI395" s="120"/>
      <c r="AJ395" s="121"/>
      <c r="AK395" s="121"/>
      <c r="AL395" s="122"/>
      <c r="AM395" s="119">
        <f>SUBTOTAL(109,SnapshotTable[From Basis $])</f>
        <v>0</v>
      </c>
      <c r="AN395" s="119">
        <f>SUBTOTAL(109,SnapshotTable[From Current $])</f>
        <v>0</v>
      </c>
      <c r="AO395" s="123"/>
      <c r="AP395" s="123"/>
      <c r="AQ395" s="123"/>
      <c r="AR395" s="123"/>
      <c r="AS395" s="123"/>
      <c r="AT395" s="123"/>
      <c r="AU395" s="123"/>
      <c r="AV395" s="123"/>
      <c r="AW395" s="123"/>
      <c r="AX395" s="123"/>
      <c r="AY395" s="123"/>
      <c r="AZ395" s="123"/>
      <c r="BA395" s="186"/>
      <c r="BB395" s="123"/>
      <c r="BC395" s="123"/>
      <c r="BD395" s="124"/>
      <c r="BE395" s="124"/>
      <c r="BF395" s="124"/>
      <c r="BG395" s="124"/>
      <c r="BH395" s="124"/>
      <c r="BI395" s="127"/>
      <c r="BJ395" s="124">
        <f>SUBTOTAL(109,SnapshotTable[LP Premium])</f>
        <v>1500</v>
      </c>
      <c r="BK395" s="124"/>
      <c r="BL395" s="124"/>
      <c r="BM395" s="124"/>
      <c r="BN395" s="124"/>
      <c r="BO395" s="124"/>
      <c r="BP395" s="124"/>
      <c r="BQ395" s="125"/>
      <c r="BR395" s="424"/>
      <c r="BS395" s="126"/>
      <c r="BT395" s="106"/>
      <c r="BU395" s="125"/>
      <c r="BV395" s="127"/>
      <c r="BW395" s="127"/>
      <c r="BX395" s="127"/>
      <c r="BY395" s="119">
        <f>SUBTOTAL(109,SnapshotTable[SP Premium])</f>
        <v>0</v>
      </c>
      <c r="BZ395" s="119"/>
      <c r="CA395" s="119"/>
      <c r="CB395" s="115"/>
      <c r="CC395" s="119"/>
      <c r="CD395" s="119"/>
      <c r="CE395" s="119"/>
      <c r="CF395" s="119"/>
      <c r="CG395" s="119" t="e">
        <f>SUBTOTAL(109,SnapshotTable[SP Potential Spend])</f>
        <v>#VALUE!</v>
      </c>
      <c r="CH395" s="119"/>
      <c r="CI395" s="119">
        <f>SUBTOTAL(109,SnapshotTable[SP Actual Spend])</f>
        <v>0</v>
      </c>
      <c r="CJ395" s="132"/>
      <c r="CK395" s="119">
        <f>SUBTOTAL(109,SnapshotTable[SP Cash Reserve])</f>
        <v>0</v>
      </c>
      <c r="CL395" s="119" t="e">
        <f>SUBTOTAL(109,SnapshotTable[SP Unfilled Potential Spend])</f>
        <v>#VALUE!</v>
      </c>
      <c r="CM395" s="119">
        <f>SUBTOTAL(109,SnapshotTable[SP Actual Loss])</f>
        <v>0</v>
      </c>
      <c r="CN395" s="119"/>
      <c r="CO395" s="119"/>
      <c r="CP395" s="119"/>
      <c r="CQ395" s="119"/>
      <c r="CR395" s="119"/>
      <c r="CS395" s="119"/>
      <c r="CT395" s="119"/>
      <c r="CU395" s="119"/>
      <c r="CV395" s="119"/>
      <c r="CW395" s="119"/>
      <c r="CX395" s="119"/>
      <c r="CY395" s="119"/>
      <c r="CZ395" s="119"/>
      <c r="DA395" s="119"/>
      <c r="DB395" s="119"/>
      <c r="DC395" s="119"/>
      <c r="DD395" s="119"/>
      <c r="DE395" s="119"/>
      <c r="DF395" s="119"/>
      <c r="DG395" s="119"/>
      <c r="DH395" s="132"/>
      <c r="DI395" s="128"/>
      <c r="DJ395" s="128"/>
      <c r="DK395" s="122">
        <f>SUBTOTAL(109,SnapshotTable[LC Qty])</f>
        <v>0</v>
      </c>
      <c r="DL395" s="128"/>
      <c r="DM395" s="128"/>
      <c r="DN395" s="128"/>
      <c r="DO395" s="119">
        <f>SUBTOTAL(109,SnapshotTable[LC Premium])</f>
        <v>0</v>
      </c>
      <c r="DP395" s="128"/>
      <c r="DQ395" s="128"/>
      <c r="DR395" s="128"/>
      <c r="DS395" s="115" t="e">
        <f>SUBTOTAL(101,SnapshotTable[LC Break Even])</f>
        <v>#DIV/0!</v>
      </c>
      <c r="DT395" s="128"/>
      <c r="DU395" s="119">
        <f>SUBTOTAL(109,SnapshotTable[LC Total Value])</f>
        <v>0</v>
      </c>
      <c r="DV395" s="119">
        <f>SUBTOTAL(109,SnapshotTable[LC Actual Gain Loss])</f>
        <v>0</v>
      </c>
      <c r="DW395" s="132"/>
      <c r="DX395" s="256"/>
      <c r="DY395" s="300"/>
      <c r="DZ395" s="300"/>
      <c r="EA395" s="132"/>
      <c r="EB395" s="263"/>
      <c r="EC395" s="128"/>
      <c r="ED395" s="128"/>
      <c r="EE395" s="128"/>
      <c r="EF395" s="128"/>
      <c r="EG395" s="119">
        <f>SUBTOTAL(109,SnapshotTable[LC Stop Gain Loss])</f>
        <v>0</v>
      </c>
      <c r="EH395" s="119">
        <f>SUBTOTAL(109,SnapshotTable[LC Cost To Exercise])</f>
        <v>0</v>
      </c>
      <c r="EI395" s="132"/>
      <c r="EJ395" s="129">
        <f>SUBTOTAL(109,SnapshotTable[SC Max Qty])</f>
        <v>0</v>
      </c>
      <c r="EK395" s="125"/>
      <c r="EL395" s="127"/>
      <c r="EM395" s="126">
        <f>SUBTOTAL(109,SnapshotTable[SC Qty])</f>
        <v>0</v>
      </c>
      <c r="EN395" s="125"/>
      <c r="EO395" s="125"/>
      <c r="EP395" s="127"/>
      <c r="EQ395" s="127"/>
      <c r="ER395" s="115"/>
      <c r="ES395" s="362"/>
      <c r="ET395" s="130"/>
      <c r="EU395" s="130"/>
      <c r="EV395" s="119">
        <f>SUBTOTAL(109,SnapshotTable[SC Premium])</f>
        <v>0</v>
      </c>
      <c r="EW395" s="115"/>
      <c r="EX395" s="115"/>
      <c r="EY395" s="115"/>
      <c r="EZ395" s="115"/>
      <c r="FA395" s="115"/>
      <c r="FB395" s="366"/>
      <c r="FC395" s="115"/>
      <c r="FD395" s="115"/>
      <c r="FE395" s="115"/>
      <c r="FF395" s="122"/>
      <c r="FG395" s="115"/>
      <c r="FH395" s="115"/>
      <c r="FI395" s="115"/>
      <c r="FJ395" s="115"/>
      <c r="FK395" s="120"/>
      <c r="FL395" s="123"/>
      <c r="FM395" s="119">
        <f>SUBTOTAL(109,SnapshotTable[SC Exercise Gross])</f>
        <v>0</v>
      </c>
      <c r="FN395" s="119">
        <f>SUBTOTAL(109,SnapshotTable[SC Exercise Oppty Cost])</f>
        <v>0</v>
      </c>
      <c r="FO395" s="119">
        <f>SUBTOTAL(109,SnapshotTable[SC Exercise P&amp;L (TAX)])</f>
        <v>0</v>
      </c>
      <c r="FP395" s="127"/>
      <c r="FQ395" s="123"/>
      <c r="FR395" s="123"/>
      <c r="FS395" s="123"/>
      <c r="FT395" s="309"/>
      <c r="FU395" s="309"/>
      <c r="FV395" s="309"/>
      <c r="FW395" s="114"/>
      <c r="FX395" s="309"/>
      <c r="FY395" s="110"/>
      <c r="FZ395" s="119"/>
      <c r="GA395" s="132"/>
      <c r="GB395" s="113"/>
      <c r="GC395" s="131"/>
      <c r="GD395" s="131"/>
      <c r="GE395" s="124"/>
      <c r="GF395" s="131"/>
      <c r="GG395" s="119"/>
      <c r="GH395" s="119"/>
      <c r="GI395" s="119"/>
      <c r="GJ395" s="119"/>
      <c r="GK395" s="119"/>
      <c r="GL395" s="119"/>
      <c r="GM395" s="122">
        <f>SUBTOTAL(102,SnapshotTable[LP Symbol Count])</f>
        <v>1</v>
      </c>
      <c r="GN395" s="115"/>
      <c r="GO395" s="122">
        <f>SUBTOTAL(102,SnapshotTable[SP Symbol Count])</f>
        <v>0</v>
      </c>
      <c r="GP395" s="119"/>
      <c r="GQ395" s="122">
        <f>SUBTOTAL(102,SnapshotTable[LC Symbol Count])</f>
        <v>0</v>
      </c>
      <c r="GR395" s="119"/>
      <c r="GS395" s="122">
        <f>SUBTOTAL(102,SnapshotTable[SC Symbol Count])</f>
        <v>0</v>
      </c>
      <c r="GT395" s="119"/>
      <c r="GU395" s="119"/>
      <c r="GV395" s="119" t="e">
        <f>SUBTOTAL(109,SnapshotTable[Exposure])</f>
        <v>#VALUE!</v>
      </c>
      <c r="GW395" s="132" t="e">
        <f>SUBTOTAL(109,SnapshotTable[Exp %])</f>
        <v>#VALUE!</v>
      </c>
    </row>
    <row r="396" spans="2:224" s="197" customFormat="1" x14ac:dyDescent="0.25">
      <c r="B396" s="1"/>
      <c r="C396" s="387"/>
      <c r="D396" s="207"/>
      <c r="E396" s="26"/>
      <c r="F396" s="26"/>
      <c r="G396" s="26"/>
      <c r="H396" s="1"/>
      <c r="I396" s="25"/>
      <c r="J396" s="22"/>
      <c r="K396" s="22"/>
      <c r="L396" s="22"/>
      <c r="M396" s="22"/>
      <c r="N396" s="22"/>
      <c r="O396" s="22"/>
      <c r="P396" s="22"/>
      <c r="Q396" s="22"/>
      <c r="R396" s="22"/>
      <c r="S396" s="22"/>
      <c r="T396" s="22"/>
      <c r="U396" s="23"/>
      <c r="V396" s="234"/>
      <c r="W396" s="234"/>
      <c r="X396" s="234"/>
      <c r="Y396" s="234"/>
      <c r="Z396" s="271"/>
      <c r="AA396" s="236"/>
      <c r="AB396" s="236"/>
      <c r="AC396" s="22"/>
      <c r="AD396" s="12"/>
      <c r="AE396" s="20"/>
      <c r="AF396" s="1"/>
      <c r="AG396" s="24"/>
      <c r="AH396" s="22"/>
      <c r="AI396" s="23"/>
      <c r="AJ396" s="22"/>
      <c r="AK396" s="20"/>
      <c r="AL396" s="20"/>
      <c r="AM396" s="1"/>
      <c r="AN396" s="21"/>
      <c r="AO396" s="1"/>
      <c r="AP396" s="1"/>
      <c r="AQ396" s="1"/>
      <c r="AR396" s="20"/>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9"/>
      <c r="BU396" s="8"/>
      <c r="BV396" s="1"/>
      <c r="BW396" s="7"/>
      <c r="BX396" s="7"/>
      <c r="BY396" s="7"/>
      <c r="BZ396" s="7"/>
      <c r="CA396" s="7"/>
      <c r="CB396" s="1"/>
      <c r="CC396"/>
      <c r="CD396" s="1"/>
      <c r="CE396" s="1"/>
      <c r="CF396" s="1"/>
      <c r="CG396"/>
      <c r="CH396"/>
      <c r="CI396" s="245"/>
      <c r="CJ396"/>
      <c r="CK396" s="1"/>
      <c r="CL396"/>
      <c r="CM396"/>
      <c r="CN396"/>
      <c r="CO396" s="1"/>
      <c r="CP396"/>
      <c r="CQ396"/>
      <c r="CR396"/>
      <c r="CS396"/>
      <c r="CT396"/>
      <c r="CU396"/>
      <c r="CV396"/>
      <c r="CW396"/>
      <c r="CX396"/>
      <c r="CY396" s="1"/>
      <c r="CZ396" s="1"/>
      <c r="DA396" s="1"/>
      <c r="DB396" s="1"/>
      <c r="DC396" s="1"/>
      <c r="DD396" s="5"/>
      <c r="DE396"/>
      <c r="DF396"/>
      <c r="DG396"/>
      <c r="DH396" s="18"/>
      <c r="DI396" s="6"/>
      <c r="DJ396" s="6"/>
      <c r="DK396" s="6"/>
      <c r="DL396" s="6"/>
      <c r="DM396" s="5"/>
      <c r="DN396" s="5"/>
      <c r="DO396" s="237"/>
      <c r="DP396" s="237"/>
      <c r="DQ396" s="237"/>
      <c r="DR396" s="5"/>
      <c r="DS396" s="5"/>
      <c r="DT396" s="5"/>
      <c r="DU396" s="4" t="s">
        <v>0</v>
      </c>
      <c r="DV396" s="4"/>
      <c r="DW396" s="1"/>
      <c r="DX396" s="1"/>
      <c r="DY396" s="1"/>
      <c r="DZ396" s="1"/>
      <c r="EA396" s="1"/>
      <c r="EB396" s="1"/>
      <c r="EC396" s="1"/>
      <c r="ED396" s="237"/>
      <c r="EE396" s="257"/>
      <c r="EF396" s="301"/>
      <c r="EG396" s="301"/>
      <c r="EH396" s="301"/>
      <c r="EI396" s="237"/>
      <c r="EJ396" s="264"/>
      <c r="EK396"/>
      <c r="EL396"/>
      <c r="EM396" s="1"/>
      <c r="EN396" s="1"/>
      <c r="EO396"/>
      <c r="EP396"/>
      <c r="EQ396" s="16"/>
      <c r="ER396" s="361"/>
      <c r="ES396"/>
      <c r="ET396" s="16"/>
      <c r="EU396" s="16"/>
      <c r="EV396" s="16"/>
      <c r="EW396"/>
      <c r="EX396"/>
      <c r="EY396" s="16"/>
      <c r="EZ396" s="240"/>
      <c r="FA396"/>
      <c r="FB396" s="16"/>
      <c r="FC396" s="16"/>
      <c r="FD396"/>
      <c r="FE396"/>
      <c r="FF396"/>
      <c r="FG396" s="16"/>
      <c r="FH396" s="363"/>
      <c r="FI396" s="16"/>
      <c r="FJ396" s="16"/>
      <c r="FK396" s="16"/>
      <c r="FL396" s="1"/>
      <c r="FM396" s="1"/>
      <c r="FN396" s="16"/>
      <c r="FO396" s="16"/>
      <c r="FP396"/>
      <c r="FQ396"/>
      <c r="FR396" s="16"/>
      <c r="FS396" s="16"/>
      <c r="FT396" s="16"/>
      <c r="FU396" s="16"/>
      <c r="FV396" s="1"/>
      <c r="FW396" s="16"/>
      <c r="FX396" s="16"/>
      <c r="FY396" s="16"/>
      <c r="FZ396" s="16"/>
      <c r="GA396" s="16"/>
      <c r="GB396" s="16"/>
      <c r="GC396" s="16"/>
      <c r="GD396" s="236"/>
      <c r="GE396" s="16"/>
      <c r="GF396" s="16"/>
      <c r="GG396" s="302"/>
      <c r="GH396" s="16"/>
      <c r="GI396" s="16"/>
      <c r="GJ396" s="250"/>
      <c r="GK396" s="16"/>
      <c r="GL396" s="16"/>
      <c r="GM396" s="237"/>
      <c r="GN396" s="4"/>
      <c r="GO396" s="5"/>
      <c r="GP396" s="1"/>
      <c r="GQ396" s="17"/>
      <c r="GR396" s="17"/>
      <c r="GS396" s="1"/>
      <c r="GT396" s="241"/>
      <c r="GU396" s="16"/>
      <c r="GV396" s="15"/>
      <c r="GW396" s="15"/>
    </row>
    <row r="397" spans="2:224" s="197" customFormat="1" x14ac:dyDescent="0.25">
      <c r="B397" s="1"/>
      <c r="C397" s="387"/>
      <c r="D397" s="207"/>
      <c r="E397" s="26"/>
      <c r="F397" s="26"/>
      <c r="G397" s="26"/>
      <c r="H397" s="1"/>
      <c r="I397" s="25"/>
      <c r="J397" s="22"/>
      <c r="K397" s="22"/>
      <c r="L397" s="22"/>
      <c r="M397" s="22"/>
      <c r="N397" s="22"/>
      <c r="O397" s="22"/>
      <c r="P397" s="22"/>
      <c r="Q397" s="22"/>
      <c r="R397" s="22"/>
      <c r="S397" s="22"/>
      <c r="T397" s="22"/>
      <c r="U397" s="23"/>
      <c r="V397" s="234"/>
      <c r="W397" s="234"/>
      <c r="X397" s="234"/>
      <c r="Y397" s="234"/>
      <c r="Z397" s="271"/>
      <c r="AA397" s="236"/>
      <c r="AB397" s="236"/>
      <c r="AC397" s="22"/>
      <c r="AD397" s="12"/>
      <c r="AE397" s="20"/>
      <c r="AF397" s="1"/>
      <c r="AG397" s="24"/>
      <c r="AH397" s="22"/>
      <c r="AI397" s="23"/>
      <c r="AJ397" s="22"/>
      <c r="AK397" s="20"/>
      <c r="AL397" s="20"/>
      <c r="AM397" s="1"/>
      <c r="AN397" s="21"/>
      <c r="AO397" s="1"/>
      <c r="AP397" s="1"/>
      <c r="AQ397" s="1"/>
      <c r="AR397" s="20"/>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9"/>
      <c r="BU397" s="8"/>
      <c r="BV397" s="1"/>
      <c r="BW397" s="7"/>
      <c r="BX397" s="7"/>
      <c r="BY397" s="7"/>
      <c r="BZ397" s="7"/>
      <c r="CA397" s="7"/>
      <c r="CB397" s="1"/>
      <c r="CC397"/>
      <c r="CD397" s="1"/>
      <c r="CE397" s="281" t="s">
        <v>1138</v>
      </c>
      <c r="CF397" s="282">
        <v>12882.24</v>
      </c>
      <c r="CG397" s="337">
        <f>CF397/CASH_ON_HAND</f>
        <v>5.5548775586273811E-3</v>
      </c>
      <c r="CH397"/>
      <c r="CI397" s="245"/>
      <c r="CJ397"/>
      <c r="CK397" s="1"/>
      <c r="CL397"/>
      <c r="CM397"/>
      <c r="CN397"/>
      <c r="CO397" s="1"/>
      <c r="CP397"/>
      <c r="CQ397"/>
      <c r="CR397"/>
      <c r="CS397"/>
      <c r="CT397"/>
      <c r="CU397"/>
      <c r="CV397"/>
      <c r="CW397"/>
      <c r="CX397"/>
      <c r="CY397" s="1"/>
      <c r="CZ397" s="1"/>
      <c r="DA397" s="1"/>
      <c r="DB397" s="1"/>
      <c r="DC397" s="1"/>
      <c r="DD397" s="5"/>
      <c r="DE397"/>
      <c r="DF397"/>
      <c r="DG397"/>
      <c r="DH397" s="18"/>
      <c r="DI397" s="6"/>
      <c r="DJ397" s="6"/>
      <c r="DK397" s="6"/>
      <c r="DL397" s="6"/>
      <c r="DM397" s="5"/>
      <c r="DN397" s="5"/>
      <c r="DO397" s="237"/>
      <c r="DP397" s="237"/>
      <c r="DQ397" s="237"/>
      <c r="DR397" s="5"/>
      <c r="DS397" s="5"/>
      <c r="DT397" s="5"/>
      <c r="DU397" s="4"/>
      <c r="DV397" s="4"/>
      <c r="DW397" s="1"/>
      <c r="DX397" s="1"/>
      <c r="DY397" s="1"/>
      <c r="DZ397" s="1"/>
      <c r="EA397" s="1"/>
      <c r="EB397" s="1"/>
      <c r="EC397" s="1"/>
      <c r="ED397" s="237"/>
      <c r="EE397" s="257"/>
      <c r="EF397" s="301"/>
      <c r="EG397" s="301"/>
      <c r="EH397" s="301"/>
      <c r="EI397" s="237"/>
      <c r="EJ397" s="264"/>
      <c r="EK397"/>
      <c r="EL397"/>
      <c r="EM397" s="1"/>
      <c r="EN397" s="1"/>
      <c r="EO397"/>
      <c r="EP397"/>
      <c r="EQ397" s="16"/>
      <c r="ER397" s="361"/>
      <c r="ES397"/>
      <c r="ET397" s="16"/>
      <c r="EU397" s="16"/>
      <c r="EV397" s="16"/>
      <c r="EW397"/>
      <c r="EX397"/>
      <c r="EY397" s="16"/>
      <c r="EZ397" s="240"/>
      <c r="FA397"/>
      <c r="FB397" s="16"/>
      <c r="FC397" s="16"/>
      <c r="FD397"/>
      <c r="FE397"/>
      <c r="FF397"/>
      <c r="FG397" s="16"/>
      <c r="FH397" s="363"/>
      <c r="FI397" s="16"/>
      <c r="FJ397" s="16"/>
      <c r="FK397" s="16"/>
      <c r="FL397" s="1"/>
      <c r="FM397" s="1"/>
      <c r="FN397" s="16"/>
      <c r="FO397" s="16"/>
      <c r="FP397"/>
      <c r="FQ397"/>
      <c r="FR397" s="16"/>
      <c r="FS397" s="16"/>
      <c r="FT397" s="16"/>
      <c r="FU397" s="16"/>
      <c r="FV397" s="1"/>
      <c r="FW397" s="16"/>
      <c r="FX397" s="16"/>
      <c r="FY397" s="16"/>
      <c r="FZ397" s="16"/>
      <c r="GA397" s="16"/>
      <c r="GB397" s="16"/>
      <c r="GC397" s="16"/>
      <c r="GD397" s="236"/>
      <c r="GE397" s="16"/>
      <c r="GF397" s="16"/>
      <c r="GG397" s="302"/>
      <c r="GH397" s="16"/>
      <c r="GI397" s="16"/>
      <c r="GJ397" s="250"/>
      <c r="GK397" s="16"/>
      <c r="GL397" s="16"/>
      <c r="GM397" s="237"/>
      <c r="GN397" s="4"/>
      <c r="GO397" s="5"/>
      <c r="GP397" s="1"/>
      <c r="GQ397" s="17"/>
      <c r="GR397" s="17"/>
      <c r="GS397" s="1"/>
      <c r="GT397" s="241"/>
      <c r="GU397" s="16"/>
      <c r="GV397" s="15"/>
      <c r="GW397" s="15"/>
    </row>
    <row r="398" spans="2:224" s="197" customFormat="1" x14ac:dyDescent="0.25">
      <c r="B398" s="1"/>
      <c r="C398" s="387"/>
      <c r="D398" s="207"/>
      <c r="E398" s="26"/>
      <c r="F398" s="26"/>
      <c r="G398" s="26"/>
      <c r="H398" s="1"/>
      <c r="I398" s="25"/>
      <c r="J398" s="22"/>
      <c r="K398" s="22"/>
      <c r="L398" s="22"/>
      <c r="M398" s="22"/>
      <c r="N398" s="22"/>
      <c r="O398" s="22"/>
      <c r="P398" s="22"/>
      <c r="Q398" s="22"/>
      <c r="R398" s="22"/>
      <c r="S398" s="22"/>
      <c r="T398" s="22"/>
      <c r="U398" s="23"/>
      <c r="V398" s="234"/>
      <c r="W398" s="234"/>
      <c r="X398" s="234"/>
      <c r="Y398" s="234"/>
      <c r="Z398" s="271"/>
      <c r="AA398" s="236"/>
      <c r="AB398" s="236"/>
      <c r="AC398" s="22"/>
      <c r="AD398" s="12"/>
      <c r="AE398" s="20"/>
      <c r="AF398" s="1"/>
      <c r="AG398" s="24"/>
      <c r="AH398" s="22"/>
      <c r="AI398" s="23"/>
      <c r="AJ398" s="22"/>
      <c r="AK398" s="20"/>
      <c r="AL398" s="20"/>
      <c r="AM398" s="1"/>
      <c r="AN398" s="21"/>
      <c r="AO398" s="1"/>
      <c r="AP398" s="1"/>
      <c r="AQ398" s="1"/>
      <c r="AR398" s="20"/>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9"/>
      <c r="BU398" s="8"/>
      <c r="BV398" s="1"/>
      <c r="BW398" s="7"/>
      <c r="BX398" s="7"/>
      <c r="BY398" s="7"/>
      <c r="BZ398" s="7"/>
      <c r="CA398" s="7"/>
      <c r="CB398" s="1"/>
      <c r="CC398"/>
      <c r="CD398" s="1"/>
      <c r="CE398" s="281" t="s">
        <v>1270</v>
      </c>
      <c r="CF398" s="282">
        <v>7284.5</v>
      </c>
      <c r="CG398" s="337">
        <f>CF398/CASH_ON_HAND</f>
        <v>3.1411078799821425E-3</v>
      </c>
      <c r="CH398"/>
      <c r="CI398" s="245"/>
      <c r="CJ398"/>
      <c r="CK398" s="1"/>
      <c r="CL398"/>
      <c r="CM398"/>
      <c r="CN398"/>
      <c r="CO398" s="1"/>
      <c r="CP398"/>
      <c r="CQ398"/>
      <c r="CR398"/>
      <c r="CS398"/>
      <c r="CT398"/>
      <c r="CU398"/>
      <c r="CV398"/>
      <c r="CW398"/>
      <c r="CX398"/>
      <c r="CY398" s="1"/>
      <c r="CZ398" s="1"/>
      <c r="DA398" s="1"/>
      <c r="DB398" s="1"/>
      <c r="DC398" s="1"/>
      <c r="DD398" s="5"/>
      <c r="DE398"/>
      <c r="DF398"/>
      <c r="DG398"/>
      <c r="DH398" s="18"/>
      <c r="DI398" s="6"/>
      <c r="DJ398" s="6"/>
      <c r="DK398" s="6"/>
      <c r="DL398" s="6"/>
      <c r="DM398" s="5"/>
      <c r="DN398" s="5"/>
      <c r="DO398" s="237"/>
      <c r="DP398" s="237"/>
      <c r="DQ398" s="237"/>
      <c r="DR398" s="5"/>
      <c r="DS398" s="5"/>
      <c r="DT398" s="5"/>
      <c r="DU398" s="4"/>
      <c r="DV398" s="4"/>
      <c r="DW398" s="1"/>
      <c r="DX398" s="1"/>
      <c r="DY398" s="1"/>
      <c r="DZ398" s="1"/>
      <c r="EA398" s="1"/>
      <c r="EB398" s="1"/>
      <c r="EC398" s="1"/>
      <c r="ED398" s="237"/>
      <c r="EE398" s="257"/>
      <c r="EF398" s="301"/>
      <c r="EG398" s="301"/>
      <c r="EH398" s="301"/>
      <c r="EI398" s="237"/>
      <c r="EJ398" s="264"/>
      <c r="EK398"/>
      <c r="EL398"/>
      <c r="EM398" s="1"/>
      <c r="EN398" s="1"/>
      <c r="EO398"/>
      <c r="EP398"/>
      <c r="EQ398" s="16"/>
      <c r="ER398" s="361"/>
      <c r="ES398"/>
      <c r="ET398" s="16"/>
      <c r="EU398" s="16"/>
      <c r="EV398" s="16"/>
      <c r="EW398"/>
      <c r="EX398"/>
      <c r="EY398" s="16"/>
      <c r="EZ398" s="240"/>
      <c r="FA398"/>
      <c r="FB398" s="16"/>
      <c r="FC398" s="16"/>
      <c r="FD398"/>
      <c r="FE398"/>
      <c r="FF398"/>
      <c r="FG398" s="16"/>
      <c r="FH398" s="363"/>
      <c r="FI398" s="16"/>
      <c r="FJ398" s="16"/>
      <c r="FK398" s="16"/>
      <c r="FL398" s="1"/>
      <c r="FM398" s="1"/>
      <c r="FN398" s="16"/>
      <c r="FO398" s="16"/>
      <c r="FP398"/>
      <c r="FQ398"/>
      <c r="FR398" s="16"/>
      <c r="FS398" s="16"/>
      <c r="FT398" s="16"/>
      <c r="FU398" s="16"/>
      <c r="FV398" s="1"/>
      <c r="FW398" s="16"/>
      <c r="FX398" s="16"/>
      <c r="FY398" s="16"/>
      <c r="FZ398" s="16"/>
      <c r="GA398" s="16"/>
      <c r="GB398" s="16"/>
      <c r="GC398" s="16"/>
      <c r="GD398" s="236"/>
      <c r="GE398" s="16"/>
      <c r="GF398" s="16"/>
      <c r="GG398" s="302"/>
      <c r="GH398" s="16"/>
      <c r="GI398" s="16"/>
      <c r="GJ398" s="250"/>
      <c r="GK398" s="16"/>
      <c r="GL398" s="16"/>
      <c r="GM398" s="237"/>
      <c r="GN398" s="4"/>
      <c r="GO398" s="5"/>
      <c r="GP398" s="1"/>
      <c r="GQ398" s="17"/>
      <c r="GR398" s="17"/>
      <c r="GS398" s="1"/>
      <c r="GT398" s="241"/>
      <c r="GU398" s="16"/>
      <c r="GV398" s="15"/>
      <c r="GW398" s="15"/>
    </row>
    <row r="399" spans="2:224" s="197" customFormat="1" x14ac:dyDescent="0.25">
      <c r="B399" s="1"/>
      <c r="C399" s="387"/>
      <c r="D399" s="207"/>
      <c r="E399" s="26"/>
      <c r="F399" s="26"/>
      <c r="G399" s="26"/>
      <c r="H399" s="1"/>
      <c r="I399" s="25"/>
      <c r="J399" s="22"/>
      <c r="K399" s="22"/>
      <c r="L399" s="22"/>
      <c r="M399" s="22"/>
      <c r="N399" s="22"/>
      <c r="O399" s="22"/>
      <c r="P399" s="22"/>
      <c r="Q399" s="22"/>
      <c r="R399" s="22"/>
      <c r="S399" s="22"/>
      <c r="T399" s="22"/>
      <c r="U399" s="23"/>
      <c r="V399" s="234"/>
      <c r="W399" s="234"/>
      <c r="X399" s="234"/>
      <c r="Y399" s="234"/>
      <c r="Z399" s="271"/>
      <c r="AA399" s="236"/>
      <c r="AB399" s="236"/>
      <c r="AC399" s="22"/>
      <c r="AD399" s="12"/>
      <c r="AE399" s="20"/>
      <c r="AF399" s="1"/>
      <c r="AG399" s="24"/>
      <c r="AH399" s="22"/>
      <c r="AI399" s="23"/>
      <c r="AJ399" s="22"/>
      <c r="AK399" s="20"/>
      <c r="AL399" s="20"/>
      <c r="AM399" s="1"/>
      <c r="AN399" s="21"/>
      <c r="AO399" s="1"/>
      <c r="AP399" s="1"/>
      <c r="AQ399" s="1"/>
      <c r="AR399" s="20"/>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9"/>
      <c r="BU399" s="8"/>
      <c r="BV399" s="1"/>
      <c r="BW399" s="7"/>
      <c r="BX399" s="7"/>
      <c r="BY399" s="7"/>
      <c r="BZ399" s="7"/>
      <c r="CA399" s="7"/>
      <c r="CB399" s="1"/>
      <c r="CC399"/>
      <c r="CD399" s="1"/>
      <c r="CE399" s="281" t="s">
        <v>1271</v>
      </c>
      <c r="CF399" s="282">
        <v>7296.5</v>
      </c>
      <c r="CG399" s="337">
        <f>CF399/CASH_ON_HAND</f>
        <v>3.146282331840168E-3</v>
      </c>
      <c r="CH399"/>
      <c r="CI399" s="245"/>
      <c r="CJ399"/>
      <c r="CK399" s="1"/>
      <c r="CL399"/>
      <c r="CM399"/>
      <c r="CN399"/>
      <c r="CO399" s="1"/>
      <c r="CP399"/>
      <c r="CQ399"/>
      <c r="CR399"/>
      <c r="CS399"/>
      <c r="CT399"/>
      <c r="CU399"/>
      <c r="CV399"/>
      <c r="CW399"/>
      <c r="CX399"/>
      <c r="CY399" s="1"/>
      <c r="CZ399" s="1"/>
      <c r="DA399" s="1"/>
      <c r="DB399" s="1"/>
      <c r="DC399" s="1"/>
      <c r="DD399" s="5"/>
      <c r="DE399"/>
      <c r="DF399"/>
      <c r="DG399"/>
      <c r="DH399" s="18"/>
      <c r="DI399" s="6"/>
      <c r="DJ399" s="6"/>
      <c r="DK399" s="6"/>
      <c r="DL399" s="6"/>
      <c r="DM399" s="5"/>
      <c r="DN399" s="5"/>
      <c r="DO399" s="237"/>
      <c r="DP399" s="237"/>
      <c r="DQ399" s="237"/>
      <c r="DR399" s="5"/>
      <c r="DS399" s="5"/>
      <c r="DT399" s="5"/>
      <c r="DU399" s="4"/>
      <c r="DV399" s="4"/>
      <c r="DW399" s="1"/>
      <c r="DX399" s="1"/>
      <c r="DY399" s="1"/>
      <c r="DZ399" s="1"/>
      <c r="EA399" s="1"/>
      <c r="EB399" s="1"/>
      <c r="EC399" s="1"/>
      <c r="ED399" s="237"/>
      <c r="EE399" s="257"/>
      <c r="EF399" s="301"/>
      <c r="EG399" s="301"/>
      <c r="EH399" s="301"/>
      <c r="EI399" s="237"/>
      <c r="EJ399" s="264"/>
      <c r="EK399"/>
      <c r="EL399"/>
      <c r="EM399" s="1"/>
      <c r="EN399" s="1"/>
      <c r="EO399"/>
      <c r="EP399"/>
      <c r="EQ399" s="16"/>
      <c r="ER399" s="361"/>
      <c r="ES399"/>
      <c r="ET399" s="16"/>
      <c r="EU399" s="16"/>
      <c r="EV399" s="16"/>
      <c r="EW399"/>
      <c r="EX399"/>
      <c r="EY399" s="16"/>
      <c r="EZ399" s="240"/>
      <c r="FA399"/>
      <c r="FB399" s="16"/>
      <c r="FC399" s="16"/>
      <c r="FD399"/>
      <c r="FE399"/>
      <c r="FF399"/>
      <c r="FG399" s="16"/>
      <c r="FH399" s="363"/>
      <c r="FI399" s="16"/>
      <c r="FJ399" s="16"/>
      <c r="FK399" s="16"/>
      <c r="FL399" s="1"/>
      <c r="FM399" s="1"/>
      <c r="FN399" s="16"/>
      <c r="FO399" s="16"/>
      <c r="FP399"/>
      <c r="FQ399"/>
      <c r="FR399" s="16"/>
      <c r="FS399" s="16"/>
      <c r="FT399" s="16"/>
      <c r="FU399" s="16"/>
      <c r="FV399" s="1"/>
      <c r="FW399" s="16"/>
      <c r="FX399" s="16"/>
      <c r="FY399" s="16"/>
      <c r="FZ399" s="16"/>
      <c r="GA399" s="16"/>
      <c r="GB399" s="16"/>
      <c r="GC399" s="16"/>
      <c r="GD399" s="236"/>
      <c r="GE399" s="16"/>
      <c r="GF399" s="16"/>
      <c r="GG399" s="302"/>
      <c r="GH399" s="16"/>
      <c r="GI399" s="16"/>
      <c r="GJ399" s="250"/>
      <c r="GK399" s="16"/>
      <c r="GL399" s="16"/>
      <c r="GM399" s="237"/>
      <c r="GN399" s="4"/>
      <c r="GO399" s="5"/>
      <c r="GP399" s="1"/>
      <c r="GQ399" s="17"/>
      <c r="GR399" s="17"/>
      <c r="GS399" s="1"/>
      <c r="GT399" s="241"/>
      <c r="GU399" s="16"/>
      <c r="GV399" s="15"/>
      <c r="GW399" s="15"/>
    </row>
    <row r="400" spans="2:224" s="197" customFormat="1" x14ac:dyDescent="0.25">
      <c r="C400" s="387"/>
      <c r="D400" s="400"/>
      <c r="U400" s="234"/>
      <c r="V400" s="234"/>
      <c r="W400" s="234"/>
      <c r="X400" s="234"/>
      <c r="Y400" s="234"/>
      <c r="Z400" s="271"/>
      <c r="AA400" s="234"/>
      <c r="AB400" s="234"/>
      <c r="AD400" s="268"/>
      <c r="AI400" s="234"/>
      <c r="AN400" s="234"/>
      <c r="BT400" s="234"/>
      <c r="BW400" s="234"/>
      <c r="BX400" s="234"/>
      <c r="BY400" s="234"/>
      <c r="BZ400" s="234"/>
      <c r="CA400" s="234"/>
      <c r="CC400" s="387"/>
      <c r="CE400" s="401" t="s">
        <v>1</v>
      </c>
      <c r="CF400" s="402">
        <v>46735.85</v>
      </c>
      <c r="CG400" s="337">
        <f>CF400/CASH_ON_HAND</f>
        <v>2.015270048907453E-2</v>
      </c>
      <c r="CH400" s="387"/>
      <c r="CI400" s="387"/>
      <c r="CJ400" s="387"/>
      <c r="CL400" s="387"/>
      <c r="CM400" s="387"/>
      <c r="CN400" s="387"/>
      <c r="CP400" s="387"/>
      <c r="CQ400" s="387"/>
      <c r="CR400" s="387"/>
      <c r="CS400" s="387"/>
      <c r="CT400" s="387"/>
      <c r="CU400" s="387"/>
      <c r="CV400" s="387"/>
      <c r="CW400" s="387"/>
      <c r="CX400" s="387"/>
      <c r="DE400" s="387"/>
      <c r="DF400" s="387"/>
      <c r="DG400" s="387"/>
      <c r="EJ400" s="273"/>
      <c r="EK400" s="387"/>
      <c r="EL400" s="387"/>
      <c r="EO400" s="387"/>
      <c r="EP400" s="387"/>
      <c r="EQ400" s="234"/>
      <c r="ER400" s="387"/>
      <c r="ES400" s="387"/>
      <c r="ET400" s="234"/>
      <c r="EU400" s="234"/>
      <c r="EV400" s="234"/>
      <c r="EW400" s="387"/>
      <c r="EX400" s="387"/>
      <c r="EY400" s="234"/>
      <c r="EZ400" s="234"/>
      <c r="FA400" s="387"/>
      <c r="FB400" s="234"/>
      <c r="FC400" s="234"/>
      <c r="FD400" s="387"/>
      <c r="FE400" s="387"/>
      <c r="FF400" s="387"/>
      <c r="FG400" s="234"/>
      <c r="FH400" s="234"/>
      <c r="FI400" s="234"/>
      <c r="FJ400" s="234"/>
      <c r="FK400" s="234"/>
      <c r="FN400" s="234"/>
      <c r="FO400" s="234"/>
      <c r="FP400" s="387"/>
      <c r="FQ400" s="387"/>
      <c r="FR400" s="234"/>
      <c r="FS400" s="234"/>
      <c r="FT400" s="234"/>
      <c r="FU400" s="234"/>
      <c r="FW400" s="234"/>
      <c r="FX400" s="234"/>
      <c r="FY400" s="234"/>
      <c r="FZ400" s="234"/>
      <c r="GA400" s="234"/>
      <c r="GB400" s="234"/>
      <c r="GC400" s="234"/>
      <c r="GD400" s="234"/>
      <c r="GE400" s="234"/>
      <c r="GF400" s="234"/>
      <c r="GG400" s="234"/>
      <c r="GH400" s="234"/>
      <c r="GI400" s="234"/>
      <c r="GJ400" s="234"/>
      <c r="GK400" s="234"/>
      <c r="GL400" s="234"/>
      <c r="GN400" s="234"/>
      <c r="GU400" s="234"/>
    </row>
    <row r="401" spans="2:205" s="197" customFormat="1" x14ac:dyDescent="0.25">
      <c r="C401" s="387"/>
      <c r="D401" s="400"/>
      <c r="U401" s="234"/>
      <c r="V401" s="234"/>
      <c r="W401" s="234"/>
      <c r="X401" s="234"/>
      <c r="Y401" s="234"/>
      <c r="Z401" s="271"/>
      <c r="AA401" s="234"/>
      <c r="AB401" s="234"/>
      <c r="AD401" s="268"/>
      <c r="AI401" s="234"/>
      <c r="AN401" s="234"/>
      <c r="BT401" s="234"/>
      <c r="BW401" s="234"/>
      <c r="BX401" s="234"/>
      <c r="BY401" s="234"/>
      <c r="BZ401" s="234"/>
      <c r="CA401" s="234"/>
      <c r="CC401" s="387"/>
      <c r="CE401" s="401" t="s">
        <v>1141</v>
      </c>
      <c r="CF401" s="402">
        <v>0</v>
      </c>
      <c r="CG401" s="337">
        <f>CF401/CASH_ON_HAND</f>
        <v>0</v>
      </c>
      <c r="CH401" s="387"/>
      <c r="CI401" s="387"/>
      <c r="CJ401" s="387"/>
      <c r="CL401" s="387"/>
      <c r="CM401" s="387"/>
      <c r="CN401" s="387"/>
      <c r="CP401" s="387"/>
      <c r="CQ401" s="387"/>
      <c r="CR401" s="387"/>
      <c r="CS401" s="387"/>
      <c r="CT401" s="387"/>
      <c r="CU401" s="387"/>
      <c r="CV401" s="387"/>
      <c r="CW401" s="387"/>
      <c r="CX401" s="387"/>
      <c r="DE401" s="387"/>
      <c r="DF401" s="387"/>
      <c r="DG401" s="387"/>
      <c r="DH401" s="268"/>
      <c r="EJ401" s="273"/>
      <c r="EK401" s="387"/>
      <c r="EL401" s="387"/>
      <c r="EO401" s="387"/>
      <c r="EP401" s="387"/>
      <c r="EQ401" s="234"/>
      <c r="ER401" s="387"/>
      <c r="ES401" s="387"/>
      <c r="ET401" s="234"/>
      <c r="EU401" s="234"/>
      <c r="EV401" s="234"/>
      <c r="EW401" s="387"/>
      <c r="EX401" s="387"/>
      <c r="EY401" s="234"/>
      <c r="EZ401" s="234"/>
      <c r="FA401" s="387"/>
      <c r="FB401" s="234"/>
      <c r="FC401" s="234"/>
      <c r="FD401" s="387"/>
      <c r="FE401" s="387"/>
      <c r="FF401" s="387"/>
      <c r="FG401" s="234"/>
      <c r="FH401" s="234"/>
      <c r="FI401" s="234"/>
      <c r="FJ401" s="234"/>
      <c r="FK401" s="234"/>
      <c r="FN401" s="234"/>
      <c r="FO401" s="234"/>
      <c r="FP401" s="387"/>
      <c r="FQ401" s="387"/>
      <c r="FR401" s="234"/>
      <c r="FS401" s="234"/>
      <c r="FT401" s="234"/>
      <c r="FU401" s="234"/>
      <c r="FW401" s="234"/>
      <c r="FX401" s="234"/>
      <c r="FY401" s="234"/>
      <c r="FZ401" s="234"/>
      <c r="GA401" s="234"/>
      <c r="GB401" s="234"/>
      <c r="GC401" s="234"/>
      <c r="GD401" s="234"/>
      <c r="GE401" s="234"/>
      <c r="GF401" s="234"/>
      <c r="GG401" s="234"/>
      <c r="GH401" s="234"/>
      <c r="GI401" s="234"/>
      <c r="GJ401" s="234"/>
      <c r="GK401" s="234"/>
      <c r="GL401" s="234"/>
      <c r="GN401" s="234"/>
      <c r="GU401" s="234"/>
    </row>
    <row r="402" spans="2:205" s="197" customFormat="1" x14ac:dyDescent="0.25">
      <c r="C402" s="387"/>
      <c r="D402" s="400"/>
      <c r="U402" s="234"/>
      <c r="V402" s="234"/>
      <c r="W402" s="234"/>
      <c r="X402" s="234"/>
      <c r="Y402" s="234"/>
      <c r="Z402" s="271"/>
      <c r="AA402" s="234"/>
      <c r="AB402" s="234"/>
      <c r="AD402" s="268"/>
      <c r="AI402" s="234"/>
      <c r="AN402" s="234"/>
      <c r="BT402" s="234"/>
      <c r="BW402" s="234"/>
      <c r="BX402" s="234"/>
      <c r="BY402" s="234"/>
      <c r="BZ402" s="234"/>
      <c r="CA402" s="234"/>
      <c r="CC402" s="387"/>
      <c r="CE402" s="401" t="s">
        <v>873</v>
      </c>
      <c r="CF402" s="402">
        <v>0</v>
      </c>
      <c r="CG402" s="337"/>
      <c r="CH402" s="387"/>
      <c r="CI402" s="387"/>
      <c r="CJ402" s="387"/>
      <c r="CL402" s="387"/>
      <c r="CM402" s="387"/>
      <c r="CN402" s="387"/>
      <c r="CP402" s="387"/>
      <c r="CQ402" s="387"/>
      <c r="CR402" s="387"/>
      <c r="CS402" s="387"/>
      <c r="CT402" s="387"/>
      <c r="CU402" s="387"/>
      <c r="CV402" s="387"/>
      <c r="CW402" s="387"/>
      <c r="CX402" s="387"/>
      <c r="DE402" s="387"/>
      <c r="DF402" s="387"/>
      <c r="DG402" s="387"/>
      <c r="DH402" s="268"/>
      <c r="EJ402" s="273"/>
      <c r="EK402" s="387"/>
      <c r="EL402" s="387"/>
      <c r="EO402" s="387"/>
      <c r="EP402" s="387"/>
      <c r="EQ402" s="234"/>
      <c r="ER402" s="387"/>
      <c r="ES402" s="387"/>
      <c r="ET402" s="234"/>
      <c r="EU402" s="234"/>
      <c r="EV402" s="234"/>
      <c r="EW402" s="387"/>
      <c r="EX402" s="387"/>
      <c r="EY402" s="234"/>
      <c r="EZ402" s="234"/>
      <c r="FA402" s="387"/>
      <c r="FB402" s="234"/>
      <c r="FC402" s="234"/>
      <c r="FD402" s="387"/>
      <c r="FE402" s="387"/>
      <c r="FF402" s="387"/>
      <c r="FG402" s="234"/>
      <c r="FH402" s="234"/>
      <c r="FI402" s="234"/>
      <c r="FJ402" s="234"/>
      <c r="FK402" s="234"/>
      <c r="FN402" s="234"/>
      <c r="FO402" s="234"/>
      <c r="FP402" s="387"/>
      <c r="FQ402" s="387"/>
      <c r="FR402" s="234"/>
      <c r="FS402" s="234"/>
      <c r="FT402" s="234"/>
      <c r="FU402" s="234"/>
      <c r="FW402" s="234"/>
      <c r="FX402" s="234"/>
      <c r="FY402" s="234"/>
      <c r="FZ402" s="234"/>
      <c r="GA402" s="234"/>
      <c r="GB402" s="234"/>
      <c r="GC402" s="234"/>
      <c r="GD402" s="234"/>
      <c r="GE402" s="234"/>
      <c r="GF402" s="234"/>
      <c r="GG402" s="234"/>
      <c r="GH402" s="234"/>
      <c r="GI402" s="234"/>
      <c r="GJ402" s="234"/>
      <c r="GK402" s="234"/>
      <c r="GL402" s="234"/>
      <c r="GN402" s="234"/>
      <c r="GU402" s="234"/>
    </row>
    <row r="403" spans="2:205" s="197" customFormat="1" x14ac:dyDescent="0.25">
      <c r="C403" s="387"/>
      <c r="D403" s="400"/>
      <c r="U403" s="234"/>
      <c r="V403" s="234"/>
      <c r="W403" s="234"/>
      <c r="X403" s="234"/>
      <c r="Y403" s="234"/>
      <c r="Z403" s="271"/>
      <c r="AA403" s="234"/>
      <c r="AB403" s="234"/>
      <c r="AD403" s="268"/>
      <c r="AI403" s="234"/>
      <c r="AN403" s="234"/>
      <c r="BT403" s="234"/>
      <c r="BW403" s="234"/>
      <c r="BX403" s="234"/>
      <c r="BY403" s="234"/>
      <c r="BZ403" s="234"/>
      <c r="CA403" s="234"/>
      <c r="CC403" s="387"/>
      <c r="CE403" s="401" t="s">
        <v>1206</v>
      </c>
      <c r="CF403" s="402">
        <v>2244887.13</v>
      </c>
      <c r="CG403" s="337">
        <f>CF403/CASH_ON_HAND</f>
        <v>0.96800503174047581</v>
      </c>
      <c r="CH403" s="387"/>
      <c r="CI403" s="387"/>
      <c r="CJ403" s="387"/>
      <c r="CL403" s="387"/>
      <c r="CM403" s="387"/>
      <c r="CN403" s="387"/>
      <c r="CP403" s="387"/>
      <c r="CQ403" s="387"/>
      <c r="CR403" s="387"/>
      <c r="CS403" s="387"/>
      <c r="CT403" s="387"/>
      <c r="CU403" s="387"/>
      <c r="CV403" s="387"/>
      <c r="CW403" s="387"/>
      <c r="CX403" s="387"/>
      <c r="DE403" s="387"/>
      <c r="DF403" s="387"/>
      <c r="DG403" s="387"/>
      <c r="DH403" s="268"/>
      <c r="EJ403" s="273"/>
      <c r="EK403" s="387"/>
      <c r="EL403" s="387"/>
      <c r="EO403" s="387"/>
      <c r="EP403" s="387"/>
      <c r="EQ403" s="234"/>
      <c r="ER403" s="387"/>
      <c r="ES403" s="387"/>
      <c r="ET403" s="234"/>
      <c r="EU403" s="234"/>
      <c r="EV403" s="234"/>
      <c r="EW403" s="387"/>
      <c r="EX403" s="387"/>
      <c r="EY403" s="234"/>
      <c r="EZ403" s="234"/>
      <c r="FA403" s="387"/>
      <c r="FB403" s="234"/>
      <c r="FC403" s="234"/>
      <c r="FD403" s="387"/>
      <c r="FE403" s="387"/>
      <c r="FF403" s="387"/>
      <c r="FG403" s="234"/>
      <c r="FH403" s="234"/>
      <c r="FI403" s="234"/>
      <c r="FJ403" s="234"/>
      <c r="FK403" s="234"/>
      <c r="FN403" s="234"/>
      <c r="FO403" s="234"/>
      <c r="FP403" s="387"/>
      <c r="FQ403" s="387"/>
      <c r="FR403" s="234"/>
      <c r="FS403" s="234"/>
      <c r="FT403" s="234"/>
      <c r="FU403" s="234"/>
      <c r="FW403" s="234"/>
      <c r="FX403" s="234"/>
      <c r="FY403" s="234"/>
      <c r="FZ403" s="234"/>
      <c r="GA403" s="234"/>
      <c r="GB403" s="234"/>
      <c r="GC403" s="234"/>
      <c r="GD403" s="234"/>
      <c r="GE403" s="234"/>
      <c r="GF403" s="234"/>
      <c r="GG403" s="234"/>
      <c r="GH403" s="234"/>
      <c r="GI403" s="234"/>
      <c r="GJ403" s="234"/>
      <c r="GK403" s="234"/>
      <c r="GL403" s="234"/>
      <c r="GN403" s="234"/>
      <c r="GU403" s="234"/>
    </row>
    <row r="404" spans="2:205" s="197" customFormat="1" ht="15.75" thickBot="1" x14ac:dyDescent="0.3">
      <c r="C404" s="387"/>
      <c r="D404" s="400"/>
      <c r="U404" s="234"/>
      <c r="V404" s="234"/>
      <c r="W404" s="234"/>
      <c r="X404" s="234"/>
      <c r="Y404" s="234"/>
      <c r="Z404" s="271"/>
      <c r="AA404" s="234"/>
      <c r="AB404" s="234"/>
      <c r="AD404" s="268"/>
      <c r="AI404" s="234"/>
      <c r="AN404" s="234"/>
      <c r="BT404" s="234"/>
      <c r="BW404" s="234"/>
      <c r="BX404" s="234"/>
      <c r="BY404" s="234"/>
      <c r="BZ404" s="234"/>
      <c r="CA404" s="234"/>
      <c r="CC404" s="387"/>
      <c r="CE404" s="281" t="s">
        <v>875</v>
      </c>
      <c r="CF404" s="407">
        <f>SUM(CF397:CF403)</f>
        <v>2319086.2199999997</v>
      </c>
      <c r="CG404" s="387"/>
      <c r="CH404" s="387"/>
      <c r="CI404" s="387"/>
      <c r="CJ404" s="387"/>
      <c r="CL404" s="387"/>
      <c r="CM404" s="387"/>
      <c r="CN404" s="387"/>
      <c r="CP404" s="387"/>
      <c r="CQ404" s="387"/>
      <c r="CR404" s="387"/>
      <c r="CS404" s="387"/>
      <c r="CT404" s="387"/>
      <c r="CU404" s="387"/>
      <c r="CV404" s="387"/>
      <c r="CW404" s="387"/>
      <c r="CX404" s="387"/>
      <c r="DE404" s="387"/>
      <c r="DF404" s="387"/>
      <c r="DG404" s="387"/>
      <c r="EJ404" s="273"/>
      <c r="EK404" s="387"/>
      <c r="EL404" s="387"/>
      <c r="EO404" s="387"/>
      <c r="EP404" s="387"/>
      <c r="EQ404" s="234"/>
      <c r="ER404" s="387"/>
      <c r="ES404" s="387"/>
      <c r="ET404" s="234"/>
      <c r="EU404" s="234"/>
      <c r="EV404" s="234"/>
      <c r="EW404" s="387"/>
      <c r="EX404" s="387"/>
      <c r="EY404" s="234"/>
      <c r="EZ404" s="234"/>
      <c r="FA404" s="387"/>
      <c r="FB404" s="234"/>
      <c r="FC404" s="234"/>
      <c r="FD404" s="387"/>
      <c r="FE404" s="387"/>
      <c r="FF404" s="387"/>
      <c r="FG404" s="234"/>
      <c r="FH404" s="234"/>
      <c r="FI404" s="234"/>
      <c r="FJ404" s="234"/>
      <c r="FK404" s="234"/>
      <c r="FN404" s="234"/>
      <c r="FO404" s="234"/>
      <c r="FP404" s="387"/>
      <c r="FQ404" s="387"/>
      <c r="FR404" s="234"/>
      <c r="FS404" s="234"/>
      <c r="FT404" s="234"/>
      <c r="FU404" s="234"/>
      <c r="FW404" s="234"/>
      <c r="FX404" s="234"/>
      <c r="FY404" s="234"/>
      <c r="FZ404" s="234"/>
      <c r="GA404" s="234"/>
      <c r="GB404" s="234"/>
      <c r="GC404" s="234"/>
      <c r="GD404" s="234"/>
      <c r="GE404" s="234"/>
      <c r="GF404" s="234"/>
      <c r="GG404" s="234"/>
      <c r="GH404" s="234"/>
      <c r="GI404" s="234"/>
      <c r="GJ404" s="234"/>
      <c r="GK404" s="234"/>
      <c r="GL404" s="234"/>
      <c r="GN404" s="234"/>
      <c r="GU404" s="234"/>
    </row>
    <row r="405" spans="2:205" s="197" customFormat="1" ht="15.75" thickTop="1" x14ac:dyDescent="0.25">
      <c r="C405" s="387"/>
      <c r="D405" s="400"/>
      <c r="U405" s="234"/>
      <c r="V405" s="234"/>
      <c r="W405" s="234"/>
      <c r="X405" s="234"/>
      <c r="Y405" s="234"/>
      <c r="Z405" s="271"/>
      <c r="AA405" s="234"/>
      <c r="AB405" s="234"/>
      <c r="AD405" s="268"/>
      <c r="AI405" s="234"/>
      <c r="AN405" s="234"/>
      <c r="BT405" s="234"/>
      <c r="BW405" s="234"/>
      <c r="BX405" s="234"/>
      <c r="BY405" s="234"/>
      <c r="BZ405" s="234"/>
      <c r="CA405" s="234"/>
      <c r="CC405" s="387"/>
      <c r="CE405" s="281" t="s">
        <v>876</v>
      </c>
      <c r="CF405" s="420">
        <f>SnapshotTable[[#Totals],[SP Cash Reserve]] * -1</f>
        <v>0</v>
      </c>
      <c r="CG405" s="387"/>
      <c r="CH405" s="387"/>
      <c r="CI405" s="401"/>
      <c r="CJ405" s="387"/>
      <c r="CL405" s="387"/>
      <c r="CM405" s="387"/>
      <c r="CN405" s="387"/>
      <c r="CP405" s="387"/>
      <c r="CQ405" s="387"/>
      <c r="CR405" s="387"/>
      <c r="CS405" s="387"/>
      <c r="CT405" s="387"/>
      <c r="CU405" s="387"/>
      <c r="CV405" s="387"/>
      <c r="CW405" s="387"/>
      <c r="CX405" s="387"/>
      <c r="DE405" s="387"/>
      <c r="DF405" s="387"/>
      <c r="DG405" s="387"/>
      <c r="EJ405" s="273"/>
      <c r="EK405" s="387"/>
      <c r="EL405" s="387"/>
      <c r="EO405" s="387"/>
      <c r="EP405" s="387"/>
      <c r="EQ405" s="234"/>
      <c r="ER405" s="387"/>
      <c r="ES405" s="387"/>
      <c r="ET405" s="234"/>
      <c r="EU405" s="234"/>
      <c r="EV405" s="234"/>
      <c r="EW405" s="387"/>
      <c r="EX405" s="387"/>
      <c r="EY405" s="234"/>
      <c r="EZ405" s="234"/>
      <c r="FA405" s="387"/>
      <c r="FB405" s="234"/>
      <c r="FC405" s="234"/>
      <c r="FD405" s="387"/>
      <c r="FE405" s="387"/>
      <c r="FF405" s="387"/>
      <c r="FG405" s="234"/>
      <c r="FH405" s="234"/>
      <c r="FI405" s="234"/>
      <c r="FJ405" s="234"/>
      <c r="FK405" s="234"/>
      <c r="FN405" s="234"/>
      <c r="FO405" s="234"/>
      <c r="FP405" s="387"/>
      <c r="FQ405" s="387"/>
      <c r="FR405" s="234"/>
      <c r="FS405" s="234"/>
      <c r="FT405" s="234"/>
      <c r="FU405" s="234"/>
      <c r="FW405" s="234"/>
      <c r="FX405" s="234"/>
      <c r="FY405" s="234"/>
      <c r="FZ405" s="234"/>
      <c r="GA405" s="234"/>
      <c r="GB405" s="234"/>
      <c r="GC405" s="234"/>
      <c r="GD405" s="234"/>
      <c r="GE405" s="234"/>
      <c r="GF405" s="234"/>
      <c r="GG405" s="234"/>
      <c r="GH405" s="234"/>
      <c r="GI405" s="234"/>
      <c r="GJ405" s="234"/>
      <c r="GK405" s="234"/>
      <c r="GL405" s="234"/>
      <c r="GN405" s="234"/>
      <c r="GU405" s="234"/>
    </row>
    <row r="406" spans="2:205" s="197" customFormat="1" ht="15.75" thickBot="1" x14ac:dyDescent="0.3">
      <c r="C406" s="387"/>
      <c r="D406" s="400"/>
      <c r="U406" s="234"/>
      <c r="V406" s="234"/>
      <c r="W406" s="234"/>
      <c r="X406" s="234"/>
      <c r="Y406" s="234"/>
      <c r="Z406" s="271"/>
      <c r="AA406" s="234"/>
      <c r="AB406" s="234"/>
      <c r="AD406" s="268"/>
      <c r="AI406" s="234"/>
      <c r="AN406" s="234"/>
      <c r="BT406" s="234"/>
      <c r="BW406" s="234"/>
      <c r="BX406" s="234"/>
      <c r="BY406" s="234"/>
      <c r="BZ406" s="234"/>
      <c r="CA406" s="234"/>
      <c r="CC406" s="387"/>
      <c r="CE406" s="281" t="s">
        <v>874</v>
      </c>
      <c r="CF406" s="407">
        <f>CASH_ON_HAND+PUT_RESERVE_POTENTIAL</f>
        <v>2319086.2199999997</v>
      </c>
      <c r="CG406" s="387"/>
      <c r="CH406" s="387"/>
      <c r="CI406" s="401"/>
      <c r="CJ406" s="387"/>
      <c r="CL406" s="387"/>
      <c r="CM406" s="387"/>
      <c r="CN406" s="387"/>
      <c r="CP406" s="387"/>
      <c r="CQ406" s="387"/>
      <c r="CR406" s="387"/>
      <c r="CS406" s="387"/>
      <c r="CT406" s="387"/>
      <c r="CU406" s="387"/>
      <c r="CV406" s="387"/>
      <c r="CW406" s="387"/>
      <c r="CX406" s="387"/>
      <c r="DE406" s="387"/>
      <c r="DF406" s="387"/>
      <c r="DG406" s="387"/>
      <c r="EJ406" s="273"/>
      <c r="EK406" s="387"/>
      <c r="EL406" s="387"/>
      <c r="EO406" s="387"/>
      <c r="EP406" s="387"/>
      <c r="EQ406" s="234"/>
      <c r="ER406" s="387"/>
      <c r="ES406" s="387"/>
      <c r="ET406" s="234"/>
      <c r="EU406" s="234"/>
      <c r="EV406" s="234"/>
      <c r="EW406" s="387"/>
      <c r="EX406" s="387"/>
      <c r="EY406" s="234"/>
      <c r="EZ406" s="234"/>
      <c r="FA406" s="387"/>
      <c r="FB406" s="234"/>
      <c r="FC406" s="234"/>
      <c r="FD406" s="387"/>
      <c r="FE406" s="387"/>
      <c r="FF406" s="387"/>
      <c r="FG406" s="234"/>
      <c r="FH406" s="234"/>
      <c r="FI406" s="234"/>
      <c r="FJ406" s="234"/>
      <c r="FK406" s="234"/>
      <c r="FN406" s="234"/>
      <c r="FO406" s="234"/>
      <c r="FP406" s="387"/>
      <c r="FQ406" s="387"/>
      <c r="FR406" s="234"/>
      <c r="FS406" s="234"/>
      <c r="FT406" s="234"/>
      <c r="FU406" s="234"/>
      <c r="FW406" s="234"/>
      <c r="FX406" s="234"/>
      <c r="FY406" s="234"/>
      <c r="FZ406" s="234"/>
      <c r="GA406" s="234"/>
      <c r="GB406" s="234"/>
      <c r="GC406" s="234"/>
      <c r="GD406" s="234"/>
      <c r="GE406" s="234"/>
      <c r="GF406" s="234"/>
      <c r="GG406" s="234"/>
      <c r="GH406" s="234"/>
      <c r="GI406" s="234"/>
      <c r="GJ406" s="234"/>
      <c r="GK406" s="234"/>
      <c r="GL406" s="234"/>
      <c r="GN406" s="234"/>
      <c r="GU406" s="234"/>
    </row>
    <row r="407" spans="2:205" s="197" customFormat="1" ht="15.75" thickTop="1" x14ac:dyDescent="0.25">
      <c r="D407" s="400"/>
      <c r="U407" s="234"/>
      <c r="V407" s="234"/>
      <c r="W407" s="234"/>
      <c r="X407" s="234"/>
      <c r="Y407" s="234"/>
      <c r="Z407" s="271"/>
      <c r="AA407" s="234"/>
      <c r="AB407" s="234"/>
      <c r="AD407" s="268"/>
      <c r="AI407" s="234"/>
      <c r="AN407" s="234"/>
      <c r="BT407" s="234"/>
      <c r="BW407" s="234"/>
      <c r="BX407" s="234"/>
      <c r="BY407" s="234"/>
      <c r="BZ407" s="234"/>
      <c r="CA407" s="234"/>
      <c r="CC407" s="387"/>
      <c r="CD407" s="403"/>
      <c r="CE407" s="403"/>
      <c r="CG407" s="387"/>
      <c r="CH407" s="387"/>
      <c r="CI407" s="387"/>
      <c r="CJ407" s="387"/>
      <c r="CL407" s="387"/>
      <c r="CM407" s="387"/>
      <c r="CN407" s="387"/>
      <c r="CP407" s="387"/>
      <c r="CQ407" s="387"/>
      <c r="CR407" s="387"/>
      <c r="CS407" s="387"/>
      <c r="CT407" s="387"/>
      <c r="CU407" s="387"/>
      <c r="CV407" s="387"/>
      <c r="CW407" s="387"/>
      <c r="CX407" s="387"/>
      <c r="DE407" s="387"/>
      <c r="DF407" s="387"/>
      <c r="DG407" s="387"/>
      <c r="EH407" s="268"/>
      <c r="EJ407" s="387"/>
      <c r="EK407" s="387"/>
      <c r="EL407" s="387"/>
      <c r="EO407" s="387"/>
      <c r="EP407" s="387"/>
      <c r="EQ407" s="234"/>
      <c r="ER407" s="387"/>
      <c r="ES407" s="387"/>
      <c r="ET407" s="234"/>
      <c r="EU407" s="234"/>
      <c r="EV407" s="234"/>
      <c r="EW407" s="387"/>
      <c r="EX407" s="387"/>
      <c r="EY407" s="234"/>
      <c r="EZ407" s="234"/>
      <c r="FA407" s="234"/>
      <c r="FB407" s="234"/>
      <c r="FC407" s="234"/>
      <c r="FD407" s="387"/>
      <c r="FE407" s="387"/>
      <c r="FF407" s="387"/>
      <c r="FG407" s="234"/>
      <c r="FH407" s="234"/>
      <c r="FI407" s="234"/>
      <c r="FJ407" s="234"/>
      <c r="FK407" s="234"/>
      <c r="FN407" s="234"/>
      <c r="FO407" s="234"/>
      <c r="FP407" s="387"/>
      <c r="FQ407" s="387"/>
      <c r="FR407" s="234"/>
      <c r="FS407" s="234"/>
      <c r="FT407" s="234"/>
      <c r="FU407" s="234"/>
      <c r="FW407" s="234"/>
      <c r="FX407" s="234"/>
      <c r="FY407" s="234"/>
      <c r="FZ407" s="234"/>
      <c r="GA407" s="234"/>
      <c r="GB407" s="234"/>
      <c r="GC407" s="234"/>
      <c r="GD407" s="234"/>
      <c r="GE407" s="234"/>
      <c r="GF407" s="234"/>
      <c r="GG407" s="234"/>
      <c r="GH407" s="234"/>
      <c r="GI407" s="234"/>
      <c r="GJ407" s="234"/>
      <c r="GK407" s="234"/>
      <c r="GL407" s="234"/>
      <c r="GN407" s="234"/>
      <c r="GU407" s="234"/>
    </row>
    <row r="408" spans="2:205" x14ac:dyDescent="0.25">
      <c r="B408" s="197"/>
      <c r="D408" s="400"/>
      <c r="E408" s="197"/>
      <c r="F408" s="197"/>
      <c r="G408" s="197"/>
      <c r="H408" s="197"/>
      <c r="I408" s="197"/>
      <c r="J408" s="197"/>
      <c r="K408" s="197"/>
      <c r="L408" s="197"/>
      <c r="M408" s="197"/>
      <c r="N408" s="197"/>
      <c r="O408" s="197"/>
      <c r="P408" s="197"/>
      <c r="Q408" s="197"/>
      <c r="R408" s="197"/>
      <c r="S408" s="197"/>
      <c r="T408" s="197"/>
      <c r="U408" s="234"/>
      <c r="AA408" s="234"/>
      <c r="AB408" s="234"/>
      <c r="AC408" s="197"/>
      <c r="AD408" s="268"/>
      <c r="AE408" s="197"/>
      <c r="AF408" s="197"/>
      <c r="AG408" s="197"/>
      <c r="AH408" s="197"/>
      <c r="AI408" s="234"/>
      <c r="AJ408" s="197"/>
      <c r="AK408" s="197"/>
      <c r="AL408" s="197"/>
      <c r="AM408" s="197"/>
      <c r="AN408" s="234"/>
      <c r="AO408" s="197"/>
      <c r="AP408" s="197"/>
      <c r="AQ408" s="197"/>
      <c r="AR408" s="197"/>
      <c r="AS408" s="197"/>
      <c r="AT408" s="197"/>
      <c r="AU408" s="197"/>
      <c r="AV408" s="197"/>
      <c r="AW408" s="197"/>
      <c r="AX408" s="197"/>
      <c r="AY408" s="197"/>
      <c r="AZ408" s="197"/>
      <c r="BA408" s="197"/>
      <c r="BB408" s="197"/>
      <c r="BC408" s="197"/>
      <c r="BD408" s="197"/>
      <c r="BE408" s="197"/>
      <c r="BF408" s="197"/>
      <c r="BG408" s="197"/>
      <c r="BH408" s="197"/>
      <c r="BI408" s="197"/>
      <c r="BJ408" s="197"/>
      <c r="BK408" s="197"/>
      <c r="BL408" s="197"/>
      <c r="BM408" s="197"/>
      <c r="BN408" s="197"/>
      <c r="BO408" s="197"/>
      <c r="BP408" s="197"/>
      <c r="BQ408" s="197"/>
      <c r="BR408" s="197"/>
      <c r="BS408" s="197"/>
      <c r="BT408" s="234"/>
      <c r="BU408" s="197"/>
      <c r="BV408" s="197"/>
      <c r="BW408" s="234"/>
      <c r="BX408" s="234"/>
      <c r="BY408" s="234"/>
      <c r="BZ408" s="234"/>
      <c r="CA408" s="234"/>
      <c r="CB408" s="197"/>
      <c r="CC408" s="387"/>
      <c r="CD408" s="403"/>
      <c r="CE408" s="403"/>
      <c r="CF408" s="197"/>
      <c r="CG408" s="387"/>
      <c r="CH408" s="387"/>
      <c r="CI408" s="387"/>
      <c r="CJ408" s="387"/>
      <c r="CK408" s="197"/>
      <c r="CL408" s="387"/>
      <c r="CM408" s="387"/>
      <c r="CN408" s="387"/>
      <c r="CO408" s="197"/>
      <c r="CP408" s="387"/>
      <c r="CQ408" s="387"/>
      <c r="CR408" s="387"/>
      <c r="CS408" s="387"/>
      <c r="CT408" s="387"/>
      <c r="CU408" s="387"/>
      <c r="CV408" s="387"/>
      <c r="CW408" s="387"/>
      <c r="CX408" s="387"/>
      <c r="CY408" s="197"/>
      <c r="CZ408" s="197"/>
      <c r="DA408" s="197"/>
      <c r="DB408" s="197"/>
      <c r="DC408" s="197"/>
      <c r="DD408" s="197"/>
      <c r="DE408" s="387"/>
      <c r="DF408" s="387"/>
      <c r="DG408" s="387"/>
      <c r="DH408" s="197"/>
      <c r="DI408" s="197"/>
      <c r="DJ408" s="197"/>
      <c r="DK408" s="197"/>
      <c r="DL408" s="197"/>
      <c r="DM408" s="197"/>
      <c r="DN408" s="197"/>
      <c r="DO408" s="197"/>
      <c r="DP408" s="197"/>
      <c r="DQ408" s="197"/>
      <c r="DR408" s="197"/>
      <c r="DS408" s="197"/>
      <c r="DT408" s="197"/>
      <c r="DU408" s="197"/>
      <c r="DV408" s="197"/>
      <c r="DW408" s="197"/>
      <c r="DX408" s="197"/>
      <c r="DY408" s="197"/>
      <c r="DZ408" s="197"/>
      <c r="EA408" s="197"/>
      <c r="EB408" s="197"/>
      <c r="EC408" s="197"/>
      <c r="ED408" s="197"/>
      <c r="EE408" s="197"/>
      <c r="EF408" s="197"/>
      <c r="EG408" s="197"/>
      <c r="EH408" s="197"/>
      <c r="EI408" s="197"/>
      <c r="EJ408" s="387"/>
      <c r="EK408" s="387"/>
      <c r="EL408" s="387"/>
      <c r="EM408" s="197"/>
      <c r="EN408" s="197"/>
      <c r="EO408" s="387"/>
      <c r="EP408" s="387"/>
      <c r="EQ408" s="234"/>
      <c r="ER408" s="387"/>
      <c r="ES408" s="387"/>
      <c r="ET408" s="234"/>
      <c r="EU408" s="234"/>
      <c r="EV408" s="234"/>
      <c r="EW408" s="387"/>
      <c r="EX408" s="387"/>
      <c r="EY408" s="234"/>
      <c r="EZ408" s="234"/>
      <c r="FA408" s="234"/>
      <c r="FB408" s="234"/>
      <c r="FC408" s="234"/>
      <c r="FD408" s="387"/>
      <c r="FE408" s="197"/>
      <c r="FF408" s="387"/>
      <c r="FG408" s="234"/>
      <c r="FH408" s="234"/>
      <c r="FI408" s="234"/>
      <c r="FJ408" s="234"/>
      <c r="FK408" s="234"/>
      <c r="FL408" s="197"/>
      <c r="FM408" s="197"/>
      <c r="FN408" s="234"/>
      <c r="FO408" s="234"/>
      <c r="FP408" s="387"/>
      <c r="FQ408" s="387"/>
      <c r="FR408" s="234"/>
      <c r="FS408" s="234"/>
      <c r="FT408" s="234"/>
      <c r="FU408" s="234"/>
      <c r="FV408" s="197"/>
      <c r="FW408" s="234"/>
      <c r="FX408" s="234"/>
      <c r="FY408" s="234"/>
      <c r="FZ408" s="234"/>
      <c r="GA408" s="234"/>
      <c r="GB408" s="234"/>
      <c r="GC408" s="234"/>
      <c r="GD408" s="234"/>
      <c r="GE408" s="234"/>
      <c r="GF408" s="234"/>
      <c r="GG408" s="234"/>
      <c r="GH408" s="234"/>
      <c r="GI408" s="234"/>
      <c r="GJ408" s="234"/>
      <c r="GK408" s="234"/>
      <c r="GL408" s="234"/>
      <c r="GM408" s="197"/>
      <c r="GN408" s="234"/>
      <c r="GO408" s="197"/>
      <c r="GP408" s="197"/>
      <c r="GQ408" s="197"/>
      <c r="GR408" s="197"/>
      <c r="GS408" s="197"/>
      <c r="GT408" s="197"/>
      <c r="GU408" s="234"/>
      <c r="GV408" s="197"/>
      <c r="GW408" s="197"/>
    </row>
    <row r="409" spans="2:205" x14ac:dyDescent="0.25">
      <c r="B409" s="197"/>
      <c r="D409" s="400"/>
      <c r="E409" s="197"/>
      <c r="F409" s="197"/>
      <c r="G409" s="197"/>
      <c r="H409" s="197"/>
      <c r="I409" s="197"/>
      <c r="J409" s="197"/>
      <c r="K409" s="197"/>
      <c r="L409" s="197"/>
      <c r="M409" s="197"/>
      <c r="N409" s="197"/>
      <c r="O409" s="197"/>
      <c r="P409" s="197"/>
      <c r="Q409" s="197"/>
      <c r="R409" s="197"/>
      <c r="S409" s="197"/>
      <c r="T409" s="197"/>
      <c r="U409" s="234"/>
      <c r="AA409" s="234"/>
      <c r="AB409" s="234"/>
      <c r="AC409" s="197"/>
      <c r="AD409" s="268"/>
      <c r="AE409" s="197"/>
      <c r="AF409" s="197"/>
      <c r="AG409" s="197"/>
      <c r="AH409" s="197"/>
      <c r="AI409" s="234"/>
      <c r="AJ409" s="197"/>
      <c r="AK409" s="197"/>
      <c r="AL409" s="197"/>
      <c r="AM409" s="197"/>
      <c r="AN409" s="234"/>
      <c r="AO409" s="197"/>
      <c r="AP409" s="197"/>
      <c r="AQ409" s="197"/>
      <c r="AR409" s="197"/>
      <c r="AS409" s="197"/>
      <c r="AT409" s="197"/>
      <c r="AU409" s="197"/>
      <c r="AV409" s="197"/>
      <c r="AW409" s="197"/>
      <c r="AX409" s="197"/>
      <c r="AY409" s="197"/>
      <c r="AZ409" s="197"/>
      <c r="BA409" s="197"/>
      <c r="BB409" s="197"/>
      <c r="BC409" s="197"/>
      <c r="BD409" s="197"/>
      <c r="BE409" s="197"/>
      <c r="BF409" s="197"/>
      <c r="BG409" s="197"/>
      <c r="BH409" s="197"/>
      <c r="BI409" s="197"/>
      <c r="BJ409" s="197"/>
      <c r="BK409" s="197"/>
      <c r="BL409" s="197"/>
      <c r="BM409" s="197"/>
      <c r="BN409" s="197"/>
      <c r="BO409" s="197"/>
      <c r="BP409" s="197"/>
      <c r="BQ409" s="197"/>
      <c r="BR409" s="197"/>
      <c r="BS409" s="197"/>
      <c r="BT409" s="234"/>
      <c r="BU409" s="197"/>
      <c r="BV409" s="197"/>
      <c r="BW409" s="234"/>
      <c r="BX409" s="234"/>
      <c r="BY409" s="234"/>
      <c r="BZ409" s="234"/>
      <c r="CA409" s="234"/>
      <c r="CB409" s="197"/>
      <c r="CC409" s="387"/>
      <c r="CD409" s="197"/>
      <c r="CE409" s="197"/>
      <c r="CF409" s="197"/>
      <c r="CG409" s="387"/>
      <c r="CH409" s="387"/>
      <c r="CI409" s="387"/>
      <c r="CJ409" s="387"/>
      <c r="CK409" s="197"/>
      <c r="CL409" s="387"/>
      <c r="CM409" s="387"/>
      <c r="CN409" s="387"/>
      <c r="CO409" s="197"/>
      <c r="CP409" s="387"/>
      <c r="CQ409" s="387"/>
      <c r="CR409" s="387"/>
      <c r="CS409" s="387"/>
      <c r="CT409" s="387"/>
      <c r="CU409" s="387"/>
      <c r="CV409" s="387"/>
      <c r="CW409" s="387"/>
      <c r="CX409" s="387"/>
      <c r="CY409" s="197"/>
      <c r="CZ409" s="197"/>
      <c r="DA409" s="197"/>
      <c r="DB409" s="197"/>
      <c r="DC409" s="197"/>
      <c r="DD409" s="197"/>
      <c r="DE409" s="387"/>
      <c r="DF409" s="387"/>
      <c r="DG409" s="387"/>
      <c r="DH409" s="197"/>
      <c r="DI409" s="197"/>
      <c r="DJ409" s="197"/>
      <c r="DK409" s="197"/>
      <c r="DL409" s="197"/>
      <c r="DM409" s="197"/>
      <c r="DN409" s="197"/>
      <c r="DO409" s="197"/>
      <c r="DP409" s="197"/>
      <c r="DQ409" s="197"/>
      <c r="DR409" s="197"/>
      <c r="DS409" s="197"/>
      <c r="DT409" s="197"/>
      <c r="DU409" s="197"/>
      <c r="DV409" s="197"/>
      <c r="DW409" s="197"/>
      <c r="DX409" s="197"/>
      <c r="DY409" s="197"/>
      <c r="DZ409" s="197"/>
      <c r="EA409" s="197"/>
      <c r="EB409" s="197"/>
      <c r="EC409" s="197"/>
      <c r="ED409" s="197"/>
      <c r="EE409" s="197"/>
      <c r="EF409" s="197"/>
      <c r="EG409" s="197"/>
      <c r="EH409" s="197"/>
      <c r="EI409" s="197"/>
      <c r="EJ409" s="273"/>
      <c r="EK409" s="387"/>
      <c r="EL409" s="387"/>
      <c r="EM409" s="197"/>
      <c r="EN409" s="197"/>
      <c r="EO409" s="387"/>
      <c r="EP409" s="387"/>
      <c r="EQ409" s="234"/>
      <c r="ER409" s="387"/>
      <c r="ES409" s="387"/>
      <c r="ET409" s="234"/>
      <c r="EU409" s="234"/>
      <c r="EV409" s="234"/>
      <c r="EW409" s="387"/>
      <c r="EX409" s="387"/>
      <c r="EY409" s="234"/>
      <c r="EZ409" s="234"/>
      <c r="FA409" s="234"/>
      <c r="FB409" s="234"/>
      <c r="FC409" s="234"/>
      <c r="FD409" s="387"/>
      <c r="FE409" s="387"/>
      <c r="FF409" s="387"/>
      <c r="FG409" s="234"/>
      <c r="FH409" s="234"/>
      <c r="FI409" s="234"/>
      <c r="FJ409" s="234"/>
      <c r="FK409" s="234"/>
      <c r="FL409" s="197"/>
      <c r="FM409" s="197"/>
      <c r="FN409" s="234"/>
      <c r="FO409" s="234"/>
      <c r="FP409" s="387"/>
      <c r="FQ409" s="387"/>
      <c r="FR409" s="234"/>
      <c r="FS409" s="234"/>
      <c r="FT409" s="234"/>
      <c r="FU409" s="234"/>
      <c r="FV409" s="197"/>
      <c r="FW409" s="234"/>
      <c r="FX409" s="234"/>
      <c r="FY409" s="234"/>
      <c r="FZ409" s="234"/>
      <c r="GA409" s="234"/>
      <c r="GB409" s="234"/>
      <c r="GC409" s="234"/>
      <c r="GD409" s="234"/>
      <c r="GE409" s="234"/>
      <c r="GF409" s="234"/>
      <c r="GG409" s="234"/>
      <c r="GH409" s="234"/>
      <c r="GI409" s="234"/>
      <c r="GJ409" s="234"/>
      <c r="GK409" s="234"/>
      <c r="GL409" s="234"/>
      <c r="GM409" s="197"/>
      <c r="GN409" s="234"/>
      <c r="GO409" s="197"/>
      <c r="GP409" s="197"/>
      <c r="GQ409" s="197"/>
      <c r="GR409" s="197"/>
      <c r="GS409" s="197"/>
      <c r="GT409" s="197"/>
      <c r="GU409" s="234"/>
      <c r="GV409" s="197"/>
      <c r="GW409" s="197"/>
    </row>
    <row r="410" spans="2:205" x14ac:dyDescent="0.25">
      <c r="B410" s="197"/>
      <c r="D410" s="400"/>
      <c r="E410" s="197"/>
      <c r="F410" s="197"/>
      <c r="G410" s="197"/>
      <c r="H410" s="197"/>
      <c r="I410" s="197"/>
      <c r="J410" s="197"/>
      <c r="K410" s="197"/>
      <c r="L410" s="197"/>
      <c r="M410" s="197"/>
      <c r="N410" s="197"/>
      <c r="O410" s="197"/>
      <c r="P410" s="197"/>
      <c r="Q410" s="197"/>
      <c r="R410" s="197"/>
      <c r="S410" s="197"/>
      <c r="T410" s="197"/>
      <c r="U410" s="234"/>
      <c r="AA410" s="234"/>
      <c r="AB410" s="234"/>
      <c r="AC410" s="197"/>
      <c r="AD410" s="268"/>
      <c r="AE410" s="197"/>
      <c r="AF410" s="197"/>
      <c r="AG410" s="197"/>
      <c r="AH410" s="197"/>
      <c r="AI410" s="234"/>
      <c r="AJ410" s="197"/>
      <c r="AK410" s="197"/>
      <c r="AL410" s="197"/>
      <c r="AM410" s="197"/>
      <c r="AN410" s="234"/>
      <c r="AO410" s="197"/>
      <c r="AP410" s="197"/>
      <c r="AQ410" s="197"/>
      <c r="AR410" s="197"/>
      <c r="AS410" s="197"/>
      <c r="AT410" s="197"/>
      <c r="AU410" s="197"/>
      <c r="AV410" s="197"/>
      <c r="AW410" s="197"/>
      <c r="AX410" s="197"/>
      <c r="AY410" s="197"/>
      <c r="AZ410" s="197"/>
      <c r="BA410" s="197"/>
      <c r="BB410" s="197"/>
      <c r="BC410" s="197"/>
      <c r="BD410" s="197"/>
      <c r="BE410" s="197"/>
      <c r="BF410" s="197"/>
      <c r="BG410" s="197"/>
      <c r="BH410" s="197"/>
      <c r="BI410" s="197"/>
      <c r="BJ410" s="197"/>
      <c r="BK410" s="197"/>
      <c r="BL410" s="197"/>
      <c r="BM410" s="197"/>
      <c r="BN410" s="197"/>
      <c r="BO410" s="197"/>
      <c r="BP410" s="197"/>
      <c r="BQ410" s="197"/>
      <c r="BR410" s="197"/>
      <c r="BS410" s="197"/>
      <c r="BT410" s="234"/>
      <c r="BU410" s="197"/>
      <c r="BV410" s="197"/>
      <c r="BW410" s="234"/>
      <c r="BX410" s="234"/>
      <c r="BY410" s="234"/>
      <c r="BZ410" s="234"/>
      <c r="CA410" s="234"/>
      <c r="CB410" s="197"/>
      <c r="CC410" s="387"/>
      <c r="CD410" s="197"/>
      <c r="CE410" s="197"/>
      <c r="CF410" s="197"/>
      <c r="CG410" s="387"/>
      <c r="CH410" s="387"/>
      <c r="CI410" s="387"/>
      <c r="CJ410" s="387"/>
      <c r="CK410" s="197"/>
      <c r="CL410" s="387"/>
      <c r="CM410" s="387"/>
      <c r="CN410" s="387"/>
      <c r="CO410" s="197"/>
      <c r="CP410" s="387"/>
      <c r="CQ410" s="387"/>
      <c r="CR410" s="387"/>
      <c r="CS410" s="387"/>
      <c r="CT410" s="387"/>
      <c r="CU410" s="387"/>
      <c r="CV410" s="387"/>
      <c r="CW410" s="387"/>
      <c r="CX410" s="387"/>
      <c r="CY410" s="197"/>
      <c r="CZ410" s="197"/>
      <c r="DA410" s="197"/>
      <c r="DB410" s="197"/>
      <c r="DC410" s="197"/>
      <c r="DD410" s="197"/>
      <c r="DE410" s="387"/>
      <c r="DF410" s="387"/>
      <c r="DG410" s="387"/>
      <c r="DH410" s="197"/>
      <c r="DI410" s="197"/>
      <c r="DJ410" s="197"/>
      <c r="DK410" s="197"/>
      <c r="DL410" s="197"/>
      <c r="DM410" s="197"/>
      <c r="DN410" s="197"/>
      <c r="DO410" s="197"/>
      <c r="DP410" s="197"/>
      <c r="DQ410" s="197"/>
      <c r="DR410" s="197"/>
      <c r="DS410" s="197"/>
      <c r="DT410" s="197"/>
      <c r="DU410" s="197"/>
      <c r="DV410" s="197"/>
      <c r="DW410" s="197"/>
      <c r="DX410" s="197"/>
      <c r="DY410" s="197"/>
      <c r="DZ410" s="197"/>
      <c r="EA410" s="197"/>
      <c r="EB410" s="197"/>
      <c r="EC410" s="197"/>
      <c r="ED410" s="197"/>
      <c r="EE410" s="197"/>
      <c r="EF410" s="197"/>
      <c r="EG410" s="197"/>
      <c r="EH410" s="197"/>
      <c r="EI410" s="197"/>
      <c r="EJ410" s="273"/>
      <c r="EK410" s="387"/>
      <c r="EL410" s="387"/>
      <c r="EM410" s="197"/>
      <c r="EN410" s="197"/>
      <c r="EO410" s="387"/>
      <c r="EP410" s="387"/>
      <c r="EQ410" s="234"/>
      <c r="ER410" s="387"/>
      <c r="ES410" s="387"/>
      <c r="ET410" s="234"/>
      <c r="EU410" s="234"/>
      <c r="EV410" s="234"/>
      <c r="EW410" s="387"/>
      <c r="EX410" s="387"/>
      <c r="EY410" s="234"/>
      <c r="EZ410" s="234"/>
      <c r="FA410" s="387"/>
      <c r="FB410" s="234"/>
      <c r="FC410" s="234"/>
      <c r="FD410" s="387"/>
      <c r="FE410" s="387"/>
      <c r="FF410" s="387"/>
      <c r="FG410" s="234"/>
      <c r="FH410" s="234"/>
      <c r="FI410" s="234"/>
      <c r="FJ410" s="234"/>
      <c r="FK410" s="234"/>
      <c r="FL410" s="197"/>
      <c r="FM410" s="197"/>
      <c r="FN410" s="234"/>
      <c r="FO410" s="234"/>
      <c r="FP410" s="387"/>
      <c r="FQ410" s="387"/>
      <c r="FR410" s="234"/>
      <c r="FS410" s="234"/>
      <c r="FT410" s="234"/>
      <c r="FU410" s="234"/>
      <c r="FV410" s="197"/>
      <c r="FW410" s="234"/>
      <c r="FX410" s="234"/>
      <c r="FY410" s="234"/>
      <c r="FZ410" s="234"/>
      <c r="GA410" s="234"/>
      <c r="GB410" s="234"/>
      <c r="GC410" s="234"/>
      <c r="GD410" s="234"/>
      <c r="GE410" s="234"/>
      <c r="GF410" s="234"/>
      <c r="GG410" s="234"/>
      <c r="GH410" s="234"/>
      <c r="GI410" s="234"/>
      <c r="GJ410" s="234"/>
      <c r="GK410" s="234"/>
      <c r="GL410" s="234"/>
      <c r="GM410" s="197"/>
      <c r="GN410" s="234"/>
      <c r="GO410" s="197"/>
      <c r="GP410" s="197"/>
      <c r="GQ410" s="197"/>
      <c r="GR410" s="197"/>
      <c r="GS410" s="197"/>
      <c r="GT410" s="197"/>
      <c r="GU410" s="234"/>
      <c r="GV410" s="197"/>
      <c r="GW410" s="197"/>
    </row>
    <row r="411" spans="2:205" x14ac:dyDescent="0.25">
      <c r="B411" s="197"/>
      <c r="D411" s="400"/>
      <c r="E411" s="197"/>
      <c r="F411" s="197"/>
      <c r="G411" s="197"/>
      <c r="H411" s="197"/>
      <c r="I411" s="197"/>
      <c r="J411" s="197"/>
      <c r="K411" s="197"/>
      <c r="L411" s="197"/>
      <c r="M411" s="197"/>
      <c r="N411" s="197"/>
      <c r="O411" s="197"/>
      <c r="P411" s="197"/>
      <c r="Q411" s="197"/>
      <c r="R411" s="197"/>
      <c r="S411" s="197"/>
      <c r="T411" s="197"/>
      <c r="U411" s="234"/>
      <c r="AA411" s="234"/>
      <c r="AB411" s="234"/>
      <c r="AC411" s="197"/>
      <c r="AD411" s="268"/>
      <c r="AE411" s="197"/>
      <c r="AF411" s="197"/>
      <c r="AG411" s="197"/>
      <c r="AH411" s="197"/>
      <c r="AI411" s="234"/>
      <c r="AJ411" s="197"/>
      <c r="AK411" s="197"/>
      <c r="AL411" s="197"/>
      <c r="AM411" s="197"/>
      <c r="AN411" s="234"/>
      <c r="AO411" s="197"/>
      <c r="AP411" s="197"/>
      <c r="AQ411" s="197"/>
      <c r="AR411" s="197"/>
      <c r="AS411" s="197"/>
      <c r="AT411" s="197"/>
      <c r="AU411" s="197"/>
      <c r="AV411" s="197"/>
      <c r="AW411" s="197"/>
      <c r="AX411" s="197"/>
      <c r="AY411" s="197"/>
      <c r="AZ411" s="197"/>
      <c r="BA411" s="197"/>
      <c r="BB411" s="197"/>
      <c r="BC411" s="197"/>
      <c r="BD411" s="197"/>
      <c r="BE411" s="197"/>
      <c r="BF411" s="197"/>
      <c r="BG411" s="197"/>
      <c r="BH411" s="197"/>
      <c r="BI411" s="197"/>
      <c r="BJ411" s="197"/>
      <c r="BK411" s="197"/>
      <c r="BL411" s="197"/>
      <c r="BM411" s="197"/>
      <c r="BN411" s="197"/>
      <c r="BO411" s="197"/>
      <c r="BP411" s="197"/>
      <c r="BQ411" s="197"/>
      <c r="BR411" s="197"/>
      <c r="BS411" s="197"/>
      <c r="BT411" s="234"/>
      <c r="BU411" s="197"/>
      <c r="BV411" s="197"/>
      <c r="BW411" s="234"/>
      <c r="BX411" s="234"/>
      <c r="BY411" s="234"/>
      <c r="BZ411" s="234"/>
      <c r="CA411" s="234"/>
      <c r="CB411" s="197"/>
      <c r="CC411" s="387"/>
      <c r="CD411" s="197"/>
      <c r="CE411" s="197"/>
      <c r="CF411" s="197"/>
      <c r="CG411" s="387"/>
      <c r="CH411" s="387"/>
      <c r="CI411" s="387"/>
      <c r="CJ411" s="387"/>
      <c r="CK411" s="197"/>
      <c r="CL411" s="387"/>
      <c r="CM411" s="387"/>
      <c r="CN411" s="387"/>
      <c r="CO411" s="197"/>
      <c r="CP411" s="387"/>
      <c r="CQ411" s="387"/>
      <c r="CR411" s="387"/>
      <c r="CS411" s="387"/>
      <c r="CT411" s="387"/>
      <c r="CU411" s="387"/>
      <c r="CV411" s="387"/>
      <c r="CW411" s="387"/>
      <c r="CX411" s="387"/>
      <c r="CY411" s="197"/>
      <c r="CZ411" s="197"/>
      <c r="DA411" s="197"/>
      <c r="DB411" s="197"/>
      <c r="DC411" s="197"/>
      <c r="DD411" s="197"/>
      <c r="DE411" s="387"/>
      <c r="DF411" s="387"/>
      <c r="DG411" s="387"/>
      <c r="DH411" s="197"/>
      <c r="DI411" s="197"/>
      <c r="DJ411" s="197"/>
      <c r="DK411" s="197"/>
      <c r="DL411" s="197"/>
      <c r="DM411" s="197"/>
      <c r="DN411" s="197"/>
      <c r="DO411" s="197"/>
      <c r="DP411" s="197"/>
      <c r="DQ411" s="197"/>
      <c r="DR411" s="197"/>
      <c r="DS411" s="197"/>
      <c r="DT411" s="197"/>
      <c r="DU411" s="197"/>
      <c r="DV411" s="197"/>
      <c r="DW411" s="197"/>
      <c r="DX411" s="197"/>
      <c r="DY411" s="197"/>
      <c r="DZ411" s="197"/>
      <c r="EA411" s="197"/>
      <c r="EB411" s="197"/>
      <c r="EC411" s="197"/>
      <c r="ED411" s="197"/>
      <c r="EE411" s="197"/>
      <c r="EF411" s="197"/>
      <c r="EG411" s="197"/>
      <c r="EH411" s="197"/>
      <c r="EI411" s="197"/>
      <c r="EJ411" s="273"/>
      <c r="EK411" s="387"/>
      <c r="EL411" s="387"/>
      <c r="EM411" s="197"/>
      <c r="EN411" s="197"/>
      <c r="EO411" s="387"/>
      <c r="EP411" s="387"/>
      <c r="EQ411" s="234"/>
      <c r="ER411" s="387"/>
      <c r="ES411" s="387"/>
      <c r="ET411" s="234"/>
      <c r="EU411" s="234"/>
      <c r="EV411" s="234"/>
      <c r="EW411" s="387"/>
      <c r="EX411" s="387"/>
      <c r="EY411" s="234"/>
      <c r="EZ411" s="234"/>
      <c r="FA411" s="387"/>
      <c r="FB411" s="234"/>
      <c r="FC411" s="234"/>
      <c r="FD411" s="387"/>
      <c r="FE411" s="387"/>
      <c r="FF411" s="387"/>
      <c r="FG411" s="234"/>
      <c r="FH411" s="234"/>
      <c r="FI411" s="234"/>
      <c r="FJ411" s="234"/>
      <c r="FK411" s="234"/>
      <c r="FL411" s="197"/>
      <c r="FM411" s="197"/>
      <c r="FN411" s="234"/>
      <c r="FO411" s="234"/>
      <c r="FP411" s="387"/>
      <c r="FQ411" s="387"/>
      <c r="FR411" s="234"/>
      <c r="FS411" s="234"/>
      <c r="FT411" s="234"/>
      <c r="FU411" s="234"/>
      <c r="FV411" s="197"/>
      <c r="FW411" s="234"/>
      <c r="FX411" s="234"/>
      <c r="FY411" s="234"/>
      <c r="FZ411" s="234"/>
      <c r="GA411" s="234"/>
      <c r="GB411" s="234"/>
      <c r="GC411" s="234"/>
      <c r="GD411" s="234"/>
      <c r="GE411" s="234"/>
      <c r="GF411" s="234"/>
      <c r="GG411" s="234"/>
      <c r="GH411" s="234"/>
      <c r="GI411" s="234"/>
      <c r="GJ411" s="234"/>
      <c r="GK411" s="234"/>
      <c r="GL411" s="234"/>
      <c r="GM411" s="197"/>
      <c r="GN411" s="234"/>
      <c r="GO411" s="197"/>
      <c r="GP411" s="197"/>
      <c r="GQ411" s="197"/>
      <c r="GR411" s="197"/>
      <c r="GS411" s="197"/>
      <c r="GT411" s="197"/>
      <c r="GU411" s="234"/>
      <c r="GV411" s="197"/>
      <c r="GW411" s="197"/>
    </row>
    <row r="412" spans="2:205" x14ac:dyDescent="0.25">
      <c r="B412" s="197"/>
      <c r="D412" s="400"/>
      <c r="E412" s="197"/>
      <c r="F412" s="197"/>
      <c r="G412" s="197"/>
      <c r="H412" s="197"/>
      <c r="I412" s="197"/>
      <c r="J412" s="197"/>
      <c r="K412" s="197"/>
      <c r="L412" s="197"/>
      <c r="M412" s="197"/>
      <c r="N412" s="197"/>
      <c r="O412" s="197"/>
      <c r="P412" s="197"/>
      <c r="Q412" s="197"/>
      <c r="R412" s="197"/>
      <c r="S412" s="197"/>
      <c r="T412" s="197"/>
      <c r="U412" s="234"/>
      <c r="AA412" s="234"/>
      <c r="AB412" s="234"/>
      <c r="AC412" s="197"/>
      <c r="AD412" s="268"/>
      <c r="AE412" s="197"/>
      <c r="AF412" s="197"/>
      <c r="AG412" s="197"/>
      <c r="AH412" s="197"/>
      <c r="AI412" s="234"/>
      <c r="AJ412" s="197"/>
      <c r="AK412" s="197"/>
      <c r="AL412" s="197"/>
      <c r="AM412" s="197"/>
      <c r="AN412" s="234"/>
      <c r="AO412" s="197"/>
      <c r="AP412" s="197"/>
      <c r="AQ412" s="197"/>
      <c r="AR412" s="197"/>
      <c r="AS412" s="197"/>
      <c r="AT412" s="197"/>
      <c r="AU412" s="197"/>
      <c r="AV412" s="197"/>
      <c r="AW412" s="197"/>
      <c r="AX412" s="197"/>
      <c r="AY412" s="197"/>
      <c r="AZ412" s="197"/>
      <c r="BA412" s="197"/>
      <c r="BB412" s="197"/>
      <c r="BC412" s="197"/>
      <c r="BD412" s="197"/>
      <c r="BE412" s="197"/>
      <c r="BF412" s="197"/>
      <c r="BG412" s="197"/>
      <c r="BH412" s="197"/>
      <c r="BI412" s="197"/>
      <c r="BJ412" s="197"/>
      <c r="BK412" s="197"/>
      <c r="BL412" s="197"/>
      <c r="BM412" s="197"/>
      <c r="BN412" s="197"/>
      <c r="BO412" s="197"/>
      <c r="BP412" s="197"/>
      <c r="BQ412" s="197"/>
      <c r="BR412" s="197"/>
      <c r="BS412" s="197"/>
      <c r="BT412" s="234"/>
      <c r="BU412" s="197"/>
      <c r="BV412" s="197"/>
      <c r="BW412" s="234"/>
      <c r="BX412" s="234"/>
      <c r="BY412" s="234"/>
      <c r="BZ412" s="234"/>
      <c r="CA412" s="234"/>
      <c r="CB412" s="197"/>
      <c r="CC412" s="387"/>
      <c r="CD412" s="197"/>
      <c r="CE412" s="197"/>
      <c r="CF412" s="197"/>
      <c r="CG412" s="387"/>
      <c r="CH412" s="387"/>
      <c r="CI412" s="387"/>
      <c r="CJ412" s="387"/>
      <c r="CK412" s="197"/>
      <c r="CL412" s="387"/>
      <c r="CM412" s="387"/>
      <c r="CN412" s="387"/>
      <c r="CO412" s="197"/>
      <c r="CP412" s="387"/>
      <c r="CQ412" s="387"/>
      <c r="CR412" s="387"/>
      <c r="CS412" s="387"/>
      <c r="CT412" s="387"/>
      <c r="CU412" s="387"/>
      <c r="CV412" s="387"/>
      <c r="CW412" s="387"/>
      <c r="CX412" s="387"/>
      <c r="CY412" s="197"/>
      <c r="CZ412" s="197"/>
      <c r="DA412" s="197"/>
      <c r="DB412" s="197"/>
      <c r="DC412" s="197"/>
      <c r="DD412" s="197"/>
      <c r="DE412" s="387"/>
      <c r="DF412" s="387"/>
      <c r="DG412" s="387"/>
      <c r="DH412" s="197"/>
      <c r="DI412" s="197"/>
      <c r="DJ412" s="197"/>
      <c r="DK412" s="197"/>
      <c r="DL412" s="197"/>
      <c r="DM412" s="197"/>
      <c r="DN412" s="197"/>
      <c r="DO412" s="197"/>
      <c r="DP412" s="197"/>
      <c r="DQ412" s="197"/>
      <c r="DR412" s="197"/>
      <c r="DS412" s="197"/>
      <c r="DT412" s="197"/>
      <c r="DU412" s="197"/>
      <c r="DV412" s="197"/>
      <c r="DW412" s="197"/>
      <c r="DX412" s="197"/>
      <c r="DY412" s="197"/>
      <c r="DZ412" s="197"/>
      <c r="EA412" s="197"/>
      <c r="EB412" s="197"/>
      <c r="EC412" s="197"/>
      <c r="ED412" s="197"/>
      <c r="EE412" s="197"/>
      <c r="EF412" s="197"/>
      <c r="EG412" s="197"/>
      <c r="EH412" s="197"/>
      <c r="EI412" s="197"/>
      <c r="EJ412" s="273"/>
      <c r="EK412" s="387"/>
      <c r="EL412" s="387"/>
      <c r="EM412" s="197"/>
      <c r="EN412" s="197"/>
      <c r="EO412" s="387"/>
      <c r="EP412" s="387"/>
      <c r="EQ412" s="234"/>
      <c r="ER412" s="387"/>
      <c r="ES412" s="387"/>
      <c r="ET412" s="234"/>
      <c r="EU412" s="234"/>
      <c r="EV412" s="234"/>
      <c r="EW412" s="387"/>
      <c r="EX412" s="387"/>
      <c r="EY412" s="234"/>
      <c r="EZ412" s="234"/>
      <c r="FA412" s="387"/>
      <c r="FB412" s="234"/>
      <c r="FC412" s="234"/>
      <c r="FD412" s="387"/>
      <c r="FE412" s="387"/>
      <c r="FF412" s="387"/>
      <c r="FG412" s="234"/>
      <c r="FH412" s="234"/>
      <c r="FI412" s="234"/>
      <c r="FJ412" s="234"/>
      <c r="FK412" s="234"/>
      <c r="FL412" s="197"/>
      <c r="FM412" s="197"/>
      <c r="FN412" s="234"/>
      <c r="FO412" s="234"/>
      <c r="FP412" s="387"/>
      <c r="FQ412" s="387"/>
      <c r="FR412" s="234"/>
      <c r="FS412" s="234"/>
      <c r="FT412" s="234"/>
      <c r="FU412" s="234"/>
      <c r="FV412" s="197"/>
      <c r="FW412" s="234"/>
      <c r="FX412" s="234"/>
      <c r="FY412" s="234"/>
      <c r="FZ412" s="234"/>
      <c r="GA412" s="234"/>
      <c r="GB412" s="234"/>
      <c r="GC412" s="234"/>
      <c r="GD412" s="234"/>
      <c r="GE412" s="234"/>
      <c r="GF412" s="234"/>
      <c r="GG412" s="234"/>
      <c r="GH412" s="234"/>
      <c r="GI412" s="234"/>
      <c r="GJ412" s="234"/>
      <c r="GK412" s="234"/>
      <c r="GL412" s="234"/>
      <c r="GM412" s="197"/>
      <c r="GN412" s="234"/>
      <c r="GO412" s="197"/>
      <c r="GP412" s="197"/>
      <c r="GQ412" s="197"/>
      <c r="GR412" s="197"/>
      <c r="GS412" s="197"/>
      <c r="GT412" s="197"/>
      <c r="GU412" s="234"/>
      <c r="GV412" s="197"/>
      <c r="GW412" s="197"/>
    </row>
    <row r="413" spans="2:205" x14ac:dyDescent="0.25">
      <c r="B413" s="197"/>
      <c r="D413" s="400"/>
      <c r="E413" s="197"/>
      <c r="F413" s="197"/>
      <c r="G413" s="197"/>
      <c r="H413" s="197"/>
      <c r="I413" s="197"/>
      <c r="J413" s="197"/>
      <c r="K413" s="197"/>
      <c r="L413" s="197"/>
      <c r="M413" s="197"/>
      <c r="N413" s="197"/>
      <c r="O413" s="197"/>
      <c r="P413" s="197"/>
      <c r="Q413" s="197"/>
      <c r="R413" s="197"/>
      <c r="S413" s="197"/>
      <c r="T413" s="197"/>
      <c r="U413" s="234"/>
      <c r="AA413" s="234"/>
      <c r="AB413" s="234"/>
      <c r="AC413" s="197"/>
      <c r="AD413" s="268"/>
      <c r="AE413" s="197"/>
      <c r="AF413" s="197"/>
      <c r="AG413" s="197"/>
      <c r="AH413" s="197"/>
      <c r="AI413" s="234"/>
      <c r="AJ413" s="197"/>
      <c r="AK413" s="197"/>
      <c r="AL413" s="197"/>
      <c r="AM413" s="197"/>
      <c r="AN413" s="234"/>
      <c r="AO413" s="197"/>
      <c r="AP413" s="197"/>
      <c r="AQ413" s="197"/>
      <c r="AR413" s="197"/>
      <c r="AS413" s="197"/>
      <c r="AT413" s="197"/>
      <c r="AU413" s="197"/>
      <c r="AV413" s="197"/>
      <c r="AW413" s="197"/>
      <c r="AX413" s="197"/>
      <c r="AY413" s="197"/>
      <c r="AZ413" s="197"/>
      <c r="BA413" s="197"/>
      <c r="BB413" s="197"/>
      <c r="BC413" s="197"/>
      <c r="BD413" s="197"/>
      <c r="BE413" s="197"/>
      <c r="BF413" s="197"/>
      <c r="BG413" s="197"/>
      <c r="BH413" s="197"/>
      <c r="BI413" s="197"/>
      <c r="BJ413" s="197"/>
      <c r="BK413" s="197"/>
      <c r="BL413" s="197"/>
      <c r="BM413" s="197"/>
      <c r="BN413" s="197"/>
      <c r="BO413" s="197"/>
      <c r="BP413" s="197"/>
      <c r="BQ413" s="197"/>
      <c r="BR413" s="197"/>
      <c r="BS413" s="197"/>
      <c r="BT413" s="234"/>
      <c r="BU413" s="197"/>
      <c r="BV413" s="197"/>
      <c r="BW413" s="234"/>
      <c r="BX413" s="234"/>
      <c r="BY413" s="234"/>
      <c r="BZ413" s="234"/>
      <c r="CA413" s="234"/>
      <c r="CB413" s="197"/>
      <c r="CC413" s="387"/>
      <c r="CD413" s="197"/>
      <c r="CE413" s="197"/>
      <c r="CF413" s="197"/>
      <c r="CG413" s="387"/>
      <c r="CH413" s="387"/>
      <c r="CI413" s="387"/>
      <c r="CJ413" s="387"/>
      <c r="CK413" s="197"/>
      <c r="CL413" s="387"/>
      <c r="CM413" s="387"/>
      <c r="CN413" s="387"/>
      <c r="CO413" s="197"/>
      <c r="CP413" s="387"/>
      <c r="CQ413" s="387"/>
      <c r="CR413" s="387"/>
      <c r="CS413" s="387"/>
      <c r="CT413" s="387"/>
      <c r="CU413" s="387"/>
      <c r="CV413" s="387"/>
      <c r="CW413" s="387"/>
      <c r="CX413" s="387"/>
      <c r="CY413" s="197"/>
      <c r="CZ413" s="197"/>
      <c r="DA413" s="197"/>
      <c r="DB413" s="197"/>
      <c r="DC413" s="197"/>
      <c r="DD413" s="197"/>
      <c r="DE413" s="387"/>
      <c r="DF413" s="387"/>
      <c r="DG413" s="387"/>
      <c r="DH413" s="197"/>
      <c r="DI413" s="197"/>
      <c r="DJ413" s="197"/>
      <c r="DK413" s="197"/>
      <c r="DL413" s="197"/>
      <c r="DM413" s="197"/>
      <c r="DN413" s="197"/>
      <c r="DO413" s="197"/>
      <c r="DP413" s="197"/>
      <c r="DQ413" s="197"/>
      <c r="DR413" s="197"/>
      <c r="DS413" s="197"/>
      <c r="DT413" s="197"/>
      <c r="DU413" s="197"/>
      <c r="DV413" s="197"/>
      <c r="DW413" s="197"/>
      <c r="DX413" s="197"/>
      <c r="DY413" s="197"/>
      <c r="DZ413" s="197"/>
      <c r="EA413" s="197"/>
      <c r="EB413" s="197"/>
      <c r="EC413" s="197"/>
      <c r="ED413" s="197"/>
      <c r="EE413" s="197"/>
      <c r="EF413" s="197"/>
      <c r="EG413" s="197"/>
      <c r="EH413" s="197"/>
      <c r="EI413" s="197"/>
      <c r="EJ413" s="273"/>
      <c r="EK413" s="387"/>
      <c r="EL413" s="387"/>
      <c r="EM413" s="197"/>
      <c r="EN413" s="197"/>
      <c r="EO413" s="387"/>
      <c r="EP413" s="387"/>
      <c r="EQ413" s="234"/>
      <c r="ER413" s="387"/>
      <c r="ES413" s="387"/>
      <c r="ET413" s="234"/>
      <c r="EU413" s="234"/>
      <c r="EV413" s="234"/>
      <c r="EW413" s="387"/>
      <c r="EX413" s="387"/>
      <c r="EY413" s="234"/>
      <c r="EZ413" s="234"/>
      <c r="FA413" s="387"/>
      <c r="FB413" s="234"/>
      <c r="FC413" s="234"/>
      <c r="FD413" s="387"/>
      <c r="FE413" s="387"/>
      <c r="FF413" s="387"/>
      <c r="FG413" s="234"/>
      <c r="FH413" s="234"/>
      <c r="FI413" s="234"/>
      <c r="FJ413" s="234"/>
      <c r="FK413" s="234"/>
      <c r="FL413" s="197"/>
      <c r="FM413" s="197"/>
      <c r="FN413" s="234"/>
      <c r="FO413" s="234"/>
      <c r="FP413" s="387"/>
      <c r="FQ413" s="387"/>
      <c r="FR413" s="234"/>
      <c r="FS413" s="234"/>
      <c r="FT413" s="234"/>
      <c r="FU413" s="234"/>
      <c r="FV413" s="197"/>
      <c r="FW413" s="234"/>
      <c r="FX413" s="234"/>
      <c r="FY413" s="234"/>
      <c r="FZ413" s="234"/>
      <c r="GA413" s="234"/>
      <c r="GB413" s="234"/>
      <c r="GC413" s="234"/>
      <c r="GD413" s="234"/>
      <c r="GE413" s="234"/>
      <c r="GF413" s="234"/>
      <c r="GG413" s="234"/>
      <c r="GH413" s="234"/>
      <c r="GI413" s="234"/>
      <c r="GJ413" s="234"/>
      <c r="GK413" s="234"/>
      <c r="GL413" s="234"/>
      <c r="GM413" s="197"/>
      <c r="GN413" s="234"/>
      <c r="GO413" s="197"/>
      <c r="GP413" s="197"/>
      <c r="GQ413" s="197"/>
      <c r="GR413" s="197"/>
      <c r="GS413" s="197"/>
      <c r="GT413" s="197"/>
      <c r="GU413" s="234"/>
      <c r="GV413" s="197"/>
      <c r="GW413" s="197"/>
    </row>
    <row r="414" spans="2:205" x14ac:dyDescent="0.25">
      <c r="B414" s="197"/>
      <c r="D414" s="400"/>
      <c r="E414" s="197"/>
      <c r="F414" s="197"/>
      <c r="G414" s="197"/>
      <c r="H414" s="197"/>
      <c r="I414" s="197"/>
      <c r="J414" s="197"/>
      <c r="K414" s="197"/>
      <c r="L414" s="197"/>
      <c r="M414" s="197"/>
      <c r="N414" s="197"/>
      <c r="O414" s="197"/>
      <c r="P414" s="197"/>
      <c r="Q414" s="197"/>
      <c r="R414" s="197"/>
      <c r="S414" s="197"/>
      <c r="T414" s="197"/>
      <c r="U414" s="234"/>
      <c r="AA414" s="234"/>
      <c r="AB414" s="234"/>
      <c r="AC414" s="197"/>
      <c r="AD414" s="268"/>
      <c r="AE414" s="197"/>
      <c r="AF414" s="197"/>
      <c r="AG414" s="197"/>
      <c r="AH414" s="197"/>
      <c r="AI414" s="234"/>
      <c r="AJ414" s="197"/>
      <c r="AK414" s="197"/>
      <c r="AL414" s="197"/>
      <c r="AM414" s="197"/>
      <c r="AN414" s="234"/>
      <c r="AO414" s="197"/>
      <c r="AP414" s="197"/>
      <c r="AQ414" s="197"/>
      <c r="AR414" s="197"/>
      <c r="AS414" s="197"/>
      <c r="AT414" s="197"/>
      <c r="AU414" s="197"/>
      <c r="AV414" s="197"/>
      <c r="AW414" s="197"/>
      <c r="AX414" s="197"/>
      <c r="AY414" s="197"/>
      <c r="AZ414" s="197"/>
      <c r="BA414" s="197"/>
      <c r="BB414" s="197"/>
      <c r="BC414" s="197"/>
      <c r="BD414" s="197"/>
      <c r="BE414" s="197"/>
      <c r="BF414" s="197"/>
      <c r="BG414" s="197"/>
      <c r="BH414" s="197"/>
      <c r="BI414" s="197"/>
      <c r="BJ414" s="197"/>
      <c r="BK414" s="197"/>
      <c r="BL414" s="197"/>
      <c r="BM414" s="197"/>
      <c r="BN414" s="197"/>
      <c r="BO414" s="197"/>
      <c r="BP414" s="197"/>
      <c r="BQ414" s="197"/>
      <c r="BR414" s="197"/>
      <c r="BS414" s="197"/>
      <c r="BT414" s="234"/>
      <c r="BU414" s="197"/>
      <c r="BV414" s="197"/>
      <c r="BW414" s="234"/>
      <c r="BX414" s="234"/>
      <c r="BY414" s="234"/>
      <c r="BZ414" s="234"/>
      <c r="CA414" s="234"/>
      <c r="CB414" s="197"/>
      <c r="CC414" s="387"/>
      <c r="CD414" s="197"/>
      <c r="CE414" s="197"/>
      <c r="CF414" s="197"/>
      <c r="CG414" s="387"/>
      <c r="CH414" s="387"/>
      <c r="CI414" s="387"/>
      <c r="CJ414" s="387"/>
      <c r="CK414" s="197"/>
      <c r="CL414" s="387"/>
      <c r="CM414" s="387"/>
      <c r="CN414" s="387"/>
      <c r="CO414" s="197"/>
      <c r="CP414" s="387"/>
      <c r="CQ414" s="387"/>
      <c r="CR414" s="387"/>
      <c r="CS414" s="387"/>
      <c r="CT414" s="387"/>
      <c r="CU414" s="387"/>
      <c r="CV414" s="387"/>
      <c r="CW414" s="387"/>
      <c r="CX414" s="387"/>
      <c r="CY414" s="197"/>
      <c r="CZ414" s="197"/>
      <c r="DA414" s="197"/>
      <c r="DB414" s="197"/>
      <c r="DC414" s="197"/>
      <c r="DD414" s="197"/>
      <c r="DE414" s="387"/>
      <c r="DF414" s="387"/>
      <c r="DG414" s="387"/>
      <c r="DH414" s="197"/>
      <c r="DI414" s="197"/>
      <c r="DJ414" s="197"/>
      <c r="DK414" s="197"/>
      <c r="DL414" s="197"/>
      <c r="DM414" s="197"/>
      <c r="DN414" s="197"/>
      <c r="DO414" s="197"/>
      <c r="DP414" s="197"/>
      <c r="DQ414" s="197"/>
      <c r="DR414" s="197"/>
      <c r="DS414" s="197"/>
      <c r="DT414" s="197"/>
      <c r="DU414" s="197"/>
      <c r="DV414" s="197"/>
      <c r="DW414" s="197"/>
      <c r="DX414" s="197"/>
      <c r="DY414" s="197"/>
      <c r="DZ414" s="197"/>
      <c r="EA414" s="197"/>
      <c r="EB414" s="197"/>
      <c r="EC414" s="197"/>
      <c r="ED414" s="197"/>
      <c r="EE414" s="197"/>
      <c r="EF414" s="197"/>
      <c r="EG414" s="197"/>
      <c r="EH414" s="197"/>
      <c r="EI414" s="197"/>
      <c r="EJ414" s="273"/>
      <c r="EK414" s="387"/>
      <c r="EL414" s="387"/>
      <c r="EM414" s="197"/>
      <c r="EN414" s="197"/>
      <c r="EO414" s="387"/>
      <c r="EP414" s="387"/>
      <c r="EQ414" s="234"/>
      <c r="ER414" s="387"/>
      <c r="ES414" s="387"/>
      <c r="ET414" s="234"/>
      <c r="EU414" s="234"/>
      <c r="EV414" s="234"/>
      <c r="EW414" s="387"/>
      <c r="EX414" s="387"/>
      <c r="EY414" s="234"/>
      <c r="EZ414" s="234"/>
      <c r="FA414" s="387"/>
      <c r="FB414" s="234"/>
      <c r="FC414" s="234"/>
      <c r="FD414" s="387"/>
      <c r="FE414" s="387"/>
      <c r="FF414" s="387"/>
      <c r="FG414" s="234"/>
      <c r="FH414" s="234"/>
      <c r="FI414" s="234"/>
      <c r="FJ414" s="234"/>
      <c r="FK414" s="234"/>
      <c r="FL414" s="197"/>
      <c r="FM414" s="197"/>
      <c r="FN414" s="234"/>
      <c r="FO414" s="234"/>
      <c r="FP414" s="387"/>
      <c r="FQ414" s="387"/>
      <c r="FR414" s="234"/>
      <c r="FS414" s="234"/>
      <c r="FT414" s="234"/>
      <c r="FU414" s="234"/>
      <c r="FV414" s="197"/>
      <c r="FW414" s="234"/>
      <c r="FX414" s="234"/>
      <c r="FY414" s="234"/>
      <c r="FZ414" s="234"/>
      <c r="GA414" s="234"/>
      <c r="GB414" s="234"/>
      <c r="GC414" s="234"/>
      <c r="GD414" s="234"/>
      <c r="GE414" s="234"/>
      <c r="GF414" s="234"/>
      <c r="GG414" s="234"/>
      <c r="GH414" s="234"/>
      <c r="GI414" s="234"/>
      <c r="GJ414" s="234"/>
      <c r="GK414" s="234"/>
      <c r="GL414" s="234"/>
      <c r="GM414" s="197"/>
      <c r="GN414" s="234"/>
      <c r="GO414" s="197"/>
      <c r="GP414" s="197"/>
      <c r="GQ414" s="197"/>
      <c r="GR414" s="197"/>
      <c r="GS414" s="197"/>
      <c r="GT414" s="197"/>
      <c r="GU414" s="234"/>
      <c r="GV414" s="197"/>
      <c r="GW414" s="197"/>
    </row>
    <row r="415" spans="2:205" x14ac:dyDescent="0.25">
      <c r="EW415" s="387"/>
      <c r="EX415" s="387"/>
      <c r="EY415" s="234"/>
      <c r="EZ415" s="234"/>
      <c r="FA415" s="387"/>
      <c r="FB415" s="234"/>
      <c r="FC415" s="234"/>
      <c r="FD415" s="387"/>
      <c r="FE415" s="387"/>
      <c r="FF415" s="387"/>
      <c r="FG415" s="234"/>
    </row>
    <row r="416" spans="2:205" x14ac:dyDescent="0.25">
      <c r="CQ416" s="371"/>
      <c r="CR416" s="371"/>
      <c r="CS416" s="371"/>
      <c r="EL416" s="384"/>
      <c r="EM416" s="257"/>
      <c r="EO416" s="383"/>
      <c r="ER416" s="197"/>
      <c r="EW416" s="387"/>
      <c r="EX416" s="387"/>
      <c r="EY416" s="234"/>
      <c r="EZ416" s="234"/>
      <c r="FA416" s="387"/>
      <c r="FB416" s="234"/>
      <c r="FC416" s="234"/>
      <c r="FD416" s="387"/>
      <c r="FE416" s="387"/>
      <c r="FF416" s="387"/>
      <c r="FG416" s="234"/>
    </row>
    <row r="417" spans="95:211" x14ac:dyDescent="0.25">
      <c r="CQ417" s="371"/>
      <c r="CR417" s="371"/>
      <c r="CS417" s="371"/>
      <c r="EL417" s="384"/>
      <c r="EM417" s="257"/>
      <c r="EW417" s="387"/>
      <c r="EX417" s="387"/>
      <c r="EY417" s="234"/>
      <c r="EZ417" s="234"/>
      <c r="FA417" s="387"/>
      <c r="FB417" s="234"/>
      <c r="FC417" s="234"/>
      <c r="FD417" s="387"/>
      <c r="FE417" s="387"/>
      <c r="FF417" s="387"/>
      <c r="FG417" s="234"/>
    </row>
    <row r="418" spans="95:211" x14ac:dyDescent="0.25">
      <c r="CQ418" s="371"/>
      <c r="CR418" s="371"/>
      <c r="CS418" s="371"/>
      <c r="EW418" s="387"/>
      <c r="EX418" s="387"/>
      <c r="EY418" s="234"/>
      <c r="EZ418" s="234"/>
      <c r="FA418" s="387"/>
      <c r="FB418" s="234"/>
      <c r="FC418" s="234"/>
      <c r="FD418" s="387"/>
      <c r="FE418" s="387"/>
      <c r="FF418" s="387"/>
      <c r="FG418" s="234"/>
    </row>
    <row r="419" spans="95:211" x14ac:dyDescent="0.25">
      <c r="CQ419" s="371"/>
      <c r="CR419" s="371"/>
      <c r="CS419" s="371"/>
      <c r="EW419" s="387"/>
      <c r="EX419" s="387"/>
      <c r="EY419" s="234"/>
      <c r="EZ419" s="234"/>
      <c r="FA419" s="387"/>
      <c r="FB419" s="234"/>
      <c r="FC419" s="234"/>
      <c r="FD419" s="387"/>
      <c r="FE419" s="387"/>
      <c r="FF419" s="387"/>
      <c r="FG419" s="234"/>
    </row>
    <row r="420" spans="95:211" x14ac:dyDescent="0.25">
      <c r="EW420" s="387"/>
      <c r="EX420" s="387"/>
      <c r="EY420" s="234"/>
      <c r="EZ420" s="234"/>
      <c r="FA420" s="387"/>
      <c r="FB420" s="234"/>
      <c r="FC420" s="234"/>
      <c r="FD420" s="387"/>
      <c r="FE420" s="387"/>
      <c r="FF420" s="387"/>
      <c r="FG420" s="234"/>
    </row>
    <row r="421" spans="95:211" x14ac:dyDescent="0.25">
      <c r="EW421" s="387"/>
      <c r="EX421" s="387"/>
      <c r="EY421" s="234"/>
      <c r="EZ421" s="234"/>
      <c r="FA421" s="387"/>
      <c r="FB421" s="234"/>
      <c r="FC421" s="234"/>
      <c r="FD421" s="387"/>
      <c r="FE421" s="387"/>
      <c r="FF421" s="387"/>
      <c r="FG421" s="234"/>
    </row>
    <row r="422" spans="95:211" x14ac:dyDescent="0.25">
      <c r="EW422" s="387"/>
      <c r="EX422" s="387"/>
      <c r="EY422" s="234"/>
      <c r="EZ422" s="234"/>
      <c r="FA422" s="387"/>
      <c r="FB422" s="234"/>
      <c r="FC422" s="234"/>
      <c r="FD422" s="387"/>
      <c r="FE422" s="387"/>
      <c r="FF422" s="387"/>
      <c r="FG422" s="234"/>
    </row>
    <row r="423" spans="95:211" x14ac:dyDescent="0.25">
      <c r="EW423" s="387"/>
      <c r="EX423" s="387"/>
      <c r="EY423" s="234"/>
      <c r="EZ423" s="234"/>
      <c r="FA423" s="387"/>
      <c r="FB423" s="234"/>
      <c r="FC423" s="234"/>
      <c r="FD423" s="387"/>
      <c r="FE423" s="387"/>
      <c r="FF423" s="387"/>
      <c r="FG423" s="234"/>
    </row>
    <row r="427" spans="95:211" x14ac:dyDescent="0.25">
      <c r="HB427" s="20"/>
      <c r="HC427" s="20"/>
    </row>
    <row r="428" spans="95:211" x14ac:dyDescent="0.25">
      <c r="HB428" s="20"/>
      <c r="HC428" s="20"/>
    </row>
    <row r="430" spans="95:211" x14ac:dyDescent="0.25">
      <c r="HB430" s="20"/>
      <c r="HC430" s="20"/>
    </row>
  </sheetData>
  <phoneticPr fontId="49" type="noConversion"/>
  <conditionalFormatting sqref="P377">
    <cfRule type="expression" dxfId="175" priority="4340">
      <formula>AND(ISNUMBER($DH377),$DH377 &gt;= $FK$377)</formula>
    </cfRule>
  </conditionalFormatting>
  <conditionalFormatting sqref="Q30">
    <cfRule type="expression" dxfId="174" priority="4297">
      <formula>AND($F30="H",#REF!&lt;&gt;0)</formula>
    </cfRule>
  </conditionalFormatting>
  <conditionalFormatting sqref="BC9:BC394">
    <cfRule type="expression" dxfId="173" priority="4332">
      <formula>BC9 &lt;= MockToday + 6</formula>
    </cfRule>
  </conditionalFormatting>
  <conditionalFormatting sqref="BE9:BE393">
    <cfRule type="expression" dxfId="172" priority="4315">
      <formula>AND(ISNUMBER(BE9),$BE9 &gt;=$C9)</formula>
    </cfRule>
  </conditionalFormatting>
  <conditionalFormatting sqref="BC9:BD384 EK9:EK394 DI11:DI384 BQ9:BQ372">
    <cfRule type="cellIs" dxfId="171" priority="4272" stopIfTrue="1" operator="between">
      <formula>MockToday</formula>
      <formula>1</formula>
    </cfRule>
  </conditionalFormatting>
  <conditionalFormatting sqref="BQ9:BQ394">
    <cfRule type="expression" dxfId="170" priority="4276">
      <formula>CW9 &lt; 7</formula>
    </cfRule>
  </conditionalFormatting>
  <conditionalFormatting sqref="BQ361">
    <cfRule type="expression" dxfId="169" priority="4249">
      <formula>EU361 &lt; 7</formula>
    </cfRule>
  </conditionalFormatting>
  <conditionalFormatting sqref="BR9:BR394">
    <cfRule type="expression" dxfId="168" priority="4304">
      <formula>AND(ISNUMBER($BR9),$BR9 &gt;=$C9)</formula>
    </cfRule>
  </conditionalFormatting>
  <conditionalFormatting sqref="CN9:CN394 CT9:CT394 CX9:CX394">
    <cfRule type="expression" dxfId="167" priority="4259">
      <formula>AND($CN9 &lt;= $CR9, ISNUMBER($CN9))</formula>
    </cfRule>
  </conditionalFormatting>
  <conditionalFormatting sqref="CT9:CT384">
    <cfRule type="cellIs" dxfId="166" priority="4262" operator="equal">
      <formula>"Y"</formula>
    </cfRule>
  </conditionalFormatting>
  <conditionalFormatting sqref="CU9:CU394">
    <cfRule type="expression" dxfId="165" priority="4253">
      <formula>INT(CU9)&lt;&gt;INT(CS9)</formula>
    </cfRule>
  </conditionalFormatting>
  <conditionalFormatting sqref="CX9:DE384 CP11:CP372">
    <cfRule type="expression" dxfId="164" priority="4318">
      <formula>$CT9="Y"</formula>
    </cfRule>
  </conditionalFormatting>
  <conditionalFormatting sqref="CY9:CY395">
    <cfRule type="expression" dxfId="163" priority="4343">
      <formula>AND(ISNUMBER($CY9),$C9 &lt; $CY9)</formula>
    </cfRule>
  </conditionalFormatting>
  <conditionalFormatting sqref="DH8:DH395">
    <cfRule type="expression" dxfId="162" priority="4341">
      <formula>AND(ISNUMBER($DH8),$DH8 &gt;= $FK$8)</formula>
    </cfRule>
  </conditionalFormatting>
  <conditionalFormatting sqref="DI9:DI393">
    <cfRule type="expression" dxfId="161" priority="4274">
      <formula>DR9 &lt; 7</formula>
    </cfRule>
  </conditionalFormatting>
  <conditionalFormatting sqref="DJ9:DJ393">
    <cfRule type="expression" dxfId="160" priority="4342">
      <formula>AND(ISNUMBER(DJ9),$DI9 &lt;=$C9)</formula>
    </cfRule>
  </conditionalFormatting>
  <conditionalFormatting sqref="DJ34:DJ36">
    <cfRule type="expression" dxfId="159" priority="4293">
      <formula>AND(ISNUMBER(DJ34),$DI34 &lt;=#REF!)</formula>
    </cfRule>
  </conditionalFormatting>
  <conditionalFormatting sqref="DJ217:DJ218">
    <cfRule type="expression" dxfId="158" priority="4345">
      <formula>AND(ISNUMBER(DJ217),$DJ217 &gt;=$C217)</formula>
    </cfRule>
  </conditionalFormatting>
  <conditionalFormatting sqref="DV9:DW395">
    <cfRule type="expression" dxfId="157" priority="4230">
      <formula>AND(ISNUMBER($DV9),$DV9&lt;0)</formula>
    </cfRule>
    <cfRule type="expression" dxfId="156" priority="4228">
      <formula>AND(ISNUMBER(DV9),DV9&gt;0)</formula>
    </cfRule>
  </conditionalFormatting>
  <conditionalFormatting sqref="DZ9:EA395">
    <cfRule type="expression" dxfId="155" priority="4226">
      <formula>AND(ISNUMBER($DZ9),$DZ9&gt;0)</formula>
    </cfRule>
    <cfRule type="expression" dxfId="154" priority="4224">
      <formula>AND(ISNUMBER($DZ9),$DZ9&lt;0)</formula>
    </cfRule>
  </conditionalFormatting>
  <conditionalFormatting sqref="EG9:EI384">
    <cfRule type="expression" dxfId="153" priority="4238" stopIfTrue="1">
      <formula>AND(ISNUMBER(EG9),EG9&gt;0)</formula>
    </cfRule>
    <cfRule type="expression" dxfId="152" priority="4236">
      <formula>AND(ISNUMBER(EG9),EG9&lt;0)</formula>
    </cfRule>
  </conditionalFormatting>
  <conditionalFormatting sqref="EK9:EK394">
    <cfRule type="expression" dxfId="151" priority="4289">
      <formula>EU9 &lt; 7</formula>
    </cfRule>
  </conditionalFormatting>
  <conditionalFormatting sqref="EL9:EL393">
    <cfRule type="expression" dxfId="150" priority="4344">
      <formula>AND(ISNUMBER(EL9), $C9 &gt;= $EL9)</formula>
    </cfRule>
  </conditionalFormatting>
  <conditionalFormatting sqref="EL35:EL210">
    <cfRule type="expression" dxfId="149" priority="4328">
      <formula>AND(ISNUMBER(EL35), #REF! &gt;= $EL35)</formula>
    </cfRule>
  </conditionalFormatting>
  <conditionalFormatting sqref="EM9:EM394">
    <cfRule type="expression" dxfId="148" priority="4246">
      <formula>$EM9 &gt; $EJ9</formula>
    </cfRule>
  </conditionalFormatting>
  <conditionalFormatting sqref="EZ9:EZ394">
    <cfRule type="expression" dxfId="147" priority="4330">
      <formula>AND(ISNUMBER($FE9), $FE9 &lt;= (MockToday - 1), EZ9 = "GTC")</formula>
    </cfRule>
  </conditionalFormatting>
  <conditionalFormatting sqref="FA9:FA394 FF9:FF394 FJ9:FJ394">
    <cfRule type="expression" dxfId="146" priority="4266">
      <formula>$FF9 = TRUE</formula>
    </cfRule>
  </conditionalFormatting>
  <conditionalFormatting sqref="FI9:FI394">
    <cfRule type="expression" dxfId="145" priority="4255">
      <formula>INT(FI9)&lt;&gt;INT(FE9)</formula>
    </cfRule>
  </conditionalFormatting>
  <conditionalFormatting sqref="FJ9:FJ366">
    <cfRule type="expression" dxfId="144" priority="4269" stopIfTrue="1">
      <formula>FF9</formula>
    </cfRule>
  </conditionalFormatting>
  <conditionalFormatting sqref="FK9:FK394">
    <cfRule type="expression" dxfId="143" priority="4290">
      <formula>AND(ISNUMBER($FK9),$FK9 &lt; ($FK$9 + 0.0002))</formula>
    </cfRule>
  </conditionalFormatting>
  <conditionalFormatting sqref="FK14:FK395">
    <cfRule type="expression" dxfId="142" priority="4292">
      <formula>AND(ISNUMBER(#REF!),#REF! &lt; ($FK$14 + 0.0002))</formula>
    </cfRule>
  </conditionalFormatting>
  <conditionalFormatting sqref="FO9:FO395">
    <cfRule type="cellIs" dxfId="141" priority="4234" stopIfTrue="1" operator="lessThan">
      <formula>0</formula>
    </cfRule>
    <cfRule type="cellIs" dxfId="140" priority="4232" stopIfTrue="1" operator="greaterThanOrEqual">
      <formula>0</formula>
    </cfRule>
  </conditionalFormatting>
  <conditionalFormatting sqref="GA8:GA395">
    <cfRule type="expression" dxfId="139" priority="4295">
      <formula>AND(ISNUMBER($GA8),$GA8 &gt;= $FK$8)</formula>
    </cfRule>
  </conditionalFormatting>
  <dataValidations count="132">
    <dataValidation allowBlank="1" showInputMessage="1" showErrorMessage="1" promptTitle="FinViz" prompt="1 symbol updated 1/15/2018 at 2:21 PM" sqref="AK8" xr:uid="{00000000-0002-0000-0000-00004E000000}"/>
    <dataValidation allowBlank="1" showInputMessage="1" showErrorMessage="1" promptTitle="Last Service Update" prompt="1 symbol updated 1/10/2018_x000a_at 1:25 PM" sqref="G8" xr:uid="{00000000-0002-0000-0000-000045000000}"/>
    <dataValidation allowBlank="1" showInputMessage="1" showErrorMessage="1" promptTitle="Trade Exp" prompt="Expiration date to this position (ie, options trade)" sqref="BC8" xr:uid="{00000000-0002-0000-0000-000014000000}"/>
    <dataValidation allowBlank="1" showInputMessage="1" showErrorMessage="1" prompt="How much it will cost to buyout the current position. If the color is green then this can indicate that money tied up by this position may be put to better use in another position." sqref="CP8 CX8" xr:uid="{00000000-0002-0000-0000-000011000000}"/>
    <dataValidation allowBlank="1" showInputMessage="1" showErrorMessage="1" promptTitle="Last Updated" prompt="GTC cancel order price to ask for if the market crashes" sqref="E8" xr:uid="{00000000-0002-0000-0000-000010000000}"/>
    <dataValidation allowBlank="1" showInputMessage="1" showErrorMessage="1" promptTitle="Last Updated" prompt="(1 stock [PAY])_x000a_9/2/2015_x000a_at 9:39 AM" sqref="J8" xr:uid="{00000000-0002-0000-0000-000009000000}"/>
    <dataValidation allowBlank="1" showInputMessage="1" showErrorMessage="1" promptTitle="LEGEND" prompt="1 - BUY, accumulate or trade aggressively NOW_x000a_2 - BUY on pullback or sell puts below last support_x000a_3 - SELL into strength or ATM Calls_x000a_4 - SELL NOW_x000a_5 - $3 LOTTO_x000a_6 - Safe haven or income_x000a__x000a_" sqref="O8" xr:uid="{00000000-0002-0000-0000-000008000000}"/>
    <dataValidation allowBlank="1" showInputMessage="1" showErrorMessage="1" prompt="Constant to consider a sales price based on the Target amount per share." sqref="GE1" xr:uid="{00000000-0002-0000-0000-000007000000}"/>
    <dataValidation allowBlank="1" showInputMessage="1" showErrorMessage="1" prompt="Constant to consider selling some shares as a % of holdings." sqref="GD1" xr:uid="{00000000-0002-0000-0000-000006000000}"/>
    <dataValidation allowBlank="1" showInputMessage="1" showErrorMessage="1" prompt="Percentage away from the Last Price to the Strike Price.(Negative numbers mean we are above the Strike, Positive means we are below)" sqref="CH8" xr:uid="{00000000-0002-0000-0000-000004000000}"/>
    <dataValidation allowBlank="1" showInputMessage="1" showErrorMessage="1" prompt="We will get PUT if the Last Price ocurrs on Expiration Date; this column shows how much of a loss would be incurred after considering Premium taken in (both gain and losses are shown to maintain perspective)." sqref="CM8" xr:uid="{00000000-0002-0000-0000-000003000000}"/>
    <dataValidation allowBlank="1" showInputMessage="1" showErrorMessage="1" prompt="How much would it cost to get PUT if today was the expiration date (the strike price has been breached as of the last update)." sqref="CI8" xr:uid="{00000000-0002-0000-0000-000002000000}"/>
    <dataValidation allowBlank="1" showInputMessage="1" showErrorMessage="1" prompt="The MUST-OWN date._x000a__x000a_This is date that matters for ownership of the dividend is the day BEFORE the listed ex-div date." sqref="AH8" xr:uid="{00000000-0002-0000-0000-000001000000}"/>
    <dataValidation allowBlank="1" showInputMessage="1" showErrorMessage="1" promptTitle="AAP Rankings" prompt="1 - BUY NOW_x000a_2 - BUY on a PULLBACK_x000a_3 - SELL into STRENGTH_x000a_4 - SELL NOW" sqref="M8:N8" xr:uid="{00000000-0002-0000-0000-000000000000}"/>
    <dataValidation allowBlank="1" showInputMessage="1" showErrorMessage="1" promptTitle="LP Max Value" prompt="Theoretical max value of the puts (ie, stock foes to zero); used to calculate potential spend risk of short puts when position us a spread." sqref="BK8" xr:uid="{E5907763-B48F-49A7-A462-E6168BCA2B89}"/>
    <dataValidation allowBlank="1" showInputMessage="1" showErrorMessage="1" promptTitle="SC Buyback Cost" prompt="How much it will cost to buyout the current position. If the color is green then this can indicate that money tied up by this position may be put to better use in another position." sqref="FJ8" xr:uid="{8006A91F-3C93-4D4C-888F-269E9B22AB52}"/>
    <dataValidation allowBlank="1" showInputMessage="1" showErrorMessage="1" promptTitle="SC Buyback Point" prompt="Calculated buy points based on heuristics" sqref="FC8" xr:uid="{AB514D38-A65E-4149-A485-48DC4BFF6089}"/>
    <dataValidation allowBlank="1" showInputMessage="1" showErrorMessage="1" promptTitle="SC Buy Back GTC Date" prompt="Date until which our calculated SC Buy Back Point is valid (may or may not be the contract Expiration Date)" sqref="FE8" xr:uid="{B042453A-6125-46D0-B7BC-A644D3D1AEAB}"/>
    <dataValidation allowBlank="1" showInputMessage="1" showErrorMessage="1" promptTitle="SC Should Buyback" prompt="True is the 'SC Contract Value&quot; &lt;= &quot;SC Buy Back Point&quot;" sqref="FF8:FH8" xr:uid="{5C129F0E-55FF-4C0C-A9EC-63AC1F3AEE37}"/>
    <dataValidation allowBlank="1" showInputMessage="1" showErrorMessage="1" promptTitle="SC Buyback Override" prompt="If  valued, the amount to use instead of the Ask when calculating whether to Buy to Close" sqref="FD8" xr:uid="{A081C300-EC92-4C33-8462-23125C5D0519}"/>
    <dataValidation allowBlank="1" showInputMessage="1" showErrorMessage="1" promptTitle="SP Buyback Point" prompt="Calculated buy points based on heuristics" sqref="CP8 DC8:DE8" xr:uid="{90DC45CC-B360-483C-A0F3-468658B2E085}"/>
    <dataValidation allowBlank="1" showInputMessage="1" showErrorMessage="1" promptTitle="SP Buyback GTC Date" prompt="Enter manually IF there is a GTC order placed for BTC. Use this to help manage these open orders._x000a__x000a_Manually delete when filled or changed date if moving from 1st contract-term half to 2nd" sqref="CU8" xr:uid="{03DB026C-39E9-466B-AF85-DB4E2B011C43}"/>
    <dataValidation allowBlank="1" showInputMessage="1" showErrorMessage="1" promptTitle="SC Buy Back GTC Date" prompt="Enter manually IF there is a GTC order placed for BTC. Use this to help manage these open orders. The cell will turn yellow when it is 2 days away as a prompt._x000a__x000a_Manually delete when filled or changed date if moving from 1st contract-term half to 2nd" sqref="FI8" xr:uid="{57B44096-FB61-430B-A609-A49CA6063E85}"/>
    <dataValidation allowBlank="1" showInputMessage="1" showErrorMessage="1" promptTitle="SP Should Buyback" prompt="True is the 'SP Contract Value&quot; &lt;= &quot;SP Buyback Point&quot;" sqref="CT8" xr:uid="{40CE68B4-BA28-46A6-9991-816A550EFC6C}"/>
    <dataValidation allowBlank="1" showInputMessage="1" showErrorMessage="1" promptTitle="SP Buyback Override" prompt="Optional price to use over any other contract buyback price" sqref="CQ8" xr:uid="{2510AB13-B97F-48B5-9ADB-5CB38EDE51D9}"/>
    <dataValidation allowBlank="1" showInputMessage="1" showErrorMessage="1" promptTitle="SP Buyback Price to Use" prompt="Intermediate value just to ease formula for calculating total SC buyback cost. Column can be hidden" sqref="CR8" xr:uid="{6F872A61-985D-4018-BBC5-A51C82E15DB2}"/>
    <dataValidation allowBlank="1" showInputMessage="1" showErrorMessage="1" promptTitle="LP Not Filled" prompt="If 'Y' then this is not a filled order. _x000a__x000a_It is however, either a bid I'm actively pursuing or actually placed with the broker and requires management." sqref="BO8" xr:uid="{C2212574-7301-49B8-9367-5D5BDD679A0B}"/>
    <dataValidation allowBlank="1" showInputMessage="1" showErrorMessage="1" promptTitle="LC Not Filled" prompt="If 'Y' then this is not a filled order. _x000a__x000a_It is however, either a bid I'm actively pursuing or actually placed with the broker and requires management." sqref="EE8:EF8 DP8:DQ8 DS8" xr:uid="{37EB32E8-421E-45D2-A8AD-A532994FE142}"/>
    <dataValidation allowBlank="1" showInputMessage="1" showErrorMessage="1" promptTitle="Is Filled" prompt="If False this is not a Filled order. _x000a__x000a_It reflects a bid I'm actively pursuing or actually placed with the broker and requires management." sqref="ER8" xr:uid="{00A84BA6-17C8-4A73-A777-0B1BA9A5A0BE}"/>
    <dataValidation allowBlank="1" showInputMessage="1" showErrorMessage="1" promptTitle="Last Traded" prompt="12/20/2019_x000a_at 8:20 PM" sqref="DT67:DW67" xr:uid="{888BFDEB-A55C-45BB-972E-7DF0B783B90C}"/>
    <dataValidation allowBlank="1" showInputMessage="1" showErrorMessage="1" promptTitle="No Fill" prompt="If 'Y' then this is not a filled order. _x000a__x000a_It is however, either a bid I'm actively pursuing or actually placed with the broker and requires management._x000a_" sqref="AU8" xr:uid="{984E3490-DFB6-4B94-AABB-32DCDFCE9ED9}"/>
    <dataValidation allowBlank="1" showInputMessage="1" showErrorMessage="1" promptTitle="Last Traded" prompt="2/10/2020_x000a_at 8:54 PM" sqref="DT272:DW272" xr:uid="{B5A474F4-4401-4CFB-BB21-152DDCCDD913}"/>
    <dataValidation allowBlank="1" showInputMessage="1" showErrorMessage="1" promptTitle="Yahoo Pricing" prompt="1 symbol updated 5/7/2020_x000a_at 1:01 PM" sqref="BL8:BN8" xr:uid="{1D1F39EA-9E6F-44B6-A55C-326EA500A84F}"/>
    <dataValidation allowBlank="1" showInputMessage="1" showErrorMessage="1" promptTitle="SC Current Delta" prompt="Track to look for clues to either close or roll the contract._x000a__x000a_For example, a contract purchased with a 30 delta that is now at 60 will start to get away if we don't BTC and look for a Roll." sqref="FB8 CO8" xr:uid="{FA13AA81-7A02-4BBF-B9DF-9616CEDC716F}"/>
    <dataValidation allowBlank="1" showInputMessage="1" showErrorMessage="1" promptTitle="Strike Based Stop Loss" prompt="One hueristic to suggest closing out the trade for the loss is when the Last Price of the Underlying is 3% less than the Strike Price (Ellman)" sqref="CY8" xr:uid="{1C702193-2DC3-4493-BB78-46B5A291E6CD}"/>
    <dataValidation allowBlank="1" showInputMessage="1" showErrorMessage="1" promptTitle="Strike Based Stop Loss" prompt="One hueristic to suggest closing out the trade for the loss is when the loss is 25% of the premium received (Fitz)" sqref="DA8:DB8" xr:uid="{FE7E1D80-1D8F-4D66-BFEA-DBE802D92117}"/>
    <dataValidation allowBlank="1" showInputMessage="1" showErrorMessage="1" promptTitle="SP Potential Spend" prompt="Theoretical amounr of cash we would need to spend if the trade goes against us. Does not consider prmiums and commissions but does consider long put (LP) protection." sqref="CH8:CI8 CE8:CF8" xr:uid="{231C756B-FCFC-4111-8B61-3AF78A0F240A}"/>
    <dataValidation allowBlank="1" showInputMessage="1" showErrorMessage="1" promptTitle="SP Cash Reserve" prompt="My subjective assessment of cash  to reserve based on the POA." sqref="CK8" xr:uid="{073FE222-82CA-41C2-AAA9-5ECCD7665F43}"/>
    <dataValidation allowBlank="1" showInputMessage="1" showErrorMessage="1" promptTitle="SP PoA" prompt="My subjective assessment overriding the Probability of Assigment (PoA). This weights the SP PoA Spend." sqref="CK8" xr:uid="{E6809837-E348-4556-BFD1-708AF3E17438}"/>
    <dataValidation allowBlank="1" showInputMessage="1" showErrorMessage="1" promptTitle="SC Intrinsic Value" prompt="For positions that are currently ITM, this is the (LastPrice - StrikePrice). _x000a__x000a_We need to know the intrinsic value in order to know the Time Value component of the current contract price." sqref="FG8" xr:uid="{3EBAADD5-9951-4E3B-8198-62841875EBA3}"/>
    <dataValidation allowBlank="1" showInputMessage="1" showErrorMessage="1" promptTitle="SC Time Value" prompt="Really Extrinsic value, as IV and other greeks go into thiis but mostly remaining Time Value (theta)" sqref="FH8" xr:uid="{1D32D152-8E54-4FA2-8B04-F88448FADF34}"/>
    <dataValidation allowBlank="1" showInputMessage="1" showErrorMessage="1" promptTitle="SC Time Value Closing %" prompt="Is it worth paying up to close it out?_x000a__x000a_For a core position, for example, we may want to keep the position even if it means paying more than we initially received. Especially if writing another OTM call will replace the time value % lost (Elman)" sqref="FK8" xr:uid="{4DF03402-4AA8-401F-852F-AE9352212DEF}"/>
    <dataValidation allowBlank="1" showInputMessage="1" showErrorMessage="1" promptTitle="LC Next Target" sqref="DX8:EB8" xr:uid="{19E57B6C-3C94-4190-A490-D96DD4378E90}"/>
    <dataValidation allowBlank="1" showInputMessage="1" showErrorMessage="1" promptTitle="LC Stop Loss Calc Target" prompt="Rule based Stop based on the iniitial trade (currently 50%) representing the maximum loss we will tolerate" sqref="EC8:ED8" xr:uid="{5A0F1FB0-9FF2-4B06-A91B-C60D0B8DD6A4}"/>
    <dataValidation allowBlank="1" showInputMessage="1" showErrorMessage="1" promptTitle="SP ROO" prompt="Simple return on Capital (PremReceived / PotentialOutlay)" sqref="CD8" xr:uid="{51CAA6F0-CC4C-4531-B1A8-95381B387800}"/>
    <dataValidation allowBlank="1" showInputMessage="1" showErrorMessage="1" promptTitle="LC Not Filled" prompt="If the order has not been filled yet this will indicate so with a &quot;Y&quot;" sqref="DP8:DQ8 DS8" xr:uid="{F3569C21-A841-426D-9F81-6C761EB85872}"/>
    <dataValidation allowBlank="1" showInputMessage="1" showErrorMessage="1" promptTitle="LC Total Value" prompt="Gross value all LC contracts" sqref="DU8:DW8" xr:uid="{AD88002C-8243-4E83-A164-7FBAD3F98FF1}"/>
    <dataValidation allowBlank="1" showInputMessage="1" showErrorMessage="1" promptTitle="LC Total Value" prompt="Gross value for all LC contracts this underlying" sqref="DU8:DW8" xr:uid="{BBB89E11-F672-48C4-B926-8B16CC7DDC5D}"/>
    <dataValidation allowBlank="1" showInputMessage="1" showErrorMessage="1" promptTitle="LC Total Value" prompt="Gross Value all LC contracts this underlying" sqref="DU8:DW8" xr:uid="{DA150449-568A-4F3E-82C4-75FFB9457443}"/>
    <dataValidation allowBlank="1" showInputMessage="1" showErrorMessage="1" promptTitle="LC Contract Value" prompt="The current ASK for a single contract." sqref="DT8" xr:uid="{E939247D-EF05-446D-B012-9B7BA23A1A80}"/>
    <dataValidation allowBlank="1" showInputMessage="1" showErrorMessage="1" promptTitle="LC Contract Value" prompt="Current ASK for a single contract" sqref="DT8" xr:uid="{1473E061-0098-4F67-B173-DA1041CDF30F}"/>
    <dataValidation allowBlank="1" showInputMessage="1" showErrorMessage="1" promptTitle="SP Buyback GTC Date" prompt="The last date until which the calculated SP Buyback Point is valid" sqref="CS8" xr:uid="{637CA622-D7AE-4D0C-8ABA-65512E333459}"/>
    <dataValidation allowBlank="1" showInputMessage="1" showErrorMessage="1" promptTitle="SC Current Delta" prompt="Assist in deciding whether to BTC or not (ie, a contract purchased with a delta of 30 that is now at 60)." sqref="FB8 CO8" xr:uid="{867D0F55-B74B-494A-B78D-0E73BD7E4DC3}"/>
    <dataValidation allowBlank="1" showInputMessage="1" showErrorMessage="1" promptTitle="Yahoo Pricing" prompt="1 symbol updated 11/6/2020_x000a_at 10:39 PM" sqref="CN8" xr:uid="{328D5329-E02E-4442-9E90-DFD0963E9D5B}"/>
    <dataValidation allowBlank="1" showInputMessage="1" showErrorMessage="1" prompt="The current ASK for a single contract." sqref="DO8 DX385:DX386 DO31:DW33 DY31:EB33 DX388:DX391 DO9:DW13 DY9:EB13 DX9:DX381" xr:uid="{00000000-0002-0000-0000-000012000000}"/>
    <dataValidation allowBlank="1" showInputMessage="1" showErrorMessage="1" promptTitle="SP POA" prompt="My subjective assessment of the Probability of Assignment (POA), based on Delta, Days Remaining until OPEX, etc." sqref="CJ8" xr:uid="{07483D55-A6FF-44D8-901B-7A1292327E76}"/>
    <dataValidation allowBlank="1" showInputMessage="1" showErrorMessage="1" promptTitle="SP POW" prompt="My subjective assessment of the Probability of Worthlessness (POW)." sqref="CJ8" xr:uid="{69976069-82F4-47F0-AF44-03483993D5CF}"/>
    <dataValidation allowBlank="1" showInputMessage="1" showErrorMessage="1" prompt="Uses heuristics based on the current contract value and how much time is left on it." sqref="FG31:FH33 FG9:FH13 FF9:FF394" xr:uid="{00000000-0002-0000-0000-000013000000}"/>
    <dataValidation allowBlank="1" showInputMessage="1" showErrorMessage="1" prompt="The maximum CC Contracts that can be written based on shares held" sqref="EJ31:EJ33 EJ8:EJ13" xr:uid="{00000000-0002-0000-0000-000005000000}"/>
    <dataValidation allowBlank="1" showInputMessage="1" showErrorMessage="1" promptTitle="Purpose" prompt="Have an easy way to filter out Position as that field displays text as result of a formula, which doesn't evaluate to BLANK when using Advanced Criteria" sqref="GT31:GT33 GT8:GT13" xr:uid="{00000000-0002-0000-0000-00000A000000}"/>
    <dataValidation allowBlank="1" showInputMessage="1" showErrorMessage="1" promptTitle="Last Service Update" prompt="6 symbols updated 4/30/2017_x000a_at 8:14 PM" sqref="EC31:EF33 DP31:DW33 EC9:EF13 DP9:DW13" xr:uid="{00000000-0002-0000-0000-000016000000}"/>
    <dataValidation allowBlank="1" showInputMessage="1" showErrorMessage="1" promptTitle="SC Gain Loss" prompt="Dollar amount of gain or loss given the current value of the contract" sqref="FZ8" xr:uid="{1C2DB5BC-E251-4CB4-AD9B-149E08136CE6}"/>
    <dataValidation allowBlank="1" showInputMessage="1" showErrorMessage="1" promptTitle="SC Pct Earned" prompt="How much of the maximum contract gain is currently realized (max gain is the preemium received up front)" sqref="GA8" xr:uid="{21747880-019D-4A2E-8855-D7459E90C124}"/>
    <dataValidation allowBlank="1" showInputMessage="1" showErrorMessage="1" promptTitle="SP Potential Spend" prompt="Theoretical amounr of cash we would need to spend if the trade goes against us. Does not consider prmiums, commissions or long put (LP) protection." sqref="CG8" xr:uid="{D6B86019-1843-4346-866B-ABB6907E7D30}"/>
    <dataValidation allowBlank="1" showInputMessage="1" showErrorMessage="1" promptTitle="Upside Potential" prompt="In exchange for premium today, we have capped our upside gains, BUT not eliminated it._x000a__x000a_We have the potential to make this much if the share price moves up." sqref="FS8" xr:uid="{CC2400CA-95D0-48A8-A567-81E0BD06FEE0}"/>
    <dataValidation allowBlank="1" showInputMessage="1" showErrorMessage="1" promptTitle="Downside Protection" prompt="Our ITM strike protects us from additional downside by this much" sqref="FU8" xr:uid="{DB6C77AD-7110-4697-AB41-F484C34FDC93}"/>
    <dataValidation allowBlank="1" showInputMessage="1" showErrorMessage="1" promptTitle="Earnings Whispers" prompt="1 symbol updated 6/18/2023_x000a_at 5:01 PM" sqref="I8" xr:uid="{53FCC88E-9E4C-4CBE-82F6-2A649C558E6A}"/>
    <dataValidation allowBlank="1" showInputMessage="1" showErrorMessage="1" promptTitle="Can Calc" prompt="True if we have enough data to calculate the ROO and other metrics useful for analysis (as opposed to tracking, which also requires a filled contract)" sqref="ER8" xr:uid="{44B38374-F0E1-4759-B2F8-F13573E9A1EF}"/>
    <dataValidation allowBlank="1" showInputMessage="1" showErrorMessage="1" promptTitle="SC Current Ask" prompt="We know we can BTC if we pay the current Ask Price." sqref="FA8" xr:uid="{21BC57D7-7BE4-4A59-A411-1C1D6CC4D3FF}"/>
    <dataValidation allowBlank="1" showInputMessage="1" showErrorMessage="1" promptTitle="SC Basis" prompt="What Ellman uses as the basis for ROI. If there is Intrinsice Value the use the Strike Price; if not then use the Last Price of the Underlying." sqref="EX8" xr:uid="{112C2369-9CB6-40AE-A319-CD2DE42FECA3}"/>
    <dataValidation allowBlank="1" showInputMessage="1" showErrorMessage="1" promptTitle="SC Minimum Premium" prompt="We shouldn't take less than this amount." sqref="EY8" xr:uid="{B97656F0-BE54-4BC6-830E-06AD4C3B3A85}"/>
    <dataValidation allowBlank="1" showInputMessage="1" showErrorMessage="1" promptTitle="SC Bid TIF (Time In Force)" prompt="IF there is an unfilled bid, what timeframe is the order in. ie,, Day or GTC. Blanks means Day." sqref="EZ8" xr:uid="{6A6DAC12-9BEF-49AB-8CFC-26884AF374A9}"/>
    <dataValidation allowBlank="1" showInputMessage="1" showErrorMessage="1" promptTitle="SC Fill Delta" prompt="Track the delat on fill so we can monitor for roll situations by change in delate later" sqref="ES8" xr:uid="{46C67DC1-1593-4F89-B4BF-84CDC04AFF38}"/>
    <dataValidation allowBlank="1" showInputMessage="1" showErrorMessage="1" promptTitle="SP LPs" prompt="The number of long puts we have" sqref="CA8" xr:uid="{BBC271DA-E6E3-4548-9639-D17D9255F21F}"/>
    <dataValidation allowBlank="1" showInputMessage="1" showErrorMessage="1" promptTitle="SP DTE" prompt="Days to Expiration" sqref="CW8" xr:uid="{F812732F-E4B6-4A9C-A78B-37FA64A75B32}"/>
    <dataValidation allowBlank="1" showInputMessage="1" showErrorMessage="1" promptTitle="FinViz" prompt="1 symbol updated 11/26/2023_x000a_at 8:28 AM" sqref="AJ8" xr:uid="{5DB12648-B18C-42B8-8BF6-72250880FF0A}"/>
    <dataValidation allowBlank="1" showInputMessage="1" showErrorMessage="1" promptTitle="Yahoo Pricing" prompt="1 symbol updated 1/29/2024_x000a_at 9:49 AM" sqref="C8" xr:uid="{CFE788AB-5855-426C-B88B-AA76A85EA94F}"/>
    <dataValidation allowBlank="1" showInputMessage="1" showErrorMessage="1" promptTitle="SC Exercise Tax P&amp;L" prompt="The REAL P&amp;L must be based off of the ACB. Too difficult and not worth making happen in this spreadsheet, BUT high priority feature in EbfTrading app." sqref="FO8" xr:uid="{498A3D31-5AD0-4360-9677-8EEA728E1BBA}"/>
    <dataValidation allowBlank="1" showInputMessage="1" showErrorMessage="1" promptTitle="DTE (Days Till Expiration)" prompt="Number of days remaining" sqref="EU8" xr:uid="{4F3BEBFD-934D-4326-AE15-21F1EC38181D}"/>
    <dataValidation allowBlank="1" showInputMessage="1" showErrorMessage="1" promptTitle="SP Term" prompt="Days from the start of the trade to the end of the trade" sqref="CC8" xr:uid="{11CB98D3-8FD4-4541-8464-F84F31669E22}"/>
    <dataValidation allowBlank="1" showInputMessage="1" showErrorMessage="1" promptTitle="SP Bid TIF (Time In Force)" prompt="IF there is an unfilled BTC bid in, what timeframe is the order in. ie,, Day or GTC. _x000a__x000a_The GTC bid amount will typically be the Buyback Price to Use._x000a__x000a_Blank means there is no BTC bid order." sqref="CV8" xr:uid="{615B8BC1-1F65-4541-BE4F-E9EC1085C0C5}"/>
    <dataValidation allowBlank="1" showInputMessage="1" showErrorMessage="1" promptTitle="Last Traded" prompt="12/20/2019_x000a_at 8:54 PM" sqref="DT69:DW72" xr:uid="{E6DB20B0-D122-46A2-BA3E-2DF0E1A954DC}"/>
    <dataValidation allowBlank="1" showInputMessage="1" showErrorMessage="1" promptTitle="DTE" prompt="Days Till Expiration" sqref="DR8" xr:uid="{A186857E-D608-4007-A54C-8028C011A882}"/>
    <dataValidation allowBlank="1" showInputMessage="1" showErrorMessage="1" promptTitle="DTE" prompt="Days unTill Expiration" sqref="DR8" xr:uid="{4ADC66C3-2CE0-4141-8164-A5B0BBFE81B1}"/>
    <dataValidation allowBlank="1" showInputMessage="1" showErrorMessage="1" promptTitle="Is Booked" prompt="True if we have enough data to calculate the ROO and other metrics useful for analysis (as opposed to tracking, which also requires a filled contract)" sqref="EQ8" xr:uid="{0F5A6B6E-DD81-41DB-87FE-A13304454852}"/>
    <dataValidation allowBlank="1" showInputMessage="1" showErrorMessage="1" promptTitle="SP Not Filled" prompt="If 'Y' then this is not a filled order. _x000a__x000a_It is however, a bid I'm actively pursuing or actually placed with the broker and requires management" sqref="CL8" xr:uid="{2C046609-F598-40C9-BD18-A517CB1DAB00}"/>
    <dataValidation allowBlank="1" showInputMessage="1" showErrorMessage="1" promptTitle="YFinance Pricing" prompt="⚠ No price available for SOFI" sqref="C390" xr:uid="{FA60373C-CA6E-430C-A1BE-026ADD8193CA}"/>
    <dataValidation allowBlank="1" showInputMessage="1" showErrorMessage="1" promptTitle="YFinance Pricing" prompt="⚠ No price available for AGN" sqref="C26" xr:uid="{798AFF7A-95ED-469E-89E1-276BEEAB2181}"/>
    <dataValidation allowBlank="1" showInputMessage="1" showErrorMessage="1" promptTitle="YFinance Pricing" prompt="⚠ No price available for ARNC" sqref="C39" xr:uid="{EAACC7B1-79AD-4F0C-A22C-A3884C38DD51}"/>
    <dataValidation allowBlank="1" showInputMessage="1" showErrorMessage="1" promptTitle="YFinance Pricing" prompt="⚠ No price available for ATVI" sqref="C42" xr:uid="{5C63B6B7-39AC-4922-8666-BE263EB7625D}"/>
    <dataValidation allowBlank="1" showInputMessage="1" showErrorMessage="1" promptTitle="YFinance Pricing" prompt="⚠ No price available for BRK.B" sqref="C62" xr:uid="{52436B53-C343-4DA7-AC96-0193CDA4D505}"/>
    <dataValidation allowBlank="1" showInputMessage="1" showErrorMessage="1" promptTitle="YFinance Pricing" prompt="⚠ No price available for BRKS" sqref="C63" xr:uid="{651B1E69-0D33-4496-8B43-78807E9852E5}"/>
    <dataValidation allowBlank="1" showInputMessage="1" showErrorMessage="1" promptTitle="YFinance Pricing" prompt="⚠ No price available for CBS" sqref="C74:C75" xr:uid="{0BBDA510-31FD-4D8D-9CA2-79AD7AFD6284}"/>
    <dataValidation allowBlank="1" showInputMessage="1" showErrorMessage="1" promptTitle="YFinance Pricing" prompt="⚠ No price available for CELG" sqref="C80" xr:uid="{4319DDBF-16FA-4B67-BA4D-C7E3F85F158A}"/>
    <dataValidation allowBlank="1" showInputMessage="1" showErrorMessage="1" promptTitle="YFinance Pricing" prompt="⚠ No price available for CS" sqref="C107" xr:uid="{DC1643A3-383B-4194-8773-1DC0D3BD5B19}"/>
    <dataValidation allowBlank="1" showInputMessage="1" showErrorMessage="1" promptTitle="YFinance Pricing" prompt="⚠ No price available for CSFL" sqref="C109" xr:uid="{EB3C4B40-27B9-4E94-875F-647327039B8A}"/>
    <dataValidation allowBlank="1" showInputMessage="1" showErrorMessage="1" promptTitle="YFinance Pricing" prompt="⚠ No price available for DEN" sqref="C124" xr:uid="{3150E4BC-7F6D-4450-8EA8-B4413445A2BE}"/>
    <dataValidation allowBlank="1" showInputMessage="1" showErrorMessage="1" promptTitle="YFinance Pricing" prompt="⚠ No price available for SGEN" sqref="C128" xr:uid="{4901C0B0-5ACE-4125-B8B6-D05F3175F3EC}"/>
    <dataValidation allowBlank="1" showInputMessage="1" showErrorMessage="1" promptTitle="YFinance Pricing" prompt="⚠ No price available for DWAC" sqref="C142" xr:uid="{F14E030B-9CCC-4E99-82C1-31593DABD1A3}"/>
    <dataValidation allowBlank="1" showInputMessage="1" showErrorMessage="1" promptTitle="YFinance Pricing" prompt="⚠ No price available for ESV" sqref="C153" xr:uid="{E64423D6-63CC-480E-879C-1A718FA97353}"/>
    <dataValidation allowBlank="1" showInputMessage="1" showErrorMessage="1" promptTitle="YFinance Pricing" prompt="⚠ No price available for FDC" sqref="C168" xr:uid="{7ADBD501-F12F-4497-9A0C-FE817C5A514B}"/>
    <dataValidation allowBlank="1" showInputMessage="1" showErrorMessage="1" promptTitle="YFinance Pricing" prompt="⚠ No price available for FL" sqref="C172" xr:uid="{DF0617CC-43BB-446C-BF6C-EDE3A3447B00}"/>
    <dataValidation allowBlank="1" showInputMessage="1" showErrorMessage="1" promptTitle="YFinance Pricing" prompt="⚠ No price available for FLT" sqref="C174" xr:uid="{A5E66099-73D3-4224-BDF1-A9410A9CE402}"/>
    <dataValidation allowBlank="1" showInputMessage="1" showErrorMessage="1" promptTitle="YFinance Pricing" prompt="⚠ No price available for FOCS" sqref="C176" xr:uid="{33119050-B8C6-42C2-A682-ED31F4DAB0CB}"/>
    <dataValidation allowBlank="1" showInputMessage="1" showErrorMessage="1" promptTitle="YFinance Pricing" prompt="⚠ No price available for FTCH" sqref="C180" xr:uid="{5510B0FA-FE31-477B-87BF-460D4A72768C}"/>
    <dataValidation allowBlank="1" showInputMessage="1" showErrorMessage="1" promptTitle="YFinance Pricing" prompt="⚠ No price available for HIBB" sqref="C205" xr:uid="{6944EB90-111C-4E5A-8CB2-ABE9B6E051D8}"/>
    <dataValidation allowBlank="1" showInputMessage="1" showErrorMessage="1" promptTitle="YFinance Pricing" prompt="⚠ No price available for JWN" sqref="C213" xr:uid="{6ED6289D-5DC7-409A-9E10-D375E9D6CDD4}"/>
    <dataValidation allowBlank="1" showInputMessage="1" showErrorMessage="1" promptTitle="YFinance Pricing" prompt="⚠ No price available for LVGO" sqref="C246" xr:uid="{51784FB2-BD21-4B0A-B23B-BA522339A45D}"/>
    <dataValidation allowBlank="1" showInputMessage="1" showErrorMessage="1" promptTitle="YFinance Pricing" prompt="⚠ No price available for MNMD" sqref="C255" xr:uid="{4F21E288-E8D5-4BEE-B9F0-B1B1E1A036D2}"/>
    <dataValidation allowBlank="1" showInputMessage="1" showErrorMessage="1" promptTitle="YFinance Pricing" prompt="⚠ No price available for SOLO" sqref="C262" xr:uid="{CE1D7823-6696-45D0-BF8B-40AFA3CC18CF}"/>
    <dataValidation allowBlank="1" showInputMessage="1" showErrorMessage="1" promptTitle="YFinance Pricing" prompt="⚠ No price available for SPLK" sqref="C270" xr:uid="{B90813A7-C719-4D4D-9F50-D694D43FE474}"/>
    <dataValidation allowBlank="1" showInputMessage="1" showErrorMessage="1" promptTitle="YFinance Pricing" prompt="⚠ No price available for SQ" sqref="C274" xr:uid="{6CD1C397-A0B2-4F41-9DD7-1A9246BA09FB}"/>
    <dataValidation allowBlank="1" showInputMessage="1" showErrorMessage="1" promptTitle="YFinance Pricing" prompt="⚠ No price available for STMP" sqref="C279" xr:uid="{B93DC908-9355-4324-A86D-FEA579514587}"/>
    <dataValidation allowBlank="1" showInputMessage="1" showErrorMessage="1" promptTitle="YFinance Pricing" prompt="⚠ No price available for SWAV" sqref="C283" xr:uid="{CFEB8473-C0C1-42EA-AF00-5C007B52C38C}"/>
    <dataValidation allowBlank="1" showInputMessage="1" showErrorMessage="1" promptTitle="YFinance Pricing" prompt="⚠ No price available for TSG" sqref="C307" xr:uid="{9B8D5B25-BA8D-412D-8752-E596279CE135}"/>
    <dataValidation allowBlank="1" showInputMessage="1" showErrorMessage="1" promptTitle="YFinance Pricing" prompt="⚠ No price available for TWNK" sqref="C315" xr:uid="{CA91DF34-83AD-456A-8715-3AB2152DD01D}"/>
    <dataValidation allowBlank="1" showInputMessage="1" showErrorMessage="1" promptTitle="YFinance Pricing" prompt="⚠ No price available for TWTR" sqref="C316" xr:uid="{B1702433-34A9-4E71-9E75-A1300499D6A5}"/>
    <dataValidation allowBlank="1" showInputMessage="1" showErrorMessage="1" promptTitle="YFinance Pricing" prompt="⚠ No price available for UTX" sqref="C332" xr:uid="{313EE436-1C3C-4447-B827-56CFE4BD46C5}"/>
    <dataValidation allowBlank="1" showInputMessage="1" showErrorMessage="1" promptTitle="YFinance Pricing" prompt="⚠ No price available for VIAC" sqref="C338" xr:uid="{D1EC8C51-D159-43C5-84D1-F9F60B799DBC}"/>
    <dataValidation allowBlank="1" showInputMessage="1" showErrorMessage="1" promptTitle="YFinance Pricing" prompt="⚠ No price available for VIX" sqref="C340" xr:uid="{7997FBDC-DC4D-4A38-AF3F-86BC5A62BEA5}"/>
    <dataValidation allowBlank="1" showInputMessage="1" showErrorMessage="1" promptTitle="YFinance Pricing" prompt="⚠ No price available for VMW" sqref="C343" xr:uid="{6764601D-A02A-4F64-8F67-89B6401E2899}"/>
    <dataValidation allowBlank="1" showInputMessage="1" showErrorMessage="1" promptTitle="YFinance Pricing" prompt="⚠ No price available for VSTO" sqref="C345" xr:uid="{D7316899-4A57-46AA-8168-BE7332383A07}"/>
    <dataValidation allowBlank="1" showInputMessage="1" showErrorMessage="1" promptTitle="YFinance Pricing" prompt="⚠ No price available for WBA" sqref="C349" xr:uid="{84F75571-8F2B-441D-A38E-47B4F80B944E}"/>
    <dataValidation allowBlank="1" showInputMessage="1" showErrorMessage="1" promptTitle="YFinance Pricing" prompt="⚠ No price available for WORK" sqref="C358" xr:uid="{2BC89C95-DCAD-4D96-873D-370B607DAD68}"/>
    <dataValidation allowBlank="1" showInputMessage="1" showErrorMessage="1" promptTitle="YFinance Pricing" prompt="⚠ No price available for WRK" sqref="C360:C361" xr:uid="{015D1B08-AC02-4A1F-8FC9-6EAFBEBC2AF7}"/>
    <dataValidation allowBlank="1" showInputMessage="1" showErrorMessage="1" promptTitle="YFinance Pricing" prompt="⚠ No price available for X" sqref="C366" xr:uid="{867106B5-988F-41D1-89F3-039F109FF69C}"/>
    <dataValidation allowBlank="1" showInputMessage="1" showErrorMessage="1" promptTitle="YFinance Pricing" prompt="⚠ No price available for XEC" sqref="C368" xr:uid="{62220625-998B-4979-8DCC-A8E20762570E}"/>
    <dataValidation allowBlank="1" showInputMessage="1" showErrorMessage="1" promptTitle="YFinance Pricing" prompt="⚠ No price available for XLNX" sqref="C373" xr:uid="{9BFF3625-52EF-4671-B3E3-06D8C4BBE927}"/>
    <dataValidation allowBlank="1" showInputMessage="1" showErrorMessage="1" promptTitle="YFinance Pricing" prompt="⚠ No price available for YNDX" sqref="C381" xr:uid="{461E9757-4CA4-4C1B-A82D-D73BE59C2CFA}"/>
    <dataValidation allowBlank="1" showInputMessage="1" showErrorMessage="1" promptTitle="YFinance Pricing" prompt="⚠ No price available for ZUO" sqref="C385" xr:uid="{140F559B-37DB-4519-B445-DA2A703A734D}"/>
    <dataValidation allowBlank="1" showInputMessage="1" showErrorMessage="1" promptTitle="YFinance Pricing" prompt="updated 50 rows across 38 of 38 symbols [all]_x000a_Jul-26, 2026 2:02 AM" sqref="C6" xr:uid="{81E1C44A-DFC1-4516-AFB5-F994D589494F}"/>
    <dataValidation allowBlank="1" showInputMessage="1" showErrorMessage="1" promptTitle="YFinance Option Pricing" prompt="updated 11 rows across 11 of 17 contracts_x000a_Jul-26, 2026 7:17 AM_x000a_Failed: INTC260123C00040000, ONDS260710C00010500, ECHO260710C00110000, MARA260710C00015000, MARA260710C00014500, FCX260710C00065000" sqref="FA6" xr:uid="{DC14B1D7-FABB-483D-AF65-D3B640D63AE2}"/>
  </dataValidations>
  <hyperlinks>
    <hyperlink ref="FL2" r:id="rId1" xr:uid="{C36F2490-366E-4D25-B5FD-352E06343F2D}"/>
    <hyperlink ref="FA301:FA302" location="$FB$381" tooltip="Last Updated_x000d__x000a__x000d__x000a_10/26/2020_x000d__x000a_11:27 AM" display="7.9" xr:uid="{01B2C204-0786-42C1-B0BB-54E0CA7D7CB4}"/>
  </hyperlinks>
  <pageMargins left="0.75" right="0.75" top="1" bottom="1" header="0.5" footer="0.5"/>
  <pageSetup orientation="landscape" r:id="rId2"/>
  <headerFooter alignWithMargins="0"/>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8D3FC-2919-440C-AC9D-184EE1049C44}">
  <sheetPr codeName="Sheet5"/>
  <dimension ref="A1:T24"/>
  <sheetViews>
    <sheetView topLeftCell="E1" workbookViewId="0">
      <selection activeCell="I19" sqref="I19"/>
    </sheetView>
  </sheetViews>
  <sheetFormatPr defaultColWidth="9.140625" defaultRowHeight="12.75" x14ac:dyDescent="0.2"/>
  <cols>
    <col min="1" max="1" width="15.7109375" style="12" bestFit="1" customWidth="1"/>
    <col min="2" max="2" width="5.28515625" style="12" customWidth="1"/>
    <col min="3" max="4" width="15.7109375" style="12" customWidth="1"/>
    <col min="5" max="5" width="3.5703125" style="12" customWidth="1"/>
    <col min="6" max="6" width="19.28515625" style="12" bestFit="1" customWidth="1"/>
    <col min="7" max="7" width="72.140625" style="12" bestFit="1" customWidth="1"/>
    <col min="8" max="8" width="22.42578125" style="12" bestFit="1" customWidth="1"/>
    <col min="9" max="13" width="11.7109375" style="12" customWidth="1"/>
    <col min="14" max="14" width="20.28515625" style="12" bestFit="1" customWidth="1"/>
    <col min="15" max="19" width="11.7109375" style="12" customWidth="1"/>
    <col min="20" max="20" width="35.140625" style="12" bestFit="1" customWidth="1"/>
    <col min="21" max="16384" width="9.140625" style="12"/>
  </cols>
  <sheetData>
    <row r="1" spans="1:20" x14ac:dyDescent="0.2">
      <c r="F1" s="93" t="s">
        <v>416</v>
      </c>
    </row>
    <row r="2" spans="1:20" x14ac:dyDescent="0.2">
      <c r="G2" s="91"/>
      <c r="H2" s="91"/>
      <c r="I2" s="91"/>
      <c r="J2" s="91"/>
      <c r="K2" s="91"/>
      <c r="L2" s="91"/>
      <c r="M2" s="91"/>
      <c r="N2" s="91"/>
      <c r="O2" s="91"/>
      <c r="P2" s="91"/>
      <c r="Q2" s="91"/>
      <c r="R2" s="91"/>
      <c r="S2" s="91"/>
    </row>
    <row r="3" spans="1:20" ht="23.25" thickBot="1" x14ac:dyDescent="0.25">
      <c r="A3" s="92" t="s">
        <v>415</v>
      </c>
      <c r="B3" s="92"/>
      <c r="F3" s="91" t="s">
        <v>414</v>
      </c>
      <c r="G3" s="91" t="s">
        <v>413</v>
      </c>
      <c r="H3" s="91" t="s">
        <v>412</v>
      </c>
      <c r="I3" s="91" t="s">
        <v>411</v>
      </c>
      <c r="J3" s="91" t="s">
        <v>410</v>
      </c>
      <c r="K3" s="91" t="s">
        <v>409</v>
      </c>
      <c r="L3" s="91" t="s">
        <v>408</v>
      </c>
      <c r="M3" s="91" t="s">
        <v>407</v>
      </c>
      <c r="N3" s="91" t="s">
        <v>406</v>
      </c>
      <c r="O3" s="91" t="s">
        <v>405</v>
      </c>
      <c r="P3" s="91" t="s">
        <v>404</v>
      </c>
      <c r="Q3" s="91" t="s">
        <v>403</v>
      </c>
      <c r="R3" s="91" t="s">
        <v>402</v>
      </c>
      <c r="S3" s="91" t="s">
        <v>401</v>
      </c>
      <c r="T3" s="142" t="s">
        <v>471</v>
      </c>
    </row>
    <row r="4" spans="1:20" ht="13.5" thickTop="1" x14ac:dyDescent="0.2">
      <c r="A4" s="90" t="s">
        <v>398</v>
      </c>
      <c r="B4" s="90"/>
      <c r="C4" s="89" t="s">
        <v>259</v>
      </c>
      <c r="F4" s="12" t="s">
        <v>400</v>
      </c>
      <c r="G4" s="12" t="s">
        <v>399</v>
      </c>
      <c r="H4" s="12" t="s">
        <v>339</v>
      </c>
      <c r="I4" s="86"/>
      <c r="J4" s="86" t="s">
        <v>368</v>
      </c>
      <c r="K4" s="86"/>
      <c r="L4" s="86"/>
      <c r="M4" s="86"/>
      <c r="N4" s="86"/>
      <c r="O4" s="86"/>
      <c r="P4" s="86"/>
      <c r="Q4" s="86"/>
      <c r="R4" s="87"/>
      <c r="S4" s="86"/>
      <c r="T4" s="141" t="s">
        <v>472</v>
      </c>
    </row>
    <row r="5" spans="1:20" ht="13.5" thickBot="1" x14ac:dyDescent="0.25">
      <c r="A5" s="90"/>
      <c r="B5" s="90"/>
      <c r="C5" s="88" t="str">
        <f>"Y"</f>
        <v>Y</v>
      </c>
      <c r="F5" s="12" t="s">
        <v>398</v>
      </c>
      <c r="G5" s="1" t="s">
        <v>397</v>
      </c>
      <c r="H5" s="1" t="s">
        <v>258</v>
      </c>
      <c r="I5" s="86"/>
      <c r="J5" s="86" t="s">
        <v>368</v>
      </c>
      <c r="K5" s="86"/>
      <c r="L5" s="86" t="s">
        <v>396</v>
      </c>
      <c r="M5" s="86" t="s">
        <v>368</v>
      </c>
      <c r="N5" s="86"/>
      <c r="O5" s="86"/>
      <c r="P5" s="86"/>
      <c r="Q5" s="86"/>
      <c r="R5" s="87"/>
      <c r="S5" s="86"/>
      <c r="T5" s="141" t="s">
        <v>473</v>
      </c>
    </row>
    <row r="6" spans="1:20" ht="14.25" thickTop="1" thickBot="1" x14ac:dyDescent="0.25">
      <c r="F6" s="12" t="s">
        <v>599</v>
      </c>
      <c r="G6" s="1" t="s">
        <v>600</v>
      </c>
      <c r="H6" s="1" t="s">
        <v>349</v>
      </c>
      <c r="I6" s="86" t="s">
        <v>581</v>
      </c>
      <c r="J6" s="222" t="s">
        <v>369</v>
      </c>
      <c r="K6" s="222"/>
      <c r="L6" s="86"/>
      <c r="M6" s="222"/>
      <c r="N6" s="222"/>
      <c r="O6" s="86"/>
      <c r="P6" s="222"/>
      <c r="Q6" s="222"/>
      <c r="R6" s="223"/>
      <c r="S6" s="222"/>
      <c r="T6" s="222" t="s">
        <v>601</v>
      </c>
    </row>
    <row r="7" spans="1:20" ht="13.5" thickTop="1" x14ac:dyDescent="0.2">
      <c r="A7" s="1" t="s">
        <v>393</v>
      </c>
      <c r="C7" s="89" t="s">
        <v>259</v>
      </c>
      <c r="D7" s="89" t="s">
        <v>392</v>
      </c>
      <c r="F7" s="12" t="s">
        <v>818</v>
      </c>
      <c r="G7" s="12" t="s">
        <v>819</v>
      </c>
      <c r="H7" s="12" t="s">
        <v>292</v>
      </c>
      <c r="I7" s="86">
        <v>0</v>
      </c>
      <c r="J7" s="229" t="s">
        <v>385</v>
      </c>
      <c r="K7" s="229"/>
      <c r="L7" s="86"/>
      <c r="M7" s="229"/>
      <c r="N7" s="133" t="s">
        <v>287</v>
      </c>
      <c r="O7" s="86"/>
      <c r="P7" s="133" t="s">
        <v>369</v>
      </c>
      <c r="Q7" s="229"/>
      <c r="R7" s="230"/>
      <c r="S7" s="229"/>
      <c r="T7" s="229" t="s">
        <v>825</v>
      </c>
    </row>
    <row r="8" spans="1:20" ht="13.5" thickBot="1" x14ac:dyDescent="0.25">
      <c r="C8" s="88" t="str">
        <f>"Y"</f>
        <v>Y</v>
      </c>
      <c r="D8" s="88" t="str">
        <f>"&lt;&gt;"</f>
        <v>&lt;&gt;</v>
      </c>
      <c r="F8" s="1" t="s">
        <v>395</v>
      </c>
      <c r="G8" s="1" t="s">
        <v>394</v>
      </c>
      <c r="H8" s="12" t="s">
        <v>514</v>
      </c>
      <c r="I8" s="86"/>
      <c r="J8" s="86" t="s">
        <v>368</v>
      </c>
      <c r="K8" s="86"/>
      <c r="L8" s="86"/>
      <c r="M8" s="86"/>
      <c r="N8" s="86"/>
      <c r="O8" s="86"/>
      <c r="P8" s="86"/>
      <c r="Q8" s="86"/>
      <c r="R8" s="87"/>
      <c r="S8" s="86"/>
      <c r="T8" s="141" t="s">
        <v>474</v>
      </c>
    </row>
    <row r="9" spans="1:20" ht="13.5" thickTop="1" x14ac:dyDescent="0.2">
      <c r="F9" s="12" t="s">
        <v>460</v>
      </c>
      <c r="G9" s="12" t="s">
        <v>461</v>
      </c>
      <c r="H9" s="12" t="s">
        <v>567</v>
      </c>
      <c r="I9" s="86" t="s">
        <v>227</v>
      </c>
      <c r="J9" s="133" t="s">
        <v>369</v>
      </c>
      <c r="K9" s="133"/>
      <c r="L9" s="86"/>
      <c r="M9" s="133"/>
      <c r="N9" s="133" t="s">
        <v>287</v>
      </c>
      <c r="O9" s="86"/>
      <c r="P9" s="133" t="s">
        <v>369</v>
      </c>
      <c r="Q9" s="133"/>
      <c r="R9" s="134"/>
      <c r="S9" s="133"/>
      <c r="T9" s="141" t="s">
        <v>475</v>
      </c>
    </row>
    <row r="10" spans="1:20" ht="13.5" thickBot="1" x14ac:dyDescent="0.25">
      <c r="F10" s="12" t="s">
        <v>391</v>
      </c>
      <c r="G10" s="12" t="s">
        <v>390</v>
      </c>
      <c r="H10" s="1" t="s">
        <v>291</v>
      </c>
      <c r="I10" s="86">
        <v>0</v>
      </c>
      <c r="J10" s="86" t="s">
        <v>385</v>
      </c>
      <c r="K10" s="86"/>
      <c r="L10" s="86"/>
      <c r="M10" s="86"/>
      <c r="N10" s="86"/>
      <c r="O10" s="86"/>
      <c r="P10" s="86"/>
      <c r="Q10" s="86"/>
      <c r="R10" s="87"/>
      <c r="S10" s="86"/>
      <c r="T10" s="141" t="s">
        <v>476</v>
      </c>
    </row>
    <row r="11" spans="1:20" ht="13.5" thickTop="1" x14ac:dyDescent="0.2">
      <c r="A11" s="12" t="s">
        <v>384</v>
      </c>
      <c r="C11" s="89" t="s">
        <v>258</v>
      </c>
      <c r="F11" s="1" t="s">
        <v>389</v>
      </c>
      <c r="G11" s="1" t="s">
        <v>388</v>
      </c>
      <c r="H11" s="1" t="s">
        <v>258</v>
      </c>
      <c r="I11" s="86"/>
      <c r="J11" s="86" t="s">
        <v>368</v>
      </c>
      <c r="K11" s="86"/>
      <c r="L11" s="86"/>
      <c r="M11" s="86"/>
      <c r="N11" s="1" t="s">
        <v>334</v>
      </c>
      <c r="O11" s="86">
        <v>0</v>
      </c>
      <c r="P11" s="86" t="s">
        <v>385</v>
      </c>
      <c r="Q11" s="86"/>
      <c r="R11" s="87"/>
      <c r="S11" s="86"/>
      <c r="T11" s="141" t="s">
        <v>477</v>
      </c>
    </row>
    <row r="12" spans="1:20" ht="13.5" thickBot="1" x14ac:dyDescent="0.25">
      <c r="C12" s="88" t="str">
        <f>"*LNG*"</f>
        <v>*LNG*</v>
      </c>
      <c r="F12" s="1" t="s">
        <v>387</v>
      </c>
      <c r="G12" s="1" t="s">
        <v>386</v>
      </c>
      <c r="H12" s="1" t="s">
        <v>258</v>
      </c>
      <c r="I12" s="86"/>
      <c r="J12" s="86" t="s">
        <v>368</v>
      </c>
      <c r="K12" s="86"/>
      <c r="L12" s="86"/>
      <c r="M12" s="86"/>
      <c r="N12" s="1" t="s">
        <v>343</v>
      </c>
      <c r="O12" s="86">
        <v>0</v>
      </c>
      <c r="P12" s="86" t="s">
        <v>385</v>
      </c>
      <c r="Q12" s="86"/>
      <c r="R12" s="87"/>
      <c r="S12" s="86"/>
      <c r="T12" s="141" t="s">
        <v>478</v>
      </c>
    </row>
    <row r="13" spans="1:20" ht="13.5" thickTop="1" x14ac:dyDescent="0.2">
      <c r="F13" s="12" t="s">
        <v>918</v>
      </c>
      <c r="G13" s="12" t="s">
        <v>919</v>
      </c>
      <c r="H13" s="1" t="s">
        <v>861</v>
      </c>
      <c r="I13" s="86">
        <v>0</v>
      </c>
      <c r="J13" s="86" t="s">
        <v>368</v>
      </c>
      <c r="K13" s="86"/>
      <c r="L13" s="86"/>
      <c r="M13" s="86"/>
      <c r="N13" s="86"/>
      <c r="O13" s="86"/>
      <c r="P13" s="86"/>
      <c r="Q13" s="86"/>
      <c r="R13" s="87"/>
      <c r="S13" s="86"/>
      <c r="T13" s="86" t="s">
        <v>920</v>
      </c>
    </row>
    <row r="14" spans="1:20" x14ac:dyDescent="0.2">
      <c r="F14" s="12" t="s">
        <v>257</v>
      </c>
      <c r="G14" s="12" t="s">
        <v>911</v>
      </c>
      <c r="H14" s="1" t="s">
        <v>257</v>
      </c>
      <c r="I14" s="86">
        <v>0</v>
      </c>
      <c r="J14" s="86" t="s">
        <v>368</v>
      </c>
      <c r="K14" s="86"/>
      <c r="L14" s="86"/>
      <c r="M14" s="86"/>
      <c r="N14" s="86"/>
      <c r="O14" s="86"/>
      <c r="P14" s="86"/>
      <c r="Q14" s="86"/>
      <c r="R14" s="87"/>
      <c r="S14" s="86"/>
      <c r="T14" s="86" t="s">
        <v>921</v>
      </c>
    </row>
    <row r="15" spans="1:20" x14ac:dyDescent="0.2">
      <c r="F15" s="1" t="s">
        <v>383</v>
      </c>
      <c r="G15" s="1" t="s">
        <v>382</v>
      </c>
      <c r="H15" s="1" t="s">
        <v>300</v>
      </c>
      <c r="I15" s="86"/>
      <c r="J15" s="86" t="s">
        <v>368</v>
      </c>
      <c r="K15" s="86"/>
      <c r="L15" s="86"/>
      <c r="M15" s="86"/>
      <c r="N15" s="86"/>
      <c r="O15" s="86"/>
      <c r="P15" s="86"/>
      <c r="Q15" s="86"/>
      <c r="R15" s="87"/>
      <c r="S15" s="86"/>
      <c r="T15" s="141" t="s">
        <v>479</v>
      </c>
    </row>
    <row r="16" spans="1:20" x14ac:dyDescent="0.2">
      <c r="F16" s="1" t="s">
        <v>381</v>
      </c>
      <c r="G16" s="1" t="s">
        <v>380</v>
      </c>
      <c r="H16" s="1" t="s">
        <v>320</v>
      </c>
      <c r="I16" s="86"/>
      <c r="J16" s="86" t="s">
        <v>368</v>
      </c>
      <c r="K16" s="86"/>
      <c r="L16" s="86"/>
      <c r="M16" s="86"/>
      <c r="N16" s="86"/>
      <c r="O16" s="86"/>
      <c r="P16" s="86"/>
      <c r="Q16" s="86"/>
      <c r="R16" s="87"/>
      <c r="S16" s="86"/>
      <c r="T16" s="141" t="s">
        <v>480</v>
      </c>
    </row>
    <row r="17" spans="6:20" x14ac:dyDescent="0.2">
      <c r="F17" s="12" t="s">
        <v>379</v>
      </c>
      <c r="G17" s="12" t="s">
        <v>378</v>
      </c>
      <c r="H17" s="12" t="s">
        <v>258</v>
      </c>
      <c r="I17" s="86" t="s">
        <v>375</v>
      </c>
      <c r="J17" s="86" t="s">
        <v>369</v>
      </c>
      <c r="K17" s="86"/>
      <c r="L17" s="86"/>
      <c r="M17" s="86"/>
      <c r="N17" s="86"/>
      <c r="O17" s="86"/>
      <c r="P17" s="86"/>
      <c r="Q17" s="86"/>
      <c r="R17" s="87"/>
      <c r="S17" s="86"/>
      <c r="T17" s="141" t="s">
        <v>481</v>
      </c>
    </row>
    <row r="18" spans="6:20" x14ac:dyDescent="0.2">
      <c r="F18" s="12" t="s">
        <v>377</v>
      </c>
      <c r="G18" s="12" t="s">
        <v>376</v>
      </c>
      <c r="H18" s="12" t="s">
        <v>292</v>
      </c>
      <c r="I18" s="86">
        <v>0</v>
      </c>
      <c r="J18" s="86" t="s">
        <v>385</v>
      </c>
      <c r="K18" s="86"/>
      <c r="L18" s="86"/>
      <c r="M18" s="86"/>
      <c r="N18" s="86"/>
      <c r="O18" s="86"/>
      <c r="P18" s="86"/>
      <c r="Q18" s="86"/>
      <c r="R18" s="87"/>
      <c r="S18" s="86"/>
      <c r="T18" s="141" t="s">
        <v>482</v>
      </c>
    </row>
    <row r="19" spans="6:20" x14ac:dyDescent="0.2">
      <c r="F19" s="1" t="s">
        <v>374</v>
      </c>
      <c r="G19" s="1" t="s">
        <v>373</v>
      </c>
      <c r="H19" s="12" t="s">
        <v>307</v>
      </c>
      <c r="I19" s="86"/>
      <c r="J19" s="86" t="s">
        <v>368</v>
      </c>
      <c r="K19" s="86"/>
      <c r="L19" s="86"/>
      <c r="M19" s="86"/>
      <c r="N19" s="86"/>
      <c r="O19" s="86"/>
      <c r="P19" s="86"/>
      <c r="Q19" s="86"/>
      <c r="R19" s="87"/>
      <c r="S19" s="86"/>
      <c r="T19" s="141" t="s">
        <v>483</v>
      </c>
    </row>
    <row r="20" spans="6:20" x14ac:dyDescent="0.2">
      <c r="F20" s="12" t="s">
        <v>463</v>
      </c>
      <c r="G20" s="12" t="s">
        <v>464</v>
      </c>
      <c r="H20" s="12" t="s">
        <v>564</v>
      </c>
      <c r="I20" s="86" t="s">
        <v>227</v>
      </c>
      <c r="J20" s="133" t="s">
        <v>369</v>
      </c>
      <c r="K20" s="133"/>
      <c r="L20" s="86"/>
      <c r="M20" s="133"/>
      <c r="N20" s="133" t="s">
        <v>307</v>
      </c>
      <c r="O20" s="86"/>
      <c r="P20" s="133" t="s">
        <v>369</v>
      </c>
      <c r="Q20" s="133"/>
      <c r="R20" s="134"/>
      <c r="S20" s="133"/>
      <c r="T20" s="141" t="s">
        <v>484</v>
      </c>
    </row>
    <row r="21" spans="6:20" x14ac:dyDescent="0.2">
      <c r="F21" s="1" t="s">
        <v>372</v>
      </c>
      <c r="G21" s="12" t="s">
        <v>824</v>
      </c>
      <c r="H21" s="12" t="s">
        <v>305</v>
      </c>
      <c r="I21" s="86">
        <v>0</v>
      </c>
      <c r="J21" s="86" t="s">
        <v>368</v>
      </c>
      <c r="K21" s="86"/>
      <c r="L21" s="86"/>
      <c r="M21" s="86"/>
      <c r="N21" s="86"/>
      <c r="O21" s="86"/>
      <c r="P21" s="86"/>
      <c r="Q21" s="86"/>
      <c r="R21" s="87"/>
      <c r="S21" s="86"/>
      <c r="T21" s="141" t="s">
        <v>485</v>
      </c>
    </row>
    <row r="22" spans="6:20" x14ac:dyDescent="0.2">
      <c r="F22" s="12" t="s">
        <v>1094</v>
      </c>
      <c r="G22" s="12" t="s">
        <v>1095</v>
      </c>
      <c r="H22" s="1" t="s">
        <v>320</v>
      </c>
      <c r="I22" s="86"/>
      <c r="J22" s="86" t="s">
        <v>368</v>
      </c>
      <c r="K22" s="86"/>
      <c r="L22" s="86"/>
      <c r="M22" s="86"/>
      <c r="N22" s="86" t="s">
        <v>307</v>
      </c>
      <c r="O22" s="86"/>
      <c r="P22" s="86" t="s">
        <v>369</v>
      </c>
      <c r="Q22" s="86"/>
      <c r="R22" s="87"/>
      <c r="S22" s="86"/>
      <c r="T22" s="86" t="s">
        <v>1096</v>
      </c>
    </row>
    <row r="23" spans="6:20" x14ac:dyDescent="0.2">
      <c r="F23" s="12" t="s">
        <v>371</v>
      </c>
      <c r="G23" s="12" t="s">
        <v>370</v>
      </c>
      <c r="H23" s="12" t="s">
        <v>349</v>
      </c>
      <c r="I23" s="86"/>
      <c r="J23" s="86" t="s">
        <v>369</v>
      </c>
      <c r="K23" s="86"/>
      <c r="L23" s="86"/>
      <c r="M23" s="86"/>
      <c r="N23" s="86"/>
      <c r="O23" s="86"/>
      <c r="P23" s="86"/>
      <c r="Q23" s="86"/>
      <c r="R23" s="87"/>
      <c r="S23" s="86"/>
      <c r="T23" s="141" t="s">
        <v>487</v>
      </c>
    </row>
    <row r="24" spans="6:20" x14ac:dyDescent="0.2">
      <c r="F24" s="1" t="s">
        <v>344</v>
      </c>
      <c r="H24" s="1" t="s">
        <v>344</v>
      </c>
      <c r="I24" s="86"/>
      <c r="J24" s="86" t="s">
        <v>368</v>
      </c>
      <c r="K24" s="86"/>
      <c r="L24" s="86"/>
      <c r="M24" s="86"/>
      <c r="N24" s="86"/>
      <c r="O24" s="86"/>
      <c r="P24" s="86"/>
      <c r="Q24" s="86"/>
      <c r="R24" s="87"/>
      <c r="S24" s="86"/>
      <c r="T24" s="141" t="s">
        <v>488</v>
      </c>
    </row>
  </sheetData>
  <dataValidations count="3">
    <dataValidation type="list" allowBlank="1" showInputMessage="1" showErrorMessage="1" sqref="M22 M4:M15 J4:J24 P4:P24 S4:S24" xr:uid="{00000000-0002-0000-0200-000000000000}">
      <formula1>EbfCriteriaOps</formula1>
    </dataValidation>
    <dataValidation type="list" allowBlank="1" showInputMessage="1" showErrorMessage="1" sqref="N4:N24 H4:H24" xr:uid="{00000000-0002-0000-0200-000002000000}">
      <formula1>_SnapColumnNames</formula1>
    </dataValidation>
    <dataValidation type="list" allowBlank="1" showInputMessage="1" showErrorMessage="1" sqref="Q4:Q24 K4:K24" xr:uid="{00000000-0002-0000-0200-000001000000}">
      <formula1>XlAutoFilterOps</formula1>
    </dataValidation>
  </dataValidations>
  <pageMargins left="0.7" right="0.7" top="0.75" bottom="0.75" header="0.3" footer="0.3"/>
  <pageSetup orientation="portrait" horizontalDpi="4294967293" verticalDpi="4294967293"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B2074-6EBA-473C-897C-0FF255B4EBB7}">
  <sheetPr codeName="Sheet4"/>
  <dimension ref="B3:S26"/>
  <sheetViews>
    <sheetView topLeftCell="A4" workbookViewId="0">
      <selection activeCell="B11" sqref="B11"/>
    </sheetView>
  </sheetViews>
  <sheetFormatPr defaultColWidth="9.140625" defaultRowHeight="12.75" outlineLevelCol="1" x14ac:dyDescent="0.2"/>
  <cols>
    <col min="1" max="1" width="4.5703125" style="1" customWidth="1"/>
    <col min="2" max="2" width="28.42578125" style="1" bestFit="1" customWidth="1"/>
    <col min="3" max="5" width="15.85546875" style="1" bestFit="1" customWidth="1"/>
    <col min="6" max="6" width="18.140625" style="1" bestFit="1" customWidth="1"/>
    <col min="7" max="7" width="20.85546875" style="1" bestFit="1" customWidth="1"/>
    <col min="8" max="8" width="20.85546875" style="1" customWidth="1"/>
    <col min="9" max="9" width="18.140625" style="1" bestFit="1" customWidth="1"/>
    <col min="10" max="10" width="11.140625" style="1" bestFit="1" customWidth="1"/>
    <col min="11" max="11" width="15.42578125" style="1" bestFit="1" customWidth="1"/>
    <col min="12" max="12" width="12.140625" style="1" bestFit="1" customWidth="1"/>
    <col min="13" max="13" width="17.5703125" style="1" bestFit="1" customWidth="1"/>
    <col min="14" max="14" width="12.140625" style="1" bestFit="1" customWidth="1"/>
    <col min="15" max="15" width="42.42578125" style="1" customWidth="1" outlineLevel="1"/>
    <col min="16" max="16384" width="9.140625" style="1"/>
  </cols>
  <sheetData>
    <row r="3" spans="2:19" x14ac:dyDescent="0.2">
      <c r="S3" s="12"/>
    </row>
    <row r="4" spans="2:19" x14ac:dyDescent="0.2">
      <c r="B4" s="94" t="s">
        <v>446</v>
      </c>
      <c r="C4" s="94" t="s">
        <v>445</v>
      </c>
      <c r="D4" s="94" t="s">
        <v>444</v>
      </c>
      <c r="E4" s="94" t="s">
        <v>443</v>
      </c>
      <c r="F4" s="94" t="s">
        <v>442</v>
      </c>
      <c r="G4" s="94" t="s">
        <v>441</v>
      </c>
      <c r="H4" s="94" t="s">
        <v>589</v>
      </c>
      <c r="I4" s="94" t="s">
        <v>440</v>
      </c>
      <c r="J4" s="94" t="s">
        <v>439</v>
      </c>
      <c r="K4" s="94" t="s">
        <v>438</v>
      </c>
      <c r="L4" s="94" t="s">
        <v>437</v>
      </c>
      <c r="M4" s="94" t="s">
        <v>436</v>
      </c>
      <c r="N4" s="94" t="s">
        <v>435</v>
      </c>
      <c r="O4" s="94" t="s">
        <v>471</v>
      </c>
    </row>
    <row r="5" spans="2:19" ht="15" customHeight="1" x14ac:dyDescent="0.2">
      <c r="B5" s="1" t="s">
        <v>434</v>
      </c>
      <c r="C5" s="1" t="s">
        <v>360</v>
      </c>
      <c r="D5" s="1" t="s">
        <v>354</v>
      </c>
      <c r="F5" s="1" t="s">
        <v>400</v>
      </c>
      <c r="I5" s="1" t="s">
        <v>330</v>
      </c>
      <c r="J5" s="1" t="s">
        <v>417</v>
      </c>
      <c r="K5" s="1" t="s">
        <v>349</v>
      </c>
      <c r="L5" s="1" t="s">
        <v>418</v>
      </c>
      <c r="O5" s="12" t="s">
        <v>472</v>
      </c>
    </row>
    <row r="6" spans="2:19" x14ac:dyDescent="0.2">
      <c r="B6" s="1" t="s">
        <v>433</v>
      </c>
      <c r="C6" s="1" t="s">
        <v>360</v>
      </c>
      <c r="E6" s="1" t="s">
        <v>361</v>
      </c>
      <c r="F6" s="1" t="s">
        <v>400</v>
      </c>
      <c r="I6" s="1" t="s">
        <v>339</v>
      </c>
      <c r="J6" s="1" t="s">
        <v>418</v>
      </c>
      <c r="K6" s="1" t="s">
        <v>349</v>
      </c>
      <c r="L6" s="1" t="s">
        <v>418</v>
      </c>
      <c r="O6" s="12" t="s">
        <v>473</v>
      </c>
    </row>
    <row r="7" spans="2:19" x14ac:dyDescent="0.2">
      <c r="B7" s="1" t="s">
        <v>432</v>
      </c>
      <c r="C7" s="1" t="s">
        <v>359</v>
      </c>
      <c r="D7" s="1" t="s">
        <v>356</v>
      </c>
      <c r="E7" s="12"/>
      <c r="F7" s="1" t="s">
        <v>257</v>
      </c>
      <c r="I7" s="1" t="s">
        <v>349</v>
      </c>
      <c r="J7" s="1" t="s">
        <v>418</v>
      </c>
      <c r="O7" s="12" t="s">
        <v>474</v>
      </c>
    </row>
    <row r="8" spans="2:19" ht="12.75" customHeight="1" x14ac:dyDescent="0.25">
      <c r="B8" t="s">
        <v>602</v>
      </c>
      <c r="C8"/>
      <c r="D8"/>
      <c r="E8"/>
      <c r="F8" t="s">
        <v>599</v>
      </c>
      <c r="G8"/>
      <c r="H8" s="12"/>
      <c r="I8" s="106" t="s">
        <v>349</v>
      </c>
      <c r="J8" s="106" t="s">
        <v>418</v>
      </c>
      <c r="K8" s="106"/>
      <c r="L8"/>
      <c r="M8" s="224"/>
      <c r="N8" s="224"/>
      <c r="O8" s="12" t="s">
        <v>922</v>
      </c>
    </row>
    <row r="9" spans="2:19" x14ac:dyDescent="0.2">
      <c r="B9" s="1" t="s">
        <v>431</v>
      </c>
      <c r="C9" s="1" t="s">
        <v>356</v>
      </c>
      <c r="D9" s="1" t="s">
        <v>350</v>
      </c>
      <c r="F9" s="1" t="s">
        <v>818</v>
      </c>
      <c r="H9" s="1" t="s">
        <v>934</v>
      </c>
      <c r="I9" s="1" t="s">
        <v>257</v>
      </c>
      <c r="J9" s="12" t="s">
        <v>417</v>
      </c>
      <c r="K9" s="12" t="s">
        <v>292</v>
      </c>
      <c r="L9" s="12" t="s">
        <v>417</v>
      </c>
      <c r="O9" s="12" t="s">
        <v>475</v>
      </c>
    </row>
    <row r="10" spans="2:19" x14ac:dyDescent="0.2">
      <c r="B10" s="1" t="s">
        <v>430</v>
      </c>
      <c r="C10" s="12" t="s">
        <v>356</v>
      </c>
      <c r="D10" s="1" t="s">
        <v>350</v>
      </c>
      <c r="F10" s="1" t="s">
        <v>391</v>
      </c>
      <c r="H10" s="1" t="s">
        <v>292</v>
      </c>
      <c r="I10" s="1" t="s">
        <v>291</v>
      </c>
      <c r="J10" s="1" t="s">
        <v>418</v>
      </c>
      <c r="K10" s="1" t="s">
        <v>349</v>
      </c>
      <c r="L10" s="1" t="s">
        <v>418</v>
      </c>
      <c r="O10" s="12" t="s">
        <v>476</v>
      </c>
    </row>
    <row r="11" spans="2:19" x14ac:dyDescent="0.2">
      <c r="B11" s="1" t="s">
        <v>429</v>
      </c>
      <c r="C11" s="12" t="s">
        <v>356</v>
      </c>
      <c r="D11" s="1" t="s">
        <v>350</v>
      </c>
      <c r="F11" s="1" t="s">
        <v>395</v>
      </c>
      <c r="H11" s="1" t="s">
        <v>934</v>
      </c>
      <c r="I11" s="12" t="s">
        <v>836</v>
      </c>
      <c r="J11" s="1" t="s">
        <v>418</v>
      </c>
      <c r="K11" s="12" t="s">
        <v>291</v>
      </c>
      <c r="L11" s="12" t="s">
        <v>418</v>
      </c>
      <c r="M11" s="135" t="s">
        <v>349</v>
      </c>
      <c r="N11" s="12" t="s">
        <v>418</v>
      </c>
      <c r="O11" s="12" t="s">
        <v>477</v>
      </c>
    </row>
    <row r="12" spans="2:19" x14ac:dyDescent="0.2">
      <c r="B12" s="12" t="s">
        <v>462</v>
      </c>
      <c r="C12" s="12" t="s">
        <v>350</v>
      </c>
      <c r="D12" s="12" t="s">
        <v>356</v>
      </c>
      <c r="E12" s="1" t="s">
        <v>980</v>
      </c>
      <c r="F12" s="1" t="s">
        <v>460</v>
      </c>
      <c r="H12" s="1" t="s">
        <v>934</v>
      </c>
      <c r="I12" s="12" t="s">
        <v>288</v>
      </c>
      <c r="J12" s="12" t="s">
        <v>418</v>
      </c>
      <c r="K12" s="12" t="s">
        <v>291</v>
      </c>
      <c r="L12" s="12" t="s">
        <v>418</v>
      </c>
      <c r="M12" s="135" t="s">
        <v>912</v>
      </c>
      <c r="N12" s="12" t="s">
        <v>418</v>
      </c>
      <c r="O12" s="12" t="s">
        <v>478</v>
      </c>
    </row>
    <row r="13" spans="2:19" x14ac:dyDescent="0.2">
      <c r="B13" s="1" t="s">
        <v>428</v>
      </c>
      <c r="C13" s="1" t="s">
        <v>358</v>
      </c>
      <c r="F13" s="1" t="s">
        <v>389</v>
      </c>
      <c r="H13" s="1" t="s">
        <v>934</v>
      </c>
      <c r="I13" s="1" t="s">
        <v>336</v>
      </c>
      <c r="J13" s="1" t="s">
        <v>418</v>
      </c>
      <c r="K13" s="1" t="s">
        <v>349</v>
      </c>
      <c r="L13" s="1" t="s">
        <v>418</v>
      </c>
      <c r="O13" s="12" t="s">
        <v>479</v>
      </c>
    </row>
    <row r="14" spans="2:19" x14ac:dyDescent="0.2">
      <c r="B14" s="1" t="s">
        <v>427</v>
      </c>
      <c r="C14" s="1" t="s">
        <v>361</v>
      </c>
      <c r="D14" s="1" t="s">
        <v>356</v>
      </c>
      <c r="F14" s="12" t="s">
        <v>257</v>
      </c>
      <c r="I14" s="1" t="s">
        <v>343</v>
      </c>
      <c r="J14" s="1" t="s">
        <v>418</v>
      </c>
      <c r="K14" s="1" t="s">
        <v>342</v>
      </c>
      <c r="L14" s="1" t="s">
        <v>418</v>
      </c>
      <c r="M14" s="135" t="s">
        <v>349</v>
      </c>
      <c r="N14" s="135" t="s">
        <v>418</v>
      </c>
      <c r="O14" s="12" t="s">
        <v>480</v>
      </c>
    </row>
    <row r="15" spans="2:19" x14ac:dyDescent="0.2">
      <c r="B15" s="12" t="s">
        <v>918</v>
      </c>
      <c r="C15" s="1" t="s">
        <v>359</v>
      </c>
      <c r="D15" s="1" t="s">
        <v>356</v>
      </c>
      <c r="F15" s="1" t="s">
        <v>918</v>
      </c>
      <c r="H15" s="12" t="s">
        <v>343</v>
      </c>
      <c r="I15" s="1" t="s">
        <v>349</v>
      </c>
      <c r="J15" s="12" t="s">
        <v>418</v>
      </c>
      <c r="K15" s="1" t="s">
        <v>257</v>
      </c>
      <c r="L15" s="12" t="s">
        <v>417</v>
      </c>
      <c r="M15" s="12"/>
      <c r="N15" s="12"/>
      <c r="O15" s="12" t="s">
        <v>923</v>
      </c>
    </row>
    <row r="16" spans="2:19" x14ac:dyDescent="0.2">
      <c r="B16" s="1" t="s">
        <v>426</v>
      </c>
      <c r="C16" s="1" t="s">
        <v>356</v>
      </c>
      <c r="D16" s="12" t="s">
        <v>351</v>
      </c>
      <c r="E16" s="12"/>
      <c r="F16" s="1" t="s">
        <v>383</v>
      </c>
      <c r="H16" s="1" t="s">
        <v>934</v>
      </c>
      <c r="I16" s="1" t="s">
        <v>300</v>
      </c>
      <c r="J16" s="12" t="s">
        <v>418</v>
      </c>
      <c r="K16" s="1" t="s">
        <v>835</v>
      </c>
      <c r="L16" s="1" t="s">
        <v>417</v>
      </c>
      <c r="M16" s="1" t="s">
        <v>349</v>
      </c>
      <c r="N16" s="1" t="s">
        <v>418</v>
      </c>
      <c r="O16" s="12" t="s">
        <v>481</v>
      </c>
    </row>
    <row r="17" spans="2:15" x14ac:dyDescent="0.2">
      <c r="B17" s="1" t="s">
        <v>425</v>
      </c>
      <c r="C17" s="1" t="s">
        <v>356</v>
      </c>
      <c r="F17" s="1" t="s">
        <v>377</v>
      </c>
      <c r="I17" s="1" t="s">
        <v>835</v>
      </c>
      <c r="J17" s="1" t="s">
        <v>417</v>
      </c>
      <c r="K17" s="1" t="s">
        <v>349</v>
      </c>
      <c r="L17" s="1" t="s">
        <v>418</v>
      </c>
      <c r="O17" s="12" t="s">
        <v>482</v>
      </c>
    </row>
    <row r="18" spans="2:15" x14ac:dyDescent="0.2">
      <c r="B18" s="1" t="s">
        <v>424</v>
      </c>
      <c r="C18" s="1" t="s">
        <v>353</v>
      </c>
      <c r="F18" s="1" t="s">
        <v>381</v>
      </c>
      <c r="I18" s="1" t="s">
        <v>314</v>
      </c>
      <c r="J18" s="1" t="s">
        <v>417</v>
      </c>
      <c r="K18" s="1" t="s">
        <v>349</v>
      </c>
      <c r="L18" s="1" t="s">
        <v>418</v>
      </c>
      <c r="O18" s="12" t="s">
        <v>483</v>
      </c>
    </row>
    <row r="19" spans="2:15" x14ac:dyDescent="0.2">
      <c r="B19" s="1" t="s">
        <v>423</v>
      </c>
      <c r="C19" s="1" t="s">
        <v>352</v>
      </c>
      <c r="F19" s="1" t="s">
        <v>372</v>
      </c>
      <c r="I19" s="1" t="s">
        <v>302</v>
      </c>
      <c r="J19" s="1" t="s">
        <v>417</v>
      </c>
      <c r="K19" s="1" t="s">
        <v>304</v>
      </c>
      <c r="L19" s="1" t="s">
        <v>417</v>
      </c>
      <c r="O19" s="12" t="s">
        <v>484</v>
      </c>
    </row>
    <row r="20" spans="2:15" x14ac:dyDescent="0.2">
      <c r="B20" s="1" t="s">
        <v>422</v>
      </c>
      <c r="C20" s="1" t="s">
        <v>356</v>
      </c>
      <c r="D20" s="12" t="s">
        <v>352</v>
      </c>
      <c r="F20" s="12" t="s">
        <v>257</v>
      </c>
      <c r="H20" s="12" t="s">
        <v>934</v>
      </c>
      <c r="I20" s="1" t="s">
        <v>311</v>
      </c>
      <c r="J20" s="1" t="s">
        <v>418</v>
      </c>
      <c r="K20" s="1" t="s">
        <v>304</v>
      </c>
      <c r="L20" s="1" t="s">
        <v>417</v>
      </c>
      <c r="O20" s="12" t="s">
        <v>485</v>
      </c>
    </row>
    <row r="21" spans="2:15" x14ac:dyDescent="0.2">
      <c r="B21" s="12" t="s">
        <v>421</v>
      </c>
      <c r="C21" s="1" t="s">
        <v>356</v>
      </c>
      <c r="D21" s="12" t="s">
        <v>352</v>
      </c>
      <c r="F21" s="1" t="s">
        <v>374</v>
      </c>
      <c r="H21" s="12" t="s">
        <v>934</v>
      </c>
      <c r="I21" s="12" t="s">
        <v>834</v>
      </c>
      <c r="J21" s="1" t="s">
        <v>418</v>
      </c>
      <c r="K21" s="1" t="s">
        <v>257</v>
      </c>
      <c r="L21" s="12" t="s">
        <v>417</v>
      </c>
      <c r="M21" s="12"/>
      <c r="N21" s="12"/>
      <c r="O21" s="12" t="s">
        <v>486</v>
      </c>
    </row>
    <row r="22" spans="2:15" x14ac:dyDescent="0.2">
      <c r="B22" s="12" t="s">
        <v>1097</v>
      </c>
      <c r="C22" s="1" t="s">
        <v>356</v>
      </c>
      <c r="D22" s="12" t="s">
        <v>352</v>
      </c>
      <c r="F22" s="1" t="s">
        <v>1094</v>
      </c>
      <c r="H22" s="12" t="s">
        <v>934</v>
      </c>
      <c r="I22" s="12" t="s">
        <v>834</v>
      </c>
      <c r="J22" s="1" t="s">
        <v>418</v>
      </c>
      <c r="K22" s="1" t="s">
        <v>349</v>
      </c>
      <c r="L22" s="12" t="s">
        <v>418</v>
      </c>
      <c r="M22" s="12" t="s">
        <v>310</v>
      </c>
      <c r="N22" s="12" t="s">
        <v>418</v>
      </c>
      <c r="O22" s="12" t="s">
        <v>1098</v>
      </c>
    </row>
    <row r="23" spans="2:15" x14ac:dyDescent="0.2">
      <c r="B23" s="12" t="s">
        <v>465</v>
      </c>
      <c r="C23" s="12" t="s">
        <v>352</v>
      </c>
      <c r="D23" s="12"/>
      <c r="F23" s="1" t="s">
        <v>463</v>
      </c>
      <c r="I23" s="12" t="s">
        <v>308</v>
      </c>
      <c r="J23" s="12" t="s">
        <v>418</v>
      </c>
      <c r="K23" s="12" t="s">
        <v>311</v>
      </c>
      <c r="L23" s="12" t="s">
        <v>418</v>
      </c>
      <c r="M23" s="135" t="s">
        <v>349</v>
      </c>
      <c r="N23" s="135" t="s">
        <v>418</v>
      </c>
      <c r="O23" s="12" t="s">
        <v>487</v>
      </c>
    </row>
    <row r="24" spans="2:15" x14ac:dyDescent="0.2">
      <c r="B24" s="1" t="s">
        <v>420</v>
      </c>
      <c r="C24" s="1" t="s">
        <v>351</v>
      </c>
      <c r="D24" s="1" t="s">
        <v>353</v>
      </c>
      <c r="E24" s="1" t="s">
        <v>350</v>
      </c>
      <c r="F24" s="1" t="s">
        <v>398</v>
      </c>
      <c r="I24" s="1" t="s">
        <v>349</v>
      </c>
      <c r="J24" s="1" t="s">
        <v>418</v>
      </c>
      <c r="O24" s="12" t="s">
        <v>489</v>
      </c>
    </row>
    <row r="25" spans="2:15" x14ac:dyDescent="0.2">
      <c r="B25" s="1" t="s">
        <v>419</v>
      </c>
      <c r="C25" s="1" t="s">
        <v>361</v>
      </c>
      <c r="D25" s="1" t="s">
        <v>356</v>
      </c>
      <c r="E25" s="1" t="s">
        <v>355</v>
      </c>
      <c r="F25" s="12" t="s">
        <v>257</v>
      </c>
      <c r="I25" s="1" t="s">
        <v>321</v>
      </c>
      <c r="J25" s="1" t="s">
        <v>418</v>
      </c>
      <c r="M25" s="12"/>
      <c r="N25" s="12"/>
      <c r="O25" s="12" t="s">
        <v>490</v>
      </c>
    </row>
    <row r="26" spans="2:15" x14ac:dyDescent="0.2">
      <c r="B26" s="1" t="s">
        <v>344</v>
      </c>
      <c r="C26" s="1" t="s">
        <v>345</v>
      </c>
      <c r="D26" s="12"/>
      <c r="F26" s="1" t="s">
        <v>344</v>
      </c>
      <c r="I26" s="1" t="s">
        <v>349</v>
      </c>
      <c r="J26" s="1" t="s">
        <v>418</v>
      </c>
      <c r="K26" s="1" t="s">
        <v>322</v>
      </c>
      <c r="L26" s="1" t="s">
        <v>417</v>
      </c>
      <c r="O26" s="12" t="s">
        <v>491</v>
      </c>
    </row>
  </sheetData>
  <dataValidations count="10">
    <dataValidation allowBlank="1" showInputMessage="1" showErrorMessage="1" promptTitle="GroupName(s)" prompt="Keys to finding a Range that is a predefined 'Group&quot; of columns in the subject display table." sqref="C4" xr:uid="{00000000-0002-0000-0300-000005000000}"/>
    <dataValidation allowBlank="1" showInputMessage="1" showErrorMessage="1" promptTitle="Sort Column(s)" prompt="The name of a column in the subject table that is sorted as part of this view." sqref="I4" xr:uid="{00000000-0002-0000-0300-000004000000}"/>
    <dataValidation allowBlank="1" showInputMessage="1" showErrorMessage="1" promptTitle="Sort Order" prompt="For each named column to be sorted, this specifies the order of the sort." sqref="J4" xr:uid="{00000000-0002-0000-0300-000003000000}"/>
    <dataValidation allowBlank="1" showInputMessage="1" showErrorMessage="1" promptTitle="View Name" prompt="The lookup namee for this View." sqref="B4" xr:uid="{00000000-0002-0000-0300-000002000000}"/>
    <dataValidation allowBlank="1" showInputMessage="1" showErrorMessage="1" promptTitle="AutoFilter Name" prompt="Lookup name for an AutoFilter spec. _x000a__x000a_If a view has both an AutoFilter and a CriteriaFilter the the AutoFilter will be used." sqref="F4" xr:uid="{00000000-0002-0000-0300-000001000000}"/>
    <dataValidation allowBlank="1" showInputMessage="1" showErrorMessage="1" promptTitle="CriteriaFilter Name" prompt="Lookup name for an AutoFilter spec. _x000a__x000a_If a view has both an AutoFilter and a CriteriaFilter the the AutoFilter will be used." sqref="G4" xr:uid="{00000000-0002-0000-0300-000000000000}"/>
    <dataValidation allowBlank="1" showInputMessage="1" showErrorMessage="1" promptTitle="Scroll To Column" sqref="H4" xr:uid="{B4DC0EF9-1C71-44BF-8783-5744809A0D2D}"/>
    <dataValidation type="list" allowBlank="1" showInputMessage="1" showErrorMessage="1" sqref="E10 D10:D11 C6:E9 C12:E26" xr:uid="{00000000-0002-0000-0300-000007000000}">
      <formula1>_GroupNames</formula1>
    </dataValidation>
    <dataValidation type="list" allowBlank="1" showInputMessage="1" showErrorMessage="1" sqref="F6:F26" xr:uid="{00000000-0002-0000-0300-000008000000}">
      <formula1>_AutoFilterSpecs</formula1>
    </dataValidation>
    <dataValidation type="list" allowBlank="1" showInputMessage="1" showErrorMessage="1" sqref="M6:M26 H6:I26 K6:K26" xr:uid="{00000000-0002-0000-0300-000006000000}">
      <formula1>_SnapColumnNames</formula1>
    </dataValidation>
  </dataValidations>
  <pageMargins left="0.7" right="0.7" top="0.75" bottom="0.75" header="0.3" footer="0.3"/>
  <pageSetup orientation="portrait" horizontalDpi="4294967293" verticalDpi="4294967293"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6814F-C70B-4F6E-8197-67290D357EF0}">
  <sheetPr codeName="Sheet6"/>
  <dimension ref="A1:J18"/>
  <sheetViews>
    <sheetView workbookViewId="0">
      <selection activeCell="A2" sqref="A2:F17"/>
    </sheetView>
  </sheetViews>
  <sheetFormatPr defaultColWidth="9.140625" defaultRowHeight="12.75" x14ac:dyDescent="0.2"/>
  <cols>
    <col min="1" max="1" width="18.85546875" style="95" bestFit="1" customWidth="1"/>
    <col min="2" max="2" width="12.42578125" style="95" customWidth="1"/>
    <col min="3" max="3" width="15.42578125" style="95" bestFit="1" customWidth="1"/>
    <col min="4" max="4" width="15.42578125" style="95" customWidth="1"/>
    <col min="5" max="5" width="9.140625" style="95"/>
    <col min="6" max="6" width="41.85546875" style="95" bestFit="1" customWidth="1"/>
    <col min="7" max="7" width="7.28515625" style="95" customWidth="1"/>
    <col min="8" max="8" width="16.7109375" style="95" bestFit="1" customWidth="1"/>
    <col min="9" max="9" width="16.140625" style="95" bestFit="1" customWidth="1"/>
    <col min="10" max="16384" width="9.140625" style="95"/>
  </cols>
  <sheetData>
    <row r="1" spans="1:10" x14ac:dyDescent="0.2">
      <c r="A1" s="99" t="s">
        <v>454</v>
      </c>
      <c r="B1" s="99" t="s">
        <v>453</v>
      </c>
      <c r="C1" s="99" t="s">
        <v>452</v>
      </c>
      <c r="D1" s="99" t="s">
        <v>451</v>
      </c>
      <c r="E1" s="99" t="s">
        <v>450</v>
      </c>
      <c r="F1" s="99" t="s">
        <v>471</v>
      </c>
      <c r="H1" s="98" t="s">
        <v>449</v>
      </c>
      <c r="I1" s="97">
        <v>46208.522233796299</v>
      </c>
      <c r="J1" s="96">
        <f>I1</f>
        <v>46208.522233796299</v>
      </c>
    </row>
    <row r="2" spans="1:10" x14ac:dyDescent="0.2">
      <c r="A2" s="137" t="s">
        <v>345</v>
      </c>
      <c r="B2" s="137">
        <v>6</v>
      </c>
      <c r="C2" s="137" t="s">
        <v>1203</v>
      </c>
      <c r="D2" s="12"/>
      <c r="E2" s="137">
        <v>2</v>
      </c>
      <c r="F2" s="137" t="s">
        <v>1304</v>
      </c>
      <c r="H2" s="98" t="s">
        <v>448</v>
      </c>
      <c r="I2" s="97">
        <v>46208.523055555554</v>
      </c>
      <c r="J2" s="96">
        <f>I2</f>
        <v>46208.523055555554</v>
      </c>
    </row>
    <row r="3" spans="1:10" x14ac:dyDescent="0.2">
      <c r="A3" s="137" t="s">
        <v>361</v>
      </c>
      <c r="B3" s="137">
        <v>8</v>
      </c>
      <c r="C3" s="137" t="s">
        <v>1202</v>
      </c>
      <c r="D3" s="12"/>
      <c r="E3" s="137">
        <v>2</v>
      </c>
      <c r="F3" s="137" t="s">
        <v>1303</v>
      </c>
    </row>
    <row r="4" spans="1:10" x14ac:dyDescent="0.2">
      <c r="A4" s="137" t="s">
        <v>360</v>
      </c>
      <c r="B4" s="137">
        <v>13</v>
      </c>
      <c r="C4" s="137" t="s">
        <v>1201</v>
      </c>
      <c r="D4" s="12"/>
      <c r="E4" s="137">
        <v>2</v>
      </c>
      <c r="F4" s="137" t="s">
        <v>1302</v>
      </c>
    </row>
    <row r="5" spans="1:10" x14ac:dyDescent="0.2">
      <c r="A5" s="137" t="s">
        <v>359</v>
      </c>
      <c r="B5" s="137">
        <v>16</v>
      </c>
      <c r="C5" s="137" t="s">
        <v>1200</v>
      </c>
      <c r="D5" s="12"/>
      <c r="E5" s="137">
        <v>2</v>
      </c>
      <c r="F5" s="137" t="s">
        <v>1301</v>
      </c>
    </row>
    <row r="6" spans="1:10" x14ac:dyDescent="0.2">
      <c r="A6" s="137" t="s">
        <v>358</v>
      </c>
      <c r="B6" s="137">
        <v>29</v>
      </c>
      <c r="C6" s="137" t="s">
        <v>1199</v>
      </c>
      <c r="D6" s="12"/>
      <c r="E6" s="137">
        <v>2</v>
      </c>
      <c r="F6" s="137" t="s">
        <v>1300</v>
      </c>
    </row>
    <row r="7" spans="1:10" x14ac:dyDescent="0.2">
      <c r="A7" s="137" t="s">
        <v>356</v>
      </c>
      <c r="B7" s="137">
        <v>35</v>
      </c>
      <c r="C7" s="137" t="s">
        <v>1226</v>
      </c>
      <c r="D7" s="12"/>
      <c r="E7" s="137">
        <v>2</v>
      </c>
      <c r="F7" s="137" t="s">
        <v>1297</v>
      </c>
    </row>
    <row r="8" spans="1:10" x14ac:dyDescent="0.2">
      <c r="A8" s="137" t="s">
        <v>353</v>
      </c>
      <c r="B8" s="137">
        <v>56</v>
      </c>
      <c r="C8" s="137" t="s">
        <v>1225</v>
      </c>
      <c r="D8" s="12"/>
      <c r="E8" s="137">
        <v>2</v>
      </c>
      <c r="F8" s="137" t="s">
        <v>1296</v>
      </c>
    </row>
    <row r="9" spans="1:10" x14ac:dyDescent="0.2">
      <c r="A9" s="137" t="s">
        <v>352</v>
      </c>
      <c r="B9" s="137">
        <v>69</v>
      </c>
      <c r="C9" s="137" t="s">
        <v>1223</v>
      </c>
      <c r="D9" s="12"/>
      <c r="E9" s="137">
        <v>2</v>
      </c>
      <c r="F9" s="137" t="s">
        <v>1294</v>
      </c>
    </row>
    <row r="10" spans="1:10" x14ac:dyDescent="0.2">
      <c r="A10" s="137" t="s">
        <v>351</v>
      </c>
      <c r="B10" s="137">
        <v>112</v>
      </c>
      <c r="C10" s="137" t="s">
        <v>1229</v>
      </c>
      <c r="D10" s="12"/>
      <c r="E10" s="137">
        <v>2</v>
      </c>
      <c r="F10" s="137" t="s">
        <v>1293</v>
      </c>
    </row>
    <row r="11" spans="1:10" x14ac:dyDescent="0.2">
      <c r="A11" s="137" t="s">
        <v>350</v>
      </c>
      <c r="B11" s="137">
        <v>140</v>
      </c>
      <c r="C11" s="137" t="s">
        <v>1221</v>
      </c>
      <c r="D11" s="12"/>
      <c r="E11" s="137">
        <v>2</v>
      </c>
      <c r="F11" s="137" t="s">
        <v>1291</v>
      </c>
    </row>
    <row r="12" spans="1:10" x14ac:dyDescent="0.2">
      <c r="A12" s="137" t="s">
        <v>1131</v>
      </c>
      <c r="B12" s="137">
        <v>184</v>
      </c>
      <c r="C12" s="137" t="s">
        <v>1284</v>
      </c>
      <c r="D12" s="12"/>
      <c r="E12" s="137">
        <v>2</v>
      </c>
      <c r="F12" s="137" t="s">
        <v>1290</v>
      </c>
    </row>
    <row r="13" spans="1:10" x14ac:dyDescent="0.2">
      <c r="A13" s="137" t="s">
        <v>258</v>
      </c>
      <c r="B13" s="137">
        <v>195</v>
      </c>
      <c r="C13" s="137" t="s">
        <v>1283</v>
      </c>
      <c r="D13" s="12"/>
      <c r="E13" s="137">
        <v>2</v>
      </c>
      <c r="F13" s="137" t="s">
        <v>1289</v>
      </c>
    </row>
    <row r="14" spans="1:10" x14ac:dyDescent="0.2">
      <c r="A14" s="137" t="s">
        <v>357</v>
      </c>
      <c r="B14" s="137">
        <v>38</v>
      </c>
      <c r="C14" s="137" t="s">
        <v>1198</v>
      </c>
      <c r="D14" s="12"/>
      <c r="E14" s="137">
        <v>3</v>
      </c>
      <c r="F14" s="137" t="s">
        <v>1299</v>
      </c>
    </row>
    <row r="15" spans="1:10" x14ac:dyDescent="0.2">
      <c r="A15" s="137" t="s">
        <v>927</v>
      </c>
      <c r="B15" s="137">
        <v>102</v>
      </c>
      <c r="C15" s="137" t="s">
        <v>1224</v>
      </c>
      <c r="D15" s="12"/>
      <c r="E15" s="137">
        <v>3</v>
      </c>
      <c r="F15" s="137" t="s">
        <v>1295</v>
      </c>
    </row>
    <row r="16" spans="1:10" x14ac:dyDescent="0.2">
      <c r="A16" s="137" t="s">
        <v>980</v>
      </c>
      <c r="B16" s="137">
        <v>175</v>
      </c>
      <c r="C16" s="137" t="s">
        <v>1222</v>
      </c>
      <c r="D16" s="12"/>
      <c r="E16" s="137">
        <v>3</v>
      </c>
      <c r="F16" s="137" t="s">
        <v>1292</v>
      </c>
    </row>
    <row r="17" spans="1:6" x14ac:dyDescent="0.2">
      <c r="A17" s="137" t="s">
        <v>981</v>
      </c>
      <c r="B17" s="137">
        <v>49</v>
      </c>
      <c r="C17" s="137" t="s">
        <v>1197</v>
      </c>
      <c r="D17" s="12" t="s">
        <v>356</v>
      </c>
      <c r="E17" s="137">
        <v>5</v>
      </c>
      <c r="F17" s="137" t="s">
        <v>1298</v>
      </c>
    </row>
    <row r="18" spans="1:6" x14ac:dyDescent="0.2">
      <c r="A18" s="106" t="s">
        <v>447</v>
      </c>
      <c r="B18" s="106">
        <f>SUBTOTAL(103,tblGroupNames[Order])</f>
        <v>16</v>
      </c>
      <c r="C18" s="106"/>
      <c r="D18" s="106"/>
      <c r="E18" s="106"/>
      <c r="F18" s="106"/>
    </row>
  </sheetData>
  <pageMargins left="0.7" right="0.7" top="0.75" bottom="0.75" header="0.3" footer="0.3"/>
  <pageSetup orientation="portrait" horizontalDpi="4294967293" verticalDpi="4294967293"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9E2C9-C5D7-4E3B-B187-85524B62C3CF}">
  <sheetPr codeName="Sheet1"/>
  <dimension ref="A1:K3"/>
  <sheetViews>
    <sheetView workbookViewId="0">
      <selection activeCell="F6" sqref="F6"/>
    </sheetView>
  </sheetViews>
  <sheetFormatPr defaultRowHeight="15" x14ac:dyDescent="0.25"/>
  <cols>
    <col min="1" max="1" width="21.85546875" bestFit="1" customWidth="1"/>
    <col min="2" max="2" width="18.85546875" bestFit="1" customWidth="1"/>
  </cols>
  <sheetData>
    <row r="1" spans="1:11" x14ac:dyDescent="0.25">
      <c r="A1" t="s">
        <v>1305</v>
      </c>
      <c r="B1" t="s">
        <v>429</v>
      </c>
    </row>
    <row r="2" spans="1:11" x14ac:dyDescent="0.25">
      <c r="A2" t="s">
        <v>1306</v>
      </c>
      <c r="B2">
        <v>1</v>
      </c>
      <c r="K2" t="s">
        <v>539</v>
      </c>
    </row>
    <row r="3" spans="1:11" x14ac:dyDescent="0.25">
      <c r="K3" s="145">
        <f>INDEX(SnapshotTable[Last Price], MATCH("AMD",SnapshotTable[Symbol]))</f>
        <v>78.25</v>
      </c>
    </row>
  </sheetData>
  <pageMargins left="0.7" right="0.7" top="0.75" bottom="0.75" header="0.3" footer="0.3"/>
  <pageSetup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BCC8E-4B66-4B32-B3E4-2A67745707E9}">
  <sheetPr codeName="Sheet3"/>
  <dimension ref="A1:C113"/>
  <sheetViews>
    <sheetView workbookViewId="0">
      <selection activeCell="B1" sqref="B1"/>
    </sheetView>
  </sheetViews>
  <sheetFormatPr defaultColWidth="9.140625" defaultRowHeight="15" x14ac:dyDescent="0.25"/>
  <cols>
    <col min="1" max="1" width="33.140625" style="12" bestFit="1" customWidth="1"/>
    <col min="2" max="2" width="17.85546875" style="100" bestFit="1" customWidth="1"/>
    <col min="3" max="3" width="10.85546875" style="12" bestFit="1" customWidth="1"/>
    <col min="4" max="16384" width="9.140625" style="12"/>
  </cols>
  <sheetData>
    <row r="1" spans="1:3" x14ac:dyDescent="0.25">
      <c r="A1" s="102" t="s">
        <v>257</v>
      </c>
      <c r="B1" t="s">
        <v>459</v>
      </c>
    </row>
    <row r="3" spans="1:3" x14ac:dyDescent="0.25">
      <c r="A3" s="102" t="s">
        <v>458</v>
      </c>
      <c r="B3" t="s">
        <v>457</v>
      </c>
      <c r="C3" t="s">
        <v>456</v>
      </c>
    </row>
    <row r="4" spans="1:3" x14ac:dyDescent="0.25">
      <c r="A4" s="103" t="s">
        <v>4</v>
      </c>
      <c r="B4" s="104">
        <v>691328</v>
      </c>
      <c r="C4" s="105">
        <v>0.68664688101921489</v>
      </c>
    </row>
    <row r="5" spans="1:3" x14ac:dyDescent="0.25">
      <c r="A5" s="228" t="s">
        <v>5</v>
      </c>
      <c r="B5" s="104">
        <v>691328</v>
      </c>
      <c r="C5" s="105">
        <v>0.68664688101921489</v>
      </c>
    </row>
    <row r="6" spans="1:3" x14ac:dyDescent="0.25">
      <c r="A6" s="103" t="s">
        <v>41</v>
      </c>
      <c r="B6" s="104">
        <v>138169.4</v>
      </c>
      <c r="C6" s="105">
        <v>0.13723382759311978</v>
      </c>
    </row>
    <row r="7" spans="1:3" x14ac:dyDescent="0.25">
      <c r="A7" s="228" t="s">
        <v>112</v>
      </c>
      <c r="B7" s="104">
        <v>31409.4</v>
      </c>
      <c r="C7" s="105">
        <v>3.1196720724004999E-2</v>
      </c>
    </row>
    <row r="8" spans="1:3" x14ac:dyDescent="0.25">
      <c r="A8" s="228" t="s">
        <v>208</v>
      </c>
      <c r="B8" s="104">
        <v>38200</v>
      </c>
      <c r="C8" s="105">
        <v>3.7941340224805026E-2</v>
      </c>
    </row>
    <row r="9" spans="1:3" x14ac:dyDescent="0.25">
      <c r="A9" s="228" t="s">
        <v>54</v>
      </c>
      <c r="B9" s="104">
        <v>68560</v>
      </c>
      <c r="C9" s="105">
        <v>6.8095766644309746E-2</v>
      </c>
    </row>
    <row r="10" spans="1:3" x14ac:dyDescent="0.25">
      <c r="A10" s="103" t="s">
        <v>822</v>
      </c>
      <c r="B10" s="104">
        <v>123326</v>
      </c>
      <c r="C10" s="105">
        <v>0.12249093519801844</v>
      </c>
    </row>
    <row r="11" spans="1:3" x14ac:dyDescent="0.25">
      <c r="A11" s="228" t="s">
        <v>42</v>
      </c>
      <c r="B11" s="104">
        <v>38660</v>
      </c>
      <c r="C11" s="105">
        <v>3.8398225473585401E-2</v>
      </c>
    </row>
    <row r="12" spans="1:3" x14ac:dyDescent="0.25">
      <c r="A12" s="228" t="s">
        <v>92</v>
      </c>
      <c r="B12" s="104">
        <v>84666</v>
      </c>
      <c r="C12" s="105">
        <v>8.4092709724433043E-2</v>
      </c>
    </row>
    <row r="13" spans="1:3" x14ac:dyDescent="0.25">
      <c r="A13" s="103" t="s">
        <v>9</v>
      </c>
      <c r="B13" s="104">
        <v>22634.36</v>
      </c>
      <c r="C13" s="105">
        <v>2.2481098259966435E-2</v>
      </c>
    </row>
    <row r="14" spans="1:3" x14ac:dyDescent="0.25">
      <c r="A14" s="228" t="s">
        <v>196</v>
      </c>
      <c r="B14" s="104">
        <v>22634.36</v>
      </c>
      <c r="C14" s="105">
        <v>2.2481098259966435E-2</v>
      </c>
    </row>
    <row r="15" spans="1:3" x14ac:dyDescent="0.25">
      <c r="A15" s="103" t="s">
        <v>17</v>
      </c>
      <c r="B15" s="104">
        <v>18150</v>
      </c>
      <c r="C15" s="105">
        <v>1.802710275079087E-2</v>
      </c>
    </row>
    <row r="16" spans="1:3" x14ac:dyDescent="0.25">
      <c r="A16" s="228" t="s">
        <v>214</v>
      </c>
      <c r="B16" s="104">
        <v>18150</v>
      </c>
      <c r="C16" s="105">
        <v>1.802710275079087E-2</v>
      </c>
    </row>
    <row r="17" spans="1:3" x14ac:dyDescent="0.25">
      <c r="A17" s="103" t="s">
        <v>14</v>
      </c>
      <c r="B17" s="104">
        <v>13209.6</v>
      </c>
      <c r="C17" s="105">
        <v>1.3120155178889646E-2</v>
      </c>
    </row>
    <row r="18" spans="1:3" x14ac:dyDescent="0.25">
      <c r="A18" s="228" t="s">
        <v>60</v>
      </c>
      <c r="B18" s="104">
        <v>13209.6</v>
      </c>
      <c r="C18" s="105">
        <v>1.3120155178889646E-2</v>
      </c>
    </row>
    <row r="19" spans="1:3" x14ac:dyDescent="0.25">
      <c r="A19" s="103" t="s">
        <v>455</v>
      </c>
      <c r="B19" s="104">
        <v>1006817.36</v>
      </c>
      <c r="C19" s="105">
        <v>1</v>
      </c>
    </row>
    <row r="20" spans="1:3" x14ac:dyDescent="0.25">
      <c r="A20"/>
      <c r="B20"/>
      <c r="C20"/>
    </row>
    <row r="21" spans="1:3" x14ac:dyDescent="0.25">
      <c r="A21"/>
      <c r="B21"/>
      <c r="C21"/>
    </row>
    <row r="22" spans="1:3" x14ac:dyDescent="0.25">
      <c r="A22"/>
      <c r="B22"/>
      <c r="C22"/>
    </row>
    <row r="23" spans="1:3" x14ac:dyDescent="0.25">
      <c r="A23"/>
      <c r="B23"/>
      <c r="C23"/>
    </row>
    <row r="24" spans="1:3" x14ac:dyDescent="0.25">
      <c r="A24"/>
      <c r="B24"/>
      <c r="C24"/>
    </row>
    <row r="25" spans="1:3" x14ac:dyDescent="0.25">
      <c r="A25"/>
      <c r="B25"/>
      <c r="C25"/>
    </row>
    <row r="26" spans="1:3" x14ac:dyDescent="0.25">
      <c r="A26"/>
      <c r="B26"/>
      <c r="C26"/>
    </row>
    <row r="27" spans="1:3" x14ac:dyDescent="0.25">
      <c r="A27"/>
      <c r="B27"/>
      <c r="C27"/>
    </row>
    <row r="28" spans="1:3" x14ac:dyDescent="0.25">
      <c r="A28"/>
      <c r="B28"/>
      <c r="C28"/>
    </row>
    <row r="29" spans="1:3" x14ac:dyDescent="0.25">
      <c r="A29"/>
      <c r="B29"/>
      <c r="C29"/>
    </row>
    <row r="30" spans="1:3" x14ac:dyDescent="0.25">
      <c r="A30"/>
      <c r="B30"/>
      <c r="C30"/>
    </row>
    <row r="31" spans="1:3" x14ac:dyDescent="0.25">
      <c r="A31"/>
      <c r="B31"/>
      <c r="C31"/>
    </row>
    <row r="32" spans="1:3" x14ac:dyDescent="0.25">
      <c r="A32"/>
      <c r="B32"/>
      <c r="C32"/>
    </row>
    <row r="33" spans="1:3" x14ac:dyDescent="0.25">
      <c r="A33"/>
      <c r="B33"/>
      <c r="C33"/>
    </row>
    <row r="34" spans="1:3" x14ac:dyDescent="0.25">
      <c r="A34"/>
      <c r="B34"/>
      <c r="C34"/>
    </row>
    <row r="35" spans="1:3" x14ac:dyDescent="0.25">
      <c r="A35"/>
      <c r="B35"/>
      <c r="C35"/>
    </row>
    <row r="36" spans="1:3" x14ac:dyDescent="0.25">
      <c r="A36"/>
      <c r="B36"/>
      <c r="C36"/>
    </row>
    <row r="37" spans="1:3" x14ac:dyDescent="0.25">
      <c r="A37"/>
      <c r="B37"/>
      <c r="C37"/>
    </row>
    <row r="38" spans="1:3" x14ac:dyDescent="0.25">
      <c r="A38"/>
      <c r="B38"/>
      <c r="C38"/>
    </row>
    <row r="39" spans="1:3" x14ac:dyDescent="0.25">
      <c r="A39"/>
      <c r="B39"/>
      <c r="C39"/>
    </row>
    <row r="40" spans="1:3" x14ac:dyDescent="0.25">
      <c r="A40"/>
      <c r="B40"/>
      <c r="C40"/>
    </row>
    <row r="41" spans="1:3" x14ac:dyDescent="0.25">
      <c r="A41"/>
      <c r="B41"/>
      <c r="C41"/>
    </row>
    <row r="42" spans="1:3" x14ac:dyDescent="0.25">
      <c r="A42"/>
      <c r="B42"/>
      <c r="C42"/>
    </row>
    <row r="43" spans="1:3" x14ac:dyDescent="0.25">
      <c r="A43"/>
      <c r="B43"/>
      <c r="C43"/>
    </row>
    <row r="44" spans="1:3" x14ac:dyDescent="0.25">
      <c r="A44"/>
      <c r="B44"/>
      <c r="C44"/>
    </row>
    <row r="45" spans="1:3" x14ac:dyDescent="0.25">
      <c r="A45"/>
      <c r="B45"/>
      <c r="C45"/>
    </row>
    <row r="46" spans="1:3" x14ac:dyDescent="0.25">
      <c r="A46"/>
      <c r="B46"/>
      <c r="C46"/>
    </row>
    <row r="47" spans="1:3" x14ac:dyDescent="0.25">
      <c r="A47"/>
      <c r="B47"/>
      <c r="C47"/>
    </row>
    <row r="48" spans="1:3" x14ac:dyDescent="0.25">
      <c r="A48"/>
      <c r="B48"/>
      <c r="C48"/>
    </row>
    <row r="49" spans="1:3" x14ac:dyDescent="0.25">
      <c r="A49"/>
      <c r="B49"/>
      <c r="C49"/>
    </row>
    <row r="50" spans="1:3" x14ac:dyDescent="0.25">
      <c r="A50"/>
      <c r="B50"/>
      <c r="C50"/>
    </row>
    <row r="51" spans="1:3" x14ac:dyDescent="0.25">
      <c r="A51"/>
      <c r="B51"/>
      <c r="C51"/>
    </row>
    <row r="52" spans="1:3" x14ac:dyDescent="0.25">
      <c r="A52"/>
      <c r="B52"/>
      <c r="C52"/>
    </row>
    <row r="53" spans="1:3" x14ac:dyDescent="0.25">
      <c r="A53"/>
      <c r="B53"/>
      <c r="C53"/>
    </row>
    <row r="54" spans="1:3" x14ac:dyDescent="0.25">
      <c r="A54"/>
      <c r="B54"/>
      <c r="C54"/>
    </row>
    <row r="55" spans="1:3" x14ac:dyDescent="0.25">
      <c r="A55"/>
      <c r="B55"/>
      <c r="C55"/>
    </row>
    <row r="56" spans="1:3" x14ac:dyDescent="0.25">
      <c r="A56"/>
      <c r="B56"/>
      <c r="C56"/>
    </row>
    <row r="57" spans="1:3" x14ac:dyDescent="0.25">
      <c r="A57"/>
      <c r="B57"/>
      <c r="C57"/>
    </row>
    <row r="58" spans="1:3" x14ac:dyDescent="0.25">
      <c r="A58"/>
      <c r="B58"/>
      <c r="C58"/>
    </row>
    <row r="59" spans="1:3" x14ac:dyDescent="0.25">
      <c r="A59"/>
      <c r="B59"/>
      <c r="C59"/>
    </row>
    <row r="60" spans="1:3" x14ac:dyDescent="0.25">
      <c r="A60"/>
      <c r="B60"/>
      <c r="C60"/>
    </row>
    <row r="61" spans="1:3" x14ac:dyDescent="0.25">
      <c r="A61"/>
      <c r="B61"/>
      <c r="C61"/>
    </row>
    <row r="62" spans="1:3" x14ac:dyDescent="0.25">
      <c r="A62"/>
      <c r="B62"/>
      <c r="C62"/>
    </row>
    <row r="63" spans="1:3" x14ac:dyDescent="0.25">
      <c r="A63"/>
      <c r="B63"/>
      <c r="C63"/>
    </row>
    <row r="64" spans="1:3" x14ac:dyDescent="0.25">
      <c r="A64"/>
      <c r="B64"/>
      <c r="C64"/>
    </row>
    <row r="65" spans="1:3" x14ac:dyDescent="0.25">
      <c r="A65"/>
      <c r="B65"/>
      <c r="C65"/>
    </row>
    <row r="66" spans="1:3" x14ac:dyDescent="0.25">
      <c r="A66"/>
      <c r="B66"/>
      <c r="C66"/>
    </row>
    <row r="67" spans="1:3" x14ac:dyDescent="0.25">
      <c r="A67"/>
      <c r="B67"/>
      <c r="C67"/>
    </row>
    <row r="68" spans="1:3" x14ac:dyDescent="0.25">
      <c r="A68"/>
      <c r="B68"/>
      <c r="C68"/>
    </row>
    <row r="69" spans="1:3" x14ac:dyDescent="0.25">
      <c r="A69"/>
      <c r="B69"/>
      <c r="C69"/>
    </row>
    <row r="70" spans="1:3" x14ac:dyDescent="0.25">
      <c r="A70"/>
      <c r="B70"/>
      <c r="C70"/>
    </row>
    <row r="71" spans="1:3" x14ac:dyDescent="0.25">
      <c r="A71"/>
      <c r="B71"/>
      <c r="C71"/>
    </row>
    <row r="72" spans="1:3" x14ac:dyDescent="0.25">
      <c r="A72"/>
      <c r="B72"/>
      <c r="C72"/>
    </row>
    <row r="73" spans="1:3" x14ac:dyDescent="0.25">
      <c r="A73"/>
      <c r="B73"/>
      <c r="C73"/>
    </row>
    <row r="74" spans="1:3" x14ac:dyDescent="0.25">
      <c r="A74"/>
      <c r="B74"/>
      <c r="C74"/>
    </row>
    <row r="75" spans="1:3" x14ac:dyDescent="0.25">
      <c r="A75"/>
      <c r="B75"/>
      <c r="C75"/>
    </row>
    <row r="76" spans="1:3" x14ac:dyDescent="0.25">
      <c r="A76"/>
      <c r="B76"/>
      <c r="C76"/>
    </row>
    <row r="77" spans="1:3" x14ac:dyDescent="0.25">
      <c r="A77"/>
      <c r="B77"/>
      <c r="C77"/>
    </row>
    <row r="78" spans="1:3" x14ac:dyDescent="0.25">
      <c r="A78"/>
      <c r="B78"/>
      <c r="C78"/>
    </row>
    <row r="79" spans="1:3" x14ac:dyDescent="0.25">
      <c r="A79"/>
      <c r="B79"/>
      <c r="C79"/>
    </row>
    <row r="80" spans="1:3" x14ac:dyDescent="0.25">
      <c r="A80"/>
      <c r="B80"/>
      <c r="C80"/>
    </row>
    <row r="81" spans="1:3" x14ac:dyDescent="0.25">
      <c r="A81"/>
      <c r="B81"/>
      <c r="C81"/>
    </row>
    <row r="82" spans="1:3" x14ac:dyDescent="0.25">
      <c r="A82"/>
      <c r="B82"/>
      <c r="C82"/>
    </row>
    <row r="83" spans="1:3" x14ac:dyDescent="0.25">
      <c r="A83"/>
      <c r="B83"/>
      <c r="C83"/>
    </row>
    <row r="84" spans="1:3" x14ac:dyDescent="0.25">
      <c r="A84"/>
      <c r="B84"/>
      <c r="C84"/>
    </row>
    <row r="85" spans="1:3" x14ac:dyDescent="0.25">
      <c r="A85"/>
      <c r="B85"/>
      <c r="C85"/>
    </row>
    <row r="86" spans="1:3" x14ac:dyDescent="0.25">
      <c r="A86"/>
      <c r="B86"/>
      <c r="C86"/>
    </row>
    <row r="87" spans="1:3" x14ac:dyDescent="0.25">
      <c r="A87"/>
      <c r="B87"/>
      <c r="C87"/>
    </row>
    <row r="88" spans="1:3" x14ac:dyDescent="0.25">
      <c r="A88"/>
      <c r="B88"/>
      <c r="C88"/>
    </row>
    <row r="89" spans="1:3" x14ac:dyDescent="0.25">
      <c r="A89"/>
      <c r="B89"/>
      <c r="C89"/>
    </row>
    <row r="90" spans="1:3" x14ac:dyDescent="0.25">
      <c r="A90"/>
      <c r="B90"/>
      <c r="C90"/>
    </row>
    <row r="91" spans="1:3" x14ac:dyDescent="0.25">
      <c r="A91"/>
      <c r="B91"/>
      <c r="C91"/>
    </row>
    <row r="92" spans="1:3" x14ac:dyDescent="0.25">
      <c r="A92"/>
      <c r="B92"/>
      <c r="C92"/>
    </row>
    <row r="93" spans="1:3" x14ac:dyDescent="0.25">
      <c r="A93"/>
      <c r="B93"/>
      <c r="C93"/>
    </row>
    <row r="94" spans="1:3" x14ac:dyDescent="0.25">
      <c r="A94"/>
      <c r="B94"/>
      <c r="C94"/>
    </row>
    <row r="95" spans="1:3" x14ac:dyDescent="0.25">
      <c r="A95"/>
      <c r="B95"/>
      <c r="C95"/>
    </row>
    <row r="96" spans="1:3" x14ac:dyDescent="0.25">
      <c r="A96"/>
      <c r="B96"/>
      <c r="C96"/>
    </row>
    <row r="97" spans="1:3" x14ac:dyDescent="0.25">
      <c r="A97"/>
      <c r="B97"/>
      <c r="C97"/>
    </row>
    <row r="98" spans="1:3" x14ac:dyDescent="0.25">
      <c r="A98"/>
      <c r="B98"/>
      <c r="C98"/>
    </row>
    <row r="99" spans="1:3" x14ac:dyDescent="0.25">
      <c r="A99"/>
      <c r="B99"/>
      <c r="C99"/>
    </row>
    <row r="100" spans="1:3" x14ac:dyDescent="0.25">
      <c r="A100"/>
      <c r="B100"/>
      <c r="C100"/>
    </row>
    <row r="101" spans="1:3" x14ac:dyDescent="0.25">
      <c r="A101"/>
      <c r="B101"/>
      <c r="C101"/>
    </row>
    <row r="102" spans="1:3" x14ac:dyDescent="0.25">
      <c r="A102"/>
      <c r="B102"/>
      <c r="C102"/>
    </row>
    <row r="103" spans="1:3" x14ac:dyDescent="0.25">
      <c r="A103"/>
      <c r="B103"/>
      <c r="C103"/>
    </row>
    <row r="104" spans="1:3" x14ac:dyDescent="0.25">
      <c r="A104"/>
      <c r="B104"/>
      <c r="C104"/>
    </row>
    <row r="105" spans="1:3" x14ac:dyDescent="0.25">
      <c r="A105"/>
      <c r="B105"/>
      <c r="C105"/>
    </row>
    <row r="106" spans="1:3" x14ac:dyDescent="0.25">
      <c r="A106"/>
      <c r="B106"/>
      <c r="C106"/>
    </row>
    <row r="107" spans="1:3" x14ac:dyDescent="0.25">
      <c r="A107"/>
      <c r="B107"/>
      <c r="C107"/>
    </row>
    <row r="108" spans="1:3" x14ac:dyDescent="0.25">
      <c r="A108"/>
      <c r="B108"/>
      <c r="C108"/>
    </row>
    <row r="109" spans="1:3" x14ac:dyDescent="0.25">
      <c r="A109"/>
      <c r="B109"/>
      <c r="C109"/>
    </row>
    <row r="110" spans="1:3" x14ac:dyDescent="0.25">
      <c r="A110"/>
      <c r="B110"/>
      <c r="C110"/>
    </row>
    <row r="111" spans="1:3" x14ac:dyDescent="0.25">
      <c r="A111"/>
      <c r="B111"/>
      <c r="C111"/>
    </row>
    <row r="112" spans="1:3" x14ac:dyDescent="0.25">
      <c r="A112"/>
      <c r="B112"/>
      <c r="C112"/>
    </row>
    <row r="113" spans="1:3" x14ac:dyDescent="0.25">
      <c r="A113"/>
      <c r="B113"/>
      <c r="C113"/>
    </row>
  </sheetData>
  <pageMargins left="0.7" right="0.7" top="0.75" bottom="0.75" header="0.3" footer="0.3"/>
  <pageSetup orientation="portrait" horizontalDpi="4294967293" verticalDpi="4294967293" r:id="rId2"/>
  <drawing r:id="rId3"/>
</worksheet>
</file>

<file path=customUI/customUI14.xml><?xml version="1.0" encoding="utf-8"?>
<customUI xmlns="http://schemas.microsoft.com/office/2009/07/customui" onLoad="Ribbon_OnLoad">
  <ribbon>
    <tabs>
      <tab id="TabEbfMarkets" label="EBF Markets">
        <group id="GrpUtilities" label="Utilities">
          <box id="ColumnWidthBox" boxStyle="horizontal">
            <button id="BtnDecreaseColWidth" imageMso="MailMergeGoToPreviousRecord" screentip="Decrease Column Width" onAction="OnIncDecColWidth" tag="DecreaseColumnWidth"/>
            <editBox id="EditBoxIncrement" sizeString="xxxxxxx" maxLength="4" screentip="Set Column Width Increment" getText="GetIncrementByText" onChange="OnIncrementChange"/>
            <button id="BtnIncreaseColWidth" imageMso="MailMergeGoToNextRecord" screentip="Increase Column Width" onAction="OnIncDecColWidth" tag="IncreaseColumnWidth"/>
          </box>
          <box id="RowHeightBox" boxStyle="horizontal">
            <button id="BtnRowHeightsFixFillUpWastedSpace" imageMso="RowHeight" screentip="Adjust Height For All Rows" onAction="OnSetRowHeights"/>
            <editBox id="EditBoxRowHeight" sizeString="xxxxxxx" maxLength="5" screentip="Set Row Height" getText="GetRowHeightText" onChange="OnRowHeightChange"/>
            <button id="BtnRowHeightsFix" imageMso="RowHeight" screentip="Adjust Height For All Rows" onAction="OnSetRowHeights"/>
          </box>
          <button id="BtnFormatColumns" imageMso="FormatPainter" label="Format Columns" screentip="Format entire ListColumn(s) based on the current selection" onAction="ApplySelectedFormatToColumns"/>
          <button id="BtnSwitchToTestEnvironment" imageMso="R" label="Reset Test Environment" screentip="Update TestSNAP before closing SNAP and switching to MiniTestSNAP" onAction="SwitchToTestEnvironment"/>
          <dropDown id="DDwnAspectSheets" label="Sheets" getItemCount="GetSheetItemCount" getItemLabel="GetSheetItemLabel" onAction="OnChangeSheetAction" getSelectedItemIndex="GetSheetItemSelectedIndex"/>
          <button id="BtnTimestamp" imageMso="DateAndTimeInsert" label="Timestamp" screentip="Timestamps the active cell" onAction="ApplyTimestamp"/>
        </group>
        <group id="GrpSymbols" label="Symbols">
          <dropDown id="DDwnSymbols" screentip="Select a Symbol" getItemCount="GetSymbolCount" getItemLabel="GetSymbol" getSelectedItemIndex="GetSelectedSymbolIndex" onAction="OnSymbolChanged"/>
          <button id="BtnGetWordDoc" imageMso="FileSaveAsWordDocx" screentip="Create or open the Word doc for the selected Symbol" onAction="OnOpenWordDoc"/>
          <button id="BtnApplySymbolFilter" imageMso="FilterToggleFilter" label="Filter" screentip="Filter the table to show only the selected Symbol" onAction="OnApplySymbolFilter"/>
        </group>
        <group id="GrpColumnNavigation" label="Column Navigation">
          <button id="BtnDocumentColumn" imageMso="DataValidation" label="Document usage" screentip="Prepares a DataValidation dialog (ALT-D,L)" onAction="OnDocumentColumn"/>
          <box id="BoxPromoteDemote" boxStyle="horizontal">
            <button id="BtnPromote" imageMso="OutlinePromote" label="Promote" screentip="Promote the selected group to a higher level" onAction="OnOutlineCommand"/>
            <button id="BtnDemote" imageMso="OutlineDemote" label="Demote" screentip="Demote the selected group to a lower level" onAction="OnOutlineCommand"/>
          </box>
          <box id="BoxTableNavigation" boxStyle="horizontal">
            <button id="BtnFirstCol" imageMso="MailMergeGoToFirstRecord" screentip="Select the first column" onAction="OnSelectTableColumn"/>
            <button id="BtnPrevCol" imageMso="MailMergeGoToPreviousRecord" screentip="Select the previous column" onAction="OnSelectTableColumn"/>
            <dropDown id="DDwnColumnNames" getItemCount="GetColumnNameCount" getItemLabel="GetColumnNameLabel" screentip="Select a table column" onAction="OnChangeGetColumnNameAction" getSelectedItemIndex="GetColumnNameIndex"/>
            <button id="BtnNextCol" imageMso="MailMergeGoToNextRecord" screentip="Select the next column" onAction="OnSelectTableColumn"/>
            <button id="BtnLastCol" imageMso="MailMergeGotToLastRecord" screentip="Select the last column" onAction="OnSelectTableColumn"/>
          </box>
        </group>
        <group id="GrpGroupingNavigation" label="Grouping Navigation">
          <box id="BoxGroupPersistence" boxStyle="horizontal">
            <button id="BtnValidate" imageMso="Clear" label="Validate" screentip="Validate that Groupings are ok to save" onAction="OnGroupingManagementCommand"/>
            <button id="BtnReinitialize" imageMso="CacheListData" label="Reinitialize" screentip="Recreate and persist updated Groupings" onAction="OnGroupingManagementCommand"/>
          </box>
          <box id="BoxGroupNavigation" boxStyle="horizontal">
            <button id="BtnFirstGroup" imageMso="MailMergeGoToFirstRecord" screentip="Select the first group" onAction="OnSelectGrouping"/>
            <button id="BtnPrevGroup" imageMso="MailMergeGoToPreviousRecord" screentip="Select the previous group" onAction="OnSelectGrouping"/>
            <dropDown id="DDwnGroupNames" getItemCount="GetGroupNameCount" getItemLabel="GetGroupNameLabel" screentip="Select a grouping" onAction="OnChangeGetGroupNameAction" getSelectedItemIndex="GetGroupNameIndex"/>
            <button id="BtnNextGroup" imageMso="MailMergeGoToNextRecord" screentip="Select the next group" onAction="OnSelectGrouping"/>
            <button id="BtnLastGroup" imageMso="MailMergeGotToLastRecord" screentip="Select the last group" onAction="OnSelectGrouping"/>
          </box>
        </group>
        <group id="GrpViews" label="Views">
          <dropDown id="DDwnViews" getItemCount="GetViewItemCount" getItemLabel="GetViewItemLabel" onAction="OnChangeViewAction" getSelectedItemIndex="GetViewItemSelectedIndex"/>
          <checkBox id="CBxUseOutlining" getPressed="IsOutliningOn" label="Outlining" screentip="If True, display outlining as part of view. If False, save space by hiding it." onAction="UseOutlining"/>
          <button id="BtnViewFilterReinitialize" imageMso="CacheListData" label="Reinitialize" screentip="Reinitialize Views and AutoFilters" onAction="OnReinitializeViewsAndFilters"/>
          <button id="BtnRefreshView" label="Refresh View" onAction="RefreshSelectedView" imageMso="Refresh" size="large" getScreentip="GetRefreshViewScreentip"/>
        </group>
        <group id="GrpPortfolio" label="Portfolio">
          <button id="BtnResetHyperlinks" imageMso="HyperlinksVerify" label="Reset Hyperlinks" screentip="Ensure selected cells with Hyperlinks self reference correctly" onAction="OnResetHyperlinks"/>
          <button id="BtnGenerateGuids" imageMso="MacroArguments" label="Generate Guids" screentip="Generate Guids for all selected rows" onAction="OnGenerateGuids"/>
        </group>
        <group id="GrpApps" label="Apps">
          <button id="BtnLaunchCagr" imageMso="MicrosoftExcel" size="large" label="CAGR" screentip="Launch the CAGR spreadsheet" onAction="LaunchCAGR"/>
          <button id="BtnShutDownExcel" imageMso="CloseAllItems" size="large" label="Shut Down" screentip="Shut down Excel" onAction="ShutDownExcel"/>
        </group>
        <group idMso="GroupCalculation"/>
      </tab>
    </tabs>
  </ribbon>
  <contextMenus>
    <contextMenu idMso="ContextMenuListRange">
      <menu id="TaskMenu" label="Tasks" imageMso="T" insertBeforeMso="Refresh">
        <menu id="PositionUpdateMenu_Existing" label="Update Existing Positions" imageMso="E" itemSize="large">
          <button id="PositionUpdate_Existing.1" tag="ALL" imageMso="AppointmentColor1" getLabel="GetSvcLabel" onAction="ExecuteSvc" getDescription="GetSvcDesc" getEnabled="IsSvcAvailable"/>
          <button id="PositionUpdate_Existing.2" tag="ONE" imageMso="AppointmentColor2" getLabel="GetSvcLabel" onAction="ExecuteSvc" getDescription="GetSvcDesc" getEnabled="IsSvcAvailable"/>
          <button id="PositionUpdate_Existing.3" tag="VISIBLE" imageMso="AppointmentColor3" getLabel="GetSvcLabel" onAction="ExecuteSvc" getDescription="GetSvcDesc" getEnabled="IsSvcAvailable"/>
          <button id="PositionUpdate_Existing.4" tag="SELECTED" imageMso="AppointmentColor4" getLabel="GetSvcLabel" onAction="ExecuteSvc" getDescription="GetSvcDesc" getEnabled="IsSvcAvailable"/>
        </menu>
        <menu id="PositionUpdateMenu_NEW" label="Update New Positions" imageMso="N" itemSize="large">
          <button id="PositionUpdate_NEW.1" tag="ALL" imageMso="AppointmentColor1" getLabel="GetSvcLabel" onAction="ExecuteSvc" getDescription="GetSvcDesc" getEnabled="IsSvcAvailable"/>
          <button id="PositionUpdate_NEW.2" tag="ONE" imageMso="AppointmentColor2" getLabel="GetSvcLabel" onAction="ExecuteSvc" getDescription="GetSvcDesc" getEnabled="IsSvcAvailable"/>
          <button id="PositionUpdate_NEW.3" tag="VISIBLE" imageMso="AppointmentColor3" getLabel="GetSvcLabel" onAction="ExecuteSvc" getDescription="GetSvcDesc" getEnabled="IsSvcAvailable"/>
          <button id="PositionUpdate_NEW.4" tag="SELECTED" imageMso="AppointmentColor4" getLabel="GetSvcLabel" onAction="ExecuteSvc" getDescription="GetSvcDesc" getEnabled="IsSvcAvailable"/>
        </menu>
      </menu>
      <menu id="EquitySvcMenu" label="Equity Update Services" imageMso="S" insertBeforeMso="Refresh">
        <menu id="EquityPricing" label="Pricing Updates" imageMso="U" itemSize="large">
          <button id="PricingStocksOnly.1" tag="ALL" imageMso="AppointmentColor1" getLabel="GetSvcLabel" onAction="ExecuteSvc" getDescription="GetSvcDesc" getEnabled="IsSvcAvailable"/>
          <button id="PricingStocksOnly.2" tag="ONE" imageMso="AppointmentColor2" getLabel="GetSvcLabel" onAction="ExecuteSvc" getDescription="GetSvcDesc" getEnabled="IsSvcAvailable"/>
          <button id="PricingStocksOnly.3" tag="VISIBLE" imageMso="AppointmentColor3" getLabel="GetSvcLabel" onAction="ExecuteSvc" getDescription="GetSvcDesc" getEnabled="IsSvcAvailable"/>
          <button id="PricingStocksOnly.4" tag="SELECTED" imageMso="AppointmentColor4" getLabel="GetSvcLabel" onAction="ExecuteSvc" getDescription="GetSvcDesc" getEnabled="IsSvcAvailable"/>
        </menu>
        <menu id="Earnings" label="Earnings" imageMso="E" itemSize="large">
          <button id="EarningsOnly.1" tag="ALL" imageMso="AppointmentColor1" getLabel="GetSvcLabel" onAction="ExecuteSvc" getDescription="GetSvcDesc" getEnabled="IsSvcAvailable"/>
          <button id="EarningsOnly.2" tag="ONE" imageMso="AppointmentColor2" getLabel="GetSvcLabel" onAction="ExecuteSvc" getDescription="GetSvcDesc" getEnabled="IsSvcAvailable"/>
          <button id="EarningsOnly.3" tag="VISIBLE" imageMso="AppointmentColor3" getLabel="GetSvcLabel" onAction="ExecuteSvc" getDescription="GetSvcDesc" getEnabled="IsSvcAvailable"/>
          <button id="EarningsOnly.4" tag="SELECTED" imageMso="AppointmentColor4" getLabel="GetSvcLabel" onAction="ExecuteSvc" getDescription="GetSvcDesc" getEnabled="IsSvcAvailable"/>
        </menu>
        <menu id="Targets" label="Targets" imageMso="T" itemSize="large">
          <button id="TargetsOnly.1" tag="ALL" imageMso="AppointmentColor1" getLabel="GetSvcLabel" onAction="ExecuteSvc" getDescription="GetSvcDesc" getEnabled="IsSvcAvailable"/>
          <button id="TargetsOnly.2" tag="ONE" imageMso="AppointmentColor2" getLabel="GetSvcLabel" onAction="ExecuteSvc" getDescription="GetSvcDesc" getEnabled="IsSvcAvailable"/>
          <button id="TargetsOnly.3" tag="VISIBLE" imageMso="AppointmentColor3" getLabel="GetSvcLabel" onAction="ExecuteSvc" getDescription="GetSvcDesc" getEnabled="IsSvcAvailable"/>
          <button id="TargetsOnly.4" tag="SELECTED" imageMso="AppointmentColor4" getLabel="GetSvcLabel" onAction="ExecuteSvc" getDescription="GetSvcDesc" getEnabled="IsSvcAvailable"/>
        </menu>
        <menu id="SectorMenu" label="Sector | Industry" imageMso="S" itemSize="large">
          <button id="SectorOnly.1" tag="ALL" imageMso="AppointmentColor1" getLabel="GetSvcLabel" onAction="ExecuteSvc" getDescription="GetSvcDesc" getEnabled="IsSvcAvailable"/>
          <button id="SectorOnly.2" tag="ONE" imageMso="AppointmentColor2" getLabel="GetSvcLabel" onAction="ExecuteSvc" getDescription="GetSvcDesc" getEnabled="IsSvcAvailable"/>
          <button id="SectorOnly.3" tag="VISIBLE" imageMso="AppointmentColor3" getLabel="GetSvcLabel" onAction="ExecuteSvc" getDescription="GetSvcDesc" getEnabled="IsSvcAvailable"/>
          <button id="SectorOnly.4" tag="SELECTED" imageMso="AppointmentColor4" getLabel="GetSvcLabel" onAction="ExecuteSvc" getDescription="GetSvcDesc" getEnabled="IsSvcAvailable"/>
        </menu>
      </menu>
      <menu id="OptionSvcMenu" label="Option Update Services" imageMso="S" insertBeforeMso="Refresh">
        <menu id="AllOptionTypes" label="All Option Types" itemSize="large">
          <button id="PricingOptionsOnly.1" tag="ALL" imageMso="AppointmentColor1" getLabel="GetSvcLabel" onAction="ExecuteSvc" getDescription="GetSvcDesc" getEnabled="IsSvcAvailable"/>
          <button id="PricingOptionsOnly.2" tag="ONE" imageMso="AppointmentColor2" getLabel="GetSvcLabel" onAction="ExecuteSvc" getDescription="GetSvcDesc" getEnabled="IsSvcAvailable"/>
          <button id="PricingOptionsOnly.3" tag="VISIBLE" imageMso="AppointmentColor3" getLabel="GetSvcLabel" onAction="ExecuteSvc" getDescription="GetSvcDesc" getEnabled="IsSvcAvailable"/>
          <button id="PricingOptionsOnly.4" tag="SELECTED" imageMso="AppointmentColor4" getLabel="GetSvcLabel" onAction="ExecuteSvc" getDescription="GetSvcDesc" getEnabled="IsSvcAvailable"/>
        </menu>
        <menu id="LongCalls" label="Long Calls" itemSize="large">
          <button id="Options_LC.1" tag="ALL" imageMso="AppointmentColor1" getLabel="GetSvcLabel" onAction="ExecuteSvc" getDescription="GetSvcDesc" getEnabled="IsSvcAvailable"/>
          <button id="Options_LC.2" tag="ONE" imageMso="AppointmentColor2" getLabel="GetSvcLabel" onAction="ExecuteSvc" getDescription="GetSvcDesc" getEnabled="IsSvcAvailable"/>
          <button id="Options_LC.3" tag="VISIBLE" imageMso="AppointmentColor3" getLabel="GetSvcLabel" onAction="ExecuteSvc" getDescription="GetSvcDesc" getEnabled="IsSvcAvailable"/>
          <button id="Options_LC.4" tag="SELECTED" imageMso="AppointmentColor4" getLabel="GetSvcLabel" onAction="ExecuteSvc" getDescription="GetSvcDesc" getEnabled="IsSvcAvailable"/>
        </menu>
        <menu id="LongPuts" label="Long Puts" itemSize="large">
          <button id="Options_LP.1" tag="ALL" imageMso="AppointmentColor1" getLabel="GetSvcLabel" onAction="ExecuteSvc" getDescription="GetSvcDesc" getEnabled="IsSvcAvailable"/>
          <button id="Options_LP.2" tag="ONE" imageMso="AppointmentColor2" getLabel="GetSvcLabel" onAction="ExecuteSvc" getDescription="GetSvcDesc" getEnabled="IsSvcAvailable"/>
          <button id="Options_LP.3" tag="VISIBLE" imageMso="AppointmentColor3" getLabel="GetSvcLabel" onAction="ExecuteSvc" getDescription="GetSvcDesc" getEnabled="IsSvcAvailable"/>
          <button id="Options_LP.4" tag="SELECTED" imageMso="AppointmentColor4" getLabel="GetSvcLabel" onAction="ExecuteSvc" getDescription="GetSvcDesc" getEnabled="IsSvcAvailable"/>
        </menu>
        <menu id="ShortCalls" label="Short Calls" itemSize="large">
          <button id="Options_SC.1" tag="ALL" imageMso="AppointmentColor1" getLabel="GetSvcLabel" onAction="ExecuteSvc" getDescription="GetSvcDesc" getEnabled="IsSvcAvailable"/>
          <button id="Options_SC.2" tag="ONE" imageMso="AppointmentColor2" getLabel="GetSvcLabel" onAction="ExecuteSvc" getDescription="GetSvcDesc" getEnabled="IsSvcAvailable"/>
          <button id="Options_SC.3" tag="VISIBLE" imageMso="AppointmentColor3" getLabel="GetSvcLabel" onAction="ExecuteSvc" getDescription="GetSvcDesc" getEnabled="IsSvcAvailable"/>
          <button id="Options_SC.4" tag="SELECTED" imageMso="AppointmentColor4" getLabel="GetSvcLabel" onAction="ExecuteSvc" getDescription="GetSvcDesc" getEnabled="IsSvcAvailable"/>
        </menu>
        <menu id="ShortPuts" label="Short Puts" itemSize="large">
          <button id="Options_SP.1" tag="ALL" imageMso="AppointmentColor1" getLabel="GetSvcLabel" onAction="ExecuteSvc" getDescription="GetSvcDesc" getEnabled="IsSvcAvailable"/>
          <button id="Options_SP.2" tag="ONE" imageMso="AppointmentColor2" getLabel="GetSvcLabel" onAction="ExecuteSvc" getDescription="GetSvcDesc" getEnabled="IsSvcAvailable"/>
          <button id="Options_SP.3" tag="VISIBLE" imageMso="AppointmentColor3" getLabel="GetSvcLabel" onAction="ExecuteSvc" getDescription="GetSvcDesc" getEnabled="IsSvcAvailable"/>
          <button id="Options_SP.4" tag="SELECTED" imageMso="AppointmentColor4" getLabel="GetSvcLabel" onAction="ExecuteSvc" getDescription="GetSvcDesc" getEnabled="IsSvcAvailable"/>
        </menu>
      </menu>
      <menu id="WebResearchMenu" label="Web Research" imageMso="W" insertBeforeMso="Refresh">
        <button id="EarningsWhispers" imageMso="E" getLabel="GetWebsiteLabel" onAction="OpenWebsite"/>
        <button id="FinViz" imageMso="F" getLabel="GetWebsiteLabel" onAction="OpenWebsite"/>
        <button id="SeekingAlpha" imageMso="S" getLabel="GetWebsiteLabel" onAction="OpenWebsite"/>
        <button id="YahooFinance" imageMso="Y" getLabel="GetWebsiteLabel" onAction="OpenWebsite"/>
        <button id="Zacks" imageMso="Z" getLabel="GetWebsiteLabel" onAction="OpenWebsite"/>
      </menu>
      <menu id="DocumentsMenu" label="Documents" insertBeforeMso="Refresh">
        <button id="WordDocBtn" imageMso="FileSaveAsWordDocx" getLabel="GetWordDocLabel" onAction="OnOpenWordDoc"/>
      </menu>
    </contextMenu>
  </contextMenus>
</customUI>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20</vt:i4>
      </vt:variant>
    </vt:vector>
  </HeadingPairs>
  <TitlesOfParts>
    <vt:vector size="26" baseType="lpstr">
      <vt:lpstr>SNAP</vt:lpstr>
      <vt:lpstr>AutoFilters</vt:lpstr>
      <vt:lpstr>Views</vt:lpstr>
      <vt:lpstr>Groupings</vt:lpstr>
      <vt:lpstr>UiSettings</vt:lpstr>
      <vt:lpstr>Sector Analysis</vt:lpstr>
      <vt:lpstr>_SnapColumnNames</vt:lpstr>
      <vt:lpstr>AutoFilters!AllActivePositions</vt:lpstr>
      <vt:lpstr>CASH_ON_HAND</vt:lpstr>
      <vt:lpstr>CC_TimeValuePctThreshhold</vt:lpstr>
      <vt:lpstr>AutoFilters!CoveredCallExpirationAnalysis</vt:lpstr>
      <vt:lpstr>CrashDiscount</vt:lpstr>
      <vt:lpstr>ExpirationDaysLookAhead</vt:lpstr>
      <vt:lpstr>LC_StopLoss_Pct</vt:lpstr>
      <vt:lpstr>AutoFilters!LngOnly</vt:lpstr>
      <vt:lpstr>SNAP!MinimumPremiumRequired</vt:lpstr>
      <vt:lpstr>MockToday</vt:lpstr>
      <vt:lpstr>NextFridayOpex</vt:lpstr>
      <vt:lpstr>NextMonthlyOpex</vt:lpstr>
      <vt:lpstr>PUT_RESERVE_POA</vt:lpstr>
      <vt:lpstr>PUT_RESERVE_POTENTIAL</vt:lpstr>
      <vt:lpstr>SNAP!SaleSharesToConsiderPercentage</vt:lpstr>
      <vt:lpstr>SNAP!SellingPriceToConsiderBasedOnTargetPercentage</vt:lpstr>
      <vt:lpstr>ShortCallPctEarnedThreshhold</vt:lpstr>
      <vt:lpstr>SP_MaxLoss_OptionPct</vt:lpstr>
      <vt:lpstr>SP_MaxLoss_StrikePct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Fingerhut</dc:creator>
  <cp:lastModifiedBy>Eric Fingerhut</cp:lastModifiedBy>
  <cp:lastPrinted>2020-04-15T11:50:10Z</cp:lastPrinted>
  <dcterms:created xsi:type="dcterms:W3CDTF">2018-08-20T21:40:28Z</dcterms:created>
  <dcterms:modified xsi:type="dcterms:W3CDTF">2026-08-01T16:22:28Z</dcterms:modified>
</cp:coreProperties>
</file>